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cker" sheetId="1" r:id="rId3"/>
    <sheet state="visible" name="Alabama" sheetId="2" r:id="rId4"/>
    <sheet state="visible" name="Alaska" sheetId="3" r:id="rId5"/>
    <sheet state="visible" name="Arizona" sheetId="4" r:id="rId6"/>
    <sheet state="visible" name="Arkansas" sheetId="5" r:id="rId7"/>
    <sheet state="visible" name="California" sheetId="6" r:id="rId8"/>
    <sheet state="visible" name="Colorado" sheetId="7" r:id="rId9"/>
    <sheet state="visible" name="Connecticut" sheetId="8" r:id="rId10"/>
    <sheet state="visible" name="Delaware" sheetId="9" r:id="rId11"/>
    <sheet state="visible" name="Florida" sheetId="10" r:id="rId12"/>
    <sheet state="visible" name="Georgia" sheetId="11" r:id="rId13"/>
    <sheet state="visible" name="Hawaii" sheetId="12" r:id="rId14"/>
    <sheet state="visible" name="Idaho" sheetId="13" r:id="rId15"/>
    <sheet state="visible" name="Illinois" sheetId="14" r:id="rId16"/>
    <sheet state="visible" name="Indiana" sheetId="15" r:id="rId17"/>
    <sheet state="visible" name="Iowa" sheetId="16" r:id="rId18"/>
    <sheet state="visible" name="Kansas" sheetId="17" r:id="rId19"/>
    <sheet state="visible" name="Kentucky" sheetId="18" r:id="rId20"/>
    <sheet state="visible" name="Louisiana" sheetId="19" r:id="rId21"/>
    <sheet state="visible" name="Maine" sheetId="20" r:id="rId22"/>
    <sheet state="visible" name="Maryland" sheetId="21" r:id="rId23"/>
    <sheet state="visible" name="Massachusetts" sheetId="22" r:id="rId24"/>
    <sheet state="visible" name="Michigan" sheetId="23" r:id="rId25"/>
    <sheet state="visible" name="Minnesota" sheetId="24" r:id="rId26"/>
    <sheet state="visible" name="Mississippi" sheetId="25" r:id="rId27"/>
    <sheet state="visible" name="Missouri" sheetId="26" r:id="rId28"/>
    <sheet state="visible" name="Montana" sheetId="27" r:id="rId29"/>
    <sheet state="visible" name="Nebraska" sheetId="28" r:id="rId30"/>
    <sheet state="visible" name="Nevada" sheetId="29" r:id="rId31"/>
    <sheet state="visible" name="New Hampshire" sheetId="30" r:id="rId32"/>
    <sheet state="visible" name="New Jersey" sheetId="31" r:id="rId33"/>
    <sheet state="visible" name="New Mexico" sheetId="32" r:id="rId34"/>
    <sheet state="visible" name="New York" sheetId="33" r:id="rId35"/>
    <sheet state="visible" name="North Carolina" sheetId="34" r:id="rId36"/>
    <sheet state="visible" name="North Dakota" sheetId="35" r:id="rId37"/>
    <sheet state="visible" name="Ohio" sheetId="36" r:id="rId38"/>
    <sheet state="visible" name="Oklahoma" sheetId="37" r:id="rId39"/>
    <sheet state="visible" name="Oregon" sheetId="38" r:id="rId40"/>
    <sheet state="visible" name="Pennsylvania" sheetId="39" r:id="rId41"/>
    <sheet state="visible" name="Rhode Island" sheetId="40" r:id="rId42"/>
    <sheet state="visible" name="South Carolina" sheetId="41" r:id="rId43"/>
    <sheet state="visible" name="South Dakota" sheetId="42" r:id="rId44"/>
    <sheet state="visible" name="Tennessee" sheetId="43" r:id="rId45"/>
    <sheet state="visible" name="Texas" sheetId="44" r:id="rId46"/>
    <sheet state="visible" name="Utah" sheetId="45" r:id="rId47"/>
    <sheet state="visible" name="Vermont" sheetId="46" r:id="rId48"/>
    <sheet state="visible" name="Virginia" sheetId="47" r:id="rId49"/>
    <sheet state="visible" name="Washington" sheetId="48" r:id="rId50"/>
    <sheet state="visible" name="West Virginia" sheetId="49" r:id="rId51"/>
    <sheet state="visible" name="Wisconsin" sheetId="50" r:id="rId52"/>
    <sheet state="visible" name="Wyoming" sheetId="51" r:id="rId53"/>
    <sheet state="visible" name="Sheet54" sheetId="52" r:id="rId54"/>
  </sheets>
  <definedNames>
    <definedName hidden="1" localSheetId="1" name="Z_13B69836_F742_47CC_9B75_0D185E1E193E_.wvu.FilterData">Alabama!$A$3:$R$108</definedName>
    <definedName hidden="1" localSheetId="9" name="Z_13B69836_F742_47CC_9B75_0D185E1E193E_.wvu.FilterData">Florida!$J$17</definedName>
    <definedName hidden="1" localSheetId="47" name="Z_13B69836_F742_47CC_9B75_0D185E1E193E_.wvu.FilterData">Washington!$E$4:$E$101</definedName>
    <definedName hidden="1" localSheetId="9" name="Z_B67C88D3_3E67_489B_A63D_247C32681792_.wvu.FilterData">Florida!$A$1:$AD$1004</definedName>
    <definedName hidden="1" localSheetId="9" name="Z_282C632F_E700_446B_B969_104509514639_.wvu.FilterData">Florida!$G$1:$G$1004</definedName>
    <definedName hidden="1" localSheetId="47" name="Z_282C632F_E700_446B_B969_104509514639_.wvu.FilterData">Washington!$E$3:$E$101</definedName>
    <definedName hidden="1" localSheetId="9" name="Z_AC59F534_7B5E_4A49_B6B4_D362D6A4DEAA_.wvu.FilterData">Florida!$A$1:$AB$1001</definedName>
    <definedName hidden="1" localSheetId="1" name="Z_6B942B64_79AD_4D0C_9F22_0F8AB405CAAC_.wvu.FilterData">Alabama!$A$110:$F$144</definedName>
    <definedName hidden="1" localSheetId="9" name="Z_6B942B64_79AD_4D0C_9F22_0F8AB405CAAC_.wvu.FilterData">Florida!$A$1:$R$199</definedName>
    <definedName hidden="1" localSheetId="47" name="Z_6B942B64_79AD_4D0C_9F22_0F8AB405CAAC_.wvu.FilterData">Washington!$E$1:$E$1002</definedName>
    <definedName hidden="1" localSheetId="9" name="Z_49BBE4A5_0011_433F_BBC8_12CC1FF24F76_.wvu.FilterData">Florida!$G$5:$J$165</definedName>
    <definedName hidden="1" localSheetId="47" name="Z_49BBE4A5_0011_433F_BBC8_12CC1FF24F76_.wvu.FilterData">Washington!$E$3:$L$101</definedName>
  </definedNames>
  <calcPr/>
  <customWorkbookViews>
    <customWorkbookView activeSheetId="0" maximized="1" tabRatio="600" windowHeight="0" windowWidth="0" guid="{49BBE4A5-0011-433F-BBC8-12CC1FF24F76}" name="Filter 4"/>
    <customWorkbookView activeSheetId="0" maximized="1" tabRatio="600" windowHeight="0" windowWidth="0" guid="{AC59F534-7B5E-4A49-B6B4-D362D6A4DEAA}" name="Democrats"/>
    <customWorkbookView activeSheetId="0" maximized="1" tabRatio="600" windowHeight="0" windowWidth="0" guid="{B67C88D3-3E67-489B-A63D-247C32681792}" name="Republicans"/>
    <customWorkbookView activeSheetId="0" maximized="1" tabRatio="600" windowHeight="0" windowWidth="0" guid="{13B69836-F742-47CC-9B75-0D185E1E193E}" name="Filter 2"/>
    <customWorkbookView activeSheetId="0" maximized="1" tabRatio="600" windowHeight="0" windowWidth="0" guid="{282C632F-E700-446B-B969-104509514639}" name="Filter 3"/>
    <customWorkbookView activeSheetId="0" maximized="1" tabRatio="600" windowHeight="0" windowWidth="0" guid="{6B942B64-79AD-4D0C-9F22-0F8AB405CAAC}"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M3">
      <text>
        <t xml:space="preserve">Needs review
</t>
      </text>
    </comment>
    <comment authorId="0" ref="D21">
      <text>
        <t xml:space="preserve">The former director of health professional outreach at the Connecticut Coalition Against Domestic Violence.</t>
      </text>
    </comment>
  </commentList>
</comments>
</file>

<file path=xl/comments2.xml><?xml version="1.0" encoding="utf-8"?>
<comments xmlns:r="http://schemas.openxmlformats.org/officeDocument/2006/relationships" xmlns="http://schemas.openxmlformats.org/spreadsheetml/2006/main">
  <authors>
    <author/>
  </authors>
  <commentList>
    <comment authorId="0" ref="M3">
      <text>
        <t xml:space="preserve">Some reps only have the mail form listed although I would imagine that the standard email still works.</t>
      </text>
    </comment>
  </commentList>
</comments>
</file>

<file path=xl/comments3.xml><?xml version="1.0" encoding="utf-8"?>
<comments xmlns:r="http://schemas.openxmlformats.org/officeDocument/2006/relationships" xmlns="http://schemas.openxmlformats.org/spreadsheetml/2006/main">
  <authors>
    <author/>
  </authors>
  <commentList>
    <comment authorId="0" ref="M3">
      <text>
        <t xml:space="preserve">may want do double check hyphenated and abbreviated names
</t>
      </text>
    </comment>
  </commentList>
</comments>
</file>

<file path=xl/comments4.xml><?xml version="1.0" encoding="utf-8"?>
<comments xmlns:r="http://schemas.openxmlformats.org/officeDocument/2006/relationships" xmlns="http://schemas.openxmlformats.org/spreadsheetml/2006/main">
  <authors>
    <author/>
  </authors>
  <commentList>
    <comment authorId="0" ref="C25">
      <text>
        <t xml:space="preserve">not called- recount
</t>
      </text>
    </comment>
    <comment authorId="0" ref="E99">
      <text>
        <t xml:space="preserve">not called, recount
</t>
      </text>
    </comment>
  </commentList>
</comments>
</file>

<file path=xl/comments5.xml><?xml version="1.0" encoding="utf-8"?>
<comments xmlns:r="http://schemas.openxmlformats.org/officeDocument/2006/relationships" xmlns="http://schemas.openxmlformats.org/spreadsheetml/2006/main">
  <authors>
    <author/>
  </authors>
  <commentList>
    <comment authorId="0" ref="M3">
      <text>
        <t xml:space="preserve">Some have personal emails listed on New Mexico's state site, but have standard @nmlegis emails on Votesmart. </t>
      </text>
    </comment>
    <comment authorId="0" ref="C36">
      <text>
        <t xml:space="preserve">not called
</t>
      </text>
    </comment>
    <comment authorId="0" ref="C37">
      <text>
        <t xml:space="preserve">not called
</t>
      </text>
    </comment>
  </commentList>
</comments>
</file>

<file path=xl/comments6.xml><?xml version="1.0" encoding="utf-8"?>
<comments xmlns:r="http://schemas.openxmlformats.org/officeDocument/2006/relationships" xmlns="http://schemas.openxmlformats.org/spreadsheetml/2006/main">
  <authors>
    <author/>
  </authors>
  <commentList>
    <comment authorId="0" ref="B20">
      <text>
        <t xml:space="preserve">unconfirmed results 
</t>
      </text>
    </comment>
    <comment authorId="0" ref="B56">
      <text>
        <t xml:space="preserve">not called yet
</t>
      </text>
    </comment>
  </commentList>
</comments>
</file>

<file path=xl/comments7.xml><?xml version="1.0" encoding="utf-8"?>
<comments xmlns:r="http://schemas.openxmlformats.org/officeDocument/2006/relationships" xmlns="http://schemas.openxmlformats.org/spreadsheetml/2006/main">
  <authors>
    <author/>
  </authors>
  <commentList>
    <comment authorId="0" ref="G2">
      <text>
        <t xml:space="preserve">Bill Intro Deadline
</t>
      </text>
    </comment>
    <comment authorId="0" ref="N3">
      <text>
        <t xml:space="preserve">These emails need verification
</t>
      </text>
    </comment>
  </commentList>
</comments>
</file>

<file path=xl/comments8.xml><?xml version="1.0" encoding="utf-8"?>
<comments xmlns:r="http://schemas.openxmlformats.org/officeDocument/2006/relationships" xmlns="http://schemas.openxmlformats.org/spreadsheetml/2006/main">
  <authors>
    <author/>
  </authors>
  <commentList>
    <comment authorId="0" ref="B172">
      <text>
        <t xml:space="preserve">senators unconfirmed</t>
      </text>
    </comment>
  </commentList>
</comments>
</file>

<file path=xl/sharedStrings.xml><?xml version="1.0" encoding="utf-8"?>
<sst xmlns="http://schemas.openxmlformats.org/spreadsheetml/2006/main" count="47671" uniqueCount="14756">
  <si>
    <t>Assigned to</t>
  </si>
  <si>
    <t>Regional</t>
  </si>
  <si>
    <t>Riser</t>
  </si>
  <si>
    <t>Intent to File</t>
  </si>
  <si>
    <t>Intent to File Deadline</t>
  </si>
  <si>
    <t>Days Left to File</t>
  </si>
  <si>
    <t>Legislative Start</t>
  </si>
  <si>
    <t>Legislative End</t>
  </si>
  <si>
    <t>Bill Request Deadline</t>
  </si>
  <si>
    <t>State House</t>
  </si>
  <si>
    <t>Leadership</t>
  </si>
  <si>
    <t>Committee(s)</t>
  </si>
  <si>
    <t>Contact info</t>
  </si>
  <si>
    <t>Intent To File Deadline</t>
  </si>
  <si>
    <t>State Senate</t>
  </si>
  <si>
    <t>Intent to File Deadline CONFIRMED</t>
  </si>
  <si>
    <t>Days Left</t>
  </si>
  <si>
    <t>2-Weeks</t>
  </si>
  <si>
    <t>1-month</t>
  </si>
  <si>
    <t>Missed Deadlines</t>
  </si>
  <si>
    <t>Session every other year</t>
  </si>
  <si>
    <t>Deadline Schedule</t>
  </si>
  <si>
    <t>Michelle</t>
  </si>
  <si>
    <t>Rise - Blitz/Status</t>
  </si>
  <si>
    <t>Zero - Blitz/Status</t>
  </si>
  <si>
    <t>Alabama</t>
  </si>
  <si>
    <t>x</t>
  </si>
  <si>
    <t>Connie</t>
  </si>
  <si>
    <t>Joel</t>
  </si>
  <si>
    <t>Branch</t>
  </si>
  <si>
    <t>District</t>
  </si>
  <si>
    <t>First Name</t>
  </si>
  <si>
    <t>Last Name</t>
  </si>
  <si>
    <t>Party</t>
  </si>
  <si>
    <t>Committee</t>
  </si>
  <si>
    <t>Notes</t>
  </si>
  <si>
    <t>Phone</t>
  </si>
  <si>
    <t>Email</t>
  </si>
  <si>
    <t>Briefs</t>
  </si>
  <si>
    <t>First Elected</t>
  </si>
  <si>
    <t>Next Election</t>
  </si>
  <si>
    <t>Term Limited</t>
  </si>
  <si>
    <t>Counties Represented</t>
  </si>
  <si>
    <t>Residence</t>
  </si>
  <si>
    <t>House</t>
  </si>
  <si>
    <t>Scott</t>
  </si>
  <si>
    <t>Alaska</t>
  </si>
  <si>
    <t>X</t>
  </si>
  <si>
    <t>Kawasaki</t>
  </si>
  <si>
    <t>Dem</t>
  </si>
  <si>
    <t>Phillip</t>
  </si>
  <si>
    <t>Arizona</t>
  </si>
  <si>
    <t>Pettus</t>
  </si>
  <si>
    <t>Rep</t>
  </si>
  <si>
    <t>Fairbanks</t>
  </si>
  <si>
    <t>Steve</t>
  </si>
  <si>
    <t>Arkansas</t>
  </si>
  <si>
    <t>334 261-0591</t>
  </si>
  <si>
    <t>called- no deadline for regular bills? (only for appropitions and retirement)</t>
  </si>
  <si>
    <t>Thompson</t>
  </si>
  <si>
    <t>Lauderdale</t>
  </si>
  <si>
    <t>Tammie</t>
  </si>
  <si>
    <t>Wilson</t>
  </si>
  <si>
    <t>North Pole</t>
  </si>
  <si>
    <t>California</t>
  </si>
  <si>
    <t>confirmed</t>
  </si>
  <si>
    <t>Lynn</t>
  </si>
  <si>
    <t>Grier</t>
  </si>
  <si>
    <t>Hopkins</t>
  </si>
  <si>
    <t>Adam</t>
  </si>
  <si>
    <t>Colorado</t>
  </si>
  <si>
    <t>Greer</t>
  </si>
  <si>
    <t>Chairman, Transportation, Utilities, and Infrastructure</t>
  </si>
  <si>
    <t>334 261-0476</t>
  </si>
  <si>
    <t>Lauderdale, Limestone</t>
  </si>
  <si>
    <t>Wool</t>
  </si>
  <si>
    <t>Dave</t>
  </si>
  <si>
    <t>Connecticut</t>
  </si>
  <si>
    <t>Talerico</t>
  </si>
  <si>
    <t>Healy</t>
  </si>
  <si>
    <t>Andrew</t>
  </si>
  <si>
    <t>Sorrell</t>
  </si>
  <si>
    <t>Delaware</t>
  </si>
  <si>
    <t>334 261-0435</t>
  </si>
  <si>
    <t>Colleen</t>
  </si>
  <si>
    <t>Colbert, Lauderdale, Lawrence</t>
  </si>
  <si>
    <t>Sullivan-Leonard</t>
  </si>
  <si>
    <t>Parker</t>
  </si>
  <si>
    <t>Wasilla</t>
  </si>
  <si>
    <t>Moore</t>
  </si>
  <si>
    <t>Florida</t>
  </si>
  <si>
    <t>Mark</t>
  </si>
  <si>
    <t>334 261-0579</t>
  </si>
  <si>
    <t>Limestone, Morgan</t>
  </si>
  <si>
    <t>couldn't confirm: offices closed for the day</t>
  </si>
  <si>
    <t>Neuman</t>
  </si>
  <si>
    <t>Big Lake</t>
  </si>
  <si>
    <t>Georgia</t>
  </si>
  <si>
    <t>George</t>
  </si>
  <si>
    <t>Hawaii</t>
  </si>
  <si>
    <t>Danny</t>
  </si>
  <si>
    <t>Rauscher</t>
  </si>
  <si>
    <t>Palmer</t>
  </si>
  <si>
    <t>Crawford</t>
  </si>
  <si>
    <t>Chairman, Agriculture and Forestry</t>
  </si>
  <si>
    <t>334 261-0516</t>
  </si>
  <si>
    <t>Idaho</t>
  </si>
  <si>
    <t>Limestone</t>
  </si>
  <si>
    <t>David</t>
  </si>
  <si>
    <t>Andy</t>
  </si>
  <si>
    <t>Whitt</t>
  </si>
  <si>
    <t xml:space="preserve">Illinois </t>
  </si>
  <si>
    <t>Eastman</t>
  </si>
  <si>
    <t xml:space="preserve">called leadership multiple offices- no one could confirm what the deadline was </t>
  </si>
  <si>
    <t>334 261-0404</t>
  </si>
  <si>
    <t>DeLena</t>
  </si>
  <si>
    <t>Limestone, Madison</t>
  </si>
  <si>
    <t>Indiana</t>
  </si>
  <si>
    <t>Johnson</t>
  </si>
  <si>
    <t>n/a</t>
  </si>
  <si>
    <t>Cathy</t>
  </si>
  <si>
    <t>Iowa</t>
  </si>
  <si>
    <t>Tilton</t>
  </si>
  <si>
    <t>Nancy</t>
  </si>
  <si>
    <t>Dahlstrom</t>
  </si>
  <si>
    <t>Eagle River</t>
  </si>
  <si>
    <t>Proncey</t>
  </si>
  <si>
    <t>Robertson</t>
  </si>
  <si>
    <t>334 261-0454</t>
  </si>
  <si>
    <t>Franklin, Lawrence, Morgan, Winston</t>
  </si>
  <si>
    <t>Kelly</t>
  </si>
  <si>
    <t>Merrick</t>
  </si>
  <si>
    <t>Kansas</t>
  </si>
  <si>
    <t>Gabrielle</t>
  </si>
  <si>
    <t>Terri</t>
  </si>
  <si>
    <t>LeDoux</t>
  </si>
  <si>
    <t>Rep-Coalition</t>
  </si>
  <si>
    <t>Collins</t>
  </si>
  <si>
    <t>Chairwoman, Education Policy</t>
  </si>
  <si>
    <t>334 261-0472</t>
  </si>
  <si>
    <t>terri@terricollins.org</t>
  </si>
  <si>
    <t>Morgan</t>
  </si>
  <si>
    <t>Anchorage</t>
  </si>
  <si>
    <t>Kentucky</t>
  </si>
  <si>
    <t>Ivy</t>
  </si>
  <si>
    <t>Louisiana</t>
  </si>
  <si>
    <t>Stadthagen</t>
  </si>
  <si>
    <t>Maine</t>
  </si>
  <si>
    <t>334 261-0436</t>
  </si>
  <si>
    <t>Spohnholz</t>
  </si>
  <si>
    <t>call tomorrow</t>
  </si>
  <si>
    <t>Cullman, Marshall, Morgan</t>
  </si>
  <si>
    <t>Maryland</t>
  </si>
  <si>
    <t>Josephson</t>
  </si>
  <si>
    <t>Harriet</t>
  </si>
  <si>
    <t>Massachusetts</t>
  </si>
  <si>
    <t>Drummond</t>
  </si>
  <si>
    <t>Mike</t>
  </si>
  <si>
    <t>Geran</t>
  </si>
  <si>
    <t>Michigan</t>
  </si>
  <si>
    <t>Tarr</t>
  </si>
  <si>
    <t>Zack</t>
  </si>
  <si>
    <t>Fields</t>
  </si>
  <si>
    <t>Matt</t>
  </si>
  <si>
    <t>Ball</t>
  </si>
  <si>
    <t>Minnesota</t>
  </si>
  <si>
    <t>Chairman, Ethics and Campaign Finance</t>
  </si>
  <si>
    <t>334 261-0483</t>
  </si>
  <si>
    <t>TBA</t>
  </si>
  <si>
    <t>Madison</t>
  </si>
  <si>
    <t>Claman</t>
  </si>
  <si>
    <t>Sara</t>
  </si>
  <si>
    <t>Rasmussen</t>
  </si>
  <si>
    <t>Chris</t>
  </si>
  <si>
    <t>Mississippi</t>
  </si>
  <si>
    <t>Tuck</t>
  </si>
  <si>
    <t>Majority Leader</t>
  </si>
  <si>
    <t>Chuck</t>
  </si>
  <si>
    <t>Kopp</t>
  </si>
  <si>
    <t>Randall</t>
  </si>
  <si>
    <t>Josh</t>
  </si>
  <si>
    <t>Revak</t>
  </si>
  <si>
    <t>Laddie</t>
  </si>
  <si>
    <t>Shaw</t>
  </si>
  <si>
    <t>Missouri</t>
  </si>
  <si>
    <t>Lance</t>
  </si>
  <si>
    <t>Shedd</t>
  </si>
  <si>
    <t>Pruitt</t>
  </si>
  <si>
    <t>Vice Chair, Children and Senior Advocacy</t>
  </si>
  <si>
    <t>Chairman, Urban and Rural Development</t>
  </si>
  <si>
    <t>334 261-0530</t>
  </si>
  <si>
    <t>Jennifer</t>
  </si>
  <si>
    <t>Blount, Cullman, Marshall, Morgan</t>
  </si>
  <si>
    <t>Montana</t>
  </si>
  <si>
    <t>Johnston</t>
  </si>
  <si>
    <t>Ben</t>
  </si>
  <si>
    <t>Carpenter</t>
  </si>
  <si>
    <t>Nikiski</t>
  </si>
  <si>
    <t>Nebraska</t>
  </si>
  <si>
    <t>Gary</t>
  </si>
  <si>
    <t>Corey</t>
  </si>
  <si>
    <t>Nevada</t>
  </si>
  <si>
    <t>New Hampshire</t>
  </si>
  <si>
    <t>Knopp</t>
  </si>
  <si>
    <t>Soldotna</t>
  </si>
  <si>
    <t>Harbison</t>
  </si>
  <si>
    <t>Vice Chair, Technology and Research</t>
  </si>
  <si>
    <t>334 261-0578</t>
  </si>
  <si>
    <t>Cullman</t>
  </si>
  <si>
    <t>New Jersey</t>
  </si>
  <si>
    <t>Sarah</t>
  </si>
  <si>
    <t>Vance</t>
  </si>
  <si>
    <t>New Mexico</t>
  </si>
  <si>
    <t>Homer</t>
  </si>
  <si>
    <t>Rowe</t>
  </si>
  <si>
    <t>Vice Chair, Military and Veterans Affairs</t>
  </si>
  <si>
    <t>Louise</t>
  </si>
  <si>
    <t>334 261-0495</t>
  </si>
  <si>
    <t>Blount, Walker</t>
  </si>
  <si>
    <t>New York</t>
  </si>
  <si>
    <t>North Carolina</t>
  </si>
  <si>
    <t>Stutes</t>
  </si>
  <si>
    <t>Kodiak</t>
  </si>
  <si>
    <t>North Dakota</t>
  </si>
  <si>
    <t>Sam</t>
  </si>
  <si>
    <t>Tim</t>
  </si>
  <si>
    <t>Ohio</t>
  </si>
  <si>
    <t>Kito</t>
  </si>
  <si>
    <t>Juneau</t>
  </si>
  <si>
    <t>Oklahoma</t>
  </si>
  <si>
    <t>Wadsworth</t>
  </si>
  <si>
    <t>334 261-0554</t>
  </si>
  <si>
    <t>Jefferson, Walker, Winston</t>
  </si>
  <si>
    <t>Andi</t>
  </si>
  <si>
    <t>Story</t>
  </si>
  <si>
    <t>Jonathan</t>
  </si>
  <si>
    <t>Oregon</t>
  </si>
  <si>
    <t>Kreiss-Tomkins</t>
  </si>
  <si>
    <t>Sitka</t>
  </si>
  <si>
    <t>Dan</t>
  </si>
  <si>
    <t>Pennsylvania</t>
  </si>
  <si>
    <t>Allen</t>
  </si>
  <si>
    <t>Ortiz</t>
  </si>
  <si>
    <t>Ind</t>
  </si>
  <si>
    <t>Rhode Island</t>
  </si>
  <si>
    <t>Farley</t>
  </si>
  <si>
    <t>Vice Chair, Public Safety and Homeland Security</t>
  </si>
  <si>
    <t>334 261-0474</t>
  </si>
  <si>
    <t>Ketchikan</t>
  </si>
  <si>
    <t>Jefferson, Shelby</t>
  </si>
  <si>
    <t>South Carolina</t>
  </si>
  <si>
    <t>Bryce</t>
  </si>
  <si>
    <t>South Dakota</t>
  </si>
  <si>
    <t>Edgmon</t>
  </si>
  <si>
    <t>Speaker of the House</t>
  </si>
  <si>
    <t>Dillingham</t>
  </si>
  <si>
    <t>Tennessee</t>
  </si>
  <si>
    <t>Kyle</t>
  </si>
  <si>
    <t>Tiffany</t>
  </si>
  <si>
    <t>Texas</t>
  </si>
  <si>
    <t>South</t>
  </si>
  <si>
    <t>Vice Chair, Ways and Means General Fund Committee</t>
  </si>
  <si>
    <t>Utah</t>
  </si>
  <si>
    <t>Zulkosky</t>
  </si>
  <si>
    <t>Bethel</t>
  </si>
  <si>
    <t>334 261-0482</t>
  </si>
  <si>
    <t>Fayette, Jefferson, Lamar, Tuscaloosa</t>
  </si>
  <si>
    <t>Vermont</t>
  </si>
  <si>
    <t>Neal</t>
  </si>
  <si>
    <t>confimed</t>
  </si>
  <si>
    <t>Virginia</t>
  </si>
  <si>
    <t>Foster</t>
  </si>
  <si>
    <t>Nome</t>
  </si>
  <si>
    <t>Tracy</t>
  </si>
  <si>
    <t>Estes</t>
  </si>
  <si>
    <t>334 261-0434</t>
  </si>
  <si>
    <t>Lamar, Marion, Winston</t>
  </si>
  <si>
    <t>Washington</t>
  </si>
  <si>
    <t>John</t>
  </si>
  <si>
    <t>Lincoln</t>
  </si>
  <si>
    <t>Kotzebue</t>
  </si>
  <si>
    <t>West Virginia</t>
  </si>
  <si>
    <t>Wisconsin</t>
  </si>
  <si>
    <t>Jamie</t>
  </si>
  <si>
    <t>Kiel</t>
  </si>
  <si>
    <t>334 261-0521</t>
  </si>
  <si>
    <t>Senate</t>
  </si>
  <si>
    <t>A</t>
  </si>
  <si>
    <t>Pete</t>
  </si>
  <si>
    <t>Colbert, Franklin, Lauderdale</t>
  </si>
  <si>
    <t>Wyoming</t>
  </si>
  <si>
    <t>Senate President</t>
  </si>
  <si>
    <t>Laura</t>
  </si>
  <si>
    <t>Hall</t>
  </si>
  <si>
    <t>B</t>
  </si>
  <si>
    <t>334 261-0444</t>
  </si>
  <si>
    <t>Coghill</t>
  </si>
  <si>
    <t>Howard</t>
  </si>
  <si>
    <t>C</t>
  </si>
  <si>
    <t>Click</t>
  </si>
  <si>
    <t>Sanderford</t>
  </si>
  <si>
    <t>Chairman, Boards, Agencies, and Commissions</t>
  </si>
  <si>
    <t>Bishop</t>
  </si>
  <si>
    <t>D</t>
  </si>
  <si>
    <t>Rex</t>
  </si>
  <si>
    <t>E</t>
  </si>
  <si>
    <t>Reynolds</t>
  </si>
  <si>
    <t>334 261-0571</t>
  </si>
  <si>
    <t>Shower</t>
  </si>
  <si>
    <t>Ritchie</t>
  </si>
  <si>
    <t>F</t>
  </si>
  <si>
    <t>Shelley</t>
  </si>
  <si>
    <t>Whorton</t>
  </si>
  <si>
    <t>Vice Chair, Local Legislation</t>
  </si>
  <si>
    <t>334 261-0553</t>
  </si>
  <si>
    <t>Jackson, Madison</t>
  </si>
  <si>
    <t>Hughes</t>
  </si>
  <si>
    <t>Tommy</t>
  </si>
  <si>
    <t>G</t>
  </si>
  <si>
    <t>Lora</t>
  </si>
  <si>
    <t>Reinbold</t>
  </si>
  <si>
    <t>Hanes</t>
  </si>
  <si>
    <t>334 261-0551</t>
  </si>
  <si>
    <t>DeKalb, Jackson</t>
  </si>
  <si>
    <t>H</t>
  </si>
  <si>
    <t>Bill</t>
  </si>
  <si>
    <t>Nathaniel</t>
  </si>
  <si>
    <t>Wielechowski</t>
  </si>
  <si>
    <t>Ledbetter</t>
  </si>
  <si>
    <t xml:space="preserve"> </t>
  </si>
  <si>
    <t>Vice Chair, Internal Affairs</t>
  </si>
  <si>
    <t>334 261-9506</t>
  </si>
  <si>
    <t>DeKalb</t>
  </si>
  <si>
    <t>Mac</t>
  </si>
  <si>
    <t>I</t>
  </si>
  <si>
    <t>Elvi</t>
  </si>
  <si>
    <t>Gray-Jackson</t>
  </si>
  <si>
    <t>J</t>
  </si>
  <si>
    <t>Tom</t>
  </si>
  <si>
    <t>McCutcheon</t>
  </si>
  <si>
    <t>334 261-0505</t>
  </si>
  <si>
    <t>Kerry</t>
  </si>
  <si>
    <t>Begich</t>
  </si>
  <si>
    <t>K</t>
  </si>
  <si>
    <t>Mia</t>
  </si>
  <si>
    <t>Rich</t>
  </si>
  <si>
    <t>Chairman, Insurance</t>
  </si>
  <si>
    <t>334 261-0438</t>
  </si>
  <si>
    <t>DeKalb, Marshall</t>
  </si>
  <si>
    <t>Wes</t>
  </si>
  <si>
    <t>Kitchens</t>
  </si>
  <si>
    <t>334 261-0539</t>
  </si>
  <si>
    <t>Costello</t>
  </si>
  <si>
    <t>L</t>
  </si>
  <si>
    <t>Natasha</t>
  </si>
  <si>
    <t>Blount, DeKalb, Marshall</t>
  </si>
  <si>
    <t>Gil</t>
  </si>
  <si>
    <t>Isbell</t>
  </si>
  <si>
    <t>334 261-0490</t>
  </si>
  <si>
    <t>Etowah</t>
  </si>
  <si>
    <t>von Imhof</t>
  </si>
  <si>
    <t>M</t>
  </si>
  <si>
    <t>Birch</t>
  </si>
  <si>
    <t>N</t>
  </si>
  <si>
    <t>Becky</t>
  </si>
  <si>
    <t>Giessel</t>
  </si>
  <si>
    <t>O</t>
  </si>
  <si>
    <t>Peter</t>
  </si>
  <si>
    <t>Nordgren</t>
  </si>
  <si>
    <t>Chairman, Economic Development and Tourism</t>
  </si>
  <si>
    <t>334 261-0432</t>
  </si>
  <si>
    <t>Calhoun, DeKalb, Etowah</t>
  </si>
  <si>
    <t>Micciche</t>
  </si>
  <si>
    <t>Craig</t>
  </si>
  <si>
    <t>Lipscomb</t>
  </si>
  <si>
    <t>334 261-0546</t>
  </si>
  <si>
    <t>Etowah, St. Clair</t>
  </si>
  <si>
    <t>P</t>
  </si>
  <si>
    <t>Stevens</t>
  </si>
  <si>
    <t>Holmes</t>
  </si>
  <si>
    <t>Vice Chair, Boards, Agencies, and Commissions</t>
  </si>
  <si>
    <t>Vice Chair, Fiscal Responsibility</t>
  </si>
  <si>
    <t>334 261-0595</t>
  </si>
  <si>
    <t>Autauga, Elmore</t>
  </si>
  <si>
    <t>Barbara</t>
  </si>
  <si>
    <t>Q</t>
  </si>
  <si>
    <t>Jesse</t>
  </si>
  <si>
    <t>Kiehl</t>
  </si>
  <si>
    <t>Boyd</t>
  </si>
  <si>
    <t>334 261-0592</t>
  </si>
  <si>
    <t>Calhoun, Talladega</t>
  </si>
  <si>
    <t>R</t>
  </si>
  <si>
    <t>Bert</t>
  </si>
  <si>
    <t>Ronald</t>
  </si>
  <si>
    <t>Stedman</t>
  </si>
  <si>
    <t>Vice Chair, Economic Development and Tourism</t>
  </si>
  <si>
    <t>Vice Chair, Health</t>
  </si>
  <si>
    <t>334 261-0477</t>
  </si>
  <si>
    <t>Clay, Coosa, Talladega</t>
  </si>
  <si>
    <t>S</t>
  </si>
  <si>
    <t>Lyman</t>
  </si>
  <si>
    <t>Hoffman</t>
  </si>
  <si>
    <t>Standridge</t>
  </si>
  <si>
    <t>Vice Chair, Urban and Rural Development</t>
  </si>
  <si>
    <t>334 261-0446</t>
  </si>
  <si>
    <t>Blount, Marshall</t>
  </si>
  <si>
    <t>T</t>
  </si>
  <si>
    <t>Donny</t>
  </si>
  <si>
    <t>Hurst</t>
  </si>
  <si>
    <t>Vice Chairman, Agriculture and Forestry</t>
  </si>
  <si>
    <t>334 261-0415</t>
  </si>
  <si>
    <t>Calhoun, Clay, Coosa, Talladega</t>
  </si>
  <si>
    <t>Randy</t>
  </si>
  <si>
    <t>Olson</t>
  </si>
  <si>
    <t>Golovin</t>
  </si>
  <si>
    <t>Wood</t>
  </si>
  <si>
    <t>Chairman, Internal Affairs</t>
  </si>
  <si>
    <t>334 261-0552</t>
  </si>
  <si>
    <t>Calhoun, St. Clair, Talladega</t>
  </si>
  <si>
    <t>Bob</t>
  </si>
  <si>
    <t>Fincher</t>
  </si>
  <si>
    <t>Governor</t>
  </si>
  <si>
    <t>Vice Chair, Constitution, Campaigns, and Elections</t>
  </si>
  <si>
    <t>334 261-0538</t>
  </si>
  <si>
    <t>Chambers, Cleburne, Randolph</t>
  </si>
  <si>
    <t>Debbie</t>
  </si>
  <si>
    <t>Dunleavy</t>
  </si>
  <si>
    <t>Congress</t>
  </si>
  <si>
    <t>Don</t>
  </si>
  <si>
    <t>Young</t>
  </si>
  <si>
    <t>Senator</t>
  </si>
  <si>
    <t>Senior</t>
  </si>
  <si>
    <t>Lisa</t>
  </si>
  <si>
    <t>Murkowski</t>
  </si>
  <si>
    <t>Junior</t>
  </si>
  <si>
    <t>Sullivan</t>
  </si>
  <si>
    <t>334 261-0532</t>
  </si>
  <si>
    <t>Chambers, Lee</t>
  </si>
  <si>
    <t>Attorney Gen</t>
  </si>
  <si>
    <t>Jahna</t>
  </si>
  <si>
    <t>Lindemuth</t>
  </si>
  <si>
    <t>N/A</t>
  </si>
  <si>
    <t>Ginny</t>
  </si>
  <si>
    <t>Shaver</t>
  </si>
  <si>
    <t>334 261-0413</t>
  </si>
  <si>
    <t>Calhoun, Cherokee, Cleburne, DeKalb</t>
  </si>
  <si>
    <t>Koven</t>
  </si>
  <si>
    <t>Brown</t>
  </si>
  <si>
    <t>334 261-0496</t>
  </si>
  <si>
    <t>Calhoun</t>
  </si>
  <si>
    <t>Corley</t>
  </si>
  <si>
    <t>Ellis</t>
  </si>
  <si>
    <t>Vice Chair, Insurance</t>
  </si>
  <si>
    <t>334 261-0560</t>
  </si>
  <si>
    <t>Shelby</t>
  </si>
  <si>
    <t>Jimmy</t>
  </si>
  <si>
    <t>Martin</t>
  </si>
  <si>
    <t>Vice Chair, Financial Services</t>
  </si>
  <si>
    <t>334 261-0459</t>
  </si>
  <si>
    <t>Autauga, Chilton</t>
  </si>
  <si>
    <t>Arnold</t>
  </si>
  <si>
    <t>Mooney</t>
  </si>
  <si>
    <t>334 261-9512</t>
  </si>
  <si>
    <t>Garrett</t>
  </si>
  <si>
    <t>Vice Chair, Ways and Means Education</t>
  </si>
  <si>
    <t>Vice Chair, Education Policy</t>
  </si>
  <si>
    <t>334 261-0535</t>
  </si>
  <si>
    <t>Jefferson</t>
  </si>
  <si>
    <t>Dickie</t>
  </si>
  <si>
    <t>Drake</t>
  </si>
  <si>
    <t>Chairman, Military and Veterans Affairs</t>
  </si>
  <si>
    <t>334 261-0527</t>
  </si>
  <si>
    <t>Faulkner</t>
  </si>
  <si>
    <t>334 261-0442</t>
  </si>
  <si>
    <t>Wheeler</t>
  </si>
  <si>
    <t>334 261-0439</t>
  </si>
  <si>
    <t>Jim</t>
  </si>
  <si>
    <t>Carns</t>
  </si>
  <si>
    <t>Chairman, Commerce and Small Business</t>
  </si>
  <si>
    <t>334 261-0429</t>
  </si>
  <si>
    <t>April</t>
  </si>
  <si>
    <t>Weaver</t>
  </si>
  <si>
    <t>Chairman, Health</t>
  </si>
  <si>
    <t>334 261-0491</t>
  </si>
  <si>
    <t>Bibb, Chilton, Shelby</t>
  </si>
  <si>
    <t>Hill</t>
  </si>
  <si>
    <t>Chairman, Judiciary</t>
  </si>
  <si>
    <t>334 261-0494</t>
  </si>
  <si>
    <t>St. Clair</t>
  </si>
  <si>
    <t>Treadaway</t>
  </si>
  <si>
    <t>Chairman, Public Safety and Homeland Security</t>
  </si>
  <si>
    <t>334 261-0585</t>
  </si>
  <si>
    <t>Mitch</t>
  </si>
  <si>
    <t>Teresa</t>
  </si>
  <si>
    <t>Rogers</t>
  </si>
  <si>
    <t>334 261-0387</t>
  </si>
  <si>
    <t>Anthony</t>
  </si>
  <si>
    <t>Daniels</t>
  </si>
  <si>
    <t>Minority Leader</t>
  </si>
  <si>
    <t>334 261-0522</t>
  </si>
  <si>
    <t>Neil</t>
  </si>
  <si>
    <t>Refferty</t>
  </si>
  <si>
    <t>334 261-0543</t>
  </si>
  <si>
    <t>Rod</t>
  </si>
  <si>
    <t>334 261-0452</t>
  </si>
  <si>
    <t>Alexander</t>
  </si>
  <si>
    <t>334 261-0529</t>
  </si>
  <si>
    <t>Merika</t>
  </si>
  <si>
    <t>Coleman</t>
  </si>
  <si>
    <t>334 261-0589</t>
  </si>
  <si>
    <t>Rolanda</t>
  </si>
  <si>
    <t>Hollis</t>
  </si>
  <si>
    <t>334 261-9520</t>
  </si>
  <si>
    <t>Stringer</t>
  </si>
  <si>
    <t>Mary</t>
  </si>
  <si>
    <t>Education</t>
  </si>
  <si>
    <t>Sentencing &amp; Recidivism Reform (Chair)</t>
  </si>
  <si>
    <t>Judiciary (Vice Chair)</t>
  </si>
  <si>
    <t>Government</t>
  </si>
  <si>
    <t/>
  </si>
  <si>
    <t>(602) 926-3124</t>
  </si>
  <si>
    <t>334 242-7608</t>
  </si>
  <si>
    <t>Juandalynn</t>
  </si>
  <si>
    <t>Prescott</t>
  </si>
  <si>
    <t>Givan</t>
  </si>
  <si>
    <t>334 242-7684</t>
  </si>
  <si>
    <t>Rodney</t>
  </si>
  <si>
    <t>334 261-0403</t>
  </si>
  <si>
    <t>Pickens, Pickens, Tuscaloosa</t>
  </si>
  <si>
    <t>Noel</t>
  </si>
  <si>
    <t>Campbell</t>
  </si>
  <si>
    <t>Wingo</t>
  </si>
  <si>
    <t>Vice Chairman, Ethics and Campaign Finance Committee</t>
  </si>
  <si>
    <t>Vice Chair, Ethics and Campaign Finance</t>
  </si>
  <si>
    <t>334 261-0481</t>
  </si>
  <si>
    <t>Military &amp; Veterans Affairs</t>
  </si>
  <si>
    <t>Transportation (Chair)</t>
  </si>
  <si>
    <t>County Infrastructure</t>
  </si>
  <si>
    <t>Tuscaloosa</t>
  </si>
  <si>
    <t>(602) 926-4838</t>
  </si>
  <si>
    <t>Poole</t>
  </si>
  <si>
    <t>Chairman, Ways and Means Education Committee</t>
  </si>
  <si>
    <t>334 261-0524</t>
  </si>
  <si>
    <t>Harry</t>
  </si>
  <si>
    <t>Shiver</t>
  </si>
  <si>
    <t>334 261-0445</t>
  </si>
  <si>
    <t>Baldwin, Monroe</t>
  </si>
  <si>
    <t>Brett</t>
  </si>
  <si>
    <t>Easterbrook</t>
  </si>
  <si>
    <t>334 261-0402</t>
  </si>
  <si>
    <t>Choctaw, Clarke, Marengo, Washington</t>
  </si>
  <si>
    <t>Alan</t>
  </si>
  <si>
    <t>Daniel</t>
  </si>
  <si>
    <t>Baker</t>
  </si>
  <si>
    <t>Chairman, Local Legislation</t>
  </si>
  <si>
    <t>334 261-0420</t>
  </si>
  <si>
    <t>Baldwin, Escambia</t>
  </si>
  <si>
    <t>Prince</t>
  </si>
  <si>
    <t>Chestnut</t>
  </si>
  <si>
    <t>334 261-0598</t>
  </si>
  <si>
    <t>Dallas, Perry</t>
  </si>
  <si>
    <t>Thomas</t>
  </si>
  <si>
    <t>Hernandez</t>
  </si>
  <si>
    <t>Public Safety (Ranking Member)</t>
  </si>
  <si>
    <t>State &amp; International Affairs</t>
  </si>
  <si>
    <t>(602) 926-3424</t>
  </si>
  <si>
    <t>Tucson</t>
  </si>
  <si>
    <t>Jackson</t>
  </si>
  <si>
    <t>334 261-0437</t>
  </si>
  <si>
    <t>Baldwin, Choctaw, Clarke, Conecuh, Marengo, Monroe, Washington</t>
  </si>
  <si>
    <t>Rosanna</t>
  </si>
  <si>
    <t>Kelvin</t>
  </si>
  <si>
    <t>Lawrence</t>
  </si>
  <si>
    <t>334 261-0536</t>
  </si>
  <si>
    <t>Autauga, Lowndes, Montgomery, Wilcox</t>
  </si>
  <si>
    <t>Christopher</t>
  </si>
  <si>
    <t>Gabaldon</t>
  </si>
  <si>
    <t>Natural Resources, Energy, &amp; Water (Ranking Member)</t>
  </si>
  <si>
    <t>Transportation</t>
  </si>
  <si>
    <t>(602) 926-4840</t>
  </si>
  <si>
    <t>Sahuarita</t>
  </si>
  <si>
    <t>England</t>
  </si>
  <si>
    <t>334 261-0503</t>
  </si>
  <si>
    <t>Artis</t>
  </si>
  <si>
    <t>McCampbell</t>
  </si>
  <si>
    <t>334 261-0547</t>
  </si>
  <si>
    <t>Choctaw, Greene, Marengo, Pickens, Sumter, Tuscaloosa</t>
  </si>
  <si>
    <t>Andres</t>
  </si>
  <si>
    <t>Ralph</t>
  </si>
  <si>
    <t>334 261-0559</t>
  </si>
  <si>
    <t>Cano</t>
  </si>
  <si>
    <t>Natural Resources, Energy, &amp; Water</t>
  </si>
  <si>
    <t>Ways &amp; Means</t>
  </si>
  <si>
    <t>Bibb, Greene, Hale, Marengo, Perry, Sumter</t>
  </si>
  <si>
    <t>(602) 926-3027</t>
  </si>
  <si>
    <t>Fridy</t>
  </si>
  <si>
    <t>Chairman, Constitution, Campaigns, and Elections</t>
  </si>
  <si>
    <t>334 261-0469</t>
  </si>
  <si>
    <t>Alma</t>
  </si>
  <si>
    <t>Dimitri</t>
  </si>
  <si>
    <t>Federal Relations</t>
  </si>
  <si>
    <t>Health &amp; Human Services</t>
  </si>
  <si>
    <t>Polizos</t>
  </si>
  <si>
    <t>(602) 926-3136</t>
  </si>
  <si>
    <t>Vice Chair, Commerce and Small Business</t>
  </si>
  <si>
    <t>334 261-0569</t>
  </si>
  <si>
    <t>Montgomery</t>
  </si>
  <si>
    <t>Reed</t>
  </si>
  <si>
    <t>Ingram</t>
  </si>
  <si>
    <t>County and Municipal Government</t>
  </si>
  <si>
    <t>334 261-0507</t>
  </si>
  <si>
    <t>Elmore, Montgomery</t>
  </si>
  <si>
    <t>Thad</t>
  </si>
  <si>
    <t>Charlene</t>
  </si>
  <si>
    <t>McClammy</t>
  </si>
  <si>
    <t>334 261-0580</t>
  </si>
  <si>
    <t>Tashina</t>
  </si>
  <si>
    <t>Morris</t>
  </si>
  <si>
    <t>334 261-0597</t>
  </si>
  <si>
    <t>Kirk</t>
  </si>
  <si>
    <t>Hatcher</t>
  </si>
  <si>
    <t>334 261-0506</t>
  </si>
  <si>
    <t>Joe</t>
  </si>
  <si>
    <t>Lovvorn</t>
  </si>
  <si>
    <t>Fernandez</t>
  </si>
  <si>
    <t>Chairman, Technology and Research</t>
  </si>
  <si>
    <t>Appropriations</t>
  </si>
  <si>
    <t>334 261-0540</t>
  </si>
  <si>
    <t>(602) 926-3098</t>
  </si>
  <si>
    <t>Lee</t>
  </si>
  <si>
    <t>Blackshear</t>
  </si>
  <si>
    <t>Chairman, Financial Services</t>
  </si>
  <si>
    <t>Yuma</t>
  </si>
  <si>
    <t>334 261-0428</t>
  </si>
  <si>
    <t>Lee, Russell</t>
  </si>
  <si>
    <t>Geraldine</t>
  </si>
  <si>
    <t>Ed</t>
  </si>
  <si>
    <t>Oliver</t>
  </si>
  <si>
    <t>334 261-0471</t>
  </si>
  <si>
    <t>Chilton, Coosa, Tallapoosa</t>
  </si>
  <si>
    <t>Peten</t>
  </si>
  <si>
    <t>Sentencing &amp; Recidivism Reform</t>
  </si>
  <si>
    <t>Land &amp; Agriculture (Ranking Member)</t>
  </si>
  <si>
    <t>(602) 926-4842</t>
  </si>
  <si>
    <t>Goodyear</t>
  </si>
  <si>
    <t>Pebblin</t>
  </si>
  <si>
    <t>Warren</t>
  </si>
  <si>
    <t>Chairwoman, Consent Calendar Subcommittee</t>
  </si>
  <si>
    <t>334 261-0541</t>
  </si>
  <si>
    <t>Lee, Macon, Tallapoosa</t>
  </si>
  <si>
    <t>Leo</t>
  </si>
  <si>
    <t>Biasiucci</t>
  </si>
  <si>
    <t>Commerce</t>
  </si>
  <si>
    <t>Technology</t>
  </si>
  <si>
    <t>Transportation (Vice Chair)</t>
  </si>
  <si>
    <t>(602) 926-3018</t>
  </si>
  <si>
    <t>Lake Havasu City</t>
  </si>
  <si>
    <t>Jeremy</t>
  </si>
  <si>
    <t>Gray</t>
  </si>
  <si>
    <t>Regina</t>
  </si>
  <si>
    <t>334 261-9505</t>
  </si>
  <si>
    <t>Cobb</t>
  </si>
  <si>
    <t>Appropriations (Chair)</t>
  </si>
  <si>
    <t>(602) 926-3126</t>
  </si>
  <si>
    <t>Kingman</t>
  </si>
  <si>
    <t>Berry</t>
  </si>
  <si>
    <t>Forte</t>
  </si>
  <si>
    <t>334 261-0566</t>
  </si>
  <si>
    <t>Barbour, Bullock, Russell</t>
  </si>
  <si>
    <t>Walter</t>
  </si>
  <si>
    <t>Blackman</t>
  </si>
  <si>
    <t>Regulatory Affairs</t>
  </si>
  <si>
    <t>State &amp; International Affairs (Vice Chair)</t>
  </si>
  <si>
    <t>(602) 926-3043</t>
  </si>
  <si>
    <t>Payson</t>
  </si>
  <si>
    <t>Dexter</t>
  </si>
  <si>
    <t>Grimsley</t>
  </si>
  <si>
    <t>334 261-0513</t>
  </si>
  <si>
    <t>Henry, Houston</t>
  </si>
  <si>
    <t>Paul</t>
  </si>
  <si>
    <t>Vice Chairman, Rules</t>
  </si>
  <si>
    <t>334 261-0488</t>
  </si>
  <si>
    <t>Houston</t>
  </si>
  <si>
    <t>Jeff</t>
  </si>
  <si>
    <t>Sorrells</t>
  </si>
  <si>
    <t>334 261-0542</t>
  </si>
  <si>
    <t>Geneva, Houston</t>
  </si>
  <si>
    <t>Thorpe</t>
  </si>
  <si>
    <t>Elections</t>
  </si>
  <si>
    <t>Will</t>
  </si>
  <si>
    <t>Technology (Chair)</t>
  </si>
  <si>
    <t>Dismukes</t>
  </si>
  <si>
    <t>(602) 926-5219</t>
  </si>
  <si>
    <t>334 261-0499</t>
  </si>
  <si>
    <t>Flagstaff</t>
  </si>
  <si>
    <t>334 261-0593</t>
  </si>
  <si>
    <t>Dale, Pike</t>
  </si>
  <si>
    <t>Sells</t>
  </si>
  <si>
    <t>Chairman, Fiscal Responsibility</t>
  </si>
  <si>
    <t>Vice Chair, State Government</t>
  </si>
  <si>
    <t>334 261-0568</t>
  </si>
  <si>
    <t>Butler, Coffee, Conecuh, Crenshaw, Montgomery</t>
  </si>
  <si>
    <t>Rhett</t>
  </si>
  <si>
    <t>Marques</t>
  </si>
  <si>
    <t>334 261-0473</t>
  </si>
  <si>
    <t>Coffee</t>
  </si>
  <si>
    <t>Jones</t>
  </si>
  <si>
    <t>Chairman, Rules</t>
  </si>
  <si>
    <t>334 261-0573</t>
  </si>
  <si>
    <t>Coffee, Covington, Escambia</t>
  </si>
  <si>
    <t>Myron</t>
  </si>
  <si>
    <t>Tsosie</t>
  </si>
  <si>
    <t>(602) 926-3069</t>
  </si>
  <si>
    <t>Window Rock</t>
  </si>
  <si>
    <t>Clouse</t>
  </si>
  <si>
    <t>Chairman, Ways and Means General Fund</t>
  </si>
  <si>
    <t>Arando</t>
  </si>
  <si>
    <t>Teller</t>
  </si>
  <si>
    <t>Dale, Houston</t>
  </si>
  <si>
    <t>Land &amp; Agriculture</t>
  </si>
  <si>
    <t>(602) 926-3157</t>
  </si>
  <si>
    <t>Chinle</t>
  </si>
  <si>
    <t>Faust</t>
  </si>
  <si>
    <t>Vice Chair, Transportation, Utilities, and Infrastructure</t>
  </si>
  <si>
    <t>334 261-0409</t>
  </si>
  <si>
    <t>Baldwin</t>
  </si>
  <si>
    <t>McMillan</t>
  </si>
  <si>
    <t>334 261-0523</t>
  </si>
  <si>
    <t>Simpson</t>
  </si>
  <si>
    <t>334 261-0424</t>
  </si>
  <si>
    <t>Baldwin, Mobile</t>
  </si>
  <si>
    <t>Cook</t>
  </si>
  <si>
    <t>Public Safety</t>
  </si>
  <si>
    <t>County Infrastructure (Chair)</t>
  </si>
  <si>
    <t>(602) 926-5162</t>
  </si>
  <si>
    <t>Casa Grande</t>
  </si>
  <si>
    <t>Adline</t>
  </si>
  <si>
    <t>Clarke</t>
  </si>
  <si>
    <t>334 261-0549</t>
  </si>
  <si>
    <t>Mobile</t>
  </si>
  <si>
    <t>Napoleon</t>
  </si>
  <si>
    <t>Bracy</t>
  </si>
  <si>
    <t>334 261-0556</t>
  </si>
  <si>
    <t>Shope</t>
  </si>
  <si>
    <t>334 261-0963</t>
  </si>
  <si>
    <t>Rules (Vice Chair)</t>
  </si>
  <si>
    <t>Legislative Council</t>
  </si>
  <si>
    <t>(602) 926-3012</t>
  </si>
  <si>
    <t>Coolidge</t>
  </si>
  <si>
    <t>Victor</t>
  </si>
  <si>
    <t>Gaston</t>
  </si>
  <si>
    <t>Speaker Pro Tempore</t>
  </si>
  <si>
    <t>334-261-0563</t>
  </si>
  <si>
    <t>Pringle</t>
  </si>
  <si>
    <t>Chairman, State Government</t>
  </si>
  <si>
    <t>334-261-0489</t>
  </si>
  <si>
    <t>Shane</t>
  </si>
  <si>
    <t>334-261-0594</t>
  </si>
  <si>
    <t>334-261-0564</t>
  </si>
  <si>
    <t>Margie</t>
  </si>
  <si>
    <t>Pamela</t>
  </si>
  <si>
    <t>Powers Hannley</t>
  </si>
  <si>
    <t>Regulatory Affairs (Ranking Member)</t>
  </si>
  <si>
    <t>(602) 926-3138</t>
  </si>
  <si>
    <t>Wilcox</t>
  </si>
  <si>
    <t>Vice Chair, County and Municipal Government</t>
  </si>
  <si>
    <t>334-261-0577</t>
  </si>
  <si>
    <t>Chip</t>
  </si>
  <si>
    <t>334-261-0447</t>
  </si>
  <si>
    <t>Friese</t>
  </si>
  <si>
    <t>Appropriations (Ranking Member)</t>
  </si>
  <si>
    <t>(602) 926-4848</t>
  </si>
  <si>
    <t>Kirsten</t>
  </si>
  <si>
    <t>Engel</t>
  </si>
  <si>
    <t>Sentencing &amp; Recidivism Reform (Ranking Member)</t>
  </si>
  <si>
    <t>Judiciary (Ranking Member)</t>
  </si>
  <si>
    <t>(602) 926-3153</t>
  </si>
  <si>
    <t>Melson</t>
  </si>
  <si>
    <t>Domingo</t>
  </si>
  <si>
    <t>Degrazia</t>
  </si>
  <si>
    <t>Rules</t>
  </si>
  <si>
    <t>Judiciary</t>
  </si>
  <si>
    <t>(602) 926-5178</t>
  </si>
  <si>
    <t>334-261-0888</t>
  </si>
  <si>
    <t>Lauderdale, Limestone, Madison</t>
  </si>
  <si>
    <t>Flannery</t>
  </si>
  <si>
    <t>Justin</t>
  </si>
  <si>
    <t>Bret</t>
  </si>
  <si>
    <t>Roberts</t>
  </si>
  <si>
    <t>County Infrastructure (Vice Chair)</t>
  </si>
  <si>
    <t>(602) 926-3122</t>
  </si>
  <si>
    <t>Saddlebrooke</t>
  </si>
  <si>
    <t>Jack</t>
  </si>
  <si>
    <t>Williams</t>
  </si>
  <si>
    <t>Formerly DEM member of senate</t>
  </si>
  <si>
    <t>Finchem</t>
  </si>
  <si>
    <t>Federal Relations (Chair)</t>
  </si>
  <si>
    <t>(602) 926-3158</t>
  </si>
  <si>
    <t>Oro Valley</t>
  </si>
  <si>
    <t>First</t>
  </si>
  <si>
    <t>Name</t>
  </si>
  <si>
    <t>Carol</t>
  </si>
  <si>
    <t>Arthur</t>
  </si>
  <si>
    <t>Dalby</t>
  </si>
  <si>
    <t>Orr</t>
  </si>
  <si>
    <t>334 261-0891</t>
  </si>
  <si>
    <t>JUDICIARY- HOUSE CORRECTIONS &amp; CRIMINAL LAW SUBCOMMITTEE- VICE CHAIR</t>
  </si>
  <si>
    <t>Travis</t>
  </si>
  <si>
    <t>Limestone, Madison, Morgan</t>
  </si>
  <si>
    <t>GIRLS STATE</t>
  </si>
  <si>
    <t>Grantham</t>
  </si>
  <si>
    <t>Regulatory Affairs (Chair)</t>
  </si>
  <si>
    <t>Commerce (Vice Chair)</t>
  </si>
  <si>
    <t>Land &amp; Agriculture (Vice Chair)</t>
  </si>
  <si>
    <t>(602) 926-4868</t>
  </si>
  <si>
    <t>Gilbert</t>
  </si>
  <si>
    <t>CITY, COUNTY &amp; LOCAL AFFAIRS COMMITTEE- HOUSE</t>
  </si>
  <si>
    <t>Garlan</t>
  </si>
  <si>
    <t>Gudger</t>
  </si>
  <si>
    <t>Petersen</t>
  </si>
  <si>
    <t>334 261-0855</t>
  </si>
  <si>
    <t>(602) 926-4136</t>
  </si>
  <si>
    <t>Cullman, Lawrence, Marion, Winston</t>
  </si>
  <si>
    <t>Gregory</t>
  </si>
  <si>
    <t>870-772-1255</t>
  </si>
  <si>
    <t>Dunn</t>
  </si>
  <si>
    <t>Natural Resources, Energy, &amp; Water (Vice Chair)</t>
  </si>
  <si>
    <t>Land &amp; Agriculture (Chair)</t>
  </si>
  <si>
    <t>(602) 926-4139</t>
  </si>
  <si>
    <t>334 261-0894</t>
  </si>
  <si>
    <t>Jefferson, Fayette, Tuscaloosa, Walker, Winston</t>
  </si>
  <si>
    <t>Lane</t>
  </si>
  <si>
    <t>Joanne</t>
  </si>
  <si>
    <t>Osborne</t>
  </si>
  <si>
    <t>Military &amp; Veterans Affairs (Vice Chair)</t>
  </si>
  <si>
    <t>(602) 926-3181</t>
  </si>
  <si>
    <t>Litchfield Park</t>
  </si>
  <si>
    <t>Jean</t>
  </si>
  <si>
    <t>JOINT BUDGET COMMITTEE- CHAIR</t>
  </si>
  <si>
    <t>Larry</t>
  </si>
  <si>
    <t>TAX REFORM AND RELIEF LEGISLATIVE TASK FORCE- CHAIR</t>
  </si>
  <si>
    <t>870-904-1856</t>
  </si>
  <si>
    <t>Stutts</t>
  </si>
  <si>
    <t>334 261-0862</t>
  </si>
  <si>
    <t>Colbert, Franklin, Lauderdale, Lawrence, Marion</t>
  </si>
  <si>
    <t>Nutt</t>
  </si>
  <si>
    <t>(602) 926-5895</t>
  </si>
  <si>
    <t>Sierra Vista</t>
  </si>
  <si>
    <t>Givhan</t>
  </si>
  <si>
    <t>334 261-0867</t>
  </si>
  <si>
    <t>Gail</t>
  </si>
  <si>
    <t>Griffin</t>
  </si>
  <si>
    <t>Natural Resources, Energy, &amp; Water (Chair)</t>
  </si>
  <si>
    <t>Watson</t>
  </si>
  <si>
    <t>Federal Relations (Vice Chair)</t>
  </si>
  <si>
    <t>(602) 926-4852</t>
  </si>
  <si>
    <t>AGING, CHILDREN AND YOUTH, LEGISLATIVE &amp; MILITARY AFFAIRS- HOUSE</t>
  </si>
  <si>
    <t>REVENUE &amp; TAXATION- HOUSE COMPLAINTS AND REMEDIATION SUBCOM.- VICE CHAIR</t>
  </si>
  <si>
    <t>ENERGY - JOINT</t>
  </si>
  <si>
    <t>Livingston</t>
  </si>
  <si>
    <t>334 261-0858</t>
  </si>
  <si>
    <t>DeKalb, Jackson, Madison</t>
  </si>
  <si>
    <t>Barto</t>
  </si>
  <si>
    <t>Health &amp; Human Services (Chair)</t>
  </si>
  <si>
    <t>(602) 926-4916</t>
  </si>
  <si>
    <t>Cave Creek</t>
  </si>
  <si>
    <t>870-703-5524</t>
  </si>
  <si>
    <t>DeAnn</t>
  </si>
  <si>
    <t>Clay</t>
  </si>
  <si>
    <t>Vaught</t>
  </si>
  <si>
    <t>GIRLS STATE- CHAIR</t>
  </si>
  <si>
    <t>ALC-POLICY MAKING- VICE CHAIR</t>
  </si>
  <si>
    <t>JOINT BUDGET COMMITTEE</t>
  </si>
  <si>
    <t>Scofield</t>
  </si>
  <si>
    <t>334 261-0876</t>
  </si>
  <si>
    <t>Blount, DeKalb, Madison, Marshall</t>
  </si>
  <si>
    <t>Sentencing &amp; Recidivism Reform (Vice Chair)</t>
  </si>
  <si>
    <t>Judiciary (Chair)</t>
  </si>
  <si>
    <t>(602) 926-5766</t>
  </si>
  <si>
    <t>Scottsdale</t>
  </si>
  <si>
    <t>870-832-2638</t>
  </si>
  <si>
    <t>334 261-0857</t>
  </si>
  <si>
    <t>Cherokee, DeKalb, Etowah, St. Clair</t>
  </si>
  <si>
    <t>Fielding</t>
  </si>
  <si>
    <t>CITY, COUNTY &amp; LOCAL AFFAIRS- HOUSE PLANNING SUBCOMMITTEE- CHAIR</t>
  </si>
  <si>
    <t>ALC-CHARITABLE,PENAL AND CORRECTIONAL INSTITUTIONS- CO CHAIR</t>
  </si>
  <si>
    <t>ARKANSAS LEGISLATIVE COUNCIL (ALC)</t>
  </si>
  <si>
    <t>Fillmore</t>
  </si>
  <si>
    <t>Education (Vice Chair)</t>
  </si>
  <si>
    <t>(602) 926-3187</t>
  </si>
  <si>
    <t>Apache Junction</t>
  </si>
  <si>
    <t>McClendon</t>
  </si>
  <si>
    <t>334 261-0789</t>
  </si>
  <si>
    <t>Shelby, St. Clair, Talladega</t>
  </si>
  <si>
    <t>870-234-6143</t>
  </si>
  <si>
    <t>Townsend</t>
  </si>
  <si>
    <t>Matthew</t>
  </si>
  <si>
    <t>Elections (Chair)</t>
  </si>
  <si>
    <t>(602) 926-4467</t>
  </si>
  <si>
    <t>Mesa</t>
  </si>
  <si>
    <t>Del</t>
  </si>
  <si>
    <t>Shepherd</t>
  </si>
  <si>
    <t>Marsh</t>
  </si>
  <si>
    <t>President Pro Tempore</t>
  </si>
  <si>
    <t>334 261-0846</t>
  </si>
  <si>
    <t>Calhoun, Clay, Talladega</t>
  </si>
  <si>
    <t>Price</t>
  </si>
  <si>
    <t>334 261-0874</t>
  </si>
  <si>
    <t>ALC-HIGHER EDUCATION SUBCOMMITTEE</t>
  </si>
  <si>
    <t>Chambers, Cherokee, Clay, Cleburne, Lee, Randolph</t>
  </si>
  <si>
    <t>Weninger</t>
  </si>
  <si>
    <t>Commerce (Chair)</t>
  </si>
  <si>
    <t>Technology (Vice Chair)</t>
  </si>
  <si>
    <t>(602) 926-3193</t>
  </si>
  <si>
    <t>Chandler</t>
  </si>
  <si>
    <t>Cam</t>
  </si>
  <si>
    <t>ALC-HOSPITAL AND MEDICAID STUDY SUBCOMMITTEE</t>
  </si>
  <si>
    <t>Pawlik</t>
  </si>
  <si>
    <t>(602) 926-3092</t>
  </si>
  <si>
    <t>Ward</t>
  </si>
  <si>
    <t>334 261-0886</t>
  </si>
  <si>
    <t>Bibb, Chilton, Hale, Jefferson, Shelby</t>
  </si>
  <si>
    <t>JUDICIARY COMMITTEE- HOUSE</t>
  </si>
  <si>
    <t>Jermaine</t>
  </si>
  <si>
    <t>334 261-0851</t>
  </si>
  <si>
    <t>870-862-2087</t>
  </si>
  <si>
    <t>Jefferson, Shelby, Talladega</t>
  </si>
  <si>
    <t>Sonia</t>
  </si>
  <si>
    <t>(602) 926-4870</t>
  </si>
  <si>
    <t>Phoenix</t>
  </si>
  <si>
    <t>James</t>
  </si>
  <si>
    <t>Eubanks</t>
  </si>
  <si>
    <t>Denise</t>
  </si>
  <si>
    <t>Waggoner</t>
  </si>
  <si>
    <t>334 261-0892</t>
  </si>
  <si>
    <t>Epstein</t>
  </si>
  <si>
    <t>Ways &amp; Means (Ranking Member)</t>
  </si>
  <si>
    <t>(602) 926-3199</t>
  </si>
  <si>
    <t>Wardlaw</t>
  </si>
  <si>
    <t>PUBLIC HEALTH, WELFARE AND LABOR COMMITTEE- HOUSE- CHAIR</t>
  </si>
  <si>
    <t>Shay</t>
  </si>
  <si>
    <t>Diego</t>
  </si>
  <si>
    <t>Espinoza</t>
  </si>
  <si>
    <t>Rules (Ranking Member)</t>
  </si>
  <si>
    <t>Shelnutt</t>
  </si>
  <si>
    <t>County Infrastructure (Ranking Member)</t>
  </si>
  <si>
    <t>(602) 926-3134</t>
  </si>
  <si>
    <t>334 261-0794</t>
  </si>
  <si>
    <t>Avondale</t>
  </si>
  <si>
    <t>Blount, Calhoun, Jefferson, St. Clair</t>
  </si>
  <si>
    <t>ALC-ARKANSAS HEALTH INSURANCE MARKETPLACE OVERSIGHT SUBCOMMITTEE</t>
  </si>
  <si>
    <t>Lorenzo</t>
  </si>
  <si>
    <t>Sierra</t>
  </si>
  <si>
    <t>(602) 926-3211</t>
  </si>
  <si>
    <t>ALC-JBC BUDGET HEARINGS</t>
  </si>
  <si>
    <t>Rodger</t>
  </si>
  <si>
    <t>Kern</t>
  </si>
  <si>
    <t>Rules (Chair)</t>
  </si>
  <si>
    <t>Public Safety (Vice Chair)</t>
  </si>
  <si>
    <t>(602) 926-3244</t>
  </si>
  <si>
    <t>870-226-9501</t>
  </si>
  <si>
    <t>LeAnne</t>
  </si>
  <si>
    <t>Shawnna</t>
  </si>
  <si>
    <t>Bolick</t>
  </si>
  <si>
    <t>Ways &amp; Means (Vice Chair)</t>
  </si>
  <si>
    <t>(602) 926-3102</t>
  </si>
  <si>
    <t>Smitherman</t>
  </si>
  <si>
    <t>Glendale</t>
  </si>
  <si>
    <t>334 261-0870</t>
  </si>
  <si>
    <t>Burch</t>
  </si>
  <si>
    <t>Priscilla</t>
  </si>
  <si>
    <t>Kevin</t>
  </si>
  <si>
    <t>334 261-0793</t>
  </si>
  <si>
    <t>Payne</t>
  </si>
  <si>
    <t>Public Safety (Chair)</t>
  </si>
  <si>
    <t>(602) 926-4854</t>
  </si>
  <si>
    <t>CHILD MALTREATMENT INVESTIGATIONS OVERSIGHT COMMITTEE</t>
  </si>
  <si>
    <t>Sun City</t>
  </si>
  <si>
    <t>Linda</t>
  </si>
  <si>
    <t>870-460-0773</t>
  </si>
  <si>
    <t>Tony</t>
  </si>
  <si>
    <t>Coleman-Madison</t>
  </si>
  <si>
    <t>Rivero</t>
  </si>
  <si>
    <t>334 261-0864</t>
  </si>
  <si>
    <t>State &amp; International Affairs (Chair)</t>
  </si>
  <si>
    <t>(602) 926-3104</t>
  </si>
  <si>
    <t>Holcomb</t>
  </si>
  <si>
    <t>Gerald</t>
  </si>
  <si>
    <t>334 261-0986</t>
  </si>
  <si>
    <t>Lamar, Pickens, Tuscaloosa</t>
  </si>
  <si>
    <t>870-489-7177</t>
  </si>
  <si>
    <t>Glover</t>
  </si>
  <si>
    <t>Toma</t>
  </si>
  <si>
    <t>Regulatory Affairs (Vice Chair)</t>
  </si>
  <si>
    <t>Ways &amp; Means (Chair)</t>
  </si>
  <si>
    <t>(602) 926-3249</t>
  </si>
  <si>
    <t>Peoria</t>
  </si>
  <si>
    <t>Greg</t>
  </si>
  <si>
    <t>NEWLY ELECTED- NO COMMITTEE ASSIGNMNETS YET</t>
  </si>
  <si>
    <t>(870) 538-4131</t>
  </si>
  <si>
    <t>Frank</t>
  </si>
  <si>
    <t>Richey</t>
  </si>
  <si>
    <t>Carroll</t>
  </si>
  <si>
    <t>Elections (Vice Chair)</t>
  </si>
  <si>
    <t>PUBLIC HEALTH- HOUSE HEALTH SERVICES SUBCOMMITTEE- CHAIR</t>
  </si>
  <si>
    <t>(602) 926-3298</t>
  </si>
  <si>
    <t>Albritton</t>
  </si>
  <si>
    <t>334 261-0843</t>
  </si>
  <si>
    <t>Baldwin, Choctaw, Clarke, Conecuh, Escambia, Mobile, Monroe, Washington</t>
  </si>
  <si>
    <t>Malika</t>
  </si>
  <si>
    <t>Fortier</t>
  </si>
  <si>
    <t>334 261-0860</t>
  </si>
  <si>
    <t>Butler, Clarke, Conecuh, Dallas, Lowndes, Marengo, Monroe, Perry, Washington, Wilcox</t>
  </si>
  <si>
    <t>Jay</t>
  </si>
  <si>
    <t>870-995-2499</t>
  </si>
  <si>
    <t>Military &amp; Veterans Affairs (Chair)</t>
  </si>
  <si>
    <t>Health &amp; Human Services (Vice Chair)</t>
  </si>
  <si>
    <t>(602) 926-5170</t>
  </si>
  <si>
    <t>Fountain Hills</t>
  </si>
  <si>
    <t>Bobby</t>
  </si>
  <si>
    <t>Hillman</t>
  </si>
  <si>
    <t>AGRICULTURE, FORESTRY &amp; ECONOMIC DEVELOPMENT- HOUSE- VICE CHAIR</t>
  </si>
  <si>
    <t>JOINT PERFORMANCE REVIEW (JPR)</t>
  </si>
  <si>
    <t>Kavanagh</t>
  </si>
  <si>
    <t>Appropriations (Vice Chair)</t>
  </si>
  <si>
    <t>(602) 926-3095</t>
  </si>
  <si>
    <t>Singleton</t>
  </si>
  <si>
    <t>334 261-0335</t>
  </si>
  <si>
    <t>Choctaw, Clarke, Greene, Hale, Marengo, Perry, Pickens, Sumter, Tuscaloosa</t>
  </si>
  <si>
    <t>LEGISLATIVE JOINT AUDITING</t>
  </si>
  <si>
    <t>Barfoot</t>
  </si>
  <si>
    <t>334 261-0895</t>
  </si>
  <si>
    <t>Crenshaw, Elmore, Montgomery</t>
  </si>
  <si>
    <t>Longdon</t>
  </si>
  <si>
    <t>(602) 926-3264</t>
  </si>
  <si>
    <t>PUBLIC TRANSPORTATION- HOUSE</t>
  </si>
  <si>
    <t>Amish</t>
  </si>
  <si>
    <t>Shah</t>
  </si>
  <si>
    <t>(602) 926-3280</t>
  </si>
  <si>
    <t>870-830-3004</t>
  </si>
  <si>
    <t>Roger</t>
  </si>
  <si>
    <t>Burkette</t>
  </si>
  <si>
    <t>334 261-9001</t>
  </si>
  <si>
    <t>Lynch</t>
  </si>
  <si>
    <t>PUBLIC TRANSPORTATION- HOUSE WATERWAYS &amp; AERONAUTICS SUBCOM.- VICE CHAIR</t>
  </si>
  <si>
    <t>Udall</t>
  </si>
  <si>
    <t>501-412-8959</t>
  </si>
  <si>
    <t>Education (Chair)</t>
  </si>
  <si>
    <t>(602) 926-3128</t>
  </si>
  <si>
    <t>Ken</t>
  </si>
  <si>
    <t>Whatley</t>
  </si>
  <si>
    <t>334 261-0865</t>
  </si>
  <si>
    <t>Bragg</t>
  </si>
  <si>
    <t>Lee, Russell, Tallapoosa</t>
  </si>
  <si>
    <t>Russell</t>
  </si>
  <si>
    <t>Bowers</t>
  </si>
  <si>
    <t>Speaker</t>
  </si>
  <si>
    <t>(602) 926-4856</t>
  </si>
  <si>
    <t>William</t>
  </si>
  <si>
    <t>Beasley</t>
  </si>
  <si>
    <t>334 261-0868</t>
  </si>
  <si>
    <t>ALC-CHARITABLE,PENAL AND CORRECTIONAL INSTITUTIONS</t>
  </si>
  <si>
    <t>Barbour, Bullock, Henry, Lee, Macon, Russell</t>
  </si>
  <si>
    <t>Isela</t>
  </si>
  <si>
    <t>Donnie</t>
  </si>
  <si>
    <t>Chesteen</t>
  </si>
  <si>
    <t>Blanc</t>
  </si>
  <si>
    <t>State &amp; International Affairs (Ranking Member)</t>
  </si>
  <si>
    <t>(602) 926-5187</t>
  </si>
  <si>
    <t>Tempe</t>
  </si>
  <si>
    <t>334-261-0879</t>
  </si>
  <si>
    <t>Dale, Geneva, Houston</t>
  </si>
  <si>
    <t>Athena</t>
  </si>
  <si>
    <t>870-917-9205</t>
  </si>
  <si>
    <t>Clyde</t>
  </si>
  <si>
    <t>Salman</t>
  </si>
  <si>
    <t>Elections (Ranking Member)</t>
  </si>
  <si>
    <t>(602) 926-4858</t>
  </si>
  <si>
    <t>Chambliss</t>
  </si>
  <si>
    <t>Ferguson</t>
  </si>
  <si>
    <t>REVENUE &amp; TAXATION- HOUSE COMPLAINTS AND REMEDIATION SUBCOM. -CHAIR</t>
  </si>
  <si>
    <t>LEGISLATIVE JOINT AUDITING-COUNTIES AND MUNICIPALITIES- CHAIR</t>
  </si>
  <si>
    <t>334 261-0883</t>
  </si>
  <si>
    <t>TAX REFORM AND RELIEF LEGISLATIVE TASK FORCE</t>
  </si>
  <si>
    <t>Autauga, Chilton, Coosa, Elmore, Tallapoosa</t>
  </si>
  <si>
    <t>Reginald</t>
  </si>
  <si>
    <t>Bolding</t>
  </si>
  <si>
    <t>Education (Ranking Member)</t>
  </si>
  <si>
    <t>(602) 926-3132</t>
  </si>
  <si>
    <t>870-413-8942</t>
  </si>
  <si>
    <t>Holley</t>
  </si>
  <si>
    <t>334 261-0845</t>
  </si>
  <si>
    <t>Vivian</t>
  </si>
  <si>
    <t>Coffee, Covington, Dale, Pike</t>
  </si>
  <si>
    <t>Rodriguez</t>
  </si>
  <si>
    <t>(602) 926-3285</t>
  </si>
  <si>
    <t>Flowers</t>
  </si>
  <si>
    <t>ARKANSAS LEGISLATIVE BLACK CAUCUS- CHAIR</t>
  </si>
  <si>
    <t>Elliot</t>
  </si>
  <si>
    <t>334 261-0897</t>
  </si>
  <si>
    <t>REVENUE &amp; TAXATION- HOUSE</t>
  </si>
  <si>
    <t>Kelli</t>
  </si>
  <si>
    <t>Butler</t>
  </si>
  <si>
    <t>Health &amp; Human Services (Ranking Member)</t>
  </si>
  <si>
    <t>(602) 926-5156</t>
  </si>
  <si>
    <t>Figures</t>
  </si>
  <si>
    <t>334 261-0871</t>
  </si>
  <si>
    <t>Aaron</t>
  </si>
  <si>
    <t>Lieberman</t>
  </si>
  <si>
    <t>(602) 926-3300</t>
  </si>
  <si>
    <t>Paradise Valley</t>
  </si>
  <si>
    <t>870-329-8356</t>
  </si>
  <si>
    <t>Richard</t>
  </si>
  <si>
    <t>334-261-0829</t>
  </si>
  <si>
    <t>Womack</t>
  </si>
  <si>
    <t>PUBLIC HEALTH, WELFARE AND LABOR COMMITTEE- HOUSE</t>
  </si>
  <si>
    <t>Andrade</t>
  </si>
  <si>
    <t>Military &amp; Veterans Affairs (Ranking Member)</t>
  </si>
  <si>
    <t>Transportation (Ranking Member)</t>
  </si>
  <si>
    <t>(602) 926-3130</t>
  </si>
  <si>
    <t>Sessions</t>
  </si>
  <si>
    <t>334-261-0882</t>
  </si>
  <si>
    <t>Cesar</t>
  </si>
  <si>
    <t>Chavez</t>
  </si>
  <si>
    <t>Commerce (Ranking Member)</t>
  </si>
  <si>
    <t>Kay</t>
  </si>
  <si>
    <t>(602) 926-4862</t>
  </si>
  <si>
    <t>Ivey</t>
  </si>
  <si>
    <t>Kay.Ivey@governor.alabama.gov</t>
  </si>
  <si>
    <t>ALC-POLICY MAKING</t>
  </si>
  <si>
    <t>Bradley</t>
  </si>
  <si>
    <t>Byrne</t>
  </si>
  <si>
    <t>Martha</t>
  </si>
  <si>
    <t>Roby</t>
  </si>
  <si>
    <t>Robert</t>
  </si>
  <si>
    <t>Meza</t>
  </si>
  <si>
    <t>Technology (Ranking Member)</t>
  </si>
  <si>
    <t>Federal Relations (Ranking Member)</t>
  </si>
  <si>
    <t>(602) 926-3425</t>
  </si>
  <si>
    <t>Aderholt</t>
  </si>
  <si>
    <t>Mo</t>
  </si>
  <si>
    <t>Brooks</t>
  </si>
  <si>
    <t>Teri</t>
  </si>
  <si>
    <t>Sewell</t>
  </si>
  <si>
    <t>870-403-6287</t>
  </si>
  <si>
    <t xml:space="preserve">Senate </t>
  </si>
  <si>
    <t>Doug</t>
  </si>
  <si>
    <t>Raquel</t>
  </si>
  <si>
    <t>Teran</t>
  </si>
  <si>
    <t>(602) 926-3308</t>
  </si>
  <si>
    <t>Marshall</t>
  </si>
  <si>
    <t>Gonzales</t>
  </si>
  <si>
    <t>PUBLIC HEALTH- HOUSE LABOR &amp; ENVIRONMENT SUBCOMMITTEE- CHAIR</t>
  </si>
  <si>
    <t>Karen</t>
  </si>
  <si>
    <t>870-245-6365</t>
  </si>
  <si>
    <t>Fann</t>
  </si>
  <si>
    <t>President</t>
  </si>
  <si>
    <t>(602) 926-5874</t>
  </si>
  <si>
    <t>Maddox</t>
  </si>
  <si>
    <t>INSURANCE &amp; COMMERCE- HOUSE FINANCIAL INSTITUTIONS SUBCOMMITTEE- VICE CHAIR</t>
  </si>
  <si>
    <t>479-394-6060</t>
  </si>
  <si>
    <t>Marcus</t>
  </si>
  <si>
    <t>Andrea</t>
  </si>
  <si>
    <t>Richmond</t>
  </si>
  <si>
    <t>Dalessandro</t>
  </si>
  <si>
    <t>Natural Resources &amp; Energy</t>
  </si>
  <si>
    <t>(602) 926-5342</t>
  </si>
  <si>
    <t>Green Valley</t>
  </si>
  <si>
    <t>PUBLIC TRANSPORTATION- HOUSE PUBLIC TRANSPORTATION AND RAIL SUBCOMMITTEE- CHAIR</t>
  </si>
  <si>
    <t>LEGISLATIVE JOINT AUDITING-MEDICAID SUBCOMMITTEE</t>
  </si>
  <si>
    <t>479-299-4416</t>
  </si>
  <si>
    <t>Mickey</t>
  </si>
  <si>
    <t>Sally</t>
  </si>
  <si>
    <t>Higher Education &amp; Workforce Development</t>
  </si>
  <si>
    <t>Gates</t>
  </si>
  <si>
    <t>BOYS STATE</t>
  </si>
  <si>
    <t>(602) 926-3278</t>
  </si>
  <si>
    <t>EDUCATION COMMITTEE- HOUSE</t>
  </si>
  <si>
    <t>Otondo</t>
  </si>
  <si>
    <t>501-623-1100</t>
  </si>
  <si>
    <t>Minority Co-Whip</t>
  </si>
  <si>
    <t>Transportation &amp; Public Safety</t>
  </si>
  <si>
    <t>Water &amp; Agriculture</t>
  </si>
  <si>
    <t>(602) 926-3002</t>
  </si>
  <si>
    <t>Lanny</t>
  </si>
  <si>
    <t>Fite</t>
  </si>
  <si>
    <t>Sonny</t>
  </si>
  <si>
    <t>Borrelli</t>
  </si>
  <si>
    <t>Majority Whip</t>
  </si>
  <si>
    <t>Government (Vice Chair)</t>
  </si>
  <si>
    <t>(602) 926-5051</t>
  </si>
  <si>
    <t>501-317-2400</t>
  </si>
  <si>
    <t>Sylvia</t>
  </si>
  <si>
    <t>Bruce</t>
  </si>
  <si>
    <t>(602) 926-5409</t>
  </si>
  <si>
    <t>Heber</t>
  </si>
  <si>
    <t>Cozart</t>
  </si>
  <si>
    <t>EDUCATION COMMITTEE- HOUSE- CHAIR</t>
  </si>
  <si>
    <t>ACADEMIC FACILITIES OVERSIGHT COMMITTEE- CO CHAIR</t>
  </si>
  <si>
    <t>STATE &amp; PUBLIC SCHOOL LIFE &amp; HEALTH INSURANCE TASK FORCE</t>
  </si>
  <si>
    <t>Jamescita</t>
  </si>
  <si>
    <t>Peshlakai</t>
  </si>
  <si>
    <t>501-627-3232</t>
  </si>
  <si>
    <t>(602) 926-5160</t>
  </si>
  <si>
    <t>Cameron</t>
  </si>
  <si>
    <t>Les</t>
  </si>
  <si>
    <t>REVENUE &amp; TAXATION- HOUSE SALES, USE, MISC. TAXES &amp; EXEMPTIONS SUBCOM.- VICE CHAIR</t>
  </si>
  <si>
    <t>PUBLIC RETIREMENT &amp; SOCIAL SECURITY PROGRAMS-JOINT</t>
  </si>
  <si>
    <t>Pratt</t>
  </si>
  <si>
    <t>Transportation &amp; Public Safety (Vice Chair)</t>
  </si>
  <si>
    <t>Natural Resources &amp; Energy (Chair)</t>
  </si>
  <si>
    <t>(602) 926-5761</t>
  </si>
  <si>
    <t>501-623-4405</t>
  </si>
  <si>
    <t>Laurie</t>
  </si>
  <si>
    <t>Victoria</t>
  </si>
  <si>
    <t>Rushing</t>
  </si>
  <si>
    <t>Steele</t>
  </si>
  <si>
    <t>(602) 926-5683</t>
  </si>
  <si>
    <t>ECONOMIC AND TAX POLICY- CO CHAIR</t>
  </si>
  <si>
    <t>HOUSE RULES- VICE CHAIR</t>
  </si>
  <si>
    <t>501-276-3018</t>
  </si>
  <si>
    <t>(602) 926-5262</t>
  </si>
  <si>
    <t>Mayberry</t>
  </si>
  <si>
    <t>PUBLIC TRANSPORTATION- HOUSE WATERWAYS &amp; AERONAUTICS SUBCOM.- CHAIR</t>
  </si>
  <si>
    <t>LEGISLATIVE JOINT AUDITING-STATE AGENCIES- CHAIR</t>
  </si>
  <si>
    <t>Venden</t>
  </si>
  <si>
    <t>Leach</t>
  </si>
  <si>
    <t>MIGHT BE OUTGOING.  LOOKS LIKE THERE'S ANOTHER MAYBERRY (JULIE) WHO HAS BEEN ELECTED FOR 2019.  SHE HAS NO ASSIGNMENTS YET</t>
  </si>
  <si>
    <t>501-888-3522</t>
  </si>
  <si>
    <t>(602) 926-3106</t>
  </si>
  <si>
    <t>Maricopa</t>
  </si>
  <si>
    <t>Jason</t>
  </si>
  <si>
    <t>NO COMMITTEE ASSIGNMENTS YET</t>
  </si>
  <si>
    <t>NO PHONE NUMBER</t>
  </si>
  <si>
    <t>Fredrick</t>
  </si>
  <si>
    <t>Love</t>
  </si>
  <si>
    <t>CITY, COUNTY &amp; LOCAL AFFAIRS COMMITTEE- HOUSE- VICE CHAIR</t>
  </si>
  <si>
    <t>Eddie</t>
  </si>
  <si>
    <t>Farnsworth</t>
  </si>
  <si>
    <t>(602) 926-5735</t>
  </si>
  <si>
    <t>501-612-3939</t>
  </si>
  <si>
    <t>Sine</t>
  </si>
  <si>
    <t>Fred</t>
  </si>
  <si>
    <t>PUBLIC TRANSPORTATION- HOUSE MOTOR VEHICLE &amp; HIGHWAYS SUBCOM.- VICE CHAIR</t>
  </si>
  <si>
    <t>Kerr</t>
  </si>
  <si>
    <t>Natural Resources &amp; Energy (Vice Chair)</t>
  </si>
  <si>
    <t>(602) 926-5955</t>
  </si>
  <si>
    <t>Buckeye</t>
  </si>
  <si>
    <t>AGRICULTURE, FORESTRY &amp; ECONOMIC DEVELOPMENT- HOUSE</t>
  </si>
  <si>
    <t>ARKANSAS LEGISLATIVE BLACK CAUCUS</t>
  </si>
  <si>
    <t>Gowan</t>
  </si>
  <si>
    <t>(602) 926-5154</t>
  </si>
  <si>
    <t>Hereford</t>
  </si>
  <si>
    <t>501-804-7844</t>
  </si>
  <si>
    <t>Davis</t>
  </si>
  <si>
    <t>Heather</t>
  </si>
  <si>
    <t>Carter</t>
  </si>
  <si>
    <t>Higher Education &amp; Workforce Development (Chair)</t>
  </si>
  <si>
    <t>(602) 926-5503</t>
  </si>
  <si>
    <t>HOUSE RULES- CHAIR</t>
  </si>
  <si>
    <t>501-837-5109</t>
  </si>
  <si>
    <t>Sorvillo</t>
  </si>
  <si>
    <t>INSURANCE &amp; COMMERCE- HOUSE FINANCIAL INSTITUTIONS SUBCOMMITTEE- CHAIR</t>
  </si>
  <si>
    <t>Government (Chair)</t>
  </si>
  <si>
    <t>Finance</t>
  </si>
  <si>
    <t>(602) 926-3020</t>
  </si>
  <si>
    <t>501-551-9571</t>
  </si>
  <si>
    <t>JD</t>
  </si>
  <si>
    <t>Tippi</t>
  </si>
  <si>
    <t>Mesnard</t>
  </si>
  <si>
    <t>McCullough</t>
  </si>
  <si>
    <t>Higher Education &amp; Workforce Development (Vice Chair)</t>
  </si>
  <si>
    <t>Finance (Chair)</t>
  </si>
  <si>
    <t>(602) 926-4481</t>
  </si>
  <si>
    <t>(501) 766-3177</t>
  </si>
  <si>
    <t>Walker</t>
  </si>
  <si>
    <t>Sean</t>
  </si>
  <si>
    <t>LEGISLATIVE JOINT AUDITING-EDUCATIONAL INSTITUTIONS</t>
  </si>
  <si>
    <t>Bowie</t>
  </si>
  <si>
    <t>(602) 926-3004</t>
  </si>
  <si>
    <t>Ahwatukee</t>
  </si>
  <si>
    <t>Lupe</t>
  </si>
  <si>
    <t>Contreras</t>
  </si>
  <si>
    <t>(602) 926-5284</t>
  </si>
  <si>
    <t>501-374-3758</t>
  </si>
  <si>
    <t>Cashion</t>
  </si>
  <si>
    <t>(501) 650-2233</t>
  </si>
  <si>
    <t>Charles</t>
  </si>
  <si>
    <t>Blake</t>
  </si>
  <si>
    <t>Boyer</t>
  </si>
  <si>
    <t>(602) 926-4173</t>
  </si>
  <si>
    <t>Rick</t>
  </si>
  <si>
    <t>ARKANSAS LEGISLATIVE BLACK CAUCUS- VICE CHAIR</t>
  </si>
  <si>
    <t>501-425-9824</t>
  </si>
  <si>
    <t>Minority Leader **are we sure about this?  First term in office and minority leader seems suprising to me...</t>
  </si>
  <si>
    <t>(501) 398-2961</t>
  </si>
  <si>
    <t>Carlton</t>
  </si>
  <si>
    <t>Wing</t>
  </si>
  <si>
    <t>AGING &amp; LEGISLATIVE AFFAIRS- HOUSE LEG., MILITARY &amp; VETERANS AFFAIRS- CHAIR</t>
  </si>
  <si>
    <t>Transportation &amp; Public Safety (Chair)</t>
  </si>
  <si>
    <t>Finance (Vice Chair)</t>
  </si>
  <si>
    <t>(602) 926-4178</t>
  </si>
  <si>
    <t>HOUSE RULES</t>
  </si>
  <si>
    <t>Sun City West</t>
  </si>
  <si>
    <t>501-416-4926</t>
  </si>
  <si>
    <t>Lowery</t>
  </si>
  <si>
    <t>BOYS STATE- CHAIR</t>
  </si>
  <si>
    <t>JOINT PERFORMANCE REVIEW (JPR)- CHAIR</t>
  </si>
  <si>
    <t>ALC-JBC PERSONNEL- VICE CHAIR</t>
  </si>
  <si>
    <t>Ugenti-Rita</t>
  </si>
  <si>
    <t>(602) 926-4480</t>
  </si>
  <si>
    <t>501-837-5221</t>
  </si>
  <si>
    <t>Douglas</t>
  </si>
  <si>
    <t>Lela</t>
  </si>
  <si>
    <t>Alston</t>
  </si>
  <si>
    <t>(602) 926-5829</t>
  </si>
  <si>
    <t>ALC-JBC SPECIAL LANGUAGE- CHAIR</t>
  </si>
  <si>
    <t>JBC-SPECIAL LANGUAGE- CHAIR</t>
  </si>
  <si>
    <t>PUBLIC RETIREMENT &amp; SOCIAL SECURITY PROGRAMS-JOINT- CHAIR</t>
  </si>
  <si>
    <t>501-590-1055</t>
  </si>
  <si>
    <t>Karilyn</t>
  </si>
  <si>
    <t>AGRICULTURE- HOUSE PARKS &amp; TOURISM SUBCOMMITTEE- CHAIR</t>
  </si>
  <si>
    <t>ADVANCED COMMUNICATIONS AND INFORMATION TECHNOLOGY - JOINT</t>
  </si>
  <si>
    <t>Tyler</t>
  </si>
  <si>
    <t>Pace</t>
  </si>
  <si>
    <t>ADVANCED COMMUNICATIONS AND INFORMATION TECHNOLOGY - HOUSE</t>
  </si>
  <si>
    <t>(602) 926-5760</t>
  </si>
  <si>
    <t>Juan</t>
  </si>
  <si>
    <t>501-580-9000</t>
  </si>
  <si>
    <t>Perry</t>
  </si>
  <si>
    <t>(501) 982-4561</t>
  </si>
  <si>
    <t>Brian</t>
  </si>
  <si>
    <t>Evans</t>
  </si>
  <si>
    <t>Mendez</t>
  </si>
  <si>
    <t>(501) 941-4002</t>
  </si>
  <si>
    <t>(602) 926-4124</t>
  </si>
  <si>
    <t>Cooper</t>
  </si>
  <si>
    <t>(501) 230-5635</t>
  </si>
  <si>
    <t>Wooten</t>
  </si>
  <si>
    <t>State Assembly</t>
  </si>
  <si>
    <t>Rebecca</t>
  </si>
  <si>
    <t>Rios</t>
  </si>
  <si>
    <t>(602) 926-3073</t>
  </si>
  <si>
    <t>(501) 858-7403</t>
  </si>
  <si>
    <t>Eaves</t>
  </si>
  <si>
    <t>ALC-JBC PERSONNEL- CHAIR</t>
  </si>
  <si>
    <t>JBC-PERSONNEL- CHAIR</t>
  </si>
  <si>
    <t>REVENUE &amp; TAXATION- HOUSE SALES, USE, MISC. TAXES &amp; EXEMPTIONS SUBCOM.- CAHIR</t>
  </si>
  <si>
    <t>JOINT BUDGET COMMITTEE- VICE CHAIR</t>
  </si>
  <si>
    <t>501-827-1344</t>
  </si>
  <si>
    <t>ChrisTiansen</t>
  </si>
  <si>
    <t>(501) 724-5326</t>
  </si>
  <si>
    <t>Murdock</t>
  </si>
  <si>
    <t>JOINT PERFORMANCE REVIEW (JPR)- VICE CHAIR</t>
  </si>
  <si>
    <t>Kate</t>
  </si>
  <si>
    <t>McGee</t>
  </si>
  <si>
    <t>(602) 926-4486</t>
  </si>
  <si>
    <t>Assembly</t>
  </si>
  <si>
    <t>(501) 940-5157</t>
  </si>
  <si>
    <t>Quezada</t>
  </si>
  <si>
    <t>(602) 926-5911</t>
  </si>
  <si>
    <t>Hollowell</t>
  </si>
  <si>
    <t>PUBLIC TRANSPORTATION- HOUSE PUBLIC TRANSPORTATION AND RAIL SUBCOMMITTEE- VICE CHAIR</t>
  </si>
  <si>
    <t>Dahle</t>
  </si>
  <si>
    <t>Minority leader</t>
  </si>
  <si>
    <t>(916) 319-2001</t>
  </si>
  <si>
    <t>Otoniel</t>
  </si>
  <si>
    <t>Navarette</t>
  </si>
  <si>
    <t>(602) 926-4864</t>
  </si>
  <si>
    <t>Ducey</t>
  </si>
  <si>
    <t>O'Halleran</t>
  </si>
  <si>
    <t>870-270-3831</t>
  </si>
  <si>
    <t>(916) 319-2002</t>
  </si>
  <si>
    <t>Milton</t>
  </si>
  <si>
    <t>Nicks</t>
  </si>
  <si>
    <t>Ann</t>
  </si>
  <si>
    <t>Kirkpatrick</t>
  </si>
  <si>
    <t>Raul</t>
  </si>
  <si>
    <t>Grijalva</t>
  </si>
  <si>
    <t>Grosar</t>
  </si>
  <si>
    <t>Biggs</t>
  </si>
  <si>
    <t>Schweikert</t>
  </si>
  <si>
    <t>Ruben</t>
  </si>
  <si>
    <t>Gallego</t>
  </si>
  <si>
    <t>Lesko</t>
  </si>
  <si>
    <t>Grag</t>
  </si>
  <si>
    <t>Stanton</t>
  </si>
  <si>
    <t>Jon</t>
  </si>
  <si>
    <t>Kyl</t>
  </si>
  <si>
    <t>AGING &amp; LEGISLATIVE AFFAIRS- HOUSE CHILDREN &amp; YOUTH SUBCOM.- VICE CHAIR</t>
  </si>
  <si>
    <t>Brnovich</t>
  </si>
  <si>
    <t>Gallagher</t>
  </si>
  <si>
    <t>(916) 319-2003</t>
  </si>
  <si>
    <t>Cecilia</t>
  </si>
  <si>
    <t>(870) 739-1083</t>
  </si>
  <si>
    <t>Deborah</t>
  </si>
  <si>
    <t>PUBLIC HEALTH, WELFARE AND LABOR COMMITTEE- HOUSE- VICE CHAIR</t>
  </si>
  <si>
    <t>ALC-ARKANSAS HEALTH INSURANCE MARKETPLACE OVERSIGHT SUBCOMMITTEE- CO CHAIR</t>
  </si>
  <si>
    <t>ARKANSAS HEALTH INSURANCE MARKETPLACE LEGISLATIVE OVERSIGHT COMMITTEE- CHO CHAIR</t>
  </si>
  <si>
    <t>870-735-7098</t>
  </si>
  <si>
    <t>Aguiar-Curry</t>
  </si>
  <si>
    <t>(916) 319-2004</t>
  </si>
  <si>
    <t>Dwight</t>
  </si>
  <si>
    <t>Tosh</t>
  </si>
  <si>
    <t>JUDICIARY COMMITTEE- HOUSE- VICE CHAIR</t>
  </si>
  <si>
    <t>TASK FORCE ON ALPHA GAL</t>
  </si>
  <si>
    <t>Bigelow</t>
  </si>
  <si>
    <t>Deputy Rep Leader</t>
  </si>
  <si>
    <t>(916) 319-2005</t>
  </si>
  <si>
    <t>STATE AGENCIES &amp; GOVT'L AFFAIRS- HOUSE</t>
  </si>
  <si>
    <t>Kiley</t>
  </si>
  <si>
    <t>Judiciary (Mem)</t>
  </si>
  <si>
    <t>Public Safety (Mem)</t>
  </si>
  <si>
    <t>(916) 319-2006</t>
  </si>
  <si>
    <t>870-926-0423</t>
  </si>
  <si>
    <t>EDUCATION- HOUSE EARLY CHILDHOOD SUBCOMMITTEE- CHAIR</t>
  </si>
  <si>
    <t>LEGISLATIVE JOINT AUDITING-MEDICAID SUBCOMMITTEE- CHAIR</t>
  </si>
  <si>
    <t>LEGISLATIVE TASK FORCE ON WORKFORCE EDUCATION EXCELLENCE</t>
  </si>
  <si>
    <t>McCarty</t>
  </si>
  <si>
    <t>(916) 319-2007</t>
  </si>
  <si>
    <t>870-275-2929</t>
  </si>
  <si>
    <t>Johnny</t>
  </si>
  <si>
    <t>Rye</t>
  </si>
  <si>
    <t>CITY, COUNTY &amp; LOCAL AFFAIRS- HOUSE LOCAL GOVERNMENT PERSONNEL SUBCOMMITTEE- VICE CHAIR</t>
  </si>
  <si>
    <t>Cooley</t>
  </si>
  <si>
    <t>(916) 319-2008</t>
  </si>
  <si>
    <t>(916) 319-2009</t>
  </si>
  <si>
    <t>870-919-3690</t>
  </si>
  <si>
    <t>Monte</t>
  </si>
  <si>
    <t>Hodges</t>
  </si>
  <si>
    <t>JBC-PEER REVIEW-CHAIR</t>
  </si>
  <si>
    <t>Marc</t>
  </si>
  <si>
    <t>Levine</t>
  </si>
  <si>
    <t>(916) 319-2010</t>
  </si>
  <si>
    <t>870-763-4443</t>
  </si>
  <si>
    <t>Jett</t>
  </si>
  <si>
    <t>REVENUE &amp; TAXATION- HOUSE-CHAIR</t>
  </si>
  <si>
    <t>Frazier</t>
  </si>
  <si>
    <t>(916) 319-2011</t>
  </si>
  <si>
    <t>Heath</t>
  </si>
  <si>
    <t>870-276-5319</t>
  </si>
  <si>
    <t>Gazaway</t>
  </si>
  <si>
    <t>JUDICIARY- HOUSE COURTS &amp; CIVIL LAW SUBCOMMITTEE- VICE CHAIR</t>
  </si>
  <si>
    <t>Flora</t>
  </si>
  <si>
    <t>Assistant Rep Leader</t>
  </si>
  <si>
    <t>(916) 319-2012</t>
  </si>
  <si>
    <t>Susan</t>
  </si>
  <si>
    <t>Eggman</t>
  </si>
  <si>
    <t>(916) 319-2013</t>
  </si>
  <si>
    <t>870-215-1243</t>
  </si>
  <si>
    <t>Brandt</t>
  </si>
  <si>
    <t>Smith</t>
  </si>
  <si>
    <t>JUDICIARY- HOUSE CORRECTIONS &amp; CRIMINAL LAW SUBCOMMITTEE- CHAIR</t>
  </si>
  <si>
    <t>ALC-CLAIMS REVIEW- VICE CHAIR</t>
  </si>
  <si>
    <t>Grayson</t>
  </si>
  <si>
    <t>(916) 319-2014</t>
  </si>
  <si>
    <t>870-351-7459</t>
  </si>
  <si>
    <t>Ladyman</t>
  </si>
  <si>
    <t>Buffy</t>
  </si>
  <si>
    <t>Wicks</t>
  </si>
  <si>
    <t>(916) 319-2015</t>
  </si>
  <si>
    <t>PUBLIC HEALTH- HOUSE HUMAN SERVICES SUBCOMMITTEE</t>
  </si>
  <si>
    <t>STATE AGENCIES &amp; GOVT'L AFFAIRS- HOUSE STATE AGENCIES &amp; REORGAN. SUBCOM- CHAIR</t>
  </si>
  <si>
    <t>Catharine</t>
  </si>
  <si>
    <t>JBC-CLAIMS- VICE CHAIR</t>
  </si>
  <si>
    <t>870-340-7499</t>
  </si>
  <si>
    <t>Frances</t>
  </si>
  <si>
    <t>Cavenaugh</t>
  </si>
  <si>
    <t>EDUCATION- HOUSE EARLY CHILDHOOD SUBCOMMITTEE- VICE CHAIR</t>
  </si>
  <si>
    <t>(916) 319-2016</t>
  </si>
  <si>
    <t>870-886-4000</t>
  </si>
  <si>
    <t>Reo</t>
  </si>
  <si>
    <t>(870) 257-3110</t>
  </si>
  <si>
    <t>Chiu</t>
  </si>
  <si>
    <t>(916) 319-2017</t>
  </si>
  <si>
    <t>JUDICIARY- HOUSE JUVENILE JUSTICE &amp; CHILD SUPPORT SUBCOMMITTEE</t>
  </si>
  <si>
    <t>Rob</t>
  </si>
  <si>
    <t>STATE AGENCIES &amp; GOVT'L AFFAIRS- HOUSE ELECTIONS SUBCOMMITTEE</t>
  </si>
  <si>
    <t>Bonta</t>
  </si>
  <si>
    <t>Assistant Majority Leader</t>
  </si>
  <si>
    <t>(916) 319-2018</t>
  </si>
  <si>
    <t>870-291-2515</t>
  </si>
  <si>
    <t>Stu</t>
  </si>
  <si>
    <t>Phil</t>
  </si>
  <si>
    <t>(870) 612-3974</t>
  </si>
  <si>
    <t>Payton</t>
  </si>
  <si>
    <t>Ting</t>
  </si>
  <si>
    <t>(916) 319-2019</t>
  </si>
  <si>
    <t>PUBLIC HEALTH- HOUSE HEALTH SERVICES SUBCOMMITTEE</t>
  </si>
  <si>
    <t>Quirk</t>
  </si>
  <si>
    <t>(916) 319-2020</t>
  </si>
  <si>
    <t>JBC-CLAIMS- CHAIR</t>
  </si>
  <si>
    <t>INSURANCE &amp; COMMERCE- HOUSE INSURANCE SUBCOMMITTEE- VICE CHAIR</t>
  </si>
  <si>
    <t>501-362-5815</t>
  </si>
  <si>
    <t>Beck</t>
  </si>
  <si>
    <t>ENERGY - JOINT- CHAIR</t>
  </si>
  <si>
    <t>(916) 319-2021</t>
  </si>
  <si>
    <t>Mullin</t>
  </si>
  <si>
    <t>Speaker Pro Temp</t>
  </si>
  <si>
    <t>(916) 319-2022</t>
  </si>
  <si>
    <t>501-912-1441</t>
  </si>
  <si>
    <t>Miller</t>
  </si>
  <si>
    <t>PUBLIC HEALTH- HOUSE HUMAN SERVICES SUBCOMMITTEE- VICE CHAIR</t>
  </si>
  <si>
    <t>ALC-GAME &amp; FISH/STATE POLICE- CHAIR</t>
  </si>
  <si>
    <t>501-365-3599</t>
  </si>
  <si>
    <t>Stephen</t>
  </si>
  <si>
    <t>Meeks</t>
  </si>
  <si>
    <t>JBC-ADMINISTRATIVE RULE &amp; REGULATION REVIEW SUBCOMMITTEE- CHAIR</t>
  </si>
  <si>
    <t>ADVANCED COMMUNICATIONS AND INFORMATION TECHNOLOGY - HOUSE- CHAIR</t>
  </si>
  <si>
    <t>ADVANCED COMMUNICATIONS AND INFORMATION TECHNOLOGY - JOINT- CHAIR</t>
  </si>
  <si>
    <t>Patterson</t>
  </si>
  <si>
    <t>(916) 319-2023</t>
  </si>
  <si>
    <t>501-314-9250</t>
  </si>
  <si>
    <t>Stan</t>
  </si>
  <si>
    <t>(479) 970-7982</t>
  </si>
  <si>
    <t>Pilkington</t>
  </si>
  <si>
    <t>PUBLIC HEALTH- HOUSE HEALTH SERVICES SUBCOMMITTEE- VICE CHAIR</t>
  </si>
  <si>
    <t>Berman</t>
  </si>
  <si>
    <t>(916) 319-2024</t>
  </si>
  <si>
    <t>Kansen</t>
  </si>
  <si>
    <t>Chu</t>
  </si>
  <si>
    <t>(916) 319-2025</t>
  </si>
  <si>
    <t>Devon</t>
  </si>
  <si>
    <t>Mathis</t>
  </si>
  <si>
    <t>(916) 319-2026</t>
  </si>
  <si>
    <t>479-308-8384</t>
  </si>
  <si>
    <t>ALC-PEER- CH CHAIR</t>
  </si>
  <si>
    <t>ALC-ARKANSAS HEALTH INSURANCE MARKETPLACE OVERSIGHT SUBCOMMITTEE- VICE CHAIR</t>
  </si>
  <si>
    <t>ARKANSAS HEALTH INSURANCE MARKETPLACE LEGISLATIVE OVERSIGHT COMMITTEE- VICE CHAIR</t>
  </si>
  <si>
    <t>AGING, CHILDREN AND YOUTH, LEGISLATIVE &amp; MILITARY AFFAIRS- HOUSE- VICE CHAIR</t>
  </si>
  <si>
    <t>501-277-9340</t>
  </si>
  <si>
    <t>Ash</t>
  </si>
  <si>
    <t>Spencer</t>
  </si>
  <si>
    <t>Hawks</t>
  </si>
  <si>
    <t>(501) 764-6847</t>
  </si>
  <si>
    <t>Kalra</t>
  </si>
  <si>
    <t>(916) 319-2027</t>
  </si>
  <si>
    <t>Cloud</t>
  </si>
  <si>
    <t>(479) 858-8033</t>
  </si>
  <si>
    <t>Magie</t>
  </si>
  <si>
    <t>PUBLIC HEALTH- HOUSE HUMAN SERVICES SUBCOMMITTEE- CHAIR</t>
  </si>
  <si>
    <t>Evan</t>
  </si>
  <si>
    <t>BOYS STATE- VICE CHAIR</t>
  </si>
  <si>
    <t>Low</t>
  </si>
  <si>
    <t>(916) 319-2028</t>
  </si>
  <si>
    <t>501-327-4444</t>
  </si>
  <si>
    <t>Bentley</t>
  </si>
  <si>
    <t>Stone</t>
  </si>
  <si>
    <t>LEGISLATIVE JOINT AUDITING- VICE CHAIR</t>
  </si>
  <si>
    <t>(916) 319-2029</t>
  </si>
  <si>
    <t>501-889-3556</t>
  </si>
  <si>
    <t>Rivas</t>
  </si>
  <si>
    <t>STATE AGENCIES &amp; GOVT'L AFFAIRS- HOUSE CONSTITUTIONAL ISSUES SUBCOMMITTEE- CHAIR</t>
  </si>
  <si>
    <t>ARKANSAS LEGISLATIVE COUNCIL (ALC)- VICE CHAIR</t>
  </si>
  <si>
    <t>(916) 319-2030</t>
  </si>
  <si>
    <t>Joaquin</t>
  </si>
  <si>
    <t>Arambula</t>
  </si>
  <si>
    <t>479-438-0533</t>
  </si>
  <si>
    <t>(916) 319-2031</t>
  </si>
  <si>
    <t>Majority Cacucus Secretary</t>
  </si>
  <si>
    <t>(479) 883-6393</t>
  </si>
  <si>
    <t>Cindy</t>
  </si>
  <si>
    <t>(479) 782-4693</t>
  </si>
  <si>
    <t>Rudy</t>
  </si>
  <si>
    <t>Salas</t>
  </si>
  <si>
    <t>(916) 319-2032</t>
  </si>
  <si>
    <t>LEGISLATIVE PRINTING REQUIREMENTS AND SPECIFICATIONS- VICE CHAIR</t>
  </si>
  <si>
    <t>LEGISLATIVE JOINT AUDITING-MEDICAID SUBCOMMITTEE- VICE CHAIR</t>
  </si>
  <si>
    <t>479-262-2156</t>
  </si>
  <si>
    <t>Obernolte</t>
  </si>
  <si>
    <t>Rep Caucus Chair</t>
  </si>
  <si>
    <t>Richardson</t>
  </si>
  <si>
    <t>(916) 319-2033</t>
  </si>
  <si>
    <t>NO NUMBER</t>
  </si>
  <si>
    <t>Deffenbaugh</t>
  </si>
  <si>
    <t>PUBLIC RETIREMENT &amp; SOCIAL SECURITY PROGRAMS-JOINT- VICE CHAIR</t>
  </si>
  <si>
    <t>Vince</t>
  </si>
  <si>
    <t>Intent to File Start</t>
  </si>
  <si>
    <t>Fong</t>
  </si>
  <si>
    <t>(916) 319-2034</t>
  </si>
  <si>
    <t xml:space="preserve">Westly </t>
  </si>
  <si>
    <t>Jordan</t>
  </si>
  <si>
    <t>479-719-8197</t>
  </si>
  <si>
    <t>Cunningham</t>
  </si>
  <si>
    <t>(916) 319-2035</t>
  </si>
  <si>
    <t>Lackey</t>
  </si>
  <si>
    <t>(916) 319-2036</t>
  </si>
  <si>
    <t>AGING, CHILDREN AND YOUTH, LEGISLATIVE &amp; MILITARY AFFAIRS- HOUSE- CHAIR</t>
  </si>
  <si>
    <t>479-414-1818</t>
  </si>
  <si>
    <t>PUBLIC HEALTH- HOUSE LABOR &amp; ENVIRONMENT SUBCOMMITTEE- VICE CHAIR</t>
  </si>
  <si>
    <t>Title</t>
  </si>
  <si>
    <t>Mailer First</t>
  </si>
  <si>
    <t>Mailer Last</t>
  </si>
  <si>
    <t>Leadership Position</t>
  </si>
  <si>
    <t>Monique</t>
  </si>
  <si>
    <t>Lontine</t>
  </si>
  <si>
    <t>Limón</t>
  </si>
  <si>
    <t>(916) 319-2037</t>
  </si>
  <si>
    <t>Health and Insurance (Chair)</t>
  </si>
  <si>
    <t>303-866-2966</t>
  </si>
  <si>
    <t>Dante</t>
  </si>
  <si>
    <t>Acosta</t>
  </si>
  <si>
    <t>(916) 319-2038</t>
  </si>
  <si>
    <t>Denver</t>
  </si>
  <si>
    <t>479-806-6825</t>
  </si>
  <si>
    <t>Luz</t>
  </si>
  <si>
    <t>Capp</t>
  </si>
  <si>
    <t>(916) 319-2039</t>
  </si>
  <si>
    <t>JUDICIARY- HOUSE COURTS &amp; CIVIL LAW SUBCOMMITTEE</t>
  </si>
  <si>
    <t>Alec</t>
  </si>
  <si>
    <t>Ramos</t>
  </si>
  <si>
    <t>(916) 319-2040</t>
  </si>
  <si>
    <t>CITY, COUNTY &amp; LOCAL AFFAIRS- HOUSE FINANCE SUBCOMMITTEE- VICE CHAIR</t>
  </si>
  <si>
    <t>Garnett</t>
  </si>
  <si>
    <t>Executive Committee of the Legislative Council</t>
  </si>
  <si>
    <t>303-866-2911</t>
  </si>
  <si>
    <t>479-209-2454</t>
  </si>
  <si>
    <t>Keith</t>
  </si>
  <si>
    <t>Slape</t>
  </si>
  <si>
    <t>(870) 715-5623</t>
  </si>
  <si>
    <t>Garner</t>
  </si>
  <si>
    <t>(479) 283-5050</t>
  </si>
  <si>
    <t>Holden</t>
  </si>
  <si>
    <t>(916) 319-2041</t>
  </si>
  <si>
    <t>Whitaker</t>
  </si>
  <si>
    <t>JUDICIARY- HOUSE JUVENILE JUSTICE &amp; CHILD SUPPORT SUBCOMMITTEE- VICE CHAIR</t>
  </si>
  <si>
    <t>Chad</t>
  </si>
  <si>
    <t>Mayes</t>
  </si>
  <si>
    <t>(916) 319-2042</t>
  </si>
  <si>
    <t>Bridges</t>
  </si>
  <si>
    <t>Co-Majority Whip</t>
  </si>
  <si>
    <t xml:space="preserve">Energy and Environment </t>
  </si>
  <si>
    <t>Transportation and Local Government</t>
  </si>
  <si>
    <t>303-866-2921</t>
  </si>
  <si>
    <t>Greenwood Village</t>
  </si>
  <si>
    <t>Serena</t>
  </si>
  <si>
    <t>Gonzales-Gutierrez</t>
  </si>
  <si>
    <t>Public Health Care and Human Services</t>
  </si>
  <si>
    <t>Friedman</t>
  </si>
  <si>
    <t>Assistant Speaker Pro Temp</t>
  </si>
  <si>
    <t>(916) 319-2043</t>
  </si>
  <si>
    <t>303-866-2954</t>
  </si>
  <si>
    <t>Alex</t>
  </si>
  <si>
    <t>Valdez</t>
  </si>
  <si>
    <t>Capital Development</t>
  </si>
  <si>
    <t>479-236-8313</t>
  </si>
  <si>
    <t>Energy and Enviornment</t>
  </si>
  <si>
    <t>303-866-2925</t>
  </si>
  <si>
    <t>Nicole</t>
  </si>
  <si>
    <t>Clowney</t>
  </si>
  <si>
    <t>(479) 445-5337</t>
  </si>
  <si>
    <t>Robin</t>
  </si>
  <si>
    <t>Jacqui</t>
  </si>
  <si>
    <t>Hansen</t>
  </si>
  <si>
    <t>Joint Budget</t>
  </si>
  <si>
    <t>303-866-2967</t>
  </si>
  <si>
    <t>Irwin</t>
  </si>
  <si>
    <t>(916) 319-2044</t>
  </si>
  <si>
    <t>Lundstrum</t>
  </si>
  <si>
    <t>Business Affairs and Labor (Vice Chair)</t>
  </si>
  <si>
    <t>303-866-2909</t>
  </si>
  <si>
    <t>Gabriel</t>
  </si>
  <si>
    <t>(916) 319-2045</t>
  </si>
  <si>
    <t>Leslie</t>
  </si>
  <si>
    <t>INSURANCE &amp; COMMERCE- HOUSE INSURANCE SUBCOMMITTEE- CHAIR</t>
  </si>
  <si>
    <t>INSURANCE &amp; COMMERCE- HOUSE- VICE CHAIR</t>
  </si>
  <si>
    <t>479-957-1959</t>
  </si>
  <si>
    <t>Clint</t>
  </si>
  <si>
    <t>Adrin</t>
  </si>
  <si>
    <t>Penzo</t>
  </si>
  <si>
    <t>TASK FORCE ON ALPHA GAL- CHAIR</t>
  </si>
  <si>
    <t>AGING &amp; LEGISLATIVE AFFAIRS- HOUSE AGING SUBCOMMITTEE- VICE CHAIR</t>
  </si>
  <si>
    <t>Herod</t>
  </si>
  <si>
    <t>303-866-2959</t>
  </si>
  <si>
    <t>Emily</t>
  </si>
  <si>
    <t>Nazarian</t>
  </si>
  <si>
    <t>Sirota</t>
  </si>
  <si>
    <t>(916) 319-2046</t>
  </si>
  <si>
    <t>State, Veterans, and Military Affairs</t>
  </si>
  <si>
    <t>303-866-2910</t>
  </si>
  <si>
    <t>LEGISLATIVE FACILITIES</t>
  </si>
  <si>
    <t>Edie</t>
  </si>
  <si>
    <t>479-466-6681</t>
  </si>
  <si>
    <t>Hooton</t>
  </si>
  <si>
    <t>Majority Caucus Chair</t>
  </si>
  <si>
    <t>Eloise</t>
  </si>
  <si>
    <t>Energy and Enviornment (Vice Chair)</t>
  </si>
  <si>
    <t>Megan</t>
  </si>
  <si>
    <t>Godfrey</t>
  </si>
  <si>
    <t>303-866-2915</t>
  </si>
  <si>
    <t>Boulder</t>
  </si>
  <si>
    <t>(479) 200-4460</t>
  </si>
  <si>
    <t>Reyes</t>
  </si>
  <si>
    <t>Assistant Majority Whip</t>
  </si>
  <si>
    <t>Jana</t>
  </si>
  <si>
    <t>(916) 319-2047</t>
  </si>
  <si>
    <t>DellaRosa</t>
  </si>
  <si>
    <t>Blanca</t>
  </si>
  <si>
    <t>CITY, COUNTY &amp; LOCAL AFFAIRS- HOUSE FINANCE SUBCOMMITTEE- CHAIR</t>
  </si>
  <si>
    <t>GIRLS STATE- VICE CAHIR</t>
  </si>
  <si>
    <t>Singer</t>
  </si>
  <si>
    <t>Public Health Care and Human Services (Chair)</t>
  </si>
  <si>
    <t>303-866-2780</t>
  </si>
  <si>
    <t>Longmont</t>
  </si>
  <si>
    <t>Rubio</t>
  </si>
  <si>
    <t>(916) 319-2048</t>
  </si>
  <si>
    <t>Sonya</t>
  </si>
  <si>
    <t>Lewis</t>
  </si>
  <si>
    <t>State, Veterans, and Military Affairs (Vice Chair)</t>
  </si>
  <si>
    <t>303-866-2920</t>
  </si>
  <si>
    <t>Lafayette</t>
  </si>
  <si>
    <t>479-236-3060</t>
  </si>
  <si>
    <t>Chau</t>
  </si>
  <si>
    <t>(916) 319-2049</t>
  </si>
  <si>
    <t>KC</t>
  </si>
  <si>
    <t>Becker</t>
  </si>
  <si>
    <t>Executive Committee of the Legislative Council (Vice Chair)</t>
  </si>
  <si>
    <t>303-866-2578</t>
  </si>
  <si>
    <t>AGRICULTURE, FORESTRY &amp; ECONOMIC DEVELOPMENT- HOUSE- CHAIR</t>
  </si>
  <si>
    <t>Bloom</t>
  </si>
  <si>
    <t>(916) 319-2050</t>
  </si>
  <si>
    <t>Sandridge</t>
  </si>
  <si>
    <t>Business Affairs and Labor</t>
  </si>
  <si>
    <t>303-866-2965</t>
  </si>
  <si>
    <t>Colorado Springs</t>
  </si>
  <si>
    <t>Wendy</t>
  </si>
  <si>
    <t>ALC-JBC SPECIAL LANGUAGE</t>
  </si>
  <si>
    <t>Carrillo</t>
  </si>
  <si>
    <t>(916) 319-2051</t>
  </si>
  <si>
    <t>479-619-9231</t>
  </si>
  <si>
    <t>303-866-5525</t>
  </si>
  <si>
    <t>Gayla</t>
  </si>
  <si>
    <t>McKenzie</t>
  </si>
  <si>
    <t>Majority Leader **are we sure about this?  First term in office and minority leader seems suprising to me...</t>
  </si>
  <si>
    <t>(479) 787-6411</t>
  </si>
  <si>
    <t>Freddie</t>
  </si>
  <si>
    <t>Liston</t>
  </si>
  <si>
    <t xml:space="preserve">Energy and Enviornment </t>
  </si>
  <si>
    <t>303-866-2937</t>
  </si>
  <si>
    <t>Dotson</t>
  </si>
  <si>
    <t>ARKANSAS LEGISLATIVE COUNCIL (ALC)- CHAIR</t>
  </si>
  <si>
    <t>REVENUE &amp; TAXATION- HOUSE INCOME TAXES-PERSONAL &amp; CORPORATE SUBCOM.- CHAIR</t>
  </si>
  <si>
    <t>ALC-JBC BUDGET HEARINGS- CO CHAIR</t>
  </si>
  <si>
    <t>ALC-EXECUTIVE SUBCOMMITTEE- CO CHAIR</t>
  </si>
  <si>
    <t>479-222-1234</t>
  </si>
  <si>
    <t>(916) 319-2052</t>
  </si>
  <si>
    <t>Petty</t>
  </si>
  <si>
    <t>JUDICIARY- HOUSE JUVENILE JUSTICE &amp; CHILD SUPPORT SUBCOMMITTEE- CHAIR</t>
  </si>
  <si>
    <t>Miguel</t>
  </si>
  <si>
    <t>Exum</t>
  </si>
  <si>
    <t>Transportation and Local Government (Vice Chair)</t>
  </si>
  <si>
    <t>303-866-3069</t>
  </si>
  <si>
    <t>Santiago</t>
  </si>
  <si>
    <t>(916) 319-2053</t>
  </si>
  <si>
    <t>Snyder</t>
  </si>
  <si>
    <t>303-866-2932</t>
  </si>
  <si>
    <t>Sydney</t>
  </si>
  <si>
    <t>LEGISLATIVE JOINT AUDITING-EDUCATIONAL INSTITUTIONS- VICE CHAIR</t>
  </si>
  <si>
    <t>479-621-3464</t>
  </si>
  <si>
    <t>Geitner</t>
  </si>
  <si>
    <t>Kamlager</t>
  </si>
  <si>
    <t>303-866-2924</t>
  </si>
  <si>
    <t>(916) 319-2054</t>
  </si>
  <si>
    <t>Austin</t>
  </si>
  <si>
    <t>Monument</t>
  </si>
  <si>
    <t>McCollum</t>
  </si>
  <si>
    <t>Chen</t>
  </si>
  <si>
    <t>(916) 319-2055</t>
  </si>
  <si>
    <t>Carver</t>
  </si>
  <si>
    <t>303-866-2191</t>
  </si>
  <si>
    <t>Eduardo</t>
  </si>
  <si>
    <t>Lois</t>
  </si>
  <si>
    <t>Garcia</t>
  </si>
  <si>
    <t>(916) 319-2056</t>
  </si>
  <si>
    <t>Landgraf</t>
  </si>
  <si>
    <t xml:space="preserve">Public Health Care and Human Services </t>
  </si>
  <si>
    <t>303-866-2946</t>
  </si>
  <si>
    <t>Fountain</t>
  </si>
  <si>
    <t>INSURANCE &amp; COMMERCE- HOUSE UTILITIES SUBCOMMITTEE- VICE CHAIR</t>
  </si>
  <si>
    <t>Colin</t>
  </si>
  <si>
    <t>Larson</t>
  </si>
  <si>
    <t>303-866-2927</t>
  </si>
  <si>
    <t>Littleton</t>
  </si>
  <si>
    <t>Ian</t>
  </si>
  <si>
    <t>479-426-4141</t>
  </si>
  <si>
    <t>Calderon</t>
  </si>
  <si>
    <t>(916) 319-2057</t>
  </si>
  <si>
    <t>Grant</t>
  </si>
  <si>
    <t>Cristina</t>
  </si>
  <si>
    <t>EDUCATION- HOUSE K-12, VOCATIONAL-TECHNICAL INSTITUTIONS SUBCOMMITTEE- CHAIR</t>
  </si>
  <si>
    <t>LEGISLATIVE JOINT AUDITING-EDUCATIONAL INSTITUTIONS- CHAIR</t>
  </si>
  <si>
    <t>Kennedy</t>
  </si>
  <si>
    <t>Assisstant Majority Leader</t>
  </si>
  <si>
    <t>State, Veterans, and Military Affairs (Chair)</t>
  </si>
  <si>
    <t>303-866-2951</t>
  </si>
  <si>
    <t>(916) 319-2058</t>
  </si>
  <si>
    <t>Lakewood</t>
  </si>
  <si>
    <t>Reggie</t>
  </si>
  <si>
    <t>Monica</t>
  </si>
  <si>
    <t>Duran</t>
  </si>
  <si>
    <t>Business Affairs &amp; Labor</t>
  </si>
  <si>
    <t>State, Veterans, &amp; Military Affairs</t>
  </si>
  <si>
    <t>303-866-5522</t>
  </si>
  <si>
    <t>Wheat Ridge</t>
  </si>
  <si>
    <t>Jones-Sawyer</t>
  </si>
  <si>
    <t>479-381-9091</t>
  </si>
  <si>
    <t>(916) 319-2059</t>
  </si>
  <si>
    <t>Harlan</t>
  </si>
  <si>
    <t>Breaux</t>
  </si>
  <si>
    <t>Cutter</t>
  </si>
  <si>
    <t>Evergreen</t>
  </si>
  <si>
    <t>(479) 981-3170</t>
  </si>
  <si>
    <t>Sabrina</t>
  </si>
  <si>
    <t>Ron</t>
  </si>
  <si>
    <t>Dylan</t>
  </si>
  <si>
    <t>Cervantes</t>
  </si>
  <si>
    <t>(916) 319-2060</t>
  </si>
  <si>
    <t>McNair</t>
  </si>
  <si>
    <t>PUBLIC TRANSPORTATION- HOUSE MOTOR VEHICLE &amp; HIGHWAYS SUBCOM.- CHAIR</t>
  </si>
  <si>
    <t>Rural Affairs (Chair)</t>
  </si>
  <si>
    <t>Capital Development Commitee (Chair)</t>
  </si>
  <si>
    <t>303-866-2923</t>
  </si>
  <si>
    <t>Eagle</t>
  </si>
  <si>
    <t>Jose</t>
  </si>
  <si>
    <t>Brianna</t>
  </si>
  <si>
    <t>Titone</t>
  </si>
  <si>
    <t>Health and Insurance</t>
  </si>
  <si>
    <t>Rural Affairs</t>
  </si>
  <si>
    <t>Joint Technology Committee</t>
  </si>
  <si>
    <t>303-866-2962</t>
  </si>
  <si>
    <t>Arvada</t>
  </si>
  <si>
    <t>Medina</t>
  </si>
  <si>
    <t>(916) 319-2061</t>
  </si>
  <si>
    <t>Tipper</t>
  </si>
  <si>
    <t>303-866-2939</t>
  </si>
  <si>
    <t>Autumn</t>
  </si>
  <si>
    <t>JOINT BUDGET COMMITTEE - PRE-FISCAL SESSION BUDGET HEARINGS</t>
  </si>
  <si>
    <t>Burke</t>
  </si>
  <si>
    <t>(916) 319-2062</t>
  </si>
  <si>
    <t>Kraft-Tharp</t>
  </si>
  <si>
    <t>Business Affairs and Labor (Chair)</t>
  </si>
  <si>
    <t>Legislative Audit</t>
  </si>
  <si>
    <t>303-866-2950</t>
  </si>
  <si>
    <t>870-754-7962</t>
  </si>
  <si>
    <t>Dafna</t>
  </si>
  <si>
    <t>Fortner</t>
  </si>
  <si>
    <t>AGRICULTURE- HOUSE AGRICULTURE, FORESTRY &amp; NATURAL RESOURCES SUBCOM.- VICE CHAIR</t>
  </si>
  <si>
    <t>Rendon</t>
  </si>
  <si>
    <t>(916) 319-2063</t>
  </si>
  <si>
    <t>Jenet</t>
  </si>
  <si>
    <t>Deputy Majority Caucus Chair</t>
  </si>
  <si>
    <t>Public Heath Care and Human Services (Vice Chair)</t>
  </si>
  <si>
    <t>303-866-2945</t>
  </si>
  <si>
    <t>Commerce City</t>
  </si>
  <si>
    <t>Gipson</t>
  </si>
  <si>
    <t>(916) 319-2064</t>
  </si>
  <si>
    <t>PUBLIC TRANSPORTATION- HOUSE MOTOR VEHICLE &amp; HIGHWAYS SUBCOM.</t>
  </si>
  <si>
    <t>Yadira</t>
  </si>
  <si>
    <t>Caraveo</t>
  </si>
  <si>
    <t>Health and Insurance (Vice Chair)</t>
  </si>
  <si>
    <t>303-866-2918</t>
  </si>
  <si>
    <t>Thornton</t>
  </si>
  <si>
    <t>Adrienne</t>
  </si>
  <si>
    <t>Sharon</t>
  </si>
  <si>
    <t>870-656-7664</t>
  </si>
  <si>
    <t>Benavidez</t>
  </si>
  <si>
    <t>Nelda</t>
  </si>
  <si>
    <t>303-866-2964</t>
  </si>
  <si>
    <t>Quirk-Silva</t>
  </si>
  <si>
    <t>(916) 319-2065</t>
  </si>
  <si>
    <t>Speaks</t>
  </si>
  <si>
    <t>CITY, COUNTY &amp; LOCAL AFFAIRS- HOUSE LOCAL GOVERNMENT PERSONNEL SUBCOMMITTEE- CHAIR</t>
  </si>
  <si>
    <t>ALZHEIMER'S ADVISORY COUNCIL- CO CHAIR</t>
  </si>
  <si>
    <t>LEGISLATIVE JOINT AUDITING-COUNTIES AND MUNICIPALITIES- VICE CHAIR</t>
  </si>
  <si>
    <t>Al</t>
  </si>
  <si>
    <t>Transportation and Local Government (Chair)</t>
  </si>
  <si>
    <t>303-866-4667</t>
  </si>
  <si>
    <t>Broomfield</t>
  </si>
  <si>
    <t>870-421-2552</t>
  </si>
  <si>
    <t>Muratsuchi</t>
  </si>
  <si>
    <t>(916) 319-2066</t>
  </si>
  <si>
    <t>Bart</t>
  </si>
  <si>
    <t>Mullica</t>
  </si>
  <si>
    <t>303-866-2931</t>
  </si>
  <si>
    <t>Melissa</t>
  </si>
  <si>
    <t>Northglenn</t>
  </si>
  <si>
    <t>Hester</t>
  </si>
  <si>
    <t>SENATE COMMITTEE ON PUBLIC RETIREMENT AND SOCIAL SECURITY PROGRAMS- CHAIR</t>
  </si>
  <si>
    <t>479-531-4176</t>
  </si>
  <si>
    <t>Melendez</t>
  </si>
  <si>
    <t>(916) 319-2067</t>
  </si>
  <si>
    <t>Shannon</t>
  </si>
  <si>
    <t>Cave Springs</t>
  </si>
  <si>
    <t>Bird</t>
  </si>
  <si>
    <t>Business, Affairs &amp; Labor</t>
  </si>
  <si>
    <t>303-866-2843</t>
  </si>
  <si>
    <t>Westminster</t>
  </si>
  <si>
    <t>Steven</t>
  </si>
  <si>
    <t>Choi</t>
  </si>
  <si>
    <t>(916) 319-2068</t>
  </si>
  <si>
    <t>Weissman</t>
  </si>
  <si>
    <t>Energy and Enviorment</t>
  </si>
  <si>
    <t>303-866-2942</t>
  </si>
  <si>
    <t>Aurora</t>
  </si>
  <si>
    <t>Hendren</t>
  </si>
  <si>
    <t>ALC-ADMINISTRATIVE RULES &amp; REGULATIONS- VICE CHAIR</t>
  </si>
  <si>
    <t>JOINT PERFORMANCE REVIEW - SENATE- VICE CHAIR</t>
  </si>
  <si>
    <t>479-787-6222</t>
  </si>
  <si>
    <t>Gravette</t>
  </si>
  <si>
    <t>Daly</t>
  </si>
  <si>
    <t>(916) 319-2069</t>
  </si>
  <si>
    <t>303-866-5510</t>
  </si>
  <si>
    <t>Centennial</t>
  </si>
  <si>
    <t>Cecile</t>
  </si>
  <si>
    <t>Patrick</t>
  </si>
  <si>
    <t>Bledsoe</t>
  </si>
  <si>
    <t>Assistant President Pro Tempore</t>
  </si>
  <si>
    <t>PUBLIC HEALTH, WELFARE AND LABOR COMMITTEE - SENATE- CHAIR</t>
  </si>
  <si>
    <t>ALC-CLAIMS REVIEW- CO CHAIR</t>
  </si>
  <si>
    <t>O'Donnell</t>
  </si>
  <si>
    <t>(916) 319-2070</t>
  </si>
  <si>
    <t>Beckman</t>
  </si>
  <si>
    <t>Capital Development Committee</t>
  </si>
  <si>
    <t>Health &amp; Insurance</t>
  </si>
  <si>
    <t>303-866-2953</t>
  </si>
  <si>
    <t>Voepel</t>
  </si>
  <si>
    <t>(916) 319-2071</t>
  </si>
  <si>
    <t>Baisley</t>
  </si>
  <si>
    <t>Joint Technology</t>
  </si>
  <si>
    <t>303-866-2935</t>
  </si>
  <si>
    <t>Janet</t>
  </si>
  <si>
    <t>Buckner</t>
  </si>
  <si>
    <t>303-866-2944</t>
  </si>
  <si>
    <t>479-636-2115</t>
  </si>
  <si>
    <t>(916) 319-2072</t>
  </si>
  <si>
    <t>Leding</t>
  </si>
  <si>
    <t>(479) 966-9201</t>
  </si>
  <si>
    <t>Fayetteville</t>
  </si>
  <si>
    <t>Jovan</t>
  </si>
  <si>
    <t>Ballinger</t>
  </si>
  <si>
    <t>(870) 350-5175</t>
  </si>
  <si>
    <t>Green Forest</t>
  </si>
  <si>
    <t>Brough</t>
  </si>
  <si>
    <t>(916) 319-2073</t>
  </si>
  <si>
    <t>Melton</t>
  </si>
  <si>
    <t>303-866-2919</t>
  </si>
  <si>
    <t>Harper</t>
  </si>
  <si>
    <t>(916) 319-2074</t>
  </si>
  <si>
    <t>Dominique</t>
  </si>
  <si>
    <t>Stubblefield</t>
  </si>
  <si>
    <t>JUDICIARY COMMITTEE - SENATE</t>
  </si>
  <si>
    <t>Energy and Enviornment (Chair)</t>
  </si>
  <si>
    <t>303-866-3911</t>
  </si>
  <si>
    <t>Marie</t>
  </si>
  <si>
    <t>JUDICIARY-SENATE COURT AND CIVIL LAW SUBCOMMITTEE</t>
  </si>
  <si>
    <t>Waldron</t>
  </si>
  <si>
    <t>Rep Floor Leader</t>
  </si>
  <si>
    <t>(916) 319-2075</t>
  </si>
  <si>
    <t>JUDICIARY-SENATE CORRECTION, CRIMINAL LAW &amp; CHILD SUPPORT SUBCOM.</t>
  </si>
  <si>
    <t>Tasha</t>
  </si>
  <si>
    <t>Horvath</t>
  </si>
  <si>
    <t>(916) 319-2076</t>
  </si>
  <si>
    <t>JBC-PEER REVIEW- CHAIR</t>
  </si>
  <si>
    <t>479-635-4314</t>
  </si>
  <si>
    <t>Van Winkle</t>
  </si>
  <si>
    <t>Assistant Minority Leader</t>
  </si>
  <si>
    <t>303-866-2936</t>
  </si>
  <si>
    <t>Highlands Ranch</t>
  </si>
  <si>
    <t>Maienschein</t>
  </si>
  <si>
    <t>(916) 319-2077</t>
  </si>
  <si>
    <t>Eads</t>
  </si>
  <si>
    <t>PUBLIC HEALTH - SENATE LABOR &amp; ENVIRONMENT SUBCOMMITTEE- CO CHAIR</t>
  </si>
  <si>
    <t>PUBLIC HEALTH, WELFARE AND LABOR COMMITTEE - SENATE</t>
  </si>
  <si>
    <t>Kim</t>
  </si>
  <si>
    <t>Todd</t>
  </si>
  <si>
    <t>Ransom</t>
  </si>
  <si>
    <t>ALC-HIGHWAY COMMISSION REVIEW AND ADVISORY SUBCOMMITTEE- CO CHAIR</t>
  </si>
  <si>
    <t>303-866-2933</t>
  </si>
  <si>
    <t>479-435-5139</t>
  </si>
  <si>
    <t>Springdale</t>
  </si>
  <si>
    <t>Gloria</t>
  </si>
  <si>
    <t>(916) 319-2078</t>
  </si>
  <si>
    <t>Mathew</t>
  </si>
  <si>
    <t>Pitsch</t>
  </si>
  <si>
    <t>(479) 883-2072</t>
  </si>
  <si>
    <t>Shirley</t>
  </si>
  <si>
    <t>Neville</t>
  </si>
  <si>
    <t>303-866-5523</t>
  </si>
  <si>
    <t>Weber</t>
  </si>
  <si>
    <t>(916) 319-2079</t>
  </si>
  <si>
    <t>Terry</t>
  </si>
  <si>
    <t>Castle Rock</t>
  </si>
  <si>
    <t>Lorena</t>
  </si>
  <si>
    <t>Rice</t>
  </si>
  <si>
    <t>JUDICIARY COMMITTEE - SENATE- VICE CHAIR</t>
  </si>
  <si>
    <t>Fletcher</t>
  </si>
  <si>
    <t>Daneya</t>
  </si>
  <si>
    <t>(916) 319-2080</t>
  </si>
  <si>
    <t>Ted</t>
  </si>
  <si>
    <t>Esgar</t>
  </si>
  <si>
    <t>Joint Budget (Vice Chair)</t>
  </si>
  <si>
    <t>303-866-2968</t>
  </si>
  <si>
    <t>Pueblo</t>
  </si>
  <si>
    <t>Gaines</t>
  </si>
  <si>
    <t>Minority Whip</t>
  </si>
  <si>
    <t>(916) 651-4001</t>
  </si>
  <si>
    <t>479-637-3100</t>
  </si>
  <si>
    <t>Bri</t>
  </si>
  <si>
    <t>Buentello</t>
  </si>
  <si>
    <t>303-866-2905</t>
  </si>
  <si>
    <t>Swink</t>
  </si>
  <si>
    <t>McGuire</t>
  </si>
  <si>
    <t>Majority Caucus Vice Chair</t>
  </si>
  <si>
    <t>(916) 651-4002</t>
  </si>
  <si>
    <t>Teague</t>
  </si>
  <si>
    <t>JOINT BUDGET COMMITTEE - PRE-FISCAL SESSION BUDGET HEARINGS- CO CHAIR</t>
  </si>
  <si>
    <t>870-845-5303</t>
  </si>
  <si>
    <t>Nashville</t>
  </si>
  <si>
    <t>Humphrey</t>
  </si>
  <si>
    <t>Transportation &amp; Local Government</t>
  </si>
  <si>
    <t>303-866-2943</t>
  </si>
  <si>
    <t>Severance</t>
  </si>
  <si>
    <t>Dodd</t>
  </si>
  <si>
    <t>(916) 651-4003</t>
  </si>
  <si>
    <t>Hickey</t>
  </si>
  <si>
    <t>LEGISLATIVE JOINT AUDITING- CHAIR</t>
  </si>
  <si>
    <t>LEGISLATIVE JOINT AUDITING - EXECUTIVE COMMITTEE- CHAIR</t>
  </si>
  <si>
    <t>Nielsen</t>
  </si>
  <si>
    <t>ALC-CHARITABLE,PENAL AND CORRECTIONAL INSTITUTIONS- VICE CHAIR</t>
  </si>
  <si>
    <t>Minority Caucus Chair</t>
  </si>
  <si>
    <t>Previously served from 1978 to 1990</t>
  </si>
  <si>
    <t>Buck</t>
  </si>
  <si>
    <t>303-866-2907</t>
  </si>
  <si>
    <t>(916) 651-4004</t>
  </si>
  <si>
    <t>Loveland</t>
  </si>
  <si>
    <t>903-824-8861</t>
  </si>
  <si>
    <t>Texarkana</t>
  </si>
  <si>
    <t>Cathleen</t>
  </si>
  <si>
    <t>Rochelle</t>
  </si>
  <si>
    <t>Galindo</t>
  </si>
  <si>
    <t>303-866-2929</t>
  </si>
  <si>
    <t>Galgiani</t>
  </si>
  <si>
    <t>(916) 651-4005</t>
  </si>
  <si>
    <t>Greeley</t>
  </si>
  <si>
    <t>Maloch</t>
  </si>
  <si>
    <t>Hugh</t>
  </si>
  <si>
    <t>SENATE RULES, RESOLUTIONS &amp; MEMORIALS- CHAIR</t>
  </si>
  <si>
    <t>ALC-PEER- CO CHAIR</t>
  </si>
  <si>
    <t>ALC-JBC SPECIAL LANGUAGE- VICE CHAIR</t>
  </si>
  <si>
    <t>JBC-SPECIAL LANGUAGE- VICE CHAIR</t>
  </si>
  <si>
    <t>870-235-7041</t>
  </si>
  <si>
    <t>Pan</t>
  </si>
  <si>
    <t>Magnolia</t>
  </si>
  <si>
    <t>(916) 651-4006</t>
  </si>
  <si>
    <t>McKean</t>
  </si>
  <si>
    <t>Statutory Revision</t>
  </si>
  <si>
    <t>303-866-2947</t>
  </si>
  <si>
    <t>Joann</t>
  </si>
  <si>
    <t>Ginal</t>
  </si>
  <si>
    <t>303-866-4569</t>
  </si>
  <si>
    <t>Fort Collins</t>
  </si>
  <si>
    <t>Glazer</t>
  </si>
  <si>
    <t>(916) 651-4007</t>
  </si>
  <si>
    <t>Clark</t>
  </si>
  <si>
    <t>CITY, COUNTY &amp; LOCAL AFFAIRS COMMITTEE - SENATE- CHAIR</t>
  </si>
  <si>
    <t>WATER PROVIDER LEGISLATIVE TASK FORCE- CO CHAIR</t>
  </si>
  <si>
    <t>ALC/ELECTRONIC FILING SYSTEMS FOR CAMPAIGN &amp; FINANCE REPORTS SUBCOMMITTEE- VICE CHAIR</t>
  </si>
  <si>
    <t>Andreas</t>
  </si>
  <si>
    <t>Borgeas</t>
  </si>
  <si>
    <t>(916) 651-4008</t>
  </si>
  <si>
    <t>Arndt</t>
  </si>
  <si>
    <t>303-866-2917</t>
  </si>
  <si>
    <t>501-262-3360</t>
  </si>
  <si>
    <t>Lonsdale</t>
  </si>
  <si>
    <t>Soper</t>
  </si>
  <si>
    <t>Finacne</t>
  </si>
  <si>
    <t>State, Veterans, &amp;Military Affairs</t>
  </si>
  <si>
    <t>303-866-2583</t>
  </si>
  <si>
    <t>Skinner</t>
  </si>
  <si>
    <t>(916) 651-4009</t>
  </si>
  <si>
    <t>Sample</t>
  </si>
  <si>
    <t>TRANSPORTATION, TECHNOLOGY &amp; LEGISLATIVE AFFAIRS - SENATE- CHAIR</t>
  </si>
  <si>
    <t>Fruita</t>
  </si>
  <si>
    <t>501-624-3445</t>
  </si>
  <si>
    <t>Janice</t>
  </si>
  <si>
    <t>Hot Springs</t>
  </si>
  <si>
    <t>303-866-3068</t>
  </si>
  <si>
    <t>Grand Junction</t>
  </si>
  <si>
    <t>Wieckowski</t>
  </si>
  <si>
    <t>(916) 651-4010</t>
  </si>
  <si>
    <t>Rodd</t>
  </si>
  <si>
    <t>Bockenfeld</t>
  </si>
  <si>
    <t>Henderson</t>
  </si>
  <si>
    <t>NO COMMITTEE ASSIGNMENTS YET, BUT PRETTY COOL BILL INTRODUCED:  TO AMEND THE LAW CONCERNING RETIREMENT BENEFITS; AND TO PROHIBIT COLLECTION OF BENEFITS BY PUBLIC RETIREES WHO ARE CONVICTED OF A FELONY OFFENSE ARISING FROM OFFICIAL ACTIONS AS A PUBLIC EMPLOYEE.  SB52</t>
  </si>
  <si>
    <t>(501) 682-6107</t>
  </si>
  <si>
    <t>Little Rock</t>
  </si>
  <si>
    <t>Wiener</t>
  </si>
  <si>
    <t>(916) 651-4011</t>
  </si>
  <si>
    <t>Breanne</t>
  </si>
  <si>
    <t>Anna</t>
  </si>
  <si>
    <t>Caballero</t>
  </si>
  <si>
    <t>(916) 651-4012</t>
  </si>
  <si>
    <t>Rankin</t>
  </si>
  <si>
    <t>303-866-2949</t>
  </si>
  <si>
    <t>Carbondale</t>
  </si>
  <si>
    <t>Jerry</t>
  </si>
  <si>
    <t>(916) 651-4013</t>
  </si>
  <si>
    <t>INSURANCE &amp; COMMERCE - SENATE</t>
  </si>
  <si>
    <t>Vidak</t>
  </si>
  <si>
    <t>(916) 651-4014</t>
  </si>
  <si>
    <t>Catlin</t>
  </si>
  <si>
    <t>303-866-2955</t>
  </si>
  <si>
    <t>Montrose</t>
  </si>
  <si>
    <t>CHILDREN AND YOUTH COMMITTEE - SENATE</t>
  </si>
  <si>
    <t>Beall</t>
  </si>
  <si>
    <t>(916) 651-4015</t>
  </si>
  <si>
    <t>SENATE EFFICIENCY</t>
  </si>
  <si>
    <t>McLachlan</t>
  </si>
  <si>
    <t>Grove</t>
  </si>
  <si>
    <t>(916) 651-4016</t>
  </si>
  <si>
    <t>303-866-2914</t>
  </si>
  <si>
    <t>Durango</t>
  </si>
  <si>
    <t>(479) 970-0081</t>
  </si>
  <si>
    <t>Russellville</t>
  </si>
  <si>
    <t>Monning</t>
  </si>
  <si>
    <t>(916) 651-4017</t>
  </si>
  <si>
    <t>303-866-2747</t>
  </si>
  <si>
    <t>Salida</t>
  </si>
  <si>
    <t>Hertzberg</t>
  </si>
  <si>
    <t>(916) 651-4018</t>
  </si>
  <si>
    <t>Flippo</t>
  </si>
  <si>
    <t>PUBLIC HEALTH - SENATE HUMAN SERVICES SUBCOMMITTEE</t>
  </si>
  <si>
    <t>Hannah-Beth</t>
  </si>
  <si>
    <t>Julie</t>
  </si>
  <si>
    <t>McCluskie</t>
  </si>
  <si>
    <t>303-866-2952</t>
  </si>
  <si>
    <t>Dillon</t>
  </si>
  <si>
    <t>(916) 651-4019</t>
  </si>
  <si>
    <t>Leyva</t>
  </si>
  <si>
    <t>Donald</t>
  </si>
  <si>
    <t>Majoirty Caucus Chair</t>
  </si>
  <si>
    <t>(916) 651-4020</t>
  </si>
  <si>
    <t>ALC-REVIEW- CO CHAIR</t>
  </si>
  <si>
    <t>ALC-REVIEW - PROCUREMENT STUDY- CO CHAIR</t>
  </si>
  <si>
    <t>870-421-3420</t>
  </si>
  <si>
    <t>Mountain Home</t>
  </si>
  <si>
    <t>Rural Affairs (Vice Chair)</t>
  </si>
  <si>
    <t>303-866-2916</t>
  </si>
  <si>
    <t>Alamosa</t>
  </si>
  <si>
    <t>Lori</t>
  </si>
  <si>
    <t>Missy</t>
  </si>
  <si>
    <t>Wilk</t>
  </si>
  <si>
    <t>(916) 651-4021</t>
  </si>
  <si>
    <t>Irvin</t>
  </si>
  <si>
    <t>Saine</t>
  </si>
  <si>
    <t>PUBLIC HEALTH - SENATE HEALTH SERVICES- CO CHAIR</t>
  </si>
  <si>
    <t>Energy &amp; Revision</t>
  </si>
  <si>
    <t>303-866-2906</t>
  </si>
  <si>
    <t>Dacono</t>
  </si>
  <si>
    <t>(916) 651-4022</t>
  </si>
  <si>
    <t>Kimmi</t>
  </si>
  <si>
    <t>870-269-2703</t>
  </si>
  <si>
    <t>Mountain View</t>
  </si>
  <si>
    <t>303-866-2398</t>
  </si>
  <si>
    <t>Morrell</t>
  </si>
  <si>
    <t>(916) 651-4023</t>
  </si>
  <si>
    <t>Jame</t>
  </si>
  <si>
    <t>Sturch</t>
  </si>
  <si>
    <t>(870) 612-7589</t>
  </si>
  <si>
    <t>Pocahontas</t>
  </si>
  <si>
    <t>Pelton</t>
  </si>
  <si>
    <t>Public Health Care &amp; Human Services</t>
  </si>
  <si>
    <t>303-866-3706</t>
  </si>
  <si>
    <t>Sterling</t>
  </si>
  <si>
    <t>Maria</t>
  </si>
  <si>
    <t>Durazo</t>
  </si>
  <si>
    <t>President pro tempore from October 15, 2014, to March 21, 2018</t>
  </si>
  <si>
    <t>(916) 651-4024</t>
  </si>
  <si>
    <t>SENATE COMMITTEE ON PUBLIC RETIREMENT AND SOCIAL SECURITY PROGRAMS- VICE CHAIR</t>
  </si>
  <si>
    <t>Portantino</t>
  </si>
  <si>
    <t>(916) 651-4025</t>
  </si>
  <si>
    <t>870-323-1766</t>
  </si>
  <si>
    <t>Corning</t>
  </si>
  <si>
    <t>Sonnenberg</t>
  </si>
  <si>
    <t>Agriculture</t>
  </si>
  <si>
    <t>State,Veterans, and Military Affairs</t>
  </si>
  <si>
    <t>303-866-6360</t>
  </si>
  <si>
    <t>senatorsonnenberg@gmail.com</t>
  </si>
  <si>
    <t>(916) 651-4026</t>
  </si>
  <si>
    <t>Henry</t>
  </si>
  <si>
    <t>Stern</t>
  </si>
  <si>
    <t>(916) 651-4027</t>
  </si>
  <si>
    <t>PUBLIC HEALTH - SENATE HEALTH SERVICES</t>
  </si>
  <si>
    <t>(916) 651-4028</t>
  </si>
  <si>
    <t>Dennis</t>
  </si>
  <si>
    <t>Hisey</t>
  </si>
  <si>
    <t>303-866-4877</t>
  </si>
  <si>
    <t>Cañon City</t>
  </si>
  <si>
    <t>Ling</t>
  </si>
  <si>
    <t>Chang</t>
  </si>
  <si>
    <t>(916) 651-4029</t>
  </si>
  <si>
    <t>Leroy</t>
  </si>
  <si>
    <t>Holly</t>
  </si>
  <si>
    <t>Executive Committee of the Legislative Council (Chair)</t>
  </si>
  <si>
    <t>303-866-4878</t>
  </si>
  <si>
    <t>870-761-0130</t>
  </si>
  <si>
    <t>Mitchell</t>
  </si>
  <si>
    <t>(916) 651-4030</t>
  </si>
  <si>
    <t>Jonesboro</t>
  </si>
  <si>
    <t>Roth</t>
  </si>
  <si>
    <t>(916) 651-4031</t>
  </si>
  <si>
    <t>Smallwood</t>
  </si>
  <si>
    <t>303-866-4869</t>
  </si>
  <si>
    <t>Sedalia</t>
  </si>
  <si>
    <t>Wallace</t>
  </si>
  <si>
    <t>Archuleta</t>
  </si>
  <si>
    <t>Won special election. Term will be brief as she failed to win primary for the general election.</t>
  </si>
  <si>
    <t>STATE AGENCIES &amp; GOV'T AFFAIRS - SENATE CONSTITUTIONAL ISSUES SUBCOMMITTEE- VICE CHAIR</t>
  </si>
  <si>
    <t>(916) 651-4032</t>
  </si>
  <si>
    <t>CHILDREN AND YOUTH COMMITTEE - SENATE- VICE CHAIR</t>
  </si>
  <si>
    <t>870-919-8046</t>
  </si>
  <si>
    <t>Leachville</t>
  </si>
  <si>
    <t>Ricardo</t>
  </si>
  <si>
    <t>Lara</t>
  </si>
  <si>
    <t>(916) 651-4033</t>
  </si>
  <si>
    <t>Donovan</t>
  </si>
  <si>
    <t>Agriculture (Chair)</t>
  </si>
  <si>
    <t>Transportation &amp; Energy</t>
  </si>
  <si>
    <t>303-866-4871</t>
  </si>
  <si>
    <t>Vail</t>
  </si>
  <si>
    <t>Caldwell</t>
  </si>
  <si>
    <t>AGRICULTURE, FORESTRY &amp; ECONOMIC DEVELOPMENT - SENATE- CHAIR</t>
  </si>
  <si>
    <t>ARKANSAS HEALTH INSURANCE MARKETPLACE LEGISLATIVE OVERSIGHT COMMITTEE- CO CHAIR</t>
  </si>
  <si>
    <t>ALC-LOTTERY OVERSIGHT SUBCOMMITTEE- VICE CHAIR</t>
  </si>
  <si>
    <t>501-682-6107</t>
  </si>
  <si>
    <t>Wynne</t>
  </si>
  <si>
    <t>Nguyen</t>
  </si>
  <si>
    <t>(916) 651-4034</t>
  </si>
  <si>
    <t>Coram</t>
  </si>
  <si>
    <t>Local Government</t>
  </si>
  <si>
    <t>303-866-4884</t>
  </si>
  <si>
    <t>Bradford</t>
  </si>
  <si>
    <t>(916) 651-4035</t>
  </si>
  <si>
    <t>LEGISLATIVE FACILITIES- CHAIR</t>
  </si>
  <si>
    <t>ALC-LOTTERY OVERSIGHT SUBCOMMITTEE- CO CHAIR</t>
  </si>
  <si>
    <t>ALC/ELECTRONIC FILING SYSTEMS FOR CAMPAIGN &amp; FINANCE REPORTS SUBCOMMITTEE- CO CHAIR</t>
  </si>
  <si>
    <t>ALC-GAME &amp; FISH/STATE POLICE- VICE CHAIR</t>
  </si>
  <si>
    <t>(870) 735-8610</t>
  </si>
  <si>
    <t>West Memphis</t>
  </si>
  <si>
    <t>Patricia</t>
  </si>
  <si>
    <t>Ray</t>
  </si>
  <si>
    <t>Bates</t>
  </si>
  <si>
    <t>(916) 651-4036</t>
  </si>
  <si>
    <t>303-866-3077</t>
  </si>
  <si>
    <t>Stephanie</t>
  </si>
  <si>
    <t>Moorlach</t>
  </si>
  <si>
    <t>(916) 651-4037</t>
  </si>
  <si>
    <t>Baumgardner</t>
  </si>
  <si>
    <t>(916) 651-4038</t>
  </si>
  <si>
    <t>PUBLIC HEALTH - SENATE LABOR &amp; ENVIRONMENT SUBCOMMITTEE</t>
  </si>
  <si>
    <t>303-866-5292</t>
  </si>
  <si>
    <t>Steamboat Springs</t>
  </si>
  <si>
    <t>Toni</t>
  </si>
  <si>
    <t>Atkins</t>
  </si>
  <si>
    <t>Pro temp since March 21, 2018</t>
  </si>
  <si>
    <t>(916) 651-4039</t>
  </si>
  <si>
    <t>CHILDREN AND YOUTH COMMITTEE - SENATE- CHAIR</t>
  </si>
  <si>
    <t>870-535-1032</t>
  </si>
  <si>
    <t>Lundeen</t>
  </si>
  <si>
    <t>Pine Bluff</t>
  </si>
  <si>
    <t>303-866-4835</t>
  </si>
  <si>
    <t>Hueso</t>
  </si>
  <si>
    <t>(916) 651-4040</t>
  </si>
  <si>
    <t>Owen</t>
  </si>
  <si>
    <t>Gavin</t>
  </si>
  <si>
    <t>Newsom</t>
  </si>
  <si>
    <t>Cheatham</t>
  </si>
  <si>
    <t>PUBLIC HEALTH, WELFARE AND LABOR COMMITTEE - SENATE- VICE CHAIR</t>
  </si>
  <si>
    <t>STATE &amp; PUBLIC SCHOOL LIFE &amp; HEALTH INSURANCE TASK FORCE- CHAIR</t>
  </si>
  <si>
    <t>JBC-PEER REVIEW- VICE CHAIR</t>
  </si>
  <si>
    <t>President of Senate</t>
  </si>
  <si>
    <t>870-364-5659</t>
  </si>
  <si>
    <t>303-866-2737</t>
  </si>
  <si>
    <t>Crossett</t>
  </si>
  <si>
    <t>LaMalfa</t>
  </si>
  <si>
    <t>Jared</t>
  </si>
  <si>
    <t>Huffman</t>
  </si>
  <si>
    <t>Garamendi</t>
  </si>
  <si>
    <t>McClintock</t>
  </si>
  <si>
    <t>Doris</t>
  </si>
  <si>
    <t>Matsui</t>
  </si>
  <si>
    <t>Ami</t>
  </si>
  <si>
    <t>Bera</t>
  </si>
  <si>
    <t>McNerney</t>
  </si>
  <si>
    <t>DeSaulnier</t>
  </si>
  <si>
    <t>Legal Services (Chair)</t>
  </si>
  <si>
    <t>Pelosi</t>
  </si>
  <si>
    <t>303-866-6364</t>
  </si>
  <si>
    <t>Trent</t>
  </si>
  <si>
    <t>Barbra</t>
  </si>
  <si>
    <t>Jackie</t>
  </si>
  <si>
    <t>Speier</t>
  </si>
  <si>
    <t>Eric</t>
  </si>
  <si>
    <t>Swalwell</t>
  </si>
  <si>
    <t>Costa</t>
  </si>
  <si>
    <t>Ro</t>
  </si>
  <si>
    <t>Khanna</t>
  </si>
  <si>
    <t>Eshoo</t>
  </si>
  <si>
    <t>Zoe</t>
  </si>
  <si>
    <t>Lofgren</t>
  </si>
  <si>
    <t>Panetta</t>
  </si>
  <si>
    <t>Valadao</t>
  </si>
  <si>
    <t>Devin</t>
  </si>
  <si>
    <t>Nunes</t>
  </si>
  <si>
    <t>McCarthy</t>
  </si>
  <si>
    <t>Salud</t>
  </si>
  <si>
    <t>Carbajal</t>
  </si>
  <si>
    <t>Katie</t>
  </si>
  <si>
    <t>Julia</t>
  </si>
  <si>
    <t>Brownley</t>
  </si>
  <si>
    <t>Judy</t>
  </si>
  <si>
    <t>Schiff</t>
  </si>
  <si>
    <t>Cardenas</t>
  </si>
  <si>
    <t>Brad</t>
  </si>
  <si>
    <t>Sherman</t>
  </si>
  <si>
    <t>Aguilar</t>
  </si>
  <si>
    <t>Gardner</t>
  </si>
  <si>
    <t>Legal Services</t>
  </si>
  <si>
    <t>Grace</t>
  </si>
  <si>
    <t>Napolitano</t>
  </si>
  <si>
    <t>Lieu</t>
  </si>
  <si>
    <t>303-866-4880</t>
  </si>
  <si>
    <t>Gomez</t>
  </si>
  <si>
    <t>Norma</t>
  </si>
  <si>
    <t>Torres</t>
  </si>
  <si>
    <t>Ruiz</t>
  </si>
  <si>
    <t>Bass</t>
  </si>
  <si>
    <t>Sanchez</t>
  </si>
  <si>
    <t>Lucille</t>
  </si>
  <si>
    <t>Roybal-Allard</t>
  </si>
  <si>
    <t>Takano</t>
  </si>
  <si>
    <t>Calvert</t>
  </si>
  <si>
    <t>Maxine</t>
  </si>
  <si>
    <t>Water</t>
  </si>
  <si>
    <t>Nanette</t>
  </si>
  <si>
    <t>Barragan</t>
  </si>
  <si>
    <t>Mimi</t>
  </si>
  <si>
    <t>Walters</t>
  </si>
  <si>
    <t>Lou</t>
  </si>
  <si>
    <t>Correa</t>
  </si>
  <si>
    <t>Lowenthal</t>
  </si>
  <si>
    <t>Levin</t>
  </si>
  <si>
    <t>Duncan</t>
  </si>
  <si>
    <t>Cooke</t>
  </si>
  <si>
    <t>Hunter</t>
  </si>
  <si>
    <t>Legal Services (Vice Chair)</t>
  </si>
  <si>
    <t>303-866-4451</t>
  </si>
  <si>
    <t>Vargas</t>
  </si>
  <si>
    <t>Peters</t>
  </si>
  <si>
    <t>Dianne</t>
  </si>
  <si>
    <t>Feinstein</t>
  </si>
  <si>
    <t>Kamala</t>
  </si>
  <si>
    <t>Harris</t>
  </si>
  <si>
    <t>Xavier</t>
  </si>
  <si>
    <t>Bacerra</t>
  </si>
  <si>
    <t>LEGISLATIVE JOINT AUDITING-STATE AGENCIES- VICE CHAIR</t>
  </si>
  <si>
    <t>SENATE RULES, RESOLUTIONS &amp; MEMORIALS- VICE CHAIR</t>
  </si>
  <si>
    <t>870-818-9219</t>
  </si>
  <si>
    <t>El Dorado</t>
  </si>
  <si>
    <t>Kefalas</t>
  </si>
  <si>
    <t>303-866-4841</t>
  </si>
  <si>
    <t>Woodward</t>
  </si>
  <si>
    <t>303-866-4853</t>
  </si>
  <si>
    <t>Tammy</t>
  </si>
  <si>
    <t>Business, Labor, and Technology</t>
  </si>
  <si>
    <t>303-866-4873</t>
  </si>
  <si>
    <t>Foote</t>
  </si>
  <si>
    <t>State, Veterans, &amp; Military Affairs (Chair)</t>
  </si>
  <si>
    <t>303-866-5291</t>
  </si>
  <si>
    <t>senatormattjones@gmail.com</t>
  </si>
  <si>
    <t>Dismang</t>
  </si>
  <si>
    <t>Fenberg</t>
  </si>
  <si>
    <t>303-866-4872</t>
  </si>
  <si>
    <t>Rachel</t>
  </si>
  <si>
    <t>ALC-JBC PERSONNEL</t>
  </si>
  <si>
    <t>Zenzinger</t>
  </si>
  <si>
    <t>303-866-4840</t>
  </si>
  <si>
    <t>senatorrachelz@gmail.com</t>
  </si>
  <si>
    <t>501-766-8220</t>
  </si>
  <si>
    <t>Beebe</t>
  </si>
  <si>
    <t>Jessie</t>
  </si>
  <si>
    <t>Danielson</t>
  </si>
  <si>
    <t>Agriculture (Vice Chair)</t>
  </si>
  <si>
    <t>Business, Labor, &amp; Technology (Vice Chair)</t>
  </si>
  <si>
    <t>303-866-4856</t>
  </si>
  <si>
    <t>Ricky</t>
  </si>
  <si>
    <t>TRANSPORTATION, TECHNOLOGY &amp; LEGISLATIVE AFFAIRS - SENATE</t>
  </si>
  <si>
    <t>Dominick</t>
  </si>
  <si>
    <t>STATE AGENCIES &amp; GOVT'L AFFAIRS-SENATE</t>
  </si>
  <si>
    <t>Moreno</t>
  </si>
  <si>
    <t>Joint Budget (Chair)</t>
  </si>
  <si>
    <t>Statutory Revision (Chair)</t>
  </si>
  <si>
    <t>303-866-4857</t>
  </si>
  <si>
    <t>Brittany</t>
  </si>
  <si>
    <t>Pettersen</t>
  </si>
  <si>
    <t>Transportaion &amp; Energy (Vice Chair)</t>
  </si>
  <si>
    <t>303-866-4859</t>
  </si>
  <si>
    <t>SENATE ETHICS COMMITTEE</t>
  </si>
  <si>
    <t>Vicki</t>
  </si>
  <si>
    <t>(501) 286-2285</t>
  </si>
  <si>
    <t>Cabot</t>
  </si>
  <si>
    <t>Marble</t>
  </si>
  <si>
    <t>303-866-4876</t>
  </si>
  <si>
    <t>Faith</t>
  </si>
  <si>
    <t>Chesterfield</t>
  </si>
  <si>
    <t>Winter</t>
  </si>
  <si>
    <t>SENATE EFFICIENCY- CHAIR</t>
  </si>
  <si>
    <t>Transportation &amp; Energy (Chair)</t>
  </si>
  <si>
    <t>ALC-POLICY MAKING- CO CHAIR</t>
  </si>
  <si>
    <t>303-866-4863</t>
  </si>
  <si>
    <t>501-888-1859</t>
  </si>
  <si>
    <t>Priola</t>
  </si>
  <si>
    <t>Business, Labor, &amp;Technology</t>
  </si>
  <si>
    <t>Transportation and Energy</t>
  </si>
  <si>
    <t>303-866-4855</t>
  </si>
  <si>
    <t>kpriola@gmail.com</t>
  </si>
  <si>
    <t>Joyce</t>
  </si>
  <si>
    <t>Elliott</t>
  </si>
  <si>
    <t>ALC-PERSONNEL- VICE CHAIR</t>
  </si>
  <si>
    <t>EDUCATION COMMITTEE - SENATE- VICE CHAIR</t>
  </si>
  <si>
    <t>501-603-9546</t>
  </si>
  <si>
    <t>Kagan</t>
  </si>
  <si>
    <t>303-866-4846</t>
  </si>
  <si>
    <t>Bond</t>
  </si>
  <si>
    <t>JUDICIARY-SENATE COURT AND CIVIL LAW SUBCOMMITTEE- CHAIR</t>
  </si>
  <si>
    <t>Tate</t>
  </si>
  <si>
    <t>303-866-4883</t>
  </si>
  <si>
    <t>ALC-LITIGATION REPORTS OVERSIGHT SUBCOMMITTEE- CO CHAIR</t>
  </si>
  <si>
    <t>501-396-5400</t>
  </si>
  <si>
    <t>Hammer</t>
  </si>
  <si>
    <t>Benton</t>
  </si>
  <si>
    <t>Legislative Audit (Vice Chair)</t>
  </si>
  <si>
    <t>303-866-3432</t>
  </si>
  <si>
    <t>Jane</t>
  </si>
  <si>
    <t>Rhonda</t>
  </si>
  <si>
    <t>English</t>
  </si>
  <si>
    <t>EDUCATION COMMITTEE - SENATE- CHAIR</t>
  </si>
  <si>
    <t>ALC-GAME &amp; FISH/STATE POLICE- CO CHAIR</t>
  </si>
  <si>
    <t>LEGISLATIVE TASK FORCE ON WORKFORCE EDUCATION EXCELLENCE- CO CHAIR</t>
  </si>
  <si>
    <t>501-257-7670</t>
  </si>
  <si>
    <t>North Little Rock</t>
  </si>
  <si>
    <t>Capital Development (Vice Chair)</t>
  </si>
  <si>
    <t>303-866-4879</t>
  </si>
  <si>
    <t>Rapert</t>
  </si>
  <si>
    <t>INSURANCE &amp; COMMERCE - SENATE- CHAIR</t>
  </si>
  <si>
    <t>ALC-HIGHER EDUCATION SUBCOMMITTEE- CO CHAIR</t>
  </si>
  <si>
    <t>ALC-PEER- VICE CHAIR</t>
  </si>
  <si>
    <t>501-336-0918</t>
  </si>
  <si>
    <t>Conway</t>
  </si>
  <si>
    <t>Holbert</t>
  </si>
  <si>
    <t>303-866-4881</t>
  </si>
  <si>
    <t>Asa</t>
  </si>
  <si>
    <t>Hutchinson</t>
  </si>
  <si>
    <t>French</t>
  </si>
  <si>
    <t>Westerman</t>
  </si>
  <si>
    <t xml:space="preserve">Senior </t>
  </si>
  <si>
    <t>Boozman</t>
  </si>
  <si>
    <t>Cotton</t>
  </si>
  <si>
    <t>Rutledge</t>
  </si>
  <si>
    <t>Court</t>
  </si>
  <si>
    <t>303-866-4861</t>
  </si>
  <si>
    <t>303-866-4852</t>
  </si>
  <si>
    <t>Angela</t>
  </si>
  <si>
    <t>Business, Labor, &amp; Technology (Chair)</t>
  </si>
  <si>
    <t>303-866-4864</t>
  </si>
  <si>
    <t>303-866-4862</t>
  </si>
  <si>
    <t>Crowder</t>
  </si>
  <si>
    <t>303-866-4875</t>
  </si>
  <si>
    <t>Ritter</t>
  </si>
  <si>
    <t>Majority Leader in the House</t>
  </si>
  <si>
    <t>Polis</t>
  </si>
  <si>
    <t>(860) 240-8585</t>
  </si>
  <si>
    <t>Diana</t>
  </si>
  <si>
    <t>DeGette</t>
  </si>
  <si>
    <t>Neguse</t>
  </si>
  <si>
    <t>Tipton</t>
  </si>
  <si>
    <t>Lamborn</t>
  </si>
  <si>
    <t>Crow</t>
  </si>
  <si>
    <t>Perlmutter</t>
  </si>
  <si>
    <t>Raghib</t>
  </si>
  <si>
    <t>Michael</t>
  </si>
  <si>
    <t>Bennet</t>
  </si>
  <si>
    <t>Allie-Brennan</t>
  </si>
  <si>
    <t>Cory</t>
  </si>
  <si>
    <t>Weiser</t>
  </si>
  <si>
    <t>Minnie</t>
  </si>
  <si>
    <t>Gonzalez</t>
  </si>
  <si>
    <t>Julio</t>
  </si>
  <si>
    <t>Concepcion</t>
  </si>
  <si>
    <t>860-240-8585</t>
  </si>
  <si>
    <t>Brandon</t>
  </si>
  <si>
    <t xml:space="preserve">Chairman, Housing </t>
  </si>
  <si>
    <t>Edwin</t>
  </si>
  <si>
    <t>Chairman, Executive and Legislative Nominations</t>
  </si>
  <si>
    <t>Labor and Public Employees</t>
  </si>
  <si>
    <t>Environment</t>
  </si>
  <si>
    <t>Joshua</t>
  </si>
  <si>
    <t>Timothy</t>
  </si>
  <si>
    <t>Ackert</t>
  </si>
  <si>
    <t>Rojas</t>
  </si>
  <si>
    <t>Chairman, Finance Revenue and Bonding</t>
  </si>
  <si>
    <t>Genga</t>
  </si>
  <si>
    <t>Jeffrey</t>
  </si>
  <si>
    <t>Currey</t>
  </si>
  <si>
    <t>860-240-8500</t>
  </si>
  <si>
    <t>Geoff</t>
  </si>
  <si>
    <t>Luxenberg</t>
  </si>
  <si>
    <t>Doucette</t>
  </si>
  <si>
    <t>Delnicki</t>
  </si>
  <si>
    <t>Gibson</t>
  </si>
  <si>
    <t>Hampton</t>
  </si>
  <si>
    <t>(860) 240-8568</t>
  </si>
  <si>
    <t>LeGeyt</t>
  </si>
  <si>
    <t>Jillian</t>
  </si>
  <si>
    <t>Gilchrest</t>
  </si>
  <si>
    <t>Derek</t>
  </si>
  <si>
    <t>Slap</t>
  </si>
  <si>
    <t>Joseph</t>
  </si>
  <si>
    <t>Verrengia</t>
  </si>
  <si>
    <t>Chairman, Public Safety and Security</t>
  </si>
  <si>
    <t>Demicco</t>
  </si>
  <si>
    <t>Chairman, Environment</t>
  </si>
  <si>
    <t>Petit</t>
  </si>
  <si>
    <t>Carney</t>
  </si>
  <si>
    <t>Lopes</t>
  </si>
  <si>
    <t>Chairman, Education</t>
  </si>
  <si>
    <t>Tercyak</t>
  </si>
  <si>
    <t>Byron</t>
  </si>
  <si>
    <t>Morin</t>
  </si>
  <si>
    <t>Szepswood</t>
  </si>
  <si>
    <t>Aresimowicz</t>
  </si>
  <si>
    <t>Chairman, Legislative Management</t>
  </si>
  <si>
    <t>Prasad</t>
  </si>
  <si>
    <t>Srinivasan</t>
  </si>
  <si>
    <t>Christie</t>
  </si>
  <si>
    <t>Carpino</t>
  </si>
  <si>
    <t>Serra</t>
  </si>
  <si>
    <t>Chairman, Committee on Aging</t>
  </si>
  <si>
    <t>Irene</t>
  </si>
  <si>
    <t>Haines</t>
  </si>
  <si>
    <t>Maclachlan</t>
  </si>
  <si>
    <t>Christine</t>
  </si>
  <si>
    <t>Palm</t>
  </si>
  <si>
    <t>Cheeseman</t>
  </si>
  <si>
    <t>Kathleen</t>
  </si>
  <si>
    <t>Soto</t>
  </si>
  <si>
    <t>Conley</t>
  </si>
  <si>
    <t>delaCruz</t>
  </si>
  <si>
    <t>France</t>
  </si>
  <si>
    <t>Rotella</t>
  </si>
  <si>
    <t>Anne</t>
  </si>
  <si>
    <t>Dauphinais</t>
  </si>
  <si>
    <t>Lanoue</t>
  </si>
  <si>
    <t>Emmett</t>
  </si>
  <si>
    <t>Riley</t>
  </si>
  <si>
    <t>Dubitsky</t>
  </si>
  <si>
    <t>Orange</t>
  </si>
  <si>
    <t>Chairman, Regulation Review</t>
  </si>
  <si>
    <t>Hayes</t>
  </si>
  <si>
    <t>Kurt</t>
  </si>
  <si>
    <t>Pat</t>
  </si>
  <si>
    <t>Pheanious</t>
  </si>
  <si>
    <t>Haddad</t>
  </si>
  <si>
    <t>Chairman, Higher Education and Employment Advancement</t>
  </si>
  <si>
    <t>Green</t>
  </si>
  <si>
    <t>Winkler</t>
  </si>
  <si>
    <t>Stokes</t>
  </si>
  <si>
    <t>Garibay</t>
  </si>
  <si>
    <t>Tami</t>
  </si>
  <si>
    <t>Zawistowski</t>
  </si>
  <si>
    <t>Simanski</t>
  </si>
  <si>
    <t>Case</t>
  </si>
  <si>
    <t>Ohler</t>
  </si>
  <si>
    <t>Nnamdi</t>
  </si>
  <si>
    <t>Chukwuocha</t>
  </si>
  <si>
    <t>302-744-4351</t>
  </si>
  <si>
    <t>Buckbee</t>
  </si>
  <si>
    <t>Polletta</t>
  </si>
  <si>
    <t>Brandywine Hills</t>
  </si>
  <si>
    <t>StephanieT</t>
  </si>
  <si>
    <t>Bolden</t>
  </si>
  <si>
    <t>O'Neill</t>
  </si>
  <si>
    <t xml:space="preserve">                                                                     </t>
  </si>
  <si>
    <t>Sherry</t>
  </si>
  <si>
    <t>Wilmington South</t>
  </si>
  <si>
    <t>Rosa</t>
  </si>
  <si>
    <t>Brady</t>
  </si>
  <si>
    <t>Wilmington West</t>
  </si>
  <si>
    <t>Kendra</t>
  </si>
  <si>
    <t xml:space="preserve">Housing and Community Affairs </t>
  </si>
  <si>
    <t>Bear/Newark</t>
  </si>
  <si>
    <t>Debra</t>
  </si>
  <si>
    <t>Rebimbas</t>
  </si>
  <si>
    <t>Heffernan</t>
  </si>
  <si>
    <t>Chair Infrastructure</t>
  </si>
  <si>
    <t>Natural Resources</t>
  </si>
  <si>
    <t>Edgewood Hills</t>
  </si>
  <si>
    <t>D'Amelio</t>
  </si>
  <si>
    <t>Berger</t>
  </si>
  <si>
    <t>Raymond</t>
  </si>
  <si>
    <t>Cummings</t>
  </si>
  <si>
    <t>Seigfried</t>
  </si>
  <si>
    <t>Geraldo</t>
  </si>
  <si>
    <t>Quinton</t>
  </si>
  <si>
    <t>Chair Appropriations</t>
  </si>
  <si>
    <t xml:space="preserve">Energy </t>
  </si>
  <si>
    <t>Middletown</t>
  </si>
  <si>
    <t>Piscopo</t>
  </si>
  <si>
    <t>Cara</t>
  </si>
  <si>
    <t>Pavalock-D'Amato</t>
  </si>
  <si>
    <t>Whit</t>
  </si>
  <si>
    <t>Betts</t>
  </si>
  <si>
    <t>Ziogas</t>
  </si>
  <si>
    <t>Gale</t>
  </si>
  <si>
    <t>Mastrofrancesco</t>
  </si>
  <si>
    <t>Hensley</t>
  </si>
  <si>
    <t>Fusco</t>
  </si>
  <si>
    <t>Emil</t>
  </si>
  <si>
    <t>Altobello</t>
  </si>
  <si>
    <t>Catherine</t>
  </si>
  <si>
    <t>Abercrombie</t>
  </si>
  <si>
    <t>Chairman, Human Services</t>
  </si>
  <si>
    <t>Hilda</t>
  </si>
  <si>
    <t>Chairman, Banking</t>
  </si>
  <si>
    <t>Mushinsky</t>
  </si>
  <si>
    <t>Vincent</t>
  </si>
  <si>
    <t>Candelora</t>
  </si>
  <si>
    <t>Matthews</t>
  </si>
  <si>
    <t>Spiegelman</t>
  </si>
  <si>
    <t>Clayton</t>
  </si>
  <si>
    <t>Yaccarino</t>
  </si>
  <si>
    <t>Krista</t>
  </si>
  <si>
    <t>Griffith</t>
  </si>
  <si>
    <t>Lezlye</t>
  </si>
  <si>
    <t>Telecommunication Internet &amp; Tech</t>
  </si>
  <si>
    <t>Fairthorne</t>
  </si>
  <si>
    <t>Zupkus</t>
  </si>
  <si>
    <t>Elsmere</t>
  </si>
  <si>
    <t>Fishbein</t>
  </si>
  <si>
    <t>D'Agostino</t>
  </si>
  <si>
    <t>Chairman, General Law</t>
  </si>
  <si>
    <t>Chairman, Appropriations</t>
  </si>
  <si>
    <t>Robyn</t>
  </si>
  <si>
    <t>Porter</t>
  </si>
  <si>
    <t>Chairman, Labor and Public Employees</t>
  </si>
  <si>
    <t>Schwartzkopf</t>
  </si>
  <si>
    <t>Candelaria</t>
  </si>
  <si>
    <t>Rehoboth</t>
  </si>
  <si>
    <t>Valerie</t>
  </si>
  <si>
    <t>Roland</t>
  </si>
  <si>
    <t>Lemar</t>
  </si>
  <si>
    <t>Chairman, Transportation</t>
  </si>
  <si>
    <t>Megna</t>
  </si>
  <si>
    <t>Scanlon</t>
  </si>
  <si>
    <t>Chairman, Insurance and Real Estate</t>
  </si>
  <si>
    <t>Longhurst</t>
  </si>
  <si>
    <t>Chair Administration</t>
  </si>
  <si>
    <t>Ethics</t>
  </si>
  <si>
    <t>Albis</t>
  </si>
  <si>
    <t>Bear</t>
  </si>
  <si>
    <t>Franklin</t>
  </si>
  <si>
    <t>Jefferson Farms</t>
  </si>
  <si>
    <t>Meilissa</t>
  </si>
  <si>
    <t>Minor</t>
  </si>
  <si>
    <t>Corrections</t>
  </si>
  <si>
    <t>Pennwood</t>
  </si>
  <si>
    <t>Lesser</t>
  </si>
  <si>
    <t>Noreen</t>
  </si>
  <si>
    <t>Kokoruda</t>
  </si>
  <si>
    <t>Comey</t>
  </si>
  <si>
    <t>Liz</t>
  </si>
  <si>
    <t>Linehan</t>
  </si>
  <si>
    <t>Chairman, Children</t>
  </si>
  <si>
    <t>Kara</t>
  </si>
  <si>
    <t>Klarides-Ditria</t>
  </si>
  <si>
    <t>Bolinsky</t>
  </si>
  <si>
    <t>Bentz</t>
  </si>
  <si>
    <t>Policy Analysis and Gov Accountability</t>
  </si>
  <si>
    <t>Health and Human Development</t>
  </si>
  <si>
    <t>Kimberly</t>
  </si>
  <si>
    <t>Harding</t>
  </si>
  <si>
    <t>Klair Estates</t>
  </si>
  <si>
    <t>Smyk</t>
  </si>
  <si>
    <t>Arconti</t>
  </si>
  <si>
    <t>Chairman, Energy and Technology</t>
  </si>
  <si>
    <t>Ramone</t>
  </si>
  <si>
    <t>eee</t>
  </si>
  <si>
    <t>Drummond Hill</t>
  </si>
  <si>
    <t>Pike Creek Valley</t>
  </si>
  <si>
    <t>Frey</t>
  </si>
  <si>
    <t>JP</t>
  </si>
  <si>
    <t>Baumbach</t>
  </si>
  <si>
    <t>Sredzinski</t>
  </si>
  <si>
    <t>Perillo</t>
  </si>
  <si>
    <t>Newark</t>
  </si>
  <si>
    <t>Edward</t>
  </si>
  <si>
    <t>Themis</t>
  </si>
  <si>
    <t>Klarides</t>
  </si>
  <si>
    <t>Osienski</t>
  </si>
  <si>
    <t>Transportation Land Use and Infrastructure</t>
  </si>
  <si>
    <t>Labor</t>
  </si>
  <si>
    <t>Dorinda</t>
  </si>
  <si>
    <t>Kowalko</t>
  </si>
  <si>
    <t>KeenanBorer</t>
  </si>
  <si>
    <t xml:space="preserve">Manufactured Housing </t>
  </si>
  <si>
    <t>Chairman, Veterans Affairs</t>
  </si>
  <si>
    <t>Newark South</t>
  </si>
  <si>
    <t>DiMissa</t>
  </si>
  <si>
    <t>Ferraro</t>
  </si>
  <si>
    <t>Rose</t>
  </si>
  <si>
    <t>Chairman, Internship</t>
  </si>
  <si>
    <t>Viola</t>
  </si>
  <si>
    <t>Revenue and Finance</t>
  </si>
  <si>
    <t>Gaming and Parimutuels</t>
  </si>
  <si>
    <t>Kathy</t>
  </si>
  <si>
    <t>Earl</t>
  </si>
  <si>
    <t>Amaris</t>
  </si>
  <si>
    <t>Jaques,</t>
  </si>
  <si>
    <t>Vyanka</t>
  </si>
  <si>
    <t>Veterans Affairs</t>
  </si>
  <si>
    <t>Gresko</t>
  </si>
  <si>
    <t>Glasgow</t>
  </si>
  <si>
    <t>McGorty</t>
  </si>
  <si>
    <t>Rutigliano</t>
  </si>
  <si>
    <t>Andre</t>
  </si>
  <si>
    <t>Carson,</t>
  </si>
  <si>
    <t>Chair Agriculture</t>
  </si>
  <si>
    <t>Public Safety and Homeland Sec</t>
  </si>
  <si>
    <t>Smyrna</t>
  </si>
  <si>
    <t>Leadership for Mailers</t>
  </si>
  <si>
    <t>Bush</t>
  </si>
  <si>
    <t>Vice Chair Agricutlure</t>
  </si>
  <si>
    <t>eeeee</t>
  </si>
  <si>
    <t>O'Dea</t>
  </si>
  <si>
    <t>economic development/banking/insurance/commerce</t>
  </si>
  <si>
    <t>fff</t>
  </si>
  <si>
    <t>Charlie</t>
  </si>
  <si>
    <t>Stallworth</t>
  </si>
  <si>
    <t>Harrington</t>
  </si>
  <si>
    <t>Hennessy</t>
  </si>
  <si>
    <t>Rosario</t>
  </si>
  <si>
    <t>Stafstrom</t>
  </si>
  <si>
    <t>Co-Chair, Judiciary</t>
  </si>
  <si>
    <t>Ezequiel</t>
  </si>
  <si>
    <t>Labriola</t>
  </si>
  <si>
    <t>Brenda</t>
  </si>
  <si>
    <t>Kupchick</t>
  </si>
  <si>
    <t>Cristin</t>
  </si>
  <si>
    <t>McCarthyVahey</t>
  </si>
  <si>
    <t xml:space="preserve">Chairman, Planning and Development </t>
  </si>
  <si>
    <t>Dover</t>
  </si>
  <si>
    <t>Devlin</t>
  </si>
  <si>
    <t>Andria</t>
  </si>
  <si>
    <t>Bennett</t>
  </si>
  <si>
    <t>Highes</t>
  </si>
  <si>
    <t>Postles</t>
  </si>
  <si>
    <t>Steinberg</t>
  </si>
  <si>
    <t>Chairman, Public Health</t>
  </si>
  <si>
    <t>Lyndon</t>
  </si>
  <si>
    <t>Yearick</t>
  </si>
  <si>
    <t>Public Integrity &amp; Ethics</t>
  </si>
  <si>
    <t>Vanderwende</t>
  </si>
  <si>
    <t>called/emailed. docket is full but he supports the bill - al</t>
  </si>
  <si>
    <t>Bridgeville</t>
  </si>
  <si>
    <t>Perone</t>
  </si>
  <si>
    <t>Bryan</t>
  </si>
  <si>
    <t>Shupe</t>
  </si>
  <si>
    <t>Kenneth</t>
  </si>
  <si>
    <t>Gucker</t>
  </si>
  <si>
    <t>Ruth</t>
  </si>
  <si>
    <t>Ryan</t>
  </si>
  <si>
    <t>BriggsKing</t>
  </si>
  <si>
    <t>Georgetown/Lewes</t>
  </si>
  <si>
    <t>emailed - al</t>
  </si>
  <si>
    <t>Simms</t>
  </si>
  <si>
    <t>Jayer</t>
  </si>
  <si>
    <t>Selbyville</t>
  </si>
  <si>
    <t>Short</t>
  </si>
  <si>
    <t>Terrie</t>
  </si>
  <si>
    <t>Williamson</t>
  </si>
  <si>
    <t>Seaford</t>
  </si>
  <si>
    <t>Mel</t>
  </si>
  <si>
    <t>Lucy</t>
  </si>
  <si>
    <t>Dathan</t>
  </si>
  <si>
    <t>Dukes</t>
  </si>
  <si>
    <t>Ponder</t>
  </si>
  <si>
    <t>Health and Human Services</t>
  </si>
  <si>
    <t>Laurel</t>
  </si>
  <si>
    <t>Lavielle</t>
  </si>
  <si>
    <t>Caroline</t>
  </si>
  <si>
    <t>Simmons</t>
  </si>
  <si>
    <t>Chairman, Commerce</t>
  </si>
  <si>
    <t>State Affairs</t>
  </si>
  <si>
    <t>Millsboro</t>
  </si>
  <si>
    <t>Michel</t>
  </si>
  <si>
    <t>Blumenthal</t>
  </si>
  <si>
    <t>Fox</t>
  </si>
  <si>
    <t>Chairman, Government Administration and Elections</t>
  </si>
  <si>
    <t>Livvy</t>
  </si>
  <si>
    <t>Floren</t>
  </si>
  <si>
    <t>Meskers</t>
  </si>
  <si>
    <t>Camillo</t>
  </si>
  <si>
    <t>Trumbull</t>
  </si>
  <si>
    <t>Fonfara</t>
  </si>
  <si>
    <t>Halsey</t>
  </si>
  <si>
    <t>Legislative Aide: Mary Quinn, 860-240-0043</t>
  </si>
  <si>
    <t>http://www.senatedems.ct.gov/Fonfara-contact</t>
  </si>
  <si>
    <t>Beshears</t>
  </si>
  <si>
    <t>McDowell</t>
  </si>
  <si>
    <t>Ramon</t>
  </si>
  <si>
    <t>North Wilmington</t>
  </si>
  <si>
    <t>McCrory</t>
  </si>
  <si>
    <t>Legislative Aide: Kellie Guilbert, 860-240-1453</t>
  </si>
  <si>
    <t>http://www.senatedems.ct.gov/McCrory-contact</t>
  </si>
  <si>
    <t>Loranne</t>
  </si>
  <si>
    <t>Darius</t>
  </si>
  <si>
    <t>East Wilmington</t>
  </si>
  <si>
    <t>Ausley</t>
  </si>
  <si>
    <t>Legislative Aide: 860-240-0511</t>
  </si>
  <si>
    <t>http://www.senatedems.ct.gov/Larson-contact</t>
  </si>
  <si>
    <t>Elizabeth</t>
  </si>
  <si>
    <t>Lockman</t>
  </si>
  <si>
    <t>Brannan</t>
  </si>
  <si>
    <t>West Wilmington</t>
  </si>
  <si>
    <t>Cord</t>
  </si>
  <si>
    <t>Cassano</t>
  </si>
  <si>
    <t>Legislative Aide: Stephen Sidorak, 860-240-5302</t>
  </si>
  <si>
    <t>http://www.senatedems.ct.gov/Cassano-contact</t>
  </si>
  <si>
    <t>Sturgeon</t>
  </si>
  <si>
    <t>Sharpley</t>
  </si>
  <si>
    <t>Byrd</t>
  </si>
  <si>
    <t>Public Integrity &amp; Ethics (Vice Chair)</t>
  </si>
  <si>
    <t>Beth</t>
  </si>
  <si>
    <t>Bye</t>
  </si>
  <si>
    <t>Legislative Aide: Susie Gardiner, 860-240-0428</t>
  </si>
  <si>
    <t>http://www.senatedems.ct.gov/Bye-contact</t>
  </si>
  <si>
    <t>Theresa</t>
  </si>
  <si>
    <t>Yarborough</t>
  </si>
  <si>
    <t>Gerratana</t>
  </si>
  <si>
    <t>Legislative Aide: Terri Reid, 860-240-0584</t>
  </si>
  <si>
    <t>Tracie</t>
  </si>
  <si>
    <t>http://www.senatedems.ct.gov/Gerratana-contact</t>
  </si>
  <si>
    <t>Cloutier</t>
  </si>
  <si>
    <t>Heatherbrooke</t>
  </si>
  <si>
    <t>Ernesto</t>
  </si>
  <si>
    <t>Lopez</t>
  </si>
  <si>
    <t>Lewes</t>
  </si>
  <si>
    <t>Kissel</t>
  </si>
  <si>
    <t>John.A.Kissel@cga.ct.gov</t>
  </si>
  <si>
    <t>Wyman</t>
  </si>
  <si>
    <t>Duggan</t>
  </si>
  <si>
    <t>Fischer</t>
  </si>
  <si>
    <t xml:space="preserve">Commerce (Vice Chair) </t>
  </si>
  <si>
    <t>Witkos</t>
  </si>
  <si>
    <t>Kevin.Witkos@cga.ct.gov</t>
  </si>
  <si>
    <t>Delcollo</t>
  </si>
  <si>
    <t>Cyndi</t>
  </si>
  <si>
    <t>Winfield</t>
  </si>
  <si>
    <t>Legislative Aide: Omena McCoy, 860-240-0393</t>
  </si>
  <si>
    <t>http://www.senatedems.ct.gov/Winfield-contact</t>
  </si>
  <si>
    <t>Stevenson</t>
  </si>
  <si>
    <t>emailed</t>
  </si>
  <si>
    <t>Sokola</t>
  </si>
  <si>
    <t xml:space="preserve"> emailed - al</t>
  </si>
  <si>
    <t>Looney</t>
  </si>
  <si>
    <t>President Pro Temp</t>
  </si>
  <si>
    <t>Looney@senatedems.ct.gov</t>
  </si>
  <si>
    <t>Walsh</t>
  </si>
  <si>
    <t>Cohen</t>
  </si>
  <si>
    <t>Abrams</t>
  </si>
  <si>
    <t>Clovis</t>
  </si>
  <si>
    <t>Maroney</t>
  </si>
  <si>
    <t>Joan</t>
  </si>
  <si>
    <t>Hartley</t>
  </si>
  <si>
    <t>Hartley@senatedems.ct.gov</t>
  </si>
  <si>
    <t>Clemons</t>
  </si>
  <si>
    <t>Sampson</t>
  </si>
  <si>
    <t>Logan</t>
  </si>
  <si>
    <t>George.Logan@cga.ct.gov</t>
  </si>
  <si>
    <t>Somers</t>
  </si>
  <si>
    <t>Heather.Somers@cga.ct.gov</t>
  </si>
  <si>
    <t>McClain</t>
  </si>
  <si>
    <t>Westover Woods</t>
  </si>
  <si>
    <t>Osten</t>
  </si>
  <si>
    <t>Legislative Aide: Stephen Palmer, 860-240-0579</t>
  </si>
  <si>
    <t>http://www.senatedems.ct.gov/Osten-contact</t>
  </si>
  <si>
    <t>Renner</t>
  </si>
  <si>
    <t>contaced - al</t>
  </si>
  <si>
    <t>Poore</t>
  </si>
  <si>
    <t>Barbs Farm</t>
  </si>
  <si>
    <t>Leek</t>
  </si>
  <si>
    <t>Public Integrity &amp; Ethics (Chair)</t>
  </si>
  <si>
    <t>Fetterhoff</t>
  </si>
  <si>
    <t>called - al</t>
  </si>
  <si>
    <t>Formica</t>
  </si>
  <si>
    <t>Paul.Formica@cga.ct.gov</t>
  </si>
  <si>
    <t>McBride</t>
  </si>
  <si>
    <t>Hawk's Nest</t>
  </si>
  <si>
    <t>Plakon</t>
  </si>
  <si>
    <t>Kevin.Kelly@cga.ct.gov</t>
  </si>
  <si>
    <t>State Affairs (Vice Chair)</t>
  </si>
  <si>
    <t>emialed - al</t>
  </si>
  <si>
    <t>Marilyn</t>
  </si>
  <si>
    <t>Joy</t>
  </si>
  <si>
    <t>Goff-Marcil</t>
  </si>
  <si>
    <t>Legislative Aide: Dionne Abrams, 860-240-0425</t>
  </si>
  <si>
    <t>http://www.senatedems.ct.gov/Moore-contact</t>
  </si>
  <si>
    <t>called</t>
  </si>
  <si>
    <t>Ennis</t>
  </si>
  <si>
    <t>Sabatini</t>
  </si>
  <si>
    <t>Dem[6]</t>
  </si>
  <si>
    <t>Hage</t>
  </si>
  <si>
    <t>Massullo</t>
  </si>
  <si>
    <t>emailed- al</t>
  </si>
  <si>
    <t>Lawson</t>
  </si>
  <si>
    <t>Blaise</t>
  </si>
  <si>
    <t>Marydel</t>
  </si>
  <si>
    <t>Ingoglia</t>
  </si>
  <si>
    <t>State Affairs (Chair)</t>
  </si>
  <si>
    <t>Amber</t>
  </si>
  <si>
    <t>Mariano</t>
  </si>
  <si>
    <t>Kushner</t>
  </si>
  <si>
    <t>called. Emailed - al</t>
  </si>
  <si>
    <t>Ardian</t>
  </si>
  <si>
    <t>Zika</t>
  </si>
  <si>
    <t>Bonini</t>
  </si>
  <si>
    <t>South Dover</t>
  </si>
  <si>
    <t>Burgess</t>
  </si>
  <si>
    <t>Josie</t>
  </si>
  <si>
    <t>Tomkow</t>
  </si>
  <si>
    <t>Trey</t>
  </si>
  <si>
    <t>Paradee</t>
  </si>
  <si>
    <t>Duff</t>
  </si>
  <si>
    <t>Bob.Duff@cga.ct.gov</t>
  </si>
  <si>
    <t>North Dover</t>
  </si>
  <si>
    <t>Burton</t>
  </si>
  <si>
    <t>Purcell</t>
  </si>
  <si>
    <t>Milford</t>
  </si>
  <si>
    <t>Killebrew</t>
  </si>
  <si>
    <t>Boucher</t>
  </si>
  <si>
    <t>Co-Majority Leader</t>
  </si>
  <si>
    <t>Toni.Boucher@cga.ct.gov</t>
  </si>
  <si>
    <t>Carlo</t>
  </si>
  <si>
    <t>LaRosa</t>
  </si>
  <si>
    <t>Leone</t>
  </si>
  <si>
    <t>Legislatie Aide: Lindsay Van Buren, 860-240-0589</t>
  </si>
  <si>
    <t>http://www.senatedems.ct.gov/Leone-contact</t>
  </si>
  <si>
    <t>Cortes</t>
  </si>
  <si>
    <t>Pettyjohn</t>
  </si>
  <si>
    <t>Georgetown</t>
  </si>
  <si>
    <t>Kamia</t>
  </si>
  <si>
    <t>contacted - will not sponsor</t>
  </si>
  <si>
    <t>Hwang</t>
  </si>
  <si>
    <t>Tony.Hwang@cga.ct.gov</t>
  </si>
  <si>
    <t>Mae</t>
  </si>
  <si>
    <t>Antone</t>
  </si>
  <si>
    <t>Eskamani</t>
  </si>
  <si>
    <t>Hocker</t>
  </si>
  <si>
    <t>Ocean View</t>
  </si>
  <si>
    <t>Amy</t>
  </si>
  <si>
    <t>Flexer</t>
  </si>
  <si>
    <t>Legislative Aide: 860-240-8634</t>
  </si>
  <si>
    <t>Mercado</t>
  </si>
  <si>
    <t>Miner</t>
  </si>
  <si>
    <t>Craig.Miner@cga.ct.gov</t>
  </si>
  <si>
    <t>Carlos</t>
  </si>
  <si>
    <t>Bryant</t>
  </si>
  <si>
    <t>Henri</t>
  </si>
  <si>
    <t>Rene</t>
  </si>
  <si>
    <t>Henri.Martin@cga.ct.gov</t>
  </si>
  <si>
    <t>Plasencia</t>
  </si>
  <si>
    <t>Sirois</t>
  </si>
  <si>
    <t>BluntRochester</t>
  </si>
  <si>
    <t>Berthel</t>
  </si>
  <si>
    <t>Eric.Berthel@cga.ct.gov</t>
  </si>
  <si>
    <t>Coons</t>
  </si>
  <si>
    <t>Carper</t>
  </si>
  <si>
    <t>Jennings</t>
  </si>
  <si>
    <t>Altman</t>
  </si>
  <si>
    <t>Art</t>
  </si>
  <si>
    <t>Linares</t>
  </si>
  <si>
    <t>Art.Linares@cga.ct.gov</t>
  </si>
  <si>
    <t>Fine</t>
  </si>
  <si>
    <t>Len</t>
  </si>
  <si>
    <t>Erin</t>
  </si>
  <si>
    <t>Fasano</t>
  </si>
  <si>
    <t>Grall</t>
  </si>
  <si>
    <t>Co-President Pro Temp</t>
  </si>
  <si>
    <t>Len.Fasano@cga.ct.gov</t>
  </si>
  <si>
    <t>LM. emailed - al</t>
  </si>
  <si>
    <t>Cary</t>
  </si>
  <si>
    <t>Pigman</t>
  </si>
  <si>
    <t>Health and Human Services (Vice Chair)</t>
  </si>
  <si>
    <t>at capacity</t>
  </si>
  <si>
    <t>Guglielmo</t>
  </si>
  <si>
    <t>Anthony.Guglielmo@cga.ct.gov</t>
  </si>
  <si>
    <t>Melony</t>
  </si>
  <si>
    <t>Bell</t>
  </si>
  <si>
    <t>Beltran</t>
  </si>
  <si>
    <t>spoke with aide and sent over info. They are at capacity but might be willing to drop other bills in order to sponsor. Left VM - al</t>
  </si>
  <si>
    <t>Alexandra</t>
  </si>
  <si>
    <t>Bergstein</t>
  </si>
  <si>
    <t>Ned</t>
  </si>
  <si>
    <t>Lamont</t>
  </si>
  <si>
    <t>Courtney</t>
  </si>
  <si>
    <t>DeLauro</t>
  </si>
  <si>
    <t>McClure</t>
  </si>
  <si>
    <t>Himes</t>
  </si>
  <si>
    <t>Jahana</t>
  </si>
  <si>
    <t>Murphy</t>
  </si>
  <si>
    <t>Hattersley</t>
  </si>
  <si>
    <t>Tong</t>
  </si>
  <si>
    <t>Toledo</t>
  </si>
  <si>
    <t>Hart</t>
  </si>
  <si>
    <t>Valdes</t>
  </si>
  <si>
    <t>Fentrice</t>
  </si>
  <si>
    <t>Driskell</t>
  </si>
  <si>
    <t xml:space="preserve">spoke with aide and provided bill info. They are at capacity but like the bill. </t>
  </si>
  <si>
    <t>Sprowls</t>
  </si>
  <si>
    <t>LM</t>
  </si>
  <si>
    <t>Nick</t>
  </si>
  <si>
    <t>DiCeglie</t>
  </si>
  <si>
    <t>Latvala</t>
  </si>
  <si>
    <t>LM - worst message ever</t>
  </si>
  <si>
    <t>Diamond</t>
  </si>
  <si>
    <t>been in contact</t>
  </si>
  <si>
    <t>Webb</t>
  </si>
  <si>
    <t>Wengay</t>
  </si>
  <si>
    <t>Newton</t>
  </si>
  <si>
    <t>Robinson</t>
  </si>
  <si>
    <t>Margaret</t>
  </si>
  <si>
    <t>Good</t>
  </si>
  <si>
    <t>LM. contacted. Will support if chair brings it forward</t>
  </si>
  <si>
    <t>Buchanan</t>
  </si>
  <si>
    <t>Rodrigues</t>
  </si>
  <si>
    <t>Health and Human Services (Chair)</t>
  </si>
  <si>
    <t>Dane</t>
  </si>
  <si>
    <t>Not bringing forward any bills</t>
  </si>
  <si>
    <t>Fitzenhagen</t>
  </si>
  <si>
    <t>LM. been in contact</t>
  </si>
  <si>
    <t>Roach</t>
  </si>
  <si>
    <t>Donalds</t>
  </si>
  <si>
    <t>Too many bills</t>
  </si>
  <si>
    <t>Tina</t>
  </si>
  <si>
    <t>Polsky</t>
  </si>
  <si>
    <t>MaryLynn</t>
  </si>
  <si>
    <t>Magar</t>
  </si>
  <si>
    <t>Speaker Pro-Tempore</t>
  </si>
  <si>
    <t>Toby</t>
  </si>
  <si>
    <t>Overdorf</t>
  </si>
  <si>
    <t>Send details to Joey.Planz@myfloridahouse.gov; Sponsoring a Human Trafficking bill as well</t>
  </si>
  <si>
    <t>Delores</t>
  </si>
  <si>
    <t>Willhite</t>
  </si>
  <si>
    <t>Silvers</t>
  </si>
  <si>
    <t>Jacquet</t>
  </si>
  <si>
    <t>Caruso</t>
  </si>
  <si>
    <t>At Capacity</t>
  </si>
  <si>
    <t>Casello</t>
  </si>
  <si>
    <t>Slosberg</t>
  </si>
  <si>
    <t>Hawkins-Williams</t>
  </si>
  <si>
    <t>LaMarca</t>
  </si>
  <si>
    <t>Send details to: Samantha.Verner@myfloridahouse.gov</t>
  </si>
  <si>
    <t>DuBose</t>
  </si>
  <si>
    <t>Barrington</t>
  </si>
  <si>
    <t>Kristin</t>
  </si>
  <si>
    <t>Jacobs</t>
  </si>
  <si>
    <t>Moskowitz</t>
  </si>
  <si>
    <t>Gottlieb</t>
  </si>
  <si>
    <t>Jenne</t>
  </si>
  <si>
    <t>Colton</t>
  </si>
  <si>
    <t>Geller</t>
  </si>
  <si>
    <t>Shevrin</t>
  </si>
  <si>
    <t>Pritchett</t>
  </si>
  <si>
    <t>Polo</t>
  </si>
  <si>
    <t>Tarvin</t>
  </si>
  <si>
    <t>Stark</t>
  </si>
  <si>
    <t>Dewayne</t>
  </si>
  <si>
    <t>Ana</t>
  </si>
  <si>
    <t>Kasey</t>
  </si>
  <si>
    <t>Rommel</t>
  </si>
  <si>
    <t>Meadows</t>
  </si>
  <si>
    <t>Dotie</t>
  </si>
  <si>
    <t>Oliva</t>
  </si>
  <si>
    <t>Spoke with Corey Dowd; Speaker does not bring bills forward and is unsure of any rep without full capacity. Wants to stay informed if we find sponsor and will share news with the Speaker.</t>
  </si>
  <si>
    <t>Ridley</t>
  </si>
  <si>
    <t>Avila</t>
  </si>
  <si>
    <t>Economic Affairs (Chair)</t>
  </si>
  <si>
    <t>Nicholas</t>
  </si>
  <si>
    <t>Ralston</t>
  </si>
  <si>
    <t>Grieco</t>
  </si>
  <si>
    <t>Javier</t>
  </si>
  <si>
    <t>Aloupis</t>
  </si>
  <si>
    <t>Gurtler</t>
  </si>
  <si>
    <t>Perez</t>
  </si>
  <si>
    <t>Kionne</t>
  </si>
  <si>
    <t>Tanner</t>
  </si>
  <si>
    <t>McGhee</t>
  </si>
  <si>
    <t>Nakashima</t>
  </si>
  <si>
    <t>Vice Speaker</t>
  </si>
  <si>
    <t>Legislative Management (Vice chair)</t>
  </si>
  <si>
    <t>Fernandez-Barquin</t>
  </si>
  <si>
    <t>808-586-6680</t>
  </si>
  <si>
    <t>repnakashima@Capitol.hawaii.gov</t>
  </si>
  <si>
    <t>Raschein</t>
  </si>
  <si>
    <t>Jasperse</t>
  </si>
  <si>
    <t>Hawai'i</t>
  </si>
  <si>
    <t>Lumsden</t>
  </si>
  <si>
    <t>808-586-8480</t>
  </si>
  <si>
    <t>reptodd@Capitol.hawaii.gov</t>
  </si>
  <si>
    <t>Broxson</t>
  </si>
  <si>
    <t>Banking and Insurance (Chair)</t>
  </si>
  <si>
    <t>Community Affairs</t>
  </si>
  <si>
    <t>Onishi</t>
  </si>
  <si>
    <t>Dempsey</t>
  </si>
  <si>
    <t>Tourism and International Affairs (chair)</t>
  </si>
  <si>
    <t>808-586-6120</t>
  </si>
  <si>
    <t>reponishi@Capitol.hawaii.gov</t>
  </si>
  <si>
    <t>Christian</t>
  </si>
  <si>
    <t>Coomer</t>
  </si>
  <si>
    <t>Buenaventura</t>
  </si>
  <si>
    <t>Judiciary (vice chair)</t>
  </si>
  <si>
    <t>Health</t>
  </si>
  <si>
    <t>Human Services and Homelessness (chair)</t>
  </si>
  <si>
    <t>808-586-6530</t>
  </si>
  <si>
    <t>repsanbuenaventura@Capitol.hawaii.gov</t>
  </si>
  <si>
    <t>Gainer</t>
  </si>
  <si>
    <t>Finance and Tax (Chair)</t>
  </si>
  <si>
    <t>Military and Veterans Affairs and Space</t>
  </si>
  <si>
    <t>Gambil</t>
  </si>
  <si>
    <t>Montford</t>
  </si>
  <si>
    <t>Enviornment and Natural Resource (Chair)</t>
  </si>
  <si>
    <t>Creagan</t>
  </si>
  <si>
    <t>Agriculture (chair)</t>
  </si>
  <si>
    <t>Tourism and International Affairs</t>
  </si>
  <si>
    <t>808-586-9605</t>
  </si>
  <si>
    <t>repcreagan@Capitol.hawaii.gov</t>
  </si>
  <si>
    <t>Kelley</t>
  </si>
  <si>
    <t>Bean</t>
  </si>
  <si>
    <t>Children, Families and Elder Affairs</t>
  </si>
  <si>
    <t>Health Policy</t>
  </si>
  <si>
    <t>Governmental Oversight and Accountability</t>
  </si>
  <si>
    <t>Infrastructure and Security</t>
  </si>
  <si>
    <t>Lowen</t>
  </si>
  <si>
    <t>Momtahan</t>
  </si>
  <si>
    <t>Water, Land, Hawaiian Affairs</t>
  </si>
  <si>
    <t>Energy and Environmental Protection (chair)</t>
  </si>
  <si>
    <t>808-586-8400</t>
  </si>
  <si>
    <t>replowen@Capitol.hawaii.gov</t>
  </si>
  <si>
    <t>Innovation, Industry and Technology</t>
  </si>
  <si>
    <t>Tarnas</t>
  </si>
  <si>
    <t>Lower and Higher education</t>
  </si>
  <si>
    <t>808-586-8510</t>
  </si>
  <si>
    <t>reptarnas@Capitol.hawaii.gov</t>
  </si>
  <si>
    <t>Troy</t>
  </si>
  <si>
    <t>Audrey</t>
  </si>
  <si>
    <t>Hashimoto</t>
  </si>
  <si>
    <t>Transportation (vice chair)</t>
  </si>
  <si>
    <t>Housing</t>
  </si>
  <si>
    <t>808-586-9444</t>
  </si>
  <si>
    <t>rephashimoto@Capitol.hawaii.gov</t>
  </si>
  <si>
    <t>Maui</t>
  </si>
  <si>
    <t>Gullett</t>
  </si>
  <si>
    <t>Woodson</t>
  </si>
  <si>
    <t>Lower and Higher Education(Chair)</t>
  </si>
  <si>
    <t>808-586-6210</t>
  </si>
  <si>
    <t>repwoodson@Capitol.hawaii.gov</t>
  </si>
  <si>
    <t>Angus</t>
  </si>
  <si>
    <t>Hutson</t>
  </si>
  <si>
    <t>Commerce and Tourism</t>
  </si>
  <si>
    <t>Rules, Appropriations</t>
  </si>
  <si>
    <t>McKelvey</t>
  </si>
  <si>
    <t>Labor&amp;public employment</t>
  </si>
  <si>
    <t>economic development (chair)</t>
  </si>
  <si>
    <t>808-586-6160</t>
  </si>
  <si>
    <t>repmckelvey@Capitol.hawaii.gov</t>
  </si>
  <si>
    <t>Criminal Justice (Chair)</t>
  </si>
  <si>
    <t>Infrastructure and Security (Vice Chair)</t>
  </si>
  <si>
    <t>Banking and Insurance</t>
  </si>
  <si>
    <t>Wildberger</t>
  </si>
  <si>
    <t>Energy and Environment (Vice chair)</t>
  </si>
  <si>
    <t>Scot</t>
  </si>
  <si>
    <t>808-586-8525</t>
  </si>
  <si>
    <t>repwildberger@Capitol.hawaii.gov</t>
  </si>
  <si>
    <t>Turner</t>
  </si>
  <si>
    <t>Wilton</t>
  </si>
  <si>
    <t>Yamashita</t>
  </si>
  <si>
    <t>Labor and Public Employment</t>
  </si>
  <si>
    <t>808-586-6330</t>
  </si>
  <si>
    <t>repyamashita@Capitol.hawaii.gov</t>
  </si>
  <si>
    <t>Cantrell</t>
  </si>
  <si>
    <t>Innovation, Industry and Technology (Chair)</t>
  </si>
  <si>
    <t>Mandi</t>
  </si>
  <si>
    <t>Randolph</t>
  </si>
  <si>
    <t>DeCoite</t>
  </si>
  <si>
    <t>Agriculture (vice chair)</t>
  </si>
  <si>
    <t>Lower and Higher Ed</t>
  </si>
  <si>
    <t>808-586-6790</t>
  </si>
  <si>
    <t>repdecoite@Capitol.hawaii.gov</t>
  </si>
  <si>
    <t>Criminal Justice</t>
  </si>
  <si>
    <t>Finance and Tax</t>
  </si>
  <si>
    <t>Maui, Kalawao</t>
  </si>
  <si>
    <t>Nadine</t>
  </si>
  <si>
    <t>Sheri</t>
  </si>
  <si>
    <t>Baxley</t>
  </si>
  <si>
    <t>Ethics and Elections (Chair)</t>
  </si>
  <si>
    <t>Gilligan</t>
  </si>
  <si>
    <t>Nakamura</t>
  </si>
  <si>
    <t>Human Services and Homelessness (vice chair)</t>
  </si>
  <si>
    <t>808-586-8435</t>
  </si>
  <si>
    <t>repnakamura@Capitol.hawaii.gov</t>
  </si>
  <si>
    <t>Stewart</t>
  </si>
  <si>
    <t>Wright</t>
  </si>
  <si>
    <t>Military and Veterans Affairs and Space (Chair)</t>
  </si>
  <si>
    <t>Enviornment and Natural Resources</t>
  </si>
  <si>
    <t>Kaua'i</t>
  </si>
  <si>
    <t>Tokioka</t>
  </si>
  <si>
    <t>Human Services and Homelessness</t>
  </si>
  <si>
    <t>808-586-6270</t>
  </si>
  <si>
    <t>Commerce and Tourism (Vice Chair)</t>
  </si>
  <si>
    <t>reptokioka@Capitol.hawaii.gov</t>
  </si>
  <si>
    <t>Dee</t>
  </si>
  <si>
    <t>Hooper</t>
  </si>
  <si>
    <t>Government Oversight and Accountability (Chair)</t>
  </si>
  <si>
    <t>Hawkins</t>
  </si>
  <si>
    <t>Morikawa</t>
  </si>
  <si>
    <t>Majority Floor Leader</t>
  </si>
  <si>
    <t>Legislative Management</t>
  </si>
  <si>
    <t>808-586-6280</t>
  </si>
  <si>
    <t>repmorikawa@Capitol.hawaii.gov</t>
  </si>
  <si>
    <t>Erwin</t>
  </si>
  <si>
    <t>Mayfield</t>
  </si>
  <si>
    <t>Children, Families and Elder Affairs (Vice Chair)</t>
  </si>
  <si>
    <t>Gene</t>
  </si>
  <si>
    <t>Cruz</t>
  </si>
  <si>
    <t xml:space="preserve">Military and Veterans Affairs and Space (Vice Chair) </t>
  </si>
  <si>
    <t>Darryl</t>
  </si>
  <si>
    <t>Dubnik</t>
  </si>
  <si>
    <t>808-586-6420</t>
  </si>
  <si>
    <t>repward@Capitol.hawaii.gov</t>
  </si>
  <si>
    <t>Rouson</t>
  </si>
  <si>
    <t>Emory</t>
  </si>
  <si>
    <t>Banking and Insurance (Vice Chair)</t>
  </si>
  <si>
    <t>Dunahoo</t>
  </si>
  <si>
    <t>Honolulu</t>
  </si>
  <si>
    <t>Infrastructure and Security (Chair)</t>
  </si>
  <si>
    <t>Hashem</t>
  </si>
  <si>
    <t>808-586-6510</t>
  </si>
  <si>
    <t>rephashem@Capitol.hawaii.gov</t>
  </si>
  <si>
    <t>Bertrand</t>
  </si>
  <si>
    <t>Galvano</t>
  </si>
  <si>
    <t>Kobayashi</t>
  </si>
  <si>
    <t>Health (vice chair)</t>
  </si>
  <si>
    <t>808-586-6310</t>
  </si>
  <si>
    <t>repkobayashi@Capitol.hawaii.gov</t>
  </si>
  <si>
    <t>Powell</t>
  </si>
  <si>
    <t>Calvin</t>
  </si>
  <si>
    <t>Say</t>
  </si>
  <si>
    <t>Speaker Emeritus</t>
  </si>
  <si>
    <t>Stargel</t>
  </si>
  <si>
    <t>Ethics and Elections</t>
  </si>
  <si>
    <t>Gruters</t>
  </si>
  <si>
    <t>Commerce and Tourism (Chair)</t>
  </si>
  <si>
    <t>Finance and Tax (Vice Chair)</t>
  </si>
  <si>
    <t>808-586-6900</t>
  </si>
  <si>
    <t>McCall</t>
  </si>
  <si>
    <t>repsay@Capitol.hawaii.gov</t>
  </si>
  <si>
    <t>Brandes</t>
  </si>
  <si>
    <t>Criminal Justice (Vice Chair)</t>
  </si>
  <si>
    <t>Reeves</t>
  </si>
  <si>
    <t>Nishimoto</t>
  </si>
  <si>
    <t>Intrastate commerce</t>
  </si>
  <si>
    <t>808-586-8515</t>
  </si>
  <si>
    <t>Gayle</t>
  </si>
  <si>
    <t>Harrell</t>
  </si>
  <si>
    <t>repnishimoto@Capitol.hawaii.gov</t>
  </si>
  <si>
    <t>Health Policy (Chair)</t>
  </si>
  <si>
    <t>Enviornment and Natural Resource (Vice Chair)</t>
  </si>
  <si>
    <t>Lizbeth</t>
  </si>
  <si>
    <t>Setzler</t>
  </si>
  <si>
    <t>Benacquisto</t>
  </si>
  <si>
    <t>Innovation, Industry and Technology (Vice Chair)</t>
  </si>
  <si>
    <t>Brower</t>
  </si>
  <si>
    <t>Housing (chair)</t>
  </si>
  <si>
    <t>808-586-8520</t>
  </si>
  <si>
    <t>repbrower@Capitol.hawaii.gov</t>
  </si>
  <si>
    <t>Ehrhart</t>
  </si>
  <si>
    <t>Dale</t>
  </si>
  <si>
    <t>Intrastate commerce (vice chair)</t>
  </si>
  <si>
    <t>808-586-8475</t>
  </si>
  <si>
    <t>repdkobayashi@Capitol.hawaii.gov</t>
  </si>
  <si>
    <t>Passidomo</t>
  </si>
  <si>
    <t>Della</t>
  </si>
  <si>
    <t>Teasley</t>
  </si>
  <si>
    <t>AuBelatti</t>
  </si>
  <si>
    <t>808-586-9425</t>
  </si>
  <si>
    <t>repbelatti@Capitol.hawaii.gov</t>
  </si>
  <si>
    <t>Rader</t>
  </si>
  <si>
    <t>Government Oversight and Accountability (Vice Chair)</t>
  </si>
  <si>
    <t>Wilkerson</t>
  </si>
  <si>
    <t>Luke</t>
  </si>
  <si>
    <t>808-586-6200</t>
  </si>
  <si>
    <t>repluke@Capitol.hawaii.gov</t>
  </si>
  <si>
    <t>Erica</t>
  </si>
  <si>
    <t>Health Policy (Vice Chair)</t>
  </si>
  <si>
    <t>Saiki</t>
  </si>
  <si>
    <t>808-586-6100</t>
  </si>
  <si>
    <t>repsaiki@Capitol.hawaii.gov</t>
  </si>
  <si>
    <t>Lauren</t>
  </si>
  <si>
    <t>Takashi</t>
  </si>
  <si>
    <t>Book</t>
  </si>
  <si>
    <t>Children, Families and Elder Affairs (Chair)</t>
  </si>
  <si>
    <t>Ohno</t>
  </si>
  <si>
    <t>Interstate Commerce (Chair)</t>
  </si>
  <si>
    <t>Erick</t>
  </si>
  <si>
    <t>808-586-9415</t>
  </si>
  <si>
    <t>repohno@Capitol.hawaii.gov</t>
  </si>
  <si>
    <t>Thurston</t>
  </si>
  <si>
    <t>Mizuno</t>
  </si>
  <si>
    <t>Health (chair)</t>
  </si>
  <si>
    <t>808-586-6050</t>
  </si>
  <si>
    <t>repmizuno@Capitol.hawaii.gov</t>
  </si>
  <si>
    <t>Farmer</t>
  </si>
  <si>
    <t>Community Affairs (Vice Chair)</t>
  </si>
  <si>
    <t>Anulewicz</t>
  </si>
  <si>
    <t>Oscar</t>
  </si>
  <si>
    <t>Braynon</t>
  </si>
  <si>
    <t>Ethics and Elections (Vice Chair)</t>
  </si>
  <si>
    <t>Manny</t>
  </si>
  <si>
    <t>Diaz</t>
  </si>
  <si>
    <t>Holt</t>
  </si>
  <si>
    <t>Tourism and International Affairs (vice chair)</t>
  </si>
  <si>
    <t>José</t>
  </si>
  <si>
    <t>808-586-6180</t>
  </si>
  <si>
    <t>repholt@Capitol.hawaii.gov</t>
  </si>
  <si>
    <t>Romy</t>
  </si>
  <si>
    <t>Rodríguez</t>
  </si>
  <si>
    <t>Parsons</t>
  </si>
  <si>
    <t>Cachola</t>
  </si>
  <si>
    <t>808-586-6010</t>
  </si>
  <si>
    <t>repcachola@Capitol.hawaii.gov</t>
  </si>
  <si>
    <t>Pizzo</t>
  </si>
  <si>
    <t>Anitere</t>
  </si>
  <si>
    <t>Dollar</t>
  </si>
  <si>
    <t>Flores</t>
  </si>
  <si>
    <t>Community Affairs (Chair)</t>
  </si>
  <si>
    <t>Johanson</t>
  </si>
  <si>
    <t>Dem[5]</t>
  </si>
  <si>
    <t>Carson</t>
  </si>
  <si>
    <t>Annette</t>
  </si>
  <si>
    <t>Jan</t>
  </si>
  <si>
    <t>Taddeo</t>
  </si>
  <si>
    <t>Labor and Public employment (chair)</t>
  </si>
  <si>
    <t>808-586-9470</t>
  </si>
  <si>
    <t>repjohanson@Capitol.hawaii.gov</t>
  </si>
  <si>
    <t>DeSantis</t>
  </si>
  <si>
    <t>Ichiyama</t>
  </si>
  <si>
    <t>Consumer Protection and Commerce (vice chair)</t>
  </si>
  <si>
    <t>808-586-6220</t>
  </si>
  <si>
    <t>repichiyama@Capitol.hawaii.gov</t>
  </si>
  <si>
    <t>Betty</t>
  </si>
  <si>
    <t>Gaetz</t>
  </si>
  <si>
    <t>Yoho</t>
  </si>
  <si>
    <t>Rutherford</t>
  </si>
  <si>
    <t>Waltz</t>
  </si>
  <si>
    <t>Posey</t>
  </si>
  <si>
    <t>Darren</t>
  </si>
  <si>
    <t>Val</t>
  </si>
  <si>
    <t>Demings</t>
  </si>
  <si>
    <t>Webster</t>
  </si>
  <si>
    <t>Gus</t>
  </si>
  <si>
    <t>Bilirakis</t>
  </si>
  <si>
    <t>Crist</t>
  </si>
  <si>
    <t>Kong</t>
  </si>
  <si>
    <t>Castor</t>
  </si>
  <si>
    <t>Roos</t>
  </si>
  <si>
    <t>Spano</t>
  </si>
  <si>
    <t>808-586-8455</t>
  </si>
  <si>
    <t>repkong@Capitol.hawaii.gov</t>
  </si>
  <si>
    <t>Vern</t>
  </si>
  <si>
    <t>Steube</t>
  </si>
  <si>
    <t>Mast</t>
  </si>
  <si>
    <t>Francis</t>
  </si>
  <si>
    <t>Rooney</t>
  </si>
  <si>
    <t>Alcee</t>
  </si>
  <si>
    <t>Hastings</t>
  </si>
  <si>
    <t>Frankel</t>
  </si>
  <si>
    <t>Gregg</t>
  </si>
  <si>
    <t>Deutch</t>
  </si>
  <si>
    <t>Debbie Wasserman</t>
  </si>
  <si>
    <t>Schultz</t>
  </si>
  <si>
    <t>Frederica</t>
  </si>
  <si>
    <t>Mario</t>
  </si>
  <si>
    <t>Diaz-Balart</t>
  </si>
  <si>
    <t>Mucarsel-Powell</t>
  </si>
  <si>
    <t>Donna</t>
  </si>
  <si>
    <t>Shalala</t>
  </si>
  <si>
    <t>Takayama</t>
  </si>
  <si>
    <t>Public Safety (chair)</t>
  </si>
  <si>
    <t>808-586-6340</t>
  </si>
  <si>
    <t>reptakayama@Capitol.hawaii.gov</t>
  </si>
  <si>
    <t>Marco</t>
  </si>
  <si>
    <t>Roy</t>
  </si>
  <si>
    <t>Takumi</t>
  </si>
  <si>
    <t>Consumer Protection and Commerce (chair)</t>
  </si>
  <si>
    <t>Ashley</t>
  </si>
  <si>
    <t>808-586-6170</t>
  </si>
  <si>
    <t>Moody</t>
  </si>
  <si>
    <t>reptakumi@Capitol.hawaii.gov</t>
  </si>
  <si>
    <t>Raffensperger</t>
  </si>
  <si>
    <t>Okimoto</t>
  </si>
  <si>
    <t>808-586-9460</t>
  </si>
  <si>
    <t>repokimoto@Capitol.hawaii.gov</t>
  </si>
  <si>
    <t>McLaurin</t>
  </si>
  <si>
    <t>Yamane</t>
  </si>
  <si>
    <t>Water, Land, Hawaiian Affairs (chair)</t>
  </si>
  <si>
    <t>808-586-6150</t>
  </si>
  <si>
    <t>repyamane@Capitol.hawaii.gov</t>
  </si>
  <si>
    <t>Silcox</t>
  </si>
  <si>
    <t>Aquino</t>
  </si>
  <si>
    <t>Transportation (chair)</t>
  </si>
  <si>
    <t>808-586-6520</t>
  </si>
  <si>
    <t>repaquino@Capitol.hawaii.gov</t>
  </si>
  <si>
    <t>Sheila</t>
  </si>
  <si>
    <t>Ty</t>
  </si>
  <si>
    <t>Betsy</t>
  </si>
  <si>
    <t>Holland</t>
  </si>
  <si>
    <t>Cullen</t>
  </si>
  <si>
    <t>Legislative Management (chair)</t>
  </si>
  <si>
    <t>808-586-8490</t>
  </si>
  <si>
    <t>repcullen@Capitol.hawaii.gov</t>
  </si>
  <si>
    <t>Metze</t>
  </si>
  <si>
    <t>Mable</t>
  </si>
  <si>
    <t>McDermott</t>
  </si>
  <si>
    <t>Assistant Minority Floor Leader</t>
  </si>
  <si>
    <t>808-586-9730</t>
  </si>
  <si>
    <t>repmcdermott@Capitol.hawaii.gov</t>
  </si>
  <si>
    <t>Rida</t>
  </si>
  <si>
    <t>Arkawa</t>
  </si>
  <si>
    <t>808-586-6080</t>
  </si>
  <si>
    <t>repcabanilla@Capitol.hawaii.gov</t>
  </si>
  <si>
    <t>Park</t>
  </si>
  <si>
    <t>Har</t>
  </si>
  <si>
    <t>Energy and Environment</t>
  </si>
  <si>
    <t>Conusmer Protection and Commerce</t>
  </si>
  <si>
    <t>808-586-8500</t>
  </si>
  <si>
    <t>rephar@Capitol.hawaii.gov</t>
  </si>
  <si>
    <t>Cannon</t>
  </si>
  <si>
    <t>Stacelynn</t>
  </si>
  <si>
    <t>Eli</t>
  </si>
  <si>
    <t>Labor and Public Employment (vice chair)</t>
  </si>
  <si>
    <t>808-586-8465</t>
  </si>
  <si>
    <t>repeli@Capitol.hawaii.gov</t>
  </si>
  <si>
    <t>Dreyer</t>
  </si>
  <si>
    <t>Cedric</t>
  </si>
  <si>
    <t>Public Safety (vice chair)</t>
  </si>
  <si>
    <t>808-586-8460</t>
  </si>
  <si>
    <t>repgates@Capitol.hawaii.gov</t>
  </si>
  <si>
    <t>Schofield</t>
  </si>
  <si>
    <t>Matsumoto</t>
  </si>
  <si>
    <t>Minority Floor Leader</t>
  </si>
  <si>
    <t>Economic Development and Buisness</t>
  </si>
  <si>
    <t>Consumer Protection and Commerce</t>
  </si>
  <si>
    <t>808-586-9490</t>
  </si>
  <si>
    <t>repmatsumoto@Capitol.hawaii.gov</t>
  </si>
  <si>
    <t>Perruso</t>
  </si>
  <si>
    <t>Lower and Higher Education(Vice Chair)</t>
  </si>
  <si>
    <t>808-586-6700</t>
  </si>
  <si>
    <t>repperruso@Capitol.hawaii.gov</t>
  </si>
  <si>
    <t>Quinlan</t>
  </si>
  <si>
    <t>808-586-6380</t>
  </si>
  <si>
    <t>repquinlan@Capitol.hawaii.gov</t>
  </si>
  <si>
    <t>Kitagawa</t>
  </si>
  <si>
    <t>economic development (vice chair)</t>
  </si>
  <si>
    <t>808-586-8540</t>
  </si>
  <si>
    <t>repkitagawa@Capitol.hawaii.gov</t>
  </si>
  <si>
    <t>Matayoshi</t>
  </si>
  <si>
    <t>Housing (vice chair)</t>
  </si>
  <si>
    <t>808-586-8470</t>
  </si>
  <si>
    <t>repmatayoshi@Capitol.hawaii.gov</t>
  </si>
  <si>
    <t>Boddie</t>
  </si>
  <si>
    <t>Cynthia</t>
  </si>
  <si>
    <t>Thielen</t>
  </si>
  <si>
    <t>808-586-6480</t>
  </si>
  <si>
    <t>repthielen@Capitol.hawaii.gov</t>
  </si>
  <si>
    <t>808-586-9450</t>
  </si>
  <si>
    <t>replee@Capitol.hawaii.gov</t>
  </si>
  <si>
    <t>Bazemore</t>
  </si>
  <si>
    <t>Derrick</t>
  </si>
  <si>
    <t>Kaiali‘i</t>
  </si>
  <si>
    <t>Kahele</t>
  </si>
  <si>
    <t>Majority Floor leader</t>
  </si>
  <si>
    <t>Higher Education</t>
  </si>
  <si>
    <t>Hawaiian Affairs (vice chair)</t>
  </si>
  <si>
    <t>808-586-6760</t>
  </si>
  <si>
    <t>senkkahele@capitol.hawaii.gov</t>
  </si>
  <si>
    <t>Beasley-Teague</t>
  </si>
  <si>
    <t>Ruderman</t>
  </si>
  <si>
    <t>Human Services (chair)</t>
  </si>
  <si>
    <t>Agriculture and Environment (Vice Chair)</t>
  </si>
  <si>
    <t>Commerce, Consumer Protection, Health</t>
  </si>
  <si>
    <t>808-586-6890</t>
  </si>
  <si>
    <t>senruderman@capitol.hawaii.gov</t>
  </si>
  <si>
    <t>Dru</t>
  </si>
  <si>
    <t>Kanuha</t>
  </si>
  <si>
    <t>Majority Caucus leader</t>
  </si>
  <si>
    <t>Gov. operations</t>
  </si>
  <si>
    <t>808-586-9385</t>
  </si>
  <si>
    <t>senkanuha@capitol.hawaii.gov</t>
  </si>
  <si>
    <t>Lorraine</t>
  </si>
  <si>
    <t>Micah</t>
  </si>
  <si>
    <t>Inouye</t>
  </si>
  <si>
    <t>Energy, Economic development, tourism</t>
  </si>
  <si>
    <t>Gov. operations (vice chair)</t>
  </si>
  <si>
    <t>808-586-7335</t>
  </si>
  <si>
    <t>seninouye@capitol.hawaii.gov</t>
  </si>
  <si>
    <t>Gravley</t>
  </si>
  <si>
    <t>J.</t>
  </si>
  <si>
    <t>Keith-Agaran</t>
  </si>
  <si>
    <t>As. Majority Whip</t>
  </si>
  <si>
    <t xml:space="preserve">Human services </t>
  </si>
  <si>
    <t>Higher education</t>
  </si>
  <si>
    <t>Ways and Means (vice chair)</t>
  </si>
  <si>
    <t>808-586-7344</t>
  </si>
  <si>
    <t>senkeithagaran@capitol.hawaii.gov</t>
  </si>
  <si>
    <t>Rosalyn</t>
  </si>
  <si>
    <t>Commerce, Consumer Protection, Health (chair)</t>
  </si>
  <si>
    <t>Gov. Operations</t>
  </si>
  <si>
    <t>Public Safety, Intergovernmental, and Military Affairs</t>
  </si>
  <si>
    <t>Nix</t>
  </si>
  <si>
    <t>808-586-6070</t>
  </si>
  <si>
    <t>senbaker@capitol.hawaii.gov</t>
  </si>
  <si>
    <t>Kalani</t>
  </si>
  <si>
    <t>Ways and Means</t>
  </si>
  <si>
    <t>Technology (vice chair)</t>
  </si>
  <si>
    <t>808-587-7225</t>
  </si>
  <si>
    <t>senenglish@capitol.hawaii.gov</t>
  </si>
  <si>
    <t>Kouchi</t>
  </si>
  <si>
    <t>Stover</t>
  </si>
  <si>
    <t>808-586-6030</t>
  </si>
  <si>
    <t>senkouchi@capitol.hawaii.gov</t>
  </si>
  <si>
    <t>Stanley</t>
  </si>
  <si>
    <t>Bonner</t>
  </si>
  <si>
    <t>Commerce, Consumer Protection, Health (Vice chair)</t>
  </si>
  <si>
    <t>Labor, Culture and the Arts</t>
  </si>
  <si>
    <t>Labor, culture, arts</t>
  </si>
  <si>
    <t>808-586-8420</t>
  </si>
  <si>
    <t>senchang@capitol.hawaii.gov</t>
  </si>
  <si>
    <t>Mathiak</t>
  </si>
  <si>
    <t>Valencia</t>
  </si>
  <si>
    <t>Ihara,</t>
  </si>
  <si>
    <t>Majority Policy Leader</t>
  </si>
  <si>
    <t>Human Services</t>
  </si>
  <si>
    <t>Hawaiian Affairs</t>
  </si>
  <si>
    <t>Labor, Culture, Arts (vice chair)</t>
  </si>
  <si>
    <t>808-586-6250</t>
  </si>
  <si>
    <t>senihara@capitol.hawaii.gov</t>
  </si>
  <si>
    <t>Stovall</t>
  </si>
  <si>
    <t>Taniguchi</t>
  </si>
  <si>
    <t>Energy, Economic development, tourism (vice chair)</t>
  </si>
  <si>
    <t>Labor, Culture and the Arts (Chair)</t>
  </si>
  <si>
    <t>808-586-6460</t>
  </si>
  <si>
    <t>sentaniguchi@capitol.hawaii.gov</t>
  </si>
  <si>
    <t>Glanton</t>
  </si>
  <si>
    <t>Moriwaki</t>
  </si>
  <si>
    <t>Tech</t>
  </si>
  <si>
    <t>808-586-6740</t>
  </si>
  <si>
    <t>Sandra</t>
  </si>
  <si>
    <t>senmoriwaki@capitol.hawaii.gov</t>
  </si>
  <si>
    <t>Karl</t>
  </si>
  <si>
    <t>Rhoads</t>
  </si>
  <si>
    <t>Human Services (vice chair)</t>
  </si>
  <si>
    <t>Agriculture and Environment</t>
  </si>
  <si>
    <t>808-586-6130</t>
  </si>
  <si>
    <t>senrhoads@capitol.hawaii.gov</t>
  </si>
  <si>
    <t>Education (vice chair)</t>
  </si>
  <si>
    <t>Higher education (chair)</t>
  </si>
  <si>
    <t>808-587-7200</t>
  </si>
  <si>
    <t>senkim@capitol.hawaii.gov</t>
  </si>
  <si>
    <t>Burnough</t>
  </si>
  <si>
    <t>Glenn</t>
  </si>
  <si>
    <t>Wakai</t>
  </si>
  <si>
    <t>Energy, Economic development, tourism (chair)</t>
  </si>
  <si>
    <t>808-586-8585</t>
  </si>
  <si>
    <t>senwakai@capitol.hawaii.gov</t>
  </si>
  <si>
    <t>Demetrius</t>
  </si>
  <si>
    <t>Breene</t>
  </si>
  <si>
    <t>Harimoto</t>
  </si>
  <si>
    <t>808-586-6230</t>
  </si>
  <si>
    <t>senharimoto@capitol.hawaii.gov</t>
  </si>
  <si>
    <t>Wilensky</t>
  </si>
  <si>
    <t>Clarence</t>
  </si>
  <si>
    <t>Nishihara</t>
  </si>
  <si>
    <t>808-586-6970</t>
  </si>
  <si>
    <t>sennishihara@capitol.hawaii.gov</t>
  </si>
  <si>
    <t>Kidani</t>
  </si>
  <si>
    <t>Vice president</t>
  </si>
  <si>
    <t>Education (chair)</t>
  </si>
  <si>
    <t>Higher education (vice chair)</t>
  </si>
  <si>
    <t>808-586-7100</t>
  </si>
  <si>
    <t>senkidani@capitol.hawaii.gov</t>
  </si>
  <si>
    <t>Felleva</t>
  </si>
  <si>
    <t>Commerce, Consumer Protection, and Health</t>
  </si>
  <si>
    <t>Energy, economic development, tourism</t>
  </si>
  <si>
    <t>808-586-6360</t>
  </si>
  <si>
    <t>senfevella@capitol.hawaii.gov</t>
  </si>
  <si>
    <t>Gabbard</t>
  </si>
  <si>
    <t>Agriculture and Environment (Chair)</t>
  </si>
  <si>
    <t>808-586-6830</t>
  </si>
  <si>
    <t>sengabbard@capitol.hawaii.gov</t>
  </si>
  <si>
    <t>Maile</t>
  </si>
  <si>
    <t>MargaretOliver</t>
  </si>
  <si>
    <t>Shimabukuro</t>
  </si>
  <si>
    <t>Hawaiian Affairs (chair)</t>
  </si>
  <si>
    <t>Transporation</t>
  </si>
  <si>
    <t>808-586-7793</t>
  </si>
  <si>
    <t>senshimabukuro@capitol.hawaii.gov</t>
  </si>
  <si>
    <t>DelaCruz</t>
  </si>
  <si>
    <t>Ways and Means (chair)</t>
  </si>
  <si>
    <t>808-586-6090</t>
  </si>
  <si>
    <t>endelacruz@capitol.hawaii.gov</t>
  </si>
  <si>
    <t>Renitta</t>
  </si>
  <si>
    <t>Riviere</t>
  </si>
  <si>
    <t>Water and Land</t>
  </si>
  <si>
    <t>808-586-7330</t>
  </si>
  <si>
    <t>senriviere@capitol.hawaii.gov</t>
  </si>
  <si>
    <t>Jarrett</t>
  </si>
  <si>
    <t>Karla</t>
  </si>
  <si>
    <t>Keohokalole</t>
  </si>
  <si>
    <t>Drenner</t>
  </si>
  <si>
    <t>Energy, Economic Development, Tourism</t>
  </si>
  <si>
    <t>Hawaiian affairs</t>
  </si>
  <si>
    <t>Tech (chair)</t>
  </si>
  <si>
    <t>808-587-7215</t>
  </si>
  <si>
    <t>senkeohokalole@capitol.hawaii.gov</t>
  </si>
  <si>
    <t>Michele</t>
  </si>
  <si>
    <t>Henson</t>
  </si>
  <si>
    <t>Government Operations (chair)</t>
  </si>
  <si>
    <t>808-587-8388</t>
  </si>
  <si>
    <t>senthielen@capitol.hawaii.gov</t>
  </si>
  <si>
    <t>Ige</t>
  </si>
  <si>
    <t>Tulsi</t>
  </si>
  <si>
    <t>Billy</t>
  </si>
  <si>
    <t>Brain</t>
  </si>
  <si>
    <t>Shatz</t>
  </si>
  <si>
    <t>Mazie</t>
  </si>
  <si>
    <t>Hirono</t>
  </si>
  <si>
    <t>Bee</t>
  </si>
  <si>
    <t>Pam</t>
  </si>
  <si>
    <t>Stephenson</t>
  </si>
  <si>
    <t>Vernon</t>
  </si>
  <si>
    <t>Doreen</t>
  </si>
  <si>
    <t>Dar'shun</t>
  </si>
  <si>
    <t>Kendrick</t>
  </si>
  <si>
    <t>Bath</t>
  </si>
  <si>
    <t>Pedro</t>
  </si>
  <si>
    <t>Marin</t>
  </si>
  <si>
    <t>Bonnie</t>
  </si>
  <si>
    <t>Dewey</t>
  </si>
  <si>
    <t>Samuel</t>
  </si>
  <si>
    <t>Kennard</t>
  </si>
  <si>
    <t>Barr</t>
  </si>
  <si>
    <t>Judiciary, Rules&amp;Appropriation</t>
  </si>
  <si>
    <t xml:space="preserve">Environment, Energy, Tech </t>
  </si>
  <si>
    <t>Efstration</t>
  </si>
  <si>
    <t>(208) 920-3120</t>
  </si>
  <si>
    <t>hscott@house.idaho.gov</t>
  </si>
  <si>
    <t>Blanchard</t>
  </si>
  <si>
    <t>Sage</t>
  </si>
  <si>
    <t>McLeod</t>
  </si>
  <si>
    <t>Dixon</t>
  </si>
  <si>
    <t>Buisness (chair)</t>
  </si>
  <si>
    <t>Revenue&amp;Taxation</t>
  </si>
  <si>
    <t>Transporation&amp;Defence</t>
  </si>
  <si>
    <t xml:space="preserve">(208) 610-4800 </t>
  </si>
  <si>
    <t>sdixon@house.idaho.gov</t>
  </si>
  <si>
    <t>Sandpoint</t>
  </si>
  <si>
    <t>Vito</t>
  </si>
  <si>
    <t>Barbieri</t>
  </si>
  <si>
    <t>Buisness</t>
  </si>
  <si>
    <t>Local Gov't</t>
  </si>
  <si>
    <t>(208) 620-0873</t>
  </si>
  <si>
    <t>vbar@house.idaho.gov</t>
  </si>
  <si>
    <t>Dalton Gardens</t>
  </si>
  <si>
    <t>Commerce&amp;Human Resources</t>
  </si>
  <si>
    <t>Health&amp;Welfare</t>
  </si>
  <si>
    <t>(208) 620-1506</t>
  </si>
  <si>
    <t>jgreen@house.idaho.gov</t>
  </si>
  <si>
    <t>Spirit Lake</t>
  </si>
  <si>
    <t>Shelly</t>
  </si>
  <si>
    <t>Mendive</t>
  </si>
  <si>
    <t>Resources&amp;Conservation</t>
  </si>
  <si>
    <t>Local Gov't (chair)</t>
  </si>
  <si>
    <t>(208) 667-9330</t>
  </si>
  <si>
    <t>rmendive@house.idaho.gov</t>
  </si>
  <si>
    <t>Coeur d'Alene</t>
  </si>
  <si>
    <t>Wisniewski</t>
  </si>
  <si>
    <t>Commerce&amp;HumanResources</t>
  </si>
  <si>
    <t>(208) 889-3437</t>
  </si>
  <si>
    <t>Cox</t>
  </si>
  <si>
    <t>twisniewski@house.idaho.gov</t>
  </si>
  <si>
    <t>Post Falls</t>
  </si>
  <si>
    <t>Addis</t>
  </si>
  <si>
    <t>Resource&amp;Conservation</t>
  </si>
  <si>
    <t>Revenue&amp;Tax</t>
  </si>
  <si>
    <t xml:space="preserve">(208) 209-7175 </t>
  </si>
  <si>
    <t>jaddis@house.idaho.gov</t>
  </si>
  <si>
    <t>Amador</t>
  </si>
  <si>
    <t>Judiciary, Rules&amp;Admin</t>
  </si>
  <si>
    <t>Environment, Energy, Tech (vice chair)</t>
  </si>
  <si>
    <t>(208) 497-2470</t>
  </si>
  <si>
    <t>pamador@house.idaho.gov</t>
  </si>
  <si>
    <t>Goesling</t>
  </si>
  <si>
    <t>Ag. Affairs</t>
  </si>
  <si>
    <t>(208) 596-2001</t>
  </si>
  <si>
    <t>bgoesling@house.idaho.gov</t>
  </si>
  <si>
    <t>Plummer</t>
  </si>
  <si>
    <t>Ag. Affairs (vice chair)</t>
  </si>
  <si>
    <t>(208) 285-0182</t>
  </si>
  <si>
    <t>cntroy@house.idaho.gov</t>
  </si>
  <si>
    <t>Genesee</t>
  </si>
  <si>
    <t>Thyra</t>
  </si>
  <si>
    <t>Welch</t>
  </si>
  <si>
    <t>Revenue&amp;Taxation(Vice Chair)</t>
  </si>
  <si>
    <t>(208) 305-2800</t>
  </si>
  <si>
    <t>tstevenson@house.idaho.gov</t>
  </si>
  <si>
    <t>Lewiston</t>
  </si>
  <si>
    <t>El-Mahdi</t>
  </si>
  <si>
    <t>Kingsley</t>
  </si>
  <si>
    <t>Local Gov (vice chair)</t>
  </si>
  <si>
    <t>(208) 791-4205</t>
  </si>
  <si>
    <t>mkingsley@house.idaho.gov</t>
  </si>
  <si>
    <t>Giddings</t>
  </si>
  <si>
    <t>(208) 570-8616</t>
  </si>
  <si>
    <t>pgiddings@house.idaho.gov</t>
  </si>
  <si>
    <t>White Bird</t>
  </si>
  <si>
    <t>Belton</t>
  </si>
  <si>
    <t>(208) 628-3695</t>
  </si>
  <si>
    <t>pshepherd@house.idaho.gov</t>
  </si>
  <si>
    <t>Riggins</t>
  </si>
  <si>
    <t>Gestrin</t>
  </si>
  <si>
    <t>Resources&amp;Conservation (vice chair)</t>
  </si>
  <si>
    <t>(208) 634-6450</t>
  </si>
  <si>
    <t>tgestrin@house.idaho.gov</t>
  </si>
  <si>
    <t>Donnelly</t>
  </si>
  <si>
    <t>Dickerson</t>
  </si>
  <si>
    <t>Dorothy</t>
  </si>
  <si>
    <t>Moon</t>
  </si>
  <si>
    <t>Resources&amp;Con</t>
  </si>
  <si>
    <t>(208) 838-3714</t>
  </si>
  <si>
    <t>dmoon@house.idaho.gov</t>
  </si>
  <si>
    <t>Kirby</t>
  </si>
  <si>
    <t>Kerby</t>
  </si>
  <si>
    <t>Judiciary, Rules, Admin</t>
  </si>
  <si>
    <t>(208) 739-0190</t>
  </si>
  <si>
    <t>rkerby@house.idaho.gov</t>
  </si>
  <si>
    <t>New Plymouth</t>
  </si>
  <si>
    <t>Boyle</t>
  </si>
  <si>
    <t>Ag. Affairs (Chair)</t>
  </si>
  <si>
    <t>(208) 355-3225</t>
  </si>
  <si>
    <t>jboyle@house.idaho.gov</t>
  </si>
  <si>
    <t>Midvale</t>
  </si>
  <si>
    <t>Jarom</t>
  </si>
  <si>
    <t>Frye</t>
  </si>
  <si>
    <t>Wagoner</t>
  </si>
  <si>
    <t>Health&amp;Welfare(vice chair)</t>
  </si>
  <si>
    <t>Local gov</t>
  </si>
  <si>
    <t>(208) 761-2914</t>
  </si>
  <si>
    <t>jwagoner@house.idaho.gov</t>
  </si>
  <si>
    <t>Wiedower</t>
  </si>
  <si>
    <t>Chaney</t>
  </si>
  <si>
    <t>Judiciary, Rules, Admin (chair)</t>
  </si>
  <si>
    <t>(208) 322-1055</t>
  </si>
  <si>
    <t>gchaney@house.idaho.gov</t>
  </si>
  <si>
    <t>Rhodes</t>
  </si>
  <si>
    <t>Syme</t>
  </si>
  <si>
    <t>Barry</t>
  </si>
  <si>
    <t>(208) 573-9301</t>
  </si>
  <si>
    <t>ssyme@house.idaho.gov</t>
  </si>
  <si>
    <t>Wilder</t>
  </si>
  <si>
    <t>Fleming</t>
  </si>
  <si>
    <t>Nichols</t>
  </si>
  <si>
    <t>(208) 917-2409</t>
  </si>
  <si>
    <t>tnichols@house.idaho.gov</t>
  </si>
  <si>
    <t>Nampa</t>
  </si>
  <si>
    <t>Jodi</t>
  </si>
  <si>
    <t>Anderst</t>
  </si>
  <si>
    <t>Lott</t>
  </si>
  <si>
    <t>Ways&amp;Means(Chair)</t>
  </si>
  <si>
    <t>Environment, ENergy, Tech</t>
  </si>
  <si>
    <t>(208) 440-6565</t>
  </si>
  <si>
    <t>randerst@house.idaho.gov</t>
  </si>
  <si>
    <t>Youngblood</t>
  </si>
  <si>
    <t>Appropriations (chair)</t>
  </si>
  <si>
    <t>(208) 412-5107</t>
  </si>
  <si>
    <t>ryoungblood@house.idaho.gov</t>
  </si>
  <si>
    <t>Brent</t>
  </si>
  <si>
    <t>Crane</t>
  </si>
  <si>
    <t>(208) 332-1058</t>
  </si>
  <si>
    <t>bcrane@house.idaho.gov</t>
  </si>
  <si>
    <t>Local Gov</t>
  </si>
  <si>
    <t>(208) 466-5460</t>
  </si>
  <si>
    <t>gcollins@house.idaho.gov</t>
  </si>
  <si>
    <t>Moyle</t>
  </si>
  <si>
    <t>Ways&amp;Means</t>
  </si>
  <si>
    <t>(208) 332-1122</t>
  </si>
  <si>
    <t>mmoyle@house.idaho.gov</t>
  </si>
  <si>
    <t>Star</t>
  </si>
  <si>
    <t>Gayann</t>
  </si>
  <si>
    <t>DeMordaunt</t>
  </si>
  <si>
    <t>Buisness (vice chair)</t>
  </si>
  <si>
    <t>education</t>
  </si>
  <si>
    <t>(208) 938-4845</t>
  </si>
  <si>
    <t>gdemordaunt@house.idaho.gov</t>
  </si>
  <si>
    <t>Nelson</t>
  </si>
  <si>
    <t>Berch</t>
  </si>
  <si>
    <t xml:space="preserve"> (208) 890-9339</t>
  </si>
  <si>
    <t>sberch@house.idaho.gov</t>
  </si>
  <si>
    <t>Boise</t>
  </si>
  <si>
    <t>Jake</t>
  </si>
  <si>
    <t>(208) 941-9330</t>
  </si>
  <si>
    <t>jellis@house.idaho.gov</t>
  </si>
  <si>
    <t>McCrostie</t>
  </si>
  <si>
    <t>(208) 440-8317</t>
  </si>
  <si>
    <t>jmccrostie@house.idaho.gov</t>
  </si>
  <si>
    <t>Garden City</t>
  </si>
  <si>
    <t>Mason</t>
  </si>
  <si>
    <t>(208) 332-1075</t>
  </si>
  <si>
    <t>rmason@house.idaho.gov</t>
  </si>
  <si>
    <t>Gannon</t>
  </si>
  <si>
    <t>(208) 343-1608</t>
  </si>
  <si>
    <t>jgannon@house.idaho.gov</t>
  </si>
  <si>
    <t>Chew</t>
  </si>
  <si>
    <t>Health&amp;welfare</t>
  </si>
  <si>
    <t>(208) 332-1049</t>
  </si>
  <si>
    <t>schew@house.idaho.gov</t>
  </si>
  <si>
    <t>Ilana</t>
  </si>
  <si>
    <t>Mack</t>
  </si>
  <si>
    <t>Rubel</t>
  </si>
  <si>
    <t xml:space="preserve">(208) 866-4776 </t>
  </si>
  <si>
    <t>irubel@house.idaho.gov</t>
  </si>
  <si>
    <t>Brooke</t>
  </si>
  <si>
    <t>(208) 332-1080</t>
  </si>
  <si>
    <t>bgreen@house.idaho.gov</t>
  </si>
  <si>
    <t>Mat</t>
  </si>
  <si>
    <t>Erpelding</t>
  </si>
  <si>
    <t>(208) 856-0291</t>
  </si>
  <si>
    <t>merpelding@house.idaho.gov</t>
  </si>
  <si>
    <t>Wintrow</t>
  </si>
  <si>
    <t>(208) 332-1076</t>
  </si>
  <si>
    <t>mwintrow@house.idaho.gov</t>
  </si>
  <si>
    <t>(208) 332-1062</t>
  </si>
  <si>
    <t>jpalmer@house.idaho.gov</t>
  </si>
  <si>
    <t>Meridian</t>
  </si>
  <si>
    <t>Holtzclaw</t>
  </si>
  <si>
    <t>(208) 284-9542</t>
  </si>
  <si>
    <t>Knight</t>
  </si>
  <si>
    <t>jholtzclaw@house.idaho.gov</t>
  </si>
  <si>
    <t>State Affairs (chair)</t>
  </si>
  <si>
    <t xml:space="preserve">(208) 861-8638 </t>
  </si>
  <si>
    <t>sharris@house.idaho.gov</t>
  </si>
  <si>
    <t>Pullin</t>
  </si>
  <si>
    <t>Dayley</t>
  </si>
  <si>
    <t>(208) 562-0276</t>
  </si>
  <si>
    <t>tdayley@house.idaho.gov</t>
  </si>
  <si>
    <t>Woude</t>
  </si>
  <si>
    <t>Environment, Energy, Tech (chair)</t>
  </si>
  <si>
    <t>(208) 888-4210</t>
  </si>
  <si>
    <t>jvanderwoude@house.idaho.gov</t>
  </si>
  <si>
    <t>Trammell</t>
  </si>
  <si>
    <t>Monks</t>
  </si>
  <si>
    <t>(208) 332-1036</t>
  </si>
  <si>
    <t>jmonks@house.idaho.gov</t>
  </si>
  <si>
    <t>Christy</t>
  </si>
  <si>
    <t>Zito</t>
  </si>
  <si>
    <t>(208) 590-4633</t>
  </si>
  <si>
    <t>czito@house.idaho.gov</t>
  </si>
  <si>
    <t>Hammett</t>
  </si>
  <si>
    <t>Blanksma</t>
  </si>
  <si>
    <t>(208) 366-7976</t>
  </si>
  <si>
    <t>mblanksma@house.idaho.gov</t>
  </si>
  <si>
    <t>Clow</t>
  </si>
  <si>
    <t>(208) 733-5767</t>
  </si>
  <si>
    <t>lclow@house.idaho.gov</t>
  </si>
  <si>
    <t>Twin Falls</t>
  </si>
  <si>
    <t>Hartgen</t>
  </si>
  <si>
    <t>(208) 733-5790</t>
  </si>
  <si>
    <t>Lhartgen@house.idaho.gov</t>
  </si>
  <si>
    <t>Lickley</t>
  </si>
  <si>
    <t>(208) 420-7975</t>
  </si>
  <si>
    <t>LLickley@house.idaho.gov</t>
  </si>
  <si>
    <t>Jerome</t>
  </si>
  <si>
    <t>Smyre</t>
  </si>
  <si>
    <t>Carolyn</t>
  </si>
  <si>
    <t>Kauffman</t>
  </si>
  <si>
    <t xml:space="preserve">Appropriations </t>
  </si>
  <si>
    <t>(208) 326-4131</t>
  </si>
  <si>
    <t>ckauffman@house.idaho.gov</t>
  </si>
  <si>
    <t>Filer</t>
  </si>
  <si>
    <t>Hugley</t>
  </si>
  <si>
    <t>Muffy</t>
  </si>
  <si>
    <t>SANE Nurse Advocate</t>
  </si>
  <si>
    <t>(208) 806-1895</t>
  </si>
  <si>
    <t>mdavis@house.idaho.gov</t>
  </si>
  <si>
    <t>Fairfield</t>
  </si>
  <si>
    <t>Toone</t>
  </si>
  <si>
    <t>(208) 934-8114</t>
  </si>
  <si>
    <t>stoone@house.idaho.gov</t>
  </si>
  <si>
    <t>Gooding</t>
  </si>
  <si>
    <t>Cheokas</t>
  </si>
  <si>
    <t>Bedke</t>
  </si>
  <si>
    <t>(208) 862-3619</t>
  </si>
  <si>
    <t>sbedke@house.idaho.gov</t>
  </si>
  <si>
    <t>Oakley</t>
  </si>
  <si>
    <t>Patty</t>
  </si>
  <si>
    <t>Health&amp;welfare (chair)</t>
  </si>
  <si>
    <t>(208) 312-1056</t>
  </si>
  <si>
    <t>fwood@house.idaho.gov</t>
  </si>
  <si>
    <t>Burley</t>
  </si>
  <si>
    <t>Dickey</t>
  </si>
  <si>
    <t>Armstrong</t>
  </si>
  <si>
    <t>State Affairs (Vice chair)</t>
  </si>
  <si>
    <t>Environment, Energy, Tech</t>
  </si>
  <si>
    <t>(208) 251-8157</t>
  </si>
  <si>
    <t>armstrong@house.idaho.gov</t>
  </si>
  <si>
    <t>Inkom</t>
  </si>
  <si>
    <t>Andrus</t>
  </si>
  <si>
    <t>(208) 332-1045</t>
  </si>
  <si>
    <t>kandrus@house.idaho.gov</t>
  </si>
  <si>
    <t>Washburn</t>
  </si>
  <si>
    <t>McCammon</t>
  </si>
  <si>
    <t>Abernathy</t>
  </si>
  <si>
    <t>Agricultural</t>
  </si>
  <si>
    <t>Commerce and Human Resources</t>
  </si>
  <si>
    <t xml:space="preserve">(208) 317-3770 </t>
  </si>
  <si>
    <t>cabernathy@house.idaho.gov</t>
  </si>
  <si>
    <t>Pocatello</t>
  </si>
  <si>
    <t>Miriam</t>
  </si>
  <si>
    <t>Paris</t>
  </si>
  <si>
    <t>Elaine</t>
  </si>
  <si>
    <t xml:space="preserve">State Affairs </t>
  </si>
  <si>
    <t>(208) 237-1462</t>
  </si>
  <si>
    <t>esmith@house.idaho.gov</t>
  </si>
  <si>
    <t>(208) 313-5712</t>
  </si>
  <si>
    <t>gmarshall@house.idaho.gov</t>
  </si>
  <si>
    <t>Idaho Falls</t>
  </si>
  <si>
    <t>Beverly</t>
  </si>
  <si>
    <t>Horman</t>
  </si>
  <si>
    <t>Appropriations(vice chair)</t>
  </si>
  <si>
    <t>environment, energy, tech</t>
  </si>
  <si>
    <t>(208) 522-4387</t>
  </si>
  <si>
    <t>WendyHorman@house.idaho.gov</t>
  </si>
  <si>
    <t>Anderson</t>
  </si>
  <si>
    <t>(208) 684-3723</t>
  </si>
  <si>
    <t>nanderson@house.idaho.gov</t>
  </si>
  <si>
    <t>Blackfoot</t>
  </si>
  <si>
    <t>Julianne</t>
  </si>
  <si>
    <t>(208) 201-1898</t>
  </si>
  <si>
    <t>jyoung@house.idaho.gov</t>
  </si>
  <si>
    <t>Gibbs</t>
  </si>
  <si>
    <t>Resources&amp;con (chair)</t>
  </si>
  <si>
    <t>(208) 425-3385</t>
  </si>
  <si>
    <t>mgibbs@house.idaho.gov</t>
  </si>
  <si>
    <t>Christensen</t>
  </si>
  <si>
    <t>(208) 419-3020</t>
  </si>
  <si>
    <t>cchristensen@house.idaho.gov</t>
  </si>
  <si>
    <t>Iona</t>
  </si>
  <si>
    <t>(773) 471-2299</t>
  </si>
  <si>
    <t>burkedj2@ilga.gov</t>
  </si>
  <si>
    <t>Blackmon</t>
  </si>
  <si>
    <t>Ehardt</t>
  </si>
  <si>
    <t>(208) 332-1189</t>
  </si>
  <si>
    <t>behardt@house.idaho.gov</t>
  </si>
  <si>
    <t>Mah</t>
  </si>
  <si>
    <t>Zollinger</t>
  </si>
  <si>
    <t>(208) 206-3086</t>
  </si>
  <si>
    <t>bzollinger@house.idaho.gov</t>
  </si>
  <si>
    <t>Ricks</t>
  </si>
  <si>
    <t>(208) 557-9665</t>
  </si>
  <si>
    <t>dricks@house.idaho.gov</t>
  </si>
  <si>
    <t>Rexburg</t>
  </si>
  <si>
    <t>(773) 587-8075</t>
  </si>
  <si>
    <t>rep.theresamah@gmail.com</t>
  </si>
  <si>
    <t>(773) 637-2000</t>
  </si>
  <si>
    <t>Britt</t>
  </si>
  <si>
    <t>Raybould</t>
  </si>
  <si>
    <t>Delia</t>
  </si>
  <si>
    <t>Ramirez</t>
  </si>
  <si>
    <t>Resource&amp;conservation</t>
  </si>
  <si>
    <t>(208) 419-0768</t>
  </si>
  <si>
    <t>braybould@house.idaho.gov</t>
  </si>
  <si>
    <t>Jerald</t>
  </si>
  <si>
    <t>(208) 317-8777</t>
  </si>
  <si>
    <t>jraymond@house.idaho.gov</t>
  </si>
  <si>
    <t>Terreton</t>
  </si>
  <si>
    <t>(773) 252-0402</t>
  </si>
  <si>
    <t>(217) 782-4535</t>
  </si>
  <si>
    <t>Furniss</t>
  </si>
  <si>
    <t>(208) 589-1100</t>
  </si>
  <si>
    <t>rfurniss@house.idaho.gov</t>
  </si>
  <si>
    <t>St. Anthony</t>
  </si>
  <si>
    <t>(773) 925-6580</t>
  </si>
  <si>
    <t>repsonyaharper@gmail.com</t>
  </si>
  <si>
    <t>Emanuel</t>
  </si>
  <si>
    <t>Pruett</t>
  </si>
  <si>
    <t>(708) 450-1000</t>
  </si>
  <si>
    <t>repwelch@emanuelchriswelch.com</t>
  </si>
  <si>
    <t>LaShawn</t>
  </si>
  <si>
    <t>Hatchett</t>
  </si>
  <si>
    <t>Ford</t>
  </si>
  <si>
    <t>(773) 378-5902</t>
  </si>
  <si>
    <t>repford@lashawnford.com</t>
  </si>
  <si>
    <t>(208) 946-7963</t>
  </si>
  <si>
    <t>jwoodward@senate.idaho.gov</t>
  </si>
  <si>
    <t>(773) 277-4700</t>
  </si>
  <si>
    <t>arthurt@ilga.gov</t>
  </si>
  <si>
    <t>Conyears-Ervin</t>
  </si>
  <si>
    <t>(773) 417-1020</t>
  </si>
  <si>
    <t>rep@conyearservin.com</t>
  </si>
  <si>
    <t>Greene</t>
  </si>
  <si>
    <t>(773) 880-9082</t>
  </si>
  <si>
    <t>ann@repannwilliams.com</t>
  </si>
  <si>
    <t>Vick</t>
  </si>
  <si>
    <t>Assitant Majority Leader</t>
  </si>
  <si>
    <t>(208) 332-1345</t>
  </si>
  <si>
    <t>sjvick@senate.idaho.gov</t>
  </si>
  <si>
    <t>Rynders</t>
  </si>
  <si>
    <t>Feigenholtz</t>
  </si>
  <si>
    <t>(773) 296-4141</t>
  </si>
  <si>
    <t>sara@staterepsara.com</t>
  </si>
  <si>
    <t>CaMia</t>
  </si>
  <si>
    <t>Hopson</t>
  </si>
  <si>
    <t>(773) 348-3434</t>
  </si>
  <si>
    <t>harrisgr@ilga.gov</t>
  </si>
  <si>
    <t>Winfred</t>
  </si>
  <si>
    <t>Cassidy</t>
  </si>
  <si>
    <t>(773) 784-2002</t>
  </si>
  <si>
    <t>repcassidy@gmail.com</t>
  </si>
  <si>
    <t>Judiciary&amp;Rules</t>
  </si>
  <si>
    <t>D'Amico</t>
  </si>
  <si>
    <t>(208) 332-1338</t>
  </si>
  <si>
    <t>dcheatham@senate.idaho.gov</t>
  </si>
  <si>
    <t>(773) 736-0218</t>
  </si>
  <si>
    <t>johnd@ilga.gov</t>
  </si>
  <si>
    <t>Pirkle</t>
  </si>
  <si>
    <t>Lang</t>
  </si>
  <si>
    <t>(847) 673-1131</t>
  </si>
  <si>
    <t>langli@ilga.gov</t>
  </si>
  <si>
    <t>Gershwitz</t>
  </si>
  <si>
    <t>(847) 998-1717</t>
  </si>
  <si>
    <t>Gabel</t>
  </si>
  <si>
    <t>(847) 424-9898</t>
  </si>
  <si>
    <t>staterepgabel@robyngabel.com</t>
  </si>
  <si>
    <t>Souza</t>
  </si>
  <si>
    <t>Health&amp;welfare(vice chair)</t>
  </si>
  <si>
    <t>208-818-2356</t>
  </si>
  <si>
    <t>msouza@senate.idaho.gov</t>
  </si>
  <si>
    <t>Martwick,</t>
  </si>
  <si>
    <t>(773) 286-1115</t>
  </si>
  <si>
    <t>repmartwick@gmail.com</t>
  </si>
  <si>
    <t>Health &amp; welfare</t>
  </si>
  <si>
    <t>(208) 301-2266</t>
  </si>
  <si>
    <t>dnelson@senate.idaho.gov</t>
  </si>
  <si>
    <t>McAuliffe</t>
  </si>
  <si>
    <t>(773) 444-0611</t>
  </si>
  <si>
    <t>mmcauliffe20@yahoo.com</t>
  </si>
  <si>
    <t>Celina</t>
  </si>
  <si>
    <t>Villanueva</t>
  </si>
  <si>
    <t>(773) 522-1315</t>
  </si>
  <si>
    <t>ilrep21@gmail.com</t>
  </si>
  <si>
    <t>Finance (vice chair)</t>
  </si>
  <si>
    <t>Resources&amp;Environment</t>
  </si>
  <si>
    <t>(208) 816-1164</t>
  </si>
  <si>
    <t>djohnson@senate.idaho.gov</t>
  </si>
  <si>
    <t>Werkheiser</t>
  </si>
  <si>
    <t>Madigan</t>
  </si>
  <si>
    <t>(773) 581-8000</t>
  </si>
  <si>
    <t>madiganmj@ilga.gov</t>
  </si>
  <si>
    <t>Carl</t>
  </si>
  <si>
    <t>Butch</t>
  </si>
  <si>
    <t>Zalewski</t>
  </si>
  <si>
    <t>Crabtree</t>
  </si>
  <si>
    <t>(708) 442-6500</t>
  </si>
  <si>
    <t>info@repmikezalewski.org</t>
  </si>
  <si>
    <t>(208) 983-2176</t>
  </si>
  <si>
    <t>ccrabtree@senate.idaho.gov</t>
  </si>
  <si>
    <t>Grangeville</t>
  </si>
  <si>
    <t>Parrish</t>
  </si>
  <si>
    <t>(708) 222-5240</t>
  </si>
  <si>
    <t>repehernandez@yahoo.com</t>
  </si>
  <si>
    <t>Curtis</t>
  </si>
  <si>
    <t>Tarver</t>
  </si>
  <si>
    <t>(773) 667-0550</t>
  </si>
  <si>
    <t>Thayn</t>
  </si>
  <si>
    <t>(208) 365-8656</t>
  </si>
  <si>
    <t>sthayn@senate.idaho.gov</t>
  </si>
  <si>
    <t>(773) 924-1755</t>
  </si>
  <si>
    <t>MitchellDistrict26@att.net</t>
  </si>
  <si>
    <t>Burns</t>
  </si>
  <si>
    <t>Slaughter</t>
  </si>
  <si>
    <t>Abby</t>
  </si>
  <si>
    <t>(217) 782-0010</t>
  </si>
  <si>
    <t>justin@repslaughter.com</t>
  </si>
  <si>
    <t>Judiciary&amp;Rules (vice chair)</t>
  </si>
  <si>
    <t>Health &amp; Welfare</t>
  </si>
  <si>
    <t>Tankersley</t>
  </si>
  <si>
    <t>(208) 250-6744</t>
  </si>
  <si>
    <t>alee@senate.idaho.gov</t>
  </si>
  <si>
    <t>Fruitland</t>
  </si>
  <si>
    <t>Rita</t>
  </si>
  <si>
    <t>(708) 396-2822</t>
  </si>
  <si>
    <t>robertbobrita@aol.com</t>
  </si>
  <si>
    <t>Thaddeus</t>
  </si>
  <si>
    <t>(708) 933-6018</t>
  </si>
  <si>
    <t>repjones.jones@gmail.com</t>
  </si>
  <si>
    <t>Hitchens</t>
  </si>
  <si>
    <t xml:space="preserve">Transportation </t>
  </si>
  <si>
    <t>(208) 891-4178</t>
  </si>
  <si>
    <t>jrice@senate.idaho.gov</t>
  </si>
  <si>
    <t>(708) 799-7300</t>
  </si>
  <si>
    <t>ekelley@hds.ilga.gov</t>
  </si>
  <si>
    <t>(773) 471-5200</t>
  </si>
  <si>
    <t>maryeflowers@ilga.gov</t>
  </si>
  <si>
    <t>Patti</t>
  </si>
  <si>
    <t>Gilliard</t>
  </si>
  <si>
    <t>Thapedi</t>
  </si>
  <si>
    <t>(773) 581-9250</t>
  </si>
  <si>
    <t>illinois32district@gmail.com</t>
  </si>
  <si>
    <t>Anne Lodge</t>
  </si>
  <si>
    <t>(208) 459-7158</t>
  </si>
  <si>
    <t>palodge@senate.idaho.gov</t>
  </si>
  <si>
    <t>Huston</t>
  </si>
  <si>
    <t>JCraig</t>
  </si>
  <si>
    <t>Gordon</t>
  </si>
  <si>
    <t>(773) 783-8492</t>
  </si>
  <si>
    <t>Repevans33@gmail.com</t>
  </si>
  <si>
    <t>Lakey</t>
  </si>
  <si>
    <t>Judiciary (chair)</t>
  </si>
  <si>
    <t>(208) 908-4415</t>
  </si>
  <si>
    <t>tlakey@senate.idaho.gov</t>
  </si>
  <si>
    <t>(773) 783-8800</t>
  </si>
  <si>
    <t>repsmith34@gmail.com</t>
  </si>
  <si>
    <t>Stephens</t>
  </si>
  <si>
    <t>Ann Hurley</t>
  </si>
  <si>
    <t>(773) 445-8128</t>
  </si>
  <si>
    <t>repfranhurley@gmail.com</t>
  </si>
  <si>
    <t>Agenbroad</t>
  </si>
  <si>
    <t>(208) 466-9315</t>
  </si>
  <si>
    <t>jagenbroad@senate.idaho.gov</t>
  </si>
  <si>
    <t>Grow</t>
  </si>
  <si>
    <t>(208) 807-0316</t>
  </si>
  <si>
    <t>sgrow@senate.idaho.gov</t>
  </si>
  <si>
    <t>(708) 425-0571</t>
  </si>
  <si>
    <t>kburke@kellyburkerep36.org</t>
  </si>
  <si>
    <t>Margo</t>
  </si>
  <si>
    <t>McDermed</t>
  </si>
  <si>
    <t>(815) 277-2079</t>
  </si>
  <si>
    <t>McDermed@ilhousegop.org</t>
  </si>
  <si>
    <t>Health&amp;welfare(chair)</t>
  </si>
  <si>
    <t>(208) 447-9000</t>
  </si>
  <si>
    <t>fmartin@senate.idaho.gov</t>
  </si>
  <si>
    <t>(708) 799-4364</t>
  </si>
  <si>
    <t>Guzzardi</t>
  </si>
  <si>
    <t>Petrea</t>
  </si>
  <si>
    <t>(773) 227-9720</t>
  </si>
  <si>
    <t>will@repguzzardi.com</t>
  </si>
  <si>
    <t>Jaime</t>
  </si>
  <si>
    <t>Burgoyne</t>
  </si>
  <si>
    <t>(208) 377-5729</t>
  </si>
  <si>
    <t>gburgoyne@senate.idaho.gov</t>
  </si>
  <si>
    <t>(773) 267-2880</t>
  </si>
  <si>
    <t>staterep40@gmail.com</t>
  </si>
  <si>
    <t>Maryanne</t>
  </si>
  <si>
    <t>Wehrli</t>
  </si>
  <si>
    <t>(630) 696-4160</t>
  </si>
  <si>
    <t>41districtdirector@gmail.com</t>
  </si>
  <si>
    <t>(208) 859-1931</t>
  </si>
  <si>
    <t>mjordan@senate.idaho.gov</t>
  </si>
  <si>
    <t>(630) 384-1108</t>
  </si>
  <si>
    <t>Moeller</t>
  </si>
  <si>
    <t>Janie</t>
  </si>
  <si>
    <t>(847) 841-7130</t>
  </si>
  <si>
    <t>staterepmoeller@gmail.com</t>
  </si>
  <si>
    <t>Ward-Engelking</t>
  </si>
  <si>
    <t>(208) 385-9564</t>
  </si>
  <si>
    <t>jwardengelking@senate.idaho.gov</t>
  </si>
  <si>
    <t>Crespo</t>
  </si>
  <si>
    <t>(630) 372-3340</t>
  </si>
  <si>
    <t>fdcrespo@aol.com</t>
  </si>
  <si>
    <t>Cherie</t>
  </si>
  <si>
    <t>Dominic</t>
  </si>
  <si>
    <t>Winger</t>
  </si>
  <si>
    <t>Lariccia</t>
  </si>
  <si>
    <t>(847) 252-9311</t>
  </si>
  <si>
    <t>winger@ilhousegop.org</t>
  </si>
  <si>
    <t>Buckner-Webb</t>
  </si>
  <si>
    <t>State Affiars</t>
  </si>
  <si>
    <t>(208) 343-2650</t>
  </si>
  <si>
    <t>cbucknerwebb@senate.idaho.gov</t>
  </si>
  <si>
    <t>Conroy</t>
  </si>
  <si>
    <t>(630) 415-3520</t>
  </si>
  <si>
    <t>repdebconroy@gmail.com</t>
  </si>
  <si>
    <t>Deanne</t>
  </si>
  <si>
    <t>Penny</t>
  </si>
  <si>
    <t>Winder</t>
  </si>
  <si>
    <t>(208) 853-9090</t>
  </si>
  <si>
    <t>Mazzochi</t>
  </si>
  <si>
    <t>cwinder@senate.idaho.gov</t>
  </si>
  <si>
    <t>(630) 852-8633</t>
  </si>
  <si>
    <t>mazzochi@ilhousegop.org</t>
  </si>
  <si>
    <t>Terra</t>
  </si>
  <si>
    <t>(630) 403-8135</t>
  </si>
  <si>
    <t>Karina</t>
  </si>
  <si>
    <t>Villa</t>
  </si>
  <si>
    <t>(630) 293-9344</t>
  </si>
  <si>
    <t>Cliff</t>
  </si>
  <si>
    <t>(630) 345-3464</t>
  </si>
  <si>
    <t>office@repkeithwheeler.org</t>
  </si>
  <si>
    <t>Helene</t>
  </si>
  <si>
    <t>Bayer</t>
  </si>
  <si>
    <t>(208) 362-5058</t>
  </si>
  <si>
    <t>cbayer@senate.idaho.gov</t>
  </si>
  <si>
    <t>(847) 566-5115</t>
  </si>
  <si>
    <t>McSweeney</t>
  </si>
  <si>
    <t>(847) 516-0052</t>
  </si>
  <si>
    <t>mcsweeney@ilhousegop.org</t>
  </si>
  <si>
    <t>(224) 764-2440</t>
  </si>
  <si>
    <t>Hartog</t>
  </si>
  <si>
    <t>(208) 779-2022</t>
  </si>
  <si>
    <t>ldenhartog@senate.idaho.gov</t>
  </si>
  <si>
    <t>Morrison</t>
  </si>
  <si>
    <t>(847) 202-6584</t>
  </si>
  <si>
    <t>Repmorrison54@gmail.com</t>
  </si>
  <si>
    <t>Marty</t>
  </si>
  <si>
    <t>Moylan</t>
  </si>
  <si>
    <t>(847) 635-6821</t>
  </si>
  <si>
    <t>staterepmoylan@gmail.com</t>
  </si>
  <si>
    <t>Brackett</t>
  </si>
  <si>
    <t>Mussman</t>
  </si>
  <si>
    <t>Resources&amp;Environment (vice chair)</t>
  </si>
  <si>
    <t xml:space="preserve">(208) 857-2217 </t>
  </si>
  <si>
    <t>(847) 923-9104</t>
  </si>
  <si>
    <t>bbrackett@senate.idaho.gov</t>
  </si>
  <si>
    <t>staterepmussman@gmail.com</t>
  </si>
  <si>
    <t>Rogerson</t>
  </si>
  <si>
    <t>Darlene</t>
  </si>
  <si>
    <t>Taylor</t>
  </si>
  <si>
    <t>(847) 229-5499</t>
  </si>
  <si>
    <t>jc@repcarroll.com</t>
  </si>
  <si>
    <t>(847) 681-8580</t>
  </si>
  <si>
    <t>Didech</t>
  </si>
  <si>
    <t>(847) 478-9909</t>
  </si>
  <si>
    <t>Heider</t>
  </si>
  <si>
    <t>Resources&amp;Environment (chair)</t>
  </si>
  <si>
    <t>(208) 731-1631</t>
  </si>
  <si>
    <t>lheider@senate.idaho.gov</t>
  </si>
  <si>
    <t>(847) 599-2800</t>
  </si>
  <si>
    <t>ritamayfield60@gmail.com</t>
  </si>
  <si>
    <t>(847) 395-8000</t>
  </si>
  <si>
    <t>Corbett</t>
  </si>
  <si>
    <t>Yingling</t>
  </si>
  <si>
    <t>(847) 231-6262</t>
  </si>
  <si>
    <t>repsamyingling@gmail.com</t>
  </si>
  <si>
    <t>Reick</t>
  </si>
  <si>
    <t>(815) 880-5340</t>
  </si>
  <si>
    <t>-</t>
  </si>
  <si>
    <t>(847) 973-0064</t>
  </si>
  <si>
    <t>Ugaste</t>
  </si>
  <si>
    <t>(630) 457-5460</t>
  </si>
  <si>
    <t>LaHood</t>
  </si>
  <si>
    <t>Commerce&amp;Human Resources (chair)</t>
  </si>
  <si>
    <t>(208) 733-6897</t>
  </si>
  <si>
    <t>jpatrick@senate.idaho.gov</t>
  </si>
  <si>
    <t>Skillicorn</t>
  </si>
  <si>
    <t>(815) 893-4884</t>
  </si>
  <si>
    <t>skillicorn@ilhousegop.org</t>
  </si>
  <si>
    <t>Maurice</t>
  </si>
  <si>
    <t>West</t>
  </si>
  <si>
    <t>(815) 987-7433</t>
  </si>
  <si>
    <t>Cabello</t>
  </si>
  <si>
    <t>(815) 282-0083</t>
  </si>
  <si>
    <t>Cabello@ilhousegop.org</t>
  </si>
  <si>
    <t>Stennett</t>
  </si>
  <si>
    <t>Sharper</t>
  </si>
  <si>
    <t>(208) 726-8106</t>
  </si>
  <si>
    <t>mstennett@senate.idaho.gov</t>
  </si>
  <si>
    <t>Ketchum</t>
  </si>
  <si>
    <t>Sosnowski</t>
  </si>
  <si>
    <t>(815) 547-3436</t>
  </si>
  <si>
    <t>sosnowski@ilhousegop.org</t>
  </si>
  <si>
    <t>Keicher</t>
  </si>
  <si>
    <t>(815) 748-3494</t>
  </si>
  <si>
    <t>Hogan</t>
  </si>
  <si>
    <t>McCombie</t>
  </si>
  <si>
    <t>(815) 632-7384</t>
  </si>
  <si>
    <t>McCombie@ilhousegop.gov</t>
  </si>
  <si>
    <t>Anthon</t>
  </si>
  <si>
    <t>(208) 654-4099</t>
  </si>
  <si>
    <t>kanthon@senate.idaho.gov</t>
  </si>
  <si>
    <t>Declo</t>
  </si>
  <si>
    <t>Sainz</t>
  </si>
  <si>
    <t>Halpin</t>
  </si>
  <si>
    <t>(309) 558-3612</t>
  </si>
  <si>
    <t>RepHalpin@gmail.com</t>
  </si>
  <si>
    <t>Spain</t>
  </si>
  <si>
    <t>(309) 690-7373</t>
  </si>
  <si>
    <t>repryanspain@gmail.com</t>
  </si>
  <si>
    <t>Guthrie</t>
  </si>
  <si>
    <t>Ag. Affairs (chair)</t>
  </si>
  <si>
    <t>(208) 251-9303</t>
  </si>
  <si>
    <t>jguthrie@senate.idaho.gov</t>
  </si>
  <si>
    <t>Swanson</t>
  </si>
  <si>
    <t>(309) 334-7474</t>
  </si>
  <si>
    <t>swanson@ilhousegop.org</t>
  </si>
  <si>
    <t>Welter</t>
  </si>
  <si>
    <t>(815) 416-1475</t>
  </si>
  <si>
    <t>welter@ilhousegop.org</t>
  </si>
  <si>
    <t>Yednock</t>
  </si>
  <si>
    <t>(217) 782-0140</t>
  </si>
  <si>
    <t>Lester</t>
  </si>
  <si>
    <t>Nye</t>
  </si>
  <si>
    <t>Willis</t>
  </si>
  <si>
    <t>(208) 221-6109</t>
  </si>
  <si>
    <t>mnye@senate.idaho.gov</t>
  </si>
  <si>
    <t>(708) 562-6970</t>
  </si>
  <si>
    <t>repwillis77@gmail.com</t>
  </si>
  <si>
    <t>Camille</t>
  </si>
  <si>
    <t>Lilly</t>
  </si>
  <si>
    <t>(773) 473-7300</t>
  </si>
  <si>
    <t>staterepcamilleylilly@gmail.com</t>
  </si>
  <si>
    <t>Lindsay</t>
  </si>
  <si>
    <t>Dean</t>
  </si>
  <si>
    <t>Parkhurst</t>
  </si>
  <si>
    <t>(815) 523-7779</t>
  </si>
  <si>
    <t>Mortimer</t>
  </si>
  <si>
    <t>Education- (chair)</t>
  </si>
  <si>
    <t>resources&amp;environment</t>
  </si>
  <si>
    <t>(208) 709-2810</t>
  </si>
  <si>
    <t>dmortimer@senate.idaho.gov</t>
  </si>
  <si>
    <t>DeLuca</t>
  </si>
  <si>
    <t>(708) 754-7900</t>
  </si>
  <si>
    <t>repdeluca@sbcglobal.net</t>
  </si>
  <si>
    <t>Ligon</t>
  </si>
  <si>
    <t>Olsen</t>
  </si>
  <si>
    <t>(630) 737-0504</t>
  </si>
  <si>
    <t>olsen@ilhousegop.org</t>
  </si>
  <si>
    <t>Bair</t>
  </si>
  <si>
    <t>Finance (chair)</t>
  </si>
  <si>
    <t>(208) 684-5209</t>
  </si>
  <si>
    <t>sbair@senate.idaho.gov</t>
  </si>
  <si>
    <t>Durkin</t>
  </si>
  <si>
    <t>Sheikh</t>
  </si>
  <si>
    <t>Rashman</t>
  </si>
  <si>
    <t>(630) 325-2028</t>
  </si>
  <si>
    <t>Durkin@ILHouseGOP.org</t>
  </si>
  <si>
    <t>Jen</t>
  </si>
  <si>
    <t>LaVia</t>
  </si>
  <si>
    <t>(630) 264-6855</t>
  </si>
  <si>
    <t>chapalaviali@ilga.gov</t>
  </si>
  <si>
    <t>Kifowit</t>
  </si>
  <si>
    <t>(630) 585-1308</t>
  </si>
  <si>
    <t>stephanie.kifowit@att.net</t>
  </si>
  <si>
    <t>State Affairs (vice chair)</t>
  </si>
  <si>
    <t>Ag. affairs</t>
  </si>
  <si>
    <t>(208) 547-3360</t>
  </si>
  <si>
    <t>mharris@senate.idaho.gov</t>
  </si>
  <si>
    <t>Soda Springs</t>
  </si>
  <si>
    <t>Connor</t>
  </si>
  <si>
    <t>(815) 372-0085</t>
  </si>
  <si>
    <t>repconnor@gmail.com</t>
  </si>
  <si>
    <t>Lent</t>
  </si>
  <si>
    <t>(208) 521-0716</t>
  </si>
  <si>
    <t>dlent@senate.idaho.gov</t>
  </si>
  <si>
    <t>(815) 730-8600</t>
  </si>
  <si>
    <t>statereplarrywalshjr@gmail.com</t>
  </si>
  <si>
    <t>Black</t>
  </si>
  <si>
    <t>(217) 782-0053</t>
  </si>
  <si>
    <t>butler@ilhousegop.org</t>
  </si>
  <si>
    <t>(208) 356-7495</t>
  </si>
  <si>
    <t>bhill@senate.idaho.gov</t>
  </si>
  <si>
    <t>P.K.</t>
  </si>
  <si>
    <t>Sommer</t>
  </si>
  <si>
    <t>(309) 263-9242</t>
  </si>
  <si>
    <t>sommer@mtco.com</t>
  </si>
  <si>
    <t>Chesney</t>
  </si>
  <si>
    <t>(815) 232-0774</t>
  </si>
  <si>
    <t>Demmer</t>
  </si>
  <si>
    <t>(815) 561-3690</t>
  </si>
  <si>
    <t>Van</t>
  </si>
  <si>
    <t>demmer@ilhousegop.org</t>
  </si>
  <si>
    <t>Burtenshaw</t>
  </si>
  <si>
    <t>(208) 663-4607</t>
  </si>
  <si>
    <t>vburtenshaw@senate.idaho.gov</t>
  </si>
  <si>
    <t>Unes</t>
  </si>
  <si>
    <t>(309) 620-8631</t>
  </si>
  <si>
    <t>repunes@gmail.com</t>
  </si>
  <si>
    <t>Jehan</t>
  </si>
  <si>
    <t>Gordon-Booth</t>
  </si>
  <si>
    <t>(309) 681-1992</t>
  </si>
  <si>
    <t>repjgordon@gmail.com</t>
  </si>
  <si>
    <t>Norine</t>
  </si>
  <si>
    <t>Little</t>
  </si>
  <si>
    <t>Russ</t>
  </si>
  <si>
    <t>Fulcher</t>
  </si>
  <si>
    <t>Hammond</t>
  </si>
  <si>
    <t>(309) 836-2707</t>
  </si>
  <si>
    <t>rephammond@macomb.com</t>
  </si>
  <si>
    <t>Crapo</t>
  </si>
  <si>
    <t>Risch</t>
  </si>
  <si>
    <t>Frese</t>
  </si>
  <si>
    <t>Wasden</t>
  </si>
  <si>
    <t>(217) 223-0833</t>
  </si>
  <si>
    <t>repfrese@adams.net</t>
  </si>
  <si>
    <t>Avery</t>
  </si>
  <si>
    <t>Bourne</t>
  </si>
  <si>
    <t>(217) 324-5200</t>
  </si>
  <si>
    <t>bourne@ilhousegop.org</t>
  </si>
  <si>
    <t>Sue</t>
  </si>
  <si>
    <t>Scherer</t>
  </si>
  <si>
    <t>(217) 877-9636</t>
  </si>
  <si>
    <t>staterepsue@gmail.com</t>
  </si>
  <si>
    <t>Batinick</t>
  </si>
  <si>
    <t>(815) 254-0000</t>
  </si>
  <si>
    <t>batinick@ilhousegop.org</t>
  </si>
  <si>
    <t>Natalie</t>
  </si>
  <si>
    <t>Manley</t>
  </si>
  <si>
    <t>(815) 725-2741</t>
  </si>
  <si>
    <t>repmanley@gmail.com</t>
  </si>
  <si>
    <t>(217) 782-0044</t>
  </si>
  <si>
    <t>C.</t>
  </si>
  <si>
    <t>Davidsmeyer</t>
  </si>
  <si>
    <t>(217) 243-6221</t>
  </si>
  <si>
    <t>repcddavidsmeyer@gmail.com</t>
  </si>
  <si>
    <t>Caulkins</t>
  </si>
  <si>
    <t>(217) 876-1968</t>
  </si>
  <si>
    <t>Halbrook</t>
  </si>
  <si>
    <t>(217) 774-1306</t>
  </si>
  <si>
    <t>halbrook@ilhousegop.org</t>
  </si>
  <si>
    <t>Ammons</t>
  </si>
  <si>
    <t>(217) 531-1660</t>
  </si>
  <si>
    <t>Assistance@StateRepCarolAmmons.com</t>
  </si>
  <si>
    <t>Hays</t>
  </si>
  <si>
    <t>(217) 477-0104</t>
  </si>
  <si>
    <t>chad@rephays.com</t>
  </si>
  <si>
    <t>(309) 662-1100</t>
  </si>
  <si>
    <t>dan@repdanbrady.com</t>
  </si>
  <si>
    <t>(815) 844-9179</t>
  </si>
  <si>
    <t>bennett@ilhousegop.org</t>
  </si>
  <si>
    <t>Harbin</t>
  </si>
  <si>
    <t>Blaine</t>
  </si>
  <si>
    <t>Wilhour</t>
  </si>
  <si>
    <t>(618) 548-9080</t>
  </si>
  <si>
    <t>Meier</t>
  </si>
  <si>
    <t>(618) 651-0405</t>
  </si>
  <si>
    <t>repcmeier@gmail.com</t>
  </si>
  <si>
    <t>Bailey</t>
  </si>
  <si>
    <t>(618) 392-0108</t>
  </si>
  <si>
    <t>(217) 348-1110</t>
  </si>
  <si>
    <t>Bristow</t>
  </si>
  <si>
    <t>(618) 465-5900</t>
  </si>
  <si>
    <t>repmbristow@gmail.com</t>
  </si>
  <si>
    <t>Strickland</t>
  </si>
  <si>
    <t>Stuart</t>
  </si>
  <si>
    <t>(217) 782-8018</t>
  </si>
  <si>
    <t>repkatiestuart@gmail.com</t>
  </si>
  <si>
    <t>(618) 416-7407</t>
  </si>
  <si>
    <t>repjayhoffman@gmail.com</t>
  </si>
  <si>
    <t>LaToya</t>
  </si>
  <si>
    <t>Greenwood</t>
  </si>
  <si>
    <t>(618) 646-9557</t>
  </si>
  <si>
    <t>staterepgreenwood@gmail.com</t>
  </si>
  <si>
    <t>GOP Caucus Chair</t>
  </si>
  <si>
    <t>(618) 242-8115</t>
  </si>
  <si>
    <t>staterepterribryant@gmail.com</t>
  </si>
  <si>
    <t>(618) 282-7284</t>
  </si>
  <si>
    <t>staterepcostello@gmail.com</t>
  </si>
  <si>
    <t>Severin</t>
  </si>
  <si>
    <t>(618) 440-5090</t>
  </si>
  <si>
    <t>Windhorst</t>
  </si>
  <si>
    <t>(618) 253-4189</t>
  </si>
  <si>
    <t>Antonio</t>
  </si>
  <si>
    <t>Tillery</t>
  </si>
  <si>
    <t>Munoz</t>
  </si>
  <si>
    <t>(773) 869-9050</t>
  </si>
  <si>
    <t>munoz@senatedem.illinois.gov</t>
  </si>
  <si>
    <t>Omar</t>
  </si>
  <si>
    <t>(773) 292-0202</t>
  </si>
  <si>
    <t>Aquino@senatedem.illinois.gov</t>
  </si>
  <si>
    <t>Mattie</t>
  </si>
  <si>
    <t>(312) 949-1908</t>
  </si>
  <si>
    <t>hunter@senatedem.illinois.gov</t>
  </si>
  <si>
    <t>Lightford</t>
  </si>
  <si>
    <t>(708) 343-7444</t>
  </si>
  <si>
    <t>lightford@senatedem.illinois.gov</t>
  </si>
  <si>
    <t>VanPelt</t>
  </si>
  <si>
    <t>(312) 888-9191</t>
  </si>
  <si>
    <t>vanpelt@senatedem.illinois.gov</t>
  </si>
  <si>
    <t>Cullerton</t>
  </si>
  <si>
    <t>(773) 883-0770</t>
  </si>
  <si>
    <t>jcullerton@senatedem.illinois.gov</t>
  </si>
  <si>
    <t>Beach</t>
  </si>
  <si>
    <t>Steans</t>
  </si>
  <si>
    <t>(773) 769-1717</t>
  </si>
  <si>
    <t>steans@senatedem.illinois.gov</t>
  </si>
  <si>
    <t>Ram</t>
  </si>
  <si>
    <t>Villivalam</t>
  </si>
  <si>
    <t>(773) 743-5015</t>
  </si>
  <si>
    <t>Harold</t>
  </si>
  <si>
    <t>(847) 568-1250</t>
  </si>
  <si>
    <t>Mulroe</t>
  </si>
  <si>
    <t>(773) 763-3810</t>
  </si>
  <si>
    <t>mulroe@senatedem.illinois.gov</t>
  </si>
  <si>
    <t>Sandoval</t>
  </si>
  <si>
    <t>(708) 656-2002</t>
  </si>
  <si>
    <t>msandoval@senatedem.ilga.gov</t>
  </si>
  <si>
    <t>Landek</t>
  </si>
  <si>
    <t>(708) 430-2510</t>
  </si>
  <si>
    <t>landek@senatedem.illinois.gov</t>
  </si>
  <si>
    <t>Kwame</t>
  </si>
  <si>
    <t>Raoul</t>
  </si>
  <si>
    <t>(773) 363-1996</t>
  </si>
  <si>
    <t>raoul@senatedem.illinois.gov</t>
  </si>
  <si>
    <t>(773) 995-7748</t>
  </si>
  <si>
    <t>jones@senatedem.illinois.gov</t>
  </si>
  <si>
    <t>(708) 893-0552</t>
  </si>
  <si>
    <t>harris@senatedem.illinois.gov</t>
  </si>
  <si>
    <t>Jacqueline</t>
  </si>
  <si>
    <t>(773) 224-2830</t>
  </si>
  <si>
    <t>collins@senatedem.illinois.gov</t>
  </si>
  <si>
    <t>Elgie</t>
  </si>
  <si>
    <t>Sims</t>
  </si>
  <si>
    <t>(773) 933-7715</t>
  </si>
  <si>
    <t>Burt</t>
  </si>
  <si>
    <t>cunningham@senatedem.illinois.gov</t>
  </si>
  <si>
    <t>(815) 464-5431</t>
  </si>
  <si>
    <t>hastings@senatedem.illinois.gov</t>
  </si>
  <si>
    <t>Iris</t>
  </si>
  <si>
    <t>Martinez</t>
  </si>
  <si>
    <t>(773) 278-2020</t>
  </si>
  <si>
    <t>martinez@senatedem.illinois.gov</t>
  </si>
  <si>
    <t>Lucas</t>
  </si>
  <si>
    <t>Connelly</t>
  </si>
  <si>
    <t>(630) 453-5488</t>
  </si>
  <si>
    <t>senatorconnelly21@gmail.com</t>
  </si>
  <si>
    <t>Castro</t>
  </si>
  <si>
    <t>Dolezal</t>
  </si>
  <si>
    <t>(847) 214-8864</t>
  </si>
  <si>
    <t>Castro@Senatedem.Illinois.gov</t>
  </si>
  <si>
    <t>(630) 903-6662</t>
  </si>
  <si>
    <t>tcullerton@senatedem.illinois.gov</t>
  </si>
  <si>
    <t>Nybo</t>
  </si>
  <si>
    <t>(630) 969-0990</t>
  </si>
  <si>
    <t>chris@chrisnybo.org</t>
  </si>
  <si>
    <t>Brass</t>
  </si>
  <si>
    <t>Oberweis</t>
  </si>
  <si>
    <t>(630) 800-1992</t>
  </si>
  <si>
    <t>senatoroberweis@gmail.com</t>
  </si>
  <si>
    <t>McConchie</t>
  </si>
  <si>
    <t>(224) 662-4544</t>
  </si>
  <si>
    <t>dan@danmcconchie.com</t>
  </si>
  <si>
    <t>Gillespie</t>
  </si>
  <si>
    <t>(847) 776-1490</t>
  </si>
  <si>
    <t>(847) 718-1110</t>
  </si>
  <si>
    <t>laura@senatorlauramurphy.com</t>
  </si>
  <si>
    <t>(847) 945-5200</t>
  </si>
  <si>
    <t>morrison@senatedem.illinois.gov</t>
  </si>
  <si>
    <t>Dugan</t>
  </si>
  <si>
    <t>Senate Majority Leader</t>
  </si>
  <si>
    <t>Link</t>
  </si>
  <si>
    <t>(847) 623-3006</t>
  </si>
  <si>
    <t>senator@link30.org</t>
  </si>
  <si>
    <t>Melinda</t>
  </si>
  <si>
    <t>(847) 548-5631</t>
  </si>
  <si>
    <t>bush@senatedem.illinois.gov</t>
  </si>
  <si>
    <t>Althoff</t>
  </si>
  <si>
    <t>(815) 455-6330</t>
  </si>
  <si>
    <t>pamela@pamelaalthoff.net</t>
  </si>
  <si>
    <t>McConnaughay</t>
  </si>
  <si>
    <t>(847) 214-8245</t>
  </si>
  <si>
    <t>Stadelman</t>
  </si>
  <si>
    <t>(815) 987-7557</t>
  </si>
  <si>
    <t>stadelman@senatedem.illinois.gov</t>
  </si>
  <si>
    <t>Syverson</t>
  </si>
  <si>
    <t>(815) 987-7555</t>
  </si>
  <si>
    <t>info@senatordavesyverson.com</t>
  </si>
  <si>
    <t>(309) 736-7084</t>
  </si>
  <si>
    <t>DocRhett</t>
  </si>
  <si>
    <t xml:space="preserve">     </t>
  </si>
  <si>
    <t>(309) 693-4921</t>
  </si>
  <si>
    <t>chuck@senweaver.com</t>
  </si>
  <si>
    <t xml:space="preserve">Samantha </t>
  </si>
  <si>
    <t>Rezin</t>
  </si>
  <si>
    <t>(815) 220-8720</t>
  </si>
  <si>
    <t>senatorrezin@gmail.com</t>
  </si>
  <si>
    <t>Harmon</t>
  </si>
  <si>
    <t>(708) 848-2002</t>
  </si>
  <si>
    <t>harmon@senatedem.illinois.gov</t>
  </si>
  <si>
    <t>Seay</t>
  </si>
  <si>
    <t>Toi</t>
  </si>
  <si>
    <t>Harris,</t>
  </si>
  <si>
    <t>(708) 756-0882</t>
  </si>
  <si>
    <t>hutchinson@senatedem.illinois.gov</t>
  </si>
  <si>
    <t>Ragen</t>
  </si>
  <si>
    <t>Edmond</t>
  </si>
  <si>
    <t>Donzella</t>
  </si>
  <si>
    <t>Soliday</t>
  </si>
  <si>
    <t>DeVon</t>
  </si>
  <si>
    <t>Bauer</t>
  </si>
  <si>
    <t>Curran</t>
  </si>
  <si>
    <t>(630) 243-0800</t>
  </si>
  <si>
    <t>Dvorak</t>
  </si>
  <si>
    <t>Boy</t>
  </si>
  <si>
    <t>Nan</t>
  </si>
  <si>
    <t>(630) 801-8985</t>
  </si>
  <si>
    <t>senatorholmes42@gmail.com</t>
  </si>
  <si>
    <t>Moseley</t>
  </si>
  <si>
    <t>Orrock</t>
  </si>
  <si>
    <t>(815) 207-4445</t>
  </si>
  <si>
    <t>mcguire@senatedem.illinois.gov</t>
  </si>
  <si>
    <t>Aylesworth</t>
  </si>
  <si>
    <t>Mara</t>
  </si>
  <si>
    <t>Lindsey</t>
  </si>
  <si>
    <t>(309) 664-4440</t>
  </si>
  <si>
    <t>Reardon</t>
  </si>
  <si>
    <t>billbrady@senatorbillbrady.com</t>
  </si>
  <si>
    <t>(815) 284-0045</t>
  </si>
  <si>
    <t>koehler@senatedem.illinois.gov</t>
  </si>
  <si>
    <t>Negele</t>
  </si>
  <si>
    <t>Tippins</t>
  </si>
  <si>
    <t>Koehler</t>
  </si>
  <si>
    <t>(309) 677-0120</t>
  </si>
  <si>
    <t>Jil</t>
  </si>
  <si>
    <t>Hal</t>
  </si>
  <si>
    <t>Slager</t>
  </si>
  <si>
    <t>Horacena</t>
  </si>
  <si>
    <t>Gutwein</t>
  </si>
  <si>
    <t>Manar</t>
  </si>
  <si>
    <t>(618) 585-4848</t>
  </si>
  <si>
    <t>Manar@senatedem.illinois.gov</t>
  </si>
  <si>
    <t>Wolkins</t>
  </si>
  <si>
    <t>Pressel</t>
  </si>
  <si>
    <t>Bertino-Tarrant</t>
  </si>
  <si>
    <t>(815) 254-4211</t>
  </si>
  <si>
    <t>bertinotarrant@senatedem.illinois.gov</t>
  </si>
  <si>
    <t>Nikema</t>
  </si>
  <si>
    <t>(217) 245-0050</t>
  </si>
  <si>
    <t>Chapin</t>
  </si>
  <si>
    <t>Wesco</t>
  </si>
  <si>
    <t>Curt</t>
  </si>
  <si>
    <t>Nisly</t>
  </si>
  <si>
    <t>Ethan</t>
  </si>
  <si>
    <t>Manning</t>
  </si>
  <si>
    <t>(217) 607-1853</t>
  </si>
  <si>
    <t>ls@chapinrose.net</t>
  </si>
  <si>
    <t>317-232-9802</t>
  </si>
  <si>
    <t>(217) 355-5252</t>
  </si>
  <si>
    <t>Bennett@senatedem.illinois.gov</t>
  </si>
  <si>
    <t>Barickman</t>
  </si>
  <si>
    <t>(309) 661-2788</t>
  </si>
  <si>
    <t>jason@jasonbarickman.com</t>
  </si>
  <si>
    <t>(618) 283-3000</t>
  </si>
  <si>
    <t>Schaibley</t>
  </si>
  <si>
    <t>Righter</t>
  </si>
  <si>
    <t>(217) 235-6033</t>
  </si>
  <si>
    <t>drighter@consolidated.net</t>
  </si>
  <si>
    <t>Rachelle</t>
  </si>
  <si>
    <t>Crowe</t>
  </si>
  <si>
    <t>(618) 465-4764</t>
  </si>
  <si>
    <t>Belt</t>
  </si>
  <si>
    <t>(618) 875-1212</t>
  </si>
  <si>
    <t>Lehe</t>
  </si>
  <si>
    <t>i</t>
  </si>
  <si>
    <t>Schimpf</t>
  </si>
  <si>
    <t>(618) 529-3866</t>
  </si>
  <si>
    <t>Elena</t>
  </si>
  <si>
    <t>Fowler</t>
  </si>
  <si>
    <t>(618) 294-8951</t>
  </si>
  <si>
    <t>Parent</t>
  </si>
  <si>
    <t>Klinker</t>
  </si>
  <si>
    <t>J.B</t>
  </si>
  <si>
    <t>Pritzker</t>
  </si>
  <si>
    <t>Rush</t>
  </si>
  <si>
    <t>Lipinski</t>
  </si>
  <si>
    <t>Chuy</t>
  </si>
  <si>
    <t>Quigley</t>
  </si>
  <si>
    <t>Casten</t>
  </si>
  <si>
    <t>Tonya</t>
  </si>
  <si>
    <t>Raja</t>
  </si>
  <si>
    <t>Krishnamoorthi</t>
  </si>
  <si>
    <t>Schakowsky</t>
  </si>
  <si>
    <t>Schneider</t>
  </si>
  <si>
    <t>Bost</t>
  </si>
  <si>
    <t>underwood</t>
  </si>
  <si>
    <t>Shimkus</t>
  </si>
  <si>
    <t>Kinzinger</t>
  </si>
  <si>
    <t>Goodrich</t>
  </si>
  <si>
    <t>st</t>
  </si>
  <si>
    <t>Cheri</t>
  </si>
  <si>
    <t>317-232-9833</t>
  </si>
  <si>
    <t>Bustos</t>
  </si>
  <si>
    <t>Darin</t>
  </si>
  <si>
    <t>Duckworth</t>
  </si>
  <si>
    <t>Dick</t>
  </si>
  <si>
    <t>Durban</t>
  </si>
  <si>
    <t>Karickhoff</t>
  </si>
  <si>
    <t>Davenport</t>
  </si>
  <si>
    <t>Mahan</t>
  </si>
  <si>
    <t>Renee</t>
  </si>
  <si>
    <t>Errington</t>
  </si>
  <si>
    <t>Unterman</t>
  </si>
  <si>
    <t>Melanie</t>
  </si>
  <si>
    <t>Cowsert</t>
  </si>
  <si>
    <t>VanNatter</t>
  </si>
  <si>
    <t>Ginn</t>
  </si>
  <si>
    <t>Torr</t>
  </si>
  <si>
    <t>Steuerwald</t>
  </si>
  <si>
    <t>Majority Caucs Chair</t>
  </si>
  <si>
    <t>Zahra</t>
  </si>
  <si>
    <t>karinshak</t>
  </si>
  <si>
    <t>Pfaff</t>
  </si>
  <si>
    <t>Beau</t>
  </si>
  <si>
    <t>Baird</t>
  </si>
  <si>
    <t>Borders</t>
  </si>
  <si>
    <t>Wilkinson</t>
  </si>
  <si>
    <t>Heaton</t>
  </si>
  <si>
    <t>Gooch</t>
  </si>
  <si>
    <t>Stutzman</t>
  </si>
  <si>
    <t>Hufstetler</t>
  </si>
  <si>
    <t>Leonard</t>
  </si>
  <si>
    <t>Zent</t>
  </si>
  <si>
    <t>Smaltz</t>
  </si>
  <si>
    <t>Mullis</t>
  </si>
  <si>
    <t>Cherry</t>
  </si>
  <si>
    <t>Saunders</t>
  </si>
  <si>
    <t>Ziemke</t>
  </si>
  <si>
    <t>Democratic Caucus Chair</t>
  </si>
  <si>
    <t>Barrett</t>
  </si>
  <si>
    <t>Eberhart</t>
  </si>
  <si>
    <t>Woody</t>
  </si>
  <si>
    <t>Albers</t>
  </si>
  <si>
    <t>Lauer</t>
  </si>
  <si>
    <t>Peggy</t>
  </si>
  <si>
    <t>Kemp</t>
  </si>
  <si>
    <t>Pierce</t>
  </si>
  <si>
    <t>Ellington</t>
  </si>
  <si>
    <t>Lindauer</t>
  </si>
  <si>
    <t>Buddy</t>
  </si>
  <si>
    <t>Hostettler</t>
  </si>
  <si>
    <t>Sanford</t>
  </si>
  <si>
    <t>May</t>
  </si>
  <si>
    <t>Drew</t>
  </si>
  <si>
    <t>Hank</t>
  </si>
  <si>
    <t>McBath</t>
  </si>
  <si>
    <t>Goodin</t>
  </si>
  <si>
    <t>runoff</t>
  </si>
  <si>
    <t>Lyness</t>
  </si>
  <si>
    <t>Engleman</t>
  </si>
  <si>
    <t>Jody</t>
  </si>
  <si>
    <t>Hice</t>
  </si>
  <si>
    <t>Loudermilk</t>
  </si>
  <si>
    <t>Graves</t>
  </si>
  <si>
    <t>Clere</t>
  </si>
  <si>
    <t>Isakson</t>
  </si>
  <si>
    <t>Perdue</t>
  </si>
  <si>
    <t>Davisson</t>
  </si>
  <si>
    <t>Carr</t>
  </si>
  <si>
    <t>Bartels</t>
  </si>
  <si>
    <t>Bacon</t>
  </si>
  <si>
    <t>McNamara</t>
  </si>
  <si>
    <t>Hatfield</t>
  </si>
  <si>
    <t>Holli</t>
  </si>
  <si>
    <t>Lehman</t>
  </si>
  <si>
    <t>Majority Floor Lader</t>
  </si>
  <si>
    <t>317-234-9380</t>
  </si>
  <si>
    <t>GiaQuinta</t>
  </si>
  <si>
    <t>Carbaugh</t>
  </si>
  <si>
    <t>Abbott</t>
  </si>
  <si>
    <t>Heine</t>
  </si>
  <si>
    <t>DeLaney</t>
  </si>
  <si>
    <t>Carey</t>
  </si>
  <si>
    <t>Hamilton</t>
  </si>
  <si>
    <t>Bosma</t>
  </si>
  <si>
    <t>317-232-9677</t>
  </si>
  <si>
    <t>Kirchhofer</t>
  </si>
  <si>
    <t>Speedy</t>
  </si>
  <si>
    <t>Behning</t>
  </si>
  <si>
    <t>Karlee</t>
  </si>
  <si>
    <t>Macer</t>
  </si>
  <si>
    <t>Frizzell</t>
  </si>
  <si>
    <t>Cherrish</t>
  </si>
  <si>
    <t>Pryor</t>
  </si>
  <si>
    <t>Bartlett</t>
  </si>
  <si>
    <t>Moed</t>
  </si>
  <si>
    <t>Democratic Whip</t>
  </si>
  <si>
    <t>Shackleford</t>
  </si>
  <si>
    <t>Vanessa</t>
  </si>
  <si>
    <t>Summers</t>
  </si>
  <si>
    <t>Forestal</t>
  </si>
  <si>
    <t>Jenn</t>
  </si>
  <si>
    <t>Brandi</t>
  </si>
  <si>
    <t>Mrvan</t>
  </si>
  <si>
    <t>Lonnie</t>
  </si>
  <si>
    <t>Tallian</t>
  </si>
  <si>
    <t>Wills</t>
  </si>
  <si>
    <t>john.wills@legis.iowa.gov</t>
  </si>
  <si>
    <t>Charbonneau</t>
  </si>
  <si>
    <t>megan.jones@legis.iowa.gov</t>
  </si>
  <si>
    <t>Niemeyer</t>
  </si>
  <si>
    <t>Bohacek</t>
  </si>
  <si>
    <t>Huseman</t>
  </si>
  <si>
    <t>dan.huseman@legis.iowa.gov</t>
  </si>
  <si>
    <t>Mishler</t>
  </si>
  <si>
    <t>Skyler</t>
  </si>
  <si>
    <t>Niezgodski</t>
  </si>
  <si>
    <t>Civil Law (Vice Chair)</t>
  </si>
  <si>
    <t>skyler.wheeler@legis.iowa.gov</t>
  </si>
  <si>
    <t>Doriot</t>
  </si>
  <si>
    <t>Jeneary</t>
  </si>
  <si>
    <t>Thomas.jeneary@legis.iowa.gov</t>
  </si>
  <si>
    <t>Glick</t>
  </si>
  <si>
    <t>Jacob</t>
  </si>
  <si>
    <t>Bossman</t>
  </si>
  <si>
    <t>jacob.bossman@legis.iowa.gov</t>
  </si>
  <si>
    <t>Kruse</t>
  </si>
  <si>
    <t>Tedd</t>
  </si>
  <si>
    <t>Gassman</t>
  </si>
  <si>
    <t>tedd.gassman@legis.iowa.gov</t>
  </si>
  <si>
    <t>Long</t>
  </si>
  <si>
    <t>Baxter</t>
  </si>
  <si>
    <t>terry.baxter@legis.iowa.gov</t>
  </si>
  <si>
    <t>Zay</t>
  </si>
  <si>
    <t>Meyer</t>
  </si>
  <si>
    <t>ann.meyer@legis.iowa.gov</t>
  </si>
  <si>
    <t>Head</t>
  </si>
  <si>
    <t>Civil Law (Head)</t>
  </si>
  <si>
    <t>Holdman</t>
  </si>
  <si>
    <t>Spartz</t>
  </si>
  <si>
    <t>Sexton</t>
  </si>
  <si>
    <t>mike.sexton@legis.iowa.gov</t>
  </si>
  <si>
    <t>Ronnie</t>
  </si>
  <si>
    <t>Alting</t>
  </si>
  <si>
    <t>Bronwyn-filling out</t>
  </si>
  <si>
    <t>Worthan</t>
  </si>
  <si>
    <t>gary.worthan@legis.iowa.gov</t>
  </si>
  <si>
    <t>Boots</t>
  </si>
  <si>
    <t>Lanane</t>
  </si>
  <si>
    <t>Mintority Leader</t>
  </si>
  <si>
    <t>Gaskill</t>
  </si>
  <si>
    <t>Raatz</t>
  </si>
  <si>
    <t>Best</t>
  </si>
  <si>
    <t>brian.best@legis.iowa.gov</t>
  </si>
  <si>
    <t>Crider</t>
  </si>
  <si>
    <t>https://www.theindychannel.com/news/local-news/crime/bill-would-create-system-to-track-indianas-backlog-of-untested-rape-kits</t>
  </si>
  <si>
    <t>Houser</t>
  </si>
  <si>
    <t>785 296-7679</t>
  </si>
  <si>
    <t>Cherokee</t>
  </si>
  <si>
    <t>chris.hall@legis.iowa.gov</t>
  </si>
  <si>
    <t>620-240-0778 (cell)</t>
  </si>
  <si>
    <t>Kacena</t>
  </si>
  <si>
    <t>timothy.kacena@legis.iowa.gov</t>
  </si>
  <si>
    <t>Ruckelshaus</t>
  </si>
  <si>
    <t>Murnan</t>
  </si>
  <si>
    <t>785 296-7426</t>
  </si>
  <si>
    <t>Trevor</t>
  </si>
  <si>
    <t>McConkey</t>
  </si>
  <si>
    <t>charlie.mcconkey@legis.iowa.gov</t>
  </si>
  <si>
    <t>Merritt</t>
  </si>
  <si>
    <t>785 296-7616</t>
  </si>
  <si>
    <t>Bourbon</t>
  </si>
  <si>
    <t>Samsel</t>
  </si>
  <si>
    <t>Freeman</t>
  </si>
  <si>
    <t>Jene</t>
  </si>
  <si>
    <t>Ann Hanusa</t>
  </si>
  <si>
    <t>mary.ann.hanusa@legis.iowa.gov</t>
  </si>
  <si>
    <t>Vickrey</t>
  </si>
  <si>
    <t>785-296-7748</t>
  </si>
  <si>
    <t>Miami</t>
  </si>
  <si>
    <t>Proehl</t>
  </si>
  <si>
    <t>785 296-7639</t>
  </si>
  <si>
    <t>Labette</t>
  </si>
  <si>
    <t>Windschitl</t>
  </si>
  <si>
    <t>Croft</t>
  </si>
  <si>
    <t>matt.windschitl@legis.iowa.gov</t>
  </si>
  <si>
    <t>Kent</t>
  </si>
  <si>
    <t>785-296-7451</t>
  </si>
  <si>
    <t>Eileen</t>
  </si>
  <si>
    <t>steven.holt@legis.iowa.gov</t>
  </si>
  <si>
    <t>Sandlin</t>
  </si>
  <si>
    <t>Horn</t>
  </si>
  <si>
    <t>Rodric</t>
  </si>
  <si>
    <t>785-296-7652</t>
  </si>
  <si>
    <t>Bray</t>
  </si>
  <si>
    <t>Hagenow</t>
  </si>
  <si>
    <t>chris.hagenow@legis.iowa.gov</t>
  </si>
  <si>
    <t>785 296-6014</t>
  </si>
  <si>
    <t>Bassler</t>
  </si>
  <si>
    <t>Sorenson</t>
  </si>
  <si>
    <t>ray.sorenson@legis.iowa.gov</t>
  </si>
  <si>
    <t>Blex</t>
  </si>
  <si>
    <t>785 296-5863</t>
  </si>
  <si>
    <t>Stoops</t>
  </si>
  <si>
    <t>Hibbard</t>
  </si>
  <si>
    <t>785 296-7380</t>
  </si>
  <si>
    <t>tom.moore@legis.iowa.gov</t>
  </si>
  <si>
    <t>Charlotte</t>
  </si>
  <si>
    <t>Esau</t>
  </si>
  <si>
    <t>785 296-7688</t>
  </si>
  <si>
    <t>Toplikar</t>
  </si>
  <si>
    <t>Leising</t>
  </si>
  <si>
    <t>Holscher</t>
  </si>
  <si>
    <t>785 296-7659</t>
  </si>
  <si>
    <t>Jacobsen</t>
  </si>
  <si>
    <t>jon.jacobsen@legis.iowa.gov</t>
  </si>
  <si>
    <t>Perfect</t>
  </si>
  <si>
    <t>785 296-7331</t>
  </si>
  <si>
    <t>Koch</t>
  </si>
  <si>
    <t>Garten</t>
  </si>
  <si>
    <t>Sieck</t>
  </si>
  <si>
    <t>david.sieck@legis.iowa.gov</t>
  </si>
  <si>
    <t>Neighbor</t>
  </si>
  <si>
    <t>Grooms</t>
  </si>
  <si>
    <t>785 296-7690</t>
  </si>
  <si>
    <t>Cecil</t>
  </si>
  <si>
    <t>Dolecheck</t>
  </si>
  <si>
    <t>cecil.dolecheck@legis.iowa.gov</t>
  </si>
  <si>
    <t>Houchin</t>
  </si>
  <si>
    <t>785 296-7548</t>
  </si>
  <si>
    <t>Messmer</t>
  </si>
  <si>
    <t>Kessinger</t>
  </si>
  <si>
    <t>785 296-7436</t>
  </si>
  <si>
    <t>Gustafson</t>
  </si>
  <si>
    <t>stan.gustafson@legis.iowa.gov</t>
  </si>
  <si>
    <t>Tomes</t>
  </si>
  <si>
    <t>Vaneta</t>
  </si>
  <si>
    <t>Stogsdill</t>
  </si>
  <si>
    <t>785 296-7692</t>
  </si>
  <si>
    <t>Visclosky</t>
  </si>
  <si>
    <t>Walorski</t>
  </si>
  <si>
    <t>Banks</t>
  </si>
  <si>
    <t>Pence</t>
  </si>
  <si>
    <t>Lusk</t>
  </si>
  <si>
    <t>785 296-7651</t>
  </si>
  <si>
    <t>Bucshon</t>
  </si>
  <si>
    <t>Hollingsworth</t>
  </si>
  <si>
    <t>Ourth</t>
  </si>
  <si>
    <t>Braun</t>
  </si>
  <si>
    <t>scott.ourth@legis.iowa.gov</t>
  </si>
  <si>
    <t>Jarrod</t>
  </si>
  <si>
    <t>Ousley</t>
  </si>
  <si>
    <t>785-296-7366</t>
  </si>
  <si>
    <t>Rui</t>
  </si>
  <si>
    <t>Xu</t>
  </si>
  <si>
    <t>Fry</t>
  </si>
  <si>
    <t>joel.fry@legis.iowa.gov</t>
  </si>
  <si>
    <t>Tarwater</t>
  </si>
  <si>
    <t>785 296-7685</t>
  </si>
  <si>
    <t>Kellie</t>
  </si>
  <si>
    <t>Woodard</t>
  </si>
  <si>
    <t>Thorup</t>
  </si>
  <si>
    <t>jon.thorup@legis.iowa.gov</t>
  </si>
  <si>
    <t>Wesley</t>
  </si>
  <si>
    <t>785-296-5593</t>
  </si>
  <si>
    <t>Louis</t>
  </si>
  <si>
    <t>Breckenridge</t>
  </si>
  <si>
    <t>Minority Assistant Leader</t>
  </si>
  <si>
    <t>wes.breckenridge@legis.iowa.gov</t>
  </si>
  <si>
    <t>785 296-7885</t>
  </si>
  <si>
    <t>Wyandotte</t>
  </si>
  <si>
    <t>called- VM</t>
  </si>
  <si>
    <t>785-296-7430</t>
  </si>
  <si>
    <t>Lohse</t>
  </si>
  <si>
    <t>Brian.lohse@legis.iowa.gov</t>
  </si>
  <si>
    <t>Burroughs</t>
  </si>
  <si>
    <t>785 296-8153</t>
  </si>
  <si>
    <t>Valdenia</t>
  </si>
  <si>
    <t>rick.olson@legis.iowa.gov</t>
  </si>
  <si>
    <t>Winn</t>
  </si>
  <si>
    <t>785 296-7657</t>
  </si>
  <si>
    <t>Broderick</t>
  </si>
  <si>
    <t>785 296-7697</t>
  </si>
  <si>
    <t>WolfeMoore</t>
  </si>
  <si>
    <t>785 296-0424</t>
  </si>
  <si>
    <t>Ann Gaines</t>
  </si>
  <si>
    <t>ruthann.gaines@legis.iowa.gov</t>
  </si>
  <si>
    <t>Frownfelter</t>
  </si>
  <si>
    <t>785 296-7630</t>
  </si>
  <si>
    <t>Willie</t>
  </si>
  <si>
    <t>Dove</t>
  </si>
  <si>
    <t>785 296-7677</t>
  </si>
  <si>
    <t>Donohoe</t>
  </si>
  <si>
    <t>Deere</t>
  </si>
  <si>
    <t>785 296-7653</t>
  </si>
  <si>
    <t>Leavenworth</t>
  </si>
  <si>
    <t>brian.meyer@legis.iowa.gov</t>
  </si>
  <si>
    <t>Pittman</t>
  </si>
  <si>
    <t>785 296-7522</t>
  </si>
  <si>
    <t>Karleskint</t>
  </si>
  <si>
    <t>785 296-7683</t>
  </si>
  <si>
    <t>bruce.hunter@legis.iowa.gov</t>
  </si>
  <si>
    <t>Sutton</t>
  </si>
  <si>
    <t>785 296-7676</t>
  </si>
  <si>
    <t>bill.sutton@house.ks.gov</t>
  </si>
  <si>
    <t>Ako</t>
  </si>
  <si>
    <t>Ballard</t>
  </si>
  <si>
    <t>Abdul-Samad</t>
  </si>
  <si>
    <t>ako.abdul-samad@legis.iowa.gov</t>
  </si>
  <si>
    <t>Amyx</t>
  </si>
  <si>
    <t>Marti</t>
  </si>
  <si>
    <t>Highberger</t>
  </si>
  <si>
    <t>785-296-7122</t>
  </si>
  <si>
    <t>marti.anderson@legis.iowa.gov</t>
  </si>
  <si>
    <t>785 296-5623</t>
  </si>
  <si>
    <t>Benson</t>
  </si>
  <si>
    <t>Patton</t>
  </si>
  <si>
    <t>785-296-7460</t>
  </si>
  <si>
    <t>Landon</t>
  </si>
  <si>
    <t>john.landon@legis.iowa.gov</t>
  </si>
  <si>
    <t>Shawnee</t>
  </si>
  <si>
    <t>Highland</t>
  </si>
  <si>
    <t>785 296-7310</t>
  </si>
  <si>
    <t>Pottawatomie</t>
  </si>
  <si>
    <t>Matson</t>
  </si>
  <si>
    <t>heather.matson@legis.iowa.gov</t>
  </si>
  <si>
    <t>Dietrich</t>
  </si>
  <si>
    <t>785 296-7648</t>
  </si>
  <si>
    <t>Karin</t>
  </si>
  <si>
    <t>Derry</t>
  </si>
  <si>
    <t>karin.derry@legis.iowa.gov</t>
  </si>
  <si>
    <t>Gartner</t>
  </si>
  <si>
    <t>785 296-7673</t>
  </si>
  <si>
    <t>Corbet</t>
  </si>
  <si>
    <t>Annie</t>
  </si>
  <si>
    <t>Forbes</t>
  </si>
  <si>
    <t>john.forbes@legis.iowa.gov</t>
  </si>
  <si>
    <t>Kuether</t>
  </si>
  <si>
    <t>cant introduce</t>
  </si>
  <si>
    <t>785 296-7669</t>
  </si>
  <si>
    <t>Virgil</t>
  </si>
  <si>
    <t>Jo</t>
  </si>
  <si>
    <t>Weigel</t>
  </si>
  <si>
    <t>785 296-7104</t>
  </si>
  <si>
    <t>Oldson</t>
  </si>
  <si>
    <t>jo.oldson@legis.iowa.gov</t>
  </si>
  <si>
    <t>Alcala</t>
  </si>
  <si>
    <t>785 296-7371</t>
  </si>
  <si>
    <t>785 296-7656</t>
  </si>
  <si>
    <t>Finch</t>
  </si>
  <si>
    <t>785 296-7655</t>
  </si>
  <si>
    <t>Sunde</t>
  </si>
  <si>
    <t>kristin.sunde@legis.iowa.gov</t>
  </si>
  <si>
    <t>Schreiber</t>
  </si>
  <si>
    <t>785 296-2721</t>
  </si>
  <si>
    <t>Lyon</t>
  </si>
  <si>
    <t>Konfrst</t>
  </si>
  <si>
    <t>jennifer.konfirst@legis.iowa.gov</t>
  </si>
  <si>
    <t>Awerkamp</t>
  </si>
  <si>
    <t>785 296-6989</t>
  </si>
  <si>
    <t>Kenan</t>
  </si>
  <si>
    <t>Judge</t>
  </si>
  <si>
    <t>kenan.judge@legis.iowa.gov</t>
  </si>
  <si>
    <t>Garber</t>
  </si>
  <si>
    <t>785 296-7665</t>
  </si>
  <si>
    <t>Nemaha</t>
  </si>
  <si>
    <t>Wessel-Kroeschell</t>
  </si>
  <si>
    <t>beth.wessel-kroeschell@legis.iowa.gov</t>
  </si>
  <si>
    <t>Eplee</t>
  </si>
  <si>
    <t>785 296-8621</t>
  </si>
  <si>
    <t>Atchison</t>
  </si>
  <si>
    <t>Susie</t>
  </si>
  <si>
    <t>785-296-7642</t>
  </si>
  <si>
    <t>Heddens</t>
  </si>
  <si>
    <t>lisa.heddens@legis.iowa.gov</t>
  </si>
  <si>
    <t>785-296-7483</t>
  </si>
  <si>
    <t>Geary</t>
  </si>
  <si>
    <t>Carlin</t>
  </si>
  <si>
    <t>phil.thompson@legis.iowa.gov</t>
  </si>
  <si>
    <t>Phillips</t>
  </si>
  <si>
    <t>785 296-7402</t>
  </si>
  <si>
    <t>rob.bacon@legis.iowa.gov</t>
  </si>
  <si>
    <t>785 296-6997</t>
  </si>
  <si>
    <t>JR</t>
  </si>
  <si>
    <t>Claeys</t>
  </si>
  <si>
    <t>785 296-7670</t>
  </si>
  <si>
    <t>jrclaeys@house.ks.gov</t>
  </si>
  <si>
    <t>Saline</t>
  </si>
  <si>
    <t>Barker</t>
  </si>
  <si>
    <t>785 296-7674</t>
  </si>
  <si>
    <t>Deyoe</t>
  </si>
  <si>
    <t>dave.deyoe@legis.iowa.gov</t>
  </si>
  <si>
    <t>Dickinson</t>
  </si>
  <si>
    <t>Dierks</t>
  </si>
  <si>
    <t>785 296-7642</t>
  </si>
  <si>
    <t>Harvey</t>
  </si>
  <si>
    <t>Grassley</t>
  </si>
  <si>
    <t>pat.grassley@legis.iowa.gov</t>
  </si>
  <si>
    <t>785-296-7640</t>
  </si>
  <si>
    <t>McPherson</t>
  </si>
  <si>
    <t>Mail Form</t>
  </si>
  <si>
    <t>Schroeder</t>
  </si>
  <si>
    <t>785 296-7500</t>
  </si>
  <si>
    <t>Bloomingdale</t>
  </si>
  <si>
    <t>785 296-7660</t>
  </si>
  <si>
    <t>MaryMartha.Good@house.ks.gov</t>
  </si>
  <si>
    <t>785 296-7557</t>
  </si>
  <si>
    <t>Coffey</t>
  </si>
  <si>
    <t>Kristey</t>
  </si>
  <si>
    <t>jane.bloomingdale@legis.iowa.gov</t>
  </si>
  <si>
    <t>785-296-3971</t>
  </si>
  <si>
    <t>Appropriations &amp; Revenue (Chair)</t>
  </si>
  <si>
    <t>Ryckman</t>
  </si>
  <si>
    <t>785 296-2302</t>
  </si>
  <si>
    <t>Cheryl</t>
  </si>
  <si>
    <t>Helmer</t>
  </si>
  <si>
    <t>Cowley</t>
  </si>
  <si>
    <t>Anita</t>
  </si>
  <si>
    <t>Prichard</t>
  </si>
  <si>
    <t>Judd-Jenkins</t>
  </si>
  <si>
    <t>785 296-7671</t>
  </si>
  <si>
    <t>Bechler</t>
  </si>
  <si>
    <t>todd.prichard@legis.iowa.gov</t>
  </si>
  <si>
    <t>Elkins</t>
  </si>
  <si>
    <t>785-296-7567</t>
  </si>
  <si>
    <t>Sedgwick</t>
  </si>
  <si>
    <t>Freeland</t>
  </si>
  <si>
    <t>Suzanne</t>
  </si>
  <si>
    <t>Steckman</t>
  </si>
  <si>
    <t>Burris</t>
  </si>
  <si>
    <t>Miles</t>
  </si>
  <si>
    <t>sharon.steckman@legis.iowa.gov</t>
  </si>
  <si>
    <t>785-296-7693</t>
  </si>
  <si>
    <t>Sumner</t>
  </si>
  <si>
    <t>Dossett</t>
  </si>
  <si>
    <t>Schamore</t>
  </si>
  <si>
    <t>Wiederstein</t>
  </si>
  <si>
    <t>Helgerson</t>
  </si>
  <si>
    <t>785-296-7668</t>
  </si>
  <si>
    <t>Finney</t>
  </si>
  <si>
    <t>785 296-7649</t>
  </si>
  <si>
    <t>Upmeyer</t>
  </si>
  <si>
    <t>linda.upmeyer@legis.iowa.gov</t>
  </si>
  <si>
    <t>Capps</t>
  </si>
  <si>
    <t>Prunty</t>
  </si>
  <si>
    <t>Petrie</t>
  </si>
  <si>
    <t>Sheldon</t>
  </si>
  <si>
    <t>Veterans, Military Affairs &amp; Public Protection (Chair)</t>
  </si>
  <si>
    <t>Meredith</t>
  </si>
  <si>
    <t>Local Government (Chair)</t>
  </si>
  <si>
    <t>Minter</t>
  </si>
  <si>
    <t>Rowland</t>
  </si>
  <si>
    <t>Banking &amp; Insurance (Chair)</t>
  </si>
  <si>
    <t>Bergan</t>
  </si>
  <si>
    <t>michael.bergan@legis.iowa.gov</t>
  </si>
  <si>
    <t>785 296-7476</t>
  </si>
  <si>
    <t>785 296-5016</t>
  </si>
  <si>
    <t>Osmundson</t>
  </si>
  <si>
    <t>anne.osmundson@legis.iowa.gov</t>
  </si>
  <si>
    <t>Duplessis</t>
  </si>
  <si>
    <t>Webber</t>
  </si>
  <si>
    <t>Economic Development &amp; Workforce Investment (Chair)</t>
  </si>
  <si>
    <t>Ohaebosim</t>
  </si>
  <si>
    <t>785 296-7684</t>
  </si>
  <si>
    <t>Bratcher</t>
  </si>
  <si>
    <t>Elections, Constitutional Amendments &amp; Intergovernmental Affairs (Chair)</t>
  </si>
  <si>
    <t>Lundgren</t>
  </si>
  <si>
    <t>shannon.lundgren@legis.iowa.gov</t>
  </si>
  <si>
    <t>Huebert</t>
  </si>
  <si>
    <t>785 296-1754</t>
  </si>
  <si>
    <t>Bojanowski</t>
  </si>
  <si>
    <t>Nemes</t>
  </si>
  <si>
    <t>Marzian</t>
  </si>
  <si>
    <t>Bergquist</t>
  </si>
  <si>
    <t>785-296-7681</t>
  </si>
  <si>
    <t>Willner</t>
  </si>
  <si>
    <t>State Government (Chair)</t>
  </si>
  <si>
    <t>andy.mckean@legis.iowa.gov</t>
  </si>
  <si>
    <t>Jeffery</t>
  </si>
  <si>
    <t>Donohue</t>
  </si>
  <si>
    <t>Carmichael</t>
  </si>
  <si>
    <t>785-296-7650</t>
  </si>
  <si>
    <t>Nima</t>
  </si>
  <si>
    <t>Kulkarni</t>
  </si>
  <si>
    <t>J.C</t>
  </si>
  <si>
    <t>Attica</t>
  </si>
  <si>
    <t>Delperdang</t>
  </si>
  <si>
    <t>785 296-7663</t>
  </si>
  <si>
    <t>Kressig</t>
  </si>
  <si>
    <t>bob.kressig@legis.iowa.gov</t>
  </si>
  <si>
    <t>Booker</t>
  </si>
  <si>
    <t>Joni</t>
  </si>
  <si>
    <t>Jenkins</t>
  </si>
  <si>
    <t>Sawyer</t>
  </si>
  <si>
    <t>785 296-7691</t>
  </si>
  <si>
    <t>Gentry</t>
  </si>
  <si>
    <t>dave.williams@legis.iowa.gov</t>
  </si>
  <si>
    <t>Rand</t>
  </si>
  <si>
    <t>Sorolis</t>
  </si>
  <si>
    <t>Huff</t>
  </si>
  <si>
    <t>Whipple</t>
  </si>
  <si>
    <t>785 296-7366</t>
  </si>
  <si>
    <t>Timi</t>
  </si>
  <si>
    <t>Mccoy</t>
  </si>
  <si>
    <t>Hoheisel</t>
  </si>
  <si>
    <t>Brown-Powers</t>
  </si>
  <si>
    <t>timi.brown-powers@legis.iowa.gov</t>
  </si>
  <si>
    <t>Humphries</t>
  </si>
  <si>
    <t>785 296-7699</t>
  </si>
  <si>
    <t>Upchurch</t>
  </si>
  <si>
    <t>Ras</t>
  </si>
  <si>
    <t>785 296-7631</t>
  </si>
  <si>
    <t>dan.hawkins@house.ks.gov</t>
  </si>
  <si>
    <t>King</t>
  </si>
  <si>
    <t>ras.smith@legis.iowa.gov</t>
  </si>
  <si>
    <t>Graviss</t>
  </si>
  <si>
    <t>Graham</t>
  </si>
  <si>
    <t>Rothenburger</t>
  </si>
  <si>
    <t>Seiwert</t>
  </si>
  <si>
    <t>785 296-7647</t>
  </si>
  <si>
    <t>Sal</t>
  </si>
  <si>
    <t>Santoro</t>
  </si>
  <si>
    <t>Reno</t>
  </si>
  <si>
    <t>Sandy</t>
  </si>
  <si>
    <t>Savannah</t>
  </si>
  <si>
    <t>Philip</t>
  </si>
  <si>
    <t>Salmon</t>
  </si>
  <si>
    <t>Diane</t>
  </si>
  <si>
    <t>St.Onge</t>
  </si>
  <si>
    <t>sandy.salmon@legis.iowa.gov</t>
  </si>
  <si>
    <t>Small Business &amp; Information Technology (Chair)</t>
  </si>
  <si>
    <t>Moser</t>
  </si>
  <si>
    <t>Probst</t>
  </si>
  <si>
    <t>Health &amp; Family Services (Chair)</t>
  </si>
  <si>
    <t>785-296-7645</t>
  </si>
  <si>
    <t>Wheatley</t>
  </si>
  <si>
    <t>Ponka-We</t>
  </si>
  <si>
    <t>Massey</t>
  </si>
  <si>
    <t>Keene</t>
  </si>
  <si>
    <t>Victors</t>
  </si>
  <si>
    <t>Koenig</t>
  </si>
  <si>
    <t>Licensing, Occupations &amp; Administrative Regulations (Chair)</t>
  </si>
  <si>
    <t>Bearinger</t>
  </si>
  <si>
    <t>bruce.bearinger@legis.iowa.gov</t>
  </si>
  <si>
    <t>785 296-7196</t>
  </si>
  <si>
    <t>Yates</t>
  </si>
  <si>
    <t>Hale</t>
  </si>
  <si>
    <t>Flood</t>
  </si>
  <si>
    <t>Landwehr</t>
  </si>
  <si>
    <t>785-296-7488</t>
  </si>
  <si>
    <t>Palumbo</t>
  </si>
  <si>
    <t>liz.bennett@legis.iowa.gov</t>
  </si>
  <si>
    <t>Aurand</t>
  </si>
  <si>
    <t>785 296-7637</t>
  </si>
  <si>
    <t>Republic</t>
  </si>
  <si>
    <t>Westrom</t>
  </si>
  <si>
    <t>Meade</t>
  </si>
  <si>
    <t>Concannon</t>
  </si>
  <si>
    <t>785 296-7644</t>
  </si>
  <si>
    <t>Deanna</t>
  </si>
  <si>
    <t>Staed</t>
  </si>
  <si>
    <t>art.staed@legis.iowa.gov</t>
  </si>
  <si>
    <t>785 296-7696</t>
  </si>
  <si>
    <t>Hoover</t>
  </si>
  <si>
    <t>Waymaster</t>
  </si>
  <si>
    <t>785 296-7672</t>
  </si>
  <si>
    <t>Fugate</t>
  </si>
  <si>
    <t>Hinson</t>
  </si>
  <si>
    <t>ashley.hinson@legis.iowa.gov</t>
  </si>
  <si>
    <t>Tourism &amp; Outdoor Recreation (Chair)</t>
  </si>
  <si>
    <t>Bowling</t>
  </si>
  <si>
    <t>Rahjes</t>
  </si>
  <si>
    <t>785 296-7463</t>
  </si>
  <si>
    <t>Cherlynn</t>
  </si>
  <si>
    <t>Wasinger</t>
  </si>
  <si>
    <t>Goforth</t>
  </si>
  <si>
    <t>Tory</t>
  </si>
  <si>
    <t>Molly</t>
  </si>
  <si>
    <t>Danhue</t>
  </si>
  <si>
    <t>molly.danhue@legis.iowa.gov</t>
  </si>
  <si>
    <t>Arnberger</t>
  </si>
  <si>
    <t>785 296-7363</t>
  </si>
  <si>
    <t>Barton</t>
  </si>
  <si>
    <t>Cluster</t>
  </si>
  <si>
    <t>Blanton</t>
  </si>
  <si>
    <t>Angie</t>
  </si>
  <si>
    <t>Hatton</t>
  </si>
  <si>
    <t>Running-Marquardt</t>
  </si>
  <si>
    <t>Laferty</t>
  </si>
  <si>
    <t>785-296-7682</t>
  </si>
  <si>
    <t>Stafford</t>
  </si>
  <si>
    <t>Hinkle</t>
  </si>
  <si>
    <t>Mccool</t>
  </si>
  <si>
    <t>Ehlert</t>
  </si>
  <si>
    <t>tracy.ehlert@legis.iowa.gov</t>
  </si>
  <si>
    <t>Rocky</t>
  </si>
  <si>
    <t>Adkins</t>
  </si>
  <si>
    <t>Thimesch</t>
  </si>
  <si>
    <t>785 296-7105</t>
  </si>
  <si>
    <t>mark.smith@legis.iowa.gov</t>
  </si>
  <si>
    <t>785 296-7392</t>
  </si>
  <si>
    <t>Fisher</t>
  </si>
  <si>
    <t>dean.fisher@legis.iowa.gov</t>
  </si>
  <si>
    <t>785 296-7643</t>
  </si>
  <si>
    <t>Comanche</t>
  </si>
  <si>
    <t>Economic Development, Tourism and Labor (Chair)</t>
  </si>
  <si>
    <t>Whitney</t>
  </si>
  <si>
    <t>Westerfield</t>
  </si>
  <si>
    <t>Mills</t>
  </si>
  <si>
    <t>Enrollment (Chair)</t>
  </si>
  <si>
    <t>Mastroni</t>
  </si>
  <si>
    <t>785 296-7396</t>
  </si>
  <si>
    <t>C.B.</t>
  </si>
  <si>
    <t>Embry</t>
  </si>
  <si>
    <t>Kaufmann</t>
  </si>
  <si>
    <t>Julian</t>
  </si>
  <si>
    <t>bobby.kaufmann@legis.iowa.gov</t>
  </si>
  <si>
    <t>Hineman</t>
  </si>
  <si>
    <t>785 296-7662</t>
  </si>
  <si>
    <t>Castlen</t>
  </si>
  <si>
    <t>Givens</t>
  </si>
  <si>
    <t>Parrett</t>
  </si>
  <si>
    <t>785 296-7501</t>
  </si>
  <si>
    <t>Schickel</t>
  </si>
  <si>
    <t>785 296-0715</t>
  </si>
  <si>
    <t>Alice</t>
  </si>
  <si>
    <t>Higdon</t>
  </si>
  <si>
    <t>Girdler</t>
  </si>
  <si>
    <t>Jacoby</t>
  </si>
  <si>
    <t>Max</t>
  </si>
  <si>
    <t>Wise</t>
  </si>
  <si>
    <t>david.jacoby@legis.iowa.gov</t>
  </si>
  <si>
    <t>Resman</t>
  </si>
  <si>
    <t>785-296-7636</t>
  </si>
  <si>
    <t>Damon</t>
  </si>
  <si>
    <t>Thayer</t>
  </si>
  <si>
    <t>McGarvey</t>
  </si>
  <si>
    <t>785 296-7447</t>
  </si>
  <si>
    <t>russ.jennings@house.ks.gov</t>
  </si>
  <si>
    <t>Kearny</t>
  </si>
  <si>
    <t>Hornback</t>
  </si>
  <si>
    <t>Albert</t>
  </si>
  <si>
    <t>Buford</t>
  </si>
  <si>
    <t>McDaniel</t>
  </si>
  <si>
    <t>Gerhold</t>
  </si>
  <si>
    <t>Thomas.gerhold@legis.iowa.gov</t>
  </si>
  <si>
    <t>785 296-7461</t>
  </si>
  <si>
    <t>Wil</t>
  </si>
  <si>
    <t>Schroder</t>
  </si>
  <si>
    <t>State and Local Government (Chair)</t>
  </si>
  <si>
    <t>Stivers</t>
  </si>
  <si>
    <t>J.Stephen</t>
  </si>
  <si>
    <t>Alford</t>
  </si>
  <si>
    <t>785 296-7641</t>
  </si>
  <si>
    <t>Ernie</t>
  </si>
  <si>
    <t>785-296-7466</t>
  </si>
  <si>
    <t>Seward</t>
  </si>
  <si>
    <t>Maxwell</t>
  </si>
  <si>
    <t>dave.maxwell@legis.iowa.gov</t>
  </si>
  <si>
    <t>Alvarado</t>
  </si>
  <si>
    <t>Health and Welfare (Chair)</t>
  </si>
  <si>
    <t>Natural Resources and Energy (Chair)</t>
  </si>
  <si>
    <t>Pyle</t>
  </si>
  <si>
    <t xml:space="preserve">called- calling me back </t>
  </si>
  <si>
    <t>785-296-7379</t>
  </si>
  <si>
    <t>Dennis.Pyle@senate.ks.gov</t>
  </si>
  <si>
    <t>amy.nielsen@legis.iowa.gov</t>
  </si>
  <si>
    <t>Angel</t>
  </si>
  <si>
    <t>Marci</t>
  </si>
  <si>
    <t>Adams</t>
  </si>
  <si>
    <t>Jarad</t>
  </si>
  <si>
    <t>Francisco</t>
  </si>
  <si>
    <t>785-296-7364</t>
  </si>
  <si>
    <t>Marci.Francisco@senate.ks.gov</t>
  </si>
  <si>
    <t>Seum</t>
  </si>
  <si>
    <t>Klein</t>
  </si>
  <si>
    <t>jarad.klein@legis.iowa.gov</t>
  </si>
  <si>
    <t>Bevin</t>
  </si>
  <si>
    <t>Comer</t>
  </si>
  <si>
    <t>785-296-7372</t>
  </si>
  <si>
    <t>Tom.Holland@senate.ks.gov</t>
  </si>
  <si>
    <t>Yarmuth</t>
  </si>
  <si>
    <t>Massie</t>
  </si>
  <si>
    <t>Dustin</t>
  </si>
  <si>
    <t>Hite</t>
  </si>
  <si>
    <t>McConnell</t>
  </si>
  <si>
    <t>dustin.hite@legis.iowa.gov</t>
  </si>
  <si>
    <t>Haley</t>
  </si>
  <si>
    <t>785-296-7376</t>
  </si>
  <si>
    <t>David.Haley@senate.ks.gov</t>
  </si>
  <si>
    <t>Beshear</t>
  </si>
  <si>
    <t>Brink</t>
  </si>
  <si>
    <t>holly.brink@legis.iowa.gov</t>
  </si>
  <si>
    <t>Fitzgerald</t>
  </si>
  <si>
    <t>mary.gaskill@legis.iowa.gov</t>
  </si>
  <si>
    <t>Pettey</t>
  </si>
  <si>
    <t>785-296-7375</t>
  </si>
  <si>
    <t>Pat.Pettey@senate.ks.gov</t>
  </si>
  <si>
    <t>Bollier</t>
  </si>
  <si>
    <t>785-296-7390</t>
  </si>
  <si>
    <t>Barbara.Bollier@senate.ks.gov</t>
  </si>
  <si>
    <t>Shipley</t>
  </si>
  <si>
    <t>jeff.shipley@legis.iowa.gov</t>
  </si>
  <si>
    <t>Denning</t>
  </si>
  <si>
    <t>785-296-2497</t>
  </si>
  <si>
    <t>Jim.Denning@senate.ks.gov</t>
  </si>
  <si>
    <t>Kurtz</t>
  </si>
  <si>
    <t>jerry.kearns@legis.iowa.gov</t>
  </si>
  <si>
    <t>785-296-7382</t>
  </si>
  <si>
    <t>Julia.Lynn@senate.ks.gov</t>
  </si>
  <si>
    <t>Pilcher-Cook</t>
  </si>
  <si>
    <t>785-296-7362</t>
  </si>
  <si>
    <t>Mary.PilcherCook@senate.ks.gov</t>
  </si>
  <si>
    <t>joe.mitchell@legis.iowa.gov</t>
  </si>
  <si>
    <t>Skubal</t>
  </si>
  <si>
    <t>785-296-7301</t>
  </si>
  <si>
    <t>John.Skubal@senate.ks.gov</t>
  </si>
  <si>
    <t>Caryn</t>
  </si>
  <si>
    <t>Lensing</t>
  </si>
  <si>
    <t>Tyson</t>
  </si>
  <si>
    <t>785-296-6838</t>
  </si>
  <si>
    <t>Caryn.Tyson@senate.ks.gov</t>
  </si>
  <si>
    <t>vicki.lensing@legis.iowa.gov</t>
  </si>
  <si>
    <t>Hilderbrand</t>
  </si>
  <si>
    <t>785-296-7370</t>
  </si>
  <si>
    <t>Richard.Hilderbrand@senate.ks.gov</t>
  </si>
  <si>
    <t>785-296-7678</t>
  </si>
  <si>
    <t>Bruce.Givens@senate.ks.gov</t>
  </si>
  <si>
    <t>Mascher</t>
  </si>
  <si>
    <t>Goddard</t>
  </si>
  <si>
    <t>785-296-7742</t>
  </si>
  <si>
    <t>Dan.Goddard@senate.ks.gov</t>
  </si>
  <si>
    <t>mary.mascher@legis.iowa.gov</t>
  </si>
  <si>
    <t>Masterson</t>
  </si>
  <si>
    <t>785-296-7388</t>
  </si>
  <si>
    <t>Ty.Masterson@senate.ks.gov</t>
  </si>
  <si>
    <t>Longbine</t>
  </si>
  <si>
    <t>785-296-7361</t>
  </si>
  <si>
    <t>Jeff.Longbine@senate.ks.gov</t>
  </si>
  <si>
    <t>Cohoon</t>
  </si>
  <si>
    <t>Vic</t>
  </si>
  <si>
    <t>called- calling me back</t>
  </si>
  <si>
    <t>785-296-7365</t>
  </si>
  <si>
    <t>Laura.Kelly@senate.ks.gov</t>
  </si>
  <si>
    <t>dennis.cohoon@legis.iowa.gov</t>
  </si>
  <si>
    <t>vic.miller@senate.ks.gov</t>
  </si>
  <si>
    <t>785-296-3245</t>
  </si>
  <si>
    <t>Anthony.Hensley@senate.ks.gov</t>
  </si>
  <si>
    <t>Rucker</t>
  </si>
  <si>
    <t>785-296-7374</t>
  </si>
  <si>
    <t>Eric.Rucker@senate.ks.gov</t>
  </si>
  <si>
    <t>eric.rucker@senate.ks.gov</t>
  </si>
  <si>
    <t>Dinah</t>
  </si>
  <si>
    <t>Sykes</t>
  </si>
  <si>
    <t>785-296-7367</t>
  </si>
  <si>
    <t>Dinah.Sykes@senate.ks.gov</t>
  </si>
  <si>
    <t>david.kerr@legis.iowa.gov</t>
  </si>
  <si>
    <t>Hawk</t>
  </si>
  <si>
    <t>785-296-7360</t>
  </si>
  <si>
    <t>Tom.Hawk@senate.ks.gov</t>
  </si>
  <si>
    <t>785-296-7358</t>
  </si>
  <si>
    <t>Rob.Olson@senate.ks.gov</t>
  </si>
  <si>
    <t>Kurth</t>
  </si>
  <si>
    <t>monica.kurth@legis.iowa.gov</t>
  </si>
  <si>
    <t>Hardy</t>
  </si>
  <si>
    <t>785-296-7369</t>
  </si>
  <si>
    <t>Randall.Hardy@senate.ks.gov</t>
  </si>
  <si>
    <t>Ware</t>
  </si>
  <si>
    <t>785-296-7391</t>
  </si>
  <si>
    <t>Lynn.Rogers@senate.ks.gov</t>
  </si>
  <si>
    <t>Winckler</t>
  </si>
  <si>
    <t>cindy.winckler@legis.iowa.gov</t>
  </si>
  <si>
    <t>Kerschen</t>
  </si>
  <si>
    <t>785-296-7353</t>
  </si>
  <si>
    <t>Dan.Kerschen@senate.ks.gov</t>
  </si>
  <si>
    <t>Suellentrop</t>
  </si>
  <si>
    <t>785-296-7385</t>
  </si>
  <si>
    <t>Gene.Suellentrop@senate.ks.gov</t>
  </si>
  <si>
    <t>Carlson</t>
  </si>
  <si>
    <t>gary.carlson@legis.iowa.gov</t>
  </si>
  <si>
    <t>785-296-7355</t>
  </si>
  <si>
    <t>Mike.Petersen@senate.ks.gov</t>
  </si>
  <si>
    <t>Oletha</t>
  </si>
  <si>
    <t>Ross</t>
  </si>
  <si>
    <t>Faust-Goudeau</t>
  </si>
  <si>
    <t>785-296-7387</t>
  </si>
  <si>
    <t>Oletha.Faust-Goudeau@senate.ks.gov</t>
  </si>
  <si>
    <t>Paustian</t>
  </si>
  <si>
    <t>ross.paustian@legis.iowa.gov</t>
  </si>
  <si>
    <t>Wagle</t>
  </si>
  <si>
    <t>785-296-2419</t>
  </si>
  <si>
    <t>Susan.Wagle@senate.ks.gov</t>
  </si>
  <si>
    <t>Phyllis</t>
  </si>
  <si>
    <t>McGinn</t>
  </si>
  <si>
    <t>785-296-7377</t>
  </si>
  <si>
    <t>Carolyn.McGinn@senate.ks.gov</t>
  </si>
  <si>
    <t>Thede</t>
  </si>
  <si>
    <t>phyllis.thede@legis.iowa.gov</t>
  </si>
  <si>
    <t>Alley</t>
  </si>
  <si>
    <t>785-296-7381</t>
  </si>
  <si>
    <t>Larry.Alley@senate.ks.gov</t>
  </si>
  <si>
    <t>MaryJo</t>
  </si>
  <si>
    <t>785-296-7667</t>
  </si>
  <si>
    <t>MaryJo.Taylor@senate.ks.gov</t>
  </si>
  <si>
    <t>Mohr</t>
  </si>
  <si>
    <t>gary.mohr@legis.iowa.gov</t>
  </si>
  <si>
    <t>785-296-6981</t>
  </si>
  <si>
    <t>Ed.Berger@senate.ks.gov</t>
  </si>
  <si>
    <t>Wilborn</t>
  </si>
  <si>
    <t>785-296-7354</t>
  </si>
  <si>
    <t xml:space="preserve">Richard.Wilborn@senate.ks.gov </t>
  </si>
  <si>
    <t>Zumbach</t>
  </si>
  <si>
    <t>louie.zumbach@legis.iowa.gov</t>
  </si>
  <si>
    <t>785-296-7389</t>
  </si>
  <si>
    <t>Elaine.Bowers@senate.ks.gov</t>
  </si>
  <si>
    <t>785-296-7368</t>
  </si>
  <si>
    <t>Molly.Baumgardner@senate.ks.gov</t>
  </si>
  <si>
    <t>Bud</t>
  </si>
  <si>
    <t>Hein</t>
  </si>
  <si>
    <t>lee.hein@legis.iowa.gov</t>
  </si>
  <si>
    <t>785-296-7359</t>
  </si>
  <si>
    <t>Bud.Estes@senate.ks.gov</t>
  </si>
  <si>
    <t>Doll</t>
  </si>
  <si>
    <t>Independent</t>
  </si>
  <si>
    <t>785-296-7694</t>
  </si>
  <si>
    <t>John.Doll@senate.ks.gov</t>
  </si>
  <si>
    <t>Norlin</t>
  </si>
  <si>
    <t>Mommsen</t>
  </si>
  <si>
    <t>norlin.mommsen@legis.iowa.gov</t>
  </si>
  <si>
    <t>Billinger</t>
  </si>
  <si>
    <t>785-296-7399</t>
  </si>
  <si>
    <t>Rick.Billinger@senate.ks.gov</t>
  </si>
  <si>
    <t>Watkins</t>
  </si>
  <si>
    <t>Sharice</t>
  </si>
  <si>
    <t>Davids</t>
  </si>
  <si>
    <t>Moran</t>
  </si>
  <si>
    <t>Lynn Wolfe</t>
  </si>
  <si>
    <t>Schmidt</t>
  </si>
  <si>
    <t>lindsay.james@legis.iowa.gov</t>
  </si>
  <si>
    <t>Isenhart</t>
  </si>
  <si>
    <t>charles.isenhart@legis.iowa.gov</t>
  </si>
  <si>
    <t>Zach</t>
  </si>
  <si>
    <t>Whiting</t>
  </si>
  <si>
    <t>zach.whiting@legis.iowa.gov</t>
  </si>
  <si>
    <t>Feenstra</t>
  </si>
  <si>
    <t>Majority Assistant Leader</t>
  </si>
  <si>
    <t>randy.feenstra@legis.iowa.gov</t>
  </si>
  <si>
    <t>jim.carlin@legis.iowa.gov</t>
  </si>
  <si>
    <t>Guth</t>
  </si>
  <si>
    <t>dennis.guth@legis.iowa.gov</t>
  </si>
  <si>
    <t>Kraayenbrink</t>
  </si>
  <si>
    <t>tim.kraayenbrink@legis.iowa.gov</t>
  </si>
  <si>
    <t>Segebart</t>
  </si>
  <si>
    <t>mark.segebart@legis.iowa.gov</t>
  </si>
  <si>
    <t>Jackie.smith@legis.iowa.gov</t>
  </si>
  <si>
    <t>Dawson</t>
  </si>
  <si>
    <t>dan.dawson@legis.iowa.gov</t>
  </si>
  <si>
    <t>jason.schultz@legis.iowa.gov</t>
  </si>
  <si>
    <t>Chapman</t>
  </si>
  <si>
    <t>jake.chapman@legis.iowa.gov</t>
  </si>
  <si>
    <t>tom.shipley@legis.iowa.gov</t>
  </si>
  <si>
    <t>mark.costello@legis.iowa.gov</t>
  </si>
  <si>
    <t>julian.garrett@legis.iowa.gov</t>
  </si>
  <si>
    <t>Sinclair</t>
  </si>
  <si>
    <t>amy.sinclair@legis.iowa.gov</t>
  </si>
  <si>
    <t>Nunn</t>
  </si>
  <si>
    <t>zach.nunn@legis.iowa.gov</t>
  </si>
  <si>
    <t>Nate</t>
  </si>
  <si>
    <t>Boulton</t>
  </si>
  <si>
    <t>nate.boulton@legis.iowa.gov</t>
  </si>
  <si>
    <t>Bisignano</t>
  </si>
  <si>
    <t>tony.bisignano@legis.iowa.gov</t>
  </si>
  <si>
    <t>janet.petersen@legis.iowa.gov</t>
  </si>
  <si>
    <t>Deane</t>
  </si>
  <si>
    <t>Ways and Means, Vice Chair</t>
  </si>
  <si>
    <t>Natural Resources and Environment</t>
  </si>
  <si>
    <t>House Executive Committee</t>
  </si>
  <si>
    <t>Joint Legislative Committee on Capital Outlay</t>
  </si>
  <si>
    <t>(318)995-6852</t>
  </si>
  <si>
    <t>Whitver</t>
  </si>
  <si>
    <t>jack.whitver@legis.iowa.gov</t>
  </si>
  <si>
    <t>Rykerson</t>
  </si>
  <si>
    <t>Bossier and Caddo</t>
  </si>
  <si>
    <t>Bills in the Second Reading</t>
  </si>
  <si>
    <t>Energy, Utilities and Technology</t>
  </si>
  <si>
    <t>Labor and Housing</t>
  </si>
  <si>
    <t>Deane.Rykerson@legislature.maine.gov</t>
  </si>
  <si>
    <t>Zaun</t>
  </si>
  <si>
    <t>brad.zaun@legis.iowa.gov</t>
  </si>
  <si>
    <t>Democratic Caucus, Vice Chair</t>
  </si>
  <si>
    <t>Civil Law and Procedure</t>
  </si>
  <si>
    <t>House and Governmental Affairs</t>
  </si>
  <si>
    <t>Municipal, Parochial and Cultural Affairs</t>
  </si>
  <si>
    <t>(318)632-5970</t>
  </si>
  <si>
    <t>Kittery</t>
  </si>
  <si>
    <t>Claire</t>
  </si>
  <si>
    <t>Celsi</t>
  </si>
  <si>
    <t>claire.celsi@legis.iowa.gov</t>
  </si>
  <si>
    <t>Norton</t>
  </si>
  <si>
    <t>Administration of Criminal Justice</t>
  </si>
  <si>
    <t>Transportation, Highways and Public Works</t>
  </si>
  <si>
    <t>House Committee on Enrollment</t>
  </si>
  <si>
    <t>(318)632-5887</t>
  </si>
  <si>
    <t>Caddo</t>
  </si>
  <si>
    <t>Michele.Meyer@legislature.maine.gov</t>
  </si>
  <si>
    <t>South Berwick</t>
  </si>
  <si>
    <t>charles.schneider@legis.iowa.gov</t>
  </si>
  <si>
    <t>Insurance</t>
  </si>
  <si>
    <t>House Select Committee on Homeland Security</t>
  </si>
  <si>
    <t>(318)221-7775</t>
  </si>
  <si>
    <t>Seabaugh</t>
  </si>
  <si>
    <t>Labor and Industrial Relations</t>
  </si>
  <si>
    <t>(318)676-7990</t>
  </si>
  <si>
    <t>Lydia</t>
  </si>
  <si>
    <t>Herman</t>
  </si>
  <si>
    <t>Quirmbach</t>
  </si>
  <si>
    <t>Carmody</t>
  </si>
  <si>
    <t>herman.quirmbach@legis.iowa.gov</t>
  </si>
  <si>
    <t>Commerce, Chairman</t>
  </si>
  <si>
    <t>Louisiana Republican Legislative Delegation</t>
  </si>
  <si>
    <t>Louisiana Rural Caucus</t>
  </si>
  <si>
    <t>Blume</t>
  </si>
  <si>
    <t>North Louisiana Legislative Delegation</t>
  </si>
  <si>
    <t>(318)862-9956</t>
  </si>
  <si>
    <t>Marine Resources</t>
  </si>
  <si>
    <t>Lydia.Blume@legislature.maine.gov</t>
  </si>
  <si>
    <t>York</t>
  </si>
  <si>
    <t>Bagley</t>
  </si>
  <si>
    <t>Health and Welfare</t>
  </si>
  <si>
    <t>Joint Legislative Committee on the Budget</t>
  </si>
  <si>
    <t>(318)925-9588</t>
  </si>
  <si>
    <t>Caddo, DeSoto, and Sabine</t>
  </si>
  <si>
    <t>Crews</t>
  </si>
  <si>
    <t>(318)716-7532</t>
  </si>
  <si>
    <t>Bossier Parish</t>
  </si>
  <si>
    <t>Hymanson</t>
  </si>
  <si>
    <t>Health and Human Services (chair)</t>
  </si>
  <si>
    <t>Dodie</t>
  </si>
  <si>
    <t>Behn</t>
  </si>
  <si>
    <t>Presient Pro-Tempore</t>
  </si>
  <si>
    <t>jerry.behn@legis.iowa.gov</t>
  </si>
  <si>
    <t>Patricia.Hymanson@legislature.maine.gov</t>
  </si>
  <si>
    <t>Horton</t>
  </si>
  <si>
    <t>(318)949-2463</t>
  </si>
  <si>
    <t>Bossier</t>
  </si>
  <si>
    <t>Not listed</t>
  </si>
  <si>
    <t>Webster and Bossier</t>
  </si>
  <si>
    <t>O'Connor</t>
  </si>
  <si>
    <t>Beth.OConnor@legislature.maine.gov</t>
  </si>
  <si>
    <t>Berwick</t>
  </si>
  <si>
    <t>Labor and Industrial Relations, Chairman</t>
  </si>
  <si>
    <t>Democratic Caucus</t>
  </si>
  <si>
    <t>Louisiana Legislative Black Caucus</t>
  </si>
  <si>
    <t>(318)927-2519</t>
  </si>
  <si>
    <t>Bienville, Claiborne and Lincoln</t>
  </si>
  <si>
    <t>Sweeney</t>
  </si>
  <si>
    <t>annette.sweeney@legis.iowa.gov</t>
  </si>
  <si>
    <t>Roberts-Lovell</t>
  </si>
  <si>
    <t>Agriculutre, Conservation, Forestry</t>
  </si>
  <si>
    <t>Tiffany.Roberts-Lovell@legislature.maine.gov</t>
  </si>
  <si>
    <t>Shadoin</t>
  </si>
  <si>
    <t>Listed as Vacant</t>
  </si>
  <si>
    <t>Lincoln and Union</t>
  </si>
  <si>
    <t>Hobbs</t>
  </si>
  <si>
    <t>Enviroment and Natural Resources</t>
  </si>
  <si>
    <t>Waylon</t>
  </si>
  <si>
    <t>Daniel.Hobbs@legislature.maine.gov</t>
  </si>
  <si>
    <t>Wells</t>
  </si>
  <si>
    <t>McFarland</t>
  </si>
  <si>
    <t>(318)259-4275</t>
  </si>
  <si>
    <t>Bienville, Jackson, Ouachita and Winn</t>
  </si>
  <si>
    <t>waylon.brown@legis.iowa.gov</t>
  </si>
  <si>
    <t>Judiciary, Vice Chair</t>
  </si>
  <si>
    <t>(318)362-4270</t>
  </si>
  <si>
    <t>Morehouse and Ouachita</t>
  </si>
  <si>
    <t>Babbidge</t>
  </si>
  <si>
    <t>Chris.Babbidge@legislature.maine.gov</t>
  </si>
  <si>
    <t>Kennebunk</t>
  </si>
  <si>
    <t>Amanda</t>
  </si>
  <si>
    <t>Ragan</t>
  </si>
  <si>
    <t>Denk</t>
  </si>
  <si>
    <t>Taxation</t>
  </si>
  <si>
    <t>Diane.Denk@legislature.maine.gov</t>
  </si>
  <si>
    <t>amanda.ragan@legis.iowa.gov</t>
  </si>
  <si>
    <t>Kennebunkport</t>
  </si>
  <si>
    <t>Hoffmann</t>
  </si>
  <si>
    <t>Health and Welfare, Chairman</t>
  </si>
  <si>
    <t>(318)362-4130</t>
  </si>
  <si>
    <t>Ouachita</t>
  </si>
  <si>
    <t>Katrina</t>
  </si>
  <si>
    <t>Ingwersen</t>
  </si>
  <si>
    <t>Education and Cultural Affairs</t>
  </si>
  <si>
    <t>EngrossedBills</t>
  </si>
  <si>
    <t>Judiciary, Chairman</t>
  </si>
  <si>
    <t>Appropriations, Interim Member</t>
  </si>
  <si>
    <t>Henry.Ingwersen@legislature.maine.gov</t>
  </si>
  <si>
    <t>(318)283-0884</t>
  </si>
  <si>
    <t>Arundel</t>
  </si>
  <si>
    <t>Breitbach</t>
  </si>
  <si>
    <t>michael.breitbach@legis.iowa.gov</t>
  </si>
  <si>
    <t>Major</t>
  </si>
  <si>
    <t>Fecteau</t>
  </si>
  <si>
    <t>Thibaut</t>
  </si>
  <si>
    <t>Iberville, Pointe Coupee, West Baton Rouge and West Feliciana</t>
  </si>
  <si>
    <t>Ethics (chair)</t>
  </si>
  <si>
    <t>Elections(Chair)</t>
  </si>
  <si>
    <t>Ryan.Fecteau@legislature.maine.gov</t>
  </si>
  <si>
    <t>Biddeford</t>
  </si>
  <si>
    <t>Carrie</t>
  </si>
  <si>
    <t>Koelker</t>
  </si>
  <si>
    <t>Foley</t>
  </si>
  <si>
    <t>Health Coverage, Insurance and Financial Services</t>
  </si>
  <si>
    <t>carne.koelker@legis.iowa.gov</t>
  </si>
  <si>
    <t>Agriculture, Forestry, Aquaculture, and Rural Development</t>
  </si>
  <si>
    <t>(318)728-5875</t>
  </si>
  <si>
    <t>Victoria.Foley@legislature.maine.gov</t>
  </si>
  <si>
    <t>East Carroll, West Carroll, Madison, Morehouse, Ouachita and Richland</t>
  </si>
  <si>
    <t>Gramlich</t>
  </si>
  <si>
    <t>Lori.Gramlich@legislature.maine.gov</t>
  </si>
  <si>
    <t>Old Orchard Beach</t>
  </si>
  <si>
    <t>Pylant</t>
  </si>
  <si>
    <t>Administration of Criminal Justice (Vice Chair)</t>
  </si>
  <si>
    <t>(318)435-7313</t>
  </si>
  <si>
    <t>Caldwell, Catahoula, Franklin, LaSalle and Tensas</t>
  </si>
  <si>
    <t>jeffdanielson@gmail.com</t>
  </si>
  <si>
    <t>Anders</t>
  </si>
  <si>
    <t>Agriculture, Forestry, Aquaculture, and Rural Development, Vice Chair</t>
  </si>
  <si>
    <t>(318)336-5865</t>
  </si>
  <si>
    <t>Concordia, East Carroll, Catahoula, Madison and Tensas</t>
  </si>
  <si>
    <t>Judiciary- Chair</t>
  </si>
  <si>
    <t>Donna.Bailey@legislature.maine.gov</t>
  </si>
  <si>
    <t>Saco</t>
  </si>
  <si>
    <t>O'Neil</t>
  </si>
  <si>
    <t>Gov Oversight</t>
  </si>
  <si>
    <t>Margaret.ONeil@legislature.maine.gov</t>
  </si>
  <si>
    <t>(855)261-6566</t>
  </si>
  <si>
    <t>Dotzler</t>
  </si>
  <si>
    <t>Grant, LaSalle, Natchitoches, Red River and Winn</t>
  </si>
  <si>
    <t>bill.dotzler@legis.iowa.gov</t>
  </si>
  <si>
    <t>Kenny</t>
  </si>
  <si>
    <t>(855)844-8583</t>
  </si>
  <si>
    <t>DeSoto, Natchitoches and Red River</t>
  </si>
  <si>
    <t>Marean</t>
  </si>
  <si>
    <t>Donald.Marean@legislature.maine.gov</t>
  </si>
  <si>
    <t>(318)256-4135</t>
  </si>
  <si>
    <t>Natchitoches, Sabine and Vernon</t>
  </si>
  <si>
    <t>Dwayne</t>
  </si>
  <si>
    <t>(318)767-6095</t>
  </si>
  <si>
    <t>Rapides</t>
  </si>
  <si>
    <t>craig.johnson@legis.iowa.gov</t>
  </si>
  <si>
    <t>Dwayne.Prescott@legislature.maine.gov</t>
  </si>
  <si>
    <t>Waterboro</t>
  </si>
  <si>
    <t>Anne-Marie</t>
  </si>
  <si>
    <t>Hazel</t>
  </si>
  <si>
    <t>Mastraccio</t>
  </si>
  <si>
    <t>GovOversight(Chair)</t>
  </si>
  <si>
    <t>Anne-Marie.Mastraccio@legislature.maine.gov</t>
  </si>
  <si>
    <t>Atchafalaya Basin Program Oversight Committee</t>
  </si>
  <si>
    <t>(318)253-8891</t>
  </si>
  <si>
    <t>Avoyelles</t>
  </si>
  <si>
    <t>Innovation, Development, Economic Advancement and Commerce</t>
  </si>
  <si>
    <t>Matthew.Harrington@legislature.maine.gov</t>
  </si>
  <si>
    <t>2015↑</t>
  </si>
  <si>
    <t>(225)359-9480</t>
  </si>
  <si>
    <t>East and West Baton Rouge</t>
  </si>
  <si>
    <t>liz.mathis@legis.iowa.gov</t>
  </si>
  <si>
    <t>Theodore</t>
  </si>
  <si>
    <t>Kryzak</t>
  </si>
  <si>
    <t>Theodore.Kryzak@legislature.maine.gov</t>
  </si>
  <si>
    <t>Lebanon</t>
  </si>
  <si>
    <t>Armes</t>
  </si>
  <si>
    <t>Heidi</t>
  </si>
  <si>
    <t>Special Committee on Military and Veterans Affairs, Chairman</t>
  </si>
  <si>
    <t>(337)238-7004</t>
  </si>
  <si>
    <t>Beauregard and Vernon</t>
  </si>
  <si>
    <t>Wally</t>
  </si>
  <si>
    <t>Heidi.Sampson@legislature.maine.gov</t>
  </si>
  <si>
    <t>Alfred</t>
  </si>
  <si>
    <t>Landry</t>
  </si>
  <si>
    <t>wally.horn@legis.iowa.gov</t>
  </si>
  <si>
    <t>Education, Chairman</t>
  </si>
  <si>
    <t>Acadiana Delegation</t>
  </si>
  <si>
    <t>Louisiana Legislative Women's Caucus</t>
  </si>
  <si>
    <t>(337)262-2252</t>
  </si>
  <si>
    <t>Lafayette and Vermilion</t>
  </si>
  <si>
    <t>Blier</t>
  </si>
  <si>
    <t>Mark.Blier@legislature.maine.gov</t>
  </si>
  <si>
    <t>Limington</t>
  </si>
  <si>
    <t>(800)259-2118</t>
  </si>
  <si>
    <t>Allen, Beauregard and Calcasieu</t>
  </si>
  <si>
    <t>Moss</t>
  </si>
  <si>
    <t>No Committees</t>
  </si>
  <si>
    <t>(337)625-5170</t>
  </si>
  <si>
    <t>Calcasieu</t>
  </si>
  <si>
    <t>A.</t>
  </si>
  <si>
    <t>Ordway</t>
  </si>
  <si>
    <t>Leave of Absense</t>
  </si>
  <si>
    <t>InlandFIsheries</t>
  </si>
  <si>
    <t>Lester.Ordway@legislature.maine.gov</t>
  </si>
  <si>
    <t>Standish</t>
  </si>
  <si>
    <t>(337)491-2320</t>
  </si>
  <si>
    <t>(337)491-2315</t>
  </si>
  <si>
    <t>Edler</t>
  </si>
  <si>
    <t>Beauregard and Calcasieu</t>
  </si>
  <si>
    <t>jeff.edler@legis.iowa.gov</t>
  </si>
  <si>
    <t>State and Local Gov</t>
  </si>
  <si>
    <t>Mark.Bryant@legislature.maine.gov</t>
  </si>
  <si>
    <t>2014 (2004–2012)</t>
  </si>
  <si>
    <t>Abraham</t>
  </si>
  <si>
    <t>Windham</t>
  </si>
  <si>
    <t>Retirement</t>
  </si>
  <si>
    <t>(337)475-3016</t>
  </si>
  <si>
    <t>Guinn</t>
  </si>
  <si>
    <t>(337)824-0376</t>
  </si>
  <si>
    <t>Calcasieu and Jefferson Davis</t>
  </si>
  <si>
    <t>Wahls</t>
  </si>
  <si>
    <t>zach.wahls@legis.iowa.gov</t>
  </si>
  <si>
    <t>Criminal Justice and Public Safety</t>
  </si>
  <si>
    <t>Patrick.Corey@legislature.maine.gov</t>
  </si>
  <si>
    <t>Bernard</t>
  </si>
  <si>
    <t>LeBas</t>
  </si>
  <si>
    <t>(337)363-0152</t>
  </si>
  <si>
    <t>Maureen</t>
  </si>
  <si>
    <t>Evangeline and St. Landry</t>
  </si>
  <si>
    <t>Emerson</t>
  </si>
  <si>
    <t>(337)886-4687</t>
  </si>
  <si>
    <t>Lafayette and St. Landry</t>
  </si>
  <si>
    <t>Maureen.Terry@legislature.maine.gov</t>
  </si>
  <si>
    <t>Kapucian</t>
  </si>
  <si>
    <t>Gorham</t>
  </si>
  <si>
    <t>tim.kapucian@legis.iowa.gov</t>
  </si>
  <si>
    <t>(337)943-2900</t>
  </si>
  <si>
    <t>St. Landry</t>
  </si>
  <si>
    <t>DeVillier</t>
  </si>
  <si>
    <t>(337)457-0194</t>
  </si>
  <si>
    <t>Acadia, Evangeline and St. Landry</t>
  </si>
  <si>
    <t>McLean</t>
  </si>
  <si>
    <t>Andrew.McLean@legislature.maine.gov</t>
  </si>
  <si>
    <t>Stefanski</t>
  </si>
  <si>
    <t>(337)384-8999</t>
  </si>
  <si>
    <t>Calazzo</t>
  </si>
  <si>
    <t>Acadia and Lafayette</t>
  </si>
  <si>
    <t>Energy,Utilities,Technology</t>
  </si>
  <si>
    <t>Chris.Caiazzo@legislature.maine.gov</t>
  </si>
  <si>
    <t>Scarborough</t>
  </si>
  <si>
    <t>Kinney</t>
  </si>
  <si>
    <t>Natural Resources and Environment, Chairman</t>
  </si>
  <si>
    <t>kevin.kinney@legis.iowa.gov</t>
  </si>
  <si>
    <t>(337)981-7409</t>
  </si>
  <si>
    <t>Shawn</t>
  </si>
  <si>
    <t>Babine</t>
  </si>
  <si>
    <t>Shawn.Babine@legislature.maine.gov</t>
  </si>
  <si>
    <t>Pierre</t>
  </si>
  <si>
    <t>Legislative Bureau, Chairman</t>
  </si>
  <si>
    <t>(337)262-2330</t>
  </si>
  <si>
    <t>Jean-Paul</t>
  </si>
  <si>
    <t>Coussan</t>
  </si>
  <si>
    <t>(337)262-2400</t>
  </si>
  <si>
    <t>Anne.Carney@legislature.maine.gov</t>
  </si>
  <si>
    <t>Cape Elizabeth</t>
  </si>
  <si>
    <t>Huval</t>
  </si>
  <si>
    <t>Municipal, Parochial and Cultural Affairs, Vice Chair</t>
  </si>
  <si>
    <t>(337)332-3331</t>
  </si>
  <si>
    <t>Iberia, Saint Landry, and St. Martin</t>
  </si>
  <si>
    <t>Hensgens</t>
  </si>
  <si>
    <t>Rozenboom</t>
  </si>
  <si>
    <t>Calcasieu, Cameron and Vermilion</t>
  </si>
  <si>
    <t>ken.rozenboom@legis.iowa.gov</t>
  </si>
  <si>
    <t>Reckitt</t>
  </si>
  <si>
    <t>Lois.Reckitt@legislature.maine.gov</t>
  </si>
  <si>
    <t>South Portland</t>
  </si>
  <si>
    <t>Barras</t>
  </si>
  <si>
    <t>Administration of Criminal Justice, Ex Officio</t>
  </si>
  <si>
    <t>Appropriations, Ex Officio</t>
  </si>
  <si>
    <t>Health and Welfare, Ex Officio</t>
  </si>
  <si>
    <t>Judiciary, Ex Officio</t>
  </si>
  <si>
    <t>Kessler</t>
  </si>
  <si>
    <t>(337)373-4051</t>
  </si>
  <si>
    <t>Energy, Utilities, Tech</t>
  </si>
  <si>
    <t>Iberia, Lafayette, and Saint Martin</t>
  </si>
  <si>
    <t>Christopher.Kessler@legislature.maine.gov</t>
  </si>
  <si>
    <t>Morales</t>
  </si>
  <si>
    <t>Victoria.Morales@legislature.maine.gov</t>
  </si>
  <si>
    <t>Mariannette</t>
  </si>
  <si>
    <t>Miller-Meeks</t>
  </si>
  <si>
    <t>Miguez</t>
  </si>
  <si>
    <t>(337)937-8827</t>
  </si>
  <si>
    <t>Iberia and Vermillion</t>
  </si>
  <si>
    <t>Retirement, Vice Chair</t>
  </si>
  <si>
    <t>(337)828-7778</t>
  </si>
  <si>
    <t>St. Martin and St. Mary</t>
  </si>
  <si>
    <t>Gattine</t>
  </si>
  <si>
    <t>Appropriations and Financial Affairs (Chair)</t>
  </si>
  <si>
    <t>Beryl</t>
  </si>
  <si>
    <t>Andrew.Gattine@legislature.maine.gov</t>
  </si>
  <si>
    <t>Westbrook</t>
  </si>
  <si>
    <t>Amedee</t>
  </si>
  <si>
    <t>(985)858-2967</t>
  </si>
  <si>
    <t>Assumption, Lafourche, St. Mary and Terrebonne</t>
  </si>
  <si>
    <t>Peoples</t>
  </si>
  <si>
    <t>rich.taylor@legis.iowa.gov</t>
  </si>
  <si>
    <t>Zeringue</t>
  </si>
  <si>
    <t>(985)876-8823</t>
  </si>
  <si>
    <t>Ann.Peoples@legislature.maine.gov</t>
  </si>
  <si>
    <t>2018 (2006–2014)</t>
  </si>
  <si>
    <t>Lafourche and Terrebonne</t>
  </si>
  <si>
    <t>Brennan</t>
  </si>
  <si>
    <t>Michael.Brennan@legislature.maine.gov</t>
  </si>
  <si>
    <t>Portland</t>
  </si>
  <si>
    <t>Magee</t>
  </si>
  <si>
    <t>**Our lead sponsor!</t>
  </si>
  <si>
    <t>(985)858-2970</t>
  </si>
  <si>
    <t>Bolkcom</t>
  </si>
  <si>
    <t>joe.bolkcom@legis.iowa.gov</t>
  </si>
  <si>
    <t>Gisclair</t>
  </si>
  <si>
    <t>Special Committee on Military and Veterans Affairs, Vice Chai</t>
  </si>
  <si>
    <t>(985)798-7707</t>
  </si>
  <si>
    <t>Jefferson and Lafourche</t>
  </si>
  <si>
    <t>Leave of Absense (chair)</t>
  </si>
  <si>
    <t>Richard.Farnsworth@legislature.maine.gov</t>
  </si>
  <si>
    <t>tom.greene@legis.iowa.gov</t>
  </si>
  <si>
    <t>Moonen</t>
  </si>
  <si>
    <t>Rules and Business of the House</t>
  </si>
  <si>
    <t>Matt.Moonen@legislature.maine.gov</t>
  </si>
  <si>
    <t>(985)447-0999</t>
  </si>
  <si>
    <t>Lafourche</t>
  </si>
  <si>
    <t>Lykam</t>
  </si>
  <si>
    <t>jim.lykam@legis.iowa.gov</t>
  </si>
  <si>
    <t>Sylvester</t>
  </si>
  <si>
    <t>Mike.Sylvester@legislature.maine.gov</t>
  </si>
  <si>
    <t>House and Governmental Affairs, Chairman</t>
  </si>
  <si>
    <t>Legislative Budgetary Control Council</t>
  </si>
  <si>
    <t>(985)764-9991</t>
  </si>
  <si>
    <t>St. Charles and St. John the Baptist</t>
  </si>
  <si>
    <t>Randal</t>
  </si>
  <si>
    <t>TalbotRoss</t>
  </si>
  <si>
    <t>Rachel.TalbotRoss@legislature.maine.gov</t>
  </si>
  <si>
    <t>Civil Law and Procedure, Vice Chair</t>
  </si>
  <si>
    <t>Special Committee on Military and Veterans Affairs</t>
  </si>
  <si>
    <t>(985)652-1228</t>
  </si>
  <si>
    <t>mark.lofgren@legis.iowa.gov</t>
  </si>
  <si>
    <t>Erik</t>
  </si>
  <si>
    <t>225 265-9005</t>
  </si>
  <si>
    <t>Ascension, Iberville, and St. James</t>
  </si>
  <si>
    <t>Jorgensen</t>
  </si>
  <si>
    <t>Appropriations and Financial Affairs</t>
  </si>
  <si>
    <t>BillsintheSeconReading</t>
  </si>
  <si>
    <t>Erik.Jorgensen@legislature.maine.gov</t>
  </si>
  <si>
    <t>Bacala</t>
  </si>
  <si>
    <t>(225)677-8020</t>
  </si>
  <si>
    <t>Ascension</t>
  </si>
  <si>
    <t>Benjamin</t>
  </si>
  <si>
    <t>roby.smith@legis.iowa.gov</t>
  </si>
  <si>
    <t>Collings</t>
  </si>
  <si>
    <t>Benjamin.Collings@legislature.maine.gov</t>
  </si>
  <si>
    <t>(225)687-2410</t>
  </si>
  <si>
    <t>Assumption and Iberville</t>
  </si>
  <si>
    <t>Crockett</t>
  </si>
  <si>
    <t>dan.zumbach@legis.iowa.gov</t>
  </si>
  <si>
    <t>Ed.Crockett@legislature.maine.gov</t>
  </si>
  <si>
    <t>Marcelle</t>
  </si>
  <si>
    <t>Capital Region Legislative Delegation</t>
  </si>
  <si>
    <t>(225)359-9362</t>
  </si>
  <si>
    <t>East Baton Rouge</t>
  </si>
  <si>
    <t>Cournoyer</t>
  </si>
  <si>
    <t>chris.cournoyer@legis.iowa.gov</t>
  </si>
  <si>
    <t>Teresa.Pierce@legislature.maine.gov</t>
  </si>
  <si>
    <t>Falmouth</t>
  </si>
  <si>
    <t>Havard</t>
  </si>
  <si>
    <t>East Baton Rouge, East and West Feliciana</t>
  </si>
  <si>
    <t>Jochum</t>
  </si>
  <si>
    <t>pam.jochum@legis.iowa.gov</t>
  </si>
  <si>
    <t>Denno</t>
  </si>
  <si>
    <t>Dale.Denno@legislature.maine.gov</t>
  </si>
  <si>
    <t>Cumberland</t>
  </si>
  <si>
    <t>Braden</t>
  </si>
  <si>
    <t>(225)771-5674</t>
  </si>
  <si>
    <t>Finkenauer</t>
  </si>
  <si>
    <t>Loebsack</t>
  </si>
  <si>
    <t>Axne</t>
  </si>
  <si>
    <t>Valarie</t>
  </si>
  <si>
    <t>Sharpe</t>
  </si>
  <si>
    <t>Braden.Sharpe@legislature.maine.gov</t>
  </si>
  <si>
    <t>Ernst</t>
  </si>
  <si>
    <t>House Select Committee on Homeland Security, Vice Chair</t>
  </si>
  <si>
    <t>(225)791-2199</t>
  </si>
  <si>
    <t>East Baton Rouge and Livingston</t>
  </si>
  <si>
    <t>Durham</t>
  </si>
  <si>
    <t>(225)261-5739</t>
  </si>
  <si>
    <t>Edmonds</t>
  </si>
  <si>
    <t>(225)295-9240</t>
  </si>
  <si>
    <t>House Executive Committee, Vice Chair</t>
  </si>
  <si>
    <t>(225)342-7106</t>
  </si>
  <si>
    <t>Veterans and Legal Affairs</t>
  </si>
  <si>
    <t>Janice.Cooper@legislature.maine.gov</t>
  </si>
  <si>
    <t>Yarmouth</t>
  </si>
  <si>
    <t>Transportation, Highways and Public Works, Vice Chair</t>
  </si>
  <si>
    <t>Capital Region Legislative Delegation, Chairman</t>
  </si>
  <si>
    <t>(225)362-5305</t>
  </si>
  <si>
    <t>Paula</t>
  </si>
  <si>
    <t>(225)362-5301</t>
  </si>
  <si>
    <t>Gideon</t>
  </si>
  <si>
    <t>Freeport</t>
  </si>
  <si>
    <t>Foil</t>
  </si>
  <si>
    <t>Appropriations, Vice Chair</t>
  </si>
  <si>
    <t>House Select Committee on Homeland Security, Chairman</t>
  </si>
  <si>
    <t>(225)342-6777</t>
  </si>
  <si>
    <t>Pope</t>
  </si>
  <si>
    <t>(225)667-3588</t>
  </si>
  <si>
    <t>Robby</t>
  </si>
  <si>
    <t>Daughtry</t>
  </si>
  <si>
    <t>Innovation, Development, Economic Advancement and Commerce (Chair)</t>
  </si>
  <si>
    <t>Mattie.Daughtry@legislature.maine.gov</t>
  </si>
  <si>
    <t>(985)748-2245</t>
  </si>
  <si>
    <t>East Feliciana, St. Helena and Tangipahoa</t>
  </si>
  <si>
    <t>Brunswick</t>
  </si>
  <si>
    <t>Pugh</t>
  </si>
  <si>
    <t>House and Governmental Affairs, Vice Chair</t>
  </si>
  <si>
    <t>Capital Region Legislative Delegation Louisiana Republican Legislative Delegation</t>
  </si>
  <si>
    <t>(985)386-7844</t>
  </si>
  <si>
    <t>Tangipahoa</t>
  </si>
  <si>
    <t>Tucker</t>
  </si>
  <si>
    <t>Environment and Natural Resources (Chair)</t>
  </si>
  <si>
    <t>Simon</t>
  </si>
  <si>
    <t>Ralph.Tucker@legislature.maine.gov</t>
  </si>
  <si>
    <t>(985)893-6246</t>
  </si>
  <si>
    <t>St. Tammany, Tangipahoa and Washington</t>
  </si>
  <si>
    <t>Malinda</t>
  </si>
  <si>
    <t>White</t>
  </si>
  <si>
    <t>(985)730-2147</t>
  </si>
  <si>
    <t>St. Tammany and Washington</t>
  </si>
  <si>
    <t>Pearson</t>
  </si>
  <si>
    <t>Retirement, Chairman</t>
  </si>
  <si>
    <t>McCreight</t>
  </si>
  <si>
    <t>Marine Resources (Chair)</t>
  </si>
  <si>
    <t>(985)646-6487</t>
  </si>
  <si>
    <t>Jay.McCreight@legislature.maine.gov</t>
  </si>
  <si>
    <t>St. Tammany</t>
  </si>
  <si>
    <t>(985)893-6262</t>
  </si>
  <si>
    <t>Harpswell</t>
  </si>
  <si>
    <t>Talbot</t>
  </si>
  <si>
    <t>Insurance, Chairman</t>
  </si>
  <si>
    <t>Jefferson Parish Legislative Delegation</t>
  </si>
  <si>
    <t>(504)736-7299</t>
  </si>
  <si>
    <t>DeChant</t>
  </si>
  <si>
    <t>Govertment Oversight Committee</t>
  </si>
  <si>
    <t>Jennifer.DeChant@legislature.maine.gov</t>
  </si>
  <si>
    <t>(504)468-8603</t>
  </si>
  <si>
    <t>Polly</t>
  </si>
  <si>
    <t>504-83POLLY (837-6559)</t>
  </si>
  <si>
    <t>Allison</t>
  </si>
  <si>
    <t>Hepler</t>
  </si>
  <si>
    <t xml:space="preserve">Marine Resources </t>
  </si>
  <si>
    <t>Allison.Hepler@legislature.maine.gov</t>
  </si>
  <si>
    <t>Schexnayder</t>
  </si>
  <si>
    <t>Agriculture, Forestry, Aquaculture, and Rural Development, Chairman</t>
  </si>
  <si>
    <t>Legislative Audit Advisory Council</t>
  </si>
  <si>
    <t>(225)473-6016</t>
  </si>
  <si>
    <t>Ascension, Livingston, St. John the Baptist, and St. James</t>
  </si>
  <si>
    <t>Dresden</t>
  </si>
  <si>
    <t>Appropriations, Chairman</t>
  </si>
  <si>
    <t>Joint Legislative Committee on the Budget, Chairman</t>
  </si>
  <si>
    <t>(504)838-5433</t>
  </si>
  <si>
    <t>Tepler</t>
  </si>
  <si>
    <t>Health Coverage, Insurance, and Financial Services (Chair)</t>
  </si>
  <si>
    <t>Denise.Tepler@legislature.maine.gov</t>
  </si>
  <si>
    <t>Billiot</t>
  </si>
  <si>
    <t>(504)436-8929</t>
  </si>
  <si>
    <t>Topsham</t>
  </si>
  <si>
    <t>Seth</t>
  </si>
  <si>
    <t>Connick</t>
  </si>
  <si>
    <t>(504)371-0240</t>
  </si>
  <si>
    <t>Energy, Utilities, Technology (chair)</t>
  </si>
  <si>
    <t>Seth.Berry@legislature.maine.gov</t>
  </si>
  <si>
    <t>2016 (2006–2014)</t>
  </si>
  <si>
    <t>Bowdoinham</t>
  </si>
  <si>
    <t>Marino</t>
  </si>
  <si>
    <t>(504)361-6013</t>
  </si>
  <si>
    <t>Muscarello</t>
  </si>
  <si>
    <t>985-974-0009</t>
  </si>
  <si>
    <t>Inland Fisheries</t>
  </si>
  <si>
    <t>Richard.Mason@legislature.maine.gov</t>
  </si>
  <si>
    <t>Lyons</t>
  </si>
  <si>
    <t>(504)510-5417</t>
  </si>
  <si>
    <t>2017↑</t>
  </si>
  <si>
    <t>Lisbon</t>
  </si>
  <si>
    <t>Thomas.Martin@legislature.maine.gov</t>
  </si>
  <si>
    <t>Berthelot</t>
  </si>
  <si>
    <t>Municipal, Parochial and Cultural Affairs, Chairman</t>
  </si>
  <si>
    <t>(225)647-5646</t>
  </si>
  <si>
    <t>Reid</t>
  </si>
  <si>
    <t>Falconer</t>
  </si>
  <si>
    <t>(985)792-5185</t>
  </si>
  <si>
    <t>DuBuisson</t>
  </si>
  <si>
    <t>(985)645-3592</t>
  </si>
  <si>
    <t>Walt</t>
  </si>
  <si>
    <t>Handy</t>
  </si>
  <si>
    <t>Leger</t>
  </si>
  <si>
    <t>(504)556-9970</t>
  </si>
  <si>
    <t>Jim.Handy@legislature.maine.gov</t>
  </si>
  <si>
    <t>Orleans</t>
  </si>
  <si>
    <t>Margret</t>
  </si>
  <si>
    <t>Craven</t>
  </si>
  <si>
    <t>Helath and Humand Services</t>
  </si>
  <si>
    <t>Margaret.Craven@legislature.maine.gov</t>
  </si>
  <si>
    <t>Stagni</t>
  </si>
  <si>
    <t>(504)465-3479</t>
  </si>
  <si>
    <t>Jefferson and St. Charles</t>
  </si>
  <si>
    <t>Royce</t>
  </si>
  <si>
    <t>2018 (2002–2008)</t>
  </si>
  <si>
    <t>504-568-2740</t>
  </si>
  <si>
    <t>Kristen</t>
  </si>
  <si>
    <t>Kristen.Cloutier@legislature.maine.gov</t>
  </si>
  <si>
    <t>Hilferty</t>
  </si>
  <si>
    <t>(504)885-4154</t>
  </si>
  <si>
    <t>Jefferson and Orleans</t>
  </si>
  <si>
    <t>Administration of Criminal Justice, Chairman</t>
  </si>
  <si>
    <t>(225)567-3677</t>
  </si>
  <si>
    <t>Health Coverage, Insurance, and Financial Services</t>
  </si>
  <si>
    <t>Heidi.Brooks@legislature.maine.gov</t>
  </si>
  <si>
    <t>Transportation, Highways and Public Works, Chairman</t>
  </si>
  <si>
    <t>(337)373-9380</t>
  </si>
  <si>
    <t>Iberia, Lafayette, and St. Martin</t>
  </si>
  <si>
    <t>Bouie</t>
  </si>
  <si>
    <t>Gina</t>
  </si>
  <si>
    <t>(504)286-1033</t>
  </si>
  <si>
    <t>Melaragno</t>
  </si>
  <si>
    <t>Abramson</t>
  </si>
  <si>
    <t>Ways and Means, Chairman</t>
  </si>
  <si>
    <t>Joint Legislative Committee on Capital Outlay, Chairman</t>
  </si>
  <si>
    <t>State Bond Commission</t>
  </si>
  <si>
    <t>Gina.Melaragno@legislature.maine.gov</t>
  </si>
  <si>
    <t>(504)275-8051</t>
  </si>
  <si>
    <t>Auburn</t>
  </si>
  <si>
    <t>(504)243-1960</t>
  </si>
  <si>
    <t>Bickford</t>
  </si>
  <si>
    <t>Bruce.Bickford@legislature.maine.gov</t>
  </si>
  <si>
    <t>Bagneris</t>
  </si>
  <si>
    <t>(504)243-7783</t>
  </si>
  <si>
    <t>2014 (2008–2012)</t>
  </si>
  <si>
    <t>Bettyann</t>
  </si>
  <si>
    <t>Sheats</t>
  </si>
  <si>
    <t>(225)343-3633</t>
  </si>
  <si>
    <t>Bettyann.Sheats@legislature.maine.gov</t>
  </si>
  <si>
    <t>(504)361-6600</t>
  </si>
  <si>
    <t>1A</t>
  </si>
  <si>
    <t>Arata</t>
  </si>
  <si>
    <t xml:space="preserve">Government Oversitght </t>
  </si>
  <si>
    <t>Amy.Arata@legislature.maine.gov</t>
  </si>
  <si>
    <t>Wendell</t>
  </si>
  <si>
    <t>Garofalo</t>
  </si>
  <si>
    <t>Civil Law and Procedure, Chairman</t>
  </si>
  <si>
    <t>Orleans Delegation</t>
  </si>
  <si>
    <t>(504)277-4729</t>
  </si>
  <si>
    <t>New Gloucester</t>
  </si>
  <si>
    <t>Orleans, St. Bernard, and Plaquemines</t>
  </si>
  <si>
    <t>Beitzel</t>
  </si>
  <si>
    <t>410-841-3435</t>
  </si>
  <si>
    <t>wendell.beitzel@house.state.md.us</t>
  </si>
  <si>
    <t>1B</t>
  </si>
  <si>
    <t>Jessica</t>
  </si>
  <si>
    <t>Commerce, Vice Chair</t>
  </si>
  <si>
    <t>(985)871-4680</t>
  </si>
  <si>
    <t>Buckel</t>
  </si>
  <si>
    <t>1C</t>
  </si>
  <si>
    <t>Fay</t>
  </si>
  <si>
    <t>Bills in the second readin (chair)</t>
  </si>
  <si>
    <t>Environment and Natural Resources</t>
  </si>
  <si>
    <t>Jessica.Fay@legislature.maine.gov</t>
  </si>
  <si>
    <t>Leopold</t>
  </si>
  <si>
    <t>Natural Resources and Environment, Vice Chair</t>
  </si>
  <si>
    <t>Select Committee on Disaster Recovery, Chairman</t>
  </si>
  <si>
    <t>(504)393-5649</t>
  </si>
  <si>
    <t>Jefferson, Orleans and Plaquemines</t>
  </si>
  <si>
    <t>McKay</t>
  </si>
  <si>
    <t>410-841-3321</t>
  </si>
  <si>
    <t>2A</t>
  </si>
  <si>
    <t>Parrott</t>
  </si>
  <si>
    <t>410-841-3636</t>
  </si>
  <si>
    <t>Wivell</t>
  </si>
  <si>
    <t>410-841-3447</t>
  </si>
  <si>
    <t xml:space="preserve">Innovation, Development, Economic Advancement and Commerce </t>
  </si>
  <si>
    <t>Engrossed Bills</t>
  </si>
  <si>
    <t>2B</t>
  </si>
  <si>
    <t>Sue.Austin@legislature.maine.gov</t>
  </si>
  <si>
    <t>Hewitt</t>
  </si>
  <si>
    <t>Transportation, Highways &amp; Public Works (Vice-Chairman)</t>
  </si>
  <si>
    <t>2014 (2002–2010)</t>
  </si>
  <si>
    <t>Corderman</t>
  </si>
  <si>
    <t>410-841-3125</t>
  </si>
  <si>
    <t>3A</t>
  </si>
  <si>
    <t>Krimm</t>
  </si>
  <si>
    <t>410-841-3472</t>
  </si>
  <si>
    <t>410-841-3436</t>
  </si>
  <si>
    <t>3B</t>
  </si>
  <si>
    <t>Barrie</t>
  </si>
  <si>
    <t>Ciliberti</t>
  </si>
  <si>
    <t>410-841-3080</t>
  </si>
  <si>
    <t>Pippy</t>
  </si>
  <si>
    <t>Krebs</t>
  </si>
  <si>
    <t>410-841-3200</t>
  </si>
  <si>
    <t>410-841-3070</t>
  </si>
  <si>
    <t>Haven</t>
  </si>
  <si>
    <t>Shoemaker</t>
  </si>
  <si>
    <t>410-841-3359</t>
  </si>
  <si>
    <t>Cebra</t>
  </si>
  <si>
    <t>Leaves of Absence</t>
  </si>
  <si>
    <t>Grammer</t>
  </si>
  <si>
    <t>410-841-3298</t>
  </si>
  <si>
    <t>Environmental Quality</t>
  </si>
  <si>
    <t>Rich.Cebra@legislature.maine.gov</t>
  </si>
  <si>
    <t>410-841-3458</t>
  </si>
  <si>
    <t>Metzgar</t>
  </si>
  <si>
    <t>410-841-3332</t>
  </si>
  <si>
    <t>Impallaria</t>
  </si>
  <si>
    <t>410-841-3289</t>
  </si>
  <si>
    <t>Arikan</t>
  </si>
  <si>
    <t>Szeliga</t>
  </si>
  <si>
    <t>410-841-3698</t>
  </si>
  <si>
    <t>Bromwell</t>
  </si>
  <si>
    <t>2016 (2004–2012)</t>
  </si>
  <si>
    <t>House Economic Matters (Vice Chair)</t>
  </si>
  <si>
    <t>Naples</t>
  </si>
  <si>
    <t>410-841-3526</t>
  </si>
  <si>
    <t>Bhandari</t>
  </si>
  <si>
    <t>9A</t>
  </si>
  <si>
    <t>Kittleman</t>
  </si>
  <si>
    <t>410-841-3582</t>
  </si>
  <si>
    <t>9B</t>
  </si>
  <si>
    <t>Women and Children</t>
  </si>
  <si>
    <t>410-841-3352</t>
  </si>
  <si>
    <t>Jalisi</t>
  </si>
  <si>
    <t>410-841-3358</t>
  </si>
  <si>
    <t>410-841-3391</t>
  </si>
  <si>
    <t>Hettleman</t>
  </si>
  <si>
    <t>410-841-3833</t>
  </si>
  <si>
    <t>Cardin</t>
  </si>
  <si>
    <t>Dana</t>
  </si>
  <si>
    <t>Stein</t>
  </si>
  <si>
    <t>410-841-3527</t>
  </si>
  <si>
    <t>Ebersole</t>
  </si>
  <si>
    <t>410-841-3328</t>
  </si>
  <si>
    <t>Feldmark</t>
  </si>
  <si>
    <t>Lam</t>
  </si>
  <si>
    <t>410-841-3205</t>
  </si>
  <si>
    <t>Atterbeary</t>
  </si>
  <si>
    <t>410-841-3471</t>
  </si>
  <si>
    <t>Pendergrass</t>
  </si>
  <si>
    <t>410-841-3139</t>
  </si>
  <si>
    <t>Terrasa</t>
  </si>
  <si>
    <t>410-841-3036</t>
  </si>
  <si>
    <t>Kaiser</t>
  </si>
  <si>
    <t>Luedtke</t>
  </si>
  <si>
    <t>Chair of Majority Caucus</t>
  </si>
  <si>
    <t>(985) 646-6490</t>
  </si>
  <si>
    <t>410-841-3110</t>
  </si>
  <si>
    <t>Queen</t>
  </si>
  <si>
    <t>410-841-3380</t>
  </si>
  <si>
    <t>Dumais</t>
  </si>
  <si>
    <t>410-841-3052</t>
  </si>
  <si>
    <t>Fraser-Hidalgo</t>
  </si>
  <si>
    <t>410-841-3186</t>
  </si>
  <si>
    <t>Lily</t>
  </si>
  <si>
    <t>Qi</t>
  </si>
  <si>
    <t>Riseman</t>
  </si>
  <si>
    <t>Ariana</t>
  </si>
  <si>
    <t>410-841-3642</t>
  </si>
  <si>
    <t>Korman</t>
  </si>
  <si>
    <t>410-841-3649</t>
  </si>
  <si>
    <t>Kumar</t>
  </si>
  <si>
    <t>Barve</t>
  </si>
  <si>
    <t>410-841-3990</t>
  </si>
  <si>
    <t>Gilchrist</t>
  </si>
  <si>
    <t>Palakovich</t>
  </si>
  <si>
    <t>Walter.Riseman@legislature.maine.gov</t>
  </si>
  <si>
    <t>possibly -&gt;</t>
  </si>
  <si>
    <t>410-841-3638</t>
  </si>
  <si>
    <t>Shetty</t>
  </si>
  <si>
    <t>Solomon</t>
  </si>
  <si>
    <t>Cullison</t>
  </si>
  <si>
    <t>410-841-3883</t>
  </si>
  <si>
    <t>Crutchfield</t>
  </si>
  <si>
    <t>Vaughn</t>
  </si>
  <si>
    <t>Lorig</t>
  </si>
  <si>
    <t>Charkoudian</t>
  </si>
  <si>
    <t>410-841-3474</t>
  </si>
  <si>
    <t>Bridgton</t>
  </si>
  <si>
    <t>Jheanelle</t>
  </si>
  <si>
    <t>Wilkins</t>
  </si>
  <si>
    <t>410-841-3493</t>
  </si>
  <si>
    <t>Slidell</t>
  </si>
  <si>
    <t>Barnes</t>
  </si>
  <si>
    <t>410-841-3046</t>
  </si>
  <si>
    <t>Joseline</t>
  </si>
  <si>
    <t>Pena-Melnyk</t>
  </si>
  <si>
    <t>Health and Government Operations (Vice Chair)</t>
  </si>
  <si>
    <t>Tawanna</t>
  </si>
  <si>
    <t>Healey</t>
  </si>
  <si>
    <t>Alonzo</t>
  </si>
  <si>
    <t>Nathan</t>
  </si>
  <si>
    <t>23A</t>
  </si>
  <si>
    <t>Valentino-Smith</t>
  </si>
  <si>
    <t>410-841-3101</t>
  </si>
  <si>
    <t>23B</t>
  </si>
  <si>
    <t>Marvin</t>
  </si>
  <si>
    <t>410-841-3310</t>
  </si>
  <si>
    <t>Erek</t>
  </si>
  <si>
    <t>Barron</t>
  </si>
  <si>
    <t>410-841-3692</t>
  </si>
  <si>
    <t>410-841-3919</t>
  </si>
  <si>
    <t>Jazz</t>
  </si>
  <si>
    <t>Vice Chair of Majoirty Caucus</t>
  </si>
  <si>
    <t>410-841-3691</t>
  </si>
  <si>
    <t>Assistant Speaker Pro Tem</t>
  </si>
  <si>
    <t>410-841-3557</t>
  </si>
  <si>
    <t>Dereck</t>
  </si>
  <si>
    <t>Nathan.Wadsworth@legislature.maine.gov</t>
  </si>
  <si>
    <t>410-841-3519</t>
  </si>
  <si>
    <t>Veronica</t>
  </si>
  <si>
    <t>Retirement (Vice-Chairman)</t>
  </si>
  <si>
    <t>Kriselda</t>
  </si>
  <si>
    <t>Valderrama</t>
  </si>
  <si>
    <t>Deputy Speaker Pro Tem</t>
  </si>
  <si>
    <t>410-841-3210</t>
  </si>
  <si>
    <t>410-841-3581</t>
  </si>
  <si>
    <t>27A</t>
  </si>
  <si>
    <t>Proctor</t>
  </si>
  <si>
    <t>410-841-3083</t>
  </si>
  <si>
    <t>27B</t>
  </si>
  <si>
    <t>410-841-3103</t>
  </si>
  <si>
    <t>27C</t>
  </si>
  <si>
    <t>410-841-3231</t>
  </si>
  <si>
    <t>Hiram</t>
  </si>
  <si>
    <t>Edith</t>
  </si>
  <si>
    <t>410-841-3247</t>
  </si>
  <si>
    <t>Commerce, Consumer Protection, and International Affairs</t>
  </si>
  <si>
    <t>C.T.</t>
  </si>
  <si>
    <t>410-841-3325</t>
  </si>
  <si>
    <t>ct.wilson@house.state.md.us</t>
  </si>
  <si>
    <t>29A</t>
  </si>
  <si>
    <t>410-841-3170</t>
  </si>
  <si>
    <t>matt.morgan@house.state.md.us</t>
  </si>
  <si>
    <t>29B</t>
  </si>
  <si>
    <t>Crosby</t>
  </si>
  <si>
    <t>Sawin</t>
  </si>
  <si>
    <t>Millet</t>
  </si>
  <si>
    <t>Government Overisght</t>
  </si>
  <si>
    <t>Sawin.Millett@legislature.maine.gov</t>
  </si>
  <si>
    <t>29C</t>
  </si>
  <si>
    <t>410-841-3314</t>
  </si>
  <si>
    <t>30A</t>
  </si>
  <si>
    <t>Busch</t>
  </si>
  <si>
    <t>410-841-3800</t>
  </si>
  <si>
    <t>Cain</t>
  </si>
  <si>
    <t>Norway</t>
  </si>
  <si>
    <t>30B</t>
  </si>
  <si>
    <t>410-841-3439</t>
  </si>
  <si>
    <t>31A</t>
  </si>
  <si>
    <t>410-841-3047</t>
  </si>
  <si>
    <t>31B</t>
  </si>
  <si>
    <t>Chisholm</t>
  </si>
  <si>
    <t>Transportation, Highways &amp; Public Works</t>
  </si>
  <si>
    <t>Meagan</t>
  </si>
  <si>
    <t>Simonaire</t>
  </si>
  <si>
    <t>410-841-3206</t>
  </si>
  <si>
    <t>410-841-3511</t>
  </si>
  <si>
    <t>Malone</t>
  </si>
  <si>
    <t>410-841-3510</t>
  </si>
  <si>
    <t>410-841-3406</t>
  </si>
  <si>
    <t>Sid</t>
  </si>
  <si>
    <t>Saab</t>
  </si>
  <si>
    <t>(225) 644-6738</t>
  </si>
  <si>
    <t>410-841-3551</t>
  </si>
  <si>
    <t>34A</t>
  </si>
  <si>
    <t>2017 special election</t>
  </si>
  <si>
    <t>MaryAnn</t>
  </si>
  <si>
    <t>Lisanti</t>
  </si>
  <si>
    <t>410-841-3331</t>
  </si>
  <si>
    <t>34B</t>
  </si>
  <si>
    <t>McComas</t>
  </si>
  <si>
    <t>410-841-3272</t>
  </si>
  <si>
    <t>35A</t>
  </si>
  <si>
    <t>Hornberger</t>
  </si>
  <si>
    <t>410-841-3284</t>
  </si>
  <si>
    <t>35B</t>
  </si>
  <si>
    <t>Cassilly</t>
  </si>
  <si>
    <t>410-841-3444</t>
  </si>
  <si>
    <t>Reilly</t>
  </si>
  <si>
    <t>410-841-3278</t>
  </si>
  <si>
    <t>Arentz</t>
  </si>
  <si>
    <t>410-841-3543</t>
  </si>
  <si>
    <t>Ghrist</t>
  </si>
  <si>
    <t>410-841-3555</t>
  </si>
  <si>
    <t>410-841-3449</t>
  </si>
  <si>
    <t>House Republican Leader</t>
  </si>
  <si>
    <t>37A</t>
  </si>
  <si>
    <t>Sheree</t>
  </si>
  <si>
    <t>Rules and Buisness of the House</t>
  </si>
  <si>
    <t>Sample-Hughes</t>
  </si>
  <si>
    <t>410-841-3427</t>
  </si>
  <si>
    <t>Kathleen.Dillingham@legislature.maine.gov</t>
  </si>
  <si>
    <t>37B</t>
  </si>
  <si>
    <t>410-841-3343</t>
  </si>
  <si>
    <t>Mautz</t>
  </si>
  <si>
    <t>410-841-3429</t>
  </si>
  <si>
    <t>38A</t>
  </si>
  <si>
    <t>Otto</t>
  </si>
  <si>
    <t>410-841-3433</t>
  </si>
  <si>
    <t>38B</t>
  </si>
  <si>
    <t>Anderton</t>
  </si>
  <si>
    <t>410-841-3431</t>
  </si>
  <si>
    <t>38C</t>
  </si>
  <si>
    <t>Wayne</t>
  </si>
  <si>
    <t>Hartman</t>
  </si>
  <si>
    <t>Acevero</t>
  </si>
  <si>
    <t>410-841-3039</t>
  </si>
  <si>
    <t>Kirill</t>
  </si>
  <si>
    <t>Reznik</t>
  </si>
  <si>
    <t>Oxford</t>
  </si>
  <si>
    <t>Lesley</t>
  </si>
  <si>
    <t>Conaway</t>
  </si>
  <si>
    <t>Mosby</t>
  </si>
  <si>
    <t>410-841-3520</t>
  </si>
  <si>
    <t>Dalya</t>
  </si>
  <si>
    <t>Attar</t>
  </si>
  <si>
    <t>Rosenberg</t>
  </si>
  <si>
    <t>410-841-3297</t>
  </si>
  <si>
    <t>42A</t>
  </si>
  <si>
    <t>Lafferty</t>
  </si>
  <si>
    <t>410-841-3487</t>
  </si>
  <si>
    <t>42B</t>
  </si>
  <si>
    <t>Nino</t>
  </si>
  <si>
    <t>Mangione</t>
  </si>
  <si>
    <t>410-841-3793</t>
  </si>
  <si>
    <t>chris.west@house.state.md.us</t>
  </si>
  <si>
    <t>410-841-3291</t>
  </si>
  <si>
    <t>curt.anderson@house.state.md.us</t>
  </si>
  <si>
    <t>Maggie</t>
  </si>
  <si>
    <t>McIntosh</t>
  </si>
  <si>
    <t>Andrews</t>
  </si>
  <si>
    <t>John.Andrews@legislature.maine.gov</t>
  </si>
  <si>
    <t>Boyce</t>
  </si>
  <si>
    <t>44A</t>
  </si>
  <si>
    <t>Haynes</t>
  </si>
  <si>
    <t>Deputy Majority Leader</t>
  </si>
  <si>
    <t>410-841-3801</t>
  </si>
  <si>
    <t>44B</t>
  </si>
  <si>
    <t>Sydnor</t>
  </si>
  <si>
    <t>410-841-3802</t>
  </si>
  <si>
    <t>410-841-3544</t>
  </si>
  <si>
    <t>pat.young@house.state.md.us</t>
  </si>
  <si>
    <t>Talmadge</t>
  </si>
  <si>
    <t>410-841-3398</t>
  </si>
  <si>
    <t>Judiciary B</t>
  </si>
  <si>
    <t>Rules and Executive Nominations (Vice Chair)</t>
  </si>
  <si>
    <t>410-841-3257</t>
  </si>
  <si>
    <t>Clippinger</t>
  </si>
  <si>
    <t>410-841-3303</t>
  </si>
  <si>
    <t>Robbyn</t>
  </si>
  <si>
    <t>410-841-3772</t>
  </si>
  <si>
    <t>Lierman</t>
  </si>
  <si>
    <t>410-841-3319</t>
  </si>
  <si>
    <t>47A</t>
  </si>
  <si>
    <t>Christina</t>
  </si>
  <si>
    <t>Revenue &amp; Fiscal Affairs (Chairman)</t>
  </si>
  <si>
    <t>Fennell</t>
  </si>
  <si>
    <t>410-841-3478</t>
  </si>
  <si>
    <t>47B</t>
  </si>
  <si>
    <t>Wanika</t>
  </si>
  <si>
    <t>Tina.Riley@legislature.maine.gov</t>
  </si>
  <si>
    <t>Edwards</t>
  </si>
  <si>
    <t>Labor &amp; Industrial Relations</t>
  </si>
  <si>
    <t>Budget &amp; Taxation</t>
  </si>
  <si>
    <t>410-841-3565</t>
  </si>
  <si>
    <t>george.edwards@senate.state.md.us</t>
  </si>
  <si>
    <t>Serafini</t>
  </si>
  <si>
    <t>410-841-3903</t>
  </si>
  <si>
    <t>Senate &amp; Governmental Affairs</t>
  </si>
  <si>
    <t>410-841-3575</t>
  </si>
  <si>
    <t>Hough</t>
  </si>
  <si>
    <t>410-841-3704</t>
  </si>
  <si>
    <t>Ready</t>
  </si>
  <si>
    <t>410-841-3683</t>
  </si>
  <si>
    <t>Salling</t>
  </si>
  <si>
    <t>410-841-3587</t>
  </si>
  <si>
    <t>Joshua.Morris@legislature.maine.gov</t>
  </si>
  <si>
    <t>JB</t>
  </si>
  <si>
    <t>410-841-3706</t>
  </si>
  <si>
    <t>Katherine</t>
  </si>
  <si>
    <t>Klausmeier</t>
  </si>
  <si>
    <t>(504) 284-4794</t>
  </si>
  <si>
    <t>410-841-3620</t>
  </si>
  <si>
    <t>2008†</t>
  </si>
  <si>
    <t>New Orleans</t>
  </si>
  <si>
    <t>410-841-3606</t>
  </si>
  <si>
    <t>Zirkin</t>
  </si>
  <si>
    <t xml:space="preserve">chair Judicial Proceedings </t>
  </si>
  <si>
    <t>410-841-3131</t>
  </si>
  <si>
    <t>Guy</t>
  </si>
  <si>
    <t>Guzzone</t>
  </si>
  <si>
    <t>410-841-3572</t>
  </si>
  <si>
    <t>Zucker</t>
  </si>
  <si>
    <t>vice chair rules</t>
  </si>
  <si>
    <t>410-841-3625</t>
  </si>
  <si>
    <t>Feldman</t>
  </si>
  <si>
    <t>Vice chair Finance</t>
  </si>
  <si>
    <t>410-841-3169</t>
  </si>
  <si>
    <t>410-841-3124</t>
  </si>
  <si>
    <t>410-841-3134</t>
  </si>
  <si>
    <t>Waldstreicher</t>
  </si>
  <si>
    <t>Kramer</t>
  </si>
  <si>
    <t xml:space="preserve">Vice chair Judicial Proceedings </t>
  </si>
  <si>
    <t>410-841-3634</t>
  </si>
  <si>
    <t>Rosapepe</t>
  </si>
  <si>
    <t>410-841-3141</t>
  </si>
  <si>
    <t>Pinsky</t>
  </si>
  <si>
    <t xml:space="preserve">Chair Education Health and Enviroment </t>
  </si>
  <si>
    <t>410-841-3155</t>
  </si>
  <si>
    <t>410-841-3631</t>
  </si>
  <si>
    <t>Judiciary A</t>
  </si>
  <si>
    <t>chair rules</t>
  </si>
  <si>
    <t>410-841-3148</t>
  </si>
  <si>
    <t>410-841-3127</t>
  </si>
  <si>
    <t>Obie</t>
  </si>
  <si>
    <t>Keschl</t>
  </si>
  <si>
    <t>Dennis.Keschl@legislature.maine.gov</t>
  </si>
  <si>
    <t>Senate &amp; Governmental Affairs (Vice-Chairman)</t>
  </si>
  <si>
    <t>Elfreth</t>
  </si>
  <si>
    <t>Simonaire[38]</t>
  </si>
  <si>
    <t>410-841-3658</t>
  </si>
  <si>
    <t>2018 (2010–2014)</t>
  </si>
  <si>
    <t>Beidle</t>
  </si>
  <si>
    <t>Belgrade</t>
  </si>
  <si>
    <t>410-841-3568</t>
  </si>
  <si>
    <t>410-841-3158</t>
  </si>
  <si>
    <t>Gallion</t>
  </si>
  <si>
    <t>Hershey</t>
  </si>
  <si>
    <t>410-841-3639</t>
  </si>
  <si>
    <t>Adelaide</t>
  </si>
  <si>
    <t>Perkins</t>
  </si>
  <si>
    <t>Michael.Perkins@legislature.maine.gov</t>
  </si>
  <si>
    <t>Eckardt</t>
  </si>
  <si>
    <t>(504) 242-4198</t>
  </si>
  <si>
    <t>410-841-3590</t>
  </si>
  <si>
    <t>Mary Beth</t>
  </si>
  <si>
    <t>Carozza</t>
  </si>
  <si>
    <t>Oakland</t>
  </si>
  <si>
    <t>410-841-3686</t>
  </si>
  <si>
    <t>Peterson</t>
  </si>
  <si>
    <t>Jill</t>
  </si>
  <si>
    <t>Senate &amp; Governmental Affairs (Chairman)</t>
  </si>
  <si>
    <t>Nadeau</t>
  </si>
  <si>
    <t>Bills in the second reading</t>
  </si>
  <si>
    <t>Inland Fisheries (chair)</t>
  </si>
  <si>
    <t>Catherine.Nadeau@legislature.maine.gov</t>
  </si>
  <si>
    <t>Local &amp; Municipal Affairs</t>
  </si>
  <si>
    <t>Winslow</t>
  </si>
  <si>
    <t>Revenue &amp; Fiscal Affairs</t>
  </si>
  <si>
    <t>Nathan-Pulliam</t>
  </si>
  <si>
    <t xml:space="preserve">Vice Chair Education Health and Enviroment </t>
  </si>
  <si>
    <t>410-841-3612</t>
  </si>
  <si>
    <t>McCray</t>
  </si>
  <si>
    <t>(504) 568-8346</t>
  </si>
  <si>
    <t>2010†</t>
  </si>
  <si>
    <t>410-841-3600</t>
  </si>
  <si>
    <t>Bodi</t>
  </si>
  <si>
    <t>Malcolm</t>
  </si>
  <si>
    <t>Augustine</t>
  </si>
  <si>
    <t>Theriault</t>
  </si>
  <si>
    <t>Dutch</t>
  </si>
  <si>
    <t>Ruppersberger</t>
  </si>
  <si>
    <t>Tim.Theriault@legislature.maine.gov</t>
  </si>
  <si>
    <t>Sarbanes</t>
  </si>
  <si>
    <t>Steny</t>
  </si>
  <si>
    <t>Hoyer</t>
  </si>
  <si>
    <t>Throne</t>
  </si>
  <si>
    <t>Elijah</t>
  </si>
  <si>
    <t>Raskin</t>
  </si>
  <si>
    <t>Judiciary C</t>
  </si>
  <si>
    <t>VanHollen</t>
  </si>
  <si>
    <t>China</t>
  </si>
  <si>
    <t>Frosh</t>
  </si>
  <si>
    <t>Commerce, Consumer Protection, and International Affairs (Vice-Chairman)</t>
  </si>
  <si>
    <t>Bradstreet</t>
  </si>
  <si>
    <t>Dick.Bradstreet@legislature.maine.gov</t>
  </si>
  <si>
    <t>(225) 272-1324</t>
  </si>
  <si>
    <t>Vassalboro</t>
  </si>
  <si>
    <t>Baton Rouge</t>
  </si>
  <si>
    <t>Hickman</t>
  </si>
  <si>
    <t>Agriculture, Conservation, Forestry (chair)</t>
  </si>
  <si>
    <t>Craig.Hickman@legislature.maine.gov</t>
  </si>
  <si>
    <t>Winthrop</t>
  </si>
  <si>
    <t>Labor &amp; Industrial Relations (Vice-Chairman)</t>
  </si>
  <si>
    <t>Ackley</t>
  </si>
  <si>
    <t>Ind[note 1]</t>
  </si>
  <si>
    <t>(504) 302-3682</t>
  </si>
  <si>
    <t>Kent.Ackley@legislature.maine.gov</t>
  </si>
  <si>
    <t>Alario</t>
  </si>
  <si>
    <t>Executive</t>
  </si>
  <si>
    <t>Monmouth</t>
  </si>
  <si>
    <t>The President of the Senate is an ex-officio non-voting member of all standing committees.</t>
  </si>
  <si>
    <t>(504) 340-2221</t>
  </si>
  <si>
    <t>Thom</t>
  </si>
  <si>
    <t>Westwego</t>
  </si>
  <si>
    <t>Hartnett</t>
  </si>
  <si>
    <t>Thomas.Harnett@legislature.maine.gov</t>
  </si>
  <si>
    <t>Conrad</t>
  </si>
  <si>
    <t>Gardiner</t>
  </si>
  <si>
    <t>Appel</t>
  </si>
  <si>
    <t>Environmental Quality (Vice-Chairman)</t>
  </si>
  <si>
    <t>Criminal Justice and Public Safety (Chair)</t>
  </si>
  <si>
    <t>Charlotte.Warren@legislature.maine.gov</t>
  </si>
  <si>
    <t>Hallowell</t>
  </si>
  <si>
    <t>(504) 838-5550</t>
  </si>
  <si>
    <t>Metairie</t>
  </si>
  <si>
    <t>Martiny</t>
  </si>
  <si>
    <t>Doore</t>
  </si>
  <si>
    <t>Donna.Doore@legislature.maine.gov</t>
  </si>
  <si>
    <t>Commerce, Consumer Protection, and International Affairs(Chairman)</t>
  </si>
  <si>
    <t>Augusta</t>
  </si>
  <si>
    <t>Education and Culture</t>
  </si>
  <si>
    <t>Justin.Fecteau@legislature.maine.gov</t>
  </si>
  <si>
    <t>(504) 834-7676</t>
  </si>
  <si>
    <t>Hanley</t>
  </si>
  <si>
    <t>Energy, Utilities, Technology</t>
  </si>
  <si>
    <t>Jeff.Hanley@legislature.maine.gov</t>
  </si>
  <si>
    <t>Donahue</t>
  </si>
  <si>
    <t>Mandeville</t>
  </si>
  <si>
    <t>Pittston</t>
  </si>
  <si>
    <t>Chloe</t>
  </si>
  <si>
    <t>Maxmin</t>
  </si>
  <si>
    <t>Agriculture, Conservation, and Forestry</t>
  </si>
  <si>
    <t>Chloe.Maxmin@legislature.maine.gov</t>
  </si>
  <si>
    <t>Chelsea</t>
  </si>
  <si>
    <t>Mizell</t>
  </si>
  <si>
    <t>Franklinton</t>
  </si>
  <si>
    <t>Holly.Stover@legislature.maine.gov</t>
  </si>
  <si>
    <t>Boothbay Harbor</t>
  </si>
  <si>
    <t>Erdey</t>
  </si>
  <si>
    <t>Michael.Devin@legislature.maine.gov</t>
  </si>
  <si>
    <t>Newcastle</t>
  </si>
  <si>
    <t>Yvonne</t>
  </si>
  <si>
    <t>Evangelos</t>
  </si>
  <si>
    <t>Jeffrey.Evangelos@legislature.maine.gov</t>
  </si>
  <si>
    <t>Waldoboro</t>
  </si>
  <si>
    <t>Dorsey-Colomb</t>
  </si>
  <si>
    <t>Barrow</t>
  </si>
  <si>
    <t>Matlack</t>
  </si>
  <si>
    <t>Ann.Matlack@legislature.maine.gov</t>
  </si>
  <si>
    <t>South Thomaston</t>
  </si>
  <si>
    <t>Claitor</t>
  </si>
  <si>
    <t>2009†</t>
  </si>
  <si>
    <t>Beebe-Center</t>
  </si>
  <si>
    <t xml:space="preserve">Criminal Justice and Public Safety </t>
  </si>
  <si>
    <t>Engrossed bills (chair)</t>
  </si>
  <si>
    <t>Pinny.Beebe-Center@legislature.maine.gov</t>
  </si>
  <si>
    <t>Rockland</t>
  </si>
  <si>
    <t>Port Allen</t>
  </si>
  <si>
    <t>Doudera</t>
  </si>
  <si>
    <t>Victoria.Doudera@legislature.maine.gov</t>
  </si>
  <si>
    <t>Rockport</t>
  </si>
  <si>
    <t>Whelan</t>
  </si>
  <si>
    <t>Pluecker</t>
  </si>
  <si>
    <t>Agriculture, Conservation, Forestry</t>
  </si>
  <si>
    <t>Bill.Pluecker@legislature.maine.gov</t>
  </si>
  <si>
    <t>Lambert</t>
  </si>
  <si>
    <t>Prairieville</t>
  </si>
  <si>
    <t>Staney</t>
  </si>
  <si>
    <t>Zeigler</t>
  </si>
  <si>
    <t>StanleyPaige.Zeigler@legislature.maine.gov</t>
  </si>
  <si>
    <t>Montville</t>
  </si>
  <si>
    <t>Crocker</t>
  </si>
  <si>
    <t>Smith,</t>
  </si>
  <si>
    <t>Dodge</t>
  </si>
  <si>
    <t>Jan.Dodge@legislature.maine.gov</t>
  </si>
  <si>
    <t>Norco</t>
  </si>
  <si>
    <t>Belfast</t>
  </si>
  <si>
    <t>Vieira</t>
  </si>
  <si>
    <t>Norby</t>
  </si>
  <si>
    <t>Cuddy</t>
  </si>
  <si>
    <t>Scott.Cuddy@legislature.maine.gov</t>
  </si>
  <si>
    <t>Chabert</t>
  </si>
  <si>
    <t>Peake</t>
  </si>
  <si>
    <t>Houma</t>
  </si>
  <si>
    <t>Searsport</t>
  </si>
  <si>
    <t>MaryAnne</t>
  </si>
  <si>
    <t>MaryAnne.Kinney@legislature.maine.gov</t>
  </si>
  <si>
    <t>Hunt</t>
  </si>
  <si>
    <t>Knox</t>
  </si>
  <si>
    <t>Allain</t>
  </si>
  <si>
    <t>Costain</t>
  </si>
  <si>
    <t>Dan.Costain@legislature.maine.gov</t>
  </si>
  <si>
    <t>Fernandes</t>
  </si>
  <si>
    <t>Newport</t>
  </si>
  <si>
    <t>Haggan</t>
  </si>
  <si>
    <t>2011†</t>
  </si>
  <si>
    <t>New Iberia</t>
  </si>
  <si>
    <t>David.Haggan@legislature.maine.gov</t>
  </si>
  <si>
    <t>Hampden</t>
  </si>
  <si>
    <t>Page</t>
  </si>
  <si>
    <t>Tricia</t>
  </si>
  <si>
    <t>Abigail</t>
  </si>
  <si>
    <t>Abigail.Griffin@legislature.maine.gov</t>
  </si>
  <si>
    <t>Cortez</t>
  </si>
  <si>
    <t>Farley-Bouvier</t>
  </si>
  <si>
    <t>Glenburn</t>
  </si>
  <si>
    <t>Pignatelli</t>
  </si>
  <si>
    <t>Barrows</t>
  </si>
  <si>
    <t>Boudreaux</t>
  </si>
  <si>
    <t>Roger.Reed@legislature.maine.gov</t>
  </si>
  <si>
    <t>Carmel</t>
  </si>
  <si>
    <t>Shaunna</t>
  </si>
  <si>
    <t>Energy, Utilities, and Technology</t>
  </si>
  <si>
    <t>Steven.Foster@legislature.maine.gov</t>
  </si>
  <si>
    <t>O'Connell</t>
  </si>
  <si>
    <t>Morrish</t>
  </si>
  <si>
    <t>Howitt</t>
  </si>
  <si>
    <t>Stetkis</t>
  </si>
  <si>
    <t>Joel.Stetkis@legislature.maine.gov</t>
  </si>
  <si>
    <t>Canaan</t>
  </si>
  <si>
    <t>Carole</t>
  </si>
  <si>
    <t>Kaplan</t>
  </si>
  <si>
    <t>Fiola</t>
  </si>
  <si>
    <t>Strom</t>
  </si>
  <si>
    <t>Scott.Strom@legislature.maine.gov</t>
  </si>
  <si>
    <t>Silvia</t>
  </si>
  <si>
    <t>Pittsfield</t>
  </si>
  <si>
    <t>Schmid</t>
  </si>
  <si>
    <t>Johns</t>
  </si>
  <si>
    <t>Lake Charles</t>
  </si>
  <si>
    <t>Markey</t>
  </si>
  <si>
    <t>Betty.Austin@legislature.maine.gov</t>
  </si>
  <si>
    <t>Straus</t>
  </si>
  <si>
    <t>Skowhegan</t>
  </si>
  <si>
    <t>Rudnicki</t>
  </si>
  <si>
    <t>Shelley.Rudnicki@legislature.maine.gov</t>
  </si>
  <si>
    <t>Koczera</t>
  </si>
  <si>
    <t>Keiko</t>
  </si>
  <si>
    <t>Orrall</t>
  </si>
  <si>
    <t>Bruce.White@legislature.maine.gov</t>
  </si>
  <si>
    <t>Waterville</t>
  </si>
  <si>
    <t>Cabral</t>
  </si>
  <si>
    <t>LaFleur</t>
  </si>
  <si>
    <t>Poirier</t>
  </si>
  <si>
    <t>Ville Platte</t>
  </si>
  <si>
    <t>Colleen.Madigan@legislature.maine.gov</t>
  </si>
  <si>
    <t>Kelcourse</t>
  </si>
  <si>
    <t>Philip.Curtis@legislature.maine.gov</t>
  </si>
  <si>
    <t>Mirra</t>
  </si>
  <si>
    <t>2018 (2004–2012)</t>
  </si>
  <si>
    <t>Norridgewock</t>
  </si>
  <si>
    <t>Luneau</t>
  </si>
  <si>
    <t>Alexandria</t>
  </si>
  <si>
    <t>Skolfield</t>
  </si>
  <si>
    <t>Thomas.Skolfield@legislature.maine.gov</t>
  </si>
  <si>
    <t>Ann-Margaret</t>
  </si>
  <si>
    <t>Weld</t>
  </si>
  <si>
    <t>Ferrante</t>
  </si>
  <si>
    <t>Leesville</t>
  </si>
  <si>
    <t>H..Landry@legislature.maine.gov</t>
  </si>
  <si>
    <t>Farmington</t>
  </si>
  <si>
    <t>Parisella</t>
  </si>
  <si>
    <t>Randall.Hall@legislature.maine.gov</t>
  </si>
  <si>
    <t>Josanne</t>
  </si>
  <si>
    <t>Dolloff</t>
  </si>
  <si>
    <t>Winnfield</t>
  </si>
  <si>
    <t>Josanne.Dolloff@legislature.maine.gov</t>
  </si>
  <si>
    <t>Ehrlich</t>
  </si>
  <si>
    <t>Rumford</t>
  </si>
  <si>
    <t>Wong</t>
  </si>
  <si>
    <t>Pickett</t>
  </si>
  <si>
    <t>Richard.Pickett@legislature.maine.gov</t>
  </si>
  <si>
    <t>Columbia</t>
  </si>
  <si>
    <t>Dixfield</t>
  </si>
  <si>
    <t>Cahill</t>
  </si>
  <si>
    <t>Walsworth</t>
  </si>
  <si>
    <t>West Monroe</t>
  </si>
  <si>
    <t>Frances.Head@legislature.maine.gov</t>
  </si>
  <si>
    <t>Delhi</t>
  </si>
  <si>
    <t>Speliotis</t>
  </si>
  <si>
    <t>Grignon</t>
  </si>
  <si>
    <t>Chad.Grignon@legislature.maine.gov</t>
  </si>
  <si>
    <t>Athens</t>
  </si>
  <si>
    <t>DiZoglio</t>
  </si>
  <si>
    <t>Fannin</t>
  </si>
  <si>
    <t>Juana</t>
  </si>
  <si>
    <t>Stearns</t>
  </si>
  <si>
    <t>Matias</t>
  </si>
  <si>
    <t>Paul.Stearns@legislature.maine.gov</t>
  </si>
  <si>
    <t>Guilford</t>
  </si>
  <si>
    <t>Gatti</t>
  </si>
  <si>
    <t>Bossier City</t>
  </si>
  <si>
    <t>Norman</t>
  </si>
  <si>
    <t>Higgins</t>
  </si>
  <si>
    <t>Norman.Higgins@legislature.maine.gov</t>
  </si>
  <si>
    <t>Peacock</t>
  </si>
  <si>
    <t>Dover-Foxcroft</t>
  </si>
  <si>
    <t>Kulik</t>
  </si>
  <si>
    <t>Susannah</t>
  </si>
  <si>
    <t>Drinkwater</t>
  </si>
  <si>
    <t>Whipps</t>
  </si>
  <si>
    <t>Gary.Drinkwater@legislature.maine.gov</t>
  </si>
  <si>
    <t>Hudson</t>
  </si>
  <si>
    <t>Milkovich</t>
  </si>
  <si>
    <t>Keithville</t>
  </si>
  <si>
    <t>Dunphy</t>
  </si>
  <si>
    <t>Michelle.Dunphy@legislature.maine.gov</t>
  </si>
  <si>
    <t>Smola</t>
  </si>
  <si>
    <t>Old Town</t>
  </si>
  <si>
    <t>Ashe</t>
  </si>
  <si>
    <t>Shreveport</t>
  </si>
  <si>
    <t>Tipping-Spitz</t>
  </si>
  <si>
    <t>Ryan.Tipping@legislature.maine.gov</t>
  </si>
  <si>
    <t>Orono</t>
  </si>
  <si>
    <t>Boldyga</t>
  </si>
  <si>
    <t>Vacant</t>
  </si>
  <si>
    <t>Velis</t>
  </si>
  <si>
    <t>Vega</t>
  </si>
  <si>
    <t>Finn</t>
  </si>
  <si>
    <t>Bangor</t>
  </si>
  <si>
    <t>Scalise</t>
  </si>
  <si>
    <t>Petrolati</t>
  </si>
  <si>
    <t>ralph</t>
  </si>
  <si>
    <t>Kornfield</t>
  </si>
  <si>
    <t>Education and Culture (chair)</t>
  </si>
  <si>
    <t>Victoria.Kornfield@legislature.maine.gov</t>
  </si>
  <si>
    <t>Wagner</t>
  </si>
  <si>
    <t>Garret</t>
  </si>
  <si>
    <t>Tosado</t>
  </si>
  <si>
    <t>Schneck</t>
  </si>
  <si>
    <t>John.Schneck@legislature.maine.gov</t>
  </si>
  <si>
    <t>Angelo</t>
  </si>
  <si>
    <t>Puppolo</t>
  </si>
  <si>
    <t>Scibak</t>
  </si>
  <si>
    <t>Cardone</t>
  </si>
  <si>
    <t>Barbara.Cardone@legislature.maine.gov</t>
  </si>
  <si>
    <t>Goldstein-Rose</t>
  </si>
  <si>
    <t>Verow</t>
  </si>
  <si>
    <t>State and local gov</t>
  </si>
  <si>
    <t>Arthur.Verow@legislature.maine.gov</t>
  </si>
  <si>
    <t>2018 (2012–2016)</t>
  </si>
  <si>
    <t>Brewer</t>
  </si>
  <si>
    <t>Arciero</t>
  </si>
  <si>
    <t>Lyford</t>
  </si>
  <si>
    <t>Environment and Natural resources</t>
  </si>
  <si>
    <t>Peter.Lyford@legislature.maine.gov</t>
  </si>
  <si>
    <t>Eddington</t>
  </si>
  <si>
    <t>Danielle</t>
  </si>
  <si>
    <t>Gregoire</t>
  </si>
  <si>
    <t>Dick.Campbell@legislature.maine.gov</t>
  </si>
  <si>
    <t>Orrington</t>
  </si>
  <si>
    <t>Linsky</t>
  </si>
  <si>
    <t>Hutchins</t>
  </si>
  <si>
    <t>Sherman.Hutchins@legislature.maine.gov</t>
  </si>
  <si>
    <t>Dedham</t>
  </si>
  <si>
    <t>Grohoski</t>
  </si>
  <si>
    <t>Nicole.Grohoski@legislature.maine.gov</t>
  </si>
  <si>
    <t>Ellsworth</t>
  </si>
  <si>
    <t>Pebsworth</t>
  </si>
  <si>
    <t>Sarah.Pebworth@legislature.maine.gov</t>
  </si>
  <si>
    <t>Brooksville</t>
  </si>
  <si>
    <t>Dykema</t>
  </si>
  <si>
    <t>Genevieve</t>
  </si>
  <si>
    <t>McDonald</t>
  </si>
  <si>
    <t>Genevieve.McDonald@legislature.maine.gov</t>
  </si>
  <si>
    <t>Deer Isle</t>
  </si>
  <si>
    <t>Hubbell</t>
  </si>
  <si>
    <t>Veterans and Legal affairs</t>
  </si>
  <si>
    <t>Brian.Hubbell@legislature.maine.gov</t>
  </si>
  <si>
    <t>Lawn</t>
  </si>
  <si>
    <t>Bar Harbor</t>
  </si>
  <si>
    <t>Khan</t>
  </si>
  <si>
    <t>Faulkingham</t>
  </si>
  <si>
    <t>William.Faulkingham@legislature.maine.gov</t>
  </si>
  <si>
    <t>Hancock</t>
  </si>
  <si>
    <t>Balser</t>
  </si>
  <si>
    <t>Carmine</t>
  </si>
  <si>
    <t>Gentile</t>
  </si>
  <si>
    <t>Lawrence.Lockman@legislature.maine.gov</t>
  </si>
  <si>
    <t>Amherst</t>
  </si>
  <si>
    <t>Kaufman</t>
  </si>
  <si>
    <t>Golden</t>
  </si>
  <si>
    <t>Nangle</t>
  </si>
  <si>
    <t>Rady</t>
  </si>
  <si>
    <t>Robert.Alley@legislature.maine.gov</t>
  </si>
  <si>
    <t>Mom</t>
  </si>
  <si>
    <t>Beals</t>
  </si>
  <si>
    <t>Tuell</t>
  </si>
  <si>
    <t>marine resources</t>
  </si>
  <si>
    <t>Will.Tuell@legislature.maine.gov</t>
  </si>
  <si>
    <t>Lombardo</t>
  </si>
  <si>
    <t>East Machias</t>
  </si>
  <si>
    <t>Garballey</t>
  </si>
  <si>
    <t>Anne.Perry@legislature.maine.gov</t>
  </si>
  <si>
    <t>Marjorie</t>
  </si>
  <si>
    <t>Calais</t>
  </si>
  <si>
    <t>Decker</t>
  </si>
  <si>
    <t>Javner</t>
  </si>
  <si>
    <t>Marine resources</t>
  </si>
  <si>
    <t>Kathy.Javner@legislature.maine.gov</t>
  </si>
  <si>
    <t>Connolly</t>
  </si>
  <si>
    <t>Burlington</t>
  </si>
  <si>
    <t>Provost</t>
  </si>
  <si>
    <t>Hanington</t>
  </si>
  <si>
    <t>Sheldon.Hanington@legislature.maine.gov</t>
  </si>
  <si>
    <t>McGonagle</t>
  </si>
  <si>
    <t>Hecht</t>
  </si>
  <si>
    <t>Dwyer</t>
  </si>
  <si>
    <t>Stephen.Stanley@legislature.maine.gov</t>
  </si>
  <si>
    <t>Day</t>
  </si>
  <si>
    <t>Medway</t>
  </si>
  <si>
    <t>Brodeur</t>
  </si>
  <si>
    <t>Swallow</t>
  </si>
  <si>
    <t>Health Coverage, Insurance, Financial Services</t>
  </si>
  <si>
    <t>Gregory.Swallow@legislature.maine.gov</t>
  </si>
  <si>
    <t>Ultrino</t>
  </si>
  <si>
    <t>Hodgdon</t>
  </si>
  <si>
    <t>Barber</t>
  </si>
  <si>
    <t>Donato</t>
  </si>
  <si>
    <t>Johansen</t>
  </si>
  <si>
    <t>Chris.Johansen@legislature.maine.gov</t>
  </si>
  <si>
    <t>Monticello</t>
  </si>
  <si>
    <t>Garry</t>
  </si>
  <si>
    <t>Dustin.White@legislature.maine.gov</t>
  </si>
  <si>
    <t>Ayers</t>
  </si>
  <si>
    <t>Tackey</t>
  </si>
  <si>
    <t>Chan</t>
  </si>
  <si>
    <t>Assistant Republican Leader</t>
  </si>
  <si>
    <t>Trey.Stewart@legislature.maine.gov</t>
  </si>
  <si>
    <t>Presque Isle</t>
  </si>
  <si>
    <t>Cusack</t>
  </si>
  <si>
    <t>Galvin</t>
  </si>
  <si>
    <t>McCrea</t>
  </si>
  <si>
    <t>education and culture</t>
  </si>
  <si>
    <t>David.McCrea@legislature.maine.gov</t>
  </si>
  <si>
    <t>Driscoll</t>
  </si>
  <si>
    <t>Fort Fairfield</t>
  </si>
  <si>
    <t>Kafka</t>
  </si>
  <si>
    <t>DeVeau</t>
  </si>
  <si>
    <t>John.DeVeau@legislature.maine.gov</t>
  </si>
  <si>
    <t>Dooley</t>
  </si>
  <si>
    <t>Caribou</t>
  </si>
  <si>
    <t>McMurtry</t>
  </si>
  <si>
    <t xml:space="preserve">Inland Fisheries </t>
  </si>
  <si>
    <t>State and local gov (chair)</t>
  </si>
  <si>
    <t>Danny.Martin@legislature.maine.gov</t>
  </si>
  <si>
    <t>Garlick</t>
  </si>
  <si>
    <t>Peisch</t>
  </si>
  <si>
    <t>Appropriations and Financial affairs</t>
  </si>
  <si>
    <t>John.Martin@legislature.maine.gov</t>
  </si>
  <si>
    <t>Smizik</t>
  </si>
  <si>
    <t>2014 (1964–1994; 2008–2012)</t>
  </si>
  <si>
    <t>Eagle Lake</t>
  </si>
  <si>
    <t>Muratore</t>
  </si>
  <si>
    <t>Gifford</t>
  </si>
  <si>
    <t>Meschino</t>
  </si>
  <si>
    <t>(207) 287-1515</t>
  </si>
  <si>
    <t>Troy.Jackson@legislature.maine.gov</t>
  </si>
  <si>
    <t>DeCoste</t>
  </si>
  <si>
    <t>2016 (2008–2014)</t>
  </si>
  <si>
    <t>Aroostook</t>
  </si>
  <si>
    <t>Cutler</t>
  </si>
  <si>
    <t>Diehl</t>
  </si>
  <si>
    <t>Mike.Carpenter@legislature.maine.gov</t>
  </si>
  <si>
    <t>D'Emilia</t>
  </si>
  <si>
    <t>Gerry</t>
  </si>
  <si>
    <t>2016 (1976–1986)</t>
  </si>
  <si>
    <t>Bradlee</t>
  </si>
  <si>
    <t>Farrin</t>
  </si>
  <si>
    <t>(207) 287-1505</t>
  </si>
  <si>
    <t>Brad.Farrin@legislature.maine.gov</t>
  </si>
  <si>
    <t>DuBois</t>
  </si>
  <si>
    <t>Somerset</t>
  </si>
  <si>
    <t>Cronin</t>
  </si>
  <si>
    <t>Adrian</t>
  </si>
  <si>
    <t>Madaro</t>
  </si>
  <si>
    <t>Inland Fisheries and Wildlife</t>
  </si>
  <si>
    <t>State and Local Government</t>
  </si>
  <si>
    <t>Government Oversight Committee</t>
  </si>
  <si>
    <t>(207) 287 - 1505</t>
  </si>
  <si>
    <t>Paul.Davis@legislature.maine.gov</t>
  </si>
  <si>
    <t>Piscataquis</t>
  </si>
  <si>
    <t>Michlewitz</t>
  </si>
  <si>
    <t>Evandro</t>
  </si>
  <si>
    <t>Carvalho</t>
  </si>
  <si>
    <t>Dill</t>
  </si>
  <si>
    <t>Agriculture, Conservation and Forestry (Chair)</t>
  </si>
  <si>
    <t>Inland Fisheries and Wildlife (Chair)</t>
  </si>
  <si>
    <t>James.Dill@legislature.maine.gov</t>
  </si>
  <si>
    <t>Chynah</t>
  </si>
  <si>
    <t>Penobscot</t>
  </si>
  <si>
    <t>Marianne</t>
  </si>
  <si>
    <t>Marianne.Moore@legislature.maine.gov</t>
  </si>
  <si>
    <t>Livingstone</t>
  </si>
  <si>
    <t>Luchini</t>
  </si>
  <si>
    <t>Louis.Luchini@legislature.maine.gov</t>
  </si>
  <si>
    <t>Coppinger</t>
  </si>
  <si>
    <t>Malia</t>
  </si>
  <si>
    <t>Cullinane</t>
  </si>
  <si>
    <t>Rosen</t>
  </si>
  <si>
    <t>Kimberley.Rosen@legislature.maine.gov</t>
  </si>
  <si>
    <t>Geoffrey</t>
  </si>
  <si>
    <t>Gratwick</t>
  </si>
  <si>
    <t>Geoffrey.Gratwick@legislature.maine.gov</t>
  </si>
  <si>
    <t>Scaccia</t>
  </si>
  <si>
    <t>Sánchez</t>
  </si>
  <si>
    <t>Stacy</t>
  </si>
  <si>
    <t>Guerin</t>
  </si>
  <si>
    <t>Stacey.Guerin@legislature.maine.gov</t>
  </si>
  <si>
    <t>RoseLee</t>
  </si>
  <si>
    <t>Herbig</t>
  </si>
  <si>
    <t>Erin.Herbig@legislature.maine.gov</t>
  </si>
  <si>
    <t>Waldo</t>
  </si>
  <si>
    <t>Honan</t>
  </si>
  <si>
    <t>Miramant</t>
  </si>
  <si>
    <t>David.Miramant@legislature.maine.gov</t>
  </si>
  <si>
    <t>DeLeo</t>
  </si>
  <si>
    <t>Dow</t>
  </si>
  <si>
    <t>Senate Republican Leader</t>
  </si>
  <si>
    <t>Dana.Dow@legislature.maine.gov</t>
  </si>
  <si>
    <t>Zlotnik</t>
  </si>
  <si>
    <t>2016 (2004–2008)</t>
  </si>
  <si>
    <t>Tenisha</t>
  </si>
  <si>
    <t>Stephan</t>
  </si>
  <si>
    <t>Shenna</t>
  </si>
  <si>
    <t>Yancey</t>
  </si>
  <si>
    <t>Hay</t>
  </si>
  <si>
    <t>517-373-0154</t>
  </si>
  <si>
    <t>Bellows</t>
  </si>
  <si>
    <t>Labor and Housing (Chair)</t>
  </si>
  <si>
    <t>Shenna.Bellows@legislature.maine.gov</t>
  </si>
  <si>
    <t>Kennebec</t>
  </si>
  <si>
    <t>Berthiaume</t>
  </si>
  <si>
    <t>Pouloit</t>
  </si>
  <si>
    <t>Matt.Pouliot@legislature.maine.gov</t>
  </si>
  <si>
    <t>Bettie</t>
  </si>
  <si>
    <t>Durant</t>
  </si>
  <si>
    <t>Frost</t>
  </si>
  <si>
    <t>517-373-1776</t>
  </si>
  <si>
    <t>Cyrway</t>
  </si>
  <si>
    <t>Scott.Cyrway@legislature.maine.gov</t>
  </si>
  <si>
    <t>Kuros</t>
  </si>
  <si>
    <t>Russell.Black@legislature.maine.gov</t>
  </si>
  <si>
    <t>517-373-0144</t>
  </si>
  <si>
    <t>Isaac</t>
  </si>
  <si>
    <t>Muradian</t>
  </si>
  <si>
    <t>Tyrone</t>
  </si>
  <si>
    <t>LaTanya</t>
  </si>
  <si>
    <t>517-373-2276</t>
  </si>
  <si>
    <t>Gay-Dagnogo</t>
  </si>
  <si>
    <t>517-373-3815</t>
  </si>
  <si>
    <t>Whitsett</t>
  </si>
  <si>
    <t>Keim</t>
  </si>
  <si>
    <t>517-373-0857</t>
  </si>
  <si>
    <t>Lisa.Keim@legislature.maine.gov</t>
  </si>
  <si>
    <t>Jewell</t>
  </si>
  <si>
    <t>517-373-0849</t>
  </si>
  <si>
    <t>Murray</t>
  </si>
  <si>
    <t>Garza</t>
  </si>
  <si>
    <t>Hannah</t>
  </si>
  <si>
    <t>Liberati</t>
  </si>
  <si>
    <t>517-373-0845</t>
  </si>
  <si>
    <t>Clemente</t>
  </si>
  <si>
    <t>Hamper</t>
  </si>
  <si>
    <t>517-373-0140</t>
  </si>
  <si>
    <t>James.Hamper@legislature.maine.gov</t>
  </si>
  <si>
    <t>Kane</t>
  </si>
  <si>
    <t>Abdullah</t>
  </si>
  <si>
    <t>Hammoud</t>
  </si>
  <si>
    <t>517-373-0847</t>
  </si>
  <si>
    <t>Claxton</t>
  </si>
  <si>
    <t>Ned.Claxton@legislature.maine.gov</t>
  </si>
  <si>
    <t>Androscoggin</t>
  </si>
  <si>
    <t>Naughton</t>
  </si>
  <si>
    <t>Bellino</t>
  </si>
  <si>
    <t>Libby</t>
  </si>
  <si>
    <t>Senate Democratic Leader</t>
  </si>
  <si>
    <t>517-373-1530</t>
  </si>
  <si>
    <t>joesphbellino@house.mi.gov</t>
  </si>
  <si>
    <t>Nathan.Libby@legislature.maine.gov</t>
  </si>
  <si>
    <t>Mahoney</t>
  </si>
  <si>
    <t>Hertel</t>
  </si>
  <si>
    <t>517-373-1180</t>
  </si>
  <si>
    <t>Timberlake</t>
  </si>
  <si>
    <t>Assistant Senate Republican Leade</t>
  </si>
  <si>
    <t>Phutsky</t>
  </si>
  <si>
    <t>O'Day</t>
  </si>
  <si>
    <t>Kolezar</t>
  </si>
  <si>
    <t>Jeffrey.Timberlake@legislature.maine.gov</t>
  </si>
  <si>
    <t>Kristy</t>
  </si>
  <si>
    <t>Pagan</t>
  </si>
  <si>
    <t>517-373-2575</t>
  </si>
  <si>
    <t>Vitelli</t>
  </si>
  <si>
    <t>Keefe</t>
  </si>
  <si>
    <t>Assistant Senate Democratic Leader</t>
  </si>
  <si>
    <t>Chirkun</t>
  </si>
  <si>
    <t>517-373-0854</t>
  </si>
  <si>
    <t>Darrin</t>
  </si>
  <si>
    <t>Eloise.Vitelli@legislature.maine.gov</t>
  </si>
  <si>
    <t>Camilleri</t>
  </si>
  <si>
    <t>517-373-0855</t>
  </si>
  <si>
    <t>2016 (2013–2014)</t>
  </si>
  <si>
    <t>Sagadahoc</t>
  </si>
  <si>
    <t>517-373-0113</t>
  </si>
  <si>
    <t>Campanale</t>
  </si>
  <si>
    <t>Everett</t>
  </si>
  <si>
    <t>Brownie.Carson@legislature.maine.gov</t>
  </si>
  <si>
    <t>Ellison</t>
  </si>
  <si>
    <t>517-373-3818</t>
  </si>
  <si>
    <t>McKenna</t>
  </si>
  <si>
    <t>Wittenberg</t>
  </si>
  <si>
    <t>517-373-0478</t>
  </si>
  <si>
    <t>Farrington</t>
  </si>
  <si>
    <t>Deputy Majority Whip</t>
  </si>
  <si>
    <t>517-373-7768</t>
  </si>
  <si>
    <t>Breen</t>
  </si>
  <si>
    <t>Cathy.Breen@legislature.maine.gov</t>
  </si>
  <si>
    <t>Sowerby</t>
  </si>
  <si>
    <t>517-373-0159</t>
  </si>
  <si>
    <t>billsowerby@house.mi.gov</t>
  </si>
  <si>
    <t>Hinds</t>
  </si>
  <si>
    <t>2014[2]</t>
  </si>
  <si>
    <t>Associate Speaker Pro Temp</t>
  </si>
  <si>
    <t>517-373-8931</t>
  </si>
  <si>
    <t>Yaroch</t>
  </si>
  <si>
    <t>517-373-0820</t>
  </si>
  <si>
    <t>jeffyaroch@house.mi.gov</t>
  </si>
  <si>
    <t>Neeley</t>
  </si>
  <si>
    <t>517-373-8808</t>
  </si>
  <si>
    <t>Kyra</t>
  </si>
  <si>
    <t>Feeney</t>
  </si>
  <si>
    <t>Wozniak</t>
  </si>
  <si>
    <t>Agriculture, Conservation and Forestry</t>
  </si>
  <si>
    <t>(207) 287 - 1515</t>
  </si>
  <si>
    <t>William.Diamond@legislature.maine.gov</t>
  </si>
  <si>
    <t>Greig</t>
  </si>
  <si>
    <t>House Minority Leader</t>
  </si>
  <si>
    <t>517-373-1793</t>
  </si>
  <si>
    <t>2014; (1982–1986; 2004–2012)</t>
  </si>
  <si>
    <t>517-373-0827</t>
  </si>
  <si>
    <t>Chipman</t>
  </si>
  <si>
    <t>Taxation (Chair)</t>
  </si>
  <si>
    <t>Montigny</t>
  </si>
  <si>
    <t>Ben.Chipman@legislature.maine.gov</t>
  </si>
  <si>
    <t>Mari</t>
  </si>
  <si>
    <t>Manoogian</t>
  </si>
  <si>
    <t>Padma</t>
  </si>
  <si>
    <t>Kuppa</t>
  </si>
  <si>
    <t>Sanborn</t>
  </si>
  <si>
    <t>Health Coverage, Insurance and Financial Services (Chair)</t>
  </si>
  <si>
    <t>Bollin</t>
  </si>
  <si>
    <t>Heather.Sanborn@legislature.maine.gov</t>
  </si>
  <si>
    <t>Cyr</t>
  </si>
  <si>
    <t>Maddock</t>
  </si>
  <si>
    <t>Millett</t>
  </si>
  <si>
    <t>Education and Cultural Affairs (Chair)</t>
  </si>
  <si>
    <t>Assistant Majority Floor Leader</t>
  </si>
  <si>
    <t>517-373-1773</t>
  </si>
  <si>
    <t>Rebecca.Millett@legislature.maine.gov</t>
  </si>
  <si>
    <t>Ives</t>
  </si>
  <si>
    <t>517-373-1798</t>
  </si>
  <si>
    <t>Linda.Sanborn@legislature.maine.gov</t>
  </si>
  <si>
    <t>Lovely</t>
  </si>
  <si>
    <t>Chenette</t>
  </si>
  <si>
    <t>Government Oversight Committee (Chair)</t>
  </si>
  <si>
    <t>Justin.Chenette@legislature.maine.gov</t>
  </si>
  <si>
    <t>Vaupel</t>
  </si>
  <si>
    <t>Brendan</t>
  </si>
  <si>
    <t>517-373-8835</t>
  </si>
  <si>
    <t>hankvaupel@house.mi.gov</t>
  </si>
  <si>
    <t>Sheryl</t>
  </si>
  <si>
    <t>Crighton</t>
  </si>
  <si>
    <t>D.Cherry</t>
  </si>
  <si>
    <t>Deschambault</t>
  </si>
  <si>
    <t>Sneller</t>
  </si>
  <si>
    <t>517-373-3906</t>
  </si>
  <si>
    <t>Susan.Deschambault@legislature.maine.gov</t>
  </si>
  <si>
    <t>Mueller</t>
  </si>
  <si>
    <t>Lasinski</t>
  </si>
  <si>
    <t>517-373-0828</t>
  </si>
  <si>
    <t>Yousef</t>
  </si>
  <si>
    <t>Rabhi</t>
  </si>
  <si>
    <t xml:space="preserve">Minority Floor Leader </t>
  </si>
  <si>
    <t>517-373-2577</t>
  </si>
  <si>
    <t>Woodsome</t>
  </si>
  <si>
    <t>David.Woodsome@legislature.maine.gov</t>
  </si>
  <si>
    <t>517-373-1771</t>
  </si>
  <si>
    <t>L'Italien</t>
  </si>
  <si>
    <t>Rebekah</t>
  </si>
  <si>
    <t>Robert.Foley@legislature.maine.gov</t>
  </si>
  <si>
    <t>Sheppard</t>
  </si>
  <si>
    <t>Energy, Utilities and Technology (Chair)</t>
  </si>
  <si>
    <t xml:space="preserve">Majority Whip </t>
  </si>
  <si>
    <t>517-373-2617</t>
  </si>
  <si>
    <t>Mark.Lawrence@legislature.maine.gov</t>
  </si>
  <si>
    <t>Bronna</t>
  </si>
  <si>
    <t>Kahle</t>
  </si>
  <si>
    <t>517-373-1706</t>
  </si>
  <si>
    <t>Leutheuser</t>
  </si>
  <si>
    <t>517-373-1794</t>
  </si>
  <si>
    <t>517-373-0832</t>
  </si>
  <si>
    <t>Chellie</t>
  </si>
  <si>
    <t>Pingree</t>
  </si>
  <si>
    <t>Hoadley</t>
  </si>
  <si>
    <t>517-373-1785</t>
  </si>
  <si>
    <t>Iden</t>
  </si>
  <si>
    <t>517-373-1774</t>
  </si>
  <si>
    <t>Haadsma</t>
  </si>
  <si>
    <t>TBD</t>
  </si>
  <si>
    <t>Humason,</t>
  </si>
  <si>
    <t>517-373-1795</t>
  </si>
  <si>
    <t>Lightner</t>
  </si>
  <si>
    <t>517-373-0839</t>
  </si>
  <si>
    <t>Jehlen</t>
  </si>
  <si>
    <t>Hope</t>
  </si>
  <si>
    <t>517-373-0826</t>
  </si>
  <si>
    <t>Brixie</t>
  </si>
  <si>
    <t>Lower</t>
  </si>
  <si>
    <t>517-373-0834</t>
  </si>
  <si>
    <t>Witwer</t>
  </si>
  <si>
    <t>517-373-0840</t>
  </si>
  <si>
    <t>stevenjohnson@house.mi.gov</t>
  </si>
  <si>
    <t>Afendoulis</t>
  </si>
  <si>
    <t>Huizenga</t>
  </si>
  <si>
    <t>LaGrand</t>
  </si>
  <si>
    <t>517-373-2668</t>
  </si>
  <si>
    <t>Hood</t>
  </si>
  <si>
    <t>Brann</t>
  </si>
  <si>
    <t>517-373-2277</t>
  </si>
  <si>
    <t>Creem</t>
  </si>
  <si>
    <t>Paquette</t>
  </si>
  <si>
    <t>Pauline</t>
  </si>
  <si>
    <t>Wendzel</t>
  </si>
  <si>
    <t>Pres</t>
  </si>
  <si>
    <t>Whiteford</t>
  </si>
  <si>
    <t>517-373-0836</t>
  </si>
  <si>
    <t>DiDomenico</t>
  </si>
  <si>
    <t>Eisen</t>
  </si>
  <si>
    <t>Eldridge</t>
  </si>
  <si>
    <t>Howell</t>
  </si>
  <si>
    <t>517-272-1800</t>
  </si>
  <si>
    <t>517-373-0835</t>
  </si>
  <si>
    <t>Frederick</t>
  </si>
  <si>
    <t>517-373-0841</t>
  </si>
  <si>
    <t>517-373-0846</t>
  </si>
  <si>
    <t>Timilty</t>
  </si>
  <si>
    <t>Calley</t>
  </si>
  <si>
    <t>517-373-0842</t>
  </si>
  <si>
    <t>Meerman</t>
  </si>
  <si>
    <t>517-373-0838</t>
  </si>
  <si>
    <t>Keenan</t>
  </si>
  <si>
    <t>Slagh</t>
  </si>
  <si>
    <t>VanWoerkom</t>
  </si>
  <si>
    <t>Vinny</t>
  </si>
  <si>
    <t>Sabo</t>
  </si>
  <si>
    <t>deMacedo</t>
  </si>
  <si>
    <t>517-373-2646</t>
  </si>
  <si>
    <t>Filler</t>
  </si>
  <si>
    <t>Rondey</t>
  </si>
  <si>
    <t>Wakeman</t>
  </si>
  <si>
    <t>Pacheco</t>
  </si>
  <si>
    <t>Guerra</t>
  </si>
  <si>
    <t>517-373-0152</t>
  </si>
  <si>
    <t>Elder</t>
  </si>
  <si>
    <t>517-373-0158</t>
  </si>
  <si>
    <t>Chang-Diaz</t>
  </si>
  <si>
    <t>Wentworth</t>
  </si>
  <si>
    <t>517-373-8962</t>
  </si>
  <si>
    <t>Boncore</t>
  </si>
  <si>
    <t>Hauck</t>
  </si>
  <si>
    <t>517-373-1789</t>
  </si>
  <si>
    <t>Brownsberger</t>
  </si>
  <si>
    <t>Harriette</t>
  </si>
  <si>
    <t>VanSingel</t>
  </si>
  <si>
    <t>517-373-7317</t>
  </si>
  <si>
    <t>O'Malley</t>
  </si>
  <si>
    <t>Gobi</t>
  </si>
  <si>
    <t>Tran</t>
  </si>
  <si>
    <t>Hoitenga</t>
  </si>
  <si>
    <t>517-373-1747</t>
  </si>
  <si>
    <t>Fattman</t>
  </si>
  <si>
    <t>Daire</t>
  </si>
  <si>
    <t>517-373-3817</t>
  </si>
  <si>
    <t>McGovern</t>
  </si>
  <si>
    <t>Trahan</t>
  </si>
  <si>
    <t>Moulton</t>
  </si>
  <si>
    <t>Ayanna</t>
  </si>
  <si>
    <t>Pressley</t>
  </si>
  <si>
    <t>Keating</t>
  </si>
  <si>
    <t>Maura</t>
  </si>
  <si>
    <t>Inman</t>
  </si>
  <si>
    <t>517-373-1766</t>
  </si>
  <si>
    <t>Triston</t>
  </si>
  <si>
    <t>Cole</t>
  </si>
  <si>
    <t>517-373-0829</t>
  </si>
  <si>
    <t>Allor</t>
  </si>
  <si>
    <t>517-373-0833</t>
  </si>
  <si>
    <t>Chatfield</t>
  </si>
  <si>
    <t>517-373-2629</t>
  </si>
  <si>
    <t>LaFave</t>
  </si>
  <si>
    <t>517-373-0156</t>
  </si>
  <si>
    <t>Cambensy</t>
  </si>
  <si>
    <t>517-373-0498</t>
  </si>
  <si>
    <t>Markkanen</t>
  </si>
  <si>
    <t>Hollier</t>
  </si>
  <si>
    <t>517-373-7748</t>
  </si>
  <si>
    <t>Satana</t>
  </si>
  <si>
    <t>Bullock</t>
  </si>
  <si>
    <t>Geiss</t>
  </si>
  <si>
    <t>Dayna</t>
  </si>
  <si>
    <t>Plehanki</t>
  </si>
  <si>
    <t>Lucido</t>
  </si>
  <si>
    <t>Wojno</t>
  </si>
  <si>
    <t>MacDonald</t>
  </si>
  <si>
    <t>Rosemary</t>
  </si>
  <si>
    <t>Mallory</t>
  </si>
  <si>
    <t>McMorrow</t>
  </si>
  <si>
    <t>(517) 373-2523</t>
  </si>
  <si>
    <t>Runestad</t>
  </si>
  <si>
    <t>Shirkey</t>
  </si>
  <si>
    <t>Zorn</t>
  </si>
  <si>
    <t>Bizon</t>
  </si>
  <si>
    <t>McCann</t>
  </si>
  <si>
    <t>LaSata</t>
  </si>
  <si>
    <t>Lana</t>
  </si>
  <si>
    <t>Theis</t>
  </si>
  <si>
    <t>Assistant President Pro Tem</t>
  </si>
  <si>
    <t>Lauwer</t>
  </si>
  <si>
    <t>Aric</t>
  </si>
  <si>
    <t>Nesbitt</t>
  </si>
  <si>
    <t>President Pro Tem</t>
  </si>
  <si>
    <t>Ananich</t>
  </si>
  <si>
    <t>517-373-0142</t>
  </si>
  <si>
    <t>MacGregor</t>
  </si>
  <si>
    <t>Winnie</t>
  </si>
  <si>
    <t>Brinks</t>
  </si>
  <si>
    <t>Victory</t>
  </si>
  <si>
    <t>Daley</t>
  </si>
  <si>
    <t>Outman</t>
  </si>
  <si>
    <t>Bumstead</t>
  </si>
  <si>
    <t>Vanderwall</t>
  </si>
  <si>
    <t>Stamass</t>
  </si>
  <si>
    <t>McBroom</t>
  </si>
  <si>
    <t>Gretchen</t>
  </si>
  <si>
    <t>Whitmer</t>
  </si>
  <si>
    <t>Lieutenant Governor</t>
  </si>
  <si>
    <t xml:space="preserve">Garlin </t>
  </si>
  <si>
    <t xml:space="preserve">Gilchrist II </t>
  </si>
  <si>
    <t>Bergman</t>
  </si>
  <si>
    <t>Amash</t>
  </si>
  <si>
    <t>Mooler</t>
  </si>
  <si>
    <t>Kildee</t>
  </si>
  <si>
    <t>Upton</t>
  </si>
  <si>
    <t>Walberg</t>
  </si>
  <si>
    <t>Elissa</t>
  </si>
  <si>
    <t>Slotkin</t>
  </si>
  <si>
    <t>Dingell</t>
  </si>
  <si>
    <t>Rashida</t>
  </si>
  <si>
    <t>Tlaib</t>
  </si>
  <si>
    <t>Stabenow</t>
  </si>
  <si>
    <t>Nessel</t>
  </si>
  <si>
    <t>Fabian</t>
  </si>
  <si>
    <t>218-463-1208</t>
  </si>
  <si>
    <t>rep.dan.fabian@house.mn</t>
  </si>
  <si>
    <t>Deb</t>
  </si>
  <si>
    <t>rep.deb.kiel@house.mn</t>
  </si>
  <si>
    <t>Grossell</t>
  </si>
  <si>
    <t>218-209-7661</t>
  </si>
  <si>
    <t>rep.matt.grossell@house.mn</t>
  </si>
  <si>
    <t>218-435-6401</t>
  </si>
  <si>
    <t>rep.steve.green@house.mn</t>
  </si>
  <si>
    <t>Ecklund</t>
  </si>
  <si>
    <t>DFL</t>
  </si>
  <si>
    <t>Veterans and Military Affairs Finance &amp; Policy Division (Chair)</t>
  </si>
  <si>
    <t>218-341-6133</t>
  </si>
  <si>
    <t>rep.rob.ecklund@house.mn</t>
  </si>
  <si>
    <t>Capital Investment Division (Chair)</t>
  </si>
  <si>
    <t>Ethics (Chair)</t>
  </si>
  <si>
    <t>218-729-6399</t>
  </si>
  <si>
    <t>rep.mary.murphy@house.mn</t>
  </si>
  <si>
    <t>4A</t>
  </si>
  <si>
    <t>Lien</t>
  </si>
  <si>
    <t>218-443-4813</t>
  </si>
  <si>
    <t>rep.ben.lien@house.mn</t>
  </si>
  <si>
    <t>4B</t>
  </si>
  <si>
    <t>Marquart</t>
  </si>
  <si>
    <t>Taxes (Chair)</t>
  </si>
  <si>
    <t>218-233-9200</t>
  </si>
  <si>
    <t>rep.paul.marquart@house.mn</t>
  </si>
  <si>
    <t>5A</t>
  </si>
  <si>
    <t>Bliss</t>
  </si>
  <si>
    <t>218-751-2770</t>
  </si>
  <si>
    <t>rep.matt.bliss@house.mn</t>
  </si>
  <si>
    <t>5B</t>
  </si>
  <si>
    <t>Layman</t>
  </si>
  <si>
    <t>rep.sandy.layman@house.mn</t>
  </si>
  <si>
    <t>6A</t>
  </si>
  <si>
    <t>Sandstede</t>
  </si>
  <si>
    <t>rep.julie.sandstede@house.mn</t>
  </si>
  <si>
    <t>6B</t>
  </si>
  <si>
    <t>Lislegard</t>
  </si>
  <si>
    <t>rep.dave.lislegard@house.mn</t>
  </si>
  <si>
    <t>7A</t>
  </si>
  <si>
    <t>rep.jennifer.schultz@house.mn</t>
  </si>
  <si>
    <t>7B</t>
  </si>
  <si>
    <t>rep.liz.olson@house.mn</t>
  </si>
  <si>
    <t>8A</t>
  </si>
  <si>
    <t>Nornes</t>
  </si>
  <si>
    <t>218-736-7777</t>
  </si>
  <si>
    <t>rep.bud.nornes@house.mn</t>
  </si>
  <si>
    <t>8B</t>
  </si>
  <si>
    <t>Franson</t>
  </si>
  <si>
    <t>320-304-4001</t>
  </si>
  <si>
    <t>rep.mary.franson@house.mn</t>
  </si>
  <si>
    <t>Poston</t>
  </si>
  <si>
    <t>218-251-7639</t>
  </si>
  <si>
    <t>rep.john.poston@house.mn</t>
  </si>
  <si>
    <t>Kresha</t>
  </si>
  <si>
    <t>320-761-6133</t>
  </si>
  <si>
    <t>rep.ron.kresha@house.mn</t>
  </si>
  <si>
    <t>10A</t>
  </si>
  <si>
    <t>Heintzeman</t>
  </si>
  <si>
    <t>218-820-5674</t>
  </si>
  <si>
    <t>rep.josh.heintzeman@house.mn</t>
  </si>
  <si>
    <t>10B</t>
  </si>
  <si>
    <t>Lueck</t>
  </si>
  <si>
    <t>218-927-2495</t>
  </si>
  <si>
    <t>rep.dale.lueck@house.mn</t>
  </si>
  <si>
    <t>11A</t>
  </si>
  <si>
    <t>Sundin</t>
  </si>
  <si>
    <t xml:space="preserve">Flannery </t>
  </si>
  <si>
    <t>Labor (Chair)</t>
  </si>
  <si>
    <t>218-391-5911</t>
  </si>
  <si>
    <t>rep.mike.sundin@house.mn</t>
  </si>
  <si>
    <t>11B</t>
  </si>
  <si>
    <t>Rarick</t>
  </si>
  <si>
    <t>rep.jason.rarick@house.mn</t>
  </si>
  <si>
    <t>12A</t>
  </si>
  <si>
    <t>Backer</t>
  </si>
  <si>
    <t>701-361-1909</t>
  </si>
  <si>
    <t>rep.jeff.backer@house.mn</t>
  </si>
  <si>
    <t>12B</t>
  </si>
  <si>
    <t>320-239-2726</t>
  </si>
  <si>
    <t>rep.paul.anderson@house.mn</t>
  </si>
  <si>
    <t>13A</t>
  </si>
  <si>
    <t>Demuth</t>
  </si>
  <si>
    <t>320-685-8930</t>
  </si>
  <si>
    <t>rep.lisa.demuth@house.mn</t>
  </si>
  <si>
    <t>Bain</t>
  </si>
  <si>
    <t>13B</t>
  </si>
  <si>
    <t>O'Driscoll</t>
  </si>
  <si>
    <t>rep.tim.o'driscoll@house.mn</t>
  </si>
  <si>
    <t>14A</t>
  </si>
  <si>
    <t>Tama</t>
  </si>
  <si>
    <t>Steverson</t>
  </si>
  <si>
    <t>rep.tama.theis@house.mn</t>
  </si>
  <si>
    <t>14B</t>
  </si>
  <si>
    <t>Wolgamott</t>
  </si>
  <si>
    <t>320-828-2632</t>
  </si>
  <si>
    <t>rep.dan.wolgamott@house.mn</t>
  </si>
  <si>
    <t>15A</t>
  </si>
  <si>
    <t>Sondra</t>
  </si>
  <si>
    <t>Criswell</t>
  </si>
  <si>
    <t>Erickson</t>
  </si>
  <si>
    <t>763-389-4498</t>
  </si>
  <si>
    <t>rep.sondra.erickson@house.mn</t>
  </si>
  <si>
    <t>15B</t>
  </si>
  <si>
    <t>Mekeland</t>
  </si>
  <si>
    <t>rep.shane.mekeland@house.mn</t>
  </si>
  <si>
    <t>16A</t>
  </si>
  <si>
    <t>Lamar</t>
  </si>
  <si>
    <t>Swedzinski</t>
  </si>
  <si>
    <t>Burnett</t>
  </si>
  <si>
    <t>507-829-7754</t>
  </si>
  <si>
    <t>rep.chris.swedzinski@house.mn</t>
  </si>
  <si>
    <t>16B</t>
  </si>
  <si>
    <t>Nolan</t>
  </si>
  <si>
    <t>Mettetal</t>
  </si>
  <si>
    <t>Lataisha</t>
  </si>
  <si>
    <t>Torkelson</t>
  </si>
  <si>
    <t>507-375-7315</t>
  </si>
  <si>
    <t>rep.paul.torkelson@house.mn</t>
  </si>
  <si>
    <t>17A</t>
  </si>
  <si>
    <t>320-905-1010</t>
  </si>
  <si>
    <t>rep.tim.miller@house.mn</t>
  </si>
  <si>
    <t>17B</t>
  </si>
  <si>
    <t>Massengill</t>
  </si>
  <si>
    <t>rep.dave.baker@house.mn</t>
  </si>
  <si>
    <t>18A</t>
  </si>
  <si>
    <t>Huddleston</t>
  </si>
  <si>
    <t>Urdahl</t>
  </si>
  <si>
    <t>320-857-2600</t>
  </si>
  <si>
    <t>rep.dean.urdahl@house.mn</t>
  </si>
  <si>
    <t>18B</t>
  </si>
  <si>
    <t>Aguirre</t>
  </si>
  <si>
    <t>Gruenhagen</t>
  </si>
  <si>
    <t>rep.glenn.gruenhagen@house.mn</t>
  </si>
  <si>
    <t>19A</t>
  </si>
  <si>
    <t>Brand</t>
  </si>
  <si>
    <t>507-380-0510</t>
  </si>
  <si>
    <t>rep.jeff.brand@house.mn</t>
  </si>
  <si>
    <t>19B</t>
  </si>
  <si>
    <t>Considine</t>
  </si>
  <si>
    <t>rep.jack.considine@house.mn</t>
  </si>
  <si>
    <t>20A</t>
  </si>
  <si>
    <t>Vogel</t>
  </si>
  <si>
    <t>952-240-2343</t>
  </si>
  <si>
    <t>rep.bob.vogel@house.mn</t>
  </si>
  <si>
    <t>20B</t>
  </si>
  <si>
    <t>Lippert</t>
  </si>
  <si>
    <t>Bronwyn</t>
  </si>
  <si>
    <t>507-649-0513</t>
  </si>
  <si>
    <t>rep.todd.lippert@house.mn</t>
  </si>
  <si>
    <t>21A</t>
  </si>
  <si>
    <t>Barb</t>
  </si>
  <si>
    <t>Preston</t>
  </si>
  <si>
    <t>rep.barb.haley@house.mn</t>
  </si>
  <si>
    <t>21B</t>
  </si>
  <si>
    <t>Drazkowski</t>
  </si>
  <si>
    <t>651-564-0638</t>
  </si>
  <si>
    <t>rep.steve.drazkowski@house.mn</t>
  </si>
  <si>
    <t>22A</t>
  </si>
  <si>
    <t>Beckett</t>
  </si>
  <si>
    <t>Schomacker</t>
  </si>
  <si>
    <t>507-935-0308</t>
  </si>
  <si>
    <t>rep.joe.schomacker@house.mn</t>
  </si>
  <si>
    <t>22B</t>
  </si>
  <si>
    <t>Budget</t>
  </si>
  <si>
    <t>573-751-9465</t>
  </si>
  <si>
    <t>rep.rod.hamilton@house.mn</t>
  </si>
  <si>
    <t xml:space="preserve">Allen.Andrews@house.mo.gov </t>
  </si>
  <si>
    <t>Orlando</t>
  </si>
  <si>
    <t>Gunther</t>
  </si>
  <si>
    <t>507-235-6154</t>
  </si>
  <si>
    <t>rep.bob.gunther@house.mn</t>
  </si>
  <si>
    <t>Paden</t>
  </si>
  <si>
    <t>Eggleston</t>
  </si>
  <si>
    <t>Ethics (chairman)</t>
  </si>
  <si>
    <t>573-751-4285</t>
  </si>
  <si>
    <t xml:space="preserve">J.Eggleston@house.mo.gov </t>
  </si>
  <si>
    <t>Busick</t>
  </si>
  <si>
    <t>573-751-3647</t>
  </si>
  <si>
    <t>Munson</t>
  </si>
  <si>
    <t>rep.jeremy.munson@house.mn</t>
  </si>
  <si>
    <t>24A</t>
  </si>
  <si>
    <t>Agricutlure policy</t>
  </si>
  <si>
    <t>budget</t>
  </si>
  <si>
    <t>573-751-3644</t>
  </si>
  <si>
    <t>Riggs</t>
  </si>
  <si>
    <t>workforce development</t>
  </si>
  <si>
    <t>573-751-3613</t>
  </si>
  <si>
    <t>Petersburg</t>
  </si>
  <si>
    <t>507-835-5082</t>
  </si>
  <si>
    <t>rep.john.petersburg@house.mn</t>
  </si>
  <si>
    <t>Remole</t>
  </si>
  <si>
    <t>24B</t>
  </si>
  <si>
    <t>children and families</t>
  </si>
  <si>
    <t>Corrections and public institutions</t>
  </si>
  <si>
    <t>conservation and natural resources (chair)</t>
  </si>
  <si>
    <t>573-751-6566</t>
  </si>
  <si>
    <t xml:space="preserve">Tim.Remole@house.mo.gov </t>
  </si>
  <si>
    <t>Rusty</t>
  </si>
  <si>
    <t>Abe</t>
  </si>
  <si>
    <t>Pensions (vice chairman)</t>
  </si>
  <si>
    <t>Agriculture Policy</t>
  </si>
  <si>
    <t>573-751-2917</t>
  </si>
  <si>
    <t xml:space="preserve">Rusty.Black@house.mo.gov </t>
  </si>
  <si>
    <t>507-330-2758</t>
  </si>
  <si>
    <t>rep.brian.daniels@house.mn</t>
  </si>
  <si>
    <t>25A</t>
  </si>
  <si>
    <t>Duane</t>
  </si>
  <si>
    <t>Tracey</t>
  </si>
  <si>
    <t>Neely</t>
  </si>
  <si>
    <t>Health and Mental Health Policy</t>
  </si>
  <si>
    <t>Children and Families (vice chair)</t>
  </si>
  <si>
    <t>Professional Registration and Licensing</t>
  </si>
  <si>
    <t>573-751-0246</t>
  </si>
  <si>
    <t xml:space="preserve">Jim.Neely@house.mo.gov </t>
  </si>
  <si>
    <t>Quam</t>
  </si>
  <si>
    <t>Solon</t>
  </si>
  <si>
    <t>507-775-6043</t>
  </si>
  <si>
    <t>Children and families (chairman)</t>
  </si>
  <si>
    <t>rep.duane.quam@house.mn</t>
  </si>
  <si>
    <t>Local government</t>
  </si>
  <si>
    <t>rules (vice chair)</t>
  </si>
  <si>
    <t>veterans</t>
  </si>
  <si>
    <t>Rosebud</t>
  </si>
  <si>
    <t>573-751-3666</t>
  </si>
  <si>
    <t xml:space="preserve">Sheila.Solon@house.mo.gov </t>
  </si>
  <si>
    <t>25B</t>
  </si>
  <si>
    <t>Falkner</t>
  </si>
  <si>
    <t>573-751-9755</t>
  </si>
  <si>
    <t>Sauke</t>
  </si>
  <si>
    <t>507-259-0542</t>
  </si>
  <si>
    <t>rep.duane.sauke@house.mn</t>
  </si>
  <si>
    <t>26A</t>
  </si>
  <si>
    <t>Shields</t>
  </si>
  <si>
    <t>573-751-3643</t>
  </si>
  <si>
    <t>Liebling</t>
  </si>
  <si>
    <t>Health and Human Services Finance Division (Chair)</t>
  </si>
  <si>
    <t>rep.tina.liebling@house.mn</t>
  </si>
  <si>
    <t>26B</t>
  </si>
  <si>
    <t>Nels</t>
  </si>
  <si>
    <t>Pierson</t>
  </si>
  <si>
    <t>507-358-5243</t>
  </si>
  <si>
    <t>rep.nels.pierson@house.mn</t>
  </si>
  <si>
    <t>Crime Prevention and Public Safety (Chair)</t>
  </si>
  <si>
    <t>573-751-9760</t>
  </si>
  <si>
    <t xml:space="preserve">Ken.Wilson@house.mo.gov </t>
  </si>
  <si>
    <t>Allred</t>
  </si>
  <si>
    <t>573-751-6593</t>
  </si>
  <si>
    <t>507-373-0679</t>
  </si>
  <si>
    <t>rep.peggy.bennett@house.mn</t>
  </si>
  <si>
    <t>Jeanne</t>
  </si>
  <si>
    <t>Poppe</t>
  </si>
  <si>
    <t>Agriculture and Food Finance &amp; Policy Division (Chair)</t>
  </si>
  <si>
    <t>Sain</t>
  </si>
  <si>
    <t>507-438-7857</t>
  </si>
  <si>
    <t>rep.jeanne.poppe@house.mn</t>
  </si>
  <si>
    <t>Administration and accounts</t>
  </si>
  <si>
    <t>573-751-3618</t>
  </si>
  <si>
    <t>28A</t>
  </si>
  <si>
    <t>Horan</t>
  </si>
  <si>
    <t>Joey</t>
  </si>
  <si>
    <t>Pelowski</t>
  </si>
  <si>
    <t>Greater Minnesota Jobs and Econ Development Finance Division (Chair)</t>
  </si>
  <si>
    <t>507-454-3282</t>
  </si>
  <si>
    <t>rep.gene.pelowski@house.mn</t>
  </si>
  <si>
    <t>28B</t>
  </si>
  <si>
    <t>General Laws</t>
  </si>
  <si>
    <t>Prof Registration (ranking minority)</t>
  </si>
  <si>
    <t>Rules-admin oversight</t>
  </si>
  <si>
    <t>573-751-4787</t>
  </si>
  <si>
    <t xml:space="preserve">Jon.Carpenter@house.mo.gov </t>
  </si>
  <si>
    <t>507-951-3893</t>
  </si>
  <si>
    <t>rep.greg.davids@house.mn</t>
  </si>
  <si>
    <t>Shull</t>
  </si>
  <si>
    <t>Insurance policy (chair)</t>
  </si>
  <si>
    <t>financial institutions</t>
  </si>
  <si>
    <t>rules-admin oversight</t>
  </si>
  <si>
    <t>ways and means</t>
  </si>
  <si>
    <t>573-751-9458</t>
  </si>
  <si>
    <t xml:space="preserve">Noel.Shull@house.mo.gov </t>
  </si>
  <si>
    <t>612-910-0310</t>
  </si>
  <si>
    <t>rep.joe.mcdonald@house.mn</t>
  </si>
  <si>
    <t>Marion</t>
  </si>
  <si>
    <t>Chism</t>
  </si>
  <si>
    <t>Cheikh</t>
  </si>
  <si>
    <t>Ellebracht</t>
  </si>
  <si>
    <t>Economic Development</t>
  </si>
  <si>
    <t>Insurance Policy (ranking minority)</t>
  </si>
  <si>
    <t>573-751-1218</t>
  </si>
  <si>
    <t xml:space="preserve">Mark.Ellebracht@house.mo.gov </t>
  </si>
  <si>
    <t>rep.marion.o'neill@house.mn</t>
  </si>
  <si>
    <t>Agriculture policy</t>
  </si>
  <si>
    <t>general laws</t>
  </si>
  <si>
    <t>573-751-2199</t>
  </si>
  <si>
    <t>Ingrid</t>
  </si>
  <si>
    <t>Zerwas</t>
  </si>
  <si>
    <t>rep.nick.zerwas@house.mn</t>
  </si>
  <si>
    <t>Lucero</t>
  </si>
  <si>
    <t>rep.eric.lucero@house.mn</t>
  </si>
  <si>
    <t>fiscal review</t>
  </si>
  <si>
    <t>573-751-3310</t>
  </si>
  <si>
    <t xml:space="preserve">Ingrid.Burnett@house.mo.gov </t>
  </si>
  <si>
    <t>Henley</t>
  </si>
  <si>
    <t>Kabir</t>
  </si>
  <si>
    <t>Daudt</t>
  </si>
  <si>
    <t>763-634-2616</t>
  </si>
  <si>
    <t>rep.kurt.daudt@house.mn</t>
  </si>
  <si>
    <t>Cal</t>
  </si>
  <si>
    <t>Karriem</t>
  </si>
  <si>
    <t>Kidd</t>
  </si>
  <si>
    <t>Utilities (vice chiar)</t>
  </si>
  <si>
    <t>573-751-3674</t>
  </si>
  <si>
    <t xml:space="preserve">Bill.Kidd@house.mo.gov </t>
  </si>
  <si>
    <t>Sauls</t>
  </si>
  <si>
    <t>Insurance policy</t>
  </si>
  <si>
    <t>573-751-5701</t>
  </si>
  <si>
    <t>Bahr</t>
  </si>
  <si>
    <t>rep.cal.bahr@house.mn</t>
  </si>
  <si>
    <t>32A</t>
  </si>
  <si>
    <t>Mickens</t>
  </si>
  <si>
    <t>Roberson</t>
  </si>
  <si>
    <t>763-202-4731</t>
  </si>
  <si>
    <t>rep.brian.johnson@house.mn</t>
  </si>
  <si>
    <t>573-751-3129</t>
  </si>
  <si>
    <t xml:space="preserve">Brandon.Ellington@house.mo.gov </t>
  </si>
  <si>
    <t>Bounds</t>
  </si>
  <si>
    <t>32B</t>
  </si>
  <si>
    <t>Minority Caucus Secretary</t>
  </si>
  <si>
    <t>573-751-0538</t>
  </si>
  <si>
    <t xml:space="preserve">Barbara.Washington@house.mo.gov </t>
  </si>
  <si>
    <t>Neu</t>
  </si>
  <si>
    <t>651-243-0427</t>
  </si>
  <si>
    <t>rep.anne.neu@house.mn</t>
  </si>
  <si>
    <t>33A</t>
  </si>
  <si>
    <t>Elections and elected officials (ranking minority)</t>
  </si>
  <si>
    <t>Education (ranking minority)</t>
  </si>
  <si>
    <t>Fiscal review (ranking minority)</t>
  </si>
  <si>
    <t>pensions</t>
  </si>
  <si>
    <t>573-751-4485</t>
  </si>
  <si>
    <t xml:space="preserve">Judy.Morgan@house.mo.gov </t>
  </si>
  <si>
    <t>Hertaus</t>
  </si>
  <si>
    <t>763-477-6950</t>
  </si>
  <si>
    <t>rep.jerry.hertaus@house.mn</t>
  </si>
  <si>
    <t>33B</t>
  </si>
  <si>
    <t>Razer</t>
  </si>
  <si>
    <t>Higher educations (ranking minority)</t>
  </si>
  <si>
    <t>transportation</t>
  </si>
  <si>
    <t>573-751-2437</t>
  </si>
  <si>
    <t xml:space="preserve">Greg.Razer@house.mo.gov </t>
  </si>
  <si>
    <t>Manlove</t>
  </si>
  <si>
    <t>Financial Institutions</t>
  </si>
  <si>
    <t>573-751-7639</t>
  </si>
  <si>
    <t>rep.cindy.pugh@house.mn</t>
  </si>
  <si>
    <t>Robbins</t>
  </si>
  <si>
    <t>rep.kristin.robbins@house.mn</t>
  </si>
  <si>
    <t>Bahner</t>
  </si>
  <si>
    <t>rep.kristin.bahner@house.mn</t>
  </si>
  <si>
    <t>Pensions (ranking minority)</t>
  </si>
  <si>
    <t>Heinrich</t>
  </si>
  <si>
    <t>Professional Registration and licensing</t>
  </si>
  <si>
    <t xml:space="preserve">Richard.Brown@house.mo.gov </t>
  </si>
  <si>
    <t>rep.john.heinrich@house.mn</t>
  </si>
  <si>
    <t>763-238-7322</t>
  </si>
  <si>
    <t>rep.peggy.scott@house.mn</t>
  </si>
  <si>
    <t>573-751-9851</t>
  </si>
  <si>
    <t xml:space="preserve">Jerome.Barnes@house.mo.gov </t>
  </si>
  <si>
    <t>Hines</t>
  </si>
  <si>
    <t>36A</t>
  </si>
  <si>
    <t>Rory</t>
  </si>
  <si>
    <t>763-370-9000</t>
  </si>
  <si>
    <t>rep.zack.stephenson@house.mn</t>
  </si>
  <si>
    <t>Rufus</t>
  </si>
  <si>
    <t>36B</t>
  </si>
  <si>
    <t>Financial institutions (ranking minority)</t>
  </si>
  <si>
    <t>573-751-3623</t>
  </si>
  <si>
    <t>Straughter</t>
  </si>
  <si>
    <t xml:space="preserve">Rory.Rowland@house.mo.gov </t>
  </si>
  <si>
    <t>Housee</t>
  </si>
  <si>
    <t>Hortman</t>
  </si>
  <si>
    <t>rep.melissa.hortman@house.mn</t>
  </si>
  <si>
    <t>Workforce development</t>
  </si>
  <si>
    <t>573-751-0907</t>
  </si>
  <si>
    <t>Kinkade</t>
  </si>
  <si>
    <t>Koegel</t>
  </si>
  <si>
    <t>rep.erin.koegel@house.mn</t>
  </si>
  <si>
    <t>Children and Families</t>
  </si>
  <si>
    <t>elections and elected officials</t>
  </si>
  <si>
    <t>Mangold</t>
  </si>
  <si>
    <t>downsizing state government</t>
  </si>
  <si>
    <t>573-751-8636</t>
  </si>
  <si>
    <t xml:space="preserve">Dan.Stacy@house.mo.gov </t>
  </si>
  <si>
    <t>Insurance Policy</t>
  </si>
  <si>
    <t>Prof Registration and licensing</t>
  </si>
  <si>
    <t>573-751-1487</t>
  </si>
  <si>
    <t>rep.nolan.west@house.mn</t>
  </si>
  <si>
    <t>Pfautsch</t>
  </si>
  <si>
    <t>consent and house procedure (chair)</t>
  </si>
  <si>
    <t>Runbeck</t>
  </si>
  <si>
    <t>573-751-9766</t>
  </si>
  <si>
    <t xml:space="preserve">Donna.Pfautsch@house.mo.gov </t>
  </si>
  <si>
    <t>763-784-8822</t>
  </si>
  <si>
    <t>rep.linda.runbeck@house.mn</t>
  </si>
  <si>
    <t>Wazlawik</t>
  </si>
  <si>
    <t>Denton</t>
  </si>
  <si>
    <t>rep.ami.wazlawik@house.mn</t>
  </si>
  <si>
    <t>39A</t>
  </si>
  <si>
    <t>Roeber</t>
  </si>
  <si>
    <t>Fiscal Review</t>
  </si>
  <si>
    <t>General laws</t>
  </si>
  <si>
    <t>573-751-1456</t>
  </si>
  <si>
    <t xml:space="preserve">Rebecca.Roeber@house.mo.gov </t>
  </si>
  <si>
    <t>Gunn</t>
  </si>
  <si>
    <t>Keri</t>
  </si>
  <si>
    <t>Ingle</t>
  </si>
  <si>
    <t>Crime Prevention and Public Safety</t>
  </si>
  <si>
    <t>Familites and Children</t>
  </si>
  <si>
    <t>Utilities</t>
  </si>
  <si>
    <t>573-751-1459</t>
  </si>
  <si>
    <t>Dettmer</t>
  </si>
  <si>
    <t>651-338-3802</t>
  </si>
  <si>
    <t>rep.bob.dettmer@house.mn</t>
  </si>
  <si>
    <t>39B</t>
  </si>
  <si>
    <t>DaRon</t>
  </si>
  <si>
    <t>Lohmer</t>
  </si>
  <si>
    <t>573-751-9469</t>
  </si>
  <si>
    <t xml:space="preserve">DaRon.McGee@house.mo.gov </t>
  </si>
  <si>
    <t>Bomgar</t>
  </si>
  <si>
    <t>rep.kathy.lohmer@house.mn</t>
  </si>
  <si>
    <t>40A</t>
  </si>
  <si>
    <t>Runions</t>
  </si>
  <si>
    <t>Local gov (ranking minority)</t>
  </si>
  <si>
    <t>Transportation (ranking minority)</t>
  </si>
  <si>
    <t>rules</t>
  </si>
  <si>
    <t>573-751-0238</t>
  </si>
  <si>
    <t xml:space="preserve">Joe.Runions@house.mo.gov </t>
  </si>
  <si>
    <t>Consent and house procedure</t>
  </si>
  <si>
    <t>573-751-2238</t>
  </si>
  <si>
    <t>State Government Finance Division (Chair)</t>
  </si>
  <si>
    <t>763-561-2795</t>
  </si>
  <si>
    <t>rep.mike.nelson@house.mn</t>
  </si>
  <si>
    <t>40B</t>
  </si>
  <si>
    <t>Samantha</t>
  </si>
  <si>
    <t>Vang</t>
  </si>
  <si>
    <t>rep.samantha.vang@house.mn</t>
  </si>
  <si>
    <t>41A</t>
  </si>
  <si>
    <t>Shanks</t>
  </si>
  <si>
    <t>Bernardy</t>
  </si>
  <si>
    <t>Higher Education Finance &amp; Policy Division (Chair)</t>
  </si>
  <si>
    <t>rep.connie.bernardy@house.mn</t>
  </si>
  <si>
    <t>McGaugh</t>
  </si>
  <si>
    <t>Elections and elected officials (vice chair)</t>
  </si>
  <si>
    <t>41B</t>
  </si>
  <si>
    <t>local government</t>
  </si>
  <si>
    <t>573-751-1468</t>
  </si>
  <si>
    <t xml:space="preserve">Peggy.McGaugh@house.mo.gov </t>
  </si>
  <si>
    <t>corrections and public institutions (vice chair)</t>
  </si>
  <si>
    <t>573-751-4028</t>
  </si>
  <si>
    <t xml:space="preserve">Jim.Hansen@house.mo.gov </t>
  </si>
  <si>
    <t>Kunesh-Podein</t>
  </si>
  <si>
    <t>651-247-4642</t>
  </si>
  <si>
    <t>rep.mary.kunesh-podein@house.mn</t>
  </si>
  <si>
    <t>Moller</t>
  </si>
  <si>
    <t>Pietzman</t>
  </si>
  <si>
    <t>Conservation and natural resources (vice chair)</t>
  </si>
  <si>
    <t>downsizing state government (vice chair)</t>
  </si>
  <si>
    <t>573-751-9459</t>
  </si>
  <si>
    <t xml:space="preserve">Randy.Pietzman@house.mo.gov </t>
  </si>
  <si>
    <t>651-486-8096</t>
  </si>
  <si>
    <t>rep.kelly.moller@house.mn</t>
  </si>
  <si>
    <t>Professional registration and licensing</t>
  </si>
  <si>
    <t>573-751-2689</t>
  </si>
  <si>
    <t>Weathersby</t>
  </si>
  <si>
    <t>Haden</t>
  </si>
  <si>
    <t>Conservation and Natural Resources</t>
  </si>
  <si>
    <t>Downsizing state government</t>
  </si>
  <si>
    <t>573-751-3649</t>
  </si>
  <si>
    <t>Becker-Finn</t>
  </si>
  <si>
    <t>rep.jamie.becker-finn@house.mn</t>
  </si>
  <si>
    <t>Reisch</t>
  </si>
  <si>
    <t>Elections and elected officials</t>
  </si>
  <si>
    <t>573-751-1169</t>
  </si>
  <si>
    <t xml:space="preserve">Cheri.Toalson-Reisch@house.mo.gov </t>
  </si>
  <si>
    <t>43A</t>
  </si>
  <si>
    <t>Kip</t>
  </si>
  <si>
    <t>Denny</t>
  </si>
  <si>
    <t>Pensions</t>
  </si>
  <si>
    <t>Budget (ranking minority member)</t>
  </si>
  <si>
    <t>573-751-4189</t>
  </si>
  <si>
    <t xml:space="preserve">Kip.Kendrick@house.mo.gov </t>
  </si>
  <si>
    <t>651-770-4984</t>
  </si>
  <si>
    <t>rep.peter.fischer@house.mn</t>
  </si>
  <si>
    <t>43B</t>
  </si>
  <si>
    <t>Leon</t>
  </si>
  <si>
    <t>Jarvis</t>
  </si>
  <si>
    <t>Lillie</t>
  </si>
  <si>
    <t>consent and house procedure (ranking minority)</t>
  </si>
  <si>
    <t>573-751-9753</t>
  </si>
  <si>
    <t>Legacy Finance Division (Chair)</t>
  </si>
  <si>
    <t xml:space="preserve">Martha.Stevens@house.mo.gov </t>
  </si>
  <si>
    <t>651-770-9260</t>
  </si>
  <si>
    <t>rep.leon.lillie@house.mn</t>
  </si>
  <si>
    <t>Klevorn</t>
  </si>
  <si>
    <t>rep.ginny.klevorn@house.mn</t>
  </si>
  <si>
    <t>Dortch</t>
  </si>
  <si>
    <t>Acomb</t>
  </si>
  <si>
    <t>rep.patty.acomb@house.mn</t>
  </si>
  <si>
    <t>Earle</t>
  </si>
  <si>
    <t>45A</t>
  </si>
  <si>
    <t>Basye</t>
  </si>
  <si>
    <t>Veterans (chairman)</t>
  </si>
  <si>
    <t>573-751-1501</t>
  </si>
  <si>
    <t xml:space="preserve">Chuck.Basye@house.mo.gov </t>
  </si>
  <si>
    <t>Ways and Means (Chair)</t>
  </si>
  <si>
    <t>Credell</t>
  </si>
  <si>
    <t>763-533-9779</t>
  </si>
  <si>
    <t>rep.lyndon.carlson@house.mn</t>
  </si>
  <si>
    <t>45B</t>
  </si>
  <si>
    <t>Muntzel</t>
  </si>
  <si>
    <t>Insurance Policy (vice chair)</t>
  </si>
  <si>
    <t>573-751-0169</t>
  </si>
  <si>
    <t xml:space="preserve">Dave.Muntzel@house.mo.gov </t>
  </si>
  <si>
    <t>Alyce</t>
  </si>
  <si>
    <t>Freiberg</t>
  </si>
  <si>
    <t>Government Operations (Chair)</t>
  </si>
  <si>
    <t>763-234-8749</t>
  </si>
  <si>
    <t>rep.mike.freiberg@house.mn</t>
  </si>
  <si>
    <t>46A</t>
  </si>
  <si>
    <t>Rules and Legislative Administration (Chair)</t>
  </si>
  <si>
    <t>rep.ryan.winkler@house.mn</t>
  </si>
  <si>
    <t>46B</t>
  </si>
  <si>
    <t>Fitzwater</t>
  </si>
  <si>
    <t>Utilities (chair)</t>
  </si>
  <si>
    <t>573-751-5226</t>
  </si>
  <si>
    <t xml:space="preserve">Travis.Fitzwater@house.mo.gov </t>
  </si>
  <si>
    <t>Youakim</t>
  </si>
  <si>
    <t>Education Policy (Chair)</t>
  </si>
  <si>
    <t>952-240-2278</t>
  </si>
  <si>
    <t>rep.cheryl.youakim@house.mn</t>
  </si>
  <si>
    <t>573-751-2134</t>
  </si>
  <si>
    <t xml:space="preserve">Sara.Walsh@house.mo.gov </t>
  </si>
  <si>
    <t>Nash</t>
  </si>
  <si>
    <t>952-807-6416</t>
  </si>
  <si>
    <t>rep.jim.nash@house.mn</t>
  </si>
  <si>
    <t>Dohrman</t>
  </si>
  <si>
    <t>Veterans</t>
  </si>
  <si>
    <t>Consent and House proceedings</t>
  </si>
  <si>
    <t>573-751-2204</t>
  </si>
  <si>
    <t xml:space="preserve">Dean.Dohrman@house.mo.gov </t>
  </si>
  <si>
    <t>Pollitt</t>
  </si>
  <si>
    <t>Agricutlure Policy</t>
  </si>
  <si>
    <t>573-751-9774</t>
  </si>
  <si>
    <t>Hoppe</t>
  </si>
  <si>
    <t>952-361-4251</t>
  </si>
  <si>
    <t>rep.joe.hoppe@house.mn</t>
  </si>
  <si>
    <t>48A</t>
  </si>
  <si>
    <t>rep.laurie.pryor@house.mn</t>
  </si>
  <si>
    <t>48B</t>
  </si>
  <si>
    <t>Carlie</t>
  </si>
  <si>
    <t>Kotyza-Witthuhn</t>
  </si>
  <si>
    <t>rep.carlie.kotyza-witthuhn@house.mn</t>
  </si>
  <si>
    <t>49A</t>
  </si>
  <si>
    <t>Edelson</t>
  </si>
  <si>
    <t>Glen</t>
  </si>
  <si>
    <t>651-785-8696</t>
  </si>
  <si>
    <t>rep.heather.edelson@house.mn</t>
  </si>
  <si>
    <t>49B</t>
  </si>
  <si>
    <t>952-835-2118</t>
  </si>
  <si>
    <t>rep.steve.elkins@house.mn</t>
  </si>
  <si>
    <t>50A</t>
  </si>
  <si>
    <t>rep.michael.howard@house.mn</t>
  </si>
  <si>
    <t>50B</t>
  </si>
  <si>
    <t>Kolkmeyer</t>
  </si>
  <si>
    <t>Administartion and accounts (chair)</t>
  </si>
  <si>
    <t>573-751-1462</t>
  </si>
  <si>
    <t xml:space="preserve">Glen.Kolkmeyer@house.mo.gov </t>
  </si>
  <si>
    <t>Houx</t>
  </si>
  <si>
    <t>Fiscal Review (chairman)</t>
  </si>
  <si>
    <t>573-751-3850</t>
  </si>
  <si>
    <t xml:space="preserve">Dan.Houx@house.mo.gov </t>
  </si>
  <si>
    <t>952-220-9459</t>
  </si>
  <si>
    <t>rep.andrew.carlson@house.mn</t>
  </si>
  <si>
    <t>Haffner</t>
  </si>
  <si>
    <t>51A</t>
  </si>
  <si>
    <t>573-751-3783</t>
  </si>
  <si>
    <t>Holloway</t>
  </si>
  <si>
    <t>Masin</t>
  </si>
  <si>
    <t>651-452-3411</t>
  </si>
  <si>
    <t>rep.sandra.masin@house.mn</t>
  </si>
  <si>
    <t>Bondon</t>
  </si>
  <si>
    <t>Finanical Institutions (chairman)</t>
  </si>
  <si>
    <t>Consent and House Procedure</t>
  </si>
  <si>
    <t>573-751-2175</t>
  </si>
  <si>
    <t xml:space="preserve">Jack.Bondon@house.mo.gov </t>
  </si>
  <si>
    <t>51B</t>
  </si>
  <si>
    <t>Reedy</t>
  </si>
  <si>
    <t>573-751-3971</t>
  </si>
  <si>
    <t>Halverson</t>
  </si>
  <si>
    <t>Fiscal review</t>
  </si>
  <si>
    <t>administration and accounts</t>
  </si>
  <si>
    <t>573-751-2077</t>
  </si>
  <si>
    <t xml:space="preserve">David.Wood@house.mo.gov </t>
  </si>
  <si>
    <t>Veit</t>
  </si>
  <si>
    <t>573-751-0665</t>
  </si>
  <si>
    <t>651-249-9245</t>
  </si>
  <si>
    <t>rep.laurie.halverson@house.mn</t>
  </si>
  <si>
    <t>Tullos</t>
  </si>
  <si>
    <t>52A</t>
  </si>
  <si>
    <t>Omeria</t>
  </si>
  <si>
    <t>Veterans (vice chair)</t>
  </si>
  <si>
    <t>573-751-2412</t>
  </si>
  <si>
    <t>Griesheimer</t>
  </si>
  <si>
    <t>573-751-6668</t>
  </si>
  <si>
    <t>Environment and Natural Resources Finance Division (Chair)</t>
  </si>
  <si>
    <t>651-451-1189</t>
  </si>
  <si>
    <t>rep.rick.hansen@house.mn</t>
  </si>
  <si>
    <t>Administration and accounts (vice chair)</t>
  </si>
  <si>
    <t>573-751-1344</t>
  </si>
  <si>
    <t xml:space="preserve">Tom.Hurst@house.mo.gov </t>
  </si>
  <si>
    <t>52B</t>
  </si>
  <si>
    <t>Horne</t>
  </si>
  <si>
    <t>rep.ruth.richardson@house.mn</t>
  </si>
  <si>
    <t>53A</t>
  </si>
  <si>
    <t>Tou</t>
  </si>
  <si>
    <t>Xiong</t>
  </si>
  <si>
    <t>rep.tou.xiong@house.mn</t>
  </si>
  <si>
    <t>573-751-1460</t>
  </si>
  <si>
    <t xml:space="preserve">Bryan.Spencer@house.mo.gov </t>
  </si>
  <si>
    <t>53B</t>
  </si>
  <si>
    <t>Sandell</t>
  </si>
  <si>
    <t>Lovasco</t>
  </si>
  <si>
    <t>573-751-1484</t>
  </si>
  <si>
    <t>651-224-2152</t>
  </si>
  <si>
    <t>rep.steve.sandell@house.mn</t>
  </si>
  <si>
    <t>54A</t>
  </si>
  <si>
    <t>Claflin</t>
  </si>
  <si>
    <t>rep.anne.claflin@house.mn</t>
  </si>
  <si>
    <t>54B</t>
  </si>
  <si>
    <t>Snowden</t>
  </si>
  <si>
    <t>Hannegan</t>
  </si>
  <si>
    <t>Local government (chair)</t>
  </si>
  <si>
    <t>Economic development</t>
  </si>
  <si>
    <t>573-751-3717</t>
  </si>
  <si>
    <t xml:space="preserve">Tom.Hannegan@house.mo.gov </t>
  </si>
  <si>
    <t>Tommie</t>
  </si>
  <si>
    <t>Jurgens</t>
  </si>
  <si>
    <t>rep.tony.jurgens@house.mn</t>
  </si>
  <si>
    <t>55A</t>
  </si>
  <si>
    <t>Tabke</t>
  </si>
  <si>
    <t>rep.brad.tabke@house.mn</t>
  </si>
  <si>
    <t>55B</t>
  </si>
  <si>
    <t>Pierson Jr.</t>
  </si>
  <si>
    <t>573-751-6845</t>
  </si>
  <si>
    <t xml:space="preserve">Tommie.PiersonJr@house.mo.gov </t>
  </si>
  <si>
    <t>Albright</t>
  </si>
  <si>
    <t>612-801-9401</t>
  </si>
  <si>
    <t>rep.tony.albright@house.mn</t>
  </si>
  <si>
    <t>Barnett</t>
  </si>
  <si>
    <t>56A</t>
  </si>
  <si>
    <t>952-607-5442</t>
  </si>
  <si>
    <t>rep.hunter.cantrell@house.mn</t>
  </si>
  <si>
    <t>56B</t>
  </si>
  <si>
    <t>Corrections and Public institutions</t>
  </si>
  <si>
    <t>573-751-2135</t>
  </si>
  <si>
    <t>Mann</t>
  </si>
  <si>
    <t xml:space="preserve">Alan.Green@house.mo.gov </t>
  </si>
  <si>
    <t>rep.alice.mann@house.mn</t>
  </si>
  <si>
    <t>Mosley</t>
  </si>
  <si>
    <t>573-751-9628</t>
  </si>
  <si>
    <t xml:space="preserve">Jay.Mosley@house.mo.gov </t>
  </si>
  <si>
    <t>57A</t>
  </si>
  <si>
    <t>Bierman</t>
  </si>
  <si>
    <t>952-432-8412</t>
  </si>
  <si>
    <t>rep.robert.bierman@house.mn</t>
  </si>
  <si>
    <t>57B</t>
  </si>
  <si>
    <t>Huot</t>
  </si>
  <si>
    <t>651-423-2694</t>
  </si>
  <si>
    <t>rep.john.huot@house.mn</t>
  </si>
  <si>
    <t>58A</t>
  </si>
  <si>
    <t>Staples</t>
  </si>
  <si>
    <t>Bangert</t>
  </si>
  <si>
    <t>Workforce Development</t>
  </si>
  <si>
    <t>Administration</t>
  </si>
  <si>
    <t>573-751-5365</t>
  </si>
  <si>
    <t xml:space="preserve">Gretchen.Bangert@house.mo.gov </t>
  </si>
  <si>
    <t>573-751-4163</t>
  </si>
  <si>
    <t>Koznick</t>
  </si>
  <si>
    <t>rep.jon.koznick@house.mn</t>
  </si>
  <si>
    <t>58B</t>
  </si>
  <si>
    <t>Scoggin</t>
  </si>
  <si>
    <t>LaDonna</t>
  </si>
  <si>
    <t>Appelbaum</t>
  </si>
  <si>
    <t>Corrections and Public Institution</t>
  </si>
  <si>
    <t>573-751-4183</t>
  </si>
  <si>
    <t>Noah</t>
  </si>
  <si>
    <t>Clemens</t>
  </si>
  <si>
    <t>573-751-1832</t>
  </si>
  <si>
    <t>Raychel</t>
  </si>
  <si>
    <t>rep.pat.garofalo@house.mn</t>
  </si>
  <si>
    <t>Proudie</t>
  </si>
  <si>
    <t>573-751-0855</t>
  </si>
  <si>
    <t>Cora</t>
  </si>
  <si>
    <t>59A</t>
  </si>
  <si>
    <t>Fue</t>
  </si>
  <si>
    <t>Health and Mental Health Policy (ranking minority)</t>
  </si>
  <si>
    <t>573-751-4726</t>
  </si>
  <si>
    <t xml:space="preserve">CoraFaith.Walker@house.mo.gov </t>
  </si>
  <si>
    <t>rep.fue.lee@house.mn</t>
  </si>
  <si>
    <t>59B</t>
  </si>
  <si>
    <t>Currie</t>
  </si>
  <si>
    <t>Dehn</t>
  </si>
  <si>
    <t>573-751-5538</t>
  </si>
  <si>
    <t xml:space="preserve">Alan.Gray@house.mo.gov </t>
  </si>
  <si>
    <t>612-310-3346</t>
  </si>
  <si>
    <t>rep.raymond.dehn@house.mn</t>
  </si>
  <si>
    <t>Ag policy</t>
  </si>
  <si>
    <t>573-751-7605</t>
  </si>
  <si>
    <t>Timmy</t>
  </si>
  <si>
    <t>60A</t>
  </si>
  <si>
    <t>Loeffler</t>
  </si>
  <si>
    <t>Ladner</t>
  </si>
  <si>
    <t>Property and Local Tax Division (Chair)</t>
  </si>
  <si>
    <t>612-781-1307</t>
  </si>
  <si>
    <t>rep.diane.loeffler@house.mn</t>
  </si>
  <si>
    <t>60B</t>
  </si>
  <si>
    <t>Mohamud</t>
  </si>
  <si>
    <t>Noor</t>
  </si>
  <si>
    <t>rep.mohamud.noor@house.mn</t>
  </si>
  <si>
    <t>Utilites</t>
  </si>
  <si>
    <t>573-751-1400</t>
  </si>
  <si>
    <t xml:space="preserve">Steven.Roberts@house.mo.gov </t>
  </si>
  <si>
    <t>61A</t>
  </si>
  <si>
    <t>Hornstein</t>
  </si>
  <si>
    <t>Franks Jr.</t>
  </si>
  <si>
    <t>Crime Prevention and Public Safety (ranking Minority member)</t>
  </si>
  <si>
    <t>Transportation Finance &amp; Policy Division (Chair)</t>
  </si>
  <si>
    <t>Corrections and Public Institutions</t>
  </si>
  <si>
    <t>573-751-2383</t>
  </si>
  <si>
    <t xml:space="preserve">Bruce.FranksJr@house.mo.gov </t>
  </si>
  <si>
    <t>612-965-3406</t>
  </si>
  <si>
    <t>rep.frank.hornstein@house.mn</t>
  </si>
  <si>
    <t>LaKeySha</t>
  </si>
  <si>
    <t>Bosley</t>
  </si>
  <si>
    <t>61B</t>
  </si>
  <si>
    <t>573-751-6800</t>
  </si>
  <si>
    <t>rep.jamie.long@house.mn</t>
  </si>
  <si>
    <t>62A</t>
  </si>
  <si>
    <t>Hodan</t>
  </si>
  <si>
    <t>Hassan</t>
  </si>
  <si>
    <t>612-458-9005</t>
  </si>
  <si>
    <t>rep.hodan.hassan@house.mn</t>
  </si>
  <si>
    <t>Cockerham</t>
  </si>
  <si>
    <t>62B</t>
  </si>
  <si>
    <t>Aisha</t>
  </si>
  <si>
    <t>rep.aisha.gomez@house.mn</t>
  </si>
  <si>
    <t>63A</t>
  </si>
  <si>
    <t>Mims</t>
  </si>
  <si>
    <t>Merideth</t>
  </si>
  <si>
    <t>General Laws (ranking minority)</t>
  </si>
  <si>
    <t>573-751-6736</t>
  </si>
  <si>
    <t xml:space="preserve">Peter.Merideth@house.mo.gov </t>
  </si>
  <si>
    <t>Butz</t>
  </si>
  <si>
    <t>Davnie</t>
  </si>
  <si>
    <t>Education Finance Division (Chair)</t>
  </si>
  <si>
    <t>Myers</t>
  </si>
  <si>
    <t>573-751-0438</t>
  </si>
  <si>
    <t>rep.jim.davnie@house.mn</t>
  </si>
  <si>
    <t>63B</t>
  </si>
  <si>
    <t>Wagenius</t>
  </si>
  <si>
    <t>Energy and Climate Finance &amp; Policy Division (Chair)</t>
  </si>
  <si>
    <t>Pigott</t>
  </si>
  <si>
    <t>612-822-3347</t>
  </si>
  <si>
    <t>rep.jean.wagenius@house.mn</t>
  </si>
  <si>
    <t>64A</t>
  </si>
  <si>
    <t>Kaohly</t>
  </si>
  <si>
    <t>Her</t>
  </si>
  <si>
    <t>651-224-5696</t>
  </si>
  <si>
    <t>Baringer</t>
  </si>
  <si>
    <t>rep.kaohly.her@house.mn</t>
  </si>
  <si>
    <t>Administration and Accounts (ranking minority)</t>
  </si>
  <si>
    <t>Downsizing state gov (ranking minority)</t>
  </si>
  <si>
    <t>573-751-4220</t>
  </si>
  <si>
    <t xml:space="preserve">Donna.Baringer@house.mo.gov </t>
  </si>
  <si>
    <t>64B</t>
  </si>
  <si>
    <t>Pinto</t>
  </si>
  <si>
    <t>651-252-1706</t>
  </si>
  <si>
    <t>rep.dave.pinto@house.mn</t>
  </si>
  <si>
    <t>65A</t>
  </si>
  <si>
    <t>Mitten</t>
  </si>
  <si>
    <t>Rena</t>
  </si>
  <si>
    <t>Judiciary (ranking minority)</t>
  </si>
  <si>
    <t>ethis (vice chair)</t>
  </si>
  <si>
    <t>insurance policy</t>
  </si>
  <si>
    <t>573-751-2883</t>
  </si>
  <si>
    <t xml:space="preserve">Gina.Mitten@house.mo.gov </t>
  </si>
  <si>
    <t>Wiley</t>
  </si>
  <si>
    <t>573-751-2198</t>
  </si>
  <si>
    <t>Touchstone</t>
  </si>
  <si>
    <t>Health and Human Services Policy (Chair)</t>
  </si>
  <si>
    <t>rep.rena.moran@house.mn</t>
  </si>
  <si>
    <t>Windham Jr.</t>
  </si>
  <si>
    <t>Minority Caucus Vice-Chair</t>
  </si>
  <si>
    <t xml:space="preserve">Elections and elected officials </t>
  </si>
  <si>
    <t>65B</t>
  </si>
  <si>
    <t>573-751-4468</t>
  </si>
  <si>
    <t>Chappelle-Nadal</t>
  </si>
  <si>
    <t>Percy</t>
  </si>
  <si>
    <t>Conservation adn Natural Resources</t>
  </si>
  <si>
    <t>573-751-4265</t>
  </si>
  <si>
    <t xml:space="preserve">Maria.ChappelleNadal@house.mo.gov </t>
  </si>
  <si>
    <t>Mackey</t>
  </si>
  <si>
    <t>Chilren and Familites</t>
  </si>
  <si>
    <t>consent and House proedure</t>
  </si>
  <si>
    <t>573-751-0100</t>
  </si>
  <si>
    <t>Mariani</t>
  </si>
  <si>
    <t>Public Safety and Criminal Justice Reform Finance &amp; Policy Division (Chair)</t>
  </si>
  <si>
    <t>651-224-6647</t>
  </si>
  <si>
    <t>rep.carlos.mariani@house.mn</t>
  </si>
  <si>
    <t>66A</t>
  </si>
  <si>
    <t>Roun</t>
  </si>
  <si>
    <t>Hausman</t>
  </si>
  <si>
    <t>Housing Finance &amp; Policy Division (Chair)</t>
  </si>
  <si>
    <t>McCreery</t>
  </si>
  <si>
    <t>651-646-6220</t>
  </si>
  <si>
    <t>rep.alice.hausman@house.mn</t>
  </si>
  <si>
    <t>Utilities (ranking minority)</t>
  </si>
  <si>
    <t>Conservation and natural resources (ranking minority)</t>
  </si>
  <si>
    <t>Agriculture policy (ranking minority)</t>
  </si>
  <si>
    <t>McNeal</t>
  </si>
  <si>
    <t>573-751-7535</t>
  </si>
  <si>
    <t xml:space="preserve">Tracy.McCreery@house.mo.gov </t>
  </si>
  <si>
    <t>66B</t>
  </si>
  <si>
    <t>Lesch</t>
  </si>
  <si>
    <t>rep.john.lesch@house.mn</t>
  </si>
  <si>
    <t>67A</t>
  </si>
  <si>
    <t>Plocher</t>
  </si>
  <si>
    <t>General laws (chair)</t>
  </si>
  <si>
    <t>573-751-1544</t>
  </si>
  <si>
    <t xml:space="preserve">Dean.Plocher@house.mo.gov </t>
  </si>
  <si>
    <t>Lavender</t>
  </si>
  <si>
    <t>Stacey</t>
  </si>
  <si>
    <t>651-776-3200</t>
  </si>
  <si>
    <t>rep.tim.mahoney@house.mn</t>
  </si>
  <si>
    <t>573-751-4069</t>
  </si>
  <si>
    <t xml:space="preserve">Deb.Lavender@house.mo.gov </t>
  </si>
  <si>
    <t>67B</t>
  </si>
  <si>
    <t>rep.jay.xiong@house.mn</t>
  </si>
  <si>
    <t>Wilkes</t>
  </si>
  <si>
    <t>Manly</t>
  </si>
  <si>
    <t>Unsicker</t>
  </si>
  <si>
    <t>Minority Caucus Policy Chair</t>
  </si>
  <si>
    <t>Children and Families (ranking minority)</t>
  </si>
  <si>
    <t>Rules (ranking minority)</t>
  </si>
  <si>
    <t>573-751-1285</t>
  </si>
  <si>
    <t xml:space="preserve">Sarah.Unsicker@house.mo.gov </t>
  </si>
  <si>
    <t>Jeramey</t>
  </si>
  <si>
    <t>Economic Development (ranking minority)</t>
  </si>
  <si>
    <t>Workforce development (ranking minority)</t>
  </si>
  <si>
    <t>573-751-9472</t>
  </si>
  <si>
    <t xml:space="preserve">Doug.Beck@house.mo.gov </t>
  </si>
  <si>
    <t>Busby</t>
  </si>
  <si>
    <t>Use mail form</t>
  </si>
  <si>
    <t>573-751-0211</t>
  </si>
  <si>
    <t xml:space="preserve">Bob.Burns@house.mo.gov </t>
  </si>
  <si>
    <t>573-751-3719</t>
  </si>
  <si>
    <t>Read</t>
  </si>
  <si>
    <t>573-751-3762</t>
  </si>
  <si>
    <t>Zuber</t>
  </si>
  <si>
    <t>Guice</t>
  </si>
  <si>
    <t>Fiscal Review (vice chairman)</t>
  </si>
  <si>
    <t>573-751-2150</t>
  </si>
  <si>
    <t xml:space="preserve">David.Gregory@house.mo.gov </t>
  </si>
  <si>
    <t>573-751-3751</t>
  </si>
  <si>
    <t>MaryElizabeth.Coleman@house.mo.gov</t>
  </si>
  <si>
    <t>Casey</t>
  </si>
  <si>
    <t>Utke</t>
  </si>
  <si>
    <t>Eure</t>
  </si>
  <si>
    <t>Shamed</t>
  </si>
  <si>
    <t>Dogan</t>
  </si>
  <si>
    <t>573-751-4392</t>
  </si>
  <si>
    <t xml:space="preserve">Shamed.Dogan@house.mo.gov </t>
  </si>
  <si>
    <t>DeLano</t>
  </si>
  <si>
    <t>Bakk</t>
  </si>
  <si>
    <t>Senate Minority Leader</t>
  </si>
  <si>
    <t>sen.tom.bakk@senate.mn</t>
  </si>
  <si>
    <t>Haney</t>
  </si>
  <si>
    <t>Economic Development (chair)</t>
  </si>
  <si>
    <t>573-751-3859</t>
  </si>
  <si>
    <t xml:space="preserve">Jean.Evans@house.mo.gov </t>
  </si>
  <si>
    <t>Williams-Barnes</t>
  </si>
  <si>
    <t>Economic Development (vice chair)</t>
  </si>
  <si>
    <t>573-751-9765</t>
  </si>
  <si>
    <t xml:space="preserve">Derek.Grier@house.mo.gov </t>
  </si>
  <si>
    <t>Eken</t>
  </si>
  <si>
    <t>sen.kent.eken@senate.mn</t>
  </si>
  <si>
    <t>DeGroot</t>
  </si>
  <si>
    <t>Financial institution (vice chair)</t>
  </si>
  <si>
    <t>utilities</t>
  </si>
  <si>
    <t>573-751-1247</t>
  </si>
  <si>
    <t xml:space="preserve">Bruce.DeGroot@house.mo.gov </t>
  </si>
  <si>
    <t>Hicks</t>
  </si>
  <si>
    <t xml:space="preserve">Judicary </t>
  </si>
  <si>
    <t>573-751-1470</t>
  </si>
  <si>
    <t xml:space="preserve">Ron.Hicks@house.mo.gov </t>
  </si>
  <si>
    <t>Wiemann</t>
  </si>
  <si>
    <t>Speaker Pro Tem</t>
  </si>
  <si>
    <t>573-751-2176</t>
  </si>
  <si>
    <t xml:space="preserve">John.Wiemann@house.mo.gov </t>
  </si>
  <si>
    <t>Eichorn</t>
  </si>
  <si>
    <t>sen.justin.eichorn@senate.mn</t>
  </si>
  <si>
    <t>Schnelting</t>
  </si>
  <si>
    <t>573-751-2250</t>
  </si>
  <si>
    <t xml:space="preserve">Adam.Schnelting@house.mo.gov </t>
  </si>
  <si>
    <t>Baria</t>
  </si>
  <si>
    <t>Christofanelli</t>
  </si>
  <si>
    <t>ways and means (vice chair)</t>
  </si>
  <si>
    <t>573-751-2949</t>
  </si>
  <si>
    <t xml:space="preserve">Phil.Christofanelli@house.mo.gov </t>
  </si>
  <si>
    <t>Chrissy</t>
  </si>
  <si>
    <t>Tomassoni</t>
  </si>
  <si>
    <t>sen.david.tomassoni@senate.mn</t>
  </si>
  <si>
    <t>ways and means (chair)</t>
  </si>
  <si>
    <t>professional registration and licensing</t>
  </si>
  <si>
    <t>573-751-1452</t>
  </si>
  <si>
    <t xml:space="preserve">Chrissy.Sommer@house.mo.gov </t>
  </si>
  <si>
    <t>Schroer</t>
  </si>
  <si>
    <t>Consent and House Procedure (vice chairman)</t>
  </si>
  <si>
    <t xml:space="preserve">Nick.Schroer@house.mo.gov </t>
  </si>
  <si>
    <t>Simonson</t>
  </si>
  <si>
    <t>sen.erik.simonson@senate.mn</t>
  </si>
  <si>
    <t>Nickey</t>
  </si>
  <si>
    <t>573-751-3572</t>
  </si>
  <si>
    <t xml:space="preserve">Justin.Hill@house.mo.gov </t>
  </si>
  <si>
    <t>economic development</t>
  </si>
  <si>
    <t>573-751-3776</t>
  </si>
  <si>
    <t>Browning</t>
  </si>
  <si>
    <t>Dottie</t>
  </si>
  <si>
    <t>Finanical Institutions</t>
  </si>
  <si>
    <t>573-751-0562</t>
  </si>
  <si>
    <t>Parks</t>
  </si>
  <si>
    <t>Ingebrigtsen</t>
  </si>
  <si>
    <t>sen.bill.ingebrigtsen@senate.mn</t>
  </si>
  <si>
    <t>Roden</t>
  </si>
  <si>
    <t>Corrections and public institutions (chair)</t>
  </si>
  <si>
    <t>ways and menas</t>
  </si>
  <si>
    <t>573-751-4567</t>
  </si>
  <si>
    <t xml:space="preserve">Shane.Roden@house.mo.gov </t>
  </si>
  <si>
    <t>Wilemon</t>
  </si>
  <si>
    <t>Vescovo</t>
  </si>
  <si>
    <t>573-751-3607</t>
  </si>
  <si>
    <t xml:space="preserve">Rob.Vescovo@house.mo.gov </t>
  </si>
  <si>
    <t>Gazelka</t>
  </si>
  <si>
    <t>sen.paul.gazelka@senate.mn</t>
  </si>
  <si>
    <t>McMahan</t>
  </si>
  <si>
    <t>Shaul</t>
  </si>
  <si>
    <t>Elections and elected official (chair)</t>
  </si>
  <si>
    <t>Financial institutions</t>
  </si>
  <si>
    <t>573-751-2504</t>
  </si>
  <si>
    <t xml:space="preserve">Dan.Shaul@house.mo.gov </t>
  </si>
  <si>
    <t>Hob</t>
  </si>
  <si>
    <t>573-751-4451</t>
  </si>
  <si>
    <t xml:space="preserve">Becky.Ruth@house.mo.gov </t>
  </si>
  <si>
    <t>Ruud</t>
  </si>
  <si>
    <t>sen.carrie.ruud@senate.mn</t>
  </si>
  <si>
    <t>Jolly</t>
  </si>
  <si>
    <t>Lourey</t>
  </si>
  <si>
    <t>sen.tony.lourey@senate.mn</t>
  </si>
  <si>
    <t>Tollison</t>
  </si>
  <si>
    <t>573-751-7735</t>
  </si>
  <si>
    <t xml:space="preserve">Elaine.Gannon@house.mo.gov </t>
  </si>
  <si>
    <t>Torrey</t>
  </si>
  <si>
    <t>573-751-3455</t>
  </si>
  <si>
    <t>Whaley</t>
  </si>
  <si>
    <t>Agriculture, Rural Developement and Housing Finiance (Chair)</t>
  </si>
  <si>
    <t>sen.torrey.westrom@senate.mn</t>
  </si>
  <si>
    <t>Howe</t>
  </si>
  <si>
    <t>sen.jeff.howe@senate.mn</t>
  </si>
  <si>
    <t>Workforce development (vice chair)</t>
  </si>
  <si>
    <t>573-751-2317</t>
  </si>
  <si>
    <t xml:space="preserve">Mike.Henderson@house.mo.gov </t>
  </si>
  <si>
    <t>McGirl</t>
  </si>
  <si>
    <t>573-751-2398</t>
  </si>
  <si>
    <t>Relph</t>
  </si>
  <si>
    <t>sen.jerry.relph@senate.mn</t>
  </si>
  <si>
    <t>573-751-0549</t>
  </si>
  <si>
    <t xml:space="preserve">Nate.Tate@house.mo.gov </t>
  </si>
  <si>
    <t>Mathews</t>
  </si>
  <si>
    <t>sen.andrew.mathews@senate.mn</t>
  </si>
  <si>
    <t>Admin and accounts</t>
  </si>
  <si>
    <t>573-751-1688</t>
  </si>
  <si>
    <t xml:space="preserve">Jason.Chipman@house.mo.gov </t>
  </si>
  <si>
    <t>Mayhew</t>
  </si>
  <si>
    <t>Conservation and Natural resources</t>
  </si>
  <si>
    <t>573-751-3834</t>
  </si>
  <si>
    <t>Chassaniol</t>
  </si>
  <si>
    <t>Dahms</t>
  </si>
  <si>
    <t>573-751-1446</t>
  </si>
  <si>
    <t xml:space="preserve">Steve.Lynch@house.mo.gov </t>
  </si>
  <si>
    <t>sen.gary.dahms@senate.mn</t>
  </si>
  <si>
    <t>Suzie</t>
  </si>
  <si>
    <t>Pollock</t>
  </si>
  <si>
    <t>573-751-1119</t>
  </si>
  <si>
    <t>sen.andrew.lang@senate.mn</t>
  </si>
  <si>
    <t>Rule</t>
  </si>
  <si>
    <t>573-751-3604</t>
  </si>
  <si>
    <t xml:space="preserve">Rocky.Miller@house.mo.gov </t>
  </si>
  <si>
    <t>Newman</t>
  </si>
  <si>
    <t>sen.scott.newman@senate.mn</t>
  </si>
  <si>
    <t>Younger</t>
  </si>
  <si>
    <t>573-751-4065</t>
  </si>
  <si>
    <t xml:space="preserve">Warren.Love@house.mo.gov </t>
  </si>
  <si>
    <t>Jenifer</t>
  </si>
  <si>
    <t>Patrica</t>
  </si>
  <si>
    <t>Branning</t>
  </si>
  <si>
    <t>Frentz</t>
  </si>
  <si>
    <t>sen.nick.frentz@senate.mn</t>
  </si>
  <si>
    <t>Pike</t>
  </si>
  <si>
    <t>Pensions (chair)</t>
  </si>
  <si>
    <t>573-751-5388</t>
  </si>
  <si>
    <t xml:space="preserve">Patricia.Pike@house.mo.gov </t>
  </si>
  <si>
    <t>573-751-2165</t>
  </si>
  <si>
    <t>Blackwell</t>
  </si>
  <si>
    <t>Draheim</t>
  </si>
  <si>
    <t>sen.rich.draheim@senate.mn</t>
  </si>
  <si>
    <t>Harkins</t>
  </si>
  <si>
    <t>Health and Mental Health Policy (Chair)</t>
  </si>
  <si>
    <t>agriculture policy</t>
  </si>
  <si>
    <t>573-751-1347</t>
  </si>
  <si>
    <t xml:space="preserve">Mike.Stephens@house.mo.gov </t>
  </si>
  <si>
    <t>Goggin</t>
  </si>
  <si>
    <t>sen.mike.goggin@senate.mn</t>
  </si>
  <si>
    <t>Eugene</t>
  </si>
  <si>
    <t>573-751-1167</t>
  </si>
  <si>
    <t xml:space="preserve">Jeff.Knight@house.mo.gov </t>
  </si>
  <si>
    <t>sen.bill.weber@senate.mn</t>
  </si>
  <si>
    <t>Briggs</t>
  </si>
  <si>
    <t>Messenger</t>
  </si>
  <si>
    <t>Majority Caucus Policy Chair</t>
  </si>
  <si>
    <t>573-751-2381</t>
  </si>
  <si>
    <t xml:space="preserve">Jeff.Messenger@house.mo.gov </t>
  </si>
  <si>
    <t>sen.julie.rosen@senate.mn</t>
  </si>
  <si>
    <t>573-751-2948</t>
  </si>
  <si>
    <t xml:space="preserve">Sonya.Anderson@house.mo.gov </t>
  </si>
  <si>
    <t>Crystal</t>
  </si>
  <si>
    <t>Quade</t>
  </si>
  <si>
    <t>Jasinski</t>
  </si>
  <si>
    <t>573-751-3795</t>
  </si>
  <si>
    <t xml:space="preserve">Crystal.Quade@house.mo.gov </t>
  </si>
  <si>
    <t>sen.john.jasinski@senate.mn</t>
  </si>
  <si>
    <t>Horhn</t>
  </si>
  <si>
    <t>Senjem</t>
  </si>
  <si>
    <t>sen.dave.senjem@senate.mn</t>
  </si>
  <si>
    <t>higher education</t>
  </si>
  <si>
    <t>573-751-0136</t>
  </si>
  <si>
    <t xml:space="preserve">Curtis.Trent@house.mo.gov </t>
  </si>
  <si>
    <t>Carla</t>
  </si>
  <si>
    <t>Sollie</t>
  </si>
  <si>
    <t>Haahr</t>
  </si>
  <si>
    <t>573-751-2210</t>
  </si>
  <si>
    <t xml:space="preserve">Elijah.Haahr@house.mo.gov </t>
  </si>
  <si>
    <t>sen.carla.nelson@senate.mn</t>
  </si>
  <si>
    <t>Helms</t>
  </si>
  <si>
    <t>professional registration and licensing (vice chair)</t>
  </si>
  <si>
    <t>573-751-9809</t>
  </si>
  <si>
    <t xml:space="preserve">Steve.Helms@house.mo.gov </t>
  </si>
  <si>
    <t>Norwood</t>
  </si>
  <si>
    <t>Fishel</t>
  </si>
  <si>
    <t>Local GOv (vice chair)</t>
  </si>
  <si>
    <t>573-751-0232</t>
  </si>
  <si>
    <t>573-751-3819</t>
  </si>
  <si>
    <t>Sparks</t>
  </si>
  <si>
    <t>sen.dan.sparks@senate.mn</t>
  </si>
  <si>
    <t>573-751-3851</t>
  </si>
  <si>
    <t>Blount</t>
  </si>
  <si>
    <t>Jered</t>
  </si>
  <si>
    <t>sen.jeremy.miller@senate.mn</t>
  </si>
  <si>
    <t>general laws (vice chair)</t>
  </si>
  <si>
    <t>Downsizing gov (chair)</t>
  </si>
  <si>
    <t>573-751-3833</t>
  </si>
  <si>
    <t xml:space="preserve">Jered.Taylor@house.mo.gov </t>
  </si>
  <si>
    <t>Health and Mental Health Policy (vice chair)</t>
  </si>
  <si>
    <t>573-751-2565</t>
  </si>
  <si>
    <t xml:space="preserve">Lynn.Morris@house.mo.gov </t>
  </si>
  <si>
    <t>Military and Veteran's affairs (Chair)</t>
  </si>
  <si>
    <t>sen.bruce.anderson@senate.mn</t>
  </si>
  <si>
    <t>Videt</t>
  </si>
  <si>
    <t>573-751-2205</t>
  </si>
  <si>
    <t xml:space="preserve">Hannah.Kelly@house.mo.gov </t>
  </si>
  <si>
    <t>Kiffmeyer</t>
  </si>
  <si>
    <t>Government Finance and Policy and Elections (Chair)</t>
  </si>
  <si>
    <t>sen.mary.kiffmeyer@senate.mn</t>
  </si>
  <si>
    <t>Professional registration and licensing (chair)</t>
  </si>
  <si>
    <t>573-751-1490</t>
  </si>
  <si>
    <t xml:space="preserve">Robert.Ross@house.mo.gov </t>
  </si>
  <si>
    <t>HHS (Chair)</t>
  </si>
  <si>
    <t>sen.michelle.benson@senate.mn</t>
  </si>
  <si>
    <t>Pogue</t>
  </si>
  <si>
    <t>573-751-2264</t>
  </si>
  <si>
    <t xml:space="preserve">Jeff.Pogue@house.mo.gov </t>
  </si>
  <si>
    <t>Caughman</t>
  </si>
  <si>
    <t>Koran</t>
  </si>
  <si>
    <t>sen.mark.koran@senate.mn</t>
  </si>
  <si>
    <t>Dinkins</t>
  </si>
  <si>
    <t>Majority Caucus Secretary</t>
  </si>
  <si>
    <t>573-751-2112</t>
  </si>
  <si>
    <t xml:space="preserve">Chris.Dinkins@house.mo.gov </t>
  </si>
  <si>
    <t>Osmek</t>
  </si>
  <si>
    <t>sen.david.osmek@senate.mn</t>
  </si>
  <si>
    <t>Dearing</t>
  </si>
  <si>
    <t>Agriculutre (vice chair)</t>
  </si>
  <si>
    <t>Finanical institutions</t>
  </si>
  <si>
    <t>573-751-5912</t>
  </si>
  <si>
    <t xml:space="preserve">Rick.Francis@house.mo.gov </t>
  </si>
  <si>
    <t>Hovis</t>
  </si>
  <si>
    <t>573-751-6662</t>
  </si>
  <si>
    <t>Limmer</t>
  </si>
  <si>
    <t>Witherspoon</t>
  </si>
  <si>
    <t>Kathryn</t>
  </si>
  <si>
    <t>sen.warren.limmer@senate.mn</t>
  </si>
  <si>
    <t>Swan</t>
  </si>
  <si>
    <t>Workforce development (ahir)</t>
  </si>
  <si>
    <t>Doty</t>
  </si>
  <si>
    <t>573-751-1443</t>
  </si>
  <si>
    <t xml:space="preserve">Kathryn.Swan@house.mo.gov </t>
  </si>
  <si>
    <t>Abeler</t>
  </si>
  <si>
    <t>sen.jim.abeler@senate.mn</t>
  </si>
  <si>
    <t>Rehder</t>
  </si>
  <si>
    <t>573-751-5471</t>
  </si>
  <si>
    <t xml:space="preserve">Holly.Rehder@house.mo.gov </t>
  </si>
  <si>
    <t>sen.john.hoffman@senate.mn</t>
  </si>
  <si>
    <t>Fillingane</t>
  </si>
  <si>
    <t>Rone</t>
  </si>
  <si>
    <t>573-751-4085</t>
  </si>
  <si>
    <t xml:space="preserve">Don.Rone@house.mo.gov </t>
  </si>
  <si>
    <t>sen.jerry.newton@senate.mn</t>
  </si>
  <si>
    <t>Chamberlain</t>
  </si>
  <si>
    <t>Crime Prevention and Public Safety (vice chair)</t>
  </si>
  <si>
    <t>573-751-3629</t>
  </si>
  <si>
    <t>sen.roger.chamberlain@senate.mn</t>
  </si>
  <si>
    <t xml:space="preserve">Andrew.McDaniel@house.mo.gov </t>
  </si>
  <si>
    <t>DeBar</t>
  </si>
  <si>
    <t>Morse</t>
  </si>
  <si>
    <t>Housley</t>
  </si>
  <si>
    <t>573-751-1494</t>
  </si>
  <si>
    <t xml:space="preserve">Herman.Morse@house.mo.gov </t>
  </si>
  <si>
    <t>sen.karin.housley@senate.mn</t>
  </si>
  <si>
    <t>Billington</t>
  </si>
  <si>
    <t>573-751-4039</t>
  </si>
  <si>
    <t>Polk</t>
  </si>
  <si>
    <t>Shawan</t>
  </si>
  <si>
    <t>proeffesional registration and icensing</t>
  </si>
  <si>
    <t>573-751-1066</t>
  </si>
  <si>
    <t>573-751-1455</t>
  </si>
  <si>
    <t>Eslinger</t>
  </si>
  <si>
    <t>Eaton</t>
  </si>
  <si>
    <t>573-751-2042</t>
  </si>
  <si>
    <t>sen.chris.eaton@senate.mn</t>
  </si>
  <si>
    <t>Laine</t>
  </si>
  <si>
    <t>sen.carolyn.laine@senate.mn</t>
  </si>
  <si>
    <t>Justus</t>
  </si>
  <si>
    <t>573-751-1309</t>
  </si>
  <si>
    <t xml:space="preserve">Jeffery.Justus@house.mo.gov </t>
  </si>
  <si>
    <t>Isaacson</t>
  </si>
  <si>
    <t>sen.jason.isaacson@senate.mn</t>
  </si>
  <si>
    <t>Seymour</t>
  </si>
  <si>
    <t>Wiger</t>
  </si>
  <si>
    <t>Children and families</t>
  </si>
  <si>
    <t>573-751-4077</t>
  </si>
  <si>
    <t>sen.chuck.wiger@senate.mn</t>
  </si>
  <si>
    <t xml:space="preserve">Mike.Moon@house.mo.gov </t>
  </si>
  <si>
    <t>Dirk</t>
  </si>
  <si>
    <t>Deaton</t>
  </si>
  <si>
    <t>573-751-9801</t>
  </si>
  <si>
    <t>Dawkins</t>
  </si>
  <si>
    <t>sen.paul.anderson@senate.mn</t>
  </si>
  <si>
    <t>Downsizing State Goc</t>
  </si>
  <si>
    <t>573-751-9781</t>
  </si>
  <si>
    <t>Tindell</t>
  </si>
  <si>
    <t>573-751-3791</t>
  </si>
  <si>
    <t>Rest</t>
  </si>
  <si>
    <t>Bromley</t>
  </si>
  <si>
    <t>sen.ann.rest@senate.mn</t>
  </si>
  <si>
    <t>573-751-7082</t>
  </si>
  <si>
    <t>Cody</t>
  </si>
  <si>
    <t>Gollott</t>
  </si>
  <si>
    <t>Latz</t>
  </si>
  <si>
    <t>Judiciary (Ranking Minority Member)</t>
  </si>
  <si>
    <t>sen.ron.latz@senate.mn</t>
  </si>
  <si>
    <t>Jensen</t>
  </si>
  <si>
    <t>sen.scott.jensen@senate.mn</t>
  </si>
  <si>
    <t>Budget (chair)</t>
  </si>
  <si>
    <t>573-751-5458</t>
  </si>
  <si>
    <t xml:space="preserve">Cody.Smith@house.mo.gov </t>
  </si>
  <si>
    <t>Brice</t>
  </si>
  <si>
    <t>Cwodzinski</t>
  </si>
  <si>
    <t>sen.steve.cwodzinski@senate.mn</t>
  </si>
  <si>
    <t>Melisa</t>
  </si>
  <si>
    <t>Wiggins</t>
  </si>
  <si>
    <t>Franzen</t>
  </si>
  <si>
    <t>sen.melisa.franzen@senate.mn</t>
  </si>
  <si>
    <t>Sifton</t>
  </si>
  <si>
    <t>Judiciary and Civil and Criminal Jurisprudience</t>
  </si>
  <si>
    <t>Insurance and banking</t>
  </si>
  <si>
    <t>local gov</t>
  </si>
  <si>
    <t>(573) 751-0220</t>
  </si>
  <si>
    <t>Wiklund</t>
  </si>
  <si>
    <t>sen.melissa.wiklund@senate.mn</t>
  </si>
  <si>
    <t>Bennue</t>
  </si>
  <si>
    <t>Guest</t>
  </si>
  <si>
    <t>Palazzo</t>
  </si>
  <si>
    <t>Runoff</t>
  </si>
  <si>
    <t>Wicker</t>
  </si>
  <si>
    <t>Onder</t>
  </si>
  <si>
    <t>Judiciary and Civil and Criminal Jurisprudience (vice chair)</t>
  </si>
  <si>
    <t>Health and Pensions (chair)</t>
  </si>
  <si>
    <t>sen.jim.carlson@senate.mn</t>
  </si>
  <si>
    <t>Ways and means</t>
  </si>
  <si>
    <t>(573) 751-1282</t>
  </si>
  <si>
    <t>Bob.Onder@senate.mo.gov</t>
  </si>
  <si>
    <t>sen.matt.klein@senate.mn</t>
  </si>
  <si>
    <t>Romine</t>
  </si>
  <si>
    <t>Seniors, Families, Children</t>
  </si>
  <si>
    <t xml:space="preserve">Economic Development </t>
  </si>
  <si>
    <t>(573) 751-4008</t>
  </si>
  <si>
    <t>sen.susan.kent@senate.mn</t>
  </si>
  <si>
    <t>Gov. Reform</t>
  </si>
  <si>
    <t>(573) 751-3599</t>
  </si>
  <si>
    <t>Jamilah</t>
  </si>
  <si>
    <t>Bigham</t>
  </si>
  <si>
    <t>sen.karla.bigham@senate.mn</t>
  </si>
  <si>
    <t>Nasheed</t>
  </si>
  <si>
    <t>Minority Caucus Whip</t>
  </si>
  <si>
    <t>Fiscal oversight</t>
  </si>
  <si>
    <t>Gubernatorial appointments</t>
  </si>
  <si>
    <t>(573) 751-4415</t>
  </si>
  <si>
    <t>Jamilah.Nasheed@senate.mo.gov</t>
  </si>
  <si>
    <t>sen.eric.pratt@senate.mn</t>
  </si>
  <si>
    <t>Bernskoetter</t>
  </si>
  <si>
    <t>Small Buisness</t>
  </si>
  <si>
    <t>(573) 751-2076</t>
  </si>
  <si>
    <t>sen.dan.hall@senate.mn</t>
  </si>
  <si>
    <t>Holsman</t>
  </si>
  <si>
    <t>Health and Provisions</t>
  </si>
  <si>
    <t>(573) 751-6607</t>
  </si>
  <si>
    <t>Clausen</t>
  </si>
  <si>
    <t>sen.greg.clausen@senate.mn</t>
  </si>
  <si>
    <t>Cierpiot</t>
  </si>
  <si>
    <t>(573) 751-1464</t>
  </si>
  <si>
    <t>Mike.Cierpiot@senate.mo.gov</t>
  </si>
  <si>
    <t>sen.matt.little@senate.mn</t>
  </si>
  <si>
    <t>Kiki</t>
  </si>
  <si>
    <t>Champion</t>
  </si>
  <si>
    <t>sen.bobby.champion@senate.mn</t>
  </si>
  <si>
    <t>Curls</t>
  </si>
  <si>
    <t>Assistant Minority Floor leader</t>
  </si>
  <si>
    <t>Progress and Development (vice chair)</t>
  </si>
  <si>
    <t>(573) 751-3158</t>
  </si>
  <si>
    <t>https://www.senate.mo.gov/D09WebApps/Contact.aspx</t>
  </si>
  <si>
    <t>Kari</t>
  </si>
  <si>
    <t>Dziedzic</t>
  </si>
  <si>
    <t>sen.kari.dziedzic@senate.mn</t>
  </si>
  <si>
    <t>Jeanie</t>
  </si>
  <si>
    <t>Riddle</t>
  </si>
  <si>
    <t>Majority caucus secretary</t>
  </si>
  <si>
    <t>Seniors, Families, and children</t>
  </si>
  <si>
    <t>Dibble</t>
  </si>
  <si>
    <t>Commerce (vice chair)</t>
  </si>
  <si>
    <t>(573) 751-2757</t>
  </si>
  <si>
    <t>sen.scott.dibble@senate.mn</t>
  </si>
  <si>
    <t>https://www.senate.mo.gov/D10WebApps/Contact.aspx</t>
  </si>
  <si>
    <t>Hayden</t>
  </si>
  <si>
    <t>sen.jeff.hayden@senate.mn</t>
  </si>
  <si>
    <t>Rizzo</t>
  </si>
  <si>
    <t>(573) 751-3074</t>
  </si>
  <si>
    <t>john.rizzo@senate.mo.gov</t>
  </si>
  <si>
    <t>TorresRay</t>
  </si>
  <si>
    <t>sen.patricia.torresray@senate.mn</t>
  </si>
  <si>
    <t>Hegeman</t>
  </si>
  <si>
    <t>(573) 751-1415</t>
  </si>
  <si>
    <t>https://www.senate.mo.gov/D12WebApps/Contact.aspx</t>
  </si>
  <si>
    <t>sen.dick.cohen@senate.mn</t>
  </si>
  <si>
    <t>Minority Floor leader</t>
  </si>
  <si>
    <t>insurance and banking</t>
  </si>
  <si>
    <t>administration</t>
  </si>
  <si>
    <t>(573) 751-2420</t>
  </si>
  <si>
    <t>https://www.senate.mo.gov/D13WebApps/Contact.aspx</t>
  </si>
  <si>
    <t>Pappas</t>
  </si>
  <si>
    <t>sen.sandy.pappas@senate.mn</t>
  </si>
  <si>
    <t>Progress and Development</t>
  </si>
  <si>
    <t>Gov. reform</t>
  </si>
  <si>
    <t>sen.john.marty@senate.mn</t>
  </si>
  <si>
    <t>Foung</t>
  </si>
  <si>
    <t>Hawj</t>
  </si>
  <si>
    <t>sen.foung.hawj@senate.mn</t>
  </si>
  <si>
    <t>Health and Pensions (vice chair)</t>
  </si>
  <si>
    <t>(573) 751-5568</t>
  </si>
  <si>
    <t>https://www.senate.mo.gov/D15WebApps/Contact.aspx</t>
  </si>
  <si>
    <t>Walz</t>
  </si>
  <si>
    <t>Hagedorn</t>
  </si>
  <si>
    <t>Government Reform</t>
  </si>
  <si>
    <t>(573) 751-5713</t>
  </si>
  <si>
    <t>Dan.Brown@senate.mo.gov</t>
  </si>
  <si>
    <t>Ilhan</t>
  </si>
  <si>
    <t>Emmer</t>
  </si>
  <si>
    <t>Collin</t>
  </si>
  <si>
    <t>Stauber</t>
  </si>
  <si>
    <t>(573) 751-5282</t>
  </si>
  <si>
    <t>Lauren.Arthur@senate.mo.gov</t>
  </si>
  <si>
    <t>O'Laughlin</t>
  </si>
  <si>
    <t>Government Reform (vice chair)</t>
  </si>
  <si>
    <t>Seniors, Families, and children (vice chair)</t>
  </si>
  <si>
    <t>Klobuchar</t>
  </si>
  <si>
    <t>Caleb</t>
  </si>
  <si>
    <t>Rowden</t>
  </si>
  <si>
    <t>Rules (chair)</t>
  </si>
  <si>
    <t>Administration (vice chair)</t>
  </si>
  <si>
    <t xml:space="preserve">Gubernatorial appts </t>
  </si>
  <si>
    <t>(573) 751-3931</t>
  </si>
  <si>
    <t>https://www.senate.mo.gov/D19WebApps/Contact.aspx</t>
  </si>
  <si>
    <t>Burlison</t>
  </si>
  <si>
    <t>Gov Reform</t>
  </si>
  <si>
    <t>Insurance and Banking</t>
  </si>
  <si>
    <t>Hoskins</t>
  </si>
  <si>
    <t>(573) 751-4302</t>
  </si>
  <si>
    <t>https://www.senate.mo.gov/D21WebApps/contact.aspx</t>
  </si>
  <si>
    <t>Wieland</t>
  </si>
  <si>
    <t>Insurance and Banking (chair)</t>
  </si>
  <si>
    <t>Gubernatorial appts</t>
  </si>
  <si>
    <t>(573) 751-1492</t>
  </si>
  <si>
    <t>Paul.Wieland@senate.mo.gov</t>
  </si>
  <si>
    <t>Eigel</t>
  </si>
  <si>
    <t>General Laws (chair)</t>
  </si>
  <si>
    <t>Health and Pensions</t>
  </si>
  <si>
    <t>(573) 751-1141</t>
  </si>
  <si>
    <t>Schupp</t>
  </si>
  <si>
    <t>Seniors, Familites, and Children</t>
  </si>
  <si>
    <t>(573) 751-9762</t>
  </si>
  <si>
    <t>Jill.Schupp@senate.mo.gov</t>
  </si>
  <si>
    <t>Libla</t>
  </si>
  <si>
    <t>General laws (vice chair)</t>
  </si>
  <si>
    <t>agricutlure</t>
  </si>
  <si>
    <t>transportation (chair)</t>
  </si>
  <si>
    <t>(573) 751-4843</t>
  </si>
  <si>
    <t>https://www.senate.mo.gov/D25WebApps/Contact.aspx</t>
  </si>
  <si>
    <t>Schatz</t>
  </si>
  <si>
    <t>President Pro team</t>
  </si>
  <si>
    <t>Rules (vice chair)</t>
  </si>
  <si>
    <t>Administration (chair)</t>
  </si>
  <si>
    <t>Gubernatorial appts (chair)</t>
  </si>
  <si>
    <t>(573) 751-3678</t>
  </si>
  <si>
    <t>https://www.senate.mo.gov/D26WebApps/Contact.aspx</t>
  </si>
  <si>
    <t>Wallingford</t>
  </si>
  <si>
    <t>Assistant Majority floor leader</t>
  </si>
  <si>
    <t>Commerce (chair)</t>
  </si>
  <si>
    <t>(573) 751-2459</t>
  </si>
  <si>
    <t>https://www.senate.mo.gov/D27WebApps/Contact.aspx</t>
  </si>
  <si>
    <t>Majority caucus whip</t>
  </si>
  <si>
    <t>Fiscal Oversight</t>
  </si>
  <si>
    <t>(573) 751-8793</t>
  </si>
  <si>
    <t>Sandy.Crawford@senate.mo.gov</t>
  </si>
  <si>
    <t>Sater</t>
  </si>
  <si>
    <t>Fiscal oversight (vice chair)</t>
  </si>
  <si>
    <t>(573) 751-1480</t>
  </si>
  <si>
    <t>https://www.senate.mo.gov/D29WebApps/Webmail.aspx</t>
  </si>
  <si>
    <t>Appropriations (vice chair)</t>
  </si>
  <si>
    <t>Emery</t>
  </si>
  <si>
    <t>Judiciary and Civil and Criminal Jurisprudence</t>
  </si>
  <si>
    <t>Gov Reform (chair)</t>
  </si>
  <si>
    <t>(573) 751-2108</t>
  </si>
  <si>
    <t>https://www.senate.mo.gov/D31WebApps/Contact.aspx</t>
  </si>
  <si>
    <t>Gunderson</t>
  </si>
  <si>
    <t>Steve.Gunderson@mtleg.gov</t>
  </si>
  <si>
    <t>Duram</t>
  </si>
  <si>
    <t>Neil.Duram@mtleg.gov</t>
  </si>
  <si>
    <t>Zac</t>
  </si>
  <si>
    <t>Zac.Perry@mtleg.gov</t>
  </si>
  <si>
    <t>Regier</t>
  </si>
  <si>
    <t>Matt.Regier@mtleg.gov</t>
  </si>
  <si>
    <t>Fern</t>
  </si>
  <si>
    <t>Dave.Fern@mtleg.gov</t>
  </si>
  <si>
    <t>Glimm</t>
  </si>
  <si>
    <t>Carl.Glimm@mtleg.gov</t>
  </si>
  <si>
    <t>frankgarnerhd7@gmail.com</t>
  </si>
  <si>
    <t>Fuller</t>
  </si>
  <si>
    <t>John.Fuller@mtleg.gov</t>
  </si>
  <si>
    <t>DAVID.DUNN@MTLEG.GOV</t>
  </si>
  <si>
    <t>Noland</t>
  </si>
  <si>
    <t>marknolandhd10@gmail.com</t>
  </si>
  <si>
    <t>Skees</t>
  </si>
  <si>
    <t>Derek.Skees@mtleg.gov</t>
  </si>
  <si>
    <t>Hertz</t>
  </si>
  <si>
    <t>greg.hertz@mtleg.gov</t>
  </si>
  <si>
    <t>Bob.Brown@mtleg.gov</t>
  </si>
  <si>
    <t>Denley</t>
  </si>
  <si>
    <t>Loge</t>
  </si>
  <si>
    <t>Denley.Loge@mtleg.gov</t>
  </si>
  <si>
    <t>Weatherwax</t>
  </si>
  <si>
    <t>Marvin.Weatherwax@mtleg.gov</t>
  </si>
  <si>
    <t>Insurance and Banking (vice chair)</t>
  </si>
  <si>
    <t>Approrpriation</t>
  </si>
  <si>
    <t>Economic Devel</t>
  </si>
  <si>
    <t>(573) 751-1882</t>
  </si>
  <si>
    <t>Runningwolf</t>
  </si>
  <si>
    <t>Mike.Cunningham@senate.mo.gov</t>
  </si>
  <si>
    <t>Tyson.rw@mtleg.gov</t>
  </si>
  <si>
    <t>Luetkemeyer</t>
  </si>
  <si>
    <t>Ross.Fitzgerald@mtleg.gov</t>
  </si>
  <si>
    <t>Llew</t>
  </si>
  <si>
    <t>Llew.Jones@mtleg.gov</t>
  </si>
  <si>
    <t>Mckamey</t>
  </si>
  <si>
    <t>Wendy.McKamey@mtleg.gov</t>
  </si>
  <si>
    <t>Fred.Anderson@mtleg.gov</t>
  </si>
  <si>
    <t>Buttrey</t>
  </si>
  <si>
    <t>Ed.Buttrey@mtleg.gov</t>
  </si>
  <si>
    <t>Parson</t>
  </si>
  <si>
    <t>Lola.Sheldon-Galloway@mtleg.gov</t>
  </si>
  <si>
    <t>(573) 751-3222</t>
  </si>
  <si>
    <t>https://governor.mo.gov/contact-us</t>
  </si>
  <si>
    <t>Hamlett</t>
  </si>
  <si>
    <t>Bradley.Hamlett@mtleg.gov</t>
  </si>
  <si>
    <t>Bessette</t>
  </si>
  <si>
    <t>Barbara.Bessette@mtleg.gov</t>
  </si>
  <si>
    <t>Jasmine</t>
  </si>
  <si>
    <t>Krotkov</t>
  </si>
  <si>
    <t>Jasmine.Krotkov@mtleg.gov</t>
  </si>
  <si>
    <t>Schreiner</t>
  </si>
  <si>
    <t>Casey.Schreiner@mtleg.gov</t>
  </si>
  <si>
    <t>Kassmier</t>
  </si>
  <si>
    <t>Joshua.Kassmier@mtleg.gov</t>
  </si>
  <si>
    <t>Lacy</t>
  </si>
  <si>
    <t>Bachmeier</t>
  </si>
  <si>
    <t>Jbachmeier4hd28@gmail.com</t>
  </si>
  <si>
    <t>Bartel</t>
  </si>
  <si>
    <t>Danbartel2@gmail.com</t>
  </si>
  <si>
    <t>Wylie</t>
  </si>
  <si>
    <t>Galt</t>
  </si>
  <si>
    <t>wyliegaltformt@gmail.com</t>
  </si>
  <si>
    <t>Vicky</t>
  </si>
  <si>
    <t>Hartzler</t>
  </si>
  <si>
    <t>Bridget</t>
  </si>
  <si>
    <t>repbsmith@gmail.com</t>
  </si>
  <si>
    <t>Cleaver</t>
  </si>
  <si>
    <t>rep32jwb@gmail.com</t>
  </si>
  <si>
    <t>Knudsen</t>
  </si>
  <si>
    <t>Casey.Knudsen@mtleg.gov</t>
  </si>
  <si>
    <t>Rhonda.Knudsen@mtleg.gov</t>
  </si>
  <si>
    <t>Krautter</t>
  </si>
  <si>
    <t>Joel.Krautter@mtleg.gov</t>
  </si>
  <si>
    <t>Doane</t>
  </si>
  <si>
    <t>alandoane@midrivers.com</t>
  </si>
  <si>
    <t>Hawley</t>
  </si>
  <si>
    <t>Eric.Moore@mtleg.gov</t>
  </si>
  <si>
    <t>Blunt</t>
  </si>
  <si>
    <t>Holmlund</t>
  </si>
  <si>
    <t>Ken.Holmlund@mtleg.gov</t>
  </si>
  <si>
    <t>Custer</t>
  </si>
  <si>
    <t>Geraldine.Custer@mtleg.gov</t>
  </si>
  <si>
    <t>Usher</t>
  </si>
  <si>
    <t>Barry.Usher@mtleg.gov</t>
  </si>
  <si>
    <t>Rae</t>
  </si>
  <si>
    <t>Peppers</t>
  </si>
  <si>
    <t>Rae.Peppers@mtleg.gov</t>
  </si>
  <si>
    <t>Stewart-Peregoy</t>
  </si>
  <si>
    <t>Sharon.StewartPeregoy@mtleg.gov</t>
  </si>
  <si>
    <t>Webb4house@gmail.com</t>
  </si>
  <si>
    <t>Mortensen</t>
  </si>
  <si>
    <t>Dale.Mortensen@mtleg.gov</t>
  </si>
  <si>
    <t>Zolnikov</t>
  </si>
  <si>
    <t>Daniel.Zolnikov@mtleg.gov</t>
  </si>
  <si>
    <t>Mercer</t>
  </si>
  <si>
    <t>Bill.Mercer@mtleg.gov</t>
  </si>
  <si>
    <t>Kelker</t>
  </si>
  <si>
    <t>Kathy.Kelker@mtleg.gov</t>
  </si>
  <si>
    <t>Karjala</t>
  </si>
  <si>
    <t>Jessica.Karjala@mtleg.gov</t>
  </si>
  <si>
    <t>Emma</t>
  </si>
  <si>
    <t>Kerr-Carpenter</t>
  </si>
  <si>
    <t>Emma.KC@mtleg.gov</t>
  </si>
  <si>
    <t>Jade</t>
  </si>
  <si>
    <t>Jade.Bahr@mtleg.gov</t>
  </si>
  <si>
    <t>flemingLor5@gmail.com</t>
  </si>
  <si>
    <t>chairmangarcia@aol.com</t>
  </si>
  <si>
    <t>Lenz</t>
  </si>
  <si>
    <t>Dennis.Lenz@mtleg.gov</t>
  </si>
  <si>
    <t>Terry.Moore@mtleg.gov</t>
  </si>
  <si>
    <t>Ricci</t>
  </si>
  <si>
    <t>Vince.Ricci@mtleg.gov</t>
  </si>
  <si>
    <t>Vinton</t>
  </si>
  <si>
    <t>Sue.Vinton@mtleg.gov</t>
  </si>
  <si>
    <t>Forrest</t>
  </si>
  <si>
    <t>Forrest.Mandeville@mtleg.gov</t>
  </si>
  <si>
    <t>Berglee</t>
  </si>
  <si>
    <t>Seth.Berglee@mtleg.gov</t>
  </si>
  <si>
    <t>Redfield</t>
  </si>
  <si>
    <t>Alan.Redfield@mtleg.gov</t>
  </si>
  <si>
    <t>Laurie.Bishop@mtleg.gov</t>
  </si>
  <si>
    <t>Jim.Hamilton@mtleg.gov</t>
  </si>
  <si>
    <t>Woods</t>
  </si>
  <si>
    <t>Tom.Woods@mtleg.gov</t>
  </si>
  <si>
    <t>brownformontana@gmail.com</t>
  </si>
  <si>
    <t>winwithwhite@gmail.com</t>
  </si>
  <si>
    <t>Chris.Pope@mtleg.gov</t>
  </si>
  <si>
    <t>Hayman</t>
  </si>
  <si>
    <t>Denise.Hayman@mtleg.gov</t>
  </si>
  <si>
    <t>Tom.Burnett@mtleg.gov</t>
  </si>
  <si>
    <t>Grubbs</t>
  </si>
  <si>
    <t>Bruce.Grubbs@mtleg.gov</t>
  </si>
  <si>
    <t>Sales</t>
  </si>
  <si>
    <t>Walt.Sales@mtleg.gov</t>
  </si>
  <si>
    <t>Dooling</t>
  </si>
  <si>
    <t>Julie.Dooling@mtleg.gov</t>
  </si>
  <si>
    <t>Ray.Shaw@mtleg.gov</t>
  </si>
  <si>
    <t>Tom.Welch@mtleg.gov</t>
  </si>
  <si>
    <t>Keane</t>
  </si>
  <si>
    <t>None</t>
  </si>
  <si>
    <t>Derek.Harvey@mtleg.gov</t>
  </si>
  <si>
    <t>Devries</t>
  </si>
  <si>
    <t>Greg.DeVries@mtleg.gov</t>
  </si>
  <si>
    <t>Ryan.Lynch@mtleg.gov</t>
  </si>
  <si>
    <t>Mark.Sweeney@mtleg.gov</t>
  </si>
  <si>
    <t>Gordon.Pierson@mtleg.gov</t>
  </si>
  <si>
    <t>Farris-Olsen</t>
  </si>
  <si>
    <t>robformontana@gmail.com</t>
  </si>
  <si>
    <t>Beard</t>
  </si>
  <si>
    <t>becky4hd80@blackfoot.net</t>
  </si>
  <si>
    <t>Caferro</t>
  </si>
  <si>
    <t>marycaferro@gmail.com</t>
  </si>
  <si>
    <t>Moffie</t>
  </si>
  <si>
    <t>Funk</t>
  </si>
  <si>
    <t>Moffie.Funk@mtleg.gov</t>
  </si>
  <si>
    <t>Kim.Abbott@mtleg.gov</t>
  </si>
  <si>
    <t>Maryann</t>
  </si>
  <si>
    <t>Dunwell</t>
  </si>
  <si>
    <t>MaryAnn.Dunwell@mtleg.gov</t>
  </si>
  <si>
    <t>Manzella</t>
  </si>
  <si>
    <t>Theresa.Manzella@mtleg.gov</t>
  </si>
  <si>
    <t>Bedey</t>
  </si>
  <si>
    <t>David.Bedey@mtleg.gov</t>
  </si>
  <si>
    <t>Ballance</t>
  </si>
  <si>
    <t>nancyballance@aol.com</t>
  </si>
  <si>
    <t>Greef</t>
  </si>
  <si>
    <t>Sharon.Greef@mtleg.gov</t>
  </si>
  <si>
    <t>Mcconnell</t>
  </si>
  <si>
    <t>Katie.Sullivan@mtleg.gov</t>
  </si>
  <si>
    <t>Marler</t>
  </si>
  <si>
    <t>Marilyn.Marler@mtleg.gov</t>
  </si>
  <si>
    <t>Keogh</t>
  </si>
  <si>
    <t>Connie.Keogh@mtleg.gov</t>
  </si>
  <si>
    <t>Mike.Hopkins@mtleg.gov</t>
  </si>
  <si>
    <t>joeread2019mt@gmail.com</t>
  </si>
  <si>
    <t>Dudik</t>
  </si>
  <si>
    <t>kimberly.dudik@gmail.com</t>
  </si>
  <si>
    <t>Morigeau</t>
  </si>
  <si>
    <t>Shane.Morigeau@mtleg.gov</t>
  </si>
  <si>
    <t>Tom.Winter@mtleg.gov</t>
  </si>
  <si>
    <t>Tschida</t>
  </si>
  <si>
    <t>Brad.Tschida@mtleg.gov</t>
  </si>
  <si>
    <t>Curdy</t>
  </si>
  <si>
    <t>Willis.Curdy@mtleg.gov</t>
  </si>
  <si>
    <t>Marilyn.Ryan@mtleg.gov</t>
  </si>
  <si>
    <t>Andrea.Olsen@mtleg.gov</t>
  </si>
  <si>
    <t>Cuffe</t>
  </si>
  <si>
    <t>mcuffe@interbell.net</t>
  </si>
  <si>
    <t>Committee on Committees</t>
  </si>
  <si>
    <t>Dee.Brown@mtleg.gov</t>
  </si>
  <si>
    <t>Keith.Regier@mtleg.gov</t>
  </si>
  <si>
    <t>Blasdel</t>
  </si>
  <si>
    <t>Mark.Blasdel@mtleg.gov</t>
  </si>
  <si>
    <t>Bob.Keenan@mtleg.gov</t>
  </si>
  <si>
    <t>Olszewski</t>
  </si>
  <si>
    <t>Albert.Olszewski@mtleg.gov</t>
  </si>
  <si>
    <t>Fielder</t>
  </si>
  <si>
    <t>Jennifer.Fielder@mtleg.gov</t>
  </si>
  <si>
    <t>Susan.Webber@mtleg.gov</t>
  </si>
  <si>
    <t>Bruce.Gillespie@mtleg.gov</t>
  </si>
  <si>
    <t>Fitzpatrick</t>
  </si>
  <si>
    <t>Steve.Fitzpatrick@mtleg.gov</t>
  </si>
  <si>
    <t>Jacobson</t>
  </si>
  <si>
    <t>Tom.Jacobson@mtleg.gov</t>
  </si>
  <si>
    <t>Boland</t>
  </si>
  <si>
    <t>Carlie.Boland@mtleg.gov</t>
  </si>
  <si>
    <t>Hoven</t>
  </si>
  <si>
    <t>Brian.Hoven@mtleg.gov</t>
  </si>
  <si>
    <t>Russel</t>
  </si>
  <si>
    <t>Tempel</t>
  </si>
  <si>
    <t>Russ.Tempel@mtleg.gov</t>
  </si>
  <si>
    <t>ryanosmundson@gmail.com</t>
  </si>
  <si>
    <t>Frank.Smith@mtleg.gov</t>
  </si>
  <si>
    <t>Mike.Lang@mtleg.gov</t>
  </si>
  <si>
    <t>Hinebauch</t>
  </si>
  <si>
    <t>Steve.Hinebauch@mtleg.gov</t>
  </si>
  <si>
    <t>Bogner</t>
  </si>
  <si>
    <t>Kenneth.Bogner@mtleg.gov</t>
  </si>
  <si>
    <t>Ankney</t>
  </si>
  <si>
    <t>goodwind1.duane@gmail.com</t>
  </si>
  <si>
    <t>Small</t>
  </si>
  <si>
    <t>Jason.Small@mtleg.gov</t>
  </si>
  <si>
    <t>Kary</t>
  </si>
  <si>
    <t>Doug.Kary@mtleg.gov</t>
  </si>
  <si>
    <t>webb4mt@hotmail.com</t>
  </si>
  <si>
    <t>Mcnally</t>
  </si>
  <si>
    <t>Mary.McNally@mtleg.gov</t>
  </si>
  <si>
    <t>Gross</t>
  </si>
  <si>
    <t>Jen.Gross@mtleg.gov</t>
  </si>
  <si>
    <t>Macdonald</t>
  </si>
  <si>
    <t>Margie.MacDonald@mtleg.gov</t>
  </si>
  <si>
    <t>Cary.Smith@mtleg.gov</t>
  </si>
  <si>
    <t>Tom.Richmond@mtleg.gov</t>
  </si>
  <si>
    <t>David.Howard@mtleg.gov</t>
  </si>
  <si>
    <t>Esp</t>
  </si>
  <si>
    <t>johnesp2001@yahoo.com</t>
  </si>
  <si>
    <t>mikephillips@montana.net</t>
  </si>
  <si>
    <t>Pat.Flowers@mtleg.gov</t>
  </si>
  <si>
    <t>Pomnichowski</t>
  </si>
  <si>
    <t>jp.pomnichowski@mtleg.gov</t>
  </si>
  <si>
    <t>Gordon.Vance@mtleg.gov</t>
  </si>
  <si>
    <t>Scott.Sales@mtleg.gov</t>
  </si>
  <si>
    <t>Welborn</t>
  </si>
  <si>
    <t>Jeff.Welborn@mtleg.gov</t>
  </si>
  <si>
    <t>Sesso</t>
  </si>
  <si>
    <t>jon.sesso@mtleg.gov</t>
  </si>
  <si>
    <t>Mcclafferty</t>
  </si>
  <si>
    <t>Edie.McClafferty@mtleg.gov</t>
  </si>
  <si>
    <t>Vuckovich</t>
  </si>
  <si>
    <t>Gene.Vuckovich@mtleg.gov</t>
  </si>
  <si>
    <t>Gauthier</t>
  </si>
  <si>
    <t>Terry.Gauthier@mtleg.gov</t>
  </si>
  <si>
    <t>Janet.Ellis@mtleg.gov</t>
  </si>
  <si>
    <t>Cohenour</t>
  </si>
  <si>
    <t>Jill.Cohenour@mtleg.gov</t>
  </si>
  <si>
    <t>Jason.Ellsworth@mtleg.gov</t>
  </si>
  <si>
    <t>Fred.Thomas@mtleg.gov</t>
  </si>
  <si>
    <t>rnewbar@gmail.com</t>
  </si>
  <si>
    <t>Malek</t>
  </si>
  <si>
    <t>senatormalek@gmail.com</t>
  </si>
  <si>
    <t>Salomon</t>
  </si>
  <si>
    <t>dan.salomon@mtleg.gov</t>
  </si>
  <si>
    <t>Nate.McConnell@mtleg.gov</t>
  </si>
  <si>
    <t>Sands</t>
  </si>
  <si>
    <t>Diane.Sands@mtleg.gov</t>
  </si>
  <si>
    <t>bennettformontana@gmail.com</t>
  </si>
  <si>
    <t>Unicam</t>
  </si>
  <si>
    <t>Watermeier</t>
  </si>
  <si>
    <t>Approproiations (Mem)</t>
  </si>
  <si>
    <t>(402) 471-2733</t>
  </si>
  <si>
    <t>Clements</t>
  </si>
  <si>
    <t>(402) 471-2613</t>
  </si>
  <si>
    <t>Blood</t>
  </si>
  <si>
    <t>(402) 471-2627</t>
  </si>
  <si>
    <t>Hilkemann</t>
  </si>
  <si>
    <t>(402) 471-2621</t>
  </si>
  <si>
    <t>McDonnell</t>
  </si>
  <si>
    <t>(402) 471-2710</t>
  </si>
  <si>
    <t>Machaela</t>
  </si>
  <si>
    <t>Cavanaugh</t>
  </si>
  <si>
    <t>(402) 471-2721</t>
  </si>
  <si>
    <t>(402) 471-2723</t>
  </si>
  <si>
    <t>DeBoer</t>
  </si>
  <si>
    <t>Chambers</t>
  </si>
  <si>
    <t>(402) 471-2612</t>
  </si>
  <si>
    <t>Lathrop</t>
  </si>
  <si>
    <t>(402) 471-2727</t>
  </si>
  <si>
    <t>Arch</t>
  </si>
  <si>
    <t>Lynne</t>
  </si>
  <si>
    <t>(402) 471-2625</t>
  </si>
  <si>
    <t>Albrecht</t>
  </si>
  <si>
    <t>(402) 471-2716</t>
  </si>
  <si>
    <t>Lindstrom</t>
  </si>
  <si>
    <t>(402) 471-2618</t>
  </si>
  <si>
    <t>Scheer</t>
  </si>
  <si>
    <t>(402) 471-2929</t>
  </si>
  <si>
    <t>McCollister</t>
  </si>
  <si>
    <t>(402) 471-2622</t>
  </si>
  <si>
    <t>Hilgers</t>
  </si>
  <si>
    <t>(402) 471-2673</t>
  </si>
  <si>
    <t>Bostelman</t>
  </si>
  <si>
    <t>402) 471-2719</t>
  </si>
  <si>
    <t>Daniele</t>
  </si>
  <si>
    <t>Kolterman</t>
  </si>
  <si>
    <t>(402) 471-2756</t>
  </si>
  <si>
    <t>Belknap 1</t>
  </si>
  <si>
    <t>Belknap 2</t>
  </si>
  <si>
    <t>Belknap 3</t>
  </si>
  <si>
    <t>Belknap 4</t>
  </si>
  <si>
    <t>Monroe-Moreno</t>
  </si>
  <si>
    <t>Belknap 5</t>
  </si>
  <si>
    <t>Belknap 6</t>
  </si>
  <si>
    <t>Belknap 7</t>
  </si>
  <si>
    <t>Belknap 8</t>
  </si>
  <si>
    <t>Belknap 9</t>
  </si>
  <si>
    <t>Carroll 1</t>
  </si>
  <si>
    <t>Carroll 2</t>
  </si>
  <si>
    <t>Growth &amp; Infrastructure (Chair)</t>
  </si>
  <si>
    <t>Legislative Operations &amp; Elections</t>
  </si>
  <si>
    <t>Geist</t>
  </si>
  <si>
    <t>Carroll 3</t>
  </si>
  <si>
    <t>(402) 471-2731</t>
  </si>
  <si>
    <t>Carroll 4</t>
  </si>
  <si>
    <t>Carroll 5</t>
  </si>
  <si>
    <t>Carroll 6</t>
  </si>
  <si>
    <t>Carroll 7</t>
  </si>
  <si>
    <t>Carroll 8</t>
  </si>
  <si>
    <t>Cheshire 1</t>
  </si>
  <si>
    <t>Cheshire 2</t>
  </si>
  <si>
    <t>Cheshire 3</t>
  </si>
  <si>
    <t>Cheshire 4</t>
  </si>
  <si>
    <t>Cheshire 5</t>
  </si>
  <si>
    <t>Cheshire 6</t>
  </si>
  <si>
    <t>Cheshire 7</t>
  </si>
  <si>
    <t>Cheshire 8</t>
  </si>
  <si>
    <t>Cheshire 9</t>
  </si>
  <si>
    <t>Cheshire 10</t>
  </si>
  <si>
    <t>Cheshire 11</t>
  </si>
  <si>
    <t>Cheshire 12</t>
  </si>
  <si>
    <t>Cheshire 13</t>
  </si>
  <si>
    <t>Cheshire 14</t>
  </si>
  <si>
    <t>Cheshire 15</t>
  </si>
  <si>
    <t>Cheshire 16</t>
  </si>
  <si>
    <t>Coos 1</t>
  </si>
  <si>
    <t>Coos 2</t>
  </si>
  <si>
    <t>Coos 3</t>
  </si>
  <si>
    <t>Coos 4</t>
  </si>
  <si>
    <t>Coos 5</t>
  </si>
  <si>
    <t>Coos 6</t>
  </si>
  <si>
    <t>Coos 7</t>
  </si>
  <si>
    <t>Grafton 1</t>
  </si>
  <si>
    <t>Grafton 2</t>
  </si>
  <si>
    <t>(402) 471-2610</t>
  </si>
  <si>
    <t>Grafton 3</t>
  </si>
  <si>
    <t>Grafton 4</t>
  </si>
  <si>
    <t>North Las Vegas</t>
  </si>
  <si>
    <t>Grafton 5</t>
  </si>
  <si>
    <t>Grafton 6</t>
  </si>
  <si>
    <t>Grafton 7</t>
  </si>
  <si>
    <t>Grafton 8</t>
  </si>
  <si>
    <t>Grafton 9</t>
  </si>
  <si>
    <t>Grafton 10</t>
  </si>
  <si>
    <t>Grafton 11</t>
  </si>
  <si>
    <t>Grafton 12</t>
  </si>
  <si>
    <t>Grafton 13</t>
  </si>
  <si>
    <t>Grafton 14</t>
  </si>
  <si>
    <t>Grafton 15</t>
  </si>
  <si>
    <t>Grafton 16</t>
  </si>
  <si>
    <t>Grafton 17</t>
  </si>
  <si>
    <t>Hillsborough 1</t>
  </si>
  <si>
    <t>Hillsborough 2</t>
  </si>
  <si>
    <t>Hillsborough 3</t>
  </si>
  <si>
    <t>Hillsborough 4</t>
  </si>
  <si>
    <t>Hillsborough 5</t>
  </si>
  <si>
    <t>Hillsborough 6</t>
  </si>
  <si>
    <t>Hillsborough 7</t>
  </si>
  <si>
    <t>Hillsborough 8</t>
  </si>
  <si>
    <t>Hillsborough 9</t>
  </si>
  <si>
    <t>Hillsborough 10</t>
  </si>
  <si>
    <t>Hillsborough 11</t>
  </si>
  <si>
    <t>Hillsborough 12</t>
  </si>
  <si>
    <t>Hillsborough 13</t>
  </si>
  <si>
    <t>Hillsborough 14</t>
  </si>
  <si>
    <t>Hillsborough 15</t>
  </si>
  <si>
    <t>Hillsborough 16</t>
  </si>
  <si>
    <t>Wishart</t>
  </si>
  <si>
    <t>Hillsborough 17</t>
  </si>
  <si>
    <t>(402) 471-2632</t>
  </si>
  <si>
    <t>Hillsborough 18</t>
  </si>
  <si>
    <t>Hillsborough 19</t>
  </si>
  <si>
    <t>Hillsborough 20</t>
  </si>
  <si>
    <t>Hillsborough 21</t>
  </si>
  <si>
    <t>Hillsborough 22</t>
  </si>
  <si>
    <t>Hillsborough 23</t>
  </si>
  <si>
    <t>Hillsborough 24</t>
  </si>
  <si>
    <t>Hillsborough 25</t>
  </si>
  <si>
    <t>Hillsborough 26</t>
  </si>
  <si>
    <t>Hillsborough 27</t>
  </si>
  <si>
    <t>Hillsborough 28</t>
  </si>
  <si>
    <t>Hillsborough 29</t>
  </si>
  <si>
    <t>Hillsborough 30</t>
  </si>
  <si>
    <t>Hillsborough 31</t>
  </si>
  <si>
    <t>Hillsborough 32</t>
  </si>
  <si>
    <t>Hillsborough 33</t>
  </si>
  <si>
    <t>Hillsborough 34</t>
  </si>
  <si>
    <t>Hillsborough 35</t>
  </si>
  <si>
    <t>Hillsborough 36</t>
  </si>
  <si>
    <t>Hillsborough 37</t>
  </si>
  <si>
    <t>Hillsborough 38</t>
  </si>
  <si>
    <t>Hillsborough 39</t>
  </si>
  <si>
    <t>Hillsborough 40</t>
  </si>
  <si>
    <t>(402) 471-2633</t>
  </si>
  <si>
    <t>ppansingbrooks@leg.ne.gov</t>
  </si>
  <si>
    <t>Hillsborough 41</t>
  </si>
  <si>
    <t>Hillsborough 42</t>
  </si>
  <si>
    <t>Hillsborough 43</t>
  </si>
  <si>
    <t>Hillsborough 44</t>
  </si>
  <si>
    <t>Hillsborough 45</t>
  </si>
  <si>
    <t>Merrimack 1</t>
  </si>
  <si>
    <t>Merrimack 2</t>
  </si>
  <si>
    <t>Merrimack 3</t>
  </si>
  <si>
    <t>Merrimack 4</t>
  </si>
  <si>
    <t>Merrimack 5</t>
  </si>
  <si>
    <t>Merrimack 6</t>
  </si>
  <si>
    <t>Merrimack 7</t>
  </si>
  <si>
    <t>Merrimack 8</t>
  </si>
  <si>
    <t>Merrimack 9</t>
  </si>
  <si>
    <t>Merrimack 10</t>
  </si>
  <si>
    <t>Merrimack 11</t>
  </si>
  <si>
    <t>Merrimack 12</t>
  </si>
  <si>
    <t>Merrimack 13</t>
  </si>
  <si>
    <t>Bolz</t>
  </si>
  <si>
    <t>Merrimack 14</t>
  </si>
  <si>
    <t>Merrimack 15</t>
  </si>
  <si>
    <t>(402) 471-2734</t>
  </si>
  <si>
    <t>Merrimack 16</t>
  </si>
  <si>
    <t>Merrimack 17</t>
  </si>
  <si>
    <t>Merrimack 18</t>
  </si>
  <si>
    <t>Merrimack 19</t>
  </si>
  <si>
    <t>Hambrick</t>
  </si>
  <si>
    <t>Merrimack 20</t>
  </si>
  <si>
    <t>Merrimack 21</t>
  </si>
  <si>
    <t>Merrimack 22</t>
  </si>
  <si>
    <t>Merrimack 23</t>
  </si>
  <si>
    <t>Merrimack 24</t>
  </si>
  <si>
    <t>Merrimack 25</t>
  </si>
  <si>
    <t>Merrimack 26</t>
  </si>
  <si>
    <t>Merrimack 27</t>
  </si>
  <si>
    <t>Merrimack 28</t>
  </si>
  <si>
    <t>Merrimack 29</t>
  </si>
  <si>
    <t>Rockingham 1</t>
  </si>
  <si>
    <t>Rockingham 2</t>
  </si>
  <si>
    <t>Rockingham 3</t>
  </si>
  <si>
    <t>Rockingham 4</t>
  </si>
  <si>
    <t>Las Vegas</t>
  </si>
  <si>
    <t>Rockingham 5</t>
  </si>
  <si>
    <t>Dorn</t>
  </si>
  <si>
    <t>Rockingham 6</t>
  </si>
  <si>
    <t>Rockingham 7</t>
  </si>
  <si>
    <t>Rockingham 8</t>
  </si>
  <si>
    <t>Rockingham 9</t>
  </si>
  <si>
    <t>Rockingham 10</t>
  </si>
  <si>
    <t>Rockingham 11</t>
  </si>
  <si>
    <t>Rockingham 12</t>
  </si>
  <si>
    <t>Rockingham 13</t>
  </si>
  <si>
    <t>Rockingham 14</t>
  </si>
  <si>
    <t>Rockingham 15</t>
  </si>
  <si>
    <t>Rockingham 16</t>
  </si>
  <si>
    <t>Rockingham 17</t>
  </si>
  <si>
    <t>Rockingham 18</t>
  </si>
  <si>
    <t>Rockingham 19</t>
  </si>
  <si>
    <t>Rockingham 20</t>
  </si>
  <si>
    <t>Rockingham 21</t>
  </si>
  <si>
    <t>Rockingham 22</t>
  </si>
  <si>
    <t>Rockingham 23</t>
  </si>
  <si>
    <t>Rockingham 24</t>
  </si>
  <si>
    <t>Rockingham 25</t>
  </si>
  <si>
    <t>Rockingham 26</t>
  </si>
  <si>
    <t>Rockingham 27</t>
  </si>
  <si>
    <t>Rockingham 28</t>
  </si>
  <si>
    <t>Selena</t>
  </si>
  <si>
    <t>Rockingham 29</t>
  </si>
  <si>
    <t>Rockingham 30</t>
  </si>
  <si>
    <t>Kolowski</t>
  </si>
  <si>
    <t>Rockingham 31</t>
  </si>
  <si>
    <t>(402) 471-2327</t>
  </si>
  <si>
    <t>Rockingham 32</t>
  </si>
  <si>
    <t>Rockingham 33</t>
  </si>
  <si>
    <t>Rockingham 34</t>
  </si>
  <si>
    <t>Rockingham 35</t>
  </si>
  <si>
    <t>Rockingham 36</t>
  </si>
  <si>
    <t>Rockingham 37</t>
  </si>
  <si>
    <t>Strafford 1</t>
  </si>
  <si>
    <t>Strafford 2</t>
  </si>
  <si>
    <t>Strafford 3</t>
  </si>
  <si>
    <t>Strafford 4</t>
  </si>
  <si>
    <t>Strafford 5</t>
  </si>
  <si>
    <t>Strafford 6</t>
  </si>
  <si>
    <t>Strafford 7</t>
  </si>
  <si>
    <t>Strafford 8</t>
  </si>
  <si>
    <t>Strafford 9</t>
  </si>
  <si>
    <t>Strafford 10</t>
  </si>
  <si>
    <t>Strafford 11</t>
  </si>
  <si>
    <t>Strafford 12</t>
  </si>
  <si>
    <t>Strafford 13</t>
  </si>
  <si>
    <t>Strafford 14</t>
  </si>
  <si>
    <t>Strafford 15</t>
  </si>
  <si>
    <t>Strafford 16</t>
  </si>
  <si>
    <t>Strafford 17</t>
  </si>
  <si>
    <t>Strafford 18</t>
  </si>
  <si>
    <t>Strafford 19</t>
  </si>
  <si>
    <t>Strafford 20</t>
  </si>
  <si>
    <t>Strafford 21</t>
  </si>
  <si>
    <t>Strafford 22</t>
  </si>
  <si>
    <t>Strafford 23</t>
  </si>
  <si>
    <t>Strafford 24</t>
  </si>
  <si>
    <t>Strafford 25</t>
  </si>
  <si>
    <t>Sullivan 1</t>
  </si>
  <si>
    <t>Sullivan 2</t>
  </si>
  <si>
    <t>Sullivan 3</t>
  </si>
  <si>
    <t>Sullivan 4</t>
  </si>
  <si>
    <t>Munk</t>
  </si>
  <si>
    <t>Government Affairs</t>
  </si>
  <si>
    <t>Sullivan 5</t>
  </si>
  <si>
    <t>Halloran</t>
  </si>
  <si>
    <t>Sullivan 6</t>
  </si>
  <si>
    <t>Sullivan 7</t>
  </si>
  <si>
    <t>(402) 471-2712</t>
  </si>
  <si>
    <t>Sullivan 8</t>
  </si>
  <si>
    <t>Sullivan 9</t>
  </si>
  <si>
    <t>Sullivan 10</t>
  </si>
  <si>
    <t>Sullivan 11</t>
  </si>
  <si>
    <t>Brittney</t>
  </si>
  <si>
    <t>Friesen</t>
  </si>
  <si>
    <t>(402) 471-2630</t>
  </si>
  <si>
    <t>McCurdy</t>
  </si>
  <si>
    <t>Government Affairs (Vice Chair)</t>
  </si>
  <si>
    <t>Commerce &amp; Labor</t>
  </si>
  <si>
    <t>Quick</t>
  </si>
  <si>
    <t>(402) 471-2617</t>
  </si>
  <si>
    <t>Dina</t>
  </si>
  <si>
    <t>(402) 471-2642</t>
  </si>
  <si>
    <t>Lowe</t>
  </si>
  <si>
    <t>(402) 471-2726</t>
  </si>
  <si>
    <t>Murman</t>
  </si>
  <si>
    <t>LouAnn</t>
  </si>
  <si>
    <t>(402) 471-2885</t>
  </si>
  <si>
    <t>Gragert</t>
  </si>
  <si>
    <t>Frierson</t>
  </si>
  <si>
    <t>Commerce &amp; Labor (Chair)</t>
  </si>
  <si>
    <t>Jeff Woodburn</t>
  </si>
  <si>
    <t>Briese</t>
  </si>
  <si>
    <t>(402) 471-2631</t>
  </si>
  <si>
    <t>Groene</t>
  </si>
  <si>
    <t>(402) 471-2729</t>
  </si>
  <si>
    <t>Bob Giuda</t>
  </si>
  <si>
    <t>Yeager</t>
  </si>
  <si>
    <t>Growth &amp; Infrastructure (Vice Chair)</t>
  </si>
  <si>
    <t>Jeb Bradley</t>
  </si>
  <si>
    <t>(402) 471-2628</t>
  </si>
  <si>
    <t>Olivia</t>
  </si>
  <si>
    <t>(402) 471-2805</t>
  </si>
  <si>
    <t>David H. Watters</t>
  </si>
  <si>
    <t>(402) 471-2615</t>
  </si>
  <si>
    <t>Martha S. Hennessey</t>
  </si>
  <si>
    <t>James P. Gray</t>
  </si>
  <si>
    <t>Harold F. French</t>
  </si>
  <si>
    <t>Morfeld</t>
  </si>
  <si>
    <t>Sunrise Manor</t>
  </si>
  <si>
    <t>(402) 471-2720</t>
  </si>
  <si>
    <t>Ruth Ward</t>
  </si>
  <si>
    <t>Andy Sanborn</t>
  </si>
  <si>
    <t>Jay Kahn</t>
  </si>
  <si>
    <t>Erdman</t>
  </si>
  <si>
    <t>(402) 471-2616</t>
  </si>
  <si>
    <t>Co-Deputy Minority Floor Leader - South</t>
  </si>
  <si>
    <t>Growth &amp; Infrastructure</t>
  </si>
  <si>
    <t>Gary L. Daniels</t>
  </si>
  <si>
    <t>Kevin Avard</t>
  </si>
  <si>
    <t>Stinner</t>
  </si>
  <si>
    <t>Approproiations (Chair)</t>
  </si>
  <si>
    <t>(402) 471-2802</t>
  </si>
  <si>
    <t>Bette Lasky</t>
  </si>
  <si>
    <t>Murante</t>
  </si>
  <si>
    <t>(402) 471-2725</t>
  </si>
  <si>
    <t>Sharon Carson</t>
  </si>
  <si>
    <t>Ricketts</t>
  </si>
  <si>
    <t>Natural Resources, Agriculture, and Mining</t>
  </si>
  <si>
    <t>Fortenberry</t>
  </si>
  <si>
    <t>Adriana</t>
  </si>
  <si>
    <t>Dan Feltes</t>
  </si>
  <si>
    <t>Sasse</t>
  </si>
  <si>
    <t>Watts</t>
  </si>
  <si>
    <t>Kevin Cavanaugh</t>
  </si>
  <si>
    <t>John Reagan</t>
  </si>
  <si>
    <t>Donna Soucy</t>
  </si>
  <si>
    <t>Winchester</t>
  </si>
  <si>
    <t>Regina Birdsell</t>
  </si>
  <si>
    <t>Lou D'Allesandro</t>
  </si>
  <si>
    <t>Martha Fuller Clark</t>
  </si>
  <si>
    <t>Swank</t>
  </si>
  <si>
    <t>Natural Resources, Agriculture, and Mining (Chair)</t>
  </si>
  <si>
    <t>Chuck Morse</t>
  </si>
  <si>
    <t>Bill Gannon</t>
  </si>
  <si>
    <t>Chief Deputy Majority Whip</t>
  </si>
  <si>
    <t>Dan Innis</t>
  </si>
  <si>
    <t>governor</t>
  </si>
  <si>
    <t>Chris Sununu</t>
  </si>
  <si>
    <t>Jeanne Shaheen</t>
  </si>
  <si>
    <t>Maggie Hassan</t>
  </si>
  <si>
    <t>Chris Pappas</t>
  </si>
  <si>
    <t>Ann Kuster</t>
  </si>
  <si>
    <t>Deputy Minority Whip - South</t>
  </si>
  <si>
    <t>Ellen</t>
  </si>
  <si>
    <t>Spiegel</t>
  </si>
  <si>
    <t>Legislative Operations &amp; Elections (Vice Chair)</t>
  </si>
  <si>
    <t>Ozzie</t>
  </si>
  <si>
    <t>Fumo</t>
  </si>
  <si>
    <t>Leavitt</t>
  </si>
  <si>
    <t>Andrzejczak</t>
  </si>
  <si>
    <t>609-465-0700</t>
  </si>
  <si>
    <t>Tolles</t>
  </si>
  <si>
    <t>Land</t>
  </si>
  <si>
    <t xml:space="preserve">856-696-0891 </t>
  </si>
  <si>
    <t>Armato</t>
  </si>
  <si>
    <t>609-383-1388</t>
  </si>
  <si>
    <t>Mazzeo</t>
  </si>
  <si>
    <t>Burzichelli</t>
  </si>
  <si>
    <t>856-251-9801</t>
  </si>
  <si>
    <t>Taliaferro</t>
  </si>
  <si>
    <t>856-339-0808</t>
  </si>
  <si>
    <t>Moriarty</t>
  </si>
  <si>
    <t>856-232-6700</t>
  </si>
  <si>
    <t>Gabriela</t>
  </si>
  <si>
    <t>Mosquera</t>
  </si>
  <si>
    <t>Krasner</t>
  </si>
  <si>
    <t>856-547-4800</t>
  </si>
  <si>
    <t>Spearman</t>
  </si>
  <si>
    <t>Greenwald</t>
  </si>
  <si>
    <t>856-435-1247</t>
  </si>
  <si>
    <t>Lampitt</t>
  </si>
  <si>
    <t>Herb</t>
  </si>
  <si>
    <t>856-461-3997</t>
  </si>
  <si>
    <t>856-314-8835</t>
  </si>
  <si>
    <t>Howarth</t>
  </si>
  <si>
    <t>609-654-1498</t>
  </si>
  <si>
    <t>DiAnne</t>
  </si>
  <si>
    <t>Gove</t>
  </si>
  <si>
    <t>609-693-6700</t>
  </si>
  <si>
    <t>Rumpf</t>
  </si>
  <si>
    <t>McGuckin</t>
  </si>
  <si>
    <t>Benitez-Thompson</t>
  </si>
  <si>
    <t>732-840-9028</t>
  </si>
  <si>
    <t xml:space="preserve">Majority Floor Leader </t>
  </si>
  <si>
    <t>Wolfe</t>
  </si>
  <si>
    <t>Downey</t>
  </si>
  <si>
    <t>732-695-3371</t>
  </si>
  <si>
    <t>Houghtaling</t>
  </si>
  <si>
    <t>Clifton</t>
  </si>
  <si>
    <t>732-970-6386</t>
  </si>
  <si>
    <t>Dancer</t>
  </si>
  <si>
    <t>609-758-0205</t>
  </si>
  <si>
    <t>DiMaso</t>
  </si>
  <si>
    <t>732-933-1591</t>
  </si>
  <si>
    <t>Handlin</t>
  </si>
  <si>
    <t>732-383-7820</t>
  </si>
  <si>
    <t>609-631-0198</t>
  </si>
  <si>
    <t>DeAngelo</t>
  </si>
  <si>
    <t>609-631-7501</t>
  </si>
  <si>
    <t>Verlina</t>
  </si>
  <si>
    <t>Reynolds-Jackson</t>
  </si>
  <si>
    <t>609-571-9638</t>
  </si>
  <si>
    <t>Verrelli</t>
  </si>
  <si>
    <t>Edgar</t>
  </si>
  <si>
    <t>Freiman</t>
  </si>
  <si>
    <t>908-450-7064</t>
  </si>
  <si>
    <t>Zwicker</t>
  </si>
  <si>
    <t>609-454-3147</t>
  </si>
  <si>
    <t>Danielsen</t>
  </si>
  <si>
    <t>732-247-3999</t>
  </si>
  <si>
    <t>Egan</t>
  </si>
  <si>
    <t>732-249-4550</t>
  </si>
  <si>
    <t>Karabinchak</t>
  </si>
  <si>
    <t>732-548-1406</t>
  </si>
  <si>
    <t>Government Affairs (Chair)</t>
  </si>
  <si>
    <t>Pinkin</t>
  </si>
  <si>
    <t>Coughlin</t>
  </si>
  <si>
    <t>732-855-7441</t>
  </si>
  <si>
    <t>Quijano</t>
  </si>
  <si>
    <t>908-327-9119</t>
  </si>
  <si>
    <t>Jamel</t>
  </si>
  <si>
    <t>908-624-0880</t>
  </si>
  <si>
    <t>Bramnick</t>
  </si>
  <si>
    <t>908-232-2073</t>
  </si>
  <si>
    <t>908-918-0414</t>
  </si>
  <si>
    <t>908-561-5757</t>
  </si>
  <si>
    <t>732-943-2660</t>
  </si>
  <si>
    <t>DiMaio</t>
  </si>
  <si>
    <t>908-722-1365</t>
  </si>
  <si>
    <t>908-238-0251</t>
  </si>
  <si>
    <t>Space</t>
  </si>
  <si>
    <t>973-300-0200</t>
  </si>
  <si>
    <t>Wirths</t>
  </si>
  <si>
    <t>Taxation (Vice Chair)</t>
  </si>
  <si>
    <t>Bucco</t>
  </si>
  <si>
    <t>973-927-2526</t>
  </si>
  <si>
    <t>973-539-8133</t>
  </si>
  <si>
    <t>BettyLou</t>
  </si>
  <si>
    <t>DeCroce</t>
  </si>
  <si>
    <t>862-701-5156</t>
  </si>
  <si>
    <t>973-265-0060</t>
  </si>
  <si>
    <t>Mila</t>
  </si>
  <si>
    <t>Jasey</t>
  </si>
  <si>
    <t>973-762-1886</t>
  </si>
  <si>
    <t>McKeon</t>
  </si>
  <si>
    <t>973-377-1606</t>
  </si>
  <si>
    <t>Caputo</t>
  </si>
  <si>
    <t>973-450-0484</t>
  </si>
  <si>
    <t>Cleopatra</t>
  </si>
  <si>
    <t>973-926-4320</t>
  </si>
  <si>
    <t>Eliana</t>
  </si>
  <si>
    <t>Sprinkle</t>
  </si>
  <si>
    <t>973-589-0713</t>
  </si>
  <si>
    <t>Shanique</t>
  </si>
  <si>
    <t>Speight</t>
  </si>
  <si>
    <t>862-237-9752</t>
  </si>
  <si>
    <t>Kean</t>
  </si>
  <si>
    <t>732-974-0400</t>
  </si>
  <si>
    <t>Thomson</t>
  </si>
  <si>
    <t>Chiaravalloti</t>
  </si>
  <si>
    <t>201-471-2347</t>
  </si>
  <si>
    <t>McKnight</t>
  </si>
  <si>
    <t>201-360-2502</t>
  </si>
  <si>
    <t>Angelica</t>
  </si>
  <si>
    <t>Jimenez</t>
  </si>
  <si>
    <t>201-223-4247</t>
  </si>
  <si>
    <t>Mejia</t>
  </si>
  <si>
    <t>201-770-1303</t>
  </si>
  <si>
    <t>Chaparro</t>
  </si>
  <si>
    <t>201-683-7917</t>
  </si>
  <si>
    <t>Raj</t>
  </si>
  <si>
    <t>Mukherji</t>
  </si>
  <si>
    <t>201-626-4000</t>
  </si>
  <si>
    <t>Giblin</t>
  </si>
  <si>
    <t>973-779-3125</t>
  </si>
  <si>
    <t>Skip</t>
  </si>
  <si>
    <t>Britnee</t>
  </si>
  <si>
    <t>973-395-1166</t>
  </si>
  <si>
    <t>Shavonda</t>
  </si>
  <si>
    <t>Sumter</t>
  </si>
  <si>
    <t>973-925-7061</t>
  </si>
  <si>
    <t>Benjie</t>
  </si>
  <si>
    <t>Wimberly</t>
  </si>
  <si>
    <t>Clinton</t>
  </si>
  <si>
    <t>Calabrese</t>
  </si>
  <si>
    <t>201-943-0615</t>
  </si>
  <si>
    <t>Schaer</t>
  </si>
  <si>
    <t>973-249-3665</t>
  </si>
  <si>
    <t>Huttle</t>
  </si>
  <si>
    <t>201-541-1118</t>
  </si>
  <si>
    <t>201-530-0469</t>
  </si>
  <si>
    <t>Swain</t>
  </si>
  <si>
    <t>201-576-9199</t>
  </si>
  <si>
    <t>Alexis</t>
  </si>
  <si>
    <t>Tully</t>
  </si>
  <si>
    <t>Auth</t>
  </si>
  <si>
    <t>862-248-0491</t>
  </si>
  <si>
    <t>Schepisi</t>
  </si>
  <si>
    <t>201-666-0881</t>
  </si>
  <si>
    <t>DePhillips</t>
  </si>
  <si>
    <t>201-444-9719</t>
  </si>
  <si>
    <t>973-237-1362</t>
  </si>
  <si>
    <t>VanDrew</t>
  </si>
  <si>
    <t>609-677-8266</t>
  </si>
  <si>
    <t xml:space="preserve">President </t>
  </si>
  <si>
    <t>Madden</t>
  </si>
  <si>
    <t>Nilsa</t>
  </si>
  <si>
    <t>Cruz-Perez</t>
  </si>
  <si>
    <t>856-541-1251</t>
  </si>
  <si>
    <t>sencruzperez@njleg.org</t>
  </si>
  <si>
    <t>856-429-1572</t>
  </si>
  <si>
    <t>856-234-2790</t>
  </si>
  <si>
    <t>Dawn</t>
  </si>
  <si>
    <t>Addiego</t>
  </si>
  <si>
    <t>Connors</t>
  </si>
  <si>
    <t xml:space="preserve">Co-Deputy Minority Floor Leader - North </t>
  </si>
  <si>
    <t>Holzapfel</t>
  </si>
  <si>
    <t>Vin</t>
  </si>
  <si>
    <t>Gopal</t>
  </si>
  <si>
    <t>Zero</t>
  </si>
  <si>
    <t>Elko</t>
  </si>
  <si>
    <t>732-607-7580</t>
  </si>
  <si>
    <t>Declan</t>
  </si>
  <si>
    <t>O'Scanlon</t>
  </si>
  <si>
    <t>Greenstein</t>
  </si>
  <si>
    <t>609-395-9911</t>
  </si>
  <si>
    <t>609-323-7239</t>
  </si>
  <si>
    <t>Bateman</t>
  </si>
  <si>
    <t>908-526-3600</t>
  </si>
  <si>
    <t>732-752-0770</t>
  </si>
  <si>
    <t>Diegnan</t>
  </si>
  <si>
    <t>908-757-1677</t>
  </si>
  <si>
    <t>Vitale</t>
  </si>
  <si>
    <t>Cryan</t>
  </si>
  <si>
    <t>908-232-3673</t>
  </si>
  <si>
    <t>Scutari</t>
  </si>
  <si>
    <t>908-587-0404</t>
  </si>
  <si>
    <t>Doherty</t>
  </si>
  <si>
    <t>908-835-0552</t>
  </si>
  <si>
    <t>Oroho</t>
  </si>
  <si>
    <t>973-627-9700</t>
  </si>
  <si>
    <t>Pennacchio</t>
  </si>
  <si>
    <t>973-227-4012</t>
  </si>
  <si>
    <t>Codey</t>
  </si>
  <si>
    <t>973-535-5017</t>
  </si>
  <si>
    <t>973-371-5665</t>
  </si>
  <si>
    <t>973-484-1000</t>
  </si>
  <si>
    <t>732-987-5669</t>
  </si>
  <si>
    <t>201-451-5100</t>
  </si>
  <si>
    <t>Sacco</t>
  </si>
  <si>
    <t>201-295-0200</t>
  </si>
  <si>
    <t>Bilbray-Axelrod</t>
  </si>
  <si>
    <t>Stack</t>
  </si>
  <si>
    <t>201-721-5263</t>
  </si>
  <si>
    <t>Nia</t>
  </si>
  <si>
    <t>Gill</t>
  </si>
  <si>
    <t>973-509-0388</t>
  </si>
  <si>
    <t>Nellie</t>
  </si>
  <si>
    <t>Pou</t>
  </si>
  <si>
    <t>973-247-1555</t>
  </si>
  <si>
    <t>Sarlo</t>
  </si>
  <si>
    <t>201-804-8118</t>
  </si>
  <si>
    <t>Loretta</t>
  </si>
  <si>
    <t>Weinberg</t>
  </si>
  <si>
    <t>201-928-0100</t>
  </si>
  <si>
    <t>Lagana</t>
  </si>
  <si>
    <t>Cardinale</t>
  </si>
  <si>
    <t>201-567-2324</t>
  </si>
  <si>
    <t>Gorelow</t>
  </si>
  <si>
    <t>Corrado</t>
  </si>
  <si>
    <t>973-237-1360</t>
  </si>
  <si>
    <t>Norcross</t>
  </si>
  <si>
    <t xml:space="preserve">Dennis </t>
  </si>
  <si>
    <t>Hof</t>
  </si>
  <si>
    <t>Gottheimer</t>
  </si>
  <si>
    <t>Pahrump</t>
  </si>
  <si>
    <t>Pallone</t>
  </si>
  <si>
    <t>Malinowski</t>
  </si>
  <si>
    <t>Albio</t>
  </si>
  <si>
    <t>Sires</t>
  </si>
  <si>
    <t>Pascrell</t>
  </si>
  <si>
    <t>Mikie</t>
  </si>
  <si>
    <t>Sherrill</t>
  </si>
  <si>
    <t>Menendez</t>
  </si>
  <si>
    <t>Gurbir</t>
  </si>
  <si>
    <t>Grewal</t>
  </si>
  <si>
    <t>Shea</t>
  </si>
  <si>
    <t>Backus</t>
  </si>
  <si>
    <t>Titus</t>
  </si>
  <si>
    <t>Deputy Minority Whip - North</t>
  </si>
  <si>
    <t>Wellington</t>
  </si>
  <si>
    <t>Minden</t>
  </si>
  <si>
    <t>Montoya</t>
  </si>
  <si>
    <t>Carson City</t>
  </si>
  <si>
    <t>Jauregui</t>
  </si>
  <si>
    <t>Legislative Operations &amp; Elections (Chair)</t>
  </si>
  <si>
    <t>Assefa</t>
  </si>
  <si>
    <t>Spring Valley</t>
  </si>
  <si>
    <t>Commerce and Labor (Chair)</t>
  </si>
  <si>
    <t>Strickler</t>
  </si>
  <si>
    <t>Bandy</t>
  </si>
  <si>
    <t>Clahchischilliage</t>
  </si>
  <si>
    <t>Denis</t>
  </si>
  <si>
    <t>President Pro Tempe</t>
  </si>
  <si>
    <t>Growth and Infrastructure</t>
  </si>
  <si>
    <t>House Majority Caucus Chair</t>
  </si>
  <si>
    <t>Eliseo</t>
  </si>
  <si>
    <t>Commerce and Labor</t>
  </si>
  <si>
    <t>Growth and Infrastructure (Vice Chair)</t>
  </si>
  <si>
    <t>Natural Resources (Vice Chair)</t>
  </si>
  <si>
    <t>Alcon</t>
  </si>
  <si>
    <t>Consumer and Public Affairs (Chair)</t>
  </si>
  <si>
    <t>Fajardo</t>
  </si>
  <si>
    <t>Atkinson</t>
  </si>
  <si>
    <t>Commerce and Labor (Vice Chair)</t>
  </si>
  <si>
    <t>Baldonado</t>
  </si>
  <si>
    <t>Lundstrom</t>
  </si>
  <si>
    <t>Andrés</t>
  </si>
  <si>
    <t>Romero</t>
  </si>
  <si>
    <t>Woodhouse</t>
  </si>
  <si>
    <t>Chief Majority Whip</t>
  </si>
  <si>
    <t>Patricio</t>
  </si>
  <si>
    <t>Ruiloba</t>
  </si>
  <si>
    <t>Business and Industry (Vice Chair)</t>
  </si>
  <si>
    <t>Roybal Caballero</t>
  </si>
  <si>
    <t>Consumer and Public Affairs (Vice Chair)</t>
  </si>
  <si>
    <t>Cannizzaro</t>
  </si>
  <si>
    <t>Legislative Operations and Elections (Vice Chair)</t>
  </si>
  <si>
    <t>Maestas Barnes</t>
  </si>
  <si>
    <t>Maestas</t>
  </si>
  <si>
    <t>Revenue and Economic Development</t>
  </si>
  <si>
    <t>Chasey</t>
  </si>
  <si>
    <t>Dondero Loop</t>
  </si>
  <si>
    <t>Revenue and Economic Development (Chair)</t>
  </si>
  <si>
    <t>Stapleton</t>
  </si>
  <si>
    <t>House Majority Leader</t>
  </si>
  <si>
    <t>Scheible</t>
  </si>
  <si>
    <t>Natural Resources (Chair)</t>
  </si>
  <si>
    <t>Yvanna</t>
  </si>
  <si>
    <t>Dines</t>
  </si>
  <si>
    <t>Sarinana</t>
  </si>
  <si>
    <t>Cancela</t>
  </si>
  <si>
    <t>Growth and Infrastructure (Chair)</t>
  </si>
  <si>
    <t>Legislative Operations and Elections</t>
  </si>
  <si>
    <t>Dallas</t>
  </si>
  <si>
    <t>Schmedes</t>
  </si>
  <si>
    <t>Daymon</t>
  </si>
  <si>
    <t>Ely</t>
  </si>
  <si>
    <t>Boulder City</t>
  </si>
  <si>
    <t>Trujillo</t>
  </si>
  <si>
    <t>Georgene</t>
  </si>
  <si>
    <t>Thiele</t>
  </si>
  <si>
    <t>Ratti</t>
  </si>
  <si>
    <t>Revenue and Economic Development (Vice Chair)</t>
  </si>
  <si>
    <t>State Government and Vertans Affairs (Chair)</t>
  </si>
  <si>
    <t>Ira</t>
  </si>
  <si>
    <t>Jimmie</t>
  </si>
  <si>
    <t>Gansert</t>
  </si>
  <si>
    <t>Co-Minority Whip</t>
  </si>
  <si>
    <t>DeStefano</t>
  </si>
  <si>
    <t>Kieckhefer</t>
  </si>
  <si>
    <t>Rehm</t>
  </si>
  <si>
    <t>Englebright</t>
  </si>
  <si>
    <t>Candie</t>
  </si>
  <si>
    <t>Sweetser</t>
  </si>
  <si>
    <t>Settelmeyer</t>
  </si>
  <si>
    <t>Micaela</t>
  </si>
  <si>
    <t>Cadena</t>
  </si>
  <si>
    <t>Labor and Economic Developement (Chair)</t>
  </si>
  <si>
    <t>Raymundo</t>
  </si>
  <si>
    <t>Energy, Enviornment and Natural resources (Vice Chair)</t>
  </si>
  <si>
    <t>Goicoechea</t>
  </si>
  <si>
    <t>Eureka</t>
  </si>
  <si>
    <t>Ferrary</t>
  </si>
  <si>
    <t>Pickard</t>
  </si>
  <si>
    <t>Rodolpho</t>
  </si>
  <si>
    <t>Ohrenschall</t>
  </si>
  <si>
    <t>Legislative Operations and Elections (Chair)</t>
  </si>
  <si>
    <t>State Government and Vertans Affairs (Vice Chair)</t>
  </si>
  <si>
    <t>Garbarino</t>
  </si>
  <si>
    <t>Sisolak</t>
  </si>
  <si>
    <t>Salazar</t>
  </si>
  <si>
    <t>Amodei</t>
  </si>
  <si>
    <t>Sisie</t>
  </si>
  <si>
    <t>Horsford</t>
  </si>
  <si>
    <t>CortezMasto</t>
  </si>
  <si>
    <t>Rodella</t>
  </si>
  <si>
    <t>Business and Industry (Chair)</t>
  </si>
  <si>
    <t>Roberto</t>
  </si>
  <si>
    <t>LiPetri</t>
  </si>
  <si>
    <t>Garcia Richard</t>
  </si>
  <si>
    <t>Powdrell-Culbert</t>
  </si>
  <si>
    <t>Taxation and Revenue (Chair)</t>
  </si>
  <si>
    <t>Taxation and Revenue (Vice Chair)</t>
  </si>
  <si>
    <t>Jean-Pierre</t>
  </si>
  <si>
    <t>Egolf</t>
  </si>
  <si>
    <t xml:space="preserve">Speaker of the House </t>
  </si>
  <si>
    <t>Labor and Economic Developement (Vice Chair)</t>
  </si>
  <si>
    <t>Raia</t>
  </si>
  <si>
    <t>McQueen</t>
  </si>
  <si>
    <t>Energy, Enviornment and Natural resources (Chair)</t>
  </si>
  <si>
    <t>Yvette</t>
  </si>
  <si>
    <t>Herrell</t>
  </si>
  <si>
    <t>Lavine</t>
  </si>
  <si>
    <t>Gallegos</t>
  </si>
  <si>
    <t xml:space="preserve">House Majority Whip </t>
  </si>
  <si>
    <t>Cathrynn</t>
  </si>
  <si>
    <t>McDonough</t>
  </si>
  <si>
    <t>Zachary</t>
  </si>
  <si>
    <t>Montesano</t>
  </si>
  <si>
    <t>D'Urso</t>
  </si>
  <si>
    <t>Candy</t>
  </si>
  <si>
    <t>Ezzell</t>
  </si>
  <si>
    <t>Mikulin</t>
  </si>
  <si>
    <t>Nibert</t>
  </si>
  <si>
    <t>Raynor</t>
  </si>
  <si>
    <t>Ra</t>
  </si>
  <si>
    <t>Lente</t>
  </si>
  <si>
    <t>Michaelle</t>
  </si>
  <si>
    <t>Solages</t>
  </si>
  <si>
    <t>Wooley</t>
  </si>
  <si>
    <t>Roch</t>
  </si>
  <si>
    <t>Amato</t>
  </si>
  <si>
    <t>Weprin</t>
  </si>
  <si>
    <t>Tomas</t>
  </si>
  <si>
    <t>Nily</t>
  </si>
  <si>
    <t>Sharer</t>
  </si>
  <si>
    <t>Rozic</t>
  </si>
  <si>
    <t>Goodwin</t>
  </si>
  <si>
    <t>Braunstein</t>
  </si>
  <si>
    <t>Rosenthal</t>
  </si>
  <si>
    <t>Speciale</t>
  </si>
  <si>
    <t>Muñoz</t>
  </si>
  <si>
    <t>Hanig</t>
  </si>
  <si>
    <t>Hevesi</t>
  </si>
  <si>
    <t>Kandie</t>
  </si>
  <si>
    <t>Alicia</t>
  </si>
  <si>
    <t>Hyndman</t>
  </si>
  <si>
    <t>Majority Freshman Caucus Whip</t>
  </si>
  <si>
    <t>Cisneros</t>
  </si>
  <si>
    <t>McElraft</t>
  </si>
  <si>
    <t>Cleveland</t>
  </si>
  <si>
    <t>Barnwell</t>
  </si>
  <si>
    <t>Shepard</t>
  </si>
  <si>
    <t>Campos</t>
  </si>
  <si>
    <t>Iler</t>
  </si>
  <si>
    <t>Sapien</t>
  </si>
  <si>
    <t>Grange</t>
  </si>
  <si>
    <t xml:space="preserve">Deputy Confrence Chair </t>
  </si>
  <si>
    <t>Candace</t>
  </si>
  <si>
    <t>Brisson</t>
  </si>
  <si>
    <t>Gould</t>
  </si>
  <si>
    <t>Vanel</t>
  </si>
  <si>
    <t>Willingham</t>
  </si>
  <si>
    <t>Farmer-Butterfield</t>
  </si>
  <si>
    <t>Gailliard</t>
  </si>
  <si>
    <t>Ortiz y Pino</t>
  </si>
  <si>
    <t>Public Affairs (Chair)</t>
  </si>
  <si>
    <t>DenDekker</t>
  </si>
  <si>
    <t>Jeffrion</t>
  </si>
  <si>
    <t>Wray</t>
  </si>
  <si>
    <t>Public Affairs (Vice Chair)</t>
  </si>
  <si>
    <t>Aubry</t>
  </si>
  <si>
    <t>Marcia</t>
  </si>
  <si>
    <t>Morey</t>
  </si>
  <si>
    <t>Forde-Hawkins</t>
  </si>
  <si>
    <t>Padilla</t>
  </si>
  <si>
    <t>Garrison</t>
  </si>
  <si>
    <t>Aravella</t>
  </si>
  <si>
    <t>Simotas</t>
  </si>
  <si>
    <t>Ivey-Soto</t>
  </si>
  <si>
    <t>Cisco</t>
  </si>
  <si>
    <t>McSorley</t>
  </si>
  <si>
    <t>Terence</t>
  </si>
  <si>
    <t>Everitt</t>
  </si>
  <si>
    <t>Haefen</t>
  </si>
  <si>
    <t>Batch</t>
  </si>
  <si>
    <t>Democratic Leader</t>
  </si>
  <si>
    <t>Catalina</t>
  </si>
  <si>
    <t>Tallman</t>
  </si>
  <si>
    <t>Adcock</t>
  </si>
  <si>
    <t>Elmer</t>
  </si>
  <si>
    <t>Floyd</t>
  </si>
  <si>
    <t>Weinstein</t>
  </si>
  <si>
    <t>Szoka</t>
  </si>
  <si>
    <t xml:space="preserve">Confrence Chair </t>
  </si>
  <si>
    <t>Moores</t>
  </si>
  <si>
    <t>Brenden</t>
  </si>
  <si>
    <t>Benny</t>
  </si>
  <si>
    <t>Shendo</t>
  </si>
  <si>
    <t>Corporations and Transportation (Vice Chair)</t>
  </si>
  <si>
    <t>Rodneyse</t>
  </si>
  <si>
    <t>Sander</t>
  </si>
  <si>
    <t>Rue</t>
  </si>
  <si>
    <t>Bichotte</t>
  </si>
  <si>
    <t>Garland</t>
  </si>
  <si>
    <t>Graig</t>
  </si>
  <si>
    <t>Wirth</t>
  </si>
  <si>
    <t>Dem[15]</t>
  </si>
  <si>
    <t>Boles</t>
  </si>
  <si>
    <t>Howie</t>
  </si>
  <si>
    <t>Reives</t>
  </si>
  <si>
    <t xml:space="preserve">Deputy Democratic Leader </t>
  </si>
  <si>
    <t>Cymbrowitz</t>
  </si>
  <si>
    <t>Brody</t>
  </si>
  <si>
    <t>Baca</t>
  </si>
  <si>
    <t>Verla</t>
  </si>
  <si>
    <t>Mathylde</t>
  </si>
  <si>
    <t>Frontus</t>
  </si>
  <si>
    <t>Insko</t>
  </si>
  <si>
    <t>Ashton</t>
  </si>
  <si>
    <t>Clemmons</t>
  </si>
  <si>
    <t>Democratic Freshman Co-Chair</t>
  </si>
  <si>
    <t>Corporations and Transportation (Chair)</t>
  </si>
  <si>
    <t>Amos</t>
  </si>
  <si>
    <t>Hardister</t>
  </si>
  <si>
    <t>Brockman</t>
  </si>
  <si>
    <t>Conservation (Chair)</t>
  </si>
  <si>
    <t>Faircloth</t>
  </si>
  <si>
    <t>Simcha</t>
  </si>
  <si>
    <t>Eichenstein</t>
  </si>
  <si>
    <t>Pirtle</t>
  </si>
  <si>
    <t>Blust</t>
  </si>
  <si>
    <t>Abbate</t>
  </si>
  <si>
    <t>Riddell</t>
  </si>
  <si>
    <t>Lentol</t>
  </si>
  <si>
    <t>Griggs</t>
  </si>
  <si>
    <t>Félix</t>
  </si>
  <si>
    <t>Goodman</t>
  </si>
  <si>
    <t>Sasser</t>
  </si>
  <si>
    <t>JoAnne</t>
  </si>
  <si>
    <t>Steinborn</t>
  </si>
  <si>
    <t>Maritza</t>
  </si>
  <si>
    <t>Davila</t>
  </si>
  <si>
    <t>Soules</t>
  </si>
  <si>
    <t>Arp</t>
  </si>
  <si>
    <t>Papen</t>
  </si>
  <si>
    <t>Dilan</t>
  </si>
  <si>
    <t>Hurley</t>
  </si>
  <si>
    <t xml:space="preserve">Joint Caucus Chair </t>
  </si>
  <si>
    <t>Latrice</t>
  </si>
  <si>
    <t>Evelyn</t>
  </si>
  <si>
    <t>Stefanics</t>
  </si>
  <si>
    <t>Conservation (Vice Chair)</t>
  </si>
  <si>
    <t>Derwin</t>
  </si>
  <si>
    <t>Tremaine</t>
  </si>
  <si>
    <t>Leavell</t>
  </si>
  <si>
    <t>Gay</t>
  </si>
  <si>
    <t>Kernan</t>
  </si>
  <si>
    <t>Lambeth</t>
  </si>
  <si>
    <t>Lujan Grisham</t>
  </si>
  <si>
    <t>Haaland</t>
  </si>
  <si>
    <t>Xochitl</t>
  </si>
  <si>
    <t>Torres Small</t>
  </si>
  <si>
    <t>Ray Lujan</t>
  </si>
  <si>
    <t>Fall</t>
  </si>
  <si>
    <t>Hector</t>
  </si>
  <si>
    <t>Balderas</t>
  </si>
  <si>
    <t>McNeill</t>
  </si>
  <si>
    <t>Kidwell</t>
  </si>
  <si>
    <t>Majority Freshman Caucus Leader</t>
  </si>
  <si>
    <t>Potts</t>
  </si>
  <si>
    <t>Cusick</t>
  </si>
  <si>
    <t>Malliotakis</t>
  </si>
  <si>
    <t>Yuh-Line</t>
  </si>
  <si>
    <t>Niou</t>
  </si>
  <si>
    <t>Dobson</t>
  </si>
  <si>
    <t>Destin</t>
  </si>
  <si>
    <t>Belk</t>
  </si>
  <si>
    <t>Setzer</t>
  </si>
  <si>
    <t>Speaker pro temp</t>
  </si>
  <si>
    <t>Chaz</t>
  </si>
  <si>
    <t>Inez</t>
  </si>
  <si>
    <t>Elmore</t>
  </si>
  <si>
    <t>Dickens</t>
  </si>
  <si>
    <t>Fraley</t>
  </si>
  <si>
    <t>Carmen</t>
  </si>
  <si>
    <t>DeLaRosa</t>
  </si>
  <si>
    <t xml:space="preserve">Christy </t>
  </si>
  <si>
    <t>Nasif</t>
  </si>
  <si>
    <t>Majeed</t>
  </si>
  <si>
    <t>Quart</t>
  </si>
  <si>
    <t>Autry</t>
  </si>
  <si>
    <t>Lofton</t>
  </si>
  <si>
    <t>Gottfried</t>
  </si>
  <si>
    <t>Seawright</t>
  </si>
  <si>
    <t>Latoya</t>
  </si>
  <si>
    <t>Joyner</t>
  </si>
  <si>
    <t>Alexander,</t>
  </si>
  <si>
    <t>Rivera</t>
  </si>
  <si>
    <t>Torbett</t>
  </si>
  <si>
    <t>Bumgardner</t>
  </si>
  <si>
    <t>Nathalia</t>
  </si>
  <si>
    <t>Dinowitz</t>
  </si>
  <si>
    <t>Benedetto</t>
  </si>
  <si>
    <t>Heastie</t>
  </si>
  <si>
    <t>Ager</t>
  </si>
  <si>
    <t>Arroyo</t>
  </si>
  <si>
    <t>McGrady</t>
  </si>
  <si>
    <t>Marcos</t>
  </si>
  <si>
    <t>Presnell</t>
  </si>
  <si>
    <t>Corbin</t>
  </si>
  <si>
    <t>Steinburg</t>
  </si>
  <si>
    <t>Pichardo</t>
  </si>
  <si>
    <t>Karines</t>
  </si>
  <si>
    <t>Sanderson</t>
  </si>
  <si>
    <t>Joint Majority Caucus Leader</t>
  </si>
  <si>
    <t>Paulin</t>
  </si>
  <si>
    <t>Fitch</t>
  </si>
  <si>
    <t>Pretlow</t>
  </si>
  <si>
    <t>Ali</t>
  </si>
  <si>
    <t>Nader</t>
  </si>
  <si>
    <t>Sayegh</t>
  </si>
  <si>
    <t xml:space="preserve">Majority Leader </t>
  </si>
  <si>
    <t>Rabon</t>
  </si>
  <si>
    <t>Otis</t>
  </si>
  <si>
    <t>Hatlestad</t>
  </si>
  <si>
    <t>V. Chair Political Subdivisions</t>
  </si>
  <si>
    <t>Industry, Business, &amp; Labor</t>
  </si>
  <si>
    <t>Finance &amp; Taxation</t>
  </si>
  <si>
    <t xml:space="preserve">Political Subdivisions </t>
  </si>
  <si>
    <t>701-770-8899</t>
  </si>
  <si>
    <t>phatlestad@nd.gov</t>
  </si>
  <si>
    <t>Abinanti</t>
  </si>
  <si>
    <t>Horner</t>
  </si>
  <si>
    <t>Buchwald</t>
  </si>
  <si>
    <t>Richter</t>
  </si>
  <si>
    <t>701-770-8160</t>
  </si>
  <si>
    <t>dwrichter@nd.gov</t>
  </si>
  <si>
    <t>Burgin</t>
  </si>
  <si>
    <t>701-641-1549</t>
  </si>
  <si>
    <t>bertanderson@nd.gov</t>
  </si>
  <si>
    <t>Longmuir</t>
  </si>
  <si>
    <t>Political Subdivisions</t>
  </si>
  <si>
    <t>701-629-1632</t>
  </si>
  <si>
    <t>dlongmuir@nd.gov</t>
  </si>
  <si>
    <t>Hoverson</t>
  </si>
  <si>
    <t>Gov. &amp; Vet Affairs</t>
  </si>
  <si>
    <t>701-340-8237</t>
  </si>
  <si>
    <t>jahoverson@nd.gov</t>
  </si>
  <si>
    <t>Blue</t>
  </si>
  <si>
    <t xml:space="preserve">Minority Leader </t>
  </si>
  <si>
    <t>Chaudhuri</t>
  </si>
  <si>
    <t>Galef</t>
  </si>
  <si>
    <t>Nickel</t>
  </si>
  <si>
    <t>Paulson</t>
  </si>
  <si>
    <t>701-833-4752</t>
  </si>
  <si>
    <t>Searcy</t>
  </si>
  <si>
    <t>bpaulson@nd.gov</t>
  </si>
  <si>
    <t>M. Alexander Jr.</t>
  </si>
  <si>
    <t>307-272-1964</t>
  </si>
  <si>
    <t>cfegley@nd.gov</t>
  </si>
  <si>
    <t>DeViere</t>
  </si>
  <si>
    <t>Fegley</t>
  </si>
  <si>
    <t>McKissick</t>
  </si>
  <si>
    <t>701-453-3621</t>
  </si>
  <si>
    <t>Zebrowski,</t>
  </si>
  <si>
    <t>tbjones@nd.gov</t>
  </si>
  <si>
    <t>701-852-6755</t>
  </si>
  <si>
    <t>jayfisher@nd.gov</t>
  </si>
  <si>
    <t xml:space="preserve">Minority Caucus Secretary </t>
  </si>
  <si>
    <t>Louser</t>
  </si>
  <si>
    <t>Asst. Majority Leader</t>
  </si>
  <si>
    <t>701-852-8152</t>
  </si>
  <si>
    <t>sclouser@nd.gov</t>
  </si>
  <si>
    <t>Jaffee</t>
  </si>
  <si>
    <t xml:space="preserve">Energy &amp; Natural Resouces </t>
  </si>
  <si>
    <t xml:space="preserve">Human Services </t>
  </si>
  <si>
    <t>701-228-4782</t>
  </si>
  <si>
    <t>dickanderson@nd.gov</t>
  </si>
  <si>
    <t>701-263-1712</t>
  </si>
  <si>
    <t>craigjohnson@nd.gov</t>
  </si>
  <si>
    <t>Brabenec</t>
  </si>
  <si>
    <t>Foushee</t>
  </si>
  <si>
    <t>Schmitt</t>
  </si>
  <si>
    <t>V. Chair Transportation</t>
  </si>
  <si>
    <t>701-527-6902</t>
  </si>
  <si>
    <t>rcbecker@nd.gov</t>
  </si>
  <si>
    <t>Dockter</t>
  </si>
  <si>
    <t xml:space="preserve">Chair Political Subdivisions </t>
  </si>
  <si>
    <t>701-258-9848</t>
  </si>
  <si>
    <t>jddockter@nd.gov</t>
  </si>
  <si>
    <t>Aileen</t>
  </si>
  <si>
    <t>McInnis</t>
  </si>
  <si>
    <t>Delzer</t>
  </si>
  <si>
    <t>701-442-5435</t>
  </si>
  <si>
    <t>jdelzer@nd.gov</t>
  </si>
  <si>
    <t>W. Tillman</t>
  </si>
  <si>
    <t>Gladys</t>
  </si>
  <si>
    <t>Laning</t>
  </si>
  <si>
    <t>701-226-2113</t>
  </si>
  <si>
    <t>vrlaning@nd.gov</t>
  </si>
  <si>
    <t>Boe</t>
  </si>
  <si>
    <t>701-477-4005</t>
  </si>
  <si>
    <t>tboe@nd.gov</t>
  </si>
  <si>
    <t>Gallimore</t>
  </si>
  <si>
    <t>701-550-9731</t>
  </si>
  <si>
    <t>menelson@nd.gov</t>
  </si>
  <si>
    <t>E. Berger</t>
  </si>
  <si>
    <t>Tague</t>
  </si>
  <si>
    <t>Damschen</t>
  </si>
  <si>
    <t>V. Chair Energy &amp; Natural Resouces</t>
  </si>
  <si>
    <t>701-370-1758</t>
  </si>
  <si>
    <t>cdamschen@nd.gov</t>
  </si>
  <si>
    <t>Krawiec</t>
  </si>
  <si>
    <t>Monson</t>
  </si>
  <si>
    <t>701-496-3394</t>
  </si>
  <si>
    <t>dmonson@nd.gov</t>
  </si>
  <si>
    <t>Vickie</t>
  </si>
  <si>
    <t>Kieran</t>
  </si>
  <si>
    <t>Lalor</t>
  </si>
  <si>
    <t>Dobervich</t>
  </si>
  <si>
    <t>Minority Caucus Leader</t>
  </si>
  <si>
    <t>701-361-5627</t>
  </si>
  <si>
    <t>gdobervich@nd.gov</t>
  </si>
  <si>
    <t>Didi</t>
  </si>
  <si>
    <t>Guggisberg</t>
  </si>
  <si>
    <t>701-367-4027</t>
  </si>
  <si>
    <t>rguggisberg@nd.gov</t>
  </si>
  <si>
    <t>Mujtaba</t>
  </si>
  <si>
    <t>Mohammed</t>
  </si>
  <si>
    <t>Grueneich</t>
  </si>
  <si>
    <t>V. Chair Finance &amp; Taxation</t>
  </si>
  <si>
    <t>701-535-0286</t>
  </si>
  <si>
    <t>jgrueneich@nd.gov</t>
  </si>
  <si>
    <t>Bernie</t>
  </si>
  <si>
    <t>Satrom</t>
  </si>
  <si>
    <t>Ashby</t>
  </si>
  <si>
    <t>701-252-4058</t>
  </si>
  <si>
    <t>blsatrom@nd.gov</t>
  </si>
  <si>
    <t>Koppelman</t>
  </si>
  <si>
    <t>Chair Judiciary</t>
  </si>
  <si>
    <t>701-492-9267</t>
  </si>
  <si>
    <t>kkoppelman@nd.gov</t>
  </si>
  <si>
    <t>Austen</t>
  </si>
  <si>
    <t>Schauer</t>
  </si>
  <si>
    <t>Industry, Business &amp; Labor</t>
  </si>
  <si>
    <t>701-730-4474</t>
  </si>
  <si>
    <t>aschauer@nd.gov</t>
  </si>
  <si>
    <t>Waddell</t>
  </si>
  <si>
    <t>Fahy</t>
  </si>
  <si>
    <t>701-771-2193</t>
  </si>
  <si>
    <t>jonelson@nd.gov</t>
  </si>
  <si>
    <t>Steck</t>
  </si>
  <si>
    <t>Weisz</t>
  </si>
  <si>
    <t xml:space="preserve">Chair Human Services </t>
  </si>
  <si>
    <t>701-962-3799</t>
  </si>
  <si>
    <t>rweisz@nd.gov</t>
  </si>
  <si>
    <t>Santabarbara</t>
  </si>
  <si>
    <t>701-739-9328</t>
  </si>
  <si>
    <t>djohnson@nd.gov</t>
  </si>
  <si>
    <t>Westlind</t>
  </si>
  <si>
    <t>701-739-8275</t>
  </si>
  <si>
    <t>gwestlind@nd.gov</t>
  </si>
  <si>
    <t>701-791-0667</t>
  </si>
  <si>
    <t>bkoppelman@nd.gov</t>
  </si>
  <si>
    <t>Marschall</t>
  </si>
  <si>
    <t>Energy &amp; Natural Resouces</t>
  </si>
  <si>
    <t>amarschall@nd.gov</t>
  </si>
  <si>
    <t>Woerner</t>
  </si>
  <si>
    <t>Owens</t>
  </si>
  <si>
    <t>Chair Education</t>
  </si>
  <si>
    <t>701-792-1819</t>
  </si>
  <si>
    <t>mowens@nd.gov</t>
  </si>
  <si>
    <t>Stec</t>
  </si>
  <si>
    <t>Hise</t>
  </si>
  <si>
    <t>Deputy President Pro Temp</t>
  </si>
  <si>
    <t>701-772-4236</t>
  </si>
  <si>
    <t>masanford@nd.gov</t>
  </si>
  <si>
    <t>Walczyk</t>
  </si>
  <si>
    <t>Mock</t>
  </si>
  <si>
    <t>701-732-0085</t>
  </si>
  <si>
    <t>crmock@nd.gov</t>
  </si>
  <si>
    <t>Vetter</t>
  </si>
  <si>
    <t>701-280-1400</t>
  </si>
  <si>
    <t>smvetter@nd.gov</t>
  </si>
  <si>
    <t>VanDuyn</t>
  </si>
  <si>
    <t>Blankenbush</t>
  </si>
  <si>
    <t>Smullen</t>
  </si>
  <si>
    <t>Paur</t>
  </si>
  <si>
    <t>218-791-0491</t>
  </si>
  <si>
    <t>gpaur@nd.gov</t>
  </si>
  <si>
    <t>Buttenschon</t>
  </si>
  <si>
    <t>G.K.</t>
  </si>
  <si>
    <t>Butterfield</t>
  </si>
  <si>
    <t>Holding</t>
  </si>
  <si>
    <t>Trottier</t>
  </si>
  <si>
    <t>V.Chair Agriculture</t>
  </si>
  <si>
    <t>701-238-0763</t>
  </si>
  <si>
    <t>wtrottier@nd.gov</t>
  </si>
  <si>
    <t>Foxx</t>
  </si>
  <si>
    <t>Rouzer</t>
  </si>
  <si>
    <t>Barclay</t>
  </si>
  <si>
    <t>McHenry</t>
  </si>
  <si>
    <t>Budd</t>
  </si>
  <si>
    <t>Holman</t>
  </si>
  <si>
    <t>701-238-1124</t>
  </si>
  <si>
    <t>rholman@nd.gov</t>
  </si>
  <si>
    <t>Salka</t>
  </si>
  <si>
    <t>Burr</t>
  </si>
  <si>
    <t>Tillis</t>
  </si>
  <si>
    <t>McWilliams</t>
  </si>
  <si>
    <t>701-430-90004</t>
  </si>
  <si>
    <t>amcwilliams@nd.gov</t>
  </si>
  <si>
    <t>Laurie Beth</t>
  </si>
  <si>
    <t>Hager</t>
  </si>
  <si>
    <t>701-371-1407</t>
  </si>
  <si>
    <t>lbhager@nd.gov</t>
  </si>
  <si>
    <t>Clifford</t>
  </si>
  <si>
    <t>Crouch</t>
  </si>
  <si>
    <t>701-306-0860</t>
  </si>
  <si>
    <t>mschneider@nd.gov</t>
  </si>
  <si>
    <t>Lupardo</t>
  </si>
  <si>
    <t>mchowe@nd.gov</t>
  </si>
  <si>
    <t>Brandy</t>
  </si>
  <si>
    <t>701-388-2622</t>
  </si>
  <si>
    <t>bpyle@nd.gov</t>
  </si>
  <si>
    <t>Friend</t>
  </si>
  <si>
    <t>701-524-2303</t>
  </si>
  <si>
    <t>bdevlin@nd.gov</t>
  </si>
  <si>
    <t>Lifton</t>
  </si>
  <si>
    <t>Vigesaa</t>
  </si>
  <si>
    <t>701-797-2448</t>
  </si>
  <si>
    <t>dwvigesaa@nd.gov</t>
  </si>
  <si>
    <t>701-840-3257</t>
  </si>
  <si>
    <t>dljohnston@nd.gov</t>
  </si>
  <si>
    <t>Kiefert</t>
  </si>
  <si>
    <t>701-490-0443</t>
  </si>
  <si>
    <t>dhkiefert@nd.gov</t>
  </si>
  <si>
    <t>Alisa</t>
  </si>
  <si>
    <t>Stirpe</t>
  </si>
  <si>
    <t>Mitskog</t>
  </si>
  <si>
    <t>701-642-6444</t>
  </si>
  <si>
    <t>amitskog@nd.gov</t>
  </si>
  <si>
    <t>Schreiber-Beck</t>
  </si>
  <si>
    <t xml:space="preserve">V. Chair Edu. </t>
  </si>
  <si>
    <t>701-642-5777</t>
  </si>
  <si>
    <t>cschreiberbeck@nd.gov</t>
  </si>
  <si>
    <t>Sebastian</t>
  </si>
  <si>
    <t>Ertelt</t>
  </si>
  <si>
    <t>701-680-7988</t>
  </si>
  <si>
    <t>sertelt@nd.gov</t>
  </si>
  <si>
    <t>Magnarelli</t>
  </si>
  <si>
    <t>Skroch</t>
  </si>
  <si>
    <t>701-538-7396</t>
  </si>
  <si>
    <t>kskroch@nd.gov</t>
  </si>
  <si>
    <t>Beadle</t>
  </si>
  <si>
    <t>701-235-2348</t>
  </si>
  <si>
    <t>tbeadle@nd.gov</t>
  </si>
  <si>
    <t>Manktelow</t>
  </si>
  <si>
    <t>Buffalo</t>
  </si>
  <si>
    <t>Judicary</t>
  </si>
  <si>
    <t>701-491-8175</t>
  </si>
  <si>
    <t>rbuffalo@nd.gov</t>
  </si>
  <si>
    <t>Kolb</t>
  </si>
  <si>
    <t>Brandenburg</t>
  </si>
  <si>
    <t>701-709--0237</t>
  </si>
  <si>
    <t>mbrandenburg@nd.gov</t>
  </si>
  <si>
    <t>Magrum</t>
  </si>
  <si>
    <t>701-321-2224</t>
  </si>
  <si>
    <t>jmagrum@nd.gov</t>
  </si>
  <si>
    <t>Palmesano</t>
  </si>
  <si>
    <t>Byrnes</t>
  </si>
  <si>
    <t>Headland</t>
  </si>
  <si>
    <t>Chair Finance &amp; Taxation</t>
  </si>
  <si>
    <t>701-269-2230</t>
  </si>
  <si>
    <t>cheadland@nd.gov</t>
  </si>
  <si>
    <t>Chet</t>
  </si>
  <si>
    <t>Pollert</t>
  </si>
  <si>
    <t>701-947-5714</t>
  </si>
  <si>
    <t>cpollert@nd.gov</t>
  </si>
  <si>
    <t>Bosch</t>
  </si>
  <si>
    <t>701-226-1886</t>
  </si>
  <si>
    <t>gdbosch@nd.gov</t>
  </si>
  <si>
    <t>Romeo</t>
  </si>
  <si>
    <t>Nathe</t>
  </si>
  <si>
    <t>701-223-4055</t>
  </si>
  <si>
    <t>mrnathe@nd.gov</t>
  </si>
  <si>
    <t>Gantt</t>
  </si>
  <si>
    <t>Rohr</t>
  </si>
  <si>
    <t>701-202-1956</t>
  </si>
  <si>
    <t>kmrohr@nd.gov</t>
  </si>
  <si>
    <t>Bronson</t>
  </si>
  <si>
    <t>701-426-2102</t>
  </si>
  <si>
    <t>jeschmidt@nd.gov</t>
  </si>
  <si>
    <t>Heinert</t>
  </si>
  <si>
    <t>701-222-1354</t>
  </si>
  <si>
    <t>pdheinert@nd.gov</t>
  </si>
  <si>
    <t>401-255-4166</t>
  </si>
  <si>
    <t>lmeier@nd.gov</t>
  </si>
  <si>
    <t>Schimminger</t>
  </si>
  <si>
    <t>Kreidt</t>
  </si>
  <si>
    <t>701-226-2169</t>
  </si>
  <si>
    <t>gkreidt@nd.gov</t>
  </si>
  <si>
    <t>Tveit</t>
  </si>
  <si>
    <t>701-870-4014</t>
  </si>
  <si>
    <t>btveit@nd.gov</t>
  </si>
  <si>
    <t>Chair Energy &amp; Natural Resources</t>
  </si>
  <si>
    <t>701-255-0812</t>
  </si>
  <si>
    <t>tkporter@nd.gov</t>
  </si>
  <si>
    <t>Toman</t>
  </si>
  <si>
    <t>nptoman@nd.gov</t>
  </si>
  <si>
    <t>Karls</t>
  </si>
  <si>
    <t xml:space="preserve">V. Chair Judiciary </t>
  </si>
  <si>
    <t>kkarls@nd.gov</t>
  </si>
  <si>
    <t>Norris</t>
  </si>
  <si>
    <t>Martinson</t>
  </si>
  <si>
    <t>bmartinson@nd.gov</t>
  </si>
  <si>
    <t>Morinello</t>
  </si>
  <si>
    <t>mischatz@nd.gov</t>
  </si>
  <si>
    <t>Simons</t>
  </si>
  <si>
    <t>McMahon</t>
  </si>
  <si>
    <t>lsimons@nd.gov</t>
  </si>
  <si>
    <t>Lefor</t>
  </si>
  <si>
    <t>V. Chair Industry, Business, &amp; Labor</t>
  </si>
  <si>
    <t>mlefor@nd.gov</t>
  </si>
  <si>
    <t>DiPietro</t>
  </si>
  <si>
    <t>Steiner</t>
  </si>
  <si>
    <t xml:space="preserve">V. Chair Gov. &amp; Vet Affairs </t>
  </si>
  <si>
    <t>vsteiner@nd.gov</t>
  </si>
  <si>
    <t>Giglio</t>
  </si>
  <si>
    <t>Bellew</t>
  </si>
  <si>
    <t>lbellew@nd.gov</t>
  </si>
  <si>
    <t>Goodell</t>
  </si>
  <si>
    <t>Ruby</t>
  </si>
  <si>
    <t>Chair Transportation</t>
  </si>
  <si>
    <t>druby@nd.gov</t>
  </si>
  <si>
    <t>LaValle</t>
  </si>
  <si>
    <t>Kempenich</t>
  </si>
  <si>
    <t>V. Chair Appropriations</t>
  </si>
  <si>
    <t>kkempenich@nd.gov</t>
  </si>
  <si>
    <t>Zubke</t>
  </si>
  <si>
    <t>dzubke@nd.gov</t>
  </si>
  <si>
    <t>mruby@nd.gov</t>
  </si>
  <si>
    <t>Schobinger</t>
  </si>
  <si>
    <t>rschobinger@nd.gov</t>
  </si>
  <si>
    <t>Flanagan</t>
  </si>
  <si>
    <t>pkanderson@nd.gov</t>
  </si>
  <si>
    <t>Strinden</t>
  </si>
  <si>
    <t>Political Subdivions</t>
  </si>
  <si>
    <t>mstrinden@nd.gov</t>
  </si>
  <si>
    <t>Blum</t>
  </si>
  <si>
    <t>jblum@nd.gov</t>
  </si>
  <si>
    <t>O'Brien</t>
  </si>
  <si>
    <t>eobrien@nd.gov</t>
  </si>
  <si>
    <t>Gaughran</t>
  </si>
  <si>
    <t xml:space="preserve">Matt </t>
  </si>
  <si>
    <t>Eidson</t>
  </si>
  <si>
    <t>mkadams@nd.gov</t>
  </si>
  <si>
    <t>Industry</t>
  </si>
  <si>
    <t>Business and Labor</t>
  </si>
  <si>
    <t>701-739-5520</t>
  </si>
  <si>
    <t>meidson@nd.gov</t>
  </si>
  <si>
    <t>Boschee</t>
  </si>
  <si>
    <t>jboschee@nd.gov</t>
  </si>
  <si>
    <t>Wiggam</t>
  </si>
  <si>
    <t>(614) 466-1475</t>
  </si>
  <si>
    <t>Hanson</t>
  </si>
  <si>
    <t>Asst. Minority Leader</t>
  </si>
  <si>
    <t xml:space="preserve">Judiciary </t>
  </si>
  <si>
    <t>krhanson@nd.gov</t>
  </si>
  <si>
    <t>marycjohnson@nd.gov</t>
  </si>
  <si>
    <t>Kaminsky</t>
  </si>
  <si>
    <t>Romanchuk</t>
  </si>
  <si>
    <t>Kading</t>
  </si>
  <si>
    <t>(614) 466-5802</t>
  </si>
  <si>
    <t>tkading@nd.gov</t>
  </si>
  <si>
    <t>Sanders</t>
  </si>
  <si>
    <t>Gavarone</t>
  </si>
  <si>
    <t>(614) 466-8104</t>
  </si>
  <si>
    <t>Liu</t>
  </si>
  <si>
    <t>Kasper</t>
  </si>
  <si>
    <t xml:space="preserve">Chair Gov. &amp; Vet Affairs </t>
  </si>
  <si>
    <t>jkasper@nd.gov</t>
  </si>
  <si>
    <t>Majority Caucus Leader</t>
  </si>
  <si>
    <t>sroersjones@nd.gov</t>
  </si>
  <si>
    <t>Cupp</t>
  </si>
  <si>
    <t>(614) 466-9624</t>
  </si>
  <si>
    <t>Gianaris</t>
  </si>
  <si>
    <t>Ginter</t>
  </si>
  <si>
    <t>(614) 466-8022</t>
  </si>
  <si>
    <t>Keiser</t>
  </si>
  <si>
    <t>(614) 644-6041</t>
  </si>
  <si>
    <t>Chair Industry, Business, &amp; Labor</t>
  </si>
  <si>
    <t>gkeiser@nd.gov</t>
  </si>
  <si>
    <t>Comrie</t>
  </si>
  <si>
    <t>(614) 466-4895</t>
  </si>
  <si>
    <t>Klemin</t>
  </si>
  <si>
    <t>lklemin@nd.gov</t>
  </si>
  <si>
    <t>Addabbo</t>
  </si>
  <si>
    <t>Assistant Minority Whip</t>
  </si>
  <si>
    <t>(614) 466-5441</t>
  </si>
  <si>
    <t>Janine</t>
  </si>
  <si>
    <t>Bekkedahl</t>
  </si>
  <si>
    <t>701-570-1879</t>
  </si>
  <si>
    <t>bbekkedahl@nd.gov</t>
  </si>
  <si>
    <t>(614) 644-5079</t>
  </si>
  <si>
    <t>Stavisky</t>
  </si>
  <si>
    <t>Terrence</t>
  </si>
  <si>
    <t>(614) 466-7954</t>
  </si>
  <si>
    <t>Howse</t>
  </si>
  <si>
    <t>Felder</t>
  </si>
  <si>
    <t>(614) 466-1414</t>
  </si>
  <si>
    <t>Juanita</t>
  </si>
  <si>
    <t>(614) 466-1408</t>
  </si>
  <si>
    <t>Skindell</t>
  </si>
  <si>
    <t>(614) 466-5921</t>
  </si>
  <si>
    <t>Rust</t>
  </si>
  <si>
    <t>701-216-0270</t>
  </si>
  <si>
    <t>drust@nd.gov</t>
  </si>
  <si>
    <t>Bride</t>
  </si>
  <si>
    <t>(614) 466-3350</t>
  </si>
  <si>
    <t>Crossman</t>
  </si>
  <si>
    <t>(614) 466-3485</t>
  </si>
  <si>
    <t>Oley</t>
  </si>
  <si>
    <t>Roxanne</t>
  </si>
  <si>
    <t>Larsen</t>
  </si>
  <si>
    <t>Persaud</t>
  </si>
  <si>
    <t>Human Services (Vice Chair)</t>
  </si>
  <si>
    <t>701-509-0010</t>
  </si>
  <si>
    <t>olarsen@nd.gov</t>
  </si>
  <si>
    <t>Kannianen</t>
  </si>
  <si>
    <t>Finance and Taxation (Vice Chair)</t>
  </si>
  <si>
    <t>Greenspan</t>
  </si>
  <si>
    <t>701-421-8813</t>
  </si>
  <si>
    <t>jkannianen@nd.gov</t>
  </si>
  <si>
    <t>(614) 466-0961</t>
  </si>
  <si>
    <t>Zellnor</t>
  </si>
  <si>
    <t>Myrie</t>
  </si>
  <si>
    <t>Burckhard</t>
  </si>
  <si>
    <t>Industry, Business, and Labor</t>
  </si>
  <si>
    <t>Political Subdivisions (Chair)</t>
  </si>
  <si>
    <t>701-838-1509</t>
  </si>
  <si>
    <t>raburckhard@nd.gov</t>
  </si>
  <si>
    <t>Vedaa</t>
  </si>
  <si>
    <t>Government and Veterans Affairs</t>
  </si>
  <si>
    <t>Industry, Business, and Labor (Vice Chair)</t>
  </si>
  <si>
    <t>701-721-5346</t>
  </si>
  <si>
    <t>svedaa@nd.gov</t>
  </si>
  <si>
    <t>(614) 644-6005</t>
  </si>
  <si>
    <t>Poolman</t>
  </si>
  <si>
    <t>Budget Section</t>
  </si>
  <si>
    <t>Administrative Rules Commitee (Vice Chair)</t>
  </si>
  <si>
    <t>701-250-6730</t>
  </si>
  <si>
    <t>npoolman@nd.gov</t>
  </si>
  <si>
    <t>Gounardes</t>
  </si>
  <si>
    <t>Anderson Jr.</t>
  </si>
  <si>
    <t xml:space="preserve">Political Subdivisions (Vice Chair) </t>
  </si>
  <si>
    <t>LM, CB - Not interested</t>
  </si>
  <si>
    <t>701-861-9749</t>
  </si>
  <si>
    <t>hcanderson@nd.gov</t>
  </si>
  <si>
    <t>Boggs</t>
  </si>
  <si>
    <t>(614) 466-1896</t>
  </si>
  <si>
    <t>Lightbody</t>
  </si>
  <si>
    <t>(614) 466-4847</t>
  </si>
  <si>
    <t>Marcellais</t>
  </si>
  <si>
    <t xml:space="preserve">Legislative Audit Fiscal Review </t>
  </si>
  <si>
    <t>Maxed his limit, send e-mail, will help find legislators</t>
  </si>
  <si>
    <t>701-278-0632</t>
  </si>
  <si>
    <t>rmarcellais@nd.gov</t>
  </si>
  <si>
    <t>Janne</t>
  </si>
  <si>
    <t>Savino</t>
  </si>
  <si>
    <t>(614) 644-6002</t>
  </si>
  <si>
    <t>Myrdal</t>
  </si>
  <si>
    <t>701-331-0946</t>
  </si>
  <si>
    <t>jmyrdal@nd.gov</t>
  </si>
  <si>
    <t>(614) 644-6030</t>
  </si>
  <si>
    <t>Mathern</t>
  </si>
  <si>
    <t>701-235-9817</t>
  </si>
  <si>
    <t>tmathern@nd.gov</t>
  </si>
  <si>
    <t>Leland</t>
  </si>
  <si>
    <t>(614) 466-2473</t>
  </si>
  <si>
    <t>Lanza</t>
  </si>
  <si>
    <t>Grabinger</t>
  </si>
  <si>
    <t>701-252-4824</t>
  </si>
  <si>
    <t>jgrabinger@nd.gov</t>
  </si>
  <si>
    <t>Lanese</t>
  </si>
  <si>
    <t>(614) 466-9690</t>
  </si>
  <si>
    <t>701-282-6512</t>
  </si>
  <si>
    <t>jlee@nd.gov</t>
  </si>
  <si>
    <t>Russo</t>
  </si>
  <si>
    <t>(614) 466-8012</t>
  </si>
  <si>
    <t>Velmanette</t>
  </si>
  <si>
    <t>Bernadine</t>
  </si>
  <si>
    <t xml:space="preserve">Assitant Majority Leader </t>
  </si>
  <si>
    <t>701-547-3517</t>
  </si>
  <si>
    <t>jklein@nd.gov</t>
  </si>
  <si>
    <t>(614) 466-5343</t>
  </si>
  <si>
    <t>Crawley</t>
  </si>
  <si>
    <t>(614) 466-8010</t>
  </si>
  <si>
    <t>Oehlke</t>
  </si>
  <si>
    <t>701-662-8587</t>
  </si>
  <si>
    <t>doehlke@nd.gov</t>
  </si>
  <si>
    <t>(701) 328-2916 (might be capital phone)</t>
  </si>
  <si>
    <t>Brinkman</t>
  </si>
  <si>
    <t>(614) 644-6886</t>
  </si>
  <si>
    <t>dclemens@nd.gov</t>
  </si>
  <si>
    <t>Dever</t>
  </si>
  <si>
    <t>(614) 466-8120</t>
  </si>
  <si>
    <t>Hoylman</t>
  </si>
  <si>
    <t>Holmberg</t>
  </si>
  <si>
    <t>701-739-5334</t>
  </si>
  <si>
    <t>rholmberg@nd.gov</t>
  </si>
  <si>
    <t>Blessing</t>
  </si>
  <si>
    <t>(614) 466-9091</t>
  </si>
  <si>
    <t>218-791-7655</t>
  </si>
  <si>
    <t>scottmeyer@nd.gov</t>
  </si>
  <si>
    <t>Krueger</t>
  </si>
  <si>
    <t>Fors</t>
  </si>
  <si>
    <t>218-779-0580</t>
  </si>
  <si>
    <t>rfors@nd.gov</t>
  </si>
  <si>
    <t>Arne</t>
  </si>
  <si>
    <t>Osland</t>
  </si>
  <si>
    <t>701-436-6155</t>
  </si>
  <si>
    <t>aosland@nd.gov</t>
  </si>
  <si>
    <t>Seitz</t>
  </si>
  <si>
    <t>(614) 466-8258</t>
  </si>
  <si>
    <t>Brigid</t>
  </si>
  <si>
    <t>Serrano</t>
  </si>
  <si>
    <t>701-235-1916</t>
  </si>
  <si>
    <t>khogan@nd.gov</t>
  </si>
  <si>
    <t>(614) 466-5786</t>
  </si>
  <si>
    <t>701-347-4809</t>
  </si>
  <si>
    <t>galee@nd.gov</t>
  </si>
  <si>
    <t>(614) 466-1645</t>
  </si>
  <si>
    <t>Sedrick</t>
  </si>
  <si>
    <t>Denson</t>
  </si>
  <si>
    <t>(614) 466-1308</t>
  </si>
  <si>
    <t>Emilia</t>
  </si>
  <si>
    <t>Luis</t>
  </si>
  <si>
    <t>Heckaman</t>
  </si>
  <si>
    <t>Will look at it, asked for email with bill language to see if it’s possible</t>
  </si>
  <si>
    <t>701-302-0355</t>
  </si>
  <si>
    <t>jheckaman@nd.gov</t>
  </si>
  <si>
    <t>(614) 466-3100</t>
  </si>
  <si>
    <t>Sepúlveda</t>
  </si>
  <si>
    <t>Tavia</t>
  </si>
  <si>
    <t>Gustavo</t>
  </si>
  <si>
    <t>Galonski</t>
  </si>
  <si>
    <t>(614) 644-6037</t>
  </si>
  <si>
    <t>701-845-7217</t>
  </si>
  <si>
    <t>lrobinson@nd.gov</t>
  </si>
  <si>
    <t>Alessandra</t>
  </si>
  <si>
    <t>Biaggi</t>
  </si>
  <si>
    <t>DeVitis</t>
  </si>
  <si>
    <t>(614) 466-1790</t>
  </si>
  <si>
    <t>Luick</t>
  </si>
  <si>
    <t>(614) 466-1177</t>
  </si>
  <si>
    <t>701-474-5959</t>
  </si>
  <si>
    <t>lluick@nd.gov</t>
  </si>
  <si>
    <t>Roemer</t>
  </si>
  <si>
    <t>(614) 644-5085</t>
  </si>
  <si>
    <t>Stewart-Cousins</t>
  </si>
  <si>
    <t>Jamaal</t>
  </si>
  <si>
    <t>Strahorn</t>
  </si>
  <si>
    <t>(614) 466-1607</t>
  </si>
  <si>
    <t>Dotzenrod</t>
  </si>
  <si>
    <t>701-439-2893</t>
  </si>
  <si>
    <t>jdotzenrod@nd.gov</t>
  </si>
  <si>
    <t>(614) 644-8051</t>
  </si>
  <si>
    <t>Roers</t>
  </si>
  <si>
    <t>Govt. and Veterans Affairs</t>
  </si>
  <si>
    <t>701-566-8725</t>
  </si>
  <si>
    <t>kroers@nd.gov</t>
  </si>
  <si>
    <t>(614) 644-6008</t>
  </si>
  <si>
    <t>Niraj</t>
  </si>
  <si>
    <t>Erbele</t>
  </si>
  <si>
    <t>701-378-2272</t>
  </si>
  <si>
    <t>rerbele@nd.gov</t>
  </si>
  <si>
    <t>Mayer</t>
  </si>
  <si>
    <t>Antani</t>
  </si>
  <si>
    <t>(614) 466-6504</t>
  </si>
  <si>
    <t>Skoufis</t>
  </si>
  <si>
    <t>Wanzek</t>
  </si>
  <si>
    <t>701-763-6544</t>
  </si>
  <si>
    <t>tmwanzek@nd.gov</t>
  </si>
  <si>
    <t>Poltical Subdivision</t>
  </si>
  <si>
    <t>701-400-7218</t>
  </si>
  <si>
    <t>dklarson@nd.gov</t>
  </si>
  <si>
    <t>Rezabek</t>
  </si>
  <si>
    <t>Larkin</t>
  </si>
  <si>
    <t>(614) 466-2960</t>
  </si>
  <si>
    <t>Hicks-Hudson</t>
  </si>
  <si>
    <t>Schaible</t>
  </si>
  <si>
    <t>(614) 466-1401</t>
  </si>
  <si>
    <t>701-824-3168</t>
  </si>
  <si>
    <t>dgschaible@nd.gov</t>
  </si>
  <si>
    <t>Sobecki</t>
  </si>
  <si>
    <t>(614) 644-6017</t>
  </si>
  <si>
    <t>701-222-2604, cell 701-391-6330</t>
  </si>
  <si>
    <t>ddever@nd.gov</t>
  </si>
  <si>
    <t>Sheehy</t>
  </si>
  <si>
    <t>(614) 466-1418</t>
  </si>
  <si>
    <t>Unruh</t>
  </si>
  <si>
    <t>701-891-9708</t>
  </si>
  <si>
    <t>jkunruh@nd.gov</t>
  </si>
  <si>
    <t>Merrin</t>
  </si>
  <si>
    <t>(614) 466-1731</t>
  </si>
  <si>
    <t>Oelslager</t>
  </si>
  <si>
    <t>(614) 752-2438</t>
  </si>
  <si>
    <t>Serino</t>
  </si>
  <si>
    <t>701-220-3850</t>
  </si>
  <si>
    <t>dcook@nd.gov</t>
  </si>
  <si>
    <t>(614) 466-8030</t>
  </si>
  <si>
    <t>Stoltzfus</t>
  </si>
  <si>
    <t>(614) 466-9078</t>
  </si>
  <si>
    <t>Metzger</t>
  </si>
  <si>
    <t>Carruthers</t>
  </si>
  <si>
    <t>(614) 644-6721</t>
  </si>
  <si>
    <t>Oban</t>
  </si>
  <si>
    <t>701-955-3188</t>
  </si>
  <si>
    <t>eoban@nd.gov</t>
  </si>
  <si>
    <t>exclude from email blast</t>
  </si>
  <si>
    <t>Daphne</t>
  </si>
  <si>
    <t>(614) 466-8550</t>
  </si>
  <si>
    <t>Candice</t>
  </si>
  <si>
    <t>(701) 471-6036 is campaign number</t>
  </si>
  <si>
    <t>Keller</t>
  </si>
  <si>
    <t>(614) 644-5094</t>
  </si>
  <si>
    <t>jayelkin@nd.gov</t>
  </si>
  <si>
    <t>Breslin</t>
  </si>
  <si>
    <t>Zeltwanger</t>
  </si>
  <si>
    <t>(614) 644-6027</t>
  </si>
  <si>
    <t>(614) 644-5076</t>
  </si>
  <si>
    <t>(614) 466-5141</t>
  </si>
  <si>
    <t>Wardner</t>
  </si>
  <si>
    <t>B: 701-483-6918
R: 701-483-6918
C: 701-590-1178
F: 701-483-6914</t>
  </si>
  <si>
    <t>rwardner@nd.gov</t>
  </si>
  <si>
    <t>(614) 466-9628</t>
  </si>
  <si>
    <t>Hogue</t>
  </si>
  <si>
    <t>701-852-0381</t>
  </si>
  <si>
    <t>dhogue@nd.gov</t>
  </si>
  <si>
    <t>Lepore-Hagan</t>
  </si>
  <si>
    <t>Patten</t>
  </si>
  <si>
    <t>(614) 466-9435</t>
  </si>
  <si>
    <t>701-570-4908</t>
  </si>
  <si>
    <t>dpatten@nd.gov</t>
  </si>
  <si>
    <t>(614) 466-6107</t>
  </si>
  <si>
    <t>Amedore</t>
  </si>
  <si>
    <t>(614) 466-7251</t>
  </si>
  <si>
    <t>Krebsbach</t>
  </si>
  <si>
    <t>B: 701-838-0211 R: 701-838-0211 C: 701-720-1291</t>
  </si>
  <si>
    <t>Callender</t>
  </si>
  <si>
    <t>kkrebsbach@nd.gov</t>
  </si>
  <si>
    <t>(614) 644-6074</t>
  </si>
  <si>
    <t>Davison</t>
  </si>
  <si>
    <t>R: 701-261-8703 C: 701-261-8703</t>
  </si>
  <si>
    <t>kdavison@nd.gov</t>
  </si>
  <si>
    <t>Griffo</t>
  </si>
  <si>
    <t>Kreun</t>
  </si>
  <si>
    <t>R: 701-795-8829 C: 701-741-2612</t>
  </si>
  <si>
    <t>ckreun@nd.gov</t>
  </si>
  <si>
    <t>Lipps</t>
  </si>
  <si>
    <t>(614) 644-6023</t>
  </si>
  <si>
    <t>JoNell</t>
  </si>
  <si>
    <t>Bakke</t>
  </si>
  <si>
    <t xml:space="preserve">218-779-3961 </t>
  </si>
  <si>
    <t>jbakke@nd.gov</t>
  </si>
  <si>
    <t>Merrill</t>
  </si>
  <si>
    <t>Piepkorn</t>
  </si>
  <si>
    <t>B: 701-205-2665 R: 701-205-2665 C: 701-205-2665</t>
  </si>
  <si>
    <t>mpiepkorn@nd.gov</t>
  </si>
  <si>
    <t>(614) 466-3488</t>
  </si>
  <si>
    <t>Sorvaag</t>
  </si>
  <si>
    <t>C: 701-361-2156</t>
  </si>
  <si>
    <t>rsorvaag@nd.gov</t>
  </si>
  <si>
    <t>(614) 466-5358</t>
  </si>
  <si>
    <t>R: 701-356-5050 C: 701-371-4999</t>
  </si>
  <si>
    <t>jroers@nd.gov</t>
  </si>
  <si>
    <t>701-400-6075</t>
  </si>
  <si>
    <t>madwyer@nd.gov</t>
  </si>
  <si>
    <t>Tedisco</t>
  </si>
  <si>
    <t>(614) 466-8134</t>
  </si>
  <si>
    <t>Burgum</t>
  </si>
  <si>
    <t>Antonacci</t>
  </si>
  <si>
    <t>Hoeven</t>
  </si>
  <si>
    <t>Cramer</t>
  </si>
  <si>
    <t>Stenehjem</t>
  </si>
  <si>
    <t>(614) 644-6034</t>
  </si>
  <si>
    <t>Kris</t>
  </si>
  <si>
    <t>(614) 644-6711</t>
  </si>
  <si>
    <t>Carfagna</t>
  </si>
  <si>
    <t>(614) 466-1431</t>
  </si>
  <si>
    <t>Hambley</t>
  </si>
  <si>
    <t>(614) 466-8140</t>
  </si>
  <si>
    <t>Darrell</t>
  </si>
  <si>
    <t>Akshar</t>
  </si>
  <si>
    <t>Kick</t>
  </si>
  <si>
    <t>(614) 466-2994</t>
  </si>
  <si>
    <t>Helming</t>
  </si>
  <si>
    <t>(614) 466-1482</t>
  </si>
  <si>
    <t>Funke</t>
  </si>
  <si>
    <t>Householder</t>
  </si>
  <si>
    <t>(614) 466-2500</t>
  </si>
  <si>
    <t>Perales</t>
  </si>
  <si>
    <t>(614) 644-6020</t>
  </si>
  <si>
    <t>Robach</t>
  </si>
  <si>
    <t>(614) 466-1470</t>
  </si>
  <si>
    <t>Randi</t>
  </si>
  <si>
    <t>Clites</t>
  </si>
  <si>
    <t>(614) 466-2004</t>
  </si>
  <si>
    <t>LaTourette</t>
  </si>
  <si>
    <t>(614) 644-5088</t>
  </si>
  <si>
    <t>O'Mara</t>
  </si>
  <si>
    <t>Schaffer</t>
  </si>
  <si>
    <t>(614) 466-8100</t>
  </si>
  <si>
    <t>Gallivan</t>
  </si>
  <si>
    <t>(614) 466-1464</t>
  </si>
  <si>
    <t>(614) 466-2038</t>
  </si>
  <si>
    <t>Jena</t>
  </si>
  <si>
    <t>(614) 466-8114</t>
  </si>
  <si>
    <t>Ranzenhofer</t>
  </si>
  <si>
    <t>Hoops</t>
  </si>
  <si>
    <t>(614) 466-3760</t>
  </si>
  <si>
    <t>Riedel</t>
  </si>
  <si>
    <t>(614) 644-5091</t>
  </si>
  <si>
    <t>Cross</t>
  </si>
  <si>
    <t>(614) 466-3819</t>
  </si>
  <si>
    <t>Manchester</t>
  </si>
  <si>
    <t>(614) 466-6344</t>
  </si>
  <si>
    <t>Ortt</t>
  </si>
  <si>
    <t>(614) 466-1507</t>
  </si>
  <si>
    <t>(614) 466-8147</t>
  </si>
  <si>
    <t>Riordan</t>
  </si>
  <si>
    <t>Cuomo</t>
  </si>
  <si>
    <t>Zeldin</t>
  </si>
  <si>
    <t>Suozzi</t>
  </si>
  <si>
    <t>Meng</t>
  </si>
  <si>
    <t>Nyadia</t>
  </si>
  <si>
    <t>Velazquez</t>
  </si>
  <si>
    <t>(614) 644-6265</t>
  </si>
  <si>
    <t>Hakeem</t>
  </si>
  <si>
    <t>Jeffries</t>
  </si>
  <si>
    <t>Jerrold</t>
  </si>
  <si>
    <t>Nadler</t>
  </si>
  <si>
    <t>Maloney</t>
  </si>
  <si>
    <t>Adriano</t>
  </si>
  <si>
    <t>Espaillat</t>
  </si>
  <si>
    <t>Ocasio-Cortez</t>
  </si>
  <si>
    <t>Eliot</t>
  </si>
  <si>
    <t>Nita</t>
  </si>
  <si>
    <t>Lowey</t>
  </si>
  <si>
    <t>Delgado</t>
  </si>
  <si>
    <t>Tonko</t>
  </si>
  <si>
    <t>Elise</t>
  </si>
  <si>
    <t>Stefanik</t>
  </si>
  <si>
    <t>Brindisi</t>
  </si>
  <si>
    <t>Reineke</t>
  </si>
  <si>
    <t>(614) 466-1374</t>
  </si>
  <si>
    <t>katko</t>
  </si>
  <si>
    <t>Morelle</t>
  </si>
  <si>
    <t>Schumer</t>
  </si>
  <si>
    <t>Gillibrand</t>
  </si>
  <si>
    <t>Letitia</t>
  </si>
  <si>
    <t>(614) 644-6011</t>
  </si>
  <si>
    <t>Baldridge</t>
  </si>
  <si>
    <t>(614) 466-2124</t>
  </si>
  <si>
    <t>Wilkin</t>
  </si>
  <si>
    <t>(614) 466-3506</t>
  </si>
  <si>
    <t>(614) 644-7928</t>
  </si>
  <si>
    <t>(614) 466-1366</t>
  </si>
  <si>
    <t>(614) 466-2158</t>
  </si>
  <si>
    <t>(614) 644-8728</t>
  </si>
  <si>
    <t>Cera</t>
  </si>
  <si>
    <t>(614) 466-3735</t>
  </si>
  <si>
    <t>(614) 644-6014</t>
  </si>
  <si>
    <t>Hillyer</t>
  </si>
  <si>
    <t>(614) 466-8035</t>
  </si>
  <si>
    <t>(614) 466-1405</t>
  </si>
  <si>
    <t>McColley</t>
  </si>
  <si>
    <t>Maharath</t>
  </si>
  <si>
    <t>Coley</t>
  </si>
  <si>
    <t>Lehner</t>
  </si>
  <si>
    <t>Terhar</t>
  </si>
  <si>
    <t>Hackett</t>
  </si>
  <si>
    <t>Tadlock</t>
  </si>
  <si>
    <t>BrockSmith</t>
  </si>
  <si>
    <t>Fedor</t>
  </si>
  <si>
    <t>Lundy</t>
  </si>
  <si>
    <t>Kiger</t>
  </si>
  <si>
    <t>Cornwell</t>
  </si>
  <si>
    <t>Loring</t>
  </si>
  <si>
    <t>Gann</t>
  </si>
  <si>
    <t>Lepak</t>
  </si>
  <si>
    <t>Judd</t>
  </si>
  <si>
    <t>Leif</t>
  </si>
  <si>
    <t>Derrel</t>
  </si>
  <si>
    <t>McDugle</t>
  </si>
  <si>
    <t>Frix</t>
  </si>
  <si>
    <t>Sneed</t>
  </si>
  <si>
    <t>Randleman</t>
  </si>
  <si>
    <t>Fetgatter</t>
  </si>
  <si>
    <t>Grego</t>
  </si>
  <si>
    <t>Uecker</t>
  </si>
  <si>
    <t>Sherrie</t>
  </si>
  <si>
    <t>Deputy Floor Leader</t>
  </si>
  <si>
    <t>Ronny</t>
  </si>
  <si>
    <t>Dell</t>
  </si>
  <si>
    <t>Kerbs</t>
  </si>
  <si>
    <t>Hearcel</t>
  </si>
  <si>
    <t>Hilbert</t>
  </si>
  <si>
    <t>Mize</t>
  </si>
  <si>
    <t>Assistant Floor Leader</t>
  </si>
  <si>
    <t>Talley</t>
  </si>
  <si>
    <t>Trish</t>
  </si>
  <si>
    <t>Ranson</t>
  </si>
  <si>
    <t>Luttrell</t>
  </si>
  <si>
    <t>Pfeiffer</t>
  </si>
  <si>
    <t>Hader</t>
  </si>
  <si>
    <t>Roe</t>
  </si>
  <si>
    <t>Steagall</t>
  </si>
  <si>
    <t>Kunze</t>
  </si>
  <si>
    <t>Virgin</t>
  </si>
  <si>
    <t>Merleyn</t>
  </si>
  <si>
    <t>Rosecrants</t>
  </si>
  <si>
    <t>Townley</t>
  </si>
  <si>
    <t>Hardin</t>
  </si>
  <si>
    <t>McEntire</t>
  </si>
  <si>
    <t>President Pr Tem</t>
  </si>
  <si>
    <t>Ortega</t>
  </si>
  <si>
    <t>Perryman</t>
  </si>
  <si>
    <t>Wallan</t>
  </si>
  <si>
    <t>Kenton</t>
  </si>
  <si>
    <t>Patzkowsky</t>
  </si>
  <si>
    <t>Pae</t>
  </si>
  <si>
    <t>Hurchel</t>
  </si>
  <si>
    <t>Rande</t>
  </si>
  <si>
    <t>Worthen</t>
  </si>
  <si>
    <t>Hasenbeck</t>
  </si>
  <si>
    <t>Jadine</t>
  </si>
  <si>
    <t>Nollan</t>
  </si>
  <si>
    <t>Boatman</t>
  </si>
  <si>
    <t>Eklund</t>
  </si>
  <si>
    <t>Dills</t>
  </si>
  <si>
    <t>Monroe</t>
  </si>
  <si>
    <t>Vancuren</t>
  </si>
  <si>
    <t>T.</t>
  </si>
  <si>
    <t>Meloyde</t>
  </si>
  <si>
    <t>Blancett</t>
  </si>
  <si>
    <t>Provenzano</t>
  </si>
  <si>
    <t>Osburn</t>
  </si>
  <si>
    <t>Brenner</t>
  </si>
  <si>
    <t>Chelsey</t>
  </si>
  <si>
    <t>Branham</t>
  </si>
  <si>
    <t>Assistant Majority Whip and Majority Caucus Chair</t>
  </si>
  <si>
    <t>Walke</t>
  </si>
  <si>
    <t>Dunnington</t>
  </si>
  <si>
    <t>Echols</t>
  </si>
  <si>
    <t>Kannady</t>
  </si>
  <si>
    <t>Holvey</t>
  </si>
  <si>
    <t>Buisness and Labor (Chair)</t>
  </si>
  <si>
    <t>Balderson</t>
  </si>
  <si>
    <t>Dollens</t>
  </si>
  <si>
    <t>Caddy</t>
  </si>
  <si>
    <t>McKeown</t>
  </si>
  <si>
    <t>Ajay</t>
  </si>
  <si>
    <t>Manger</t>
  </si>
  <si>
    <t>Gomberg</t>
  </si>
  <si>
    <t>Michaeal</t>
  </si>
  <si>
    <t>Bergstrom</t>
  </si>
  <si>
    <t xml:space="preserve">Economic Developement (Chair) </t>
  </si>
  <si>
    <t>Obhof</t>
  </si>
  <si>
    <t>Business, Commerce &amp; Tourism</t>
  </si>
  <si>
    <t>Wilde</t>
  </si>
  <si>
    <t>Nickie</t>
  </si>
  <si>
    <t>Quinn</t>
  </si>
  <si>
    <t>Retirement &amp; Insurance</t>
  </si>
  <si>
    <t>Energy</t>
  </si>
  <si>
    <t>Lively</t>
  </si>
  <si>
    <t>Agriculture and Wildlife</t>
  </si>
  <si>
    <t>Early Childhood (Chair)</t>
  </si>
  <si>
    <t>Dolan</t>
  </si>
  <si>
    <t>Silk</t>
  </si>
  <si>
    <t>Bullard</t>
  </si>
  <si>
    <t>Veterans &amp; Military Affairs</t>
  </si>
  <si>
    <t>Pemberton</t>
  </si>
  <si>
    <t>General Government</t>
  </si>
  <si>
    <t>Leewright</t>
  </si>
  <si>
    <t>Yuko</t>
  </si>
  <si>
    <t>Nathanson</t>
  </si>
  <si>
    <t>McCortney</t>
  </si>
  <si>
    <t>Revenue (Chair)</t>
  </si>
  <si>
    <t>Fahey</t>
  </si>
  <si>
    <t>Boren</t>
  </si>
  <si>
    <t>Sharp</t>
  </si>
  <si>
    <t>Kristina</t>
  </si>
  <si>
    <t>Roegner</t>
  </si>
  <si>
    <t>Pederson</t>
  </si>
  <si>
    <t>Dugger</t>
  </si>
  <si>
    <t>Bice</t>
  </si>
  <si>
    <t>Paxton</t>
  </si>
  <si>
    <t>Newhouse</t>
  </si>
  <si>
    <t>Rayfield</t>
  </si>
  <si>
    <t>Darcy</t>
  </si>
  <si>
    <t>Jech</t>
  </si>
  <si>
    <t>Smalley</t>
  </si>
  <si>
    <t>Kirt</t>
  </si>
  <si>
    <t>Schuring</t>
  </si>
  <si>
    <t>Sprenger</t>
  </si>
  <si>
    <t>Dahm</t>
  </si>
  <si>
    <t>J.J.</t>
  </si>
  <si>
    <t>Stanislawski</t>
  </si>
  <si>
    <t>Haste</t>
  </si>
  <si>
    <t>Ikley-Freeman</t>
  </si>
  <si>
    <t>Hoagland</t>
  </si>
  <si>
    <t>Carri</t>
  </si>
  <si>
    <t>Rosino</t>
  </si>
  <si>
    <t>Denyc</t>
  </si>
  <si>
    <t>Hottinger</t>
  </si>
  <si>
    <t>Treat</t>
  </si>
  <si>
    <t>Stitt</t>
  </si>
  <si>
    <t>Hern</t>
  </si>
  <si>
    <t>Markwayne</t>
  </si>
  <si>
    <t>Inhofe</t>
  </si>
  <si>
    <t xml:space="preserve">Junior </t>
  </si>
  <si>
    <t>Lankford</t>
  </si>
  <si>
    <t>Veterans and Emergency Preparedness (Chair)</t>
  </si>
  <si>
    <t>Rulli</t>
  </si>
  <si>
    <t>Clem</t>
  </si>
  <si>
    <t>Agriculture and Natural Resources (Chair)</t>
  </si>
  <si>
    <t>DeWine</t>
  </si>
  <si>
    <t>Chabot</t>
  </si>
  <si>
    <t>Wenstrup</t>
  </si>
  <si>
    <t>Beatty</t>
  </si>
  <si>
    <t>Latta</t>
  </si>
  <si>
    <t>Davidson</t>
  </si>
  <si>
    <t>Marcy</t>
  </si>
  <si>
    <t>Kaptur</t>
  </si>
  <si>
    <t>Fudge</t>
  </si>
  <si>
    <t>Tryo</t>
  </si>
  <si>
    <t>Portman</t>
  </si>
  <si>
    <t>Sherrod</t>
  </si>
  <si>
    <t>Yost</t>
  </si>
  <si>
    <t>Nearman</t>
  </si>
  <si>
    <t>Noble</t>
  </si>
  <si>
    <t>Post</t>
  </si>
  <si>
    <t>Courntey</t>
  </si>
  <si>
    <t>Neron</t>
  </si>
  <si>
    <t>Malstrom</t>
  </si>
  <si>
    <t xml:space="preserve">Judiciary (Chair) </t>
  </si>
  <si>
    <t>McLain</t>
  </si>
  <si>
    <t>Janeen</t>
  </si>
  <si>
    <t>Sollman</t>
  </si>
  <si>
    <t>Witt</t>
  </si>
  <si>
    <t>Greenlick</t>
  </si>
  <si>
    <t>Conduct (Chair)</t>
  </si>
  <si>
    <t>Health Care (Chair)</t>
  </si>
  <si>
    <t>Helm</t>
  </si>
  <si>
    <t>Energy and the Enviornment (Chair)</t>
  </si>
  <si>
    <t>Rules  (Chair)</t>
  </si>
  <si>
    <t>Prusak</t>
  </si>
  <si>
    <t>Salinas</t>
  </si>
  <si>
    <t>Drazan</t>
  </si>
  <si>
    <t>Meek</t>
  </si>
  <si>
    <t>Power</t>
  </si>
  <si>
    <t>Nosse</t>
  </si>
  <si>
    <t>Min</t>
  </si>
  <si>
    <t>Tawna</t>
  </si>
  <si>
    <t>Kotek</t>
  </si>
  <si>
    <t>(717) 787-7406</t>
  </si>
  <si>
    <t>pharkins@pahouse.net</t>
  </si>
  <si>
    <t>Merski</t>
  </si>
  <si>
    <t>(717) 783-3038</t>
  </si>
  <si>
    <t>parep160@aol.com</t>
  </si>
  <si>
    <t>Bizzarro</t>
  </si>
  <si>
    <t>(717) 772-2297</t>
  </si>
  <si>
    <t>rbizz@pahouse.net</t>
  </si>
  <si>
    <t>Sonney</t>
  </si>
  <si>
    <t>(717) 783-9087</t>
  </si>
  <si>
    <t>csonney@pahousegop.com</t>
  </si>
  <si>
    <t>Warner</t>
  </si>
  <si>
    <t>Jozwiak</t>
  </si>
  <si>
    <t>(717) 772-9940</t>
  </si>
  <si>
    <t>bjozwiak@pahousegop.com</t>
  </si>
  <si>
    <t>Roae</t>
  </si>
  <si>
    <t>(717) 787-2353</t>
  </si>
  <si>
    <t>broae@pahousegop.com</t>
  </si>
  <si>
    <t>Longietti</t>
  </si>
  <si>
    <t>(717) 772-4035</t>
  </si>
  <si>
    <t>mlongiet@pahouse.net</t>
  </si>
  <si>
    <t>Nesbit</t>
  </si>
  <si>
    <t>(717) 783-6438</t>
  </si>
  <si>
    <t>TNesbit@pahousegop.com</t>
  </si>
  <si>
    <t>Sainato</t>
  </si>
  <si>
    <t>(717) 772-2436</t>
  </si>
  <si>
    <t>csainato@pahouse.net</t>
  </si>
  <si>
    <t>Bernstine</t>
  </si>
  <si>
    <t>(717) 783-8322</t>
  </si>
  <si>
    <t>Abernstine@pahousegop.com</t>
  </si>
  <si>
    <t>Alissa</t>
  </si>
  <si>
    <t>(717) 787-7686</t>
  </si>
  <si>
    <t>bellis@pahousegop.com</t>
  </si>
  <si>
    <t>Daryl</t>
  </si>
  <si>
    <t>Metcalfe</t>
  </si>
  <si>
    <t>(717) 783-1707</t>
  </si>
  <si>
    <t>dmetcalf@pahousegop.com</t>
  </si>
  <si>
    <t>(717) 260-6117</t>
  </si>
  <si>
    <t>jlawrenc@pahousegop.com</t>
  </si>
  <si>
    <t>(717) 260-6432</t>
  </si>
  <si>
    <t>jmarshal@pahousegop.com</t>
  </si>
  <si>
    <t>Kail</t>
  </si>
  <si>
    <t>Keny-Guyer</t>
  </si>
  <si>
    <t>(717) 260-6144</t>
  </si>
  <si>
    <t>jkail@pahousegop.com</t>
  </si>
  <si>
    <t>Human Services and Housing (Chair)</t>
  </si>
  <si>
    <t>Matzie</t>
  </si>
  <si>
    <t>(717) 780-4772</t>
  </si>
  <si>
    <t>rmatzie@pahouse.net</t>
  </si>
  <si>
    <t>Parke</t>
  </si>
  <si>
    <t>Wentling</t>
  </si>
  <si>
    <t>(717) 783-5008</t>
  </si>
  <si>
    <t>pwentling@pahousegop.com</t>
  </si>
  <si>
    <t>DiGirolamo</t>
  </si>
  <si>
    <t>(717) 783-7319</t>
  </si>
  <si>
    <t>gigirol@pahousegop.com</t>
  </si>
  <si>
    <t>(717) 783-3783</t>
  </si>
  <si>
    <t>jwheatle@pahouse.net</t>
  </si>
  <si>
    <t>Ravenstahl</t>
  </si>
  <si>
    <t>(717) 787-5470</t>
  </si>
  <si>
    <t>aravenstahl@pahouse.net</t>
  </si>
  <si>
    <t>Innamorato</t>
  </si>
  <si>
    <t>(717) 783-9114</t>
  </si>
  <si>
    <t>sinnamorato@pahouse.net</t>
  </si>
  <si>
    <t>Schweyer</t>
  </si>
  <si>
    <t>(717) 787-2909</t>
  </si>
  <si>
    <t>tsankey@pahousegop.com</t>
  </si>
  <si>
    <t>(717) 705-1875</t>
  </si>
  <si>
    <t>dfrankel@pahouse.net</t>
  </si>
  <si>
    <t>Gainey</t>
  </si>
  <si>
    <t>(717) 705-1958</t>
  </si>
  <si>
    <t>egainey@pahouse.net</t>
  </si>
  <si>
    <t>Markosek</t>
  </si>
  <si>
    <t>(717) 783-1540</t>
  </si>
  <si>
    <t>jmarkose@pahouse.net</t>
  </si>
  <si>
    <t>Hennessey</t>
  </si>
  <si>
    <t>(717) 787-3431</t>
  </si>
  <si>
    <t>thenness@pahousegop.com</t>
  </si>
  <si>
    <t>Deasy</t>
  </si>
  <si>
    <t>(717) 772-8187</t>
  </si>
  <si>
    <t>ddeasy@pahouse.net</t>
  </si>
  <si>
    <t>Turzai</t>
  </si>
  <si>
    <t>(717) 772-9943</t>
  </si>
  <si>
    <t>mturzai@pahousegop.com</t>
  </si>
  <si>
    <t>Meghan</t>
  </si>
  <si>
    <t>(717) 705-7170</t>
  </si>
  <si>
    <t>mschroeder@pahouse.net</t>
  </si>
  <si>
    <t>Mizgorski</t>
  </si>
  <si>
    <t>(717) 260-6407</t>
  </si>
  <si>
    <t>lmizgorski@pahousegop.com</t>
  </si>
  <si>
    <t>(717) 787-5475</t>
  </si>
  <si>
    <t>pwarren@pahouse.net</t>
  </si>
  <si>
    <t>(717) 783-1011</t>
  </si>
  <si>
    <t>tdeluca@pahouse.net</t>
  </si>
  <si>
    <t>Dermody</t>
  </si>
  <si>
    <t>(717) 787-3566</t>
  </si>
  <si>
    <t>fdermody@pahouse.net</t>
  </si>
  <si>
    <t>Summer</t>
  </si>
  <si>
    <t>(717) 783-1914</t>
  </si>
  <si>
    <t>slee@pahouse.net</t>
  </si>
  <si>
    <t>(717) 783-1018</t>
  </si>
  <si>
    <t>adavis@pahouse.net</t>
  </si>
  <si>
    <t>Readshaw</t>
  </si>
  <si>
    <t>(717) 783-0411</t>
  </si>
  <si>
    <t>hreadsha@pahouse.net</t>
  </si>
  <si>
    <t>Mindy</t>
  </si>
  <si>
    <t>Fee</t>
  </si>
  <si>
    <t>(717) 772-5290</t>
  </si>
  <si>
    <t>mfee@pahousegop.com</t>
  </si>
  <si>
    <t>Kortz</t>
  </si>
  <si>
    <t>(717) 787-8175</t>
  </si>
  <si>
    <t>bkortz@pahouse.net</t>
  </si>
  <si>
    <t>Puskaric</t>
  </si>
  <si>
    <t>(717) 260-6122</t>
  </si>
  <si>
    <t>mpuskaric@pahouse.net</t>
  </si>
  <si>
    <t>Mihalek</t>
  </si>
  <si>
    <t>(717) 783-1522</t>
  </si>
  <si>
    <t>nmihalek@pahouse.net</t>
  </si>
  <si>
    <t>(717) 705-7161</t>
  </si>
  <si>
    <t>bmiller@pahousegop.com</t>
  </si>
  <si>
    <t>(717) 783-1850</t>
  </si>
  <si>
    <t>dmiller@pahouse.net</t>
  </si>
  <si>
    <t>Greiner</t>
  </si>
  <si>
    <t>(717) 783-6422</t>
  </si>
  <si>
    <t>kgreiner@pahousegop.com</t>
  </si>
  <si>
    <t>Gaydos</t>
  </si>
  <si>
    <t>(717) 782-2889</t>
  </si>
  <si>
    <t>vgaydos@pahousegop.com</t>
  </si>
  <si>
    <t>(717) 783-3780</t>
  </si>
  <si>
    <t>akulik@pahouse.net</t>
  </si>
  <si>
    <t>Ortitay</t>
  </si>
  <si>
    <t>(717) 782-2944</t>
  </si>
  <si>
    <t>jortitay@pahousegop.com</t>
  </si>
  <si>
    <t>(717) 705-7167</t>
  </si>
  <si>
    <t>kgillesp@pahousegop.com</t>
  </si>
  <si>
    <t>O'Neal</t>
  </si>
  <si>
    <t>(717) 787-3315</t>
  </si>
  <si>
    <t>toneal@pahousegop.com</t>
  </si>
  <si>
    <t>(717) 783-8655</t>
  </si>
  <si>
    <t>bcook@pahousegop.com</t>
  </si>
  <si>
    <t>(717) 783-3797</t>
  </si>
  <si>
    <t>psnyder@pahouse.net</t>
  </si>
  <si>
    <t>Dowling</t>
  </si>
  <si>
    <t>(717) 783-5173</t>
  </si>
  <si>
    <t>mdowling@pahousegop.com</t>
  </si>
  <si>
    <t>(717) 787-1540</t>
  </si>
  <si>
    <t>rwarner@pahousegop.com</t>
  </si>
  <si>
    <t>Malagari</t>
  </si>
  <si>
    <t>(717) 783-8515</t>
  </si>
  <si>
    <t>smalagari@pahouse.net</t>
  </si>
  <si>
    <t>(717) 260-6129</t>
  </si>
  <si>
    <t>rbrooks@pahousegop.com</t>
  </si>
  <si>
    <t>Petrarca</t>
  </si>
  <si>
    <t>(717) 787-5142</t>
  </si>
  <si>
    <t>jpetrarc@pahouse.net</t>
  </si>
  <si>
    <t>Higher Ed (Chair)</t>
  </si>
  <si>
    <t>Dunbar</t>
  </si>
  <si>
    <t>(717) 260-6132</t>
  </si>
  <si>
    <t>gdunbar@pahousegop.com</t>
  </si>
  <si>
    <t>(717) 260-6146</t>
  </si>
  <si>
    <t>enelson@pahousegop.com</t>
  </si>
  <si>
    <t>(717) 783-3825</t>
  </si>
  <si>
    <t>jwalsh@pahousegop.com</t>
  </si>
  <si>
    <t>Reese</t>
  </si>
  <si>
    <t>(717) 783-9311</t>
  </si>
  <si>
    <t>Mreese@pahousegop.com</t>
  </si>
  <si>
    <t>Gorsek</t>
  </si>
  <si>
    <t>(717) 783-5327</t>
  </si>
  <si>
    <t>jpyle@pahousegop.com</t>
  </si>
  <si>
    <t>Hanbidge</t>
  </si>
  <si>
    <t>(610) 277-3230</t>
  </si>
  <si>
    <t>lhanbidge@pahouse.net</t>
  </si>
  <si>
    <t>Struzzi</t>
  </si>
  <si>
    <t>(717) 705-7173</t>
  </si>
  <si>
    <t>jstruzzi@pahousegop.com</t>
  </si>
  <si>
    <t>Oberlander</t>
  </si>
  <si>
    <t>(717) 772-9908</t>
  </si>
  <si>
    <t>Doberlan@pahousegop.com</t>
  </si>
  <si>
    <t>(717) 783-8188</t>
  </si>
  <si>
    <t>rljames@pahousegop.com</t>
  </si>
  <si>
    <t>Rapp</t>
  </si>
  <si>
    <t>(717) 787-1367</t>
  </si>
  <si>
    <t>klrapp@pahousegop.com</t>
  </si>
  <si>
    <t>Cris</t>
  </si>
  <si>
    <t>Dush</t>
  </si>
  <si>
    <t>(717) 787-3845</t>
  </si>
  <si>
    <t>cdush@pahousegop.com</t>
  </si>
  <si>
    <t>Causer</t>
  </si>
  <si>
    <t>(717) 787-5075</t>
  </si>
  <si>
    <t>mcauser@pahousegop.com</t>
  </si>
  <si>
    <t>Owlett</t>
  </si>
  <si>
    <t>(717) 772-5371</t>
  </si>
  <si>
    <t>cowlett@pahousegop.com</t>
  </si>
  <si>
    <t>(717) 783-8756</t>
  </si>
  <si>
    <t>cmetzgar@pahousegop.com</t>
  </si>
  <si>
    <t>mbradfor@pahouse.net</t>
  </si>
  <si>
    <t>Rigby</t>
  </si>
  <si>
    <t>(717) 772-9924</t>
  </si>
  <si>
    <t>jrigby@pahousegop.com</t>
  </si>
  <si>
    <t>(717) 772-8056</t>
  </si>
  <si>
    <t>fburns@pahouse.net</t>
  </si>
  <si>
    <t>Sankey</t>
  </si>
  <si>
    <t>(717) 787-7099</t>
  </si>
  <si>
    <t>Piluso</t>
  </si>
  <si>
    <t>(717) 783-4103</t>
  </si>
  <si>
    <t>dwilliams@pahouse.net</t>
  </si>
  <si>
    <t>Gabler</t>
  </si>
  <si>
    <t>(717) 260-6142</t>
  </si>
  <si>
    <t>mgabler@pahousegop.com</t>
  </si>
  <si>
    <t>Borowicz</t>
  </si>
  <si>
    <t>(717) 772-9925</t>
  </si>
  <si>
    <t>stephanieborowicz@yahoo.com</t>
  </si>
  <si>
    <t>Conklin</t>
  </si>
  <si>
    <t>(717) 787-9473</t>
  </si>
  <si>
    <t>Janelle</t>
  </si>
  <si>
    <t>sconklin@pahouse.net</t>
  </si>
  <si>
    <t>Topper</t>
  </si>
  <si>
    <t>(717) 787-7076</t>
  </si>
  <si>
    <t>Jtopper@pahousegop.com</t>
  </si>
  <si>
    <t>(717) 787-6419</t>
  </si>
  <si>
    <t>LSchmitt@pahouse.net</t>
  </si>
  <si>
    <t>(717) 787-9020</t>
  </si>
  <si>
    <t>JGregory@pahouse.net</t>
  </si>
  <si>
    <t>(717) 787-3335</t>
  </si>
  <si>
    <t>RIrvin@pahousegop.com</t>
  </si>
  <si>
    <t>Bynum</t>
  </si>
  <si>
    <t>Johnathan</t>
  </si>
  <si>
    <t>(717) 783-7830</t>
  </si>
  <si>
    <t>JHershey@pahouse.net</t>
  </si>
  <si>
    <t>Wheeland</t>
  </si>
  <si>
    <t>(717) 787-2885</t>
  </si>
  <si>
    <t>JWheeland@pahousegop.com</t>
  </si>
  <si>
    <t>Garth</t>
  </si>
  <si>
    <t>(717) 787-5270</t>
  </si>
  <si>
    <t>geverett@pahousegop.com</t>
  </si>
  <si>
    <t>(717) 787-3443</t>
  </si>
  <si>
    <t>fkeller@pahousegop.com</t>
  </si>
  <si>
    <t>(717) 783-1593</t>
  </si>
  <si>
    <t>mkeller@pahousegop.com</t>
  </si>
  <si>
    <t>Rothman</t>
  </si>
  <si>
    <t>(717) 783-2063</t>
  </si>
  <si>
    <t>GRothman@PaHouseGop.com</t>
  </si>
  <si>
    <t>Delozier</t>
  </si>
  <si>
    <t>(717) 783-5282</t>
  </si>
  <si>
    <t>sdelozie@pahousegop.com</t>
  </si>
  <si>
    <t>(717) 705-2004</t>
  </si>
  <si>
    <t>rkauffma@pahousegop.com</t>
  </si>
  <si>
    <t>Schemel</t>
  </si>
  <si>
    <t>(717) 783-5218</t>
  </si>
  <si>
    <t>pschemel@pahousegop.com</t>
  </si>
  <si>
    <t>Moul</t>
  </si>
  <si>
    <t>(717) 783-5217</t>
  </si>
  <si>
    <t>dmoul@pahousegop.com</t>
  </si>
  <si>
    <t>Keefer</t>
  </si>
  <si>
    <t>(717) 783-8783</t>
  </si>
  <si>
    <t>Dkeefer@pahousegop.com</t>
  </si>
  <si>
    <t>(717) 783-8389</t>
  </si>
  <si>
    <t>MJones@pahouse.net</t>
  </si>
  <si>
    <t>Saylor</t>
  </si>
  <si>
    <t>Appropriations (Majority Chair)</t>
  </si>
  <si>
    <t>(717) 783-6426</t>
  </si>
  <si>
    <t>ssaylor@pahousegop.com</t>
  </si>
  <si>
    <t>Ajello</t>
  </si>
  <si>
    <t>Hill-Evans</t>
  </si>
  <si>
    <t>(717) 787-7514</t>
  </si>
  <si>
    <t>chill-evans@pahouse.net</t>
  </si>
  <si>
    <t>Sturla</t>
  </si>
  <si>
    <t>(717) 787-3555</t>
  </si>
  <si>
    <t>MSturla@pahouse.net</t>
  </si>
  <si>
    <t>Mentzer</t>
  </si>
  <si>
    <t>(717) 787-1776</t>
  </si>
  <si>
    <t>smentzer@pahousegop.com</t>
  </si>
  <si>
    <t>(401) 274-7078</t>
  </si>
  <si>
    <t>Hickernell</t>
  </si>
  <si>
    <t>(717) 783-2076</t>
  </si>
  <si>
    <t>Dhickern@pahousegop.com</t>
  </si>
  <si>
    <t>Zimmerman</t>
  </si>
  <si>
    <t>(717) 787-3531</t>
  </si>
  <si>
    <t>DZimmerman@pahousegop.com</t>
  </si>
  <si>
    <t>(717) 783-6424</t>
  </si>
  <si>
    <t>bcutler@pahousegop.com</t>
  </si>
  <si>
    <t>rep-ajello@rilegislature.gov</t>
  </si>
  <si>
    <t>(717) 783-1815</t>
  </si>
  <si>
    <t>Fryan@pahousegop.com</t>
  </si>
  <si>
    <t>(717) 787-2686</t>
  </si>
  <si>
    <t>rdiamond@pahousegop.com</t>
  </si>
  <si>
    <t>(717) 783-9342</t>
  </si>
  <si>
    <t>pkim@pahouse.net</t>
  </si>
  <si>
    <t>(717) 787-1230</t>
  </si>
  <si>
    <t>shelm@pahousegop.com</t>
  </si>
  <si>
    <t>(717) 783-2014</t>
  </si>
  <si>
    <t>ALewis@pahouse.net</t>
  </si>
  <si>
    <t>Mehaffie</t>
  </si>
  <si>
    <t>(717) 787-2684</t>
  </si>
  <si>
    <t>Tmehaffie@pahousegop.com</t>
  </si>
  <si>
    <t>Masser</t>
  </si>
  <si>
    <t>(717) 260-6134</t>
  </si>
  <si>
    <t>kmasser@pahousegop.gom</t>
  </si>
  <si>
    <t>Lynda</t>
  </si>
  <si>
    <t>Culver</t>
  </si>
  <si>
    <t>(717) 787-3485</t>
  </si>
  <si>
    <t>lculver@pahousegop.com</t>
  </si>
  <si>
    <t>Millard</t>
  </si>
  <si>
    <t>(717) 783-1102</t>
  </si>
  <si>
    <t>dmillard@pahousegop.com</t>
  </si>
  <si>
    <t>(717) 783-8238</t>
  </si>
  <si>
    <t>tpickett@pahousegop.com</t>
  </si>
  <si>
    <t>Fritz</t>
  </si>
  <si>
    <t>(717) 783-2910</t>
  </si>
  <si>
    <t>jfritz@pahousegop.com</t>
  </si>
  <si>
    <t>Mullins</t>
  </si>
  <si>
    <t>(717) 787-8981</t>
  </si>
  <si>
    <t>Blazejewski</t>
  </si>
  <si>
    <t>mflynn@pahouse.net</t>
  </si>
  <si>
    <t>Flynn</t>
  </si>
  <si>
    <t>(401) 484-8814</t>
  </si>
  <si>
    <t>rep-blazejewski@rilegislature.gov</t>
  </si>
  <si>
    <t>Kavulich</t>
  </si>
  <si>
    <t>(717) 783-4874</t>
  </si>
  <si>
    <t>skavulich@pahouse.net</t>
  </si>
  <si>
    <t>Moira</t>
  </si>
  <si>
    <t>(717) 787-5811</t>
  </si>
  <si>
    <t>mmadden@pahouse.net</t>
  </si>
  <si>
    <t>Tarah</t>
  </si>
  <si>
    <t>Toohil</t>
  </si>
  <si>
    <t>(717) 260-6136</t>
  </si>
  <si>
    <t>ttoohil@pahousegop.com</t>
  </si>
  <si>
    <t>Boback</t>
  </si>
  <si>
    <t>(717) 787-1117</t>
  </si>
  <si>
    <t>kboback@pahousegop.com</t>
  </si>
  <si>
    <t>(717) 787-3589</t>
  </si>
  <si>
    <t>mcarroll@pahouse.net</t>
  </si>
  <si>
    <t>Mullery</t>
  </si>
  <si>
    <t>(717) 783-4893</t>
  </si>
  <si>
    <t>gmullery@pahouse.net</t>
  </si>
  <si>
    <t>(401) 996-9552</t>
  </si>
  <si>
    <t>rep-walsh@rilegislature.gov</t>
  </si>
  <si>
    <t>Helt</t>
  </si>
  <si>
    <t>Kaufer</t>
  </si>
  <si>
    <t>(717) 787-3798</t>
  </si>
  <si>
    <t>akaufer@pahousegop.com</t>
  </si>
  <si>
    <t>Pashinski</t>
  </si>
  <si>
    <t>(717) 783-0686</t>
  </si>
  <si>
    <t>epashinski@pahouse.net</t>
  </si>
  <si>
    <t>Doyle</t>
  </si>
  <si>
    <t>Heffley</t>
  </si>
  <si>
    <t>(717) 260-6139</t>
  </si>
  <si>
    <t>dheffley@pahousegop.com</t>
  </si>
  <si>
    <t>(717) 787-2798</t>
  </si>
  <si>
    <t>ngoodman@pahouse.net</t>
  </si>
  <si>
    <t>Kislak</t>
  </si>
  <si>
    <t>Knowles</t>
  </si>
  <si>
    <t>(717) 787-9029</t>
  </si>
  <si>
    <t>jknowles@pahousegop.com</t>
  </si>
  <si>
    <t>Tobash</t>
  </si>
  <si>
    <t>(717) 260-6148</t>
  </si>
  <si>
    <t>mtobash@pahousegop.com</t>
  </si>
  <si>
    <t>Rozzi</t>
  </si>
  <si>
    <t>(717) 783-3290</t>
  </si>
  <si>
    <t>mrozzi@pahouse.net</t>
  </si>
  <si>
    <t>Caltagirone</t>
  </si>
  <si>
    <t>(717) 787-3525</t>
  </si>
  <si>
    <t>tcaltagi@pahouse.net</t>
  </si>
  <si>
    <t>Gillen</t>
  </si>
  <si>
    <t>(717) 787-8550</t>
  </si>
  <si>
    <t>mgillen@pahousegop.com</t>
  </si>
  <si>
    <t>(401) 400-2338</t>
  </si>
  <si>
    <t>(717) 772-2435</t>
  </si>
  <si>
    <t>jcox@pahousegop.com</t>
  </si>
  <si>
    <t>(717) 260-6161</t>
  </si>
  <si>
    <t>dmaloney@pahousegop.com</t>
  </si>
  <si>
    <t>(717) 783-1673</t>
  </si>
  <si>
    <t>jsimmons@pahousegop.com</t>
  </si>
  <si>
    <t>Schlossberg</t>
  </si>
  <si>
    <t>(717) 705-1869</t>
  </si>
  <si>
    <t>mschloss@pahouse.net</t>
  </si>
  <si>
    <t>(717) 772-9902</t>
  </si>
  <si>
    <t>dmcneill@pahouse.net</t>
  </si>
  <si>
    <t>Mackenzie</t>
  </si>
  <si>
    <t>(717) 787-1000</t>
  </si>
  <si>
    <t>rmackenzie@pahousegop.com</t>
  </si>
  <si>
    <t>Samuelson</t>
  </si>
  <si>
    <t>(717) 705-1881</t>
  </si>
  <si>
    <t>ssamuels@pahouse.net</t>
  </si>
  <si>
    <t>(717) 783-3815</t>
  </si>
  <si>
    <t>rfreeman@pahouse.net</t>
  </si>
  <si>
    <t>Emrick</t>
  </si>
  <si>
    <t>(717) 260-6159</t>
  </si>
  <si>
    <t>Jemrick@pahousegop.com</t>
  </si>
  <si>
    <t>Hahn</t>
  </si>
  <si>
    <t>(717) 783-8573</t>
  </si>
  <si>
    <t>mhahn@pahousegop.com</t>
  </si>
  <si>
    <t>Peifer</t>
  </si>
  <si>
    <t>(717) 783-2037</t>
  </si>
  <si>
    <t>mpeifer@pahousegop.com</t>
  </si>
  <si>
    <t>Galloway</t>
  </si>
  <si>
    <t>(717) 787-1292</t>
  </si>
  <si>
    <t>jgallowa@pahouse.net</t>
  </si>
  <si>
    <t>(717) 783-4903</t>
  </si>
  <si>
    <t>McLane</t>
  </si>
  <si>
    <t>tdavis@pahouse.net</t>
  </si>
  <si>
    <t>Farry</t>
  </si>
  <si>
    <t>(717) 260-6140</t>
  </si>
  <si>
    <t>ffarry@pahouse.com</t>
  </si>
  <si>
    <t>Ullman</t>
  </si>
  <si>
    <t>(717) 772-8060</t>
  </si>
  <si>
    <t>WUllman@pahouse.net</t>
  </si>
  <si>
    <t>Polinchock</t>
  </si>
  <si>
    <t>Ranglin-Vassell</t>
  </si>
  <si>
    <t>(717) 787-5452</t>
  </si>
  <si>
    <t>TPolinchock@pahouse.net</t>
  </si>
  <si>
    <t>(401) 339-6598</t>
  </si>
  <si>
    <t>rep-Ranglin-Vassell@rilegislature.gov</t>
  </si>
  <si>
    <t>Staats</t>
  </si>
  <si>
    <t>(717) 783-3154</t>
  </si>
  <si>
    <t>Cstaats@pahousegop.com</t>
  </si>
  <si>
    <t>Ciresi</t>
  </si>
  <si>
    <t>(717) 783-4086</t>
  </si>
  <si>
    <t>JCiresi@pahouse.net</t>
  </si>
  <si>
    <t>Toepel</t>
  </si>
  <si>
    <t>(717) 787-9501</t>
  </si>
  <si>
    <t>mtoepel@pahousegop.com</t>
  </si>
  <si>
    <t>(717) 787-9475</t>
  </si>
  <si>
    <t>mjdaley@pahouse.net</t>
  </si>
  <si>
    <t>(717) 705-7011</t>
  </si>
  <si>
    <t>tbriggs@pahouse.net</t>
  </si>
  <si>
    <t>Werner</t>
  </si>
  <si>
    <t>(717) 787-0419</t>
  </si>
  <si>
    <t>Reschke</t>
  </si>
  <si>
    <t>JWebster@pahouse.net</t>
  </si>
  <si>
    <t>(717) 260-6163</t>
  </si>
  <si>
    <t>tstephen@pahousegop.com</t>
  </si>
  <si>
    <t>Murt</t>
  </si>
  <si>
    <t>(717) 787-6886</t>
  </si>
  <si>
    <t>tmurt@pahousegop.com</t>
  </si>
  <si>
    <t>(717) 783-7619</t>
  </si>
  <si>
    <t>BSanchez@pahouse.net</t>
  </si>
  <si>
    <t>McCarter</t>
  </si>
  <si>
    <t>(717) 783-1079</t>
  </si>
  <si>
    <t>smccarte@pahouse.net</t>
  </si>
  <si>
    <t>Otten</t>
  </si>
  <si>
    <t>Hull</t>
  </si>
  <si>
    <t>(717) 783-5009</t>
  </si>
  <si>
    <t>DOtten@pahouse.net</t>
  </si>
  <si>
    <t>Comitta</t>
  </si>
  <si>
    <t>(401) 272-4026</t>
  </si>
  <si>
    <t>(717) 705-2075</t>
  </si>
  <si>
    <t>ccomitta@pahouse.net</t>
  </si>
  <si>
    <t>rep-hull@rilegislature.gov</t>
  </si>
  <si>
    <t>Shusterman</t>
  </si>
  <si>
    <t>(717) 787-7524</t>
  </si>
  <si>
    <t>MShusterman@pahouse.net</t>
  </si>
  <si>
    <t>Sappey</t>
  </si>
  <si>
    <t>(717) 772-9973</t>
  </si>
  <si>
    <t>CSappey@pahouse.net</t>
  </si>
  <si>
    <t>Kirkland</t>
  </si>
  <si>
    <t>(717) 787-5881</t>
  </si>
  <si>
    <t>Bkirkland@pahouse.net</t>
  </si>
  <si>
    <t>Barrar</t>
  </si>
  <si>
    <t>Leanne</t>
  </si>
  <si>
    <t>717-705-25667</t>
  </si>
  <si>
    <t>lkrueger-braneky@pahouse.net</t>
  </si>
  <si>
    <t>Delloso</t>
  </si>
  <si>
    <t>(717) 783-6437</t>
  </si>
  <si>
    <t>DDelloso@pahouse.net</t>
  </si>
  <si>
    <t>Zabel</t>
  </si>
  <si>
    <t>(717) 783-8099</t>
  </si>
  <si>
    <t>MZabel@pahouse.net</t>
  </si>
  <si>
    <t>(717) 783-4907</t>
  </si>
  <si>
    <t>mdavidson@pahouse.net</t>
  </si>
  <si>
    <t>(717) 783-4090</t>
  </si>
  <si>
    <t>JO'Mara@pahouse.net</t>
  </si>
  <si>
    <t>Vitali</t>
  </si>
  <si>
    <t>(717) 787-7647</t>
  </si>
  <si>
    <t>gvitali@pahouse.net</t>
  </si>
  <si>
    <t>Kristine</t>
  </si>
  <si>
    <t>(717) 783-4088</t>
  </si>
  <si>
    <t>KHoward@pahouse.net</t>
  </si>
  <si>
    <t>(717) 772-0855</t>
  </si>
  <si>
    <t>cquinn@pahousegop.com</t>
  </si>
  <si>
    <t>McKiernan</t>
  </si>
  <si>
    <t>Klunk</t>
  </si>
  <si>
    <t>(717) 787-4790</t>
  </si>
  <si>
    <t>kklunk@pahousegop.com</t>
  </si>
  <si>
    <t>(401) 222-2466</t>
  </si>
  <si>
    <t>rep-mckiernan@rilegislature.gov</t>
  </si>
  <si>
    <t>Martina</t>
  </si>
  <si>
    <t>(717) 787-6740</t>
  </si>
  <si>
    <t>mwhite@pahousegop.com</t>
  </si>
  <si>
    <t>Benninghoff</t>
  </si>
  <si>
    <t>(717) 783-1918</t>
  </si>
  <si>
    <t>kbenninghoff@pahousegop.com</t>
  </si>
  <si>
    <t>(717) 783-4944</t>
  </si>
  <si>
    <t>kboyle@pahouse.net</t>
  </si>
  <si>
    <t>(717) 787-4331</t>
  </si>
  <si>
    <t>mdriscoll@pahouse.net</t>
  </si>
  <si>
    <t>Neilson</t>
  </si>
  <si>
    <t>(717) 772-4032</t>
  </si>
  <si>
    <t>eneilson@pahouse.net</t>
  </si>
  <si>
    <t>MaryLouise</t>
  </si>
  <si>
    <t>(717) 783-8098</t>
  </si>
  <si>
    <t>MIsaacson@pahouse.net</t>
  </si>
  <si>
    <t>(717) 787-7732</t>
  </si>
  <si>
    <t>jrader@pahousegop.com</t>
  </si>
  <si>
    <t>Hohenstein</t>
  </si>
  <si>
    <t>(717) 783-4087</t>
  </si>
  <si>
    <t>JHohenstein@pahouse.net</t>
  </si>
  <si>
    <t>Wendi</t>
  </si>
  <si>
    <t>(717) 772-9926</t>
  </si>
  <si>
    <t>WThomas@pahouse.net</t>
  </si>
  <si>
    <t>(717) 780-4789</t>
  </si>
  <si>
    <t>jdawkins@pahouse.net</t>
  </si>
  <si>
    <t>(717) 787-1407</t>
  </si>
  <si>
    <t>acruz@pahouse.net</t>
  </si>
  <si>
    <t>Lombardi</t>
  </si>
  <si>
    <t>Kenyatta</t>
  </si>
  <si>
    <t>(717) 787-9471</t>
  </si>
  <si>
    <t>MKenyatta@pahouse.net</t>
  </si>
  <si>
    <t>(401) 453-3900</t>
  </si>
  <si>
    <t>rep-lombardi@rilegislature.gov</t>
  </si>
  <si>
    <t>(717) 783-4072</t>
  </si>
  <si>
    <t>bsims@pahouse.net</t>
  </si>
  <si>
    <t>Anastasia</t>
  </si>
  <si>
    <t>Mako</t>
  </si>
  <si>
    <t>(717) 772-5398</t>
  </si>
  <si>
    <t>zmako@pahousegop.com</t>
  </si>
  <si>
    <t>Fiedler</t>
  </si>
  <si>
    <t>(717) 787-5774</t>
  </si>
  <si>
    <t>EFiedler@pahouse.net</t>
  </si>
  <si>
    <t>Donatucci</t>
  </si>
  <si>
    <t>(717) 783-8634</t>
  </si>
  <si>
    <t>mdonatuc@pahouse.net</t>
  </si>
  <si>
    <t>(717) 783-1792</t>
  </si>
  <si>
    <t>jharris@pahouse.net</t>
  </si>
  <si>
    <t>(717) 787-3017</t>
  </si>
  <si>
    <t>gday@pahousegop.com</t>
  </si>
  <si>
    <t>Roebuck</t>
  </si>
  <si>
    <t>(717) 783-1665</t>
  </si>
  <si>
    <t>jroebuck@pahouse.net</t>
  </si>
  <si>
    <t>(717) 787-9185</t>
  </si>
  <si>
    <t>vbrown@pahouse.net</t>
  </si>
  <si>
    <t>(717) 783-3822</t>
  </si>
  <si>
    <t>Joanna</t>
  </si>
  <si>
    <t>McClinton</t>
  </si>
  <si>
    <t>(717) 783-1516</t>
  </si>
  <si>
    <t>jmcclinton@pahouse.net</t>
  </si>
  <si>
    <t>Cephas</t>
  </si>
  <si>
    <t>(717) 783-2192</t>
  </si>
  <si>
    <t>Barreto</t>
  </si>
  <si>
    <t>mcephas@pahouse.net</t>
  </si>
  <si>
    <t>Minority Deputy Leader</t>
  </si>
  <si>
    <t>Torren</t>
  </si>
  <si>
    <t>Ecker</t>
  </si>
  <si>
    <t>(717) 783-7588</t>
  </si>
  <si>
    <t>TEcker@pahouse.net</t>
  </si>
  <si>
    <t>(401) 272-8135</t>
  </si>
  <si>
    <t>rep-williams@rilegislature.gov</t>
  </si>
  <si>
    <t>DeLissio</t>
  </si>
  <si>
    <t>(717) 783-4945</t>
  </si>
  <si>
    <t>pdelissio@pahouse.net</t>
  </si>
  <si>
    <t>(717) 787-3480</t>
  </si>
  <si>
    <t>dbullock@pahouse.net</t>
  </si>
  <si>
    <t>(717) 783-2655</t>
  </si>
  <si>
    <t>sgrove@pahousegop.com</t>
  </si>
  <si>
    <t>Danilo</t>
  </si>
  <si>
    <t>Burgos</t>
  </si>
  <si>
    <t>(717) 772-2004</t>
  </si>
  <si>
    <t>DBurgos@pahouse.net</t>
  </si>
  <si>
    <t>Rosita</t>
  </si>
  <si>
    <t>(717) 787-7727</t>
  </si>
  <si>
    <t>ryoungbl@pahouse.net</t>
  </si>
  <si>
    <t>Gleim</t>
  </si>
  <si>
    <t>(717) 772-2280</t>
  </si>
  <si>
    <t>BGleim@pahouse.net</t>
  </si>
  <si>
    <t>Rabb</t>
  </si>
  <si>
    <t>(717) 783-9755</t>
  </si>
  <si>
    <t>crabb@pahouse.net</t>
  </si>
  <si>
    <t>Kinsey</t>
  </si>
  <si>
    <t>(717) 772-4038</t>
  </si>
  <si>
    <t>skinsey@pahouse.net</t>
  </si>
  <si>
    <t>(717) 783-4820</t>
  </si>
  <si>
    <t>Jsolomon@pahouse.net</t>
  </si>
  <si>
    <t>Isabella</t>
  </si>
  <si>
    <t>(717) 783-4111</t>
  </si>
  <si>
    <t>ifitzgerald@pahouse.net</t>
  </si>
  <si>
    <t>Slater</t>
  </si>
  <si>
    <t>(401) 741-7641</t>
  </si>
  <si>
    <t>rep-slater@rilegislature.gov</t>
  </si>
  <si>
    <t>Bonham</t>
  </si>
  <si>
    <t>Farnese</t>
  </si>
  <si>
    <t>(401) 575-3641</t>
  </si>
  <si>
    <t>rep-diaz@rilegislature.gov</t>
  </si>
  <si>
    <t>(717) 787-5662</t>
  </si>
  <si>
    <t>farnese@pasenate.com</t>
  </si>
  <si>
    <t>Tartaglione</t>
  </si>
  <si>
    <t>(717) 787-1141</t>
  </si>
  <si>
    <t>tartaglione@pasenate.com</t>
  </si>
  <si>
    <t>Almeida</t>
  </si>
  <si>
    <t>(401) 467-7033</t>
  </si>
  <si>
    <t>rep-almeida@rilegislature.gov</t>
  </si>
  <si>
    <t>(401) 225-1466</t>
  </si>
  <si>
    <t>Findley</t>
  </si>
  <si>
    <t>Sharif</t>
  </si>
  <si>
    <t>Street</t>
  </si>
  <si>
    <t>(717) 787-6735</t>
  </si>
  <si>
    <t>mailto:info@senatorsharifstreet.com</t>
  </si>
  <si>
    <t>Haywood</t>
  </si>
  <si>
    <t>(717) 787-1427</t>
  </si>
  <si>
    <t>senatorhaywood@pasenate.com</t>
  </si>
  <si>
    <t>Heard</t>
  </si>
  <si>
    <t>Lima</t>
  </si>
  <si>
    <t>Deputy Speaker</t>
  </si>
  <si>
    <t>(401) 222-2258</t>
  </si>
  <si>
    <t>Sabatina</t>
  </si>
  <si>
    <t>rep-lima@rilegislature.gov</t>
  </si>
  <si>
    <t>(717) 787-9608</t>
  </si>
  <si>
    <t>jsabatina@pasenate.com</t>
  </si>
  <si>
    <t>Tomlinson</t>
  </si>
  <si>
    <t>(717) 787-5072</t>
  </si>
  <si>
    <t>rtomlinson@pasen.gov</t>
  </si>
  <si>
    <t>Mattiello</t>
  </si>
  <si>
    <t>(717) 787-7112</t>
  </si>
  <si>
    <t>hughes@pasenate.com</t>
  </si>
  <si>
    <t>(401)222-2466</t>
  </si>
  <si>
    <t>rep-mattiello@rilegislature.gov</t>
  </si>
  <si>
    <t>Millea</t>
  </si>
  <si>
    <t>(401) 408-3691</t>
  </si>
  <si>
    <t>(717) 787-5970</t>
  </si>
  <si>
    <t>williams@pasenate.com</t>
  </si>
  <si>
    <t>Baertschiger</t>
  </si>
  <si>
    <t>Killion</t>
  </si>
  <si>
    <t>Chairman of Urban Affairs and Housing Committee</t>
  </si>
  <si>
    <t>(717) 787-4712</t>
  </si>
  <si>
    <t>tkillion@pasen.gov</t>
  </si>
  <si>
    <t>Jacquard</t>
  </si>
  <si>
    <t>(401) 943-7799</t>
  </si>
  <si>
    <t>rep-jacquard@rilegislature.gov</t>
  </si>
  <si>
    <t>Santarsiero</t>
  </si>
  <si>
    <t>(717) 787-7305</t>
  </si>
  <si>
    <t>http://www.senatorstevesantarsiero.com/</t>
  </si>
  <si>
    <t>(401) 785-8996</t>
  </si>
  <si>
    <t>rep-handy@rilegislature.gov</t>
  </si>
  <si>
    <t>Prozanski</t>
  </si>
  <si>
    <t>Schwank</t>
  </si>
  <si>
    <t>(717) 787-8925</t>
  </si>
  <si>
    <t>(401) 941-8319</t>
  </si>
  <si>
    <t>rep-mcnamara@rilegislature.gov</t>
  </si>
  <si>
    <t>SenatorSchwank@pasenate.com</t>
  </si>
  <si>
    <t>Arnie</t>
  </si>
  <si>
    <t>Collett</t>
  </si>
  <si>
    <t>(717) 787-6599</t>
  </si>
  <si>
    <t>senatorcollett@pasenate.com</t>
  </si>
  <si>
    <t>Roblan</t>
  </si>
  <si>
    <t>(401) 480-4647</t>
  </si>
  <si>
    <t>rep-bennett@rilegislature.gov</t>
  </si>
  <si>
    <t>(717) 787-6535</t>
  </si>
  <si>
    <t>smartin@pasen.gov</t>
  </si>
  <si>
    <t>Yudichak</t>
  </si>
  <si>
    <t>Beyer</t>
  </si>
  <si>
    <t>Buisness (Chair)</t>
  </si>
  <si>
    <t>(717) 787-7105</t>
  </si>
  <si>
    <t>yudichak@pasenate.com</t>
  </si>
  <si>
    <t>(401) 952-7340</t>
  </si>
  <si>
    <t>rep-Vella-Wilkinson@rilegislature.gov</t>
  </si>
  <si>
    <t>DiSanto</t>
  </si>
  <si>
    <t>(717) 787-6801</t>
  </si>
  <si>
    <t>jdisanto@pasen.gov</t>
  </si>
  <si>
    <t>Browne</t>
  </si>
  <si>
    <t>(717) 787-1349</t>
  </si>
  <si>
    <t>pbrowne@pasen.gov</t>
  </si>
  <si>
    <t>(401) 308-3904</t>
  </si>
  <si>
    <t>rep-solomon@rilegislature.gov</t>
  </si>
  <si>
    <t>Shekarchi</t>
  </si>
  <si>
    <t>(401) 222-2447</t>
  </si>
  <si>
    <t>rep-shekarchi@rilegislature.gov</t>
  </si>
  <si>
    <t>Daylin</t>
  </si>
  <si>
    <t>(717) 787-5544</t>
  </si>
  <si>
    <t>senatorleach@pasenate.com</t>
  </si>
  <si>
    <t>Shanley</t>
  </si>
  <si>
    <t>(401)-440-3493</t>
  </si>
  <si>
    <t>Gelser</t>
  </si>
  <si>
    <t>rep-Shanley@rilegislature.gov</t>
  </si>
  <si>
    <t>Human Services (Chair)</t>
  </si>
  <si>
    <t>Noret</t>
  </si>
  <si>
    <t>Boscola</t>
  </si>
  <si>
    <t>(401)641-0813</t>
  </si>
  <si>
    <t>(717) 787-4236</t>
  </si>
  <si>
    <t>boscola@pasenate.com</t>
  </si>
  <si>
    <t>(401) 255-8073</t>
  </si>
  <si>
    <t>Serpa</t>
  </si>
  <si>
    <t>(401) 828-5687</t>
  </si>
  <si>
    <t>rep-serpa@rilegislature.gov</t>
  </si>
  <si>
    <t>Nardone</t>
  </si>
  <si>
    <t>Girod</t>
  </si>
  <si>
    <t>Dinniman</t>
  </si>
  <si>
    <t>(717) 787-5709</t>
  </si>
  <si>
    <t>andy@pasenate.com</t>
  </si>
  <si>
    <t>(401) 821-2360</t>
  </si>
  <si>
    <t>Winters</t>
  </si>
  <si>
    <t>(717) 787-7428</t>
  </si>
  <si>
    <t>lbaker@pasen.gov</t>
  </si>
  <si>
    <t>(401) 222-2259</t>
  </si>
  <si>
    <t>rep-roberts@rilegislature.gov</t>
  </si>
  <si>
    <t>Justine</t>
  </si>
  <si>
    <t>(401) 212-7320</t>
  </si>
  <si>
    <t>(717) 787-9684</t>
  </si>
  <si>
    <t>shutchison@pasen.gov</t>
  </si>
  <si>
    <t>Casimiro</t>
  </si>
  <si>
    <t>(401) 474-7961</t>
  </si>
  <si>
    <t>rep-Casimiro@rilegislature.gov</t>
  </si>
  <si>
    <t>(717) 787-6481</t>
  </si>
  <si>
    <t>senatorblake@pasenate.com</t>
  </si>
  <si>
    <t>(401) 294-2222</t>
  </si>
  <si>
    <t>rep-craven@rilegislature.gov</t>
  </si>
  <si>
    <t>Boquist</t>
  </si>
  <si>
    <t>Veterans (Chair)</t>
  </si>
  <si>
    <t>Yaw</t>
  </si>
  <si>
    <t>(717) 787-3280</t>
  </si>
  <si>
    <t>eyaw@pasen.gov</t>
  </si>
  <si>
    <t>McEntee</t>
  </si>
  <si>
    <t>(401) 783-1000</t>
  </si>
  <si>
    <t>rep-mcentee@rilegislature.gov</t>
  </si>
  <si>
    <t>Mensch</t>
  </si>
  <si>
    <t>(717) 787-3110</t>
  </si>
  <si>
    <t>bmensch@pasen.gov</t>
  </si>
  <si>
    <t>Tanzi</t>
  </si>
  <si>
    <t>(401) 527-9468</t>
  </si>
  <si>
    <t>rep-tanzi@rilegislature.gov</t>
  </si>
  <si>
    <t>Thatcher</t>
  </si>
  <si>
    <t>Scarnati</t>
  </si>
  <si>
    <t>(717) 787-7084</t>
  </si>
  <si>
    <t>jscarnati@pasen.gov</t>
  </si>
  <si>
    <t>Fogarty</t>
  </si>
  <si>
    <t>rep-fogarty@rilegislature.gov</t>
  </si>
  <si>
    <t>Kearney</t>
  </si>
  <si>
    <t>(717) 787-1350</t>
  </si>
  <si>
    <t>http://www.senatorkearney.com/</t>
  </si>
  <si>
    <t>Hass</t>
  </si>
  <si>
    <t>co-Majority Whip</t>
  </si>
  <si>
    <t>Filippi</t>
  </si>
  <si>
    <t>rep-filippi@rilegislature.gov</t>
  </si>
  <si>
    <t>Azzinaro</t>
  </si>
  <si>
    <t>(401) 596-1434</t>
  </si>
  <si>
    <t>rep-azzinaro@rilegislature.gov</t>
  </si>
  <si>
    <t>Gordner</t>
  </si>
  <si>
    <t>(717) 787-8928</t>
  </si>
  <si>
    <t>jgordner@pasen.gov</t>
  </si>
  <si>
    <t>Government Accountability (Chair)</t>
  </si>
  <si>
    <t>Speaker pro Tempore</t>
  </si>
  <si>
    <t>(401) 377-8818</t>
  </si>
  <si>
    <t>rep-kennedy@rilegislature.gov</t>
  </si>
  <si>
    <t>(717) 787-7085</t>
  </si>
  <si>
    <t>http://senatorkristin.com/contact-me/</t>
  </si>
  <si>
    <t>rep-Price@rilegislature.gov</t>
  </si>
  <si>
    <t>Chippendale</t>
  </si>
  <si>
    <t>(401) 497-4495</t>
  </si>
  <si>
    <t>rep-chippendale@rilegislature.gov</t>
  </si>
  <si>
    <t>Hayward</t>
  </si>
  <si>
    <t>Argall,</t>
  </si>
  <si>
    <t>(717) 787-2637</t>
  </si>
  <si>
    <t>dargall@pasen.gov</t>
  </si>
  <si>
    <t>Quattrocchi</t>
  </si>
  <si>
    <t>(401) 764-5143</t>
  </si>
  <si>
    <t>rep-quattrocchi@rilegislature.gov</t>
  </si>
  <si>
    <t>Judith</t>
  </si>
  <si>
    <t>Burdick</t>
  </si>
  <si>
    <t>(717) 787-5490</t>
  </si>
  <si>
    <t>kward@pasen.gov</t>
  </si>
  <si>
    <t>Ucci</t>
  </si>
  <si>
    <t>(401) 934-2121</t>
  </si>
  <si>
    <t>rep-ucci@rilegislature.gov</t>
  </si>
  <si>
    <t>Regan</t>
  </si>
  <si>
    <t>(717) 787-8524</t>
  </si>
  <si>
    <t>mregan@pasen.gov</t>
  </si>
  <si>
    <t>Fellela</t>
  </si>
  <si>
    <t>(401) 231-2014</t>
  </si>
  <si>
    <t>rep-fellela@rilegislature.gov</t>
  </si>
  <si>
    <t>Stefano</t>
  </si>
  <si>
    <t>(717) 787-7175</t>
  </si>
  <si>
    <t>stefano@pasen.gov</t>
  </si>
  <si>
    <t>Costantino</t>
  </si>
  <si>
    <t>(401) 426-0284</t>
  </si>
  <si>
    <t>rep-costantino@rilegislature.gov</t>
  </si>
  <si>
    <t>Deputy Minority Leader</t>
  </si>
  <si>
    <t>Alloway</t>
  </si>
  <si>
    <t>(717) 787-4651</t>
  </si>
  <si>
    <t>alloway@pasen.gov</t>
  </si>
  <si>
    <t>Ackerman</t>
  </si>
  <si>
    <t>(401) 658-0981</t>
  </si>
  <si>
    <t>rep-ackerman@rilegislature.gov</t>
  </si>
  <si>
    <t>Mary Anne</t>
  </si>
  <si>
    <t>Lyle</t>
  </si>
  <si>
    <t>(401) 723-6104</t>
  </si>
  <si>
    <t>Corman</t>
  </si>
  <si>
    <t>(717) 787-1377</t>
  </si>
  <si>
    <t>jcorman@pasen.gov</t>
  </si>
  <si>
    <t>Place</t>
  </si>
  <si>
    <t>(401) 286-2088</t>
  </si>
  <si>
    <t>Lew</t>
  </si>
  <si>
    <t>Langerholc</t>
  </si>
  <si>
    <t>(717) 787-5400</t>
  </si>
  <si>
    <t>Wlangerholc@pasen.gov</t>
  </si>
  <si>
    <t>Newberry</t>
  </si>
  <si>
    <t>rep-newberry@rilegislature.gov</t>
  </si>
  <si>
    <t>Aument</t>
  </si>
  <si>
    <t>(717) 787-4420</t>
  </si>
  <si>
    <t>raument@pasen.gov</t>
  </si>
  <si>
    <t>(401)-265-0910</t>
  </si>
  <si>
    <t>rep-morin@rilegislature.gov</t>
  </si>
  <si>
    <t>Reschenthaler</t>
  </si>
  <si>
    <t>special election April 2, 2019</t>
  </si>
  <si>
    <t>(508) 942-0484</t>
  </si>
  <si>
    <t>rep-casey@rilegislature.gov</t>
  </si>
  <si>
    <t>Dembrow</t>
  </si>
  <si>
    <t>(717) 787-6538</t>
  </si>
  <si>
    <t>(717) 787-6063</t>
  </si>
  <si>
    <t>(401) 762-2010</t>
  </si>
  <si>
    <t>rep-phillips@rilegislature.gov</t>
  </si>
  <si>
    <t>Scavello</t>
  </si>
  <si>
    <t>(717) 787-6123</t>
  </si>
  <si>
    <t>mscavello@pasen.gov</t>
  </si>
  <si>
    <t>(717) 787-8724</t>
  </si>
  <si>
    <t>dwhite@pasen.gov</t>
  </si>
  <si>
    <t>Marszalkowski</t>
  </si>
  <si>
    <t>(401) 714-4425</t>
  </si>
  <si>
    <t>rep-Marszalkowski@rilegislature.gov</t>
  </si>
  <si>
    <t>(401) 837-7141</t>
  </si>
  <si>
    <t>Fontana</t>
  </si>
  <si>
    <t>(717) 787-5300</t>
  </si>
  <si>
    <t>fontana@pasenate.com</t>
  </si>
  <si>
    <t>(717) 787-7683</t>
  </si>
  <si>
    <t>costa@pasenate.com</t>
  </si>
  <si>
    <t>Senate Pro Tempore</t>
  </si>
  <si>
    <t>Muth</t>
  </si>
  <si>
    <t>(717) 787-1398</t>
  </si>
  <si>
    <t>http://www.senatormuth.com/</t>
  </si>
  <si>
    <t>(401) 440-4063</t>
  </si>
  <si>
    <t>rep-obrien@rilegislature.gov</t>
  </si>
  <si>
    <t>Brewster</t>
  </si>
  <si>
    <t>(717) 787-5580</t>
  </si>
  <si>
    <t>brewster@pasenate.com</t>
  </si>
  <si>
    <t>Thomsen</t>
  </si>
  <si>
    <t>Corvese</t>
  </si>
  <si>
    <t>Camera</t>
  </si>
  <si>
    <t>Bartolotta</t>
  </si>
  <si>
    <t>(401) 353-8695</t>
  </si>
  <si>
    <t>rep-corvese@rilegislature.gov</t>
  </si>
  <si>
    <t>(717) 787-1463</t>
  </si>
  <si>
    <t>cbartolotta@pasen.gov</t>
  </si>
  <si>
    <t>(717) 787-3076</t>
  </si>
  <si>
    <t>evogel@pasen.gov</t>
  </si>
  <si>
    <t>Folmer</t>
  </si>
  <si>
    <t>Maldonado</t>
  </si>
  <si>
    <t>(717) 787-5708</t>
  </si>
  <si>
    <t>mfolmer@pasen.gov</t>
  </si>
  <si>
    <t>rep-maldonado@rilegislature.gov</t>
  </si>
  <si>
    <t>Laughlin</t>
  </si>
  <si>
    <t>(717) 787-8927</t>
  </si>
  <si>
    <t>Dlaughlin@pasen.gov</t>
  </si>
  <si>
    <t>McLaughlin</t>
  </si>
  <si>
    <t>(401) 741-1834</t>
  </si>
  <si>
    <t>rep-mclaughlin@rilegislature.gov</t>
  </si>
  <si>
    <t>Linthicum</t>
  </si>
  <si>
    <t>(717) 787-1322</t>
  </si>
  <si>
    <t>mbrooks@pasen.gov</t>
  </si>
  <si>
    <t xml:space="preserve">Dwight </t>
  </si>
  <si>
    <t>Madeleine</t>
  </si>
  <si>
    <t>Tobon</t>
  </si>
  <si>
    <t xml:space="preserve">Mary </t>
  </si>
  <si>
    <t>rep-tobon@rilegislature.gov</t>
  </si>
  <si>
    <t>Houlahan</t>
  </si>
  <si>
    <t>Wild</t>
  </si>
  <si>
    <t xml:space="preserve">Matthew </t>
  </si>
  <si>
    <t>Cartwright</t>
  </si>
  <si>
    <t xml:space="preserve">Daniel </t>
  </si>
  <si>
    <t>Meuser</t>
  </si>
  <si>
    <t>Hansell</t>
  </si>
  <si>
    <t>Lloyd</t>
  </si>
  <si>
    <t>Smucker</t>
  </si>
  <si>
    <t>VACANT</t>
  </si>
  <si>
    <t xml:space="preserve">Mike </t>
  </si>
  <si>
    <t xml:space="preserve">Conor </t>
  </si>
  <si>
    <t>Lamb</t>
  </si>
  <si>
    <t>Doyle Jr.</t>
  </si>
  <si>
    <t>Barros</t>
  </si>
  <si>
    <t>Toomey</t>
  </si>
  <si>
    <t>rep-barros@rilegislature.gov</t>
  </si>
  <si>
    <t>Casey Jr.</t>
  </si>
  <si>
    <t>Alzate</t>
  </si>
  <si>
    <t>(401) 663-5600</t>
  </si>
  <si>
    <t>Suzanna</t>
  </si>
  <si>
    <t>Bonamici</t>
  </si>
  <si>
    <t>Walden</t>
  </si>
  <si>
    <t>Blumenauer</t>
  </si>
  <si>
    <t>(401) 288-7248</t>
  </si>
  <si>
    <t>rep-johnston@rilegislature.gov</t>
  </si>
  <si>
    <t>DeFazio</t>
  </si>
  <si>
    <t>Schrader</t>
  </si>
  <si>
    <t>Wyden</t>
  </si>
  <si>
    <t>Merkley</t>
  </si>
  <si>
    <t>Rosenblum</t>
  </si>
  <si>
    <t>Messier</t>
  </si>
  <si>
    <t>(401) 728-1682</t>
  </si>
  <si>
    <t>rep-messier@rilegislature.gov</t>
  </si>
  <si>
    <t>Kazarian</t>
  </si>
  <si>
    <t>(401) 438-1718</t>
  </si>
  <si>
    <t>rep-kazarian@rilegislature.gov</t>
  </si>
  <si>
    <t>Serodio</t>
  </si>
  <si>
    <t>(401) 340-9150</t>
  </si>
  <si>
    <t>Amore</t>
  </si>
  <si>
    <t>(401) 339-9378</t>
  </si>
  <si>
    <t>rep-amore@rilegislature.gov</t>
  </si>
  <si>
    <t>Liana</t>
  </si>
  <si>
    <t>Cassar</t>
  </si>
  <si>
    <t>(401) 433-9539</t>
  </si>
  <si>
    <t>(617) 943-6532</t>
  </si>
  <si>
    <t>rep-Knight@rilegislature.gov</t>
  </si>
  <si>
    <t>Laufton</t>
  </si>
  <si>
    <t>Ascencao</t>
  </si>
  <si>
    <t>(401) 253-7837</t>
  </si>
  <si>
    <t>rep-donovan@rilegislature.gov</t>
  </si>
  <si>
    <t>(401) 624-8879</t>
  </si>
  <si>
    <t>rep-edwards@rilegislature.gov</t>
  </si>
  <si>
    <t>Canario</t>
  </si>
  <si>
    <t>(401) 683-4926</t>
  </si>
  <si>
    <t>rep-canario@rilegislature.gov</t>
  </si>
  <si>
    <t>Terri-Denise</t>
  </si>
  <si>
    <t>Cortvriend</t>
  </si>
  <si>
    <t>(401) 472-4789</t>
  </si>
  <si>
    <t>Abney</t>
  </si>
  <si>
    <t>(401) 487-1380</t>
  </si>
  <si>
    <t>rep-abney@rilegislature.gov</t>
  </si>
  <si>
    <t>Whitmire</t>
  </si>
  <si>
    <t>Ruggiero</t>
  </si>
  <si>
    <t>(401) 423-0444</t>
  </si>
  <si>
    <t>Use Form</t>
  </si>
  <si>
    <t>rep-ruggiero@rilegislature.gov</t>
  </si>
  <si>
    <t>Sandifer</t>
  </si>
  <si>
    <t>Labor, Commerce and Industry ( Chairman)</t>
  </si>
  <si>
    <t>Clary</t>
  </si>
  <si>
    <t>Legislative Oversight</t>
  </si>
  <si>
    <t>Davey</t>
  </si>
  <si>
    <t>Hiott</t>
  </si>
  <si>
    <t>Agriculture ( Chairman)</t>
  </si>
  <si>
    <t>rep-carson@rilegislature.gov</t>
  </si>
  <si>
    <t>Labor, Commerce and Industry</t>
  </si>
  <si>
    <t>Jonathon</t>
  </si>
  <si>
    <t>Medical, Military, Public and Municipal Affairs ( 2nd V.C.)</t>
  </si>
  <si>
    <t>Maryellen</t>
  </si>
  <si>
    <t>Education and Public Works</t>
  </si>
  <si>
    <t>Medical, Military, Public and Municipal Affairs</t>
  </si>
  <si>
    <t>Operations and Management</t>
  </si>
  <si>
    <t>Gagnon</t>
  </si>
  <si>
    <t>Medical, Military, Public and Municipal Affairs ( 1st V.C.)</t>
  </si>
  <si>
    <t>Whip</t>
  </si>
  <si>
    <t>(401) 272-3102</t>
  </si>
  <si>
    <t>McCravy</t>
  </si>
  <si>
    <t>sen-goodwin@rilegislature.gov</t>
  </si>
  <si>
    <t>Pitts</t>
  </si>
  <si>
    <t>Rivers</t>
  </si>
  <si>
    <t>Interstate Cooperation ( Chairman)</t>
  </si>
  <si>
    <t>Regulations and Admin Procedures</t>
  </si>
  <si>
    <t>Loftis</t>
  </si>
  <si>
    <t>(401) 680-5515</t>
  </si>
  <si>
    <t>sen-Quezada@rilegislature.gov</t>
  </si>
  <si>
    <t>Goldin</t>
  </si>
  <si>
    <t>(401) 276-5568</t>
  </si>
  <si>
    <t>sen-goldin@rilegislature.gov</t>
  </si>
  <si>
    <t>Chandra</t>
  </si>
  <si>
    <t>Dillard</t>
  </si>
  <si>
    <t>Ruggerio</t>
  </si>
  <si>
    <t>(401) 222-6655</t>
  </si>
  <si>
    <t>sen-ruggerio@rilegislature.gov</t>
  </si>
  <si>
    <t>Bannister</t>
  </si>
  <si>
    <t>Leola</t>
  </si>
  <si>
    <t>Raye</t>
  </si>
  <si>
    <t>Ethics ( Chairman)</t>
  </si>
  <si>
    <t>Operations and Management ( Chairman)</t>
  </si>
  <si>
    <t>Ways and Means ( Chairman)</t>
  </si>
  <si>
    <t>Trantham</t>
  </si>
  <si>
    <t>Agriculture ( 1st V.C.)</t>
  </si>
  <si>
    <t>Metts</t>
  </si>
  <si>
    <t>President pro Tempore</t>
  </si>
  <si>
    <t>(401) 272-0112</t>
  </si>
  <si>
    <t>sen-metts@rilegislature.gov</t>
  </si>
  <si>
    <t>Henderson-Myers</t>
  </si>
  <si>
    <t>Hyde</t>
  </si>
  <si>
    <t>Tallon</t>
  </si>
  <si>
    <t>Judiciary ( 2nd V.C.)</t>
  </si>
  <si>
    <t>Forrester</t>
  </si>
  <si>
    <t>Labor, Commerce and Industry ( 1st V.C.)</t>
  </si>
  <si>
    <t>Ciccone</t>
  </si>
  <si>
    <t>(401) 275-0949</t>
  </si>
  <si>
    <t>Chumley</t>
  </si>
  <si>
    <t>sen-ciccone@rilegislature.gov</t>
  </si>
  <si>
    <t>Merita</t>
  </si>
  <si>
    <t>Education and Public Works ( Chairman)</t>
  </si>
  <si>
    <t>Josiah</t>
  </si>
  <si>
    <t>Magnuson</t>
  </si>
  <si>
    <t>sen-cano@rilegislature.gov</t>
  </si>
  <si>
    <t>Cally</t>
  </si>
  <si>
    <t>Gilliam</t>
  </si>
  <si>
    <t>Interstate Cooperation ( 2nd V.C.)</t>
  </si>
  <si>
    <t>Mandy</t>
  </si>
  <si>
    <t>Satchell</t>
  </si>
  <si>
    <t>(401) 615-5170</t>
  </si>
  <si>
    <t>sen-satchell@rilegislature.gov</t>
  </si>
  <si>
    <t>Norrell</t>
  </si>
  <si>
    <t>Judiciary ( 1st V.C.)</t>
  </si>
  <si>
    <t>Legislative Oversight ( Chairman)</t>
  </si>
  <si>
    <t>Simrill</t>
  </si>
  <si>
    <t>Ways and Means ( 2nd V.C.)</t>
  </si>
  <si>
    <t>Felag</t>
  </si>
  <si>
    <t>(401) 245-7521</t>
  </si>
  <si>
    <t>sen-felag@rilegislature.gov</t>
  </si>
  <si>
    <t>Invitations and Memorial Restoration</t>
  </si>
  <si>
    <t>Seveney</t>
  </si>
  <si>
    <t>(401) 683-3046</t>
  </si>
  <si>
    <t>sen-Seveney@rilegislature.gov</t>
  </si>
  <si>
    <t>DiPalma</t>
  </si>
  <si>
    <t>(401) 847-8540</t>
  </si>
  <si>
    <t>sen-dipalma@rilegislature.gov</t>
  </si>
  <si>
    <t>Weeks</t>
  </si>
  <si>
    <t>Ethics ( V.C.)</t>
  </si>
  <si>
    <t>Euer</t>
  </si>
  <si>
    <t>(401) 276-5589</t>
  </si>
  <si>
    <t>sen-euer@rilegislature.gov</t>
  </si>
  <si>
    <t>Funderburk</t>
  </si>
  <si>
    <t>Legislative Oversight ( V.C.)</t>
  </si>
  <si>
    <t>Richie</t>
  </si>
  <si>
    <t>Nesselbush</t>
  </si>
  <si>
    <t>Yow</t>
  </si>
  <si>
    <t>sen-nesselbush@rilegislature.gov</t>
  </si>
  <si>
    <t>Invitations and Memorial Restoration ( 2nd V.C.)</t>
  </si>
  <si>
    <t>Crowley</t>
  </si>
  <si>
    <t>Henegan</t>
  </si>
  <si>
    <t>(401) 725-8526</t>
  </si>
  <si>
    <t>sen-crowley@rilegislature.gov</t>
  </si>
  <si>
    <t>McGinnis</t>
  </si>
  <si>
    <t>Paolino</t>
  </si>
  <si>
    <t>(401) 726-3177</t>
  </si>
  <si>
    <t>sen-Paolino@rilegislature.gov</t>
  </si>
  <si>
    <t>Ridgeway</t>
  </si>
  <si>
    <t>(401) 438-1924</t>
  </si>
  <si>
    <t>sen-conley@rilegislature.gov</t>
  </si>
  <si>
    <t>Gilda</t>
  </si>
  <si>
    <t>Cobb-Hunter</t>
  </si>
  <si>
    <t>Ways and Means ( 1st V.C.)</t>
  </si>
  <si>
    <t>sen-pearson@rilegislature.gov</t>
  </si>
  <si>
    <t>Brawley</t>
  </si>
  <si>
    <t>Picard</t>
  </si>
  <si>
    <t>(401)769-4902</t>
  </si>
  <si>
    <t>sen-picard@rilegislature.gov</t>
  </si>
  <si>
    <t>Gordan</t>
  </si>
  <si>
    <t>Ballentine</t>
  </si>
  <si>
    <t>Archambault</t>
  </si>
  <si>
    <t>sen-archambault@rilegislature.gov</t>
  </si>
  <si>
    <t>DeLaCruz</t>
  </si>
  <si>
    <t>http://www.wistv.com/story/37548929/sc-house-minority-leader-rutherford-enough-is-enough-wants-to-block-people-under-20-from-purchasing-an-ar-15/</t>
  </si>
  <si>
    <t>Kirkman</t>
  </si>
  <si>
    <t>(401) 270-1379</t>
  </si>
  <si>
    <t>sen-lombardo@rilegislature.gov</t>
  </si>
  <si>
    <t>Finlay</t>
  </si>
  <si>
    <t>Medical, Military, Public and Municipal Affairs ( Chairman)</t>
  </si>
  <si>
    <t>McEachern</t>
  </si>
  <si>
    <t>sen-lombardi@rilegislature.gov</t>
  </si>
  <si>
    <t>Hanna</t>
  </si>
  <si>
    <t>Bernstein</t>
  </si>
  <si>
    <t>Ivory</t>
  </si>
  <si>
    <t>Thigpen</t>
  </si>
  <si>
    <t>Bales</t>
  </si>
  <si>
    <t>Invitations and Memorial Restoration ( Chairman)</t>
  </si>
  <si>
    <t>Gallo</t>
  </si>
  <si>
    <t>Clyburn</t>
  </si>
  <si>
    <t>sen-gallo@rilegislature.gov</t>
  </si>
  <si>
    <t>Hixon</t>
  </si>
  <si>
    <t>Agriculture ( 2nd V.C.)</t>
  </si>
  <si>
    <t>Education and Public Works ( 1st V.C.)</t>
  </si>
  <si>
    <t>Huggins</t>
  </si>
  <si>
    <t>Regulations and Admin Procedures ( Chairman)</t>
  </si>
  <si>
    <t>Atwater</t>
  </si>
  <si>
    <t>(401)-276-5582</t>
  </si>
  <si>
    <t>sen-miller@rilegislature.gov</t>
  </si>
  <si>
    <t>Toole</t>
  </si>
  <si>
    <t>Micajah</t>
  </si>
  <si>
    <t>Caskey</t>
  </si>
  <si>
    <t>McCaffrey</t>
  </si>
  <si>
    <t>(401) 739-7576</t>
  </si>
  <si>
    <t>sen-mccaffrey@rilegislature.gov</t>
  </si>
  <si>
    <t>Bamberg</t>
  </si>
  <si>
    <t>Operations and Management ( 2nd V.C.)</t>
  </si>
  <si>
    <t>McKenney</t>
  </si>
  <si>
    <t>Hosey</t>
  </si>
  <si>
    <t>Daning</t>
  </si>
  <si>
    <t>Rules ( V.C.)</t>
  </si>
  <si>
    <t>Prata</t>
  </si>
  <si>
    <t>(401) 739-8500</t>
  </si>
  <si>
    <t>sen-lynchprata@rilegislature.gov</t>
  </si>
  <si>
    <t>Ott</t>
  </si>
  <si>
    <t>Arrington</t>
  </si>
  <si>
    <t>Govan</t>
  </si>
  <si>
    <t>Operations and Management ( 1st V.C.)</t>
  </si>
  <si>
    <t>Spires</t>
  </si>
  <si>
    <t>Kimmons</t>
  </si>
  <si>
    <t>Mace</t>
  </si>
  <si>
    <t>Sylleste</t>
  </si>
  <si>
    <t>Coyne</t>
  </si>
  <si>
    <t>Cezar</t>
  </si>
  <si>
    <t>sen-coyne@rilegislature.gov</t>
  </si>
  <si>
    <t>Leonidas</t>
  </si>
  <si>
    <t>Regulations and Admin Procedures ( 1st V.C.)</t>
  </si>
  <si>
    <t>Tamara</t>
  </si>
  <si>
    <t>Interstate Cooperation</t>
  </si>
  <si>
    <t>Raptakis</t>
  </si>
  <si>
    <t>St. John</t>
  </si>
  <si>
    <t>605-268-0920</t>
  </si>
  <si>
    <t>Tamara.StJohn@sdlegislature.gov</t>
  </si>
  <si>
    <t>McCleerey</t>
  </si>
  <si>
    <t>605-698-7478</t>
  </si>
  <si>
    <t>(401) 397-2720</t>
  </si>
  <si>
    <t>sen-raptakis@rilegislature.gov</t>
  </si>
  <si>
    <t>Hardee</t>
  </si>
  <si>
    <t>Greenfield</t>
  </si>
  <si>
    <t>Nominated for President Pro Tempore, will vote Jan 8</t>
  </si>
  <si>
    <t>605-635-6932</t>
  </si>
  <si>
    <t>Kaleb</t>
  </si>
  <si>
    <t>Weis</t>
  </si>
  <si>
    <t>605-262-0113</t>
  </si>
  <si>
    <t>Dennert</t>
  </si>
  <si>
    <t>605-252-1008</t>
  </si>
  <si>
    <t>Deutsch</t>
  </si>
  <si>
    <t>605-882-3323</t>
  </si>
  <si>
    <t>605-826-4290</t>
  </si>
  <si>
    <t>605-886-5460</t>
  </si>
  <si>
    <t>605-753-6611</t>
  </si>
  <si>
    <t>(401) 222-2708</t>
  </si>
  <si>
    <t>605-941-1770</t>
  </si>
  <si>
    <t>Latterell</t>
  </si>
  <si>
    <t>sen-morgan@rilegislature.gov</t>
  </si>
  <si>
    <t>Labor, Commerce and Industry ( 2nd V.C.)</t>
  </si>
  <si>
    <t>Valverde</t>
  </si>
  <si>
    <t>605-693-6393</t>
  </si>
  <si>
    <t>Cogswell</t>
  </si>
  <si>
    <t>605-691-0452</t>
  </si>
  <si>
    <t>Marli</t>
  </si>
  <si>
    <t>Wiese</t>
  </si>
  <si>
    <t>605-270-0786</t>
  </si>
  <si>
    <t>605-321-4168</t>
  </si>
  <si>
    <t>Saba</t>
  </si>
  <si>
    <t>605-526-5000</t>
  </si>
  <si>
    <t>Haugaard</t>
  </si>
  <si>
    <t>605-332-1171</t>
  </si>
  <si>
    <t>Barthel</t>
  </si>
  <si>
    <t>605-940-5633</t>
  </si>
  <si>
    <t>Willadsen</t>
  </si>
  <si>
    <t>605-361-6104</t>
  </si>
  <si>
    <t>Karr</t>
  </si>
  <si>
    <t>605-695-0391</t>
  </si>
  <si>
    <t>Medical, Military, Public and Municipal Affairs ( 3rd V.C.)</t>
  </si>
  <si>
    <t>Beal</t>
  </si>
  <si>
    <t>605-336-3034</t>
  </si>
  <si>
    <t>605-335-7036</t>
  </si>
  <si>
    <t>Sheehan</t>
  </si>
  <si>
    <t>605-371-1668</t>
  </si>
  <si>
    <t>(401) 885-1988</t>
  </si>
  <si>
    <t>sen-sheehan@rilegislature.gov</t>
  </si>
  <si>
    <t>Zikmund</t>
  </si>
  <si>
    <t>(401) 783-7704</t>
  </si>
  <si>
    <t>sen-sosnowski@rilegislature.gov</t>
  </si>
  <si>
    <t>605-212-9597</t>
  </si>
  <si>
    <t>Duba</t>
  </si>
  <si>
    <t>605-610-6590</t>
  </si>
  <si>
    <t>605-339-3583</t>
  </si>
  <si>
    <t>605-310-1645</t>
  </si>
  <si>
    <t>605-987-4296</t>
  </si>
  <si>
    <t>605-238-5321</t>
  </si>
  <si>
    <t>Ring</t>
  </si>
  <si>
    <t>605-675-9379</t>
  </si>
  <si>
    <t>Sottile</t>
  </si>
  <si>
    <t>Hunhoff</t>
  </si>
  <si>
    <t>605-665-1463</t>
  </si>
  <si>
    <t>Cwach</t>
  </si>
  <si>
    <t>Pendarvis</t>
  </si>
  <si>
    <t>Algiere</t>
  </si>
  <si>
    <t>605-425-3299</t>
  </si>
  <si>
    <t>Lin</t>
  </si>
  <si>
    <t>Schoenfish</t>
  </si>
  <si>
    <t>605-660-6468</t>
  </si>
  <si>
    <t>sen-algiere@rilegislature.gov</t>
  </si>
  <si>
    <t>Koth</t>
  </si>
  <si>
    <t>605-996-9206</t>
  </si>
  <si>
    <t>Miskimins</t>
  </si>
  <si>
    <t>605-996-7222</t>
  </si>
  <si>
    <t>Finck</t>
  </si>
  <si>
    <t>Ralmondo</t>
  </si>
  <si>
    <t>McCoy</t>
  </si>
  <si>
    <t>605-933-2042</t>
  </si>
  <si>
    <t>Judiciary ( Chairman)</t>
  </si>
  <si>
    <t>(401) 222-2080</t>
  </si>
  <si>
    <t>Qualm</t>
  </si>
  <si>
    <t>605-337-3682</t>
  </si>
  <si>
    <t>Education and Public Works ( 2nd V.C.)</t>
  </si>
  <si>
    <t>Chase</t>
  </si>
  <si>
    <t>Invitations and Memorial Restoration ( 1st V.C.)</t>
  </si>
  <si>
    <t>Glanzer</t>
  </si>
  <si>
    <t>605-352-0829</t>
  </si>
  <si>
    <t>Krystle</t>
  </si>
  <si>
    <t>Gosch</t>
  </si>
  <si>
    <t>605-230-0313</t>
  </si>
  <si>
    <t>Lake</t>
  </si>
  <si>
    <t>605-765-9547</t>
  </si>
  <si>
    <t>Herbkersman</t>
  </si>
  <si>
    <t>Rounds</t>
  </si>
  <si>
    <t>605-224-6588</t>
  </si>
  <si>
    <t>Duvall</t>
  </si>
  <si>
    <t>605-224-4070</t>
  </si>
  <si>
    <t>Stavrinakis</t>
  </si>
  <si>
    <t>http://www.governor.ri.gov/contact/</t>
  </si>
  <si>
    <t>605-428-4570</t>
  </si>
  <si>
    <t>Pischke</t>
  </si>
  <si>
    <t>Weston</t>
  </si>
  <si>
    <t>605-999-2948</t>
  </si>
  <si>
    <t>Bordeaux</t>
  </si>
  <si>
    <t>Reimer</t>
  </si>
  <si>
    <t>Shedron</t>
  </si>
  <si>
    <t>Livermont</t>
  </si>
  <si>
    <t>605-685-6998</t>
  </si>
  <si>
    <t>Peri</t>
  </si>
  <si>
    <t>Pourier</t>
  </si>
  <si>
    <t>Oren</t>
  </si>
  <si>
    <t>Lesmeister</t>
  </si>
  <si>
    <t>605-866-4477</t>
  </si>
  <si>
    <t>Brunner</t>
  </si>
  <si>
    <t>605-257-2336</t>
  </si>
  <si>
    <t>Chaffee</t>
  </si>
  <si>
    <t>FryeMueller</t>
  </si>
  <si>
    <t>605-342-2782</t>
  </si>
  <si>
    <t>605-390-5324</t>
  </si>
  <si>
    <t>Ciciline</t>
  </si>
  <si>
    <t>https://cicilline.house.gov/contact-me/email-me</t>
  </si>
  <si>
    <t>605-722-3189</t>
  </si>
  <si>
    <t>Turbiville</t>
  </si>
  <si>
    <t>ELECTED POSTHUMOUSLY</t>
  </si>
  <si>
    <t>Scyller</t>
  </si>
  <si>
    <t>Borglum</t>
  </si>
  <si>
    <t>605-519-0500</t>
  </si>
  <si>
    <t>605-342-1587</t>
  </si>
  <si>
    <t>Taffy</t>
  </si>
  <si>
    <t>Diedrich</t>
  </si>
  <si>
    <t>605-343-0735</t>
  </si>
  <si>
    <t>Jess</t>
  </si>
  <si>
    <t>Langevin</t>
  </si>
  <si>
    <t>Mulally</t>
  </si>
  <si>
    <t>https://langevin.house.gov/contact-me/email-me</t>
  </si>
  <si>
    <t>Invitations</t>
  </si>
  <si>
    <t>Labor, Commerce and Industry (Chair)</t>
  </si>
  <si>
    <t>Wismer</t>
  </si>
  <si>
    <t>Medical Affairs</t>
  </si>
  <si>
    <t>605-448-5189</t>
  </si>
  <si>
    <t>Brock</t>
  </si>
  <si>
    <t>President Pro Tempore (nominated)</t>
  </si>
  <si>
    <t>605-532-4088</t>
  </si>
  <si>
    <t>Novstrup</t>
  </si>
  <si>
    <t>605-360-9711</t>
  </si>
  <si>
    <t>Wiik</t>
  </si>
  <si>
    <t>605-880-1440</t>
  </si>
  <si>
    <t>Schoenbeck</t>
  </si>
  <si>
    <t>605-368-5716</t>
  </si>
  <si>
    <t>Whithouse</t>
  </si>
  <si>
    <t>VJ</t>
  </si>
  <si>
    <t>605-697-5822</t>
  </si>
  <si>
    <t>Youngberg</t>
  </si>
  <si>
    <t>Steinhauer</t>
  </si>
  <si>
    <t>605-526-4269</t>
  </si>
  <si>
    <t>605-929-1592</t>
  </si>
  <si>
    <t>Neronha</t>
  </si>
  <si>
    <t>Stalzer</t>
  </si>
  <si>
    <t>605-838-0354</t>
  </si>
  <si>
    <t>Agriculture and Natural Resources</t>
  </si>
  <si>
    <t>Corrections and Penology</t>
  </si>
  <si>
    <t>Fish, Game and Forestry</t>
  </si>
  <si>
    <t>Curd</t>
  </si>
  <si>
    <t>605-331-5890</t>
  </si>
  <si>
    <t>Kolbeck</t>
  </si>
  <si>
    <t>605-332-6490</t>
  </si>
  <si>
    <t>Soholt</t>
  </si>
  <si>
    <t>605-321-5931</t>
  </si>
  <si>
    <t>Reynold</t>
  </si>
  <si>
    <t>Nesiba</t>
  </si>
  <si>
    <t>605-371-6311</t>
  </si>
  <si>
    <t>Bolin</t>
  </si>
  <si>
    <t>605-261-9669</t>
  </si>
  <si>
    <t>Rusch</t>
  </si>
  <si>
    <t>605-624-8723</t>
  </si>
  <si>
    <t>605-661-0128</t>
  </si>
  <si>
    <t>Stace</t>
  </si>
  <si>
    <t>605-770-7461</t>
  </si>
  <si>
    <t>Klumb</t>
  </si>
  <si>
    <t>605-770-9708</t>
  </si>
  <si>
    <t>Blare</t>
  </si>
  <si>
    <t>605-842-1617</t>
  </si>
  <si>
    <t>605-352-8184</t>
  </si>
  <si>
    <t>Cash</t>
  </si>
  <si>
    <t>General</t>
  </si>
  <si>
    <t>605-769-1017</t>
  </si>
  <si>
    <t>605-224-0264</t>
  </si>
  <si>
    <t>Langer</t>
  </si>
  <si>
    <t>605-428-4829</t>
  </si>
  <si>
    <t>605-856-5045</t>
  </si>
  <si>
    <t>RedDawn</t>
  </si>
  <si>
    <t>Maher</t>
  </si>
  <si>
    <t>605-466-2131</t>
  </si>
  <si>
    <t>Cammack</t>
  </si>
  <si>
    <t>Ewing</t>
  </si>
  <si>
    <t>605-722-5559</t>
  </si>
  <si>
    <t>Solano</t>
  </si>
  <si>
    <t>605-342-8974</t>
  </si>
  <si>
    <t>Gambrell</t>
  </si>
  <si>
    <t>605-343-1335</t>
  </si>
  <si>
    <t>Partridge</t>
  </si>
  <si>
    <t>605-301-4803</t>
  </si>
  <si>
    <t>Kristi Noem</t>
  </si>
  <si>
    <t>Dusty Johnson</t>
  </si>
  <si>
    <t>John Thune</t>
  </si>
  <si>
    <t>Mike Rounds</t>
  </si>
  <si>
    <t>Jason Ravnsborg</t>
  </si>
  <si>
    <t>Timmons</t>
  </si>
  <si>
    <t>Corrections and Penology Finance</t>
  </si>
  <si>
    <t>Verdin</t>
  </si>
  <si>
    <t>Medical Affairs (Chair)</t>
  </si>
  <si>
    <t>Nicholson</t>
  </si>
  <si>
    <t>Corrections and Penology (Chair)</t>
  </si>
  <si>
    <t>Peeler</t>
  </si>
  <si>
    <t>Climer</t>
  </si>
  <si>
    <t>Fanning</t>
  </si>
  <si>
    <t>Cromer</t>
  </si>
  <si>
    <t>Fish, Game and Forestry Invitations</t>
  </si>
  <si>
    <t>Harpootilan</t>
  </si>
  <si>
    <t>Shealy</t>
  </si>
  <si>
    <t>General (Chair)</t>
  </si>
  <si>
    <t>Nikki</t>
  </si>
  <si>
    <t>Sheheen</t>
  </si>
  <si>
    <t>Hembree</t>
  </si>
  <si>
    <t>Malloy</t>
  </si>
  <si>
    <t>Leatherman</t>
  </si>
  <si>
    <t>Interstate Cooperation (Chair)</t>
  </si>
  <si>
    <t>Sabb</t>
  </si>
  <si>
    <t>Goldfinch</t>
  </si>
  <si>
    <t>McElveen</t>
  </si>
  <si>
    <t>Hutto</t>
  </si>
  <si>
    <t>Senn</t>
  </si>
  <si>
    <t>Marlon</t>
  </si>
  <si>
    <t>Kimpson</t>
  </si>
  <si>
    <t>Campsen</t>
  </si>
  <si>
    <t>Fish, Game and Forestry (Chair)</t>
  </si>
  <si>
    <t>Invitations (Chair)</t>
  </si>
  <si>
    <t>McMaster</t>
  </si>
  <si>
    <t>Elections &amp; Campaign Finance Subcommittee</t>
  </si>
  <si>
    <t>Cities &amp; Counties Subcommittee</t>
  </si>
  <si>
    <t>Property &amp; Planning Subcommittee</t>
  </si>
  <si>
    <t>Calendar &amp; Rules Committee</t>
  </si>
  <si>
    <t>Hulsey</t>
  </si>
  <si>
    <t>State Committee</t>
  </si>
  <si>
    <t>(615) 741-2886</t>
  </si>
  <si>
    <t>Utilities Subcommittee</t>
  </si>
  <si>
    <t>Google Doc</t>
  </si>
  <si>
    <t>Stella</t>
  </si>
  <si>
    <t>https://docs.google.com/document/d/1aeTf2zHg1ZnoGZdPc5w0DDhBd395dbx1ZUj8HlYTlMA/edit?usp=sharing</t>
  </si>
  <si>
    <t>Holsclaw</t>
  </si>
  <si>
    <t>Commerce Committee</t>
  </si>
  <si>
    <t>Career</t>
  </si>
  <si>
    <t>Consumer and Human Resources Committee</t>
  </si>
  <si>
    <t>VanDeaver</t>
  </si>
  <si>
    <t>Appropriations-mem, Public Education-mem</t>
  </si>
  <si>
    <t xml:space="preserve">Serves on Texas House Group to Combat Sexual Harrassment, 
</t>
  </si>
  <si>
    <t>512-463-0692, 903-628-0361</t>
  </si>
  <si>
    <t>Public Service &amp; Employees Subcommittee</t>
  </si>
  <si>
    <t>Bowie, Lamar, Franklin, and Red River</t>
  </si>
  <si>
    <t>Educator</t>
  </si>
  <si>
    <t>VanHuss</t>
  </si>
  <si>
    <t>Public Health Subcommittee</t>
  </si>
  <si>
    <t>615) 741-1717</t>
  </si>
  <si>
    <t>Awarded Admiral of Texas Navy by Gov Rick Perry</t>
  </si>
  <si>
    <t>903-567-0921</t>
  </si>
  <si>
    <t>Hopkins, Hunt, Van Zandt</t>
  </si>
  <si>
    <t>Banking Industry</t>
  </si>
  <si>
    <t>Health Committee</t>
  </si>
  <si>
    <t>Local Committee</t>
  </si>
  <si>
    <t>Appropriations-mem</t>
  </si>
  <si>
    <t>281-259-3700</t>
  </si>
  <si>
    <t>Montgomery (part) and Waller</t>
  </si>
  <si>
    <t>CEO of six enterprises (mainly in construction, agriculture related, and water treatment.</t>
  </si>
  <si>
    <t xml:space="preserve">Campaign # 972-866-4401 or </t>
  </si>
  <si>
    <t>https://house.texas.gov/members/member-page/email/?district=4&amp;session=86</t>
  </si>
  <si>
    <t>2018, Defeated fellow Republican Lance Gooden</t>
  </si>
  <si>
    <t>Kaufman and Henderson (part)</t>
  </si>
  <si>
    <t xml:space="preserve">Businessman, and serves on the Board of the Baylor Scott and White Medical Center </t>
  </si>
  <si>
    <t>Hefner</t>
  </si>
  <si>
    <t>Appropriations-mem, Local and Consent Calenders-mem, Transportation-mem</t>
  </si>
  <si>
    <t>Capital # 512-463-0271 District # 903-717-8238 or 903-882-3283</t>
  </si>
  <si>
    <t xml:space="preserve">                                             </t>
  </si>
  <si>
    <t>Camp, Morris, Rains, Smith (part), Titus, Wood</t>
  </si>
  <si>
    <t>Business owner (Insurance)</t>
  </si>
  <si>
    <t>Schaefer</t>
  </si>
  <si>
    <t>Appropriations-mem, Higher Education-mem</t>
  </si>
  <si>
    <t>903-592-0900</t>
  </si>
  <si>
    <t>Smith (part)</t>
  </si>
  <si>
    <t xml:space="preserve">real-estate, law, and  Lieutenant Commander in the U.S. Navy Reserve </t>
  </si>
  <si>
    <t>Faison</t>
  </si>
  <si>
    <t xml:space="preserve">
</t>
  </si>
  <si>
    <t>903-238-8452</t>
  </si>
  <si>
    <t xml:space="preserve">Gregg and Upshur </t>
  </si>
  <si>
    <t>President &amp; CEO of Shale Flow Specialties</t>
  </si>
  <si>
    <t>Safety &amp; Funding Subcommittee</t>
  </si>
  <si>
    <t xml:space="preserve">800-643-702, 512-463-0730 </t>
  </si>
  <si>
    <t>2018 (Former Republican Representative Byron Cook did not run for reelection</t>
  </si>
  <si>
    <t>Anderson, Freestone, Hill, Navarro</t>
  </si>
  <si>
    <t>businessman</t>
  </si>
  <si>
    <t>Select Committee on Rules</t>
  </si>
  <si>
    <t>Roderick</t>
  </si>
  <si>
    <t>Paddie</t>
  </si>
  <si>
    <t>Captial # 512-463-0556, toll free 877-839-2709, District #: (903) 935-1141</t>
  </si>
  <si>
    <t>Shelby, Sabine, Cass, Harrison, Marion, Panola</t>
  </si>
  <si>
    <t>Businessman, radio host, former mayor</t>
  </si>
  <si>
    <t>Select Committee on Ethics</t>
  </si>
  <si>
    <t>Public Health-vice chair, Calenders-mem, Ways and Means-mem</t>
  </si>
  <si>
    <t>Capital # 512-463-0516, District # 972-938-9392</t>
  </si>
  <si>
    <t>Ellis, Henderson (part)</t>
  </si>
  <si>
    <t>civil law</t>
  </si>
  <si>
    <t>House Curriculum, Testing, &amp; Innovation Subcommittee</t>
  </si>
  <si>
    <t>Transportation Committee</t>
  </si>
  <si>
    <t xml:space="preserve"> (615) 741-1721 </t>
  </si>
  <si>
    <t>Ferry</t>
  </si>
  <si>
    <t>Clardy</t>
  </si>
  <si>
    <t>Homeland Security and Public Safety-mem, Human Services-mem</t>
  </si>
  <si>
    <t>Capital # 512-463-0592, District # 936-560-3982</t>
  </si>
  <si>
    <t>Cherokee, Nacogdoches, Rusk</t>
  </si>
  <si>
    <t>attorney, business owner</t>
  </si>
  <si>
    <t>Public Utilities &amp; Technology</t>
  </si>
  <si>
    <t>Natural Resources, Agriculture &amp; Environment</t>
  </si>
  <si>
    <t>(615) 741-4419</t>
  </si>
  <si>
    <t>Kacal</t>
  </si>
  <si>
    <t>Capital # 512-463-0412, District # 979-774-7276</t>
  </si>
  <si>
    <t>Brazos (part), Falls, Limestone, McLennan (part), Robertson</t>
  </si>
  <si>
    <t>ranching business</t>
  </si>
  <si>
    <t>Leman</t>
  </si>
  <si>
    <t>Capital # 512-463-0600, District # 979-836-1238</t>
  </si>
  <si>
    <t>Austin, Burleson, Colorado, Fayette, Grimes, Lavaca, Washington</t>
  </si>
  <si>
    <t>County judge, CEO of Merrimac Manufacturing, Inc.(prev)</t>
  </si>
  <si>
    <t>Ramsey</t>
  </si>
  <si>
    <t>Public Service &amp; Employees Subcommittee (Chair)</t>
  </si>
  <si>
    <t>Lowell</t>
  </si>
  <si>
    <t>Raney</t>
  </si>
  <si>
    <t>Capital # 512-463-0698, District # 979-260-5040</t>
  </si>
  <si>
    <t>Brazos (part)</t>
  </si>
  <si>
    <t>business and retail</t>
  </si>
  <si>
    <t>Toth</t>
  </si>
  <si>
    <t>did not run for reelection in 2014</t>
  </si>
  <si>
    <t>512-463-0797</t>
  </si>
  <si>
    <t>Montgomery (part)</t>
  </si>
  <si>
    <t>Business owner</t>
  </si>
  <si>
    <t>Civil Justice Subcommittee</t>
  </si>
  <si>
    <t>Cochran</t>
  </si>
  <si>
    <t>Consumer Subcommittee</t>
  </si>
  <si>
    <t>Metcalf</t>
  </si>
  <si>
    <t>Capital # 512-463-0726, District # 936-539-0068</t>
  </si>
  <si>
    <t>Montogmery (part)</t>
  </si>
  <si>
    <t>Bank executive</t>
  </si>
  <si>
    <t>Mental Health &amp; Substance Abuse Subcommittee</t>
  </si>
  <si>
    <t>Cyrier</t>
  </si>
  <si>
    <t>Juvenile Justice and Family Issues-mem, Culture, Recreation and Tourism-chair</t>
  </si>
  <si>
    <t>jointly authored and helped pass a law regarding sex trafficking</t>
  </si>
  <si>
    <t>512-463-0682</t>
  </si>
  <si>
    <t>Caucus Chairman</t>
  </si>
  <si>
    <t xml:space="preserve">Bastrop,Caldwell,GonzalezKarnes, Lee </t>
  </si>
  <si>
    <t xml:space="preserve">commerical general contracting </t>
  </si>
  <si>
    <t>Government Operations Committee</t>
  </si>
  <si>
    <t>Ernest</t>
  </si>
  <si>
    <t>Bailes</t>
  </si>
  <si>
    <t>512-463-0570</t>
  </si>
  <si>
    <t>Patsy</t>
  </si>
  <si>
    <t>Liberty, San Jacinto, Walker</t>
  </si>
  <si>
    <t>business owner, rancher</t>
  </si>
  <si>
    <t>Hazlewood</t>
  </si>
  <si>
    <t>Yusuf</t>
  </si>
  <si>
    <t>Judiciary and Civil Jurisprudence-mem, Corrections-chair, Redistricting-mem</t>
  </si>
  <si>
    <t xml:space="preserve"> "sponsored Senate Bill (SB) 183 which imposed a criminal penalty on those who were charged of improper sexual conduct with juveniles in custody"</t>
  </si>
  <si>
    <t>Capital # 512-463-0490, 409-283-3700</t>
  </si>
  <si>
    <t xml:space="preserve">Hardin, Jasper, Newton, Polk, Tyler </t>
  </si>
  <si>
    <t>Civil Justice Subcommittee (Chair)</t>
  </si>
  <si>
    <t>Esther</t>
  </si>
  <si>
    <t>Helton</t>
  </si>
  <si>
    <t>512-463-0309</t>
  </si>
  <si>
    <t>Burnet, Milam, Williamson (part)</t>
  </si>
  <si>
    <t>U.S. Army (Department of Defense Acquisition Executive)</t>
  </si>
  <si>
    <t>Dade</t>
  </si>
  <si>
    <t>Phelan</t>
  </si>
  <si>
    <t>Capital # 512-463-0706. District # 409-745-2777</t>
  </si>
  <si>
    <t>Jefferson (part), orange</t>
  </si>
  <si>
    <t>real estate developer/ broker</t>
  </si>
  <si>
    <t>Deshotel</t>
  </si>
  <si>
    <t>Capital # 512-463-0662, District # 409-724-0788</t>
  </si>
  <si>
    <t xml:space="preserve">Jefferson (part) </t>
  </si>
  <si>
    <t>attorney and businessman</t>
  </si>
  <si>
    <t>Middleton</t>
  </si>
  <si>
    <t>512-463-0502</t>
  </si>
  <si>
    <t>Chambers, Galveston (part)</t>
  </si>
  <si>
    <t>Business executive (oil and ranching)</t>
  </si>
  <si>
    <t>Calfee</t>
  </si>
  <si>
    <t>435-465-8887</t>
  </si>
  <si>
    <t>Bonnen</t>
  </si>
  <si>
    <t>Appropriations-mem, Insurance-mem</t>
  </si>
  <si>
    <t>"serves on the board and is the president of the Medical Strategic Network.", Older brother of Dennis Bonnen (Rep District 25 and House Speaker)</t>
  </si>
  <si>
    <t xml:space="preserve">Galveston (part) </t>
  </si>
  <si>
    <t xml:space="preserve">practicing physician, Bonnen and his partners founded Houston Physician's Hospital (serves on board), </t>
  </si>
  <si>
    <t>Rudd</t>
  </si>
  <si>
    <t>Younger brother of Greg Bonnen (Rep District 24)</t>
  </si>
  <si>
    <t>Capital # 512-463-1000 District # 979-848-1770</t>
  </si>
  <si>
    <t>Brazoria (part), Matagorda</t>
  </si>
  <si>
    <t>Appropriations-mem, Human Services-mem, Resolutions Calenders-Vice Chair</t>
  </si>
  <si>
    <t>Authored bill HB 531, "
Relating to the retention by hospitals and physicians of medical records of a sexual assault victim." Filed 12/14/18</t>
  </si>
  <si>
    <t>512-463-0710</t>
  </si>
  <si>
    <t>Fort Bend (part)</t>
  </si>
  <si>
    <t>U.S. Navy, consultant, and businessman</t>
  </si>
  <si>
    <t>Powers</t>
  </si>
  <si>
    <t>Life &amp; Health Insurance Subcommittee</t>
  </si>
  <si>
    <t>Capital # 512-463-0494, District # 281-208-3574</t>
  </si>
  <si>
    <t>attorney</t>
  </si>
  <si>
    <t>Revenue &amp; Taxation</t>
  </si>
  <si>
    <t>385-250-6738</t>
  </si>
  <si>
    <t>Insurance Committee</t>
  </si>
  <si>
    <t>Baum</t>
  </si>
  <si>
    <t>M. Zerwas</t>
  </si>
  <si>
    <t>Appropriations-chair</t>
  </si>
  <si>
    <t xml:space="preserve"> Dropped out of running for texas house speaker in 2018</t>
  </si>
  <si>
    <t>512-463-0657, 888-827-1560 (toll free?)</t>
  </si>
  <si>
    <t xml:space="preserve"> https://house.texas.gov/members/member-page/email/?district=28&amp;session=86
</t>
  </si>
  <si>
    <t>Potter</t>
  </si>
  <si>
    <t>Law Enforcement &amp; Criminal Justice</t>
  </si>
  <si>
    <t>435-770-7051</t>
  </si>
  <si>
    <t>part of Fort Bend County Area</t>
  </si>
  <si>
    <t xml:space="preserve">Physician </t>
  </si>
  <si>
    <t>435-890-3383</t>
  </si>
  <si>
    <t>Snider</t>
  </si>
  <si>
    <t>House Business and Labor Committee</t>
  </si>
  <si>
    <t>House Law Enforcement and Criminal Justice Committee</t>
  </si>
  <si>
    <t>House Rules Committee</t>
  </si>
  <si>
    <t>Natural Resources, Agriculture, and Environmental Quality Appropriations Subcommittee</t>
  </si>
  <si>
    <t>Keisling</t>
  </si>
  <si>
    <t>Capital # 512-463-0707, District 281-485-6565</t>
  </si>
  <si>
    <t>Maloy</t>
  </si>
  <si>
    <t>Rudder</t>
  </si>
  <si>
    <t>Business &amp; Labor (Vice Chair)</t>
  </si>
  <si>
    <t>Economic Development &amp; Workforce Services</t>
  </si>
  <si>
    <t>801-477-0019</t>
  </si>
  <si>
    <t>Brazoria (part)</t>
  </si>
  <si>
    <t>Businessman</t>
  </si>
  <si>
    <t>Andersen</t>
  </si>
  <si>
    <t>385-239-1523</t>
  </si>
  <si>
    <t>Government Operations Committee (Vice-Chair)</t>
  </si>
  <si>
    <t>Waldrip</t>
  </si>
  <si>
    <t>801-389-9329</t>
  </si>
  <si>
    <t>Geanie</t>
  </si>
  <si>
    <t>Musselman</t>
  </si>
  <si>
    <t>Business &amp; Labor</t>
  </si>
  <si>
    <t>801-941-6188</t>
  </si>
  <si>
    <t>Capital # 512-463-0456, District # 361-572-0196</t>
  </si>
  <si>
    <t>LaWanna</t>
  </si>
  <si>
    <t>Shurtliff</t>
  </si>
  <si>
    <t xml:space="preserve">Aransas, Calhoun, De Witt, Goliad, Refugio, Victoria, </t>
  </si>
  <si>
    <t>served Governor's staff as the Executive Director of the Governor's Commission for Women</t>
  </si>
  <si>
    <t>(801) 538-1029</t>
  </si>
  <si>
    <t xml:space="preserve">filled all bills </t>
  </si>
  <si>
    <t>(615) 741-2192</t>
  </si>
  <si>
    <t>Windle</t>
  </si>
  <si>
    <t>801-458-8270</t>
  </si>
  <si>
    <t>Guillen</t>
  </si>
  <si>
    <t>"known for passing more legislation than any other State Representative in the last decade"</t>
  </si>
  <si>
    <t>Capital # 512-463-0416, Western District # 361-701-9976 (cell)</t>
  </si>
  <si>
    <t>Atascosa, Brooks, Duval, Jim Hogg, Kenedy, La Salle, Live Oak, McMullen, Starr, Willacy</t>
  </si>
  <si>
    <t>businessman, investor, rancher</t>
  </si>
  <si>
    <t xml:space="preserve">He hasnt actually been a state rep for thirty years, ran on and off </t>
  </si>
  <si>
    <t>Capital # 512-463-0672, District # 361-949-4603</t>
  </si>
  <si>
    <t>801-859-7713</t>
  </si>
  <si>
    <t xml:space="preserve">Nueces (part) </t>
  </si>
  <si>
    <t>Sherrell</t>
  </si>
  <si>
    <t>801-725-2719</t>
  </si>
  <si>
    <t>Capital # 512-463-0484, District # 972-722-7521</t>
  </si>
  <si>
    <t>Collin (part), Rockwall</t>
  </si>
  <si>
    <t>real estate business</t>
  </si>
  <si>
    <t>Karianne</t>
  </si>
  <si>
    <t>Abel</t>
  </si>
  <si>
    <t>Lisonbee</t>
  </si>
  <si>
    <t>801-589-2934</t>
  </si>
  <si>
    <t>Herrero</t>
  </si>
  <si>
    <t>Capital # 512-463-0462, Toll Free # 855-850-0271, District # 361-884-2277</t>
  </si>
  <si>
    <t>Nueces (part)</t>
  </si>
  <si>
    <t>Lamberth</t>
  </si>
  <si>
    <t>Longoria</t>
  </si>
  <si>
    <t>Appropriations-vice chair, Calenders-mem, Pensions, Investments, and Financial Services-mem</t>
  </si>
  <si>
    <t>Capital # 512-463-0645, District # 956-580-6944, 956-797-210</t>
  </si>
  <si>
    <t>Cameron (part), Hidalgo (part)</t>
  </si>
  <si>
    <t>801-979-8711</t>
  </si>
  <si>
    <t>Criminal Justice Subcommittee</t>
  </si>
  <si>
    <t>Barlow</t>
  </si>
  <si>
    <t>801-289-6699</t>
  </si>
  <si>
    <t>Sergio</t>
  </si>
  <si>
    <t>Judiciary (vice-chair)</t>
  </si>
  <si>
    <t>Muñoz Jr.</t>
  </si>
  <si>
    <t>Appropriations-mem, Land and Resource Management- vice chair</t>
  </si>
  <si>
    <t>Sergio Munoz Sr. is a former District 36 Rep as well</t>
  </si>
  <si>
    <t>Capital # 512-463-0704, District # 956-584-8999</t>
  </si>
  <si>
    <t>Hidalgo (part)</t>
  </si>
  <si>
    <t>criminal attorney</t>
  </si>
  <si>
    <t>Dominguez</t>
  </si>
  <si>
    <t>512-463-0640</t>
  </si>
  <si>
    <t>Hawkes</t>
  </si>
  <si>
    <t>801-928-9008</t>
  </si>
  <si>
    <t>Cameron (part)</t>
  </si>
  <si>
    <t>Employee Affairs Subcommittee</t>
  </si>
  <si>
    <t>801-440-8765</t>
  </si>
  <si>
    <t>Bricken</t>
  </si>
  <si>
    <t>Garff</t>
  </si>
  <si>
    <t>Lucio III</t>
  </si>
  <si>
    <t>Public Health-mem, Insurance-chair</t>
  </si>
  <si>
    <t>Capital # 512-463-0606, District # 956-542-2800</t>
  </si>
  <si>
    <t>385-226-2485</t>
  </si>
  <si>
    <t>Sagers</t>
  </si>
  <si>
    <t>435-830-3485</t>
  </si>
  <si>
    <t>Armando</t>
  </si>
  <si>
    <t>801-250-0728</t>
  </si>
  <si>
    <t>Capital # 512-463-0530, District # 956-447-9473</t>
  </si>
  <si>
    <t xml:space="preserve">Hidalgo (part) </t>
  </si>
  <si>
    <t>firefighter and paramedic</t>
  </si>
  <si>
    <t>Health Committee (chair)</t>
  </si>
  <si>
    <t>Hollins</t>
  </si>
  <si>
    <t>801-363-4257</t>
  </si>
  <si>
    <t>Dailey-Provost</t>
  </si>
  <si>
    <t>Government Operations</t>
  </si>
  <si>
    <t>385-321-7827</t>
  </si>
  <si>
    <t>Briscoe</t>
  </si>
  <si>
    <t>801-946-9791</t>
  </si>
  <si>
    <t>Canales</t>
  </si>
  <si>
    <t>Capital # 512-463-0426, District # 956-383-0860</t>
  </si>
  <si>
    <t>801-722-4972</t>
  </si>
  <si>
    <t>Brammer</t>
  </si>
  <si>
    <t>801-839-4653</t>
  </si>
  <si>
    <t>Consumer Subcommittee (chair)</t>
  </si>
  <si>
    <t>Bo</t>
  </si>
  <si>
    <t>801-560-0769</t>
  </si>
  <si>
    <t>Public Health-mem, State Affairs-mem</t>
  </si>
  <si>
    <t>Capital # 512-463-0578, District # Line 1: 956-292-0407, Line 2: 956-292-0313</t>
  </si>
  <si>
    <t>Hildalgo (part)</t>
  </si>
  <si>
    <t>Law Enforcement &amp; Criminal Justice (Chair)</t>
  </si>
  <si>
    <t>435-225-0430</t>
  </si>
  <si>
    <t>Economic Development &amp; Workforce Services (Chair)</t>
  </si>
  <si>
    <t>801-633-1300</t>
  </si>
  <si>
    <t>Capital 512-463-0558, District # 956-753-7722</t>
  </si>
  <si>
    <t xml:space="preserve">Webb (part) </t>
  </si>
  <si>
    <t>businessman and consultant</t>
  </si>
  <si>
    <t>Weight</t>
  </si>
  <si>
    <t>385-272-1413</t>
  </si>
  <si>
    <t>Harrison</t>
  </si>
  <si>
    <t>801-999-8047</t>
  </si>
  <si>
    <t>M. Lozano</t>
  </si>
  <si>
    <t>Capital # 512-463-0463, District # 361-643-0063</t>
  </si>
  <si>
    <t xml:space="preserve">Bee, Jim Wells, Kleberg, San Patricio </t>
  </si>
  <si>
    <t>businessman (restaurant)</t>
  </si>
  <si>
    <t>801-573-1774</t>
  </si>
  <si>
    <t>chall@le.utah.gov</t>
  </si>
  <si>
    <t>Kuempel</t>
  </si>
  <si>
    <t>Capital # 512-463-0602, District # 830-379-8732</t>
  </si>
  <si>
    <t>Guadalupe, Wilson</t>
  </si>
  <si>
    <t>Salesman</t>
  </si>
  <si>
    <t>Kwan</t>
  </si>
  <si>
    <t>Minority Caucus Manager</t>
  </si>
  <si>
    <t>385-249-0683</t>
  </si>
  <si>
    <t>615-741-6861</t>
  </si>
  <si>
    <t>Dixie</t>
  </si>
  <si>
    <t>Zwiener</t>
  </si>
  <si>
    <t>512-463-0647</t>
  </si>
  <si>
    <t>Blanco, Hays</t>
  </si>
  <si>
    <t>Author, educator, conservationist</t>
  </si>
  <si>
    <t>512-463-0506</t>
  </si>
  <si>
    <t xml:space="preserve">Travis (part) </t>
  </si>
  <si>
    <t>Attorney and Austin city counsel</t>
  </si>
  <si>
    <t>801-556-4862</t>
  </si>
  <si>
    <t>Agriculture and Natural Resources Committee</t>
  </si>
  <si>
    <t>Patrice</t>
  </si>
  <si>
    <t>Vikki</t>
  </si>
  <si>
    <t>Homeland Security and Public Safety-mem, Urban Affairs-mem</t>
  </si>
  <si>
    <t>512-463-0652</t>
  </si>
  <si>
    <t>business owner, systems analyst for the Office of the Attorney General of Texas</t>
  </si>
  <si>
    <t>Arent</t>
  </si>
  <si>
    <t>801-889-7849</t>
  </si>
  <si>
    <t>Appropriations-mem, House Administration-vice chair, Higher Education-mem</t>
  </si>
  <si>
    <t>authored HB 311 "Relating to a sales and use tax exemption for certain feminine hygiene products." Filed 11/13/18</t>
  </si>
  <si>
    <t>512-463-0631</t>
  </si>
  <si>
    <t>critical care nursing</t>
  </si>
  <si>
    <t>801-647-8764</t>
  </si>
  <si>
    <t>Hutchings</t>
  </si>
  <si>
    <t>801-963-2639</t>
  </si>
  <si>
    <t xml:space="preserve">(615) 741-7462 </t>
  </si>
  <si>
    <t>Dunnigan</t>
  </si>
  <si>
    <t>Business &amp; Labor (Chair)</t>
  </si>
  <si>
    <t>801-840-1800</t>
  </si>
  <si>
    <t>Pitcher</t>
  </si>
  <si>
    <t>Hinojosa</t>
  </si>
  <si>
    <t>385-272-8032</t>
  </si>
  <si>
    <t>512-463-0668</t>
  </si>
  <si>
    <t>Strong</t>
  </si>
  <si>
    <t>385-275-5682</t>
  </si>
  <si>
    <t>Law Enforcement &amp; Criminal Justice (Vice Chair)</t>
  </si>
  <si>
    <t>801-865-8970</t>
  </si>
  <si>
    <t>Celia</t>
  </si>
  <si>
    <t>Acton</t>
  </si>
  <si>
    <t>Israel</t>
  </si>
  <si>
    <t>801-809-3571</t>
  </si>
  <si>
    <t>Children &amp; Families Subcommittee</t>
  </si>
  <si>
    <t>Homeland Security and Public Safety-mem, Elections-mem</t>
  </si>
  <si>
    <t>512-463-0821</t>
  </si>
  <si>
    <t>Stoddard</t>
  </si>
  <si>
    <t>realtor</t>
  </si>
  <si>
    <t>385-256-3281</t>
  </si>
  <si>
    <t>Eliason</t>
  </si>
  <si>
    <t>801-673-4748</t>
  </si>
  <si>
    <t>Jernigan</t>
  </si>
  <si>
    <t>Poulson</t>
  </si>
  <si>
    <t>801-942-5390</t>
  </si>
  <si>
    <t>512-463-0674</t>
  </si>
  <si>
    <t xml:space="preserve">business development consultant </t>
  </si>
  <si>
    <t>Ogles</t>
  </si>
  <si>
    <t>801-694-8380</t>
  </si>
  <si>
    <t>Talarico</t>
  </si>
  <si>
    <t>512-463-0670</t>
  </si>
  <si>
    <t>Keven</t>
  </si>
  <si>
    <t>Williamson (part)</t>
  </si>
  <si>
    <t>Former teacher</t>
  </si>
  <si>
    <t>Stratton</t>
  </si>
  <si>
    <t>Natural Resources, Agriculture &amp; Environment (Chair)</t>
  </si>
  <si>
    <t>801-836-6010</t>
  </si>
  <si>
    <t>Spendlove</t>
  </si>
  <si>
    <t>Revenue &amp; Taxation (Chair)</t>
  </si>
  <si>
    <t>801-560-5394</t>
  </si>
  <si>
    <t>Murr</t>
  </si>
  <si>
    <t>authored HB 324, "Relating to the prosecution of the criminal offense of improper relationship between educator and student." Filed 11/13/18</t>
  </si>
  <si>
    <t>Capital # 512-463-0536, District # 830-257-0432</t>
  </si>
  <si>
    <t xml:space="preserve">Bandera, Crockett, Edwards, Kerr, Kimble, Llano, Mason, Medina, Menard, Real, Schleicher, Sutton </t>
  </si>
  <si>
    <t>attorney and former county judge</t>
  </si>
  <si>
    <t>Joint Fiscal Review Committee</t>
  </si>
  <si>
    <t>Pulsipher</t>
  </si>
  <si>
    <t>Buckley</t>
  </si>
  <si>
    <t>Appropriations-mem, Local and Consent Calenders-mem</t>
  </si>
  <si>
    <t>512-463-0684</t>
  </si>
  <si>
    <t>385-242-6397</t>
  </si>
  <si>
    <t>Lampasas, Bell (part)</t>
  </si>
  <si>
    <t>Veterinarian</t>
  </si>
  <si>
    <t>limit on bills</t>
  </si>
  <si>
    <t>Stenquist</t>
  </si>
  <si>
    <t>385-272-9437</t>
  </si>
  <si>
    <t>Knotwell</t>
  </si>
  <si>
    <t>801-449-1834</t>
  </si>
  <si>
    <t>Casada</t>
  </si>
  <si>
    <t>Shine</t>
  </si>
  <si>
    <t>Capital # 512-463-0630, District # 254-742-7616</t>
  </si>
  <si>
    <t xml:space="preserve">Bell (part) </t>
  </si>
  <si>
    <t>financial advisor</t>
  </si>
  <si>
    <t>Natural Resources, Agriculture &amp; Environment (Vice Chair)</t>
  </si>
  <si>
    <t>385-290-7769</t>
  </si>
  <si>
    <t>Cepicky</t>
  </si>
  <si>
    <t>Property &amp; Casualty Subcommittee</t>
  </si>
  <si>
    <t>Revenue &amp; Taxation (Vice Chair)</t>
  </si>
  <si>
    <t>435-709-2854</t>
  </si>
  <si>
    <t>Capital # 512-463-0135, District # 254-754-3892</t>
  </si>
  <si>
    <t>McLennan</t>
  </si>
  <si>
    <t>Whitson</t>
  </si>
  <si>
    <t>435-630-0221</t>
  </si>
  <si>
    <t>Sabi</t>
  </si>
  <si>
    <t>Christofferson</t>
  </si>
  <si>
    <t>801-592-5709</t>
  </si>
  <si>
    <t>801-368-2534</t>
  </si>
  <si>
    <t>DocKumar</t>
  </si>
  <si>
    <t>Derrin</t>
  </si>
  <si>
    <t xml:space="preserve">Capital # 512-463-0508, District # </t>
  </si>
  <si>
    <t xml:space="preserve">Angelina, Houston, Leon, Madison, San Augustine, Trinity </t>
  </si>
  <si>
    <t>insurance executive</t>
  </si>
  <si>
    <t>Economic Development &amp; Workforce Services (Vice Chair)</t>
  </si>
  <si>
    <t>435-851-1284</t>
  </si>
  <si>
    <t>DeWayne</t>
  </si>
  <si>
    <t>801-224-4473</t>
  </si>
  <si>
    <t>House Education Administration Subcommittee</t>
  </si>
  <si>
    <t>Homeland Security and Public Safety-mem, Agriculture and Livestock-mem, Resolutions Calenders-mem</t>
  </si>
  <si>
    <t>Capital # 512-463-0538, District # 817-645-3685</t>
  </si>
  <si>
    <t>Bosque, Johnson</t>
  </si>
  <si>
    <t>Property/ business investment manager</t>
  </si>
  <si>
    <t>615-741-2043</t>
  </si>
  <si>
    <t>Daw</t>
  </si>
  <si>
    <t>801-850-3608</t>
  </si>
  <si>
    <t>Grover</t>
  </si>
  <si>
    <t>J.D.</t>
  </si>
  <si>
    <t>Sheffield</t>
  </si>
  <si>
    <t xml:space="preserve">Appropriations-mem, Public Health </t>
  </si>
  <si>
    <t>512-463-0628</t>
  </si>
  <si>
    <t>Erath, Comanche, McCulloch, Mills, Hamilton, Coryell, San Saba, Somervell</t>
  </si>
  <si>
    <t>family physician</t>
  </si>
  <si>
    <t>Norm</t>
  </si>
  <si>
    <t>Curcio</t>
  </si>
  <si>
    <t>Doggett</t>
  </si>
  <si>
    <t>801-477-5348</t>
  </si>
  <si>
    <t>Homeland Security and Public Safety-mem, Natural Resources-mem</t>
  </si>
  <si>
    <t>Capital # 512-463-0656, District # 254-631-0528</t>
  </si>
  <si>
    <t>Brown, Callahan, Coleman, Eastland, Shackelford, Stephens, Palo Pinto, Hood</t>
  </si>
  <si>
    <t>law enforcement officer and past constable</t>
  </si>
  <si>
    <t>801-491-3763</t>
  </si>
  <si>
    <t>Capital # 512-463-0738, District # 817-596-4796</t>
  </si>
  <si>
    <t>Parker, Wise</t>
  </si>
  <si>
    <t>attorney and business owner</t>
  </si>
  <si>
    <t>McKell</t>
  </si>
  <si>
    <t>801-210-1495</t>
  </si>
  <si>
    <t>Appropriations-mem, Judiciary and Civil Jurisprudence-mem</t>
  </si>
  <si>
    <t>512-463-0297</t>
  </si>
  <si>
    <t>Delta, Fannin, Grayson</t>
  </si>
  <si>
    <t xml:space="preserve">attorney and owner of law firm </t>
  </si>
  <si>
    <t>801-210-0155</t>
  </si>
  <si>
    <t>Tan</t>
  </si>
  <si>
    <t>Political Subdivisions (Vice Chair)</t>
  </si>
  <si>
    <t>801-971-2172</t>
  </si>
  <si>
    <t>Haston</t>
  </si>
  <si>
    <t>main issues include human trafficking crackdown and children's civil rights.</t>
  </si>
  <si>
    <t>Capital # 512-463-0688, District # 972-724-8477</t>
  </si>
  <si>
    <t xml:space="preserve">Denton (part) </t>
  </si>
  <si>
    <t>435-650-1969</t>
  </si>
  <si>
    <t>Public Utilities &amp; Technology (Chair)</t>
  </si>
  <si>
    <t>435-979-6578</t>
  </si>
  <si>
    <t>Stucky</t>
  </si>
  <si>
    <t>Appropriations-mem, Higher Education-Vice chair, Resolutions Calenders-mem</t>
  </si>
  <si>
    <t>Capital # 512-463-0582, District # 940-243-0230</t>
  </si>
  <si>
    <t>Beckley</t>
  </si>
  <si>
    <t>512-463-0478</t>
  </si>
  <si>
    <t>Last</t>
  </si>
  <si>
    <t>Business Owner</t>
  </si>
  <si>
    <t>435-817-0064</t>
  </si>
  <si>
    <t>Shipp</t>
  </si>
  <si>
    <t>Government Operations (Vice Chair)</t>
  </si>
  <si>
    <t>435-459-2800</t>
  </si>
  <si>
    <t>VLowry</t>
  </si>
  <si>
    <t>Snow</t>
  </si>
  <si>
    <t>435-703-3688</t>
  </si>
  <si>
    <t>Shaheen</t>
  </si>
  <si>
    <t>Capital # 512-463-0594, District # 469-642-8708</t>
  </si>
  <si>
    <t>Collin (part)</t>
  </si>
  <si>
    <t>technology executive</t>
  </si>
  <si>
    <t>Griffey</t>
  </si>
  <si>
    <t>Judiciary and Civil Jurisprudence-chair, Pensions, Investmments, and Financial Services-mem, Redistricting-mem</t>
  </si>
  <si>
    <t>Capital # 512-463-0544, District # 972-424-1419</t>
  </si>
  <si>
    <t>Public Utilities &amp; Technology (Vice Chair)</t>
  </si>
  <si>
    <t>435-817-3530</t>
  </si>
  <si>
    <t>Springer Jr.</t>
  </si>
  <si>
    <t>Capital # 542-463-0526, District # 940-580-1770</t>
  </si>
  <si>
    <t xml:space="preserve">Childress, Collingsworth, Cooke, Cottle, Crosby, Dickens, Fisher, Floyd, Garza, Hall, Hardeman, Haskell, Jack, Kent, King, Montague, Motley, Stonewall, Throckmorton, Wheeler, Wilbarger, Young </t>
  </si>
  <si>
    <t>financial service business</t>
  </si>
  <si>
    <t>Escamilla</t>
  </si>
  <si>
    <t>Human Services-chair, Public Health-mem</t>
  </si>
  <si>
    <t>Capital # 512-463-0534, District # 940-767-1700</t>
  </si>
  <si>
    <t xml:space="preserve">Archer, Baylor. Clay, Foard, Knox, Wichita </t>
  </si>
  <si>
    <t>business owner of manufacturing companies</t>
  </si>
  <si>
    <t>Capital # 512-463-0356, District # 972-548-7500</t>
  </si>
  <si>
    <t>Halford</t>
  </si>
  <si>
    <t>Capital # 512-463-0718, District # 325-670-9310</t>
  </si>
  <si>
    <t>Jones, Nolan, Taylor</t>
  </si>
  <si>
    <t>Kitchen</t>
  </si>
  <si>
    <t>(801) 674 - 6141</t>
  </si>
  <si>
    <t>House Curriculum, Testing, &amp; Innovation Subcommittee (chair)</t>
  </si>
  <si>
    <t xml:space="preserve">(615) 741-3774 </t>
  </si>
  <si>
    <t>Darby</t>
  </si>
  <si>
    <t>Capital # 512-463-0331, District # 325-658-7313</t>
  </si>
  <si>
    <t>Hurt</t>
  </si>
  <si>
    <t xml:space="preserve">Coke, Concho, Glasscock, Howard, Irion, Reagan, Runnels, Sterling, Tom Green </t>
  </si>
  <si>
    <t>attorney/business owner</t>
  </si>
  <si>
    <t>Business Subcommittee</t>
  </si>
  <si>
    <t>(801) 484-9428</t>
  </si>
  <si>
    <t>Jani</t>
  </si>
  <si>
    <t>Biedermann</t>
  </si>
  <si>
    <t xml:space="preserve">512-463-0325 </t>
  </si>
  <si>
    <t>Gillespie, Kendall, Comal</t>
  </si>
  <si>
    <t>business owner</t>
  </si>
  <si>
    <t>Iwamoto</t>
  </si>
  <si>
    <t>Towns</t>
  </si>
  <si>
    <t>Poncho</t>
  </si>
  <si>
    <t>Nevárez</t>
  </si>
  <si>
    <t>Homeland Security and Public Safety-Chair, Natural Resources-mem</t>
  </si>
  <si>
    <t>512-463-0566</t>
  </si>
  <si>
    <t>Mayne</t>
  </si>
  <si>
    <t xml:space="preserve">Brewster, Culberson, Hudspeth, Jeff Davis, Kinney, Loving, Maverick, Pecos, Presidio, Reeves, Terrell, Val Verde </t>
  </si>
  <si>
    <t>González</t>
  </si>
  <si>
    <t>Appropriations-mem, Local and Consent Calenders-mem, Public Education-mem</t>
  </si>
  <si>
    <t>Authored and Filed a few bills Nov 2018 relating to sexual abuse, sexual harrasment, and indecency (particularly involving children) including, HB 85 "Relating to the prosecution of the offense of indecency with a child", HB 98 "Relating to civil and criminal liability for the unlawful disclosure of intimate visual material.", HB 111 "Relating to training for employees of school districts and open-enrollment charter schools on the prevention of sexual abuse, sex trafficking, and other maltreatment of certain children.", and HB 572 "Relating to eligibility for unemployment compensation for employees who leave the workplace due to sexual harassment."</t>
  </si>
  <si>
    <t>Capital # 512-463-0613, District # 915-851-6632</t>
  </si>
  <si>
    <t>El Paso (part)</t>
  </si>
  <si>
    <t>National Hispanic Institute, the University of Texas at Austin, and as the Assistant Dean for Student Multicultural Affairs at Southwestern University.Currently serves as Co-Chair of the Board of Directors for Allgo, Texas' state-wide Queer People of Color organization.</t>
  </si>
  <si>
    <t>Deidre</t>
  </si>
  <si>
    <t>Blanco</t>
  </si>
  <si>
    <t>was " Arizona State Director for President Obama's 2012 Reelection Campaign and has also served as the Chief of Staff for several U.S. Congressman in Washington D.C. "</t>
  </si>
  <si>
    <t>Capital # 512-463-0622, District # 915-599-9807</t>
  </si>
  <si>
    <t>Vice President of the Latino Development Program, an honorary board member of the Medical Center of the Americas Foundation in El Paso</t>
  </si>
  <si>
    <t>Riebe</t>
  </si>
  <si>
    <t>Evelina</t>
  </si>
  <si>
    <t>Cullimore</t>
  </si>
  <si>
    <t>Camper</t>
  </si>
  <si>
    <t>Public Health-mem, House Administration-mem, Transportation-mem</t>
  </si>
  <si>
    <t>Capital # 512-463-0638, District # 915-351-4031</t>
  </si>
  <si>
    <t>Attorney</t>
  </si>
  <si>
    <t>McCay</t>
  </si>
  <si>
    <t>Capital # 512-463-0728, District # 915-751-2700</t>
  </si>
  <si>
    <t>stepped down Jan 4 due to health issues, relection jan 29, early voting jan 14</t>
  </si>
  <si>
    <t>512-463-0596</t>
  </si>
  <si>
    <t>Anderegg</t>
  </si>
  <si>
    <t>Hemmert</t>
  </si>
  <si>
    <t>DeBerry</t>
  </si>
  <si>
    <t>Minority Leader Pro Tempore</t>
  </si>
  <si>
    <t>512-463-0194</t>
  </si>
  <si>
    <t xml:space="preserve">Dimmit, Frio, Uvalde, Webb (part) Zapata, Zavala </t>
  </si>
  <si>
    <t>heath business/ business owner</t>
  </si>
  <si>
    <t xml:space="preserve">(615) 741-2239 </t>
  </si>
  <si>
    <t>Dayton</t>
  </si>
  <si>
    <t>London</t>
  </si>
  <si>
    <t>Bramble</t>
  </si>
  <si>
    <t>Capital # 512-463-0546, District #432-332-0937</t>
  </si>
  <si>
    <t xml:space="preserve">Andrews, Winkler, Ector, Ward </t>
  </si>
  <si>
    <t xml:space="preserve">Attorney </t>
  </si>
  <si>
    <t>Sandall</t>
  </si>
  <si>
    <t>Millner</t>
  </si>
  <si>
    <t>Craddick</t>
  </si>
  <si>
    <t>Dean of Texas House of Reps</t>
  </si>
  <si>
    <t>First Republican Speaker of the Texas House of Representatives, joined House when Texas house was all Democratic was first Republican chairman in 100 years. Longest Serving member</t>
  </si>
  <si>
    <t>Capital # 512-463-0500, District # 432-682-3000</t>
  </si>
  <si>
    <t xml:space="preserve">Crane, Upton, Midland, Martin, Dawson </t>
  </si>
  <si>
    <t>GA</t>
  </si>
  <si>
    <t>Hardaway</t>
  </si>
  <si>
    <t>Gant</t>
  </si>
  <si>
    <t>Burrows</t>
  </si>
  <si>
    <t>Capital # 512-463-0542, District # 806-795-0635</t>
  </si>
  <si>
    <t xml:space="preserve">Borden, Gaines, Lubbock (part) Lynn, Mitchell, Scurry, Terry </t>
  </si>
  <si>
    <t>Attorney (ligitation)</t>
  </si>
  <si>
    <t>Vaughan</t>
  </si>
  <si>
    <t>Buxton</t>
  </si>
  <si>
    <t>Frullo</t>
  </si>
  <si>
    <t>Representative Frullo is proud to have passed a bill into law each legislative session aimed at fighting the horrific crime of human trafficking. "</t>
  </si>
  <si>
    <t>Capital # 512-463-0676, District # 806-763-2366</t>
  </si>
  <si>
    <t>Lubbock (part)</t>
  </si>
  <si>
    <t>Weiler</t>
  </si>
  <si>
    <t>Capital # 512-463-0604, District # 281-232-7900 or 979-532-1157</t>
  </si>
  <si>
    <t>Fort Bend (part), Jackson, Wharton</t>
  </si>
  <si>
    <t>Parkinson</t>
  </si>
  <si>
    <t>Minority Caucus Vice Chair</t>
  </si>
  <si>
    <t>Leatherwood</t>
  </si>
  <si>
    <t>Okerlund</t>
  </si>
  <si>
    <t>T. Smithee</t>
  </si>
  <si>
    <t>Capital # 512-463-0702, District # 806-372-3327</t>
  </si>
  <si>
    <t xml:space="preserve">Dallam, Hartley, Oldham, Deaf Smith, Randall, Parmer </t>
  </si>
  <si>
    <t>Attorney and businessman</t>
  </si>
  <si>
    <t>Four</t>
  </si>
  <si>
    <t>Hillyard</t>
  </si>
  <si>
    <t>Southerland</t>
  </si>
  <si>
    <t>Public Health-mem, Calenders-chair, Natural Resources-mem, Redistricting-mem</t>
  </si>
  <si>
    <t>Capital # 512-463-0470, District # 806-374-8787</t>
  </si>
  <si>
    <t xml:space="preserve">Sherman, Moore, Potter, Carson, Hutchinson </t>
  </si>
  <si>
    <t>Law Firm manager</t>
  </si>
  <si>
    <t>Winterton</t>
  </si>
  <si>
    <t>Author of HB 667, 
"Relating to the prosecution of and punishment for the offense of sexual assault; enhancing a criminal penalty." Filed 1/07/19</t>
  </si>
  <si>
    <t>Capital # 512-463-0736, District # 806-323-8870</t>
  </si>
  <si>
    <t xml:space="preserve">Armstrong, Bailey, Briscoe, Castro, Cochran, Donley, Gray, Hale, Hansford, Hemphill, Hockley, Lamb, Lipscomb, Ochiltree, Roberts, Swisher, Yoakum </t>
  </si>
  <si>
    <t xml:space="preserve">business man (energy service) </t>
  </si>
  <si>
    <t>Hinkins</t>
  </si>
  <si>
    <t>General Investigating-mem, Human Services-mem, Ways and Means-mem</t>
  </si>
  <si>
    <t>512-463-0186</t>
  </si>
  <si>
    <t>volunteer and Hardin-Simmons Board of Development</t>
  </si>
  <si>
    <t>Swann</t>
  </si>
  <si>
    <t>Romero Jr.</t>
  </si>
  <si>
    <t>Capital # 512-463-0740, District # 817-924-6788</t>
  </si>
  <si>
    <t>Tarrant (part)</t>
  </si>
  <si>
    <t>Construction</t>
  </si>
  <si>
    <t>Vickers</t>
  </si>
  <si>
    <t>Klick</t>
  </si>
  <si>
    <t>Capital # 512-463-0599, District # 817-281-0079</t>
  </si>
  <si>
    <t>Lundberg</t>
  </si>
  <si>
    <t>real estate broker/business owner</t>
  </si>
  <si>
    <t>Ipson</t>
  </si>
  <si>
    <t>Herbert</t>
  </si>
  <si>
    <t>McNally</t>
  </si>
  <si>
    <t>801-538-1000</t>
  </si>
  <si>
    <t>202-225-0453</t>
  </si>
  <si>
    <t>Stickland</t>
  </si>
  <si>
    <t>Capital # 512-463-0522, District # 817-283-5300</t>
  </si>
  <si>
    <t>Oil and gas consultanting business</t>
  </si>
  <si>
    <t>(202) 225-7751</t>
  </si>
  <si>
    <t>McAdams</t>
  </si>
  <si>
    <t>(801) 906-8325</t>
  </si>
  <si>
    <t>202-224-5444</t>
  </si>
  <si>
    <t>Krause</t>
  </si>
  <si>
    <t>Judiciary and Civil Jurisprudence-mem, General Investigating-mem, Redistricting-mem, Transportation-mem</t>
  </si>
  <si>
    <t>Capital # 512-463-0562, District # 817-847-4900</t>
  </si>
  <si>
    <t>Mitt</t>
  </si>
  <si>
    <t>Romney</t>
  </si>
  <si>
    <t>(385) 233-5272</t>
  </si>
  <si>
    <t>Attorney, professor American history/gov, business developer</t>
  </si>
  <si>
    <t>Niceley</t>
  </si>
  <si>
    <t>Gardenhire</t>
  </si>
  <si>
    <t>Yager</t>
  </si>
  <si>
    <t>Tinderholt</t>
  </si>
  <si>
    <t>Homeland Security and Public Safety-mem, Defense and Veterans Affairs-vice chair</t>
  </si>
  <si>
    <t>Capital # 512-463-0624, District # 817-478-5000</t>
  </si>
  <si>
    <t>Educator, professor of Spanish and vice-president of education at Ancora Education</t>
  </si>
  <si>
    <t>615-741-6694</t>
  </si>
  <si>
    <t>Pody</t>
  </si>
  <si>
    <t>Ferrell</t>
  </si>
  <si>
    <t>Haile</t>
  </si>
  <si>
    <t>Gilmore</t>
  </si>
  <si>
    <t>615-741-2453</t>
  </si>
  <si>
    <t>david.solon@capitol.tn.gov</t>
  </si>
  <si>
    <t>(615) 741-6679</t>
  </si>
  <si>
    <t>Collier</t>
  </si>
  <si>
    <t>General Investigating-vice chair, Criminal Jurisprudence-chair, Business and Industry-mem</t>
  </si>
  <si>
    <t>Capital # 512-463-0716, District # 817-332-1180</t>
  </si>
  <si>
    <t>Yarbro</t>
  </si>
  <si>
    <t>Dolores</t>
  </si>
  <si>
    <t>Gresham</t>
  </si>
  <si>
    <t xml:space="preserve">introduced something? </t>
  </si>
  <si>
    <t>(615) 741-2368</t>
  </si>
  <si>
    <t>Zedler</t>
  </si>
  <si>
    <t>Public Health-mem, Criminal Jurisprudence-vice chair, Resolutions Calender</t>
  </si>
  <si>
    <t>Capital # 512-463-0374, District # 817-483-1885</t>
  </si>
  <si>
    <t>health care industry, army and public</t>
  </si>
  <si>
    <t>Goldman</t>
  </si>
  <si>
    <t>Raumesh</t>
  </si>
  <si>
    <t>Akbari</t>
  </si>
  <si>
    <t>Capital # 512-463-0608, District # 817-920-5912</t>
  </si>
  <si>
    <t>Minority Caucus Chairman</t>
  </si>
  <si>
    <t>real estate executive</t>
  </si>
  <si>
    <t>Giovanni</t>
  </si>
  <si>
    <t>Capriglione</t>
  </si>
  <si>
    <t>Appropriations-mem, Pensions, Investments, and Financial Services-mem</t>
  </si>
  <si>
    <t>Capital # 512-463-0690, District # 817-431-5339</t>
  </si>
  <si>
    <t>Kelsey</t>
  </si>
  <si>
    <t>Geren</t>
  </si>
  <si>
    <t>Capital # 512-463-0610, District # 817-738-8333</t>
  </si>
  <si>
    <t>business executive</t>
  </si>
  <si>
    <t>Burchett</t>
  </si>
  <si>
    <t>Fleischmenn</t>
  </si>
  <si>
    <t>DeJarlais</t>
  </si>
  <si>
    <t>Capital # 512-463-0586, District # 214-565-5663</t>
  </si>
  <si>
    <t>Dallas (part)</t>
  </si>
  <si>
    <t>attorney public law</t>
  </si>
  <si>
    <t>Kustoff</t>
  </si>
  <si>
    <t>Marsha</t>
  </si>
  <si>
    <t>Blackburn</t>
  </si>
  <si>
    <t>Slatery</t>
  </si>
  <si>
    <t>Capital # 512-463-0574, District # 817-459-2800</t>
  </si>
  <si>
    <t>business consultant</t>
  </si>
  <si>
    <t>Ana-Maria</t>
  </si>
  <si>
    <t>512-463-0554</t>
  </si>
  <si>
    <t xml:space="preserve">attorney and associate professor </t>
  </si>
  <si>
    <t>Rafael</t>
  </si>
  <si>
    <t>Anchia</t>
  </si>
  <si>
    <t>Capital # 512-463-0746, District # 214-943-6081</t>
  </si>
  <si>
    <t>512-463-0408</t>
  </si>
  <si>
    <t>Thresa</t>
  </si>
  <si>
    <t>512-463-0641</t>
  </si>
  <si>
    <t>business owner and executive</t>
  </si>
  <si>
    <t>512-463-0694</t>
  </si>
  <si>
    <t>Neave</t>
  </si>
  <si>
    <t>Judiciary and Civil Jurisprudence-mem, Corrections-mem</t>
  </si>
  <si>
    <t>1/3/19 filed a bill for the creation of the Texas Sexual Assault Evidentiary Council.</t>
  </si>
  <si>
    <t>972-288-9438</t>
  </si>
  <si>
    <t>Judiciary and Civil Jurisprudence-mem, General Investigating-chair, Public Education-mem</t>
  </si>
  <si>
    <t>512-463-0367</t>
  </si>
  <si>
    <t>Appropriations-mem, House Administration-mem, Corrections-mem</t>
  </si>
  <si>
    <t>512-463-0953</t>
  </si>
  <si>
    <t>city manager and former mayor</t>
  </si>
  <si>
    <t>Appropriations-mem, Calenders-mem, Human Services-mem, Redistricting-mem</t>
  </si>
  <si>
    <t>Capital # 512-463-0664, District # 214-371-3300</t>
  </si>
  <si>
    <t>criminal justice</t>
  </si>
  <si>
    <t>Judiciary and Civil Jurisprudence-mem, Transportation-mem</t>
  </si>
  <si>
    <t>Capital # 512-463-0598, District # 214-941-3895</t>
  </si>
  <si>
    <t>Button</t>
  </si>
  <si>
    <t>Capital # 512-463-0486, District # 972-234-8980</t>
  </si>
  <si>
    <t>marketing manager</t>
  </si>
  <si>
    <t>Rhetta</t>
  </si>
  <si>
    <t>512-463-0464</t>
  </si>
  <si>
    <t xml:space="preserve">educator </t>
  </si>
  <si>
    <t>512-463-0576</t>
  </si>
  <si>
    <t>Judiciary and Civil Jurisprudence-mem, Insurance-mem</t>
  </si>
  <si>
    <t>512-463-0468</t>
  </si>
  <si>
    <t>wasn't in house in 2017 legislative session and rejoined in 2019</t>
  </si>
  <si>
    <t>512-463-0616</t>
  </si>
  <si>
    <t>Bexar (part)</t>
  </si>
  <si>
    <t xml:space="preserve">Appropriations-mem, Elections-Vice chair, Resolutions Calenders </t>
  </si>
  <si>
    <t>Capital # 512-463-0269, District # 210-923-3638</t>
  </si>
  <si>
    <t>2012-2014, 2016</t>
  </si>
  <si>
    <t>U.S. Air Force</t>
  </si>
  <si>
    <t>Criminal Jurisprudence-mem, General Investigating-mem, Higher Education-mem</t>
  </si>
  <si>
    <t>512-463-0714</t>
  </si>
  <si>
    <t>human resource specialist (Palo Alto college)</t>
  </si>
  <si>
    <t>Gutierrez</t>
  </si>
  <si>
    <t>Capital # 512-463-0452, District # 210-532-2758</t>
  </si>
  <si>
    <t>Attorney (immigration law)</t>
  </si>
  <si>
    <t>Gervin-Hawkins</t>
  </si>
  <si>
    <t>Capital # 512-463-0708, District # 210-333-0245</t>
  </si>
  <si>
    <t>education and business</t>
  </si>
  <si>
    <t>Public Health-mem, Public Education-mem</t>
  </si>
  <si>
    <t>512-463-0686</t>
  </si>
  <si>
    <t>Capital # 512-463-0646, District # 210-402-5402</t>
  </si>
  <si>
    <t>Bernal</t>
  </si>
  <si>
    <t>Capital # 512-463-0532, District # 210-308-9700</t>
  </si>
  <si>
    <t xml:space="preserve">Executive Director of a breast cancer research and awareness nonprofit organization. </t>
  </si>
  <si>
    <t>Ina</t>
  </si>
  <si>
    <t>Minjarez</t>
  </si>
  <si>
    <t>Appropriations-mem, Land and Resource Management-mem, Redistricting</t>
  </si>
  <si>
    <t>Authored HB 152, "
Relating to the collection, storage, and analysis of sexual assault evidence and evidence of other sex offenses." Filed 11/12/18</t>
  </si>
  <si>
    <t>Capital # 512-463-0634, District # 210-673-3600</t>
  </si>
  <si>
    <t>Attorney (criminal and employee)</t>
  </si>
  <si>
    <t>Left to become Bexar County Commissioner</t>
  </si>
  <si>
    <t>512-463-0669</t>
  </si>
  <si>
    <t>E.</t>
  </si>
  <si>
    <t>Harless</t>
  </si>
  <si>
    <t>512-463-0496</t>
  </si>
  <si>
    <t>Harris (part)</t>
  </si>
  <si>
    <t>Huberty</t>
  </si>
  <si>
    <t>Capital # 512-463-0520, District # 281-360-9410</t>
  </si>
  <si>
    <t xml:space="preserve">business executive </t>
  </si>
  <si>
    <t>Capital # 512-463-0733, Distrct # 281-420-1588</t>
  </si>
  <si>
    <t>Homeland Security and Public Safety-Vice chair, Insurance-mem</t>
  </si>
  <si>
    <t>Capital #512-463-0734, District # 281-488-8900</t>
  </si>
  <si>
    <t>Business owner and engineer</t>
  </si>
  <si>
    <t>Oliverson</t>
  </si>
  <si>
    <t xml:space="preserve">Capital # 512-463-0661, District # </t>
  </si>
  <si>
    <t>anesthesiologist</t>
  </si>
  <si>
    <t>Capital # 512-463-0744, District # 713-776-0505</t>
  </si>
  <si>
    <t xml:space="preserve">School Administrator </t>
  </si>
  <si>
    <t>Calanni</t>
  </si>
  <si>
    <t>Homeland Security and Public Safety-mem, Juvenile Justice and Family Issues</t>
  </si>
  <si>
    <t>512-463-0528</t>
  </si>
  <si>
    <t>Author</t>
  </si>
  <si>
    <t>Was in office 2007-2009 and then 2011-now</t>
  </si>
  <si>
    <t>Capital # 512-463-0514, District # 713-465-8800</t>
  </si>
  <si>
    <t>Economic development consultant</t>
  </si>
  <si>
    <t>Capital # 512-463-0389, District # 713-664-7095</t>
  </si>
  <si>
    <t>E. Rosenthal</t>
  </si>
  <si>
    <t>512-463-0722</t>
  </si>
  <si>
    <t>oil industry (mechanical engineer)</t>
  </si>
  <si>
    <t>H. Bucy III</t>
  </si>
  <si>
    <t>512-463-0696</t>
  </si>
  <si>
    <t xml:space="preserve">Williamson </t>
  </si>
  <si>
    <t>Wu</t>
  </si>
  <si>
    <t>Appropriations-mem, Pensions, Investments, and Financial Investments</t>
  </si>
  <si>
    <t>Capital # 512-463-0492, District # 713-271-3900</t>
  </si>
  <si>
    <t>Attorney (family prosecutor)</t>
  </si>
  <si>
    <t>Bohac</t>
  </si>
  <si>
    <t>Capital # 512-463-0727, District # 713-460-2800</t>
  </si>
  <si>
    <t>Capital # 512-463-0554, District # 713-699-3043</t>
  </si>
  <si>
    <t>Walle</t>
  </si>
  <si>
    <t>Appropriations-mem, Higher Education, Local and Consent Calenders, Restricting</t>
  </si>
  <si>
    <t>Capital # 512-463-0924, District # 713-694-8620</t>
  </si>
  <si>
    <t>politics</t>
  </si>
  <si>
    <t>Senfronia</t>
  </si>
  <si>
    <t>Public Health-chair, Licensing and Administrative Procedures-mem, Redistricting-mem</t>
  </si>
  <si>
    <t>Capital # 512-463-0720, District # 713-633-3390</t>
  </si>
  <si>
    <t>Attorney and teacher</t>
  </si>
  <si>
    <t>Dutton Jr</t>
  </si>
  <si>
    <t>Capital # 512-463-0510, District # 713-692-9192</t>
  </si>
  <si>
    <t>Capital # 512-463-0614, District # 713-675-8596</t>
  </si>
  <si>
    <t>Dec 2005, Special election</t>
  </si>
  <si>
    <t>Addison-1</t>
  </si>
  <si>
    <t>Ann Perez</t>
  </si>
  <si>
    <t>Capital # 512-463-0460, District # 713-740-8153</t>
  </si>
  <si>
    <t>802-828-2228</t>
  </si>
  <si>
    <t>asheldon@leg.state.vt.us</t>
  </si>
  <si>
    <t>Scheu</t>
  </si>
  <si>
    <t>rscheu@leg.state.vt.us</t>
  </si>
  <si>
    <t>Addison-2</t>
  </si>
  <si>
    <t>Conlon</t>
  </si>
  <si>
    <t>pconlon@leg.state.vt.us</t>
  </si>
  <si>
    <t>Addison-3</t>
  </si>
  <si>
    <t>Lanpher</t>
  </si>
  <si>
    <t>Succeeded former Senator Sylvia Garcia. Special election Jan 29 and early voting jan 14 to fill seat</t>
  </si>
  <si>
    <t>512-463-0732</t>
  </si>
  <si>
    <t>Birong</t>
  </si>
  <si>
    <t>Kilgore</t>
  </si>
  <si>
    <t>Thierry</t>
  </si>
  <si>
    <t>Capital # 512-463-0518, District # 713-667-4146</t>
  </si>
  <si>
    <t>Garnet</t>
  </si>
  <si>
    <t>Addison-4</t>
  </si>
  <si>
    <t>Public Health-mem, County Affairs Chair</t>
  </si>
  <si>
    <t>Capital # 512-463-0524, District # 713-520-5355</t>
  </si>
  <si>
    <t>Courts of Justice</t>
  </si>
  <si>
    <t>Addison-5</t>
  </si>
  <si>
    <t>http://lis.virginia.gov/191/mbr/MBR.HTM</t>
  </si>
  <si>
    <t>804-698-1001</t>
  </si>
  <si>
    <t>Farrar</t>
  </si>
  <si>
    <t>Judiciary and Civil Jurisprudence-Vice Chair, Natural Resources-mem</t>
  </si>
  <si>
    <t>According to her Texas Rep bio has worked extensively on issues related to sexual assault and domestic violence</t>
  </si>
  <si>
    <t>Capital # 512-463-0620, District # 713-691-6912</t>
  </si>
  <si>
    <t>Addison-Rutland-1</t>
  </si>
  <si>
    <t>Bennington-1</t>
  </si>
  <si>
    <t>Brownell</t>
  </si>
  <si>
    <t>Hubert</t>
  </si>
  <si>
    <t>Bennington-2-1</t>
  </si>
  <si>
    <t>Corcoran</t>
  </si>
  <si>
    <t>Bennington-2-2</t>
  </si>
  <si>
    <t>Kiah</t>
  </si>
  <si>
    <t>Vo</t>
  </si>
  <si>
    <t>Capital # 512-463-0568, District # 281-988-0212</t>
  </si>
  <si>
    <t>Valoree</t>
  </si>
  <si>
    <t>Morrissey</t>
  </si>
  <si>
    <t>Bennington-3</t>
  </si>
  <si>
    <t>Bennington-4</t>
  </si>
  <si>
    <t>Capital # 512-463-0572, District # 281-257-4222</t>
  </si>
  <si>
    <t>real estate</t>
  </si>
  <si>
    <t>Bennington-Rutland-1</t>
  </si>
  <si>
    <t>Caledonia-1</t>
  </si>
  <si>
    <t>Martel</t>
  </si>
  <si>
    <t>Caledonia-2</t>
  </si>
  <si>
    <t>Troiano</t>
  </si>
  <si>
    <t>Caledonia-3</t>
  </si>
  <si>
    <t>CarrollFoy</t>
  </si>
  <si>
    <t>Caledonia-4</t>
  </si>
  <si>
    <t>Feltus</t>
  </si>
  <si>
    <t>Militia, Police, and Public Safety</t>
  </si>
  <si>
    <t>804-698-1002</t>
  </si>
  <si>
    <t>Caledonia-Washington-1</t>
  </si>
  <si>
    <t>Kitty</t>
  </si>
  <si>
    <t>Toll</t>
  </si>
  <si>
    <t>Chittenden-1</t>
  </si>
  <si>
    <t>Chittenden-2</t>
  </si>
  <si>
    <t>Macaig</t>
  </si>
  <si>
    <t>Chittenden-3</t>
  </si>
  <si>
    <t>Squirrell</t>
  </si>
  <si>
    <t>Senate Select Committee on Election Security-chair</t>
  </si>
  <si>
    <t xml:space="preserve"> State Affairs-Vice chair</t>
  </si>
  <si>
    <t>Administration-mem</t>
  </si>
  <si>
    <t>Criminal Justice-mem, Joint Committee on State Judicial Salaries-mem, Education-mem, Senate Select Committee on Cyber Security</t>
  </si>
  <si>
    <t xml:space="preserve"> represented District Five in the Texas House of Representatives for seven terms. </t>
  </si>
  <si>
    <t>512-463-0101</t>
  </si>
  <si>
    <t>Till</t>
  </si>
  <si>
    <t>Chittenden-4-1</t>
  </si>
  <si>
    <t>Yantachka</t>
  </si>
  <si>
    <t>Chittenden-4-2</t>
  </si>
  <si>
    <t>Morefield</t>
  </si>
  <si>
    <t>Agriculture, Chesapeake and Natural Resources</t>
  </si>
  <si>
    <t>Counties, Cities and Towns</t>
  </si>
  <si>
    <t>804-698-1003</t>
  </si>
  <si>
    <t>Bowie, Camp, Cass, Franklin, Gregg, Harrison, Lamar, Marion, Morris, Panola, Red River, Rusk, Smith, Titus, Upshur, Wood</t>
  </si>
  <si>
    <t>etc?</t>
  </si>
  <si>
    <t>Chittenden-5-1</t>
  </si>
  <si>
    <t>Chittenden-5-2</t>
  </si>
  <si>
    <t>Brumsted</t>
  </si>
  <si>
    <t>Chittenden-6-1</t>
  </si>
  <si>
    <t>Ode</t>
  </si>
  <si>
    <t>Chittenden-6-2</t>
  </si>
  <si>
    <t>O'Sullivan</t>
  </si>
  <si>
    <t>Chittenden-6-3</t>
  </si>
  <si>
    <t>Krowinski</t>
  </si>
  <si>
    <t>McCormack</t>
  </si>
  <si>
    <t>Chittenden-6-4</t>
  </si>
  <si>
    <t>Cina</t>
  </si>
  <si>
    <t>Prog</t>
  </si>
  <si>
    <t>Selene</t>
  </si>
  <si>
    <t>Colburn</t>
  </si>
  <si>
    <t>Pillion</t>
  </si>
  <si>
    <t>Chittenden-6-5</t>
  </si>
  <si>
    <t>Science and Technology</t>
  </si>
  <si>
    <t>Johannah</t>
  </si>
  <si>
    <t>804-698-1004</t>
  </si>
  <si>
    <t>Chittenden-6-6</t>
  </si>
  <si>
    <t>Rachelson</t>
  </si>
  <si>
    <t>Chittenden-6-7</t>
  </si>
  <si>
    <t>Bissonnette</t>
  </si>
  <si>
    <t>Chittenden-7-1</t>
  </si>
  <si>
    <t>Lalonde</t>
  </si>
  <si>
    <t>Chittenden-7-2</t>
  </si>
  <si>
    <t>Chittenden-7-3</t>
  </si>
  <si>
    <t>Killacky</t>
  </si>
  <si>
    <t>Chittenden-7-4</t>
  </si>
  <si>
    <t>Maida</t>
  </si>
  <si>
    <t>Chittenden-8-1</t>
  </si>
  <si>
    <t>Redmond</t>
  </si>
  <si>
    <t>Marybeth</t>
  </si>
  <si>
    <t>Chittenden-8-2</t>
  </si>
  <si>
    <t>Giambatista</t>
  </si>
  <si>
    <t>Assistant Majority Leader for Communications</t>
  </si>
  <si>
    <t>Houghton</t>
  </si>
  <si>
    <t>Chittenden-8-3</t>
  </si>
  <si>
    <t>Bancroft</t>
  </si>
  <si>
    <t>Chittenden-9-1</t>
  </si>
  <si>
    <t>Chittenden-9-2</t>
  </si>
  <si>
    <t>Transportation Committee (Chair)</t>
  </si>
  <si>
    <t>Sarita</t>
  </si>
  <si>
    <t>Chittenden-10</t>
  </si>
  <si>
    <t>Mattos</t>
  </si>
  <si>
    <t>Palasik</t>
  </si>
  <si>
    <t>O'Quinn</t>
  </si>
  <si>
    <t>Privileges and Elections</t>
  </si>
  <si>
    <t>Essex-Caledonia</t>
  </si>
  <si>
    <t>Constance</t>
  </si>
  <si>
    <t>Quimby</t>
  </si>
  <si>
    <t>Essex-Caledonia-Orleans</t>
  </si>
  <si>
    <t>804-698-1005</t>
  </si>
  <si>
    <t>Lefebvre</t>
  </si>
  <si>
    <t>Franklin-1</t>
  </si>
  <si>
    <t>Rosenquist</t>
  </si>
  <si>
    <t>Transportation-vice chair</t>
  </si>
  <si>
    <t>Agriculture, Water, and Rural Affairs-mem, Education-mem, Veteran Affairs and Border Security-mem, Joint Interim Committee on Disclosure of Emergency Call Information-mem, Senate Select Committee on Election Security-mem</t>
  </si>
  <si>
    <t>512-463-0102</t>
  </si>
  <si>
    <t>Franklin-2</t>
  </si>
  <si>
    <t xml:space="preserve">Dallas, Delta, Fannin, Hopkins, Hunt, Kaufman, Rains, Rockwall, Van Zandt </t>
  </si>
  <si>
    <t>Business Owner and Airforce Captain</t>
  </si>
  <si>
    <t>Franklin-3-1</t>
  </si>
  <si>
    <t>Toof</t>
  </si>
  <si>
    <t>Franklin-3-2</t>
  </si>
  <si>
    <t>Franklin-4</t>
  </si>
  <si>
    <t>Marianna</t>
  </si>
  <si>
    <t>Gamache</t>
  </si>
  <si>
    <t>Health, Welfare and Institutions</t>
  </si>
  <si>
    <t>804-698-1006</t>
  </si>
  <si>
    <t>Transportation-chair, Administration-mem, Business and Commerce-mem, Finance-mem, Senate Select Committee on Employment Practices</t>
  </si>
  <si>
    <t>512-463-0103</t>
  </si>
  <si>
    <t>Anderson, Angelina, Cherokee, Hardin, Henderson, Houston, Jasper, Liberty, Montgomery, Nacogdoches, Newton, Orange, Polk, Sabine, San Augustine, San Jacinto, Shelby, Trinity, Tyler</t>
  </si>
  <si>
    <t>Engineer</t>
  </si>
  <si>
    <t>Savage</t>
  </si>
  <si>
    <t>Franklin-5</t>
  </si>
  <si>
    <t>Aldrich</t>
  </si>
  <si>
    <t>Fegard</t>
  </si>
  <si>
    <t>Charen</t>
  </si>
  <si>
    <t>Franklin-6</t>
  </si>
  <si>
    <t>Franklin-7</t>
  </si>
  <si>
    <t>Weed</t>
  </si>
  <si>
    <t>Grand Isle-Chittenden-1</t>
  </si>
  <si>
    <t>Mitzi</t>
  </si>
  <si>
    <t>Lamoille-1</t>
  </si>
  <si>
    <t>Scheurermann</t>
  </si>
  <si>
    <t>Lamoille-2</t>
  </si>
  <si>
    <t>Noyes</t>
  </si>
  <si>
    <t>Lamoille-3</t>
  </si>
  <si>
    <t>Lamoille-Washington</t>
  </si>
  <si>
    <t>Patt</t>
  </si>
  <si>
    <t>Avram</t>
  </si>
  <si>
    <t>Creighton</t>
  </si>
  <si>
    <t>Yacovone</t>
  </si>
  <si>
    <t>email schedulure abby.romero@senate.texas.gov ← scheduler</t>
  </si>
  <si>
    <t>Orange-1</t>
  </si>
  <si>
    <t>Demrow</t>
  </si>
  <si>
    <t>Senate Select Committee on Employment Practices-chair, Business and Commerce-vice chair, Criminal Justice-mem, State Affairs-mem, Agriculture, Water, and Rural Affairs-mem, Transportation-mem, Senate Select Committee on Goverment Reform-mem, Senate Select Committee on Property Tax Reform-mem, Senate Select Committee on Violence in Schools and School Security</t>
  </si>
  <si>
    <t>Orange-2</t>
  </si>
  <si>
    <t>521-463-0104</t>
  </si>
  <si>
    <t>Copeland-Hanzas</t>
  </si>
  <si>
    <t>804-698-1007</t>
  </si>
  <si>
    <t>Orange-Caledonia</t>
  </si>
  <si>
    <t>Conquest</t>
  </si>
  <si>
    <t xml:space="preserve">Chambers, Galveston, Harris, Jefferson, Montgomery, </t>
  </si>
  <si>
    <t>Orange-Washington-Addison</t>
  </si>
  <si>
    <t>Jickling</t>
  </si>
  <si>
    <t>Orleans-1</t>
  </si>
  <si>
    <t>Batchelor</t>
  </si>
  <si>
    <t>Orleans-2</t>
  </si>
  <si>
    <t>Marcotte</t>
  </si>
  <si>
    <t>Woodman</t>
  </si>
  <si>
    <t>Orleans-Caledonia</t>
  </si>
  <si>
    <t>No committee membership listed</t>
  </si>
  <si>
    <t>804-698-1619</t>
  </si>
  <si>
    <t>Orleans-Lamoille</t>
  </si>
  <si>
    <t>Higley</t>
  </si>
  <si>
    <t>Rutland-1</t>
  </si>
  <si>
    <t>Rutland-2</t>
  </si>
  <si>
    <t>Burditt</t>
  </si>
  <si>
    <t>Rutland-3</t>
  </si>
  <si>
    <t>Canfield</t>
  </si>
  <si>
    <t>Rutland-4</t>
  </si>
  <si>
    <t>Terenzini</t>
  </si>
  <si>
    <t>Rutland-5-1</t>
  </si>
  <si>
    <t>Fagan</t>
  </si>
  <si>
    <t>Rutland-5-2</t>
  </si>
  <si>
    <t>Cupoli</t>
  </si>
  <si>
    <t>Rutland-5-3</t>
  </si>
  <si>
    <t>Schwertner</t>
  </si>
  <si>
    <t>Health and Human Services-Chair, Joint Interim Committee on Prescribing and Dispencing Controlled Substances-co-chair, State Affairs-mem, Finance-mem, Business and Commerce-mem</t>
  </si>
  <si>
    <t xml:space="preserve">In September 2018, the University of Texas opened an investigation against Schwertner following sexual misconduct allegations. </t>
  </si>
  <si>
    <t>Rutland-5-4</t>
  </si>
  <si>
    <t>512-463-0105</t>
  </si>
  <si>
    <t>Notte</t>
  </si>
  <si>
    <t>Rutland-6</t>
  </si>
  <si>
    <t xml:space="preserve">Brazos, Freestone, Grimes, Leon, Limestone, Madison, Milam, Robertson, Walker, Williamson, </t>
  </si>
  <si>
    <t>Orthopedic Surgery</t>
  </si>
  <si>
    <t>Rutland-Bennington</t>
  </si>
  <si>
    <t>Chesnut-Tangerman</t>
  </si>
  <si>
    <t>Rutland-Windsor-1</t>
  </si>
  <si>
    <t>Rutland-Windsor-2</t>
  </si>
  <si>
    <t>Nicoll</t>
  </si>
  <si>
    <t>Washington-1</t>
  </si>
  <si>
    <t>Poindexter</t>
  </si>
  <si>
    <t>804-698-1009</t>
  </si>
  <si>
    <t>Goslant</t>
  </si>
  <si>
    <t>Washington-2</t>
  </si>
  <si>
    <t>LaClair</t>
  </si>
  <si>
    <t>McFaun</t>
  </si>
  <si>
    <t>Washington-3</t>
  </si>
  <si>
    <t>No Committee Assignments Yet</t>
  </si>
  <si>
    <t>Formerly in Texas House-District 145, five terms</t>
  </si>
  <si>
    <t>512-563-0106</t>
  </si>
  <si>
    <t>Washington-4</t>
  </si>
  <si>
    <t>2020?</t>
  </si>
  <si>
    <t xml:space="preserve">Business Owner </t>
  </si>
  <si>
    <t>Kitzmiller</t>
  </si>
  <si>
    <t>Washington-5</t>
  </si>
  <si>
    <t>Jessup</t>
  </si>
  <si>
    <t>Washington-6</t>
  </si>
  <si>
    <t>Ancel</t>
  </si>
  <si>
    <t>Washington-7</t>
  </si>
  <si>
    <t>Grad</t>
  </si>
  <si>
    <t>Gooditis</t>
  </si>
  <si>
    <t>804-698-1010</t>
  </si>
  <si>
    <t>Washington-Chittenden</t>
  </si>
  <si>
    <t>Windham-1</t>
  </si>
  <si>
    <t>Windham-2-1</t>
  </si>
  <si>
    <t>Windham-2-2</t>
  </si>
  <si>
    <t>Mollie</t>
  </si>
  <si>
    <t>Windham-2-3</t>
  </si>
  <si>
    <t>Tristan</t>
  </si>
  <si>
    <t>Toleno</t>
  </si>
  <si>
    <t>Windham-3</t>
  </si>
  <si>
    <t>Trieber</t>
  </si>
  <si>
    <t>Windham-4</t>
  </si>
  <si>
    <t>Deen</t>
  </si>
  <si>
    <t>Mrowicki</t>
  </si>
  <si>
    <t>Windham-5</t>
  </si>
  <si>
    <t>Bettencourt</t>
  </si>
  <si>
    <t>Assistant Majority Leader/Whip</t>
  </si>
  <si>
    <t xml:space="preserve">Senate Select Committee on Goverment Reform-chair, Senate Select Committee on Property Tax Reform-chair, Intergovernmental Relations-vice-chair, Education-mem, Finance-mem, Higher Education-mem, </t>
  </si>
  <si>
    <t>512-563-0107</t>
  </si>
  <si>
    <t>Windham-6</t>
  </si>
  <si>
    <t>Windham-Bennington</t>
  </si>
  <si>
    <t>Sibilia</t>
  </si>
  <si>
    <t xml:space="preserve"> President and CEO, Bettencourt Tax Advisors L.L.C.</t>
  </si>
  <si>
    <t>Windham-Bennington-Windsor</t>
  </si>
  <si>
    <t>Pajala</t>
  </si>
  <si>
    <t>Windsor-1</t>
  </si>
  <si>
    <t>Bartholomew</t>
  </si>
  <si>
    <t>Zachariah</t>
  </si>
  <si>
    <t>Windsor-2</t>
  </si>
  <si>
    <t>Annmarie</t>
  </si>
  <si>
    <t>Windsor-3-1</t>
  </si>
  <si>
    <t>Salam</t>
  </si>
  <si>
    <t>Bock</t>
  </si>
  <si>
    <t>Windsor-3-2</t>
  </si>
  <si>
    <t>Emmons</t>
  </si>
  <si>
    <t>Rasoul</t>
  </si>
  <si>
    <t>512-463-0108</t>
  </si>
  <si>
    <t>Forguites</t>
  </si>
  <si>
    <t>804-698-1011</t>
  </si>
  <si>
    <t>Windsor-4-1</t>
  </si>
  <si>
    <t>Buckholz</t>
  </si>
  <si>
    <t>Collin, Dallas</t>
  </si>
  <si>
    <t>Windsor-4-2</t>
  </si>
  <si>
    <t>Leadership Consultant, Educator</t>
  </si>
  <si>
    <t>Lucke</t>
  </si>
  <si>
    <t>Windsor-5</t>
  </si>
  <si>
    <t>Kimbell</t>
  </si>
  <si>
    <t>Windsor-Orange-1</t>
  </si>
  <si>
    <t>Windsor-Orange-2</t>
  </si>
  <si>
    <t>Briglin</t>
  </si>
  <si>
    <t>Masland</t>
  </si>
  <si>
    <t>Windsor-Rutland</t>
  </si>
  <si>
    <t>Haas</t>
  </si>
  <si>
    <t>Business and Commerce-chair, Joint Committee on Goverment Facilities-chair, Joint Interim Committee on Higher Education Formula Funding, Finance-mem, Natural Resources and Economic Developmemt-mem, Transportation-mem</t>
  </si>
  <si>
    <t>Formerly in Texas House-District 91</t>
  </si>
  <si>
    <t>512-463-0109</t>
  </si>
  <si>
    <t>Dallas, Tarrant</t>
  </si>
  <si>
    <t>Addison</t>
  </si>
  <si>
    <t>804-698-1012</t>
  </si>
  <si>
    <t>512-463-0110</t>
  </si>
  <si>
    <t>Tarrant</t>
  </si>
  <si>
    <t>Real estate</t>
  </si>
  <si>
    <t>Danica</t>
  </si>
  <si>
    <t>Roem</t>
  </si>
  <si>
    <t>804-698-1013</t>
  </si>
  <si>
    <t>Legislatice Budget Board-mem, Education-chair, Senate Select Committee on Violence in Schools and School Security-chair, Joint Interim Committee to Study a Coastel Barrier System-co-chair, Business and Commerce-mem, Finance-mem, Higher Education-mem</t>
  </si>
  <si>
    <t>Former Texas House-District 11</t>
  </si>
  <si>
    <t>Bennington</t>
  </si>
  <si>
    <t>512-463-0111</t>
  </si>
  <si>
    <t>Brazoria, Galveston, Harris</t>
  </si>
  <si>
    <t xml:space="preserve">Finance-chair, Senate Select Committee on Cyber Security-chair, HSH Transition Legislative Oversight Committee-co-chair, Select Committee to Determine a Sufficient Balance of the Economic Stabilization Fund-Co-chair, State Affairs-mem, </t>
  </si>
  <si>
    <t>Authored SB 71, "
relating to the establishment of a statewide telehealth center for sexual assault forensic medical examination." Filed 11/12/18, Authored SB 72 "
Relating to the establishment and duties of the human trafficking prevention coordinating council." Filed 11/12/18</t>
  </si>
  <si>
    <t>512-463-0112</t>
  </si>
  <si>
    <t>Denton, Tarrant</t>
  </si>
  <si>
    <t>Campion</t>
  </si>
  <si>
    <t>804-698-1014</t>
  </si>
  <si>
    <t>Borris</t>
  </si>
  <si>
    <t>Health and Human Services-mem, Nominations-mem</t>
  </si>
  <si>
    <t>Formerly in Texas House-district 146</t>
  </si>
  <si>
    <t>512-463-0113</t>
  </si>
  <si>
    <t>Fort Bend, Harris</t>
  </si>
  <si>
    <t>Insurance and real estate</t>
  </si>
  <si>
    <t>Sears</t>
  </si>
  <si>
    <t>Caledonia</t>
  </si>
  <si>
    <t>804-698-1015</t>
  </si>
  <si>
    <t>Nominations-Vice chair, Finance-mem, Health and Human Services-mem, Higher Education-mem</t>
  </si>
  <si>
    <t>512-463-0114</t>
  </si>
  <si>
    <t>Bastrop, Travis</t>
  </si>
  <si>
    <t>Benning</t>
  </si>
  <si>
    <t>804-698-1016</t>
  </si>
  <si>
    <t>Kitchel</t>
  </si>
  <si>
    <t>Chittenden</t>
  </si>
  <si>
    <t>Criminal Justice-chair, Business and Commerce-mem, Finance-mem, Senate Select Committee on Violence in Schools and School Security-mem</t>
  </si>
  <si>
    <t>512-463-0115</t>
  </si>
  <si>
    <t>512-463-0116</t>
  </si>
  <si>
    <t>804-698-1017</t>
  </si>
  <si>
    <t>Baruth</t>
  </si>
  <si>
    <t>State Affairs-Chairs, Joint Committee on State Judicial Salaries-co-chair, Criminal Justice-vice-chair, Senate Select Committee on Violence in Schools and School Security-vice-chair, Finance-member</t>
  </si>
  <si>
    <t>Authored SB 212, "
Relating to a reporting requirement for certain incidents of sexual harassment, sexual assault, dating violence, or stalking at certain public and private institutions of higher education; creating a criminal offense; authorizing administrative penalties." Filed 11/30/18, Authored SB 342, "
Relating to civil and criminal liability for the unlawful disclosure of intimate visual material." Filed 1/11/19</t>
  </si>
  <si>
    <t>512-463-0117</t>
  </si>
  <si>
    <t>Brazoria, Fort Bend, Harris</t>
  </si>
  <si>
    <t>Kolkhorst</t>
  </si>
  <si>
    <t>Administration-chair, Finance-mem, Health and Human Services-mem, Transportation-mem</t>
  </si>
  <si>
    <t>Webert</t>
  </si>
  <si>
    <t>512-463-0118</t>
  </si>
  <si>
    <t>804-698-1018</t>
  </si>
  <si>
    <t>Aransas, Austin, Burleson, Calhoun, Colorado, De Witt, Fayatte, Fort Bend, Goliad, Gonzales, Harris, Jackson, Lavaca, Lee, Matagorda, Nueces, Refugio, Victoria, Waller, Washington, Wharton</t>
  </si>
  <si>
    <t>512-463-0119</t>
  </si>
  <si>
    <t>https://senate.texas.gov/memberform.php?auth=O3ir9qa8yQp2AcWq3%2Fq4Mbvt7LUOL6N4H0dh7bAFlog6XzpfOuh2LcFda7IAjBUN0WJ6MmCckWyKh%2FtizTnjBzJt81LUz2oEOnw6fDqFqmwpCXA39ldpPiJkyYVJ&amp;lang=en</t>
  </si>
  <si>
    <t>Sirotkin</t>
  </si>
  <si>
    <t>Essex-Orleans</t>
  </si>
  <si>
    <t>Atascosa, Bexar, Brewster, Crockett, Dimmit, Edwards, Frio, Kinney, Maverick, Medina, Pecos, Real, Reeves, Terrell, Uvalde, Val Verde, Zavala</t>
  </si>
  <si>
    <t>Game Warden</t>
  </si>
  <si>
    <t>804-698-1019</t>
  </si>
  <si>
    <t>Rodgers</t>
  </si>
  <si>
    <t xml:space="preserve">Finance-vice chair, Joint Interim Committee on Disclosure of Emergency Call Information-chair, </t>
  </si>
  <si>
    <t>Served as Senate President Pro-Tempore in 2015Previously House member</t>
  </si>
  <si>
    <t>512-463-0120</t>
  </si>
  <si>
    <t>https://senate.texas.gov/memberform.php?auth=LnLybSptXsvDr5RfTh1PtTwrFBWbUdpN0VQUolG1qgs6XzpfOl6aKYu7UANU6kqZygSRWDTZkdiMYa9VSWO8qS3UGTKy5dKMOnw6fDqKOdg7tL9BbemsPOkokneY&amp;lang=en</t>
  </si>
  <si>
    <t>Starr</t>
  </si>
  <si>
    <t>Brooks, Hidalgo, Jim Wells, Nueces</t>
  </si>
  <si>
    <t>Colchester-Grand Isle</t>
  </si>
  <si>
    <t>804-698-1020</t>
  </si>
  <si>
    <t>Zaffirini</t>
  </si>
  <si>
    <t>Administration-mem, Natural Resources and Economic Development-Vice chair, Business and Commerce-mem, State Affairs-mem</t>
  </si>
  <si>
    <t>Authored SB 46, "
Relating to the prohibition against sexual harassment in the workplace." Filed 11/12/18</t>
  </si>
  <si>
    <t>512-463-0121</t>
  </si>
  <si>
    <t>https://senate.texas.gov/memberform.php?auth=UPRK6GP107EPlq0O2PPN%2F6UB45hnSjWhs7CwGt4J2QU6XzpfOtuWlKVlJl9WdDTvIR0q6BulIZaXcIO0d5VK9EZ%2FMxk8g%2Fi7Onw6fDpt68fUs%2BOzqHpAX4vbrhXW&amp;lang=en</t>
  </si>
  <si>
    <t>Mazza</t>
  </si>
  <si>
    <t>Atascosa, Bee, Bexar, Caldwell, Duval, Guadalupe, Hays, Jim Hogg, Karnes, La Salle, Live Oak, McMullen, San Patricio, Star, Travis, Webb, Wilson, Zapata</t>
  </si>
  <si>
    <t xml:space="preserve">Communications Specialist </t>
  </si>
  <si>
    <t>Lamoille</t>
  </si>
  <si>
    <t>804-698-1021</t>
  </si>
  <si>
    <t>Westman</t>
  </si>
  <si>
    <t>Birdwell</t>
  </si>
  <si>
    <t xml:space="preserve">Nominations-chair, Natural Resources and Economic Development-Chair, Compact Facility Legislative Oversight Committee-co-chair, Criminal Justice-mem, Finance-mem, State Affairs-mem, </t>
  </si>
  <si>
    <t>512-463-0122</t>
  </si>
  <si>
    <t>https://senate.texas.gov/memberform.php?auth=vA2ogkNPSG6qdL%2BJa0MFD%2FdvgQ%2FJOWeYz0delK%2Fc4qo6XzpfOimIHgNcBQnodG4bYSiCQLjm8UL8o6iaxLruaLQDO6nA%2F8IDOnw6fDo4DoNo4uOzDiqjR7lY0CIP&amp;lang=en</t>
  </si>
  <si>
    <t>Bosque, Ellis, Falls, Hill, Hood, Johnson, McLennan, Navarro, Somervell, Tarrant</t>
  </si>
  <si>
    <t>US Army Officer, Business owner/president</t>
  </si>
  <si>
    <t>Rutland</t>
  </si>
  <si>
    <t>Higher Education-Vice Chair, Administration-mem, Education-mem, Finance-mem</t>
  </si>
  <si>
    <t>512-463-0123</t>
  </si>
  <si>
    <t>https://senate.texas.gov/memberform.phpauth=%2BlyRwu0fG2yAJK9Pdr%2ByauAporFyUSKEmXLpOcN2kFY6XzpfOiemU6Gj0My%2F4HzcsB62yNRWoNVpJoNMJbGtDAa%2BjDhc06Q6fDp8OoJFmN0ThGV0VzjHQDV7UQ4%3D&amp;lang=en</t>
  </si>
  <si>
    <t>804-698-1022</t>
  </si>
  <si>
    <t>Collamore</t>
  </si>
  <si>
    <t>804-698-1023</t>
  </si>
  <si>
    <t>Buckingham</t>
  </si>
  <si>
    <t xml:space="preserve">Health and Human Services-mem, Nominations-mem, Higher Education-mem, Veterans Affairs and Border Security, </t>
  </si>
  <si>
    <t>512-463-0124</t>
  </si>
  <si>
    <t>https://senate.texas.gov/memberform.phpauth=uREy0z8cXWVNXj55LHbhKXbE6jOrYPIpexMWIfNrnEs6XzpfOq2KtF7tD6%2FVa4jdf6%2BmntdaqTwWba92SAheD%2FdouR9gAQUFOnw6fDqY83GGtjhmN015H5zs%2Fu3L&amp;lang=en</t>
  </si>
  <si>
    <t>Flory</t>
  </si>
  <si>
    <t>Soucy</t>
  </si>
  <si>
    <t>Cline</t>
  </si>
  <si>
    <t>RESIGNED 12/18</t>
  </si>
  <si>
    <t>Bandera, Bell, Blanco, Brown, Burnet, Callahan, Comanche, Coryell, Gillespie, Hamilton, Kerr, Lampasas, Llano, Mills, San Saba, Taylor, Travis</t>
  </si>
  <si>
    <t>Perchlik</t>
  </si>
  <si>
    <t>Veteran Affairs and Boder Security-chair, Legislative Committee on Aging-chair, Business and Commerce-mem, Education-mem, Finance-mem, Intergovernmental Relations-mem</t>
  </si>
  <si>
    <t>512-463-0125</t>
  </si>
  <si>
    <t>Pollina</t>
  </si>
  <si>
    <t>Landes</t>
  </si>
  <si>
    <t>804-698-1025</t>
  </si>
  <si>
    <t>Bexar, Comal, Guadalupe, Hays, Kendall, Travis</t>
  </si>
  <si>
    <t>Emergency Room Physician</t>
  </si>
  <si>
    <t>Becca</t>
  </si>
  <si>
    <t>Balint</t>
  </si>
  <si>
    <t>Jeanette</t>
  </si>
  <si>
    <t>Criminal Justice-mem, Higher Education-mem, Intergovernmental Relations-mem, Nominations-mem</t>
  </si>
  <si>
    <t>512-463-0126</t>
  </si>
  <si>
    <t>Windsor</t>
  </si>
  <si>
    <t>Bexar</t>
  </si>
  <si>
    <t>Alison</t>
  </si>
  <si>
    <t>Clarkson</t>
  </si>
  <si>
    <t>Nitka</t>
  </si>
  <si>
    <t>Lucio Jr.</t>
  </si>
  <si>
    <t>Intergovernmental Relations-chair, Educations-vice chair, State Affairs-mem, Veterans Affairs and Border Security-mem</t>
  </si>
  <si>
    <t>Eddio Lucio III is Eddie Lucio's son and is in Texas House-District 38</t>
  </si>
  <si>
    <t>512-463-0127</t>
  </si>
  <si>
    <t>Cameron, Hidalgo, Kenedy, Kleberg, Willacy</t>
  </si>
  <si>
    <t>Advertising Executive</t>
  </si>
  <si>
    <t>Wilt</t>
  </si>
  <si>
    <t>804-698-1026</t>
  </si>
  <si>
    <t>Leahy</t>
  </si>
  <si>
    <t>T.J.</t>
  </si>
  <si>
    <t>Agriculture, Water, and Rural Affairs-chair, State Water Implementation Fund for Texas Advisory Committee-co-chair, Criminal Justice-mem, Health and Human Services-mem, Senate Select Committee on Government Reform-mem, Transportation-mem</t>
  </si>
  <si>
    <r>
      <rPr>
        <sz val="11.0"/>
      </rPr>
      <t>Author of SB</t>
    </r>
    <r>
      <t xml:space="preserve"> </t>
    </r>
    <r>
      <rPr>
        <sz val="11.0"/>
      </rPr>
      <t xml:space="preserve">194, "
Relating to the creation of the offense of indecent assault, to judicial protection for victims of that offense, and to certain criminal acts committed in relation to that offense.
" Filed 11/15/18
</t>
    </r>
  </si>
  <si>
    <t>Roxann</t>
  </si>
  <si>
    <t>512-463-0128</t>
  </si>
  <si>
    <t xml:space="preserve">Baylor, Borden, Childress, Coke, Coleman, Concho, Cottle, Crane, Crosby, Dawson, Dickens, Eastland, Fisher, Floyd, Foard, Garza, Hale, Hardeman, Haskell, Hockley, Irion, Jones, Kent, Kimble, King, Knox, Lamb, Lubbock, Lynn, McCulloch, Mason, Menard, Mitchell, Motley, Nolan, Reagan, Runnels, Schleicher, Scurry, Schackelford, Stephens, Sterling, Stonewall, Sutton, Taylor, Terry, Throckmorton, Tom Green, Upton, Ward, Wilbarger, </t>
  </si>
  <si>
    <t>public accountant</t>
  </si>
  <si>
    <t>804-698-1027</t>
  </si>
  <si>
    <t>R. Rodríguez</t>
  </si>
  <si>
    <t>Agriculture, Water, and Rural Affairs-vice chair, Natural Resources and Economic Development-mem, Transportation-mem, Veterans Affairs and Border Security-mem</t>
  </si>
  <si>
    <t>512-463-0129</t>
  </si>
  <si>
    <t xml:space="preserve">Culberson, El Paso, Hudspeth, Jeff Davis, Presidio, </t>
  </si>
  <si>
    <t>804-698-1028</t>
  </si>
  <si>
    <t>Fallon</t>
  </si>
  <si>
    <t>512-463-0130</t>
  </si>
  <si>
    <t xml:space="preserve"> Archer, Clay, Collin, Cooke, Denton, Erath, Grayson, Jack, Montague, Palo Pinto, Parker, Wichita, Wise, Young, </t>
  </si>
  <si>
    <t>CEO</t>
  </si>
  <si>
    <t>804-698-1029</t>
  </si>
  <si>
    <t>Kel</t>
  </si>
  <si>
    <t>Seliger</t>
  </si>
  <si>
    <t xml:space="preserve">Higher Education-chair, Education-mem, Finance-mem, Natural Resources and Economic Development-mem, </t>
  </si>
  <si>
    <t>512-463-0131</t>
  </si>
  <si>
    <t>Andrews, Armstrong, Bailey, Briscoe, Carson, Castro, Cochran, Collingsworth, Dallam, Deaf Smith, Donley, Ector, Gaines, Glasscock, Gray, Hall, Hansford, Hartley, Hemphill, Howard, Hutchinson, Lipscomb, Loving, Martin, Midland, Moore, Ochiltree, Oldham, Parmer, Potter, Randall, Roberts, Sherman, Swisher, Wheeler, Winkler, Yoakum</t>
  </si>
  <si>
    <t>Steel Industry</t>
  </si>
  <si>
    <t>Freitas</t>
  </si>
  <si>
    <t>Was previously the Attorney General of Texas from 2002-2015 following Sen. John Cornyn's election to U.S. Senate, Also on 2/6/18, "Governor Greg Abbott today announced out a set of policy proposals aimed at combatting sex and human trafficking, strengthening reporting protocols for sexual misconduct and harassment in the workplace, closing gaps in the law to crack down on traffickers and working to end the backlog of sexual assault evidence kits."  “Preventing, Protecting, Punishing” Plan</t>
  </si>
  <si>
    <t>(Information, Refferal, and Opinion )512-463-1782, (Governor Main Switchboard) 512-463-2000</t>
  </si>
  <si>
    <t>No term limit for gov either</t>
  </si>
  <si>
    <t>804-698-1030</t>
  </si>
  <si>
    <t>`````</t>
  </si>
  <si>
    <t>Louie</t>
  </si>
  <si>
    <t>Gohmert</t>
  </si>
  <si>
    <t>House Judiciary Committee-mem, Natural Resources Committee-mem</t>
  </si>
  <si>
    <t>Only accepts emails from his district</t>
  </si>
  <si>
    <t>202-225-3035</t>
  </si>
  <si>
    <t>https://gohmert.house.gov/contact/</t>
  </si>
  <si>
    <t>Angelina, Gregg, Harrison, Nacogdoches, Panola, Rusk, Sabine, San Augustine, Shelby, Smith, Upshur, Wood County</t>
  </si>
  <si>
    <t>Crenshaw</t>
  </si>
  <si>
    <t>202-225-6565</t>
  </si>
  <si>
    <t>https://crenshaw.house.gov/contact/email-me</t>
  </si>
  <si>
    <t>Guzman</t>
  </si>
  <si>
    <t>804-698-1031</t>
  </si>
  <si>
    <t>Lt. Commander in U.S. Navy, Navy SEAL</t>
  </si>
  <si>
    <t>202-225-4201</t>
  </si>
  <si>
    <t>https://vantaylor.house.gov/contact/</t>
  </si>
  <si>
    <t>Marines Captain</t>
  </si>
  <si>
    <t>Ratcliff</t>
  </si>
  <si>
    <t>Judiciary-mem, Ethics-mem, Homeland Security-mem</t>
  </si>
  <si>
    <t>202-225-6673</t>
  </si>
  <si>
    <t>https://ratcliffe.house.gov/contact/</t>
  </si>
  <si>
    <t>804-698-1032</t>
  </si>
  <si>
    <t>Bowie, Camp, Cass, Collin, Delta, Fannin, Franklin, Grayson, Hopkins, Hunt, Lamar, Marion, Morris, Rains, Red River, Rockwell, Titus, Upshur</t>
  </si>
  <si>
    <t>Gooden</t>
  </si>
  <si>
    <t>Lizzie</t>
  </si>
  <si>
    <t>McCaul</t>
  </si>
  <si>
    <t>Granger</t>
  </si>
  <si>
    <t>Thronberry</t>
  </si>
  <si>
    <t>LaRock</t>
  </si>
  <si>
    <t>804-698-1033</t>
  </si>
  <si>
    <t>Vicente</t>
  </si>
  <si>
    <t>Escobar</t>
  </si>
  <si>
    <t>Jackson Lee</t>
  </si>
  <si>
    <t>Jodey</t>
  </si>
  <si>
    <t>Hurd</t>
  </si>
  <si>
    <t>Marchant</t>
  </si>
  <si>
    <t>Cuellar</t>
  </si>
  <si>
    <t>Varsey</t>
  </si>
  <si>
    <t>Filemon</t>
  </si>
  <si>
    <t>Vela</t>
  </si>
  <si>
    <t>Babin</t>
  </si>
  <si>
    <t>Conyn</t>
  </si>
  <si>
    <t>Senate Majority Whip 2014-2019, Replaced by South Dakota Senator John Thune</t>
  </si>
  <si>
    <t>Finance-mem, Judiciary-mem, Select Committee on Intelligence-mem, Senate Caucus on International Narcotics Control-chairman</t>
  </si>
  <si>
    <t>"Sen. Cornyn was awarded the Rape, Abuse, &amp; Incest National Network (RAINN) “Crime Fighter Award” and the Children At Risk “Founders Award” for his work fighting for legislation to help end the rape kit backlog and protect victims of child exploitation." Served as Texas Attorney General from 1999-2002,</t>
  </si>
  <si>
    <t>202-224-2934</t>
  </si>
  <si>
    <t>https://www.cornyn.senate.gov/contact</t>
  </si>
  <si>
    <t>804-698-1034</t>
  </si>
  <si>
    <t>Judiciary-mem, Foreign Relations-mem, Rules and Administration-mem, Commerce, Science, and Administration-mem, Joint Economic-mem</t>
  </si>
  <si>
    <t>Solicitor General of Texas 2003-2008</t>
  </si>
  <si>
    <t>202-224-5922</t>
  </si>
  <si>
    <t>https://www.cruz.senate.gov/?p=form&amp;id=16</t>
  </si>
  <si>
    <t>"His first major initiative as attorney general was the formation of a special unit dedicated to combating human trafficking in Texas. During its first year of existence, the Human Trafficking and Transnational Organized Crime section helped arrest the chief executive officer of Backpage.com and coordinated to facilitate the permanent shut down of Backpage.com, the largest online sex-trafficking marketplace in the United States." from his gov page</t>
  </si>
  <si>
    <t xml:space="preserve">512-463-2100, </t>
  </si>
  <si>
    <t>https://www.texasattorneygeneral.gov/contact-us-online-form</t>
  </si>
  <si>
    <t>Keam</t>
  </si>
  <si>
    <t>804-698-1035</t>
  </si>
  <si>
    <t>Plum</t>
  </si>
  <si>
    <t>804-698-1036</t>
  </si>
  <si>
    <t>Bulova</t>
  </si>
  <si>
    <t>804-698-1037</t>
  </si>
  <si>
    <t>Kaye</t>
  </si>
  <si>
    <t>Kory</t>
  </si>
  <si>
    <t>804-698-1038</t>
  </si>
  <si>
    <t>804-698-1039</t>
  </si>
  <si>
    <t>Hugo</t>
  </si>
  <si>
    <t>804-698-1040</t>
  </si>
  <si>
    <t>Filler-Corn</t>
  </si>
  <si>
    <t>804-698-1041</t>
  </si>
  <si>
    <t>804-698-1042</t>
  </si>
  <si>
    <t>Sickles</t>
  </si>
  <si>
    <t>804-698-1043</t>
  </si>
  <si>
    <t>Krizek</t>
  </si>
  <si>
    <t>804-698-1044</t>
  </si>
  <si>
    <t>804-698-1045</t>
  </si>
  <si>
    <t>Charniele</t>
  </si>
  <si>
    <t>Herring</t>
  </si>
  <si>
    <t>Caucus Chair</t>
  </si>
  <si>
    <t>804-698-1046</t>
  </si>
  <si>
    <t>804-698-1047</t>
  </si>
  <si>
    <t>Rip</t>
  </si>
  <si>
    <t>804-698-1048</t>
  </si>
  <si>
    <t>Alfonso</t>
  </si>
  <si>
    <t>Delegate</t>
  </si>
  <si>
    <t>804-698-1049</t>
  </si>
  <si>
    <t>804-698-1050</t>
  </si>
  <si>
    <t>Stanford</t>
  </si>
  <si>
    <t>Commerce &amp; Gaming (Chair)</t>
  </si>
  <si>
    <t>Hala</t>
  </si>
  <si>
    <t>Consumer Protection &amp; Business</t>
  </si>
  <si>
    <t>Ayala</t>
  </si>
  <si>
    <t>804-698-1051</t>
  </si>
  <si>
    <t>Kloba</t>
  </si>
  <si>
    <t>Innovation, Technology &amp; Economic Development (Vice Chair)</t>
  </si>
  <si>
    <t>Commerce &amp; Gaming</t>
  </si>
  <si>
    <t>Torian</t>
  </si>
  <si>
    <t>Barkis</t>
  </si>
  <si>
    <t>J.T.</t>
  </si>
  <si>
    <t>McGeehan</t>
  </si>
  <si>
    <t>Veterans Affairs (Chair)</t>
  </si>
  <si>
    <t>804-698-1053</t>
  </si>
  <si>
    <t>804-698-1054</t>
  </si>
  <si>
    <t>Riccelli</t>
  </si>
  <si>
    <t>Capital Budget</t>
  </si>
  <si>
    <t>Health Care &amp; Wellness</t>
  </si>
  <si>
    <t>Timm</t>
  </si>
  <si>
    <t>Ormsby</t>
  </si>
  <si>
    <t>Labor &amp; Workplace Standards</t>
  </si>
  <si>
    <t>McCaslin</t>
  </si>
  <si>
    <t>804-698-1055</t>
  </si>
  <si>
    <t>College &amp; Workforce Development</t>
  </si>
  <si>
    <t>Rural Development, Agriculture &amp; Natural Resources</t>
  </si>
  <si>
    <t>Callan</t>
  </si>
  <si>
    <t>Human Services &amp; Early Learning (Vice Chair)</t>
  </si>
  <si>
    <t>804-698-1056</t>
  </si>
  <si>
    <t>Volz</t>
  </si>
  <si>
    <t>Jenny</t>
  </si>
  <si>
    <t>Jacquelin</t>
  </si>
  <si>
    <t>Maycumber</t>
  </si>
  <si>
    <t>Kretz</t>
  </si>
  <si>
    <t>Swartzmiller</t>
  </si>
  <si>
    <t>Dierio</t>
  </si>
  <si>
    <t>Toscano</t>
  </si>
  <si>
    <t>804-698-1057</t>
  </si>
  <si>
    <t>Klippert</t>
  </si>
  <si>
    <t>Boehnke</t>
  </si>
  <si>
    <t>Erikka</t>
  </si>
  <si>
    <t>Storch</t>
  </si>
  <si>
    <t>Fluhart</t>
  </si>
  <si>
    <t>Sukoff</t>
  </si>
  <si>
    <t>Dye</t>
  </si>
  <si>
    <t>Canestraro</t>
  </si>
  <si>
    <t>804-698-1058</t>
  </si>
  <si>
    <t>Pethtel</t>
  </si>
  <si>
    <t>Schmick</t>
  </si>
  <si>
    <t>Harshbarger</t>
  </si>
  <si>
    <t>Fariss</t>
  </si>
  <si>
    <t>804-698-1059</t>
  </si>
  <si>
    <t>Energy (Chair)</t>
  </si>
  <si>
    <t>Hollen</t>
  </si>
  <si>
    <t>Pensions and Retirement (Chair)</t>
  </si>
  <si>
    <t>Prevention and Treatment of Substance Abuse (Vice Chair)</t>
  </si>
  <si>
    <t>State Government &amp; Tribal Relations (Vice Chair)</t>
  </si>
  <si>
    <t>Energy (Vice Chair)</t>
  </si>
  <si>
    <t>Edmunds</t>
  </si>
  <si>
    <t>804-698-1060</t>
  </si>
  <si>
    <t>Azinger</t>
  </si>
  <si>
    <t>Insurance (Vice Chair)</t>
  </si>
  <si>
    <t>Criss</t>
  </si>
  <si>
    <t>Banking (Vice Chair)</t>
  </si>
  <si>
    <t>Enrolled Bills (Vice Chair)</t>
  </si>
  <si>
    <t>804-698-1061</t>
  </si>
  <si>
    <t>Westfall</t>
  </si>
  <si>
    <t>Hudgins</t>
  </si>
  <si>
    <t>Innovation, Technology &amp; Economic Development(Chair)</t>
  </si>
  <si>
    <t>Insurance (Chair)</t>
  </si>
  <si>
    <t>State Government &amp; Tribal Relations</t>
  </si>
  <si>
    <t>Higginbotham</t>
  </si>
  <si>
    <t>Small Buiness, Entrepreneurship and Economic Development</t>
  </si>
  <si>
    <t>Cadle</t>
  </si>
  <si>
    <t>Technology and Infrastructure (Chair)</t>
  </si>
  <si>
    <t>Rule-Making Review (Vice Chair)</t>
  </si>
  <si>
    <t>Veterans Affairs (Vice Chair)</t>
  </si>
  <si>
    <t>Rule-Making Review (Chair)</t>
  </si>
  <si>
    <t>Goehner</t>
  </si>
  <si>
    <t>804-698-1062</t>
  </si>
  <si>
    <t>Hornbuckle</t>
  </si>
  <si>
    <t>Mandt</t>
  </si>
  <si>
    <t>Linville</t>
  </si>
  <si>
    <t>Technology and Infrastructure (Vice Chair)</t>
  </si>
  <si>
    <t>Lashrecse</t>
  </si>
  <si>
    <t>Lovejoy</t>
  </si>
  <si>
    <t>Aird</t>
  </si>
  <si>
    <t>804-698-1063</t>
  </si>
  <si>
    <t>Mathhew</t>
  </si>
  <si>
    <t>Rohrbach</t>
  </si>
  <si>
    <t>Prevention and Treatment of Substance Abuse (Chair)</t>
  </si>
  <si>
    <t>Senior Citizen Issues (Vice Chair)</t>
  </si>
  <si>
    <t>Worrell</t>
  </si>
  <si>
    <t>Dent</t>
  </si>
  <si>
    <t>hicks</t>
  </si>
  <si>
    <t>804-698-1064</t>
  </si>
  <si>
    <t>Browon</t>
  </si>
  <si>
    <t>Manweller</t>
  </si>
  <si>
    <t>Capital Budget (Chair)</t>
  </si>
  <si>
    <t>Maynard</t>
  </si>
  <si>
    <t>Fire Departments and Emergency Medical Services (Chair)</t>
  </si>
  <si>
    <t>Corry</t>
  </si>
  <si>
    <t>Mosbrucker</t>
  </si>
  <si>
    <t>804-698-1065</t>
  </si>
  <si>
    <t>Roddney</t>
  </si>
  <si>
    <t>804-698-1066</t>
  </si>
  <si>
    <t>Rodighiero</t>
  </si>
  <si>
    <t>Karrie</t>
  </si>
  <si>
    <t>Tomblin</t>
  </si>
  <si>
    <t>Delaney</t>
  </si>
  <si>
    <t>804-698-1067</t>
  </si>
  <si>
    <t>Paynter</t>
  </si>
  <si>
    <t>Homeland Security (Vice Chair)</t>
  </si>
  <si>
    <t>Shott</t>
  </si>
  <si>
    <t>Jenkin</t>
  </si>
  <si>
    <t>Rude</t>
  </si>
  <si>
    <t>804-698-1068</t>
  </si>
  <si>
    <t>Kraft</t>
  </si>
  <si>
    <t>Capital Budget (Vice Chair)</t>
  </si>
  <si>
    <t>Local Government (Vice Chair)</t>
  </si>
  <si>
    <t>804-698-1069</t>
  </si>
  <si>
    <t>Porterfield</t>
  </si>
  <si>
    <t>Health and Human Resources (Chair)</t>
  </si>
  <si>
    <t>Pack</t>
  </si>
  <si>
    <t>McQuinn</t>
  </si>
  <si>
    <t>Government Organization (Vice Chair)</t>
  </si>
  <si>
    <t>804-698-1070</t>
  </si>
  <si>
    <t>Hoff</t>
  </si>
  <si>
    <t>Chritopher</t>
  </si>
  <si>
    <t>Toney</t>
  </si>
  <si>
    <t>804-698-1071</t>
  </si>
  <si>
    <t>Rural Development, Agriculture &amp; Natural Resources (Chair)</t>
  </si>
  <si>
    <t>Kayla</t>
  </si>
  <si>
    <t>Schuyler</t>
  </si>
  <si>
    <t>DeBolt</t>
  </si>
  <si>
    <t>Fast</t>
  </si>
  <si>
    <t>Industry and Labor (Chair)</t>
  </si>
  <si>
    <t>Staggers</t>
  </si>
  <si>
    <t>Orcutt</t>
  </si>
  <si>
    <t>Hanshaw</t>
  </si>
  <si>
    <t>VanValkenburg</t>
  </si>
  <si>
    <t>804-698-1072</t>
  </si>
  <si>
    <t>Capital Budget – (Vice Chair)</t>
  </si>
  <si>
    <t>Local Government – (Vice Chair)</t>
  </si>
  <si>
    <t>Environment &amp; Energy</t>
  </si>
  <si>
    <t>Douf</t>
  </si>
  <si>
    <t>Skaff</t>
  </si>
  <si>
    <t>Lillian</t>
  </si>
  <si>
    <t>Rodman</t>
  </si>
  <si>
    <t>804-698-1073</t>
  </si>
  <si>
    <t>Ortiz-Self</t>
  </si>
  <si>
    <t>Housing, Community Development, &amp; Veterans (Vice Chair)</t>
  </si>
  <si>
    <t>Human Services &amp; Early Learning</t>
  </si>
  <si>
    <t>Capito</t>
  </si>
  <si>
    <t>Enrolled Bills (Chair)</t>
  </si>
  <si>
    <t>Banking (Chair)</t>
  </si>
  <si>
    <t>Estep-Burton</t>
  </si>
  <si>
    <t>Bagby</t>
  </si>
  <si>
    <t>804-698-1074</t>
  </si>
  <si>
    <t>Pushkin</t>
  </si>
  <si>
    <t>Doglio</t>
  </si>
  <si>
    <t>Dianna</t>
  </si>
  <si>
    <t>Pensions and Retirement (Vice Chair)</t>
  </si>
  <si>
    <t>Roslyn</t>
  </si>
  <si>
    <t>Malcom</t>
  </si>
  <si>
    <t>Appleton</t>
  </si>
  <si>
    <t>804-698-1075</t>
  </si>
  <si>
    <t>College &amp; Workforce Development (Chair)</t>
  </si>
  <si>
    <t>Civil Rights &amp; Judiciary</t>
  </si>
  <si>
    <t>Lavender-Bowe</t>
  </si>
  <si>
    <t>Labor &amp; Workplace Standards (Vice Chair)</t>
  </si>
  <si>
    <t>Rural Development Agriculture &amp; Natural Resources</t>
  </si>
  <si>
    <t>804-698-1076</t>
  </si>
  <si>
    <t>Industry and Labor (Vice Chair)</t>
  </si>
  <si>
    <t>Tharinger</t>
  </si>
  <si>
    <t>Capital Budget – (Chair)</t>
  </si>
  <si>
    <t>Miley</t>
  </si>
  <si>
    <t>Hayes,</t>
  </si>
  <si>
    <t>804-698-1077</t>
  </si>
  <si>
    <t>Gildon</t>
  </si>
  <si>
    <t>Small Business, Entrepreneurship and Economic Development (Vice Chair)</t>
  </si>
  <si>
    <t>Hamrick</t>
  </si>
  <si>
    <t>Leftwich</t>
  </si>
  <si>
    <t>804-698-1078</t>
  </si>
  <si>
    <t>Waxman</t>
  </si>
  <si>
    <t>Interstate Cooperation (Vice Chair)</t>
  </si>
  <si>
    <t>Caldier</t>
  </si>
  <si>
    <t>Heretick</t>
  </si>
  <si>
    <t>804-698-1079</t>
  </si>
  <si>
    <t>Jinkins</t>
  </si>
  <si>
    <t>Civil Rights &amp; Judiciary (Chair)</t>
  </si>
  <si>
    <t>Fey</t>
  </si>
  <si>
    <t>College &amp; Workforce Development (Vice Chair)</t>
  </si>
  <si>
    <t>Housing, Community Development, &amp; Veterans</t>
  </si>
  <si>
    <t>Longstreth</t>
  </si>
  <si>
    <t>804-698-1080</t>
  </si>
  <si>
    <t>Kilduff</t>
  </si>
  <si>
    <t>Angelucci</t>
  </si>
  <si>
    <t>Fleichaur</t>
  </si>
  <si>
    <t>Housing, Community Development, &amp; Veterans – (Vice Chair)</t>
  </si>
  <si>
    <t>Consumer Protection &amp; Business (Chair)</t>
  </si>
  <si>
    <t>Pyles</t>
  </si>
  <si>
    <t>804-698-1081</t>
  </si>
  <si>
    <t>Sypolt</t>
  </si>
  <si>
    <t>Pellicciotti</t>
  </si>
  <si>
    <t>Commerce &amp; Gaming (Vice Chair)</t>
  </si>
  <si>
    <t>Consumer Protection &amp; Business (Vice Chair)</t>
  </si>
  <si>
    <t>Fire Departments and Emergency Medical Services (Vice Chair)</t>
  </si>
  <si>
    <t>Homeland Security (Chair)</t>
  </si>
  <si>
    <t>Hott</t>
  </si>
  <si>
    <t>Sponaugle</t>
  </si>
  <si>
    <t>Commerce &amp; Gaming – (Vice Chair)</t>
  </si>
  <si>
    <t>Consumer Protection &amp; Business – (Vice Chair)</t>
  </si>
  <si>
    <t>Government Organization (Chair)</t>
  </si>
  <si>
    <t>Rowan</t>
  </si>
  <si>
    <t>Senior Citizen Issues (Chair)</t>
  </si>
  <si>
    <t>Miyares</t>
  </si>
  <si>
    <t>804-698-1082</t>
  </si>
  <si>
    <t>Cowles</t>
  </si>
  <si>
    <t>Kump</t>
  </si>
  <si>
    <t>Stokesbary</t>
  </si>
  <si>
    <t>Bibby</t>
  </si>
  <si>
    <t>Stolle</t>
  </si>
  <si>
    <t>804-698-1083</t>
  </si>
  <si>
    <t>Ryu</t>
  </si>
  <si>
    <t>Housing, Community Development, &amp; Veterans – (Chair)</t>
  </si>
  <si>
    <t>Sammi</t>
  </si>
  <si>
    <t>Espinosa</t>
  </si>
  <si>
    <t>Orwall</t>
  </si>
  <si>
    <t>804-698-1084</t>
  </si>
  <si>
    <t>Gregerson</t>
  </si>
  <si>
    <t>State Government &amp; Tribal Relations (Chair)</t>
  </si>
  <si>
    <t>Ihlenfeld</t>
  </si>
  <si>
    <t>Health Care &amp; Wellness – (Chair)</t>
  </si>
  <si>
    <t>Fitzgibbon</t>
  </si>
  <si>
    <t>Environment &amp; Energy (Chair)</t>
  </si>
  <si>
    <t>Turpin</t>
  </si>
  <si>
    <t>804-698-1085</t>
  </si>
  <si>
    <t>MacEwen</t>
  </si>
  <si>
    <t>Boysko</t>
  </si>
  <si>
    <t>804-698-1086</t>
  </si>
  <si>
    <t>Frame</t>
  </si>
  <si>
    <t>Gael</t>
  </si>
  <si>
    <t>Military (Chair)</t>
  </si>
  <si>
    <t>Tarleton</t>
  </si>
  <si>
    <t>Health Care &amp; Wellness (Vice Chair)</t>
  </si>
  <si>
    <t>Innovation, Technology &amp; Economic Development</t>
  </si>
  <si>
    <t>804-698-1087</t>
  </si>
  <si>
    <t>Transportation and Infrastructure (Chair)</t>
  </si>
  <si>
    <t>Santos</t>
  </si>
  <si>
    <t>Education – (Chair)</t>
  </si>
  <si>
    <t>Military (Vice Chair)</t>
  </si>
  <si>
    <t>Pettigrew</t>
  </si>
  <si>
    <t>804-698-1088</t>
  </si>
  <si>
    <t>Pensions (Chair)</t>
  </si>
  <si>
    <t>June</t>
  </si>
  <si>
    <t>Health Care &amp; Wellness (Chair)</t>
  </si>
  <si>
    <t>Boley</t>
  </si>
  <si>
    <t>804-698-1089</t>
  </si>
  <si>
    <t>Confirmations (Chair)</t>
  </si>
  <si>
    <t>Sutherland</t>
  </si>
  <si>
    <t>Rural Development, Agriculture &amp; Natural Resources (Vice Chair)</t>
  </si>
  <si>
    <t>Health and Human Resources (Vice Chair)</t>
  </si>
  <si>
    <t>Eslick</t>
  </si>
  <si>
    <t>804-698-1090</t>
  </si>
  <si>
    <t>Lekanoff</t>
  </si>
  <si>
    <t>Environment &amp; Energy – (Vice Chair)</t>
  </si>
  <si>
    <t>Woelfel</t>
  </si>
  <si>
    <t>Helsel</t>
  </si>
  <si>
    <t>Plymale</t>
  </si>
  <si>
    <t>804-698-1091</t>
  </si>
  <si>
    <t>Tana</t>
  </si>
  <si>
    <t>My-Linh</t>
  </si>
  <si>
    <t>Thai</t>
  </si>
  <si>
    <t>Civil Rights &amp; Judiciary – (Vice Chair)</t>
  </si>
  <si>
    <t>Jeion</t>
  </si>
  <si>
    <t>Economic Development (Chair)</t>
  </si>
  <si>
    <t>Luanne</t>
  </si>
  <si>
    <t>804-698-1092</t>
  </si>
  <si>
    <t>VanWerven</t>
  </si>
  <si>
    <t>Swope</t>
  </si>
  <si>
    <t>Economic Development (Vice Chair)</t>
  </si>
  <si>
    <t>Shewmake</t>
  </si>
  <si>
    <t>Transportation and Infrastructure (Vice Chair)</t>
  </si>
  <si>
    <t>Rural Development, Agriculture &amp; Natural Resources – (Vice Chair)</t>
  </si>
  <si>
    <t>Stollings</t>
  </si>
  <si>
    <t>804-698-1093</t>
  </si>
  <si>
    <t>Macri</t>
  </si>
  <si>
    <t>Health Care &amp; Wellness – (Vice Chair)</t>
  </si>
  <si>
    <t>Chopp</t>
  </si>
  <si>
    <t>Ojeda</t>
  </si>
  <si>
    <t>804-698-1094</t>
  </si>
  <si>
    <t>Lovick</t>
  </si>
  <si>
    <t>Mead</t>
  </si>
  <si>
    <t>804-698-1095</t>
  </si>
  <si>
    <t>Rollan</t>
  </si>
  <si>
    <t>Springer</t>
  </si>
  <si>
    <t>Pogge</t>
  </si>
  <si>
    <t>804-698-1096</t>
  </si>
  <si>
    <t>Pollet</t>
  </si>
  <si>
    <t>Housing, Community Development, &amp; Veterans (Chair)</t>
  </si>
  <si>
    <t>Agriculture and Rural Development (Vice Chair)</t>
  </si>
  <si>
    <t>Pensions (Vice Chair)</t>
  </si>
  <si>
    <t>Entenman</t>
  </si>
  <si>
    <t>Peace</t>
  </si>
  <si>
    <t>Boso</t>
  </si>
  <si>
    <t>804-698-1097</t>
  </si>
  <si>
    <t>Romano</t>
  </si>
  <si>
    <t>Vandana</t>
  </si>
  <si>
    <t>804-698-1098</t>
  </si>
  <si>
    <t>Facemire</t>
  </si>
  <si>
    <t>Slatter</t>
  </si>
  <si>
    <t>Walen</t>
  </si>
  <si>
    <t>Roman</t>
  </si>
  <si>
    <t>Ransone</t>
  </si>
  <si>
    <t>804-698-1099</t>
  </si>
  <si>
    <t>Prezioso</t>
  </si>
  <si>
    <t>Stonier</t>
  </si>
  <si>
    <t>Civil Rights &amp; Judiciary (Vice Chair)</t>
  </si>
  <si>
    <t>Bloxom</t>
  </si>
  <si>
    <t>804-698-1000</t>
  </si>
  <si>
    <t>Agriculture and Rural Development (Chair)</t>
  </si>
  <si>
    <t>Energy, Industry, and Mining (Vice Chair)</t>
  </si>
  <si>
    <t>Monty</t>
  </si>
  <si>
    <t>Energy, Industry, and Mining (Chair)</t>
  </si>
  <si>
    <t>Agriculture, Conservation and Natural Resources</t>
  </si>
  <si>
    <t>General Laws and Technology</t>
  </si>
  <si>
    <t>Rehabilitation and Social Services</t>
  </si>
  <si>
    <t>804-698-7501</t>
  </si>
  <si>
    <t>Trump</t>
  </si>
  <si>
    <t>Billig</t>
  </si>
  <si>
    <t>Blair</t>
  </si>
  <si>
    <t>Mamie</t>
  </si>
  <si>
    <t>Unger</t>
  </si>
  <si>
    <t>Locke</t>
  </si>
  <si>
    <t>Padden</t>
  </si>
  <si>
    <t>Education and Health</t>
  </si>
  <si>
    <t>804-698-7502</t>
  </si>
  <si>
    <t>Mullet</t>
  </si>
  <si>
    <t>Takubo</t>
  </si>
  <si>
    <t>Confirmations (Vice Chair)</t>
  </si>
  <si>
    <t>Norment</t>
  </si>
  <si>
    <t>804-698-7503</t>
  </si>
  <si>
    <t>Holy</t>
  </si>
  <si>
    <t>Senate Minority Whip</t>
  </si>
  <si>
    <t>McDougle</t>
  </si>
  <si>
    <t>804-698-7504</t>
  </si>
  <si>
    <t>Justice</t>
  </si>
  <si>
    <t>McKinley</t>
  </si>
  <si>
    <t>Lionell</t>
  </si>
  <si>
    <t>Manchin</t>
  </si>
  <si>
    <t>Morrisey</t>
  </si>
  <si>
    <t>Spruill</t>
  </si>
  <si>
    <t>804-698-7505</t>
  </si>
  <si>
    <t>Schoesler</t>
  </si>
  <si>
    <t>Lynwood</t>
  </si>
  <si>
    <t>Minority Deputy Whip</t>
  </si>
  <si>
    <t>804-698-7506</t>
  </si>
  <si>
    <t>Hasegawa</t>
  </si>
  <si>
    <t>Majoritry Caucus Vice Chair</t>
  </si>
  <si>
    <t>804-698-7507</t>
  </si>
  <si>
    <t>Minority Deputy Floor Leader</t>
  </si>
  <si>
    <t>Warnick</t>
  </si>
  <si>
    <t>DeSteph</t>
  </si>
  <si>
    <t>804-698-7508</t>
  </si>
  <si>
    <t>McClellan</t>
  </si>
  <si>
    <t>804-698-7509</t>
  </si>
  <si>
    <t>Honeyford</t>
  </si>
  <si>
    <t>Sturtevant</t>
  </si>
  <si>
    <t>804-698-7510</t>
  </si>
  <si>
    <t>804-698-7511</t>
  </si>
  <si>
    <t>Siobhan</t>
  </si>
  <si>
    <t>Takko</t>
  </si>
  <si>
    <t>Dunnavant</t>
  </si>
  <si>
    <t>804-698-7512</t>
  </si>
  <si>
    <t>804-698-7513</t>
  </si>
  <si>
    <t>Marko</t>
  </si>
  <si>
    <t>Liias</t>
  </si>
  <si>
    <t>Floor Leader</t>
  </si>
  <si>
    <t>Cosgrove</t>
  </si>
  <si>
    <t>804-698-7514</t>
  </si>
  <si>
    <t>Rolfes</t>
  </si>
  <si>
    <t>Ruff</t>
  </si>
  <si>
    <t>804-698-7515</t>
  </si>
  <si>
    <t>VanDeWege</t>
  </si>
  <si>
    <t>Dance</t>
  </si>
  <si>
    <t>804-698-7516</t>
  </si>
  <si>
    <t>Hans</t>
  </si>
  <si>
    <t>Zeiger</t>
  </si>
  <si>
    <t>804-698-7517</t>
  </si>
  <si>
    <t>Jeannie</t>
  </si>
  <si>
    <t>804-698-7518</t>
  </si>
  <si>
    <t>Darneille</t>
  </si>
  <si>
    <t>O'Ban</t>
  </si>
  <si>
    <t>Suetterlein</t>
  </si>
  <si>
    <t>804-698-7519</t>
  </si>
  <si>
    <t>804-698-7520</t>
  </si>
  <si>
    <t>Vice President Pro Tempore</t>
  </si>
  <si>
    <t>Democrat</t>
  </si>
  <si>
    <t>804-698-7521</t>
  </si>
  <si>
    <t>Fortunato</t>
  </si>
  <si>
    <t>804-698-7522</t>
  </si>
  <si>
    <t>804-698-7523</t>
  </si>
  <si>
    <t>Hanger</t>
  </si>
  <si>
    <t>804-698-7524</t>
  </si>
  <si>
    <t>Dem (MCC)</t>
  </si>
  <si>
    <t>Creigh</t>
  </si>
  <si>
    <t>Deeds</t>
  </si>
  <si>
    <t>804-698-7525</t>
  </si>
  <si>
    <t>Reuven</t>
  </si>
  <si>
    <t>Carlyle</t>
  </si>
  <si>
    <t>https://docs.legis.wisconsin.gov/2017/legislators/assembly</t>
  </si>
  <si>
    <t>Obenshain</t>
  </si>
  <si>
    <t>804-698-7526</t>
  </si>
  <si>
    <t>608-266-5350</t>
  </si>
  <si>
    <t>Saldana</t>
  </si>
  <si>
    <t>Deputy Leader</t>
  </si>
  <si>
    <t>804-698-7527</t>
  </si>
  <si>
    <t>Shae</t>
  </si>
  <si>
    <t>Sortwell</t>
  </si>
  <si>
    <t>Tusler</t>
  </si>
  <si>
    <t>608-266-5831</t>
  </si>
  <si>
    <t>804-698-7528</t>
  </si>
  <si>
    <t>Steffen</t>
  </si>
  <si>
    <t>608-266-5840</t>
  </si>
  <si>
    <t>McPike</t>
  </si>
  <si>
    <t>804-698-7529</t>
  </si>
  <si>
    <t>Steineke</t>
  </si>
  <si>
    <t>608-266-2418</t>
  </si>
  <si>
    <t>Ranker</t>
  </si>
  <si>
    <t>Tauchen</t>
  </si>
  <si>
    <t>608-266-3097</t>
  </si>
  <si>
    <t>Wellman</t>
  </si>
  <si>
    <t>Ebbin</t>
  </si>
  <si>
    <t>804-698-7530</t>
  </si>
  <si>
    <t>Riemer</t>
  </si>
  <si>
    <t>Ericksen</t>
  </si>
  <si>
    <t>608-266-1733</t>
  </si>
  <si>
    <t>JoCasta</t>
  </si>
  <si>
    <t>Favola</t>
  </si>
  <si>
    <t>804-698-7531</t>
  </si>
  <si>
    <t>Zamarripa</t>
  </si>
  <si>
    <t>608-267-7669</t>
  </si>
  <si>
    <t xml:space="preserve">Marisabel </t>
  </si>
  <si>
    <t>Cabrera</t>
  </si>
  <si>
    <t>Pedersen</t>
  </si>
  <si>
    <t>804-698-7532</t>
  </si>
  <si>
    <t>Bowen</t>
  </si>
  <si>
    <t>608-266-7671</t>
  </si>
  <si>
    <t>608-266-3756</t>
  </si>
  <si>
    <t>Wexton</t>
  </si>
  <si>
    <t>LaKeshia</t>
  </si>
  <si>
    <t>804-698-7533</t>
  </si>
  <si>
    <t>Manka</t>
  </si>
  <si>
    <t>Chap</t>
  </si>
  <si>
    <t>Dhingra</t>
  </si>
  <si>
    <t>Hutton</t>
  </si>
  <si>
    <t>608-267-9836</t>
  </si>
  <si>
    <t>Vining</t>
  </si>
  <si>
    <t>804-698-7534</t>
  </si>
  <si>
    <t>Sanfelippo</t>
  </si>
  <si>
    <t>608-266-0620</t>
  </si>
  <si>
    <t>Frockt</t>
  </si>
  <si>
    <t>Saslaw</t>
  </si>
  <si>
    <t>Kalan</t>
  </si>
  <si>
    <t>804-698-7535</t>
  </si>
  <si>
    <t>608-266-5580</t>
  </si>
  <si>
    <t>Fain</t>
  </si>
  <si>
    <t>Surovell</t>
  </si>
  <si>
    <t>804-698-7536</t>
  </si>
  <si>
    <t>Goyke</t>
  </si>
  <si>
    <t>608-266-0645</t>
  </si>
  <si>
    <t>Marsden</t>
  </si>
  <si>
    <t>804-698-7537</t>
  </si>
  <si>
    <t>Brostoff</t>
  </si>
  <si>
    <t>608-266-0650</t>
  </si>
  <si>
    <t>Kuderer</t>
  </si>
  <si>
    <t>Chafin</t>
  </si>
  <si>
    <t>804-698-7538</t>
  </si>
  <si>
    <t>Sinicki</t>
  </si>
  <si>
    <t>608-266-8588</t>
  </si>
  <si>
    <t>804-698-7539</t>
  </si>
  <si>
    <t>Inslee</t>
  </si>
  <si>
    <t>Carrico</t>
  </si>
  <si>
    <t>804-698-7540</t>
  </si>
  <si>
    <t>608-266-0610</t>
  </si>
  <si>
    <t>Suzan</t>
  </si>
  <si>
    <t>DelBene</t>
  </si>
  <si>
    <t>Northam</t>
  </si>
  <si>
    <t>Janel</t>
  </si>
  <si>
    <t>Beutler</t>
  </si>
  <si>
    <t>Wittman</t>
  </si>
  <si>
    <t>Luria</t>
  </si>
  <si>
    <t>Kilmer</t>
  </si>
  <si>
    <t>Pramila</t>
  </si>
  <si>
    <t>Jayapal</t>
  </si>
  <si>
    <t>McEachin</t>
  </si>
  <si>
    <t>Riggleman</t>
  </si>
  <si>
    <t>Brandtjen</t>
  </si>
  <si>
    <t>Schrier</t>
  </si>
  <si>
    <t>608-267-2367</t>
  </si>
  <si>
    <t>Spanberger</t>
  </si>
  <si>
    <t>Heck</t>
  </si>
  <si>
    <t>Cantwell</t>
  </si>
  <si>
    <t>608-266-0486</t>
  </si>
  <si>
    <t>Knodl</t>
  </si>
  <si>
    <t>608-266-3796</t>
  </si>
  <si>
    <t>Tittl</t>
  </si>
  <si>
    <t>608-266-0315</t>
  </si>
  <si>
    <t>Katsma</t>
  </si>
  <si>
    <t>608-266-0656</t>
  </si>
  <si>
    <t>Vorpagel</t>
  </si>
  <si>
    <t>608-266-8530</t>
  </si>
  <si>
    <t>Gae</t>
  </si>
  <si>
    <t>Magnafici</t>
  </si>
  <si>
    <t>Stafsholt</t>
  </si>
  <si>
    <t>608-266-7683</t>
  </si>
  <si>
    <t>608-266-1526</t>
  </si>
  <si>
    <t>Loudenbeck</t>
  </si>
  <si>
    <t>608-266-9967</t>
  </si>
  <si>
    <t>August</t>
  </si>
  <si>
    <t>608-266-1190</t>
  </si>
  <si>
    <t>Horlacher</t>
  </si>
  <si>
    <t>608-266-5715</t>
  </si>
  <si>
    <t>Swearingen</t>
  </si>
  <si>
    <t>608-266-7141</t>
  </si>
  <si>
    <t>Felzkowski</t>
  </si>
  <si>
    <t>608-266-7694</t>
  </si>
  <si>
    <t>Mursau</t>
  </si>
  <si>
    <t>608-266-3780</t>
  </si>
  <si>
    <t>Jagler</t>
  </si>
  <si>
    <t>608-266-9650</t>
  </si>
  <si>
    <t>Dittrich</t>
  </si>
  <si>
    <t>Born</t>
  </si>
  <si>
    <t>608-266-2540</t>
  </si>
  <si>
    <t>608-266-3794</t>
  </si>
  <si>
    <t>Ballweg</t>
  </si>
  <si>
    <t>608-266-8077</t>
  </si>
  <si>
    <t>Plumer</t>
  </si>
  <si>
    <t>608-266-3404</t>
  </si>
  <si>
    <t>Vruwink</t>
  </si>
  <si>
    <t>608-266-3790</t>
  </si>
  <si>
    <t>Kolste</t>
  </si>
  <si>
    <t>608-266-7503</t>
  </si>
  <si>
    <t>Spreitzer</t>
  </si>
  <si>
    <t>Minority caucus chair</t>
  </si>
  <si>
    <t>608-266-1192</t>
  </si>
  <si>
    <t>Hebl</t>
  </si>
  <si>
    <t>608-266-7678</t>
  </si>
  <si>
    <t>608-266-8570</t>
  </si>
  <si>
    <t>Sargent</t>
  </si>
  <si>
    <t>2017-proposed expanding the 2011 mandate so police agencies would be required to submit all rape kits to crime labs for testing or storage within 30 days of collection. The idea never gained traction</t>
  </si>
  <si>
    <t>608-266-0960</t>
  </si>
  <si>
    <t>Tranel</t>
  </si>
  <si>
    <t>608-266-1170</t>
  </si>
  <si>
    <t>Novak</t>
  </si>
  <si>
    <t>608-266-7502</t>
  </si>
  <si>
    <t>Thiesfeldt</t>
  </si>
  <si>
    <t>608-266-3156</t>
  </si>
  <si>
    <t>Schraa</t>
  </si>
  <si>
    <t>608-267-7990</t>
  </si>
  <si>
    <t>Hintz</t>
  </si>
  <si>
    <t>608-266-2254</t>
  </si>
  <si>
    <t>Rohrkaste</t>
  </si>
  <si>
    <t>608-266-5719</t>
  </si>
  <si>
    <t xml:space="preserve">Connie </t>
  </si>
  <si>
    <t>608-266-7500</t>
  </si>
  <si>
    <t>Stuck</t>
  </si>
  <si>
    <t>608-266-3070</t>
  </si>
  <si>
    <t>Gundrum</t>
  </si>
  <si>
    <t>608-264-8486</t>
  </si>
  <si>
    <t>Ramthun</t>
  </si>
  <si>
    <t>Lindholm</t>
  </si>
  <si>
    <t>Blockchain task force (Chairman)</t>
  </si>
  <si>
    <t>Select Federal Natural Resource Management (Chairman)</t>
  </si>
  <si>
    <t>House Corporations, Elections &amp; Political Subdivisions</t>
  </si>
  <si>
    <t>House Minerals, Business &amp; Economic Development</t>
  </si>
  <si>
    <t>Canada Relations</t>
  </si>
  <si>
    <t>CONTACT INFO IS DONE, COMMITTEES RAN OVER SO IT'S TO THE RIGHT &gt;&gt;&gt;&gt;&gt;&gt;</t>
  </si>
  <si>
    <t>(307) 282-0968</t>
  </si>
  <si>
    <t>608-267-2369</t>
  </si>
  <si>
    <t>House Agriculture, State and Public Lands &amp; Water Resources (Chairman)</t>
  </si>
  <si>
    <t>Select Water Committee (Chairman)</t>
  </si>
  <si>
    <t>Select Committee on School Facilities</t>
  </si>
  <si>
    <t>NCSL Legislative Effectiveness</t>
  </si>
  <si>
    <t>NCSL Natural Resources and Infrastructure</t>
  </si>
  <si>
    <t>Agriculture &amp; Water (Alternate)</t>
  </si>
  <si>
    <t>(307) 746-4063</t>
  </si>
  <si>
    <t>Majoirty Leader</t>
  </si>
  <si>
    <t>Kerkman</t>
  </si>
  <si>
    <t xml:space="preserve">called- calling me back (rip) </t>
  </si>
  <si>
    <t>608-266-2530</t>
  </si>
  <si>
    <t>House Labor, Health &amp; Social Services (Chairman)</t>
  </si>
  <si>
    <t xml:space="preserve">Provider Funding Model Subcommittee </t>
  </si>
  <si>
    <t>Task force on innovations in State Health Systems</t>
  </si>
  <si>
    <t>Executive Committee</t>
  </si>
  <si>
    <t>State &amp; Federal Relations</t>
  </si>
  <si>
    <t>(307) 682-9639</t>
  </si>
  <si>
    <t>Wittke</t>
  </si>
  <si>
    <t>Steinmetz</t>
  </si>
  <si>
    <t>House Agriculture, State and Public Lands &amp; Water Resources</t>
  </si>
  <si>
    <t>House Travel, Recreation, Wildlife &amp; Cultural Resources</t>
  </si>
  <si>
    <t>State &amp; Federal Relations (Alternate)</t>
  </si>
  <si>
    <t>(307) 534-5342</t>
  </si>
  <si>
    <t>(307) 351-3664</t>
  </si>
  <si>
    <t>Vos</t>
  </si>
  <si>
    <t>Backed last minute proposal to test backlogged rape kits in 2011</t>
  </si>
  <si>
    <t>608-266-9171</t>
  </si>
  <si>
    <t>Provider Funding Model Subcommittee (Chairman)</t>
  </si>
  <si>
    <t>Select Committee on Family Medicine Residency Programs (Chairman)</t>
  </si>
  <si>
    <t>House Appropriations</t>
  </si>
  <si>
    <t>House Rules &amp; Procedures</t>
  </si>
  <si>
    <t>Select Committee on Capital Fincancing &amp; Investments</t>
  </si>
  <si>
    <t>Select Committee on Legislative Facilities, Technology, and Process</t>
  </si>
  <si>
    <t>Legislative Artwork Donation Program Committee</t>
  </si>
  <si>
    <t>Labor &amp; Economic Development</t>
  </si>
  <si>
    <t>Military &amp; Veterans Affairs Task Force</t>
  </si>
  <si>
    <t>(307) 316-7497</t>
  </si>
  <si>
    <t>House Appropriations (Chairman)</t>
  </si>
  <si>
    <t>Capitol Building Restoration Oversight Group</t>
  </si>
  <si>
    <t>Joint Legislative and Executive Task force on Dept. of Health Facilities</t>
  </si>
  <si>
    <t xml:space="preserve">Task Force on University of Wyoming Housing </t>
  </si>
  <si>
    <t>Energ Council (Alternate)</t>
  </si>
  <si>
    <t>State Retirement Board Liaison</t>
  </si>
  <si>
    <t>CSG National - Fiscal and Economic Development</t>
  </si>
  <si>
    <t>CSG West - Finance &amp; Economic Development</t>
  </si>
  <si>
    <t>(307) 634-6057</t>
  </si>
  <si>
    <t>House Education</t>
  </si>
  <si>
    <t>House Transportation, Highways &amp; Military Affairs</t>
  </si>
  <si>
    <t>Advisory Task Force on Capitol Building Rehabilitation &amp; Restoration</t>
  </si>
  <si>
    <t>Interstate Compact for Adult Offender Supervision (Alternate)</t>
  </si>
  <si>
    <t>NCSL - Education (Alternate)</t>
  </si>
  <si>
    <t>(307) 630-0582</t>
  </si>
  <si>
    <t>House Transportation, Highways &amp; Military Affairs (Chairman)</t>
  </si>
  <si>
    <t>Barca</t>
  </si>
  <si>
    <t>608-266-5504</t>
  </si>
  <si>
    <t>Select Water Committee</t>
  </si>
  <si>
    <t>Multistate Highway Transportation Agreement Cooperating Committee</t>
  </si>
  <si>
    <t>(307) 246-3251</t>
  </si>
  <si>
    <t>Tod</t>
  </si>
  <si>
    <t>House Judiciary</t>
  </si>
  <si>
    <t>Blockchain Task Force</t>
  </si>
  <si>
    <t>Wyoming Court Security Commission</t>
  </si>
  <si>
    <t>(307) 509-0242</t>
  </si>
  <si>
    <t>Styvar</t>
  </si>
  <si>
    <t>Oregon, Tennesse, Texas, Utah</t>
  </si>
  <si>
    <t>House Labor, Health &amp; Social Services</t>
  </si>
  <si>
    <t>(307) 631-2566</t>
  </si>
  <si>
    <t>Management Council</t>
  </si>
  <si>
    <t>House Revenue</t>
  </si>
  <si>
    <t>Select Committee on School Finance Recalibration</t>
  </si>
  <si>
    <t>Advisory Task Force on Capitol Building Rehabilitation and Restoration</t>
  </si>
  <si>
    <t>State Workforce Investment Board</t>
  </si>
  <si>
    <t>CSG West - Executive Committee</t>
  </si>
  <si>
    <t>Ohnstad</t>
  </si>
  <si>
    <t>(307) 399-0482</t>
  </si>
  <si>
    <t>608-266-0455</t>
  </si>
  <si>
    <t>Furphy</t>
  </si>
  <si>
    <t>Called?</t>
  </si>
  <si>
    <t>Greta</t>
  </si>
  <si>
    <t>Select Committee on Capital Financing &amp; Investments</t>
  </si>
  <si>
    <t>Retirement Income Security Task Force</t>
  </si>
  <si>
    <t>Communications, Financial Services &amp; Interstate Commerce</t>
  </si>
  <si>
    <t xml:space="preserve">Labor &amp; Economic Development </t>
  </si>
  <si>
    <t>(307) 760-0148</t>
  </si>
  <si>
    <t>Burkhart</t>
  </si>
  <si>
    <t>Energy Producing States Coalition</t>
  </si>
  <si>
    <t>Energy Council</t>
  </si>
  <si>
    <t>Financial Advisory Council</t>
  </si>
  <si>
    <t>(307) 321-7074</t>
  </si>
  <si>
    <t>Representative</t>
  </si>
  <si>
    <t>rep.paulholvey@oregonlegislature.gov</t>
  </si>
  <si>
    <t>Yin</t>
  </si>
  <si>
    <t>rep.jeffbarker@oregonlegislature.gov</t>
  </si>
  <si>
    <t>rep.jenniferwilliamson@oregonlegislature.gov</t>
  </si>
  <si>
    <t>Traci</t>
  </si>
  <si>
    <t>Ciepliela</t>
  </si>
  <si>
    <t>rep.tinakotek@oregonlegislature.gov</t>
  </si>
  <si>
    <t>rep.barbarawarner@oregonlegislature.gov</t>
  </si>
  <si>
    <t>Neubauer</t>
  </si>
  <si>
    <t>Crank</t>
  </si>
  <si>
    <t>sen.floydprozanski@oregonlegislature.gov</t>
  </si>
  <si>
    <t>CSG West - Energy and Enviornment</t>
  </si>
  <si>
    <t>608-266-0634</t>
  </si>
  <si>
    <t>sen.petercourtney@oregonlegislature.gov</t>
  </si>
  <si>
    <t>(307) 727-6810</t>
  </si>
  <si>
    <t>sen.kimthatcher@oregonlegislature.gov</t>
  </si>
  <si>
    <t>Eyre</t>
  </si>
  <si>
    <t>sen.markhass@oregonlegislature.gov</t>
  </si>
  <si>
    <t xml:space="preserve">House Minerals, Business &amp; Economic Development </t>
  </si>
  <si>
    <t>Joint Legislative and Executive Task Force on Department of Health Facilities</t>
  </si>
  <si>
    <t>CSG National - Energy &amp; Enviornment</t>
  </si>
  <si>
    <t>sen.chuckriley@oregonlegislature.gov</t>
  </si>
  <si>
    <t>(307) 782-6376</t>
  </si>
  <si>
    <t>sen.ginnyburdick@oregonlegislature.gov</t>
  </si>
  <si>
    <t>Sommers</t>
  </si>
  <si>
    <t>sen.robwagner@oregonlegislature.gov</t>
  </si>
  <si>
    <t>Opioid Addiction Task  Force (Vice Chairman)</t>
  </si>
  <si>
    <t>Select Committee on School Finance Recalibration (Chairman)</t>
  </si>
  <si>
    <t>Broadband Advisory Council</t>
  </si>
  <si>
    <t>NCSL - Education</t>
  </si>
  <si>
    <t>sen.michaeldembrow@oregonlegislature.gov</t>
  </si>
  <si>
    <t>CSG West - Education &amp; Workforce Development</t>
  </si>
  <si>
    <t>(307) 360-7060</t>
  </si>
  <si>
    <t>sen.laurieanderson@oregonlegislature.gov</t>
  </si>
  <si>
    <t>rep.bill.dunn@capitol.tn.gov</t>
  </si>
  <si>
    <t>(307) 885-5588</t>
  </si>
  <si>
    <t>rep.cameron.sexton@capitol.tn.gov</t>
  </si>
  <si>
    <t>Majority Caucus Chairman</t>
  </si>
  <si>
    <t>rep.william.lamberth@capitol.tn.gov</t>
  </si>
  <si>
    <t>rep.glen.casada@capitol.tn.gov</t>
  </si>
  <si>
    <t>rep.ron.gant@capitol.tn.gov</t>
  </si>
  <si>
    <t>Provider Funding Model Subcommittee</t>
  </si>
  <si>
    <t>Interstate Compact for Juveniles</t>
  </si>
  <si>
    <t>(307) 413-5236</t>
  </si>
  <si>
    <t>sen.randy.mcnally@capitol.tn.gov</t>
  </si>
  <si>
    <t>Schwartz</t>
  </si>
  <si>
    <t>NCSL - Budgets and Revenue</t>
  </si>
  <si>
    <t>sen.ken.yager@capitol.tn.gov</t>
  </si>
  <si>
    <t>CSG West - Health &amp; Human Services</t>
  </si>
  <si>
    <t>(307) 413-6464</t>
  </si>
  <si>
    <t>sen.jack.johnson@capitol.tn.gov</t>
  </si>
  <si>
    <t>Newsome</t>
  </si>
  <si>
    <t>Laursen</t>
  </si>
  <si>
    <t>mikeschultz@le.utah.gov</t>
  </si>
  <si>
    <t>Summerfield</t>
  </si>
  <si>
    <t>House Agriculture, State and Public Lands Water Resources</t>
  </si>
  <si>
    <t>Air Transportation Liaison Committee</t>
  </si>
  <si>
    <t>608-266-1194</t>
  </si>
  <si>
    <t>(307) 271-0241</t>
  </si>
  <si>
    <t>Flitner</t>
  </si>
  <si>
    <t>(307) 765-2148</t>
  </si>
  <si>
    <t>Greear</t>
  </si>
  <si>
    <t>House Minerals, Business &amp; Economic Development (Chairman)</t>
  </si>
  <si>
    <t>Economically needed Diversity Options for Wyoming Executive Council</t>
  </si>
  <si>
    <t>Energy Counsil</t>
  </si>
  <si>
    <t>UW Energy Resource Council</t>
  </si>
  <si>
    <t>(307) 388-3399</t>
  </si>
  <si>
    <t>Kinner</t>
  </si>
  <si>
    <t>NCSL - State Policy &amp; Research for Early Education Working Group</t>
  </si>
  <si>
    <t>(307) 674-4777</t>
  </si>
  <si>
    <t>(307) 461-0697</t>
  </si>
  <si>
    <t>Opioid Addiction Task Force</t>
  </si>
  <si>
    <t>Department of Family Services Advisory Council</t>
  </si>
  <si>
    <t>NCSL - Health &amp; Human Resources</t>
  </si>
  <si>
    <t>CSG National - Health</t>
  </si>
  <si>
    <t>(307) 660-7141</t>
  </si>
  <si>
    <t>Hallinan</t>
  </si>
  <si>
    <t>(307) 686-6542</t>
  </si>
  <si>
    <t>kariannelisonbee@le.utah.gov</t>
  </si>
  <si>
    <t>Kulp</t>
  </si>
  <si>
    <t>608-267-0280</t>
  </si>
  <si>
    <t>House Travel Recreation Wildlife &amp; Cultural Resources (Chairman)</t>
  </si>
  <si>
    <t>Select Committee on Tribal Relations</t>
  </si>
  <si>
    <t>(307) 349-6784</t>
  </si>
  <si>
    <t>bradwilson@le.utah.gov</t>
  </si>
  <si>
    <t>CSG West - Canada Relations (Alternate)</t>
  </si>
  <si>
    <t>(307) 220-1213</t>
  </si>
  <si>
    <t>craighall@le.utah.gov</t>
  </si>
  <si>
    <t>MacGuire</t>
  </si>
  <si>
    <t>Government Efficency Commission</t>
  </si>
  <si>
    <t>Wyoming Commercial Air Service Improvement Council (Alternate)</t>
  </si>
  <si>
    <t>Wyoming Museum of Military Vehicles Task Force</t>
  </si>
  <si>
    <t>NCSL - Legislative Effectiveness (Alternate)</t>
  </si>
  <si>
    <t>valpeterson@le.utah.gov</t>
  </si>
  <si>
    <t>(307) 333-3653</t>
  </si>
  <si>
    <t>francisgibson@le.utah.gov</t>
  </si>
  <si>
    <t>Washut</t>
  </si>
  <si>
    <t>dhemmert@le.utah.gov</t>
  </si>
  <si>
    <t>VanderMeer</t>
  </si>
  <si>
    <t>Harshman</t>
  </si>
  <si>
    <t>608-266-8366</t>
  </si>
  <si>
    <t>Management Council (Vice Chairman)</t>
  </si>
  <si>
    <t>House Rules &amp; Procedures (Chairman)</t>
  </si>
  <si>
    <t>Task Force on University of Wyoming Housing (Chairman)</t>
  </si>
  <si>
    <t xml:space="preserve">Capitol Building Restoration Oversight Group </t>
  </si>
  <si>
    <t>amillner@le.utah.gov</t>
  </si>
  <si>
    <t>Casper State Office Building Advisory Task Force</t>
  </si>
  <si>
    <t>Economicaly Needed Diversity Options on Wyoming Executive Council</t>
  </si>
  <si>
    <t>(307) 262-8075</t>
  </si>
  <si>
    <t>sadams@le.utah.gov</t>
  </si>
  <si>
    <t xml:space="preserve">House Appropriations </t>
  </si>
  <si>
    <t>tweiler@le.utah.gov</t>
  </si>
  <si>
    <t xml:space="preserve">House Rules &amp; Procedures </t>
  </si>
  <si>
    <t>Task Force on University of Wyoming Housing (Alternate)</t>
  </si>
  <si>
    <t>State Building Commission Liaison</t>
  </si>
  <si>
    <t>Wyoming Commercial Air Service Improvement Council</t>
  </si>
  <si>
    <t>CSG National - Fiscal and Economic Development (Alternate)</t>
  </si>
  <si>
    <t>evickers@le.utah.gov</t>
  </si>
  <si>
    <t>(307) 265-8935</t>
  </si>
  <si>
    <t xml:space="preserve">Stan </t>
  </si>
  <si>
    <t>House Agriculture State and Public Lands &amp; Water Resources</t>
  </si>
  <si>
    <t>House Transportation Highways &amp; Military Affairs</t>
  </si>
  <si>
    <t xml:space="preserve">Select Committee on Tribal Relations </t>
  </si>
  <si>
    <t>https://house.texas.gov/members/member-page/email/?district=25</t>
  </si>
  <si>
    <t>Select Federal Natural Resources Management Committee</t>
  </si>
  <si>
    <t>(307) 875-3779</t>
  </si>
  <si>
    <t>Tass</t>
  </si>
  <si>
    <t>This email can't be automated</t>
  </si>
  <si>
    <t>House Minerals Business &amp; Economic Development</t>
  </si>
  <si>
    <t>Broadband Advisory Council (Alternate)</t>
  </si>
  <si>
    <t>Interstate Compact Students of Military Families (Alternate)</t>
  </si>
  <si>
    <t>NCSL - Natural Resources and Infrastructure (Alternate)</t>
  </si>
  <si>
    <t>Shankland</t>
  </si>
  <si>
    <t>(307) 201-9898</t>
  </si>
  <si>
    <t>608-267-9649</t>
  </si>
  <si>
    <t>House Corporations Elections &amp; Political Subdivisions</t>
  </si>
  <si>
    <t>CSG West - Transportation &amp; Infrastructure (Alternate)</t>
  </si>
  <si>
    <t>(307) 275-2647</t>
  </si>
  <si>
    <t>Krug</t>
  </si>
  <si>
    <t>608-267-5158</t>
  </si>
  <si>
    <t>Zwonitzer</t>
  </si>
  <si>
    <t>House Corporations Elections &amp; Political Subdivisions (Chairman)</t>
  </si>
  <si>
    <t>Select Committee on legislative facilities , technology and Process (Chairman)</t>
  </si>
  <si>
    <t>Advisory task force on Capitol building rehabilitation and restoration</t>
  </si>
  <si>
    <t>legislative artwork donation program committee</t>
  </si>
  <si>
    <t>NCSL - Communications Financial Services &amp; Interstate Commerce</t>
  </si>
  <si>
    <t>MCSL - Redistricting and Elections taks force</t>
  </si>
  <si>
    <t>Milroy</t>
  </si>
  <si>
    <t>608-266-0640</t>
  </si>
  <si>
    <t>(307) 214-7826</t>
  </si>
  <si>
    <t>Burlingame</t>
  </si>
  <si>
    <t>Meyers</t>
  </si>
  <si>
    <t>608-266-7690</t>
  </si>
  <si>
    <t>Romaine</t>
  </si>
  <si>
    <t>Pelkey</t>
  </si>
  <si>
    <t>Management Audit Committee</t>
  </si>
  <si>
    <t>(307) 920-0542</t>
  </si>
  <si>
    <t>608-266-2519</t>
  </si>
  <si>
    <t>House Travel Recreation Wildlife &amp; Cultural Resources</t>
  </si>
  <si>
    <t>Sage Grouse Implementation Team</t>
  </si>
  <si>
    <t>(307) 745-0450</t>
  </si>
  <si>
    <t>608-266-5342</t>
  </si>
  <si>
    <t>Select Natural Resource Funding Committee (Chairman)</t>
  </si>
  <si>
    <t>(307) 327-5373</t>
  </si>
  <si>
    <t>Stubbs</t>
  </si>
  <si>
    <t>Stith</t>
  </si>
  <si>
    <t>(307) 389-7735</t>
  </si>
  <si>
    <t>Subeck</t>
  </si>
  <si>
    <t>608-266-7521</t>
  </si>
  <si>
    <t>Piiparinen</t>
  </si>
  <si>
    <t>(307) 677-5222</t>
  </si>
  <si>
    <t>Hesselbein</t>
  </si>
  <si>
    <t>608-266-5340</t>
  </si>
  <si>
    <t>Sondy</t>
  </si>
  <si>
    <t>Northrup</t>
  </si>
  <si>
    <t>House Education (Chairman)</t>
  </si>
  <si>
    <t>Education Commission of the States</t>
  </si>
  <si>
    <t>CSG National - Education &amp; Workforce Development</t>
  </si>
  <si>
    <t>(307) 272-0617</t>
  </si>
  <si>
    <t>Cyrus</t>
  </si>
  <si>
    <t>Western</t>
  </si>
  <si>
    <t>608-266-3520</t>
  </si>
  <si>
    <t>Pownall</t>
  </si>
  <si>
    <t>NCSL - Law and Criminal Justice</t>
  </si>
  <si>
    <t>608-266-7746</t>
  </si>
  <si>
    <t>Skowronski</t>
  </si>
  <si>
    <t>608-266-8590</t>
  </si>
  <si>
    <t>House Corporations, Elections, &amp; Political Subdivisions</t>
  </si>
  <si>
    <t>(307) 680-4290</t>
  </si>
  <si>
    <t>Wichgers</t>
  </si>
  <si>
    <t>608-266-3363</t>
  </si>
  <si>
    <t>Joint Legislative and Executive Task Force on Department of Health Facilities (Chairman)</t>
  </si>
  <si>
    <t>Select Committee on Tribal Relations (Chairman)</t>
  </si>
  <si>
    <t>Energy Producting States Coalition</t>
  </si>
  <si>
    <t>Provider Funding Committee</t>
  </si>
  <si>
    <t>Select Federal Natural Resource Management Committee</t>
  </si>
  <si>
    <t>Select Natural Resource Funding Committee</t>
  </si>
  <si>
    <t>(307) 321-1221</t>
  </si>
  <si>
    <t>Kuglitsch</t>
  </si>
  <si>
    <t>NCSL - Nuclear Legislative Workgroup</t>
  </si>
  <si>
    <t>CSG West - Energy &amp; Enviornment</t>
  </si>
  <si>
    <t>(307) 857-5789</t>
  </si>
  <si>
    <t>608-266-0654</t>
  </si>
  <si>
    <t>Obermueller</t>
  </si>
  <si>
    <t>Spiros</t>
  </si>
  <si>
    <t>Government Efficency Commission (Vice Chairman)</t>
  </si>
  <si>
    <t xml:space="preserve">House Revenue </t>
  </si>
  <si>
    <t>608-266-1182</t>
  </si>
  <si>
    <t>Select Committee on Family Medicine Residency Programs</t>
  </si>
  <si>
    <t>Casper State Office Building Advisory Task Force (Alternate)</t>
  </si>
  <si>
    <t>(307) 262-7297</t>
  </si>
  <si>
    <t>Edming</t>
  </si>
  <si>
    <t>House Journal</t>
  </si>
  <si>
    <t>608-266-7506</t>
  </si>
  <si>
    <t>(307) 251-1372</t>
  </si>
  <si>
    <t>(307) 234-6122</t>
  </si>
  <si>
    <t>Macco</t>
  </si>
  <si>
    <t>Bunky</t>
  </si>
  <si>
    <t>608-266-0485</t>
  </si>
  <si>
    <t>Loucks</t>
  </si>
  <si>
    <t xml:space="preserve">House Minerals Business &amp; Economic Development </t>
  </si>
  <si>
    <t xml:space="preserve">CSG National - Transportation &amp; Infrastructure </t>
  </si>
  <si>
    <t>CSG West - Transportation &amp; Infrastructure</t>
  </si>
  <si>
    <t>(307) 237-6804</t>
  </si>
  <si>
    <t>Nygren</t>
  </si>
  <si>
    <t>608-266-2343</t>
  </si>
  <si>
    <t>Staush</t>
  </si>
  <si>
    <t>Gruszynski</t>
  </si>
  <si>
    <t xml:space="preserve">House Travel, Recreation, Wildlife &amp; Cultural Resources </t>
  </si>
  <si>
    <t>Treig</t>
  </si>
  <si>
    <t>(307) 875-7378</t>
  </si>
  <si>
    <t>Pronschinske</t>
  </si>
  <si>
    <t>608-266-7015</t>
  </si>
  <si>
    <t>Ogden</t>
  </si>
  <si>
    <t>Driskill</t>
  </si>
  <si>
    <t>Senate VP</t>
  </si>
  <si>
    <t>Blockchain Task Force (Chairman)</t>
  </si>
  <si>
    <t>Petryk</t>
  </si>
  <si>
    <t>608-266-0660</t>
  </si>
  <si>
    <t>Select Water Committee (Vice Chair)</t>
  </si>
  <si>
    <t xml:space="preserve">Senate Appropriations </t>
  </si>
  <si>
    <t>NCSL - Budgets and Revenue (Alternate)</t>
  </si>
  <si>
    <t>608-266-0631</t>
  </si>
  <si>
    <t>Boner</t>
  </si>
  <si>
    <t>Senate Labor, Health &amp; Social Services</t>
  </si>
  <si>
    <t>Senate Travel, Recreation, Wildlife &amp; Cultural Resources</t>
  </si>
  <si>
    <t>Joine Legislative and Executive Task Force on Department of Health Facilities</t>
  </si>
  <si>
    <t>NCSL - Labor &amp; Economic Development (Alternate)</t>
  </si>
  <si>
    <t>NCSL - Nuclear Legislative Workgroup (Alternate)</t>
  </si>
  <si>
    <t xml:space="preserve">CSG West - Health &amp; Human Services </t>
  </si>
  <si>
    <t>Billings</t>
  </si>
  <si>
    <t>608-266-5780</t>
  </si>
  <si>
    <t>Tara</t>
  </si>
  <si>
    <t>Loren</t>
  </si>
  <si>
    <t>Oldenberg</t>
  </si>
  <si>
    <t>Nethercott</t>
  </si>
  <si>
    <t>Senate Corporations Elections &amp; Political Subdivisions</t>
  </si>
  <si>
    <t>Senate Judiciary</t>
  </si>
  <si>
    <t xml:space="preserve">Task Force on University of Wyoming Housing  </t>
  </si>
  <si>
    <t>Interstate Compact for Audlt offender supervision</t>
  </si>
  <si>
    <t xml:space="preserve">NCSL - Budgets and Revenue </t>
  </si>
  <si>
    <t>NCSL - Law and Criminal Justice (Alternate)</t>
  </si>
  <si>
    <t>Bouchard</t>
  </si>
  <si>
    <t xml:space="preserve">dont fucking talk to them </t>
  </si>
  <si>
    <t>608-266-8580</t>
  </si>
  <si>
    <t>Senate Journal</t>
  </si>
  <si>
    <t xml:space="preserve">Senate Labor, Health &amp; Social Services </t>
  </si>
  <si>
    <t>Provider Funding Model Subcommittee (Alternate)</t>
  </si>
  <si>
    <t xml:space="preserve">NCSL - Labor &amp; Economic Development  </t>
  </si>
  <si>
    <t xml:space="preserve">Senate Corporations, Elections &amp; Political Subdivisions </t>
  </si>
  <si>
    <t>Senate Education</t>
  </si>
  <si>
    <t xml:space="preserve">Advisory Task Force on Capitol Building Rehabilitation and Restoration </t>
  </si>
  <si>
    <t xml:space="preserve">Interstate Compact on Students of Military Families </t>
  </si>
  <si>
    <t>State Building Commission Liaison (Alternate)</t>
  </si>
  <si>
    <t xml:space="preserve">NCSL - Military and Veterans Affairs Task Force </t>
  </si>
  <si>
    <t>NCSL - Redistricting and Elections Task Force</t>
  </si>
  <si>
    <t>CSG National - Education &amp; Workforce Development (Alternate)</t>
  </si>
  <si>
    <t>Affie</t>
  </si>
  <si>
    <t>Neylon</t>
  </si>
  <si>
    <t>608-266-5120</t>
  </si>
  <si>
    <t>Senate Revenue</t>
  </si>
  <si>
    <t xml:space="preserve">CSG West - Education &amp; Workforce Development </t>
  </si>
  <si>
    <t>Cindi</t>
  </si>
  <si>
    <t>Rothfuss</t>
  </si>
  <si>
    <t>Senate Minoirty Leader</t>
  </si>
  <si>
    <t>Management Counsil</t>
  </si>
  <si>
    <t xml:space="preserve">Senate Minerals, Business &amp; Economic Development </t>
  </si>
  <si>
    <t>Senate Rules &amp; Procedures</t>
  </si>
  <si>
    <t>Blockchain Taskforce</t>
  </si>
  <si>
    <t xml:space="preserve">Select Committee on Capital Financing &amp; Investments </t>
  </si>
  <si>
    <t>Select Committee on Legislative Facilities Technology and Process</t>
  </si>
  <si>
    <t>Duchow</t>
  </si>
  <si>
    <t xml:space="preserve">Select Committee on School Finance Recalibration </t>
  </si>
  <si>
    <t>Task Force on University of Wyoming housing (Alternate)</t>
  </si>
  <si>
    <t>608-266-3007</t>
  </si>
  <si>
    <t>Moniz</t>
  </si>
  <si>
    <t>Task force on University of Wyoming Housing (Chairman)</t>
  </si>
  <si>
    <t>Senate Agriculture, state and public lands &amp; water resources</t>
  </si>
  <si>
    <t xml:space="preserve">Senate Travel, Recreation, Wildlife &amp; Cultural Resources </t>
  </si>
  <si>
    <t>CSG National - Transportation and Infrastructure</t>
  </si>
  <si>
    <t>Jacque</t>
  </si>
  <si>
    <t>https://docs.legis.wisconsin.gov/2017/legislators/senate</t>
  </si>
  <si>
    <t>Senate Appropriations</t>
  </si>
  <si>
    <t>Select water committee</t>
  </si>
  <si>
    <t>CSG West - Agriculture and water</t>
  </si>
  <si>
    <t>Anselmi-Dalton</t>
  </si>
  <si>
    <t>Minoirty Whip</t>
  </si>
  <si>
    <t xml:space="preserve">Select Committee on Family Medicine Residency Programs </t>
  </si>
  <si>
    <t>Select Committee on Family Medicine Residency Program (Chairman)</t>
  </si>
  <si>
    <t>Joint legislative and executive task force on Department of Health Facilities</t>
  </si>
  <si>
    <t>Opiod Addiction Task Force</t>
  </si>
  <si>
    <t>NCSL - Health and Human Services</t>
  </si>
  <si>
    <t>CSG West - Health</t>
  </si>
  <si>
    <t>CSG West - Canada Relations</t>
  </si>
  <si>
    <t>Schuler</t>
  </si>
  <si>
    <t>Dockstader</t>
  </si>
  <si>
    <t>Joint legislative and executive task force on department of health facilities</t>
  </si>
  <si>
    <t>Senate Rules and Procedures</t>
  </si>
  <si>
    <t>Broadband Advisory Committee</t>
  </si>
  <si>
    <t>CSG West - State &amp; Federal Relations</t>
  </si>
  <si>
    <t>Gierau</t>
  </si>
  <si>
    <t>Coe</t>
  </si>
  <si>
    <t>Senate Education (Chairman)</t>
  </si>
  <si>
    <t>Air Transportation Liaison Committee (Chairman)</t>
  </si>
  <si>
    <t>Senate Minerals, Business, &amp; Economic Development</t>
  </si>
  <si>
    <t xml:space="preserve">Select Committee on School Facilities </t>
  </si>
  <si>
    <t>Kost</t>
  </si>
  <si>
    <t>Wyatt</t>
  </si>
  <si>
    <t>http://www.wcasa.org/file_open.php?id=1301</t>
  </si>
  <si>
    <t>Agar</t>
  </si>
  <si>
    <t>Select Committee on Capital Fincaning &amp; Investments</t>
  </si>
  <si>
    <t>NCSL - Communications, Financial Services &amp; Interstate Commerce</t>
  </si>
  <si>
    <t>CSG National - Transportation &amp; Infrastructure</t>
  </si>
  <si>
    <t>Biteman</t>
  </si>
  <si>
    <t>608-266-0484</t>
  </si>
  <si>
    <t>Kinskey</t>
  </si>
  <si>
    <t>Management Audit Committee (Vice Chairman)</t>
  </si>
  <si>
    <t xml:space="preserve">Interstate Compact for Juvenials </t>
  </si>
  <si>
    <t>Wasserburger</t>
  </si>
  <si>
    <t>Senate Minerals, Business &amp; Economic Development</t>
  </si>
  <si>
    <t>Senate Travel Recreation Wildlife &amp; Cultural Resources</t>
  </si>
  <si>
    <t xml:space="preserve">Education Commission of the State </t>
  </si>
  <si>
    <t xml:space="preserve">CSG National - Education &amp; Workforce Development </t>
  </si>
  <si>
    <t>608-266-8535</t>
  </si>
  <si>
    <t>VonFlatern</t>
  </si>
  <si>
    <t>Senate Transportation, Highways &amp; Military Affairs (Chairman)</t>
  </si>
  <si>
    <t>Select Federal Natural Resource Management Committee (Chairman)</t>
  </si>
  <si>
    <t xml:space="preserve">Select Committee on Legislative Facilities, Technology and Process </t>
  </si>
  <si>
    <t>State workforce investment board</t>
  </si>
  <si>
    <t>Wyoming Commerical Air Service Improvement Council</t>
  </si>
  <si>
    <t>Cale</t>
  </si>
  <si>
    <t>Senate Revenue (Chairman)</t>
  </si>
  <si>
    <t>Select Committee on Legislative Facilities, Techonology and Process (Chairman)</t>
  </si>
  <si>
    <t>Senate Corporations, Elections &amp; Political Subdivisions</t>
  </si>
  <si>
    <t>Advisory task force on building rehabilitation and restoration</t>
  </si>
  <si>
    <t>Lena</t>
  </si>
  <si>
    <t>Bebout</t>
  </si>
  <si>
    <t>Management Council (Chairman)</t>
  </si>
  <si>
    <t>Senate Appropriations (Chairman)</t>
  </si>
  <si>
    <t>Capital Building Restoration Oversight Group (Chairman)</t>
  </si>
  <si>
    <t>Opioid Addiction task force (Chairman)</t>
  </si>
  <si>
    <t xml:space="preserve">Energy Producing States Task Force </t>
  </si>
  <si>
    <t>Task force on University o Wyoming Housing</t>
  </si>
  <si>
    <t>Economically needed diversity options for Wyoming Executive Council</t>
  </si>
  <si>
    <t xml:space="preserve">Energy Council </t>
  </si>
  <si>
    <t xml:space="preserve">Enhanced and improved oil recovery commission </t>
  </si>
  <si>
    <t>WU Energy Resource Council</t>
  </si>
  <si>
    <t>Wyoming Muesum of Military Vehicles Task Force</t>
  </si>
  <si>
    <t>NCSL - Nuclear legislative Workgroup</t>
  </si>
  <si>
    <t>608-266-5810</t>
  </si>
  <si>
    <t>Landen</t>
  </si>
  <si>
    <t>Senate Corporations Elections &amp; Political Subdivisions (Chairman)</t>
  </si>
  <si>
    <t>Select Committee on School Facilities (Vice Chairman)</t>
  </si>
  <si>
    <t xml:space="preserve">Senate Education </t>
  </si>
  <si>
    <t>Select Committee on School Finance Recabilrationt</t>
  </si>
  <si>
    <t>Legislative Effectiveness</t>
  </si>
  <si>
    <t>JamesLee</t>
  </si>
  <si>
    <t>Senate Minerals, Business &amp; Economic Development (Chairman)</t>
  </si>
  <si>
    <t>Senate Transportation Highways, &amp; Military Affairs</t>
  </si>
  <si>
    <t>Advanced Conversion Technologies Task Force</t>
  </si>
  <si>
    <t xml:space="preserve">UW Energy Resources &amp; Infrastructure </t>
  </si>
  <si>
    <t xml:space="preserve">NCSL - Natural Resources and Infrastructure </t>
  </si>
  <si>
    <t>CSG National - Energy and Enviornment</t>
  </si>
  <si>
    <t>Senate Rules &amp; Procedures (Chairman)</t>
  </si>
  <si>
    <t>Government Efficency Commission (Chairman)</t>
  </si>
  <si>
    <t>Capitol Building Oversight Group</t>
  </si>
  <si>
    <t xml:space="preserve">Energy Producing States Coalition </t>
  </si>
  <si>
    <t>Cas[er State Office Building Advisory Task Force</t>
  </si>
  <si>
    <t xml:space="preserve">Wyoming Commerical Air Service Improvement Council </t>
  </si>
  <si>
    <t xml:space="preserve">CSG West - Finance &amp; Economic Development </t>
  </si>
  <si>
    <t>Kooyenga</t>
  </si>
  <si>
    <t>Joint Committe on Finance</t>
  </si>
  <si>
    <t>Senate Labor, Health &amp; Social Services (Chairman)</t>
  </si>
  <si>
    <t>NCSL - Health &amp; Human Services</t>
  </si>
  <si>
    <t>Cheney</t>
  </si>
  <si>
    <t>Natural Resource Committee</t>
  </si>
  <si>
    <t>Armed Services Committee</t>
  </si>
  <si>
    <t>Committee on Rules</t>
  </si>
  <si>
    <t>Enzi</t>
  </si>
  <si>
    <t>Barrasso</t>
  </si>
  <si>
    <t>LaTonya</t>
  </si>
  <si>
    <t>608-266-2500</t>
  </si>
  <si>
    <t>608-266-7505</t>
  </si>
  <si>
    <t>Alberta</t>
  </si>
  <si>
    <t>Darling</t>
  </si>
  <si>
    <t>backed last minute proposal to test rape kits in 2011 budget proposal</t>
  </si>
  <si>
    <t>608-266-5830</t>
  </si>
  <si>
    <t>LeMahieu</t>
  </si>
  <si>
    <t xml:space="preserve">   </t>
  </si>
  <si>
    <t>608-266-2056</t>
  </si>
  <si>
    <t>Schachtner</t>
  </si>
  <si>
    <t>608-266-7745</t>
  </si>
  <si>
    <t>Nass</t>
  </si>
  <si>
    <t>608-266-2635</t>
  </si>
  <si>
    <t>608-266-2509</t>
  </si>
  <si>
    <t>Senate Organization</t>
  </si>
  <si>
    <t>Joint legislative org</t>
  </si>
  <si>
    <t>Joint legislative Council</t>
  </si>
  <si>
    <t>608-266-5660</t>
  </si>
  <si>
    <t>Luther</t>
  </si>
  <si>
    <t>608-266-0751</t>
  </si>
  <si>
    <t>Janis</t>
  </si>
  <si>
    <t>Ringhand</t>
  </si>
  <si>
    <t>Minority Caucus Vice-chair</t>
  </si>
  <si>
    <t>Economic Development, Commerce and local government.</t>
  </si>
  <si>
    <t>Labor and regulatory reform</t>
  </si>
  <si>
    <t>Revanue, financial institutions and rural issues.</t>
  </si>
  <si>
    <t>608-266-2253</t>
  </si>
  <si>
    <t>joint legislative council</t>
  </si>
  <si>
    <t>608-266-9170</t>
  </si>
  <si>
    <t>Marklein</t>
  </si>
  <si>
    <t>Committe on Finance</t>
  </si>
  <si>
    <t>2017 SJR 53</t>
  </si>
  <si>
    <t>608-266-0703</t>
  </si>
  <si>
    <t>Feyen</t>
  </si>
  <si>
    <t>Supported on the Senate floor, a constitutional amendment (first consideration), a proposal to amend the Wisconsin Constitution (on first consideration), relating to the rights of crime victims. The joint resolution has commonly been referred to as “Marsy’s Law.”</t>
  </si>
  <si>
    <t>608-266-5300</t>
  </si>
  <si>
    <t>Joint legislative council</t>
  </si>
  <si>
    <t>Joint committe on legislative organization</t>
  </si>
  <si>
    <t>Committe on senate organization</t>
  </si>
  <si>
    <t>2017 WI Act 59 – The biennial budget</t>
  </si>
  <si>
    <t>608-266-0718</t>
  </si>
  <si>
    <t>Duey</t>
  </si>
  <si>
    <t>Stroebel</t>
  </si>
  <si>
    <t>Supported in Joint Finance and on the Senate floor, additional funding for Services for Child Victims of Sex Trafficking; increased funding and position authority for Crime Laboratory DNA Analysis Kits; additional funding provided to Department of Justice’s Internet Crimes Against Children appropriation.</t>
  </si>
  <si>
    <t>608-266-7513</t>
  </si>
  <si>
    <t>Wanggaard</t>
  </si>
  <si>
    <t>co-chair law revision commitee</t>
  </si>
  <si>
    <t>2017 WI Act 128</t>
  </si>
  <si>
    <t>608-266-1832</t>
  </si>
  <si>
    <t>Wirch</t>
  </si>
  <si>
    <t>Was a co-sponsor and supported the bill on the Senate floor, increases the penalty for patronizing a prostitute to a Class G felony if the person patronizes a person who is under the age of 18 (“a child”).</t>
  </si>
  <si>
    <t>608-267-8979</t>
  </si>
  <si>
    <t>Kath</t>
  </si>
  <si>
    <t>Bernier</t>
  </si>
  <si>
    <t>2017 WI Act 129</t>
  </si>
  <si>
    <t>Testin</t>
  </si>
  <si>
    <t xml:space="preserve">Vice Chair of Committee on Judiciary and Public Safety </t>
  </si>
  <si>
    <t>Workforce Development, Military Affairs and Senior Issues</t>
  </si>
  <si>
    <t>Agriculture, Small business and tourism</t>
  </si>
  <si>
    <t>Supported on the Senate floor, creates a new crime that generally prohibits soliciting sexually explicit representations from minors.</t>
  </si>
  <si>
    <t>608-266-3123</t>
  </si>
  <si>
    <t>Bewley</t>
  </si>
  <si>
    <t>2017 WI Act 130</t>
  </si>
  <si>
    <t>608-266-3510</t>
  </si>
  <si>
    <t>Risser</t>
  </si>
  <si>
    <t>Was a co-sponsor and supported the bill on the Senate floor, provides that it is immoral conduct for a licensee to assist a school employee, contractor, or agent to obtain a new job in a school or with a local education agency if the licensee knows, or has a reasonable suspicion to believe, that the person committed a sex offense against a student or a minor.</t>
  </si>
  <si>
    <t>608-266-1627</t>
  </si>
  <si>
    <t>Erpenbach</t>
  </si>
  <si>
    <t>2017 WI Act 174</t>
  </si>
  <si>
    <t>608-266-6670</t>
  </si>
  <si>
    <t>Supported on the Senate floor, the Act makes various changes to the criminal code related to sexual activity between a person under the age of 19 years (i.e., age 18 years or younger) and a child between the ages of 15 and 17 years.</t>
  </si>
  <si>
    <t>608-266-5400</t>
  </si>
  <si>
    <t>Petrowski</t>
  </si>
  <si>
    <t>2017 WI Act 184</t>
  </si>
  <si>
    <t>608-266-2502</t>
  </si>
  <si>
    <t>Was a co-sponsor and supported the bill on the Senate floor, makes changes related to placement of an Sexually Violent Persons (SVP) determined eligible for supervised release by a court. The changes concern the ability of a court to place an SVP outside his county of residence, how a court determines county of residence, the report of prospective housing prepared by a county, and what a court may order if it disapproves of DHS’s supervised release plan for an SVP.</t>
  </si>
  <si>
    <t>608-266-5670</t>
  </si>
  <si>
    <t>2017 WI Act 346</t>
  </si>
  <si>
    <t>Shilling</t>
  </si>
  <si>
    <t>Joint Legislative Council</t>
  </si>
  <si>
    <t>Committe on Senate Organization</t>
  </si>
  <si>
    <t>Joint Committe on legislative organization</t>
  </si>
  <si>
    <t>Was a co-sponsor and supported the bill on the Senate floor, extending contracts entered into by the Dept. of Corrections for GPS tracking equipment to monitor certain sex offenders and persons who have violated certain injunctions.</t>
  </si>
  <si>
    <t>608-266-5490</t>
  </si>
  <si>
    <t>Kapenga</t>
  </si>
  <si>
    <t>608-266-9174</t>
  </si>
  <si>
    <t>Evers</t>
  </si>
  <si>
    <t>Steil</t>
  </si>
  <si>
    <t>Pocan</t>
  </si>
  <si>
    <t>Kind</t>
  </si>
  <si>
    <t>Gwen</t>
  </si>
  <si>
    <t>Sensenbrenner</t>
  </si>
  <si>
    <t>Grothman</t>
  </si>
  <si>
    <t>Duffy</t>
  </si>
  <si>
    <t>Kaul</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</si>
</sst>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m/d"/>
    <numFmt numFmtId="166" formatCode="mm/dd"/>
    <numFmt numFmtId="167" formatCode="mm/dd/yyyy"/>
    <numFmt numFmtId="168" formatCode="mmmm yyyy"/>
    <numFmt numFmtId="169" formatCode="m/d/yy"/>
    <numFmt numFmtId="170" formatCode="mmm-d"/>
    <numFmt numFmtId="171" formatCode="m/d/yyyy"/>
  </numFmts>
  <fonts count="202">
    <font>
      <sz val="10.0"/>
      <color rgb="FF000000"/>
      <name val="Arial"/>
    </font>
    <font>
      <b/>
      <sz val="10.0"/>
      <color rgb="FF000000"/>
    </font>
    <font>
      <b/>
      <color rgb="FF000000"/>
    </font>
    <font>
      <b/>
    </font>
    <font>
      <b/>
      <sz val="10.0"/>
    </font>
    <font/>
    <font>
      <b/>
      <sz val="11.0"/>
      <color rgb="FF222222"/>
      <name val="Arial"/>
    </font>
    <font>
      <b/>
      <name val="Inconsolata"/>
    </font>
    <font>
      <b/>
      <sz val="10.0"/>
      <color rgb="FFFF0000"/>
    </font>
    <font>
      <name val="Arial"/>
    </font>
    <font>
      <sz val="11.0"/>
      <color rgb="FF222222"/>
      <name val="Sans-serif"/>
    </font>
    <font>
      <b/>
      <name val="Arial"/>
    </font>
    <font>
      <sz val="11.0"/>
      <color rgb="FF000000"/>
      <name val="Inconsolata"/>
    </font>
    <font>
      <sz val="10.0"/>
      <color rgb="FF000000"/>
      <name val="Inconsolata"/>
    </font>
    <font>
      <sz val="11.0"/>
      <color rgb="FF000000"/>
      <name val="Sans-serif"/>
    </font>
    <font>
      <sz val="11.0"/>
      <color rgb="FF0B0080"/>
      <name val="Sans-serif"/>
    </font>
    <font>
      <sz val="11.0"/>
      <color rgb="FF000000"/>
      <name val="Arial"/>
    </font>
    <font>
      <b/>
      <sz val="10.0"/>
      <color rgb="FF333333"/>
      <name val="Arial"/>
    </font>
    <font>
      <u/>
      <color rgb="FF0000FF"/>
    </font>
    <font>
      <u/>
      <sz val="11.0"/>
      <color rgb="FF0B0080"/>
      <name val="Sans-serif"/>
    </font>
    <font>
      <b/>
      <color rgb="FF666666"/>
    </font>
    <font>
      <b/>
      <sz val="8.0"/>
      <color rgb="FF999999"/>
    </font>
    <font>
      <sz val="11.0"/>
      <color rgb="FF222222"/>
      <name val="Arial"/>
    </font>
    <font>
      <name val="Inconsolata"/>
    </font>
    <font>
      <color rgb="FF000000"/>
      <name val="Arial"/>
    </font>
    <font>
      <u/>
      <color rgb="FF0000FF"/>
    </font>
    <font>
      <b/>
      <u/>
    </font>
    <font>
      <b/>
      <sz val="10.0"/>
      <name val="Arial"/>
    </font>
    <font>
      <color rgb="FF000000"/>
    </font>
    <font>
      <b/>
      <sz val="11.0"/>
      <color rgb="FF000000"/>
      <name val="Arial"/>
    </font>
    <font>
      <sz val="10.0"/>
      <color rgb="FF222222"/>
      <name val="Sans-serif"/>
    </font>
    <font>
      <color rgb="FF333333"/>
    </font>
    <font>
      <u/>
      <sz val="11.0"/>
      <color rgb="FF0B0080"/>
      <name val="Sans-serif"/>
    </font>
    <font>
      <b/>
      <color rgb="FF333333"/>
    </font>
    <font>
      <sz val="10.0"/>
      <color rgb="FF000000"/>
    </font>
    <font>
      <sz val="11.0"/>
      <name val="Sans-serif"/>
    </font>
    <font>
      <sz val="10.0"/>
      <color rgb="FF000000"/>
      <name val="Sans-serif"/>
    </font>
    <font>
      <b/>
      <color rgb="FFFFFFFF"/>
    </font>
    <font>
      <u/>
      <sz val="8.0"/>
      <color rgb="FF0072BC"/>
      <name val="Verdana"/>
    </font>
    <font>
      <u/>
      <sz val="8.0"/>
      <color rgb="FF0072BC"/>
      <name val="Verdana"/>
    </font>
    <font>
      <sz val="8.0"/>
      <color rgb="FF333333"/>
      <name val="Verdana"/>
    </font>
    <font>
      <sz val="8.0"/>
      <color rgb="FF0072BC"/>
      <name val="Verdana"/>
    </font>
    <font>
      <b/>
      <color rgb="FF000000"/>
      <name val="Arial"/>
    </font>
    <font>
      <sz val="8.0"/>
      <color rgb="FF999999"/>
    </font>
    <font>
      <color rgb="FF666666"/>
    </font>
    <font>
      <sz val="8.0"/>
      <color rgb="FF222222"/>
      <name val="Arial"/>
    </font>
    <font>
      <b/>
      <color rgb="FFFF0000"/>
    </font>
    <font>
      <sz val="11.0"/>
      <color rgb="FF333333"/>
      <name val="Arial"/>
    </font>
    <font>
      <sz val="27.0"/>
      <color rgb="FF333333"/>
      <name val="Arial"/>
    </font>
    <font>
      <sz val="8.0"/>
      <color rgb="FF222222"/>
      <name val="Verdana"/>
    </font>
    <font>
      <b/>
      <sz val="10.0"/>
      <color rgb="FFCCCCCC"/>
    </font>
    <font>
      <sz val="10.0"/>
      <color rgb="FF000000"/>
      <name val="Canada-type-gibson"/>
    </font>
    <font>
      <sz val="11.0"/>
      <color rgb="FF000000"/>
      <name val="Canada-type-gibson"/>
    </font>
    <font>
      <color rgb="FF282924"/>
      <name val="Freight-text-pro"/>
    </font>
    <font>
      <u/>
      <color rgb="FF0000FF"/>
    </font>
    <font>
      <sz val="11.0"/>
      <color rgb="FF333333"/>
      <name val="Myriad"/>
    </font>
    <font>
      <sz val="11.0"/>
      <color rgb="FF000000"/>
    </font>
    <font>
      <sz val="10.0"/>
      <name val="Arial"/>
    </font>
    <font>
      <sz val="12.0"/>
      <color rgb="FF595959"/>
      <name val="Times New Roman"/>
    </font>
    <font>
      <sz val="12.0"/>
      <color rgb="FF595959"/>
      <name val="Arial"/>
    </font>
    <font>
      <sz val="12.0"/>
      <color rgb="FF595959"/>
      <name val="Proxima-nova"/>
    </font>
    <font>
      <color rgb="FFCCCCCC"/>
    </font>
    <font>
      <color rgb="FFFFFFFF"/>
    </font>
    <font>
      <u/>
      <sz val="11.0"/>
      <color rgb="FFA55858"/>
      <name val="Sans-serif"/>
    </font>
    <font>
      <b/>
      <sz val="11.0"/>
      <color rgb="FFFFFFFF"/>
      <name val="Arial"/>
    </font>
    <font>
      <b/>
      <sz val="11.0"/>
      <color rgb="FF000000"/>
      <name val="Sans-serif"/>
    </font>
    <font>
      <b/>
      <sz val="11.0"/>
      <color rgb="FF222222"/>
      <name val="Sans-serif"/>
    </font>
    <font>
      <b/>
      <sz val="10.0"/>
      <color rgb="FF000000"/>
      <name val="Sans-serif"/>
    </font>
    <font>
      <b/>
      <sz val="11.0"/>
      <color rgb="FF0B0080"/>
      <name val="Sans-serif"/>
    </font>
    <font>
      <u/>
      <sz val="11.0"/>
      <color rgb="FF222222"/>
      <name val="Arial"/>
    </font>
    <font>
      <b/>
      <sz val="11.0"/>
      <name val="Sans-serif"/>
    </font>
    <font>
      <u/>
      <color rgb="FF0000FF"/>
    </font>
    <font>
      <b/>
      <sz val="10.0"/>
      <color rgb="FF000000"/>
      <name val="Arial"/>
    </font>
    <font>
      <u/>
      <sz val="11.0"/>
      <color rgb="FF222222"/>
      <name val="Sans-serif"/>
    </font>
    <font>
      <b/>
      <sz val="11.0"/>
      <name val="Arial"/>
    </font>
    <font>
      <b/>
      <i/>
      <sz val="10.0"/>
      <color rgb="FF000000"/>
      <name val="Sans-serif"/>
    </font>
    <font>
      <u/>
      <sz val="11.0"/>
      <color rgb="FF222222"/>
      <name val="Sans-serif"/>
    </font>
    <font>
      <u/>
      <sz val="11.0"/>
      <color rgb="FF222222"/>
      <name val="Sans-serif"/>
    </font>
    <font>
      <u/>
      <color rgb="FF0000FF"/>
    </font>
    <font>
      <b/>
      <sz val="10.0"/>
      <color rgb="FF222222"/>
      <name val="Arial"/>
    </font>
    <font>
      <b/>
      <sz val="10.0"/>
      <color rgb="FFFF0000"/>
      <name val="Arial"/>
    </font>
    <font>
      <sz val="10.0"/>
    </font>
    <font>
      <u/>
      <sz val="10.0"/>
      <color rgb="FF0000FF"/>
      <name val="Arial"/>
    </font>
    <font>
      <sz val="9.0"/>
      <name val="Arial"/>
    </font>
    <font>
      <u/>
      <sz val="11.0"/>
      <color rgb="FF222222"/>
      <name val="Arial"/>
    </font>
    <font>
      <u/>
      <sz val="10.0"/>
      <color rgb="FF222222"/>
      <name val="Sans-serif"/>
    </font>
    <font>
      <u/>
      <sz val="10.0"/>
      <color rgb="FF0000FF"/>
      <name val="Arial"/>
    </font>
    <font>
      <u/>
      <sz val="10.0"/>
      <name val="Arial"/>
    </font>
    <font>
      <b/>
      <color rgb="FF161616"/>
      <name val="Arial"/>
    </font>
    <font>
      <color rgb="FF161616"/>
      <name val="Arial"/>
    </font>
    <font>
      <sz val="11.0"/>
      <color rgb="FF000000"/>
      <name val="Calibri"/>
    </font>
    <font>
      <sz val="8.0"/>
      <color rgb="FF000000"/>
    </font>
    <font>
      <color rgb="FF800080"/>
      <name val="Arial"/>
    </font>
    <font>
      <sz val="11.0"/>
      <color rgb="FF2D2D2D"/>
      <name val="Lato"/>
    </font>
    <font>
      <sz val="13.0"/>
      <color rgb="FF4C4C4C"/>
      <name val="Arial"/>
    </font>
    <font>
      <u/>
      <color rgb="FFCC6600"/>
      <name val="Verdana"/>
    </font>
    <font>
      <u/>
      <color rgb="FF0066CC"/>
      <name val="Verdana"/>
    </font>
    <font>
      <u/>
      <color rgb="FF0066CC"/>
      <name val="Verdana"/>
    </font>
    <font>
      <color rgb="FF0066CC"/>
      <name val="Verdana"/>
    </font>
    <font>
      <u/>
      <color rgb="FF333333"/>
      <name val="Verdana"/>
    </font>
    <font>
      <sz val="12.0"/>
      <color rgb="FF000000"/>
      <name val="Calibri"/>
    </font>
    <font>
      <u/>
      <color rgb="FF0000FF"/>
    </font>
    <font>
      <u/>
      <color rgb="FF333333"/>
      <name val="Verdana"/>
    </font>
    <font>
      <sz val="11.0"/>
      <color rgb="FF0B0080"/>
      <name val="Arial"/>
    </font>
    <font>
      <sz val="11.0"/>
      <name val="Arial"/>
    </font>
    <font>
      <color rgb="FF333333"/>
      <name val="Verdana"/>
    </font>
    <font>
      <u/>
      <color rgb="FFCC6600"/>
      <name val="Verdana"/>
    </font>
    <font>
      <u/>
      <color rgb="FF0000FF"/>
    </font>
    <font>
      <sz val="12.0"/>
      <color rgb="FF555555"/>
      <name val="Arial"/>
    </font>
    <font>
      <u/>
      <sz val="12.0"/>
      <color rgb="FF0000FF"/>
      <name val="Calibri"/>
    </font>
    <font>
      <sz val="10.0"/>
      <color rgb="FF222222"/>
      <name val="Arial"/>
    </font>
    <font>
      <sz val="10.0"/>
      <color rgb="FF0B0080"/>
      <name val="Arial"/>
    </font>
    <font>
      <sz val="12.0"/>
      <color rgb="FF000000"/>
      <name val="Montserrat"/>
    </font>
    <font>
      <sz val="10.0"/>
      <color rgb="FFFFFFFF"/>
    </font>
    <font>
      <sz val="10.0"/>
      <color rgb="FF7B7B7B"/>
      <name val="Arial"/>
    </font>
    <font>
      <sz val="10.0"/>
      <color rgb="FF676768"/>
      <name val="Arial"/>
    </font>
    <font>
      <u/>
      <sz val="10.0"/>
      <color rgb="FF0B0080"/>
      <name val="Arial"/>
    </font>
    <font>
      <sz val="10.0"/>
      <color rgb="FF999999"/>
    </font>
    <font>
      <sz val="10.0"/>
      <color rgb="FF666666"/>
    </font>
    <font>
      <sz val="10.0"/>
      <color rgb="FF193654"/>
      <name val="Arial"/>
    </font>
    <font>
      <sz val="10.0"/>
      <color rgb="FF6C6D03"/>
      <name val="Arial"/>
    </font>
    <font>
      <u/>
      <sz val="10.0"/>
      <color rgb="FF676768"/>
      <name val="Arial"/>
    </font>
    <font>
      <sz val="10.0"/>
      <color rgb="FF333333"/>
    </font>
    <font>
      <u/>
      <sz val="11.0"/>
      <color rgb="FF990122"/>
      <name val="Sans-serif"/>
    </font>
    <font>
      <sz val="11.0"/>
      <color rgb="FF333333"/>
      <name val="Sans-serif"/>
    </font>
    <font>
      <u/>
      <sz val="11.0"/>
      <color rgb="FF990122"/>
      <name val="Sans-serif"/>
    </font>
    <font>
      <u/>
      <color rgb="FF000000"/>
      <name val="Arial"/>
    </font>
    <font>
      <sz val="12.0"/>
      <color rgb="FF000000"/>
      <name val="Arial"/>
    </font>
    <font>
      <u/>
      <sz val="11.0"/>
      <color rgb="FF990122"/>
      <name val="Sans-serif"/>
    </font>
    <font>
      <u/>
      <sz val="11.0"/>
      <color rgb="FF990122"/>
      <name val="Sans-serif"/>
    </font>
    <font>
      <u/>
      <sz val="11.0"/>
      <color rgb="FF222222"/>
      <name val="Sans-serif"/>
    </font>
    <font>
      <u/>
      <color rgb="FF000000"/>
      <name val="Arial"/>
    </font>
    <font>
      <u/>
      <sz val="10.0"/>
      <color rgb="FF222222"/>
      <name val="Sans-serif"/>
    </font>
    <font>
      <sz val="9.0"/>
      <color rgb="FF000000"/>
      <name val="Sans-serif"/>
    </font>
    <font>
      <u/>
      <sz val="10.0"/>
      <color rgb="FF6C6D03"/>
      <name val="Arial"/>
    </font>
    <font>
      <sz val="10.0"/>
      <color rgb="FF000000"/>
      <name val="Perpetua"/>
    </font>
    <font>
      <u/>
      <sz val="10.0"/>
      <color rgb="FF1E3889"/>
      <name val="Perpetua"/>
    </font>
    <font>
      <b/>
      <u/>
      <sz val="10.0"/>
      <color rgb="FF1E3889"/>
      <name val="Perpetua"/>
    </font>
    <font>
      <u/>
      <sz val="10.0"/>
      <color rgb="FF000000"/>
      <name val="Perpetua"/>
    </font>
    <font>
      <u/>
      <sz val="10.0"/>
      <color rgb="FF0000FF"/>
      <name val="Calibri"/>
    </font>
    <font>
      <u/>
      <sz val="10.0"/>
      <color rgb="FF1E3889"/>
      <name val="Arial"/>
    </font>
    <font>
      <sz val="11.0"/>
      <color rgb="FF337AB7"/>
      <name val="Arial"/>
    </font>
    <font>
      <b/>
      <i/>
      <sz val="11.0"/>
      <color rgb="FF000000"/>
      <name val="Sans-serif"/>
    </font>
    <font>
      <i/>
      <sz val="11.0"/>
      <color rgb="FF222222"/>
      <name val="Sans-serif"/>
    </font>
    <font>
      <b/>
      <sz val="11.0"/>
      <color rgb="FFFF0000"/>
      <name val="Inconsolata"/>
    </font>
    <font>
      <sz val="10.0"/>
      <color rgb="FF191919"/>
      <name val="Georgia"/>
    </font>
    <font>
      <b/>
      <sz val="11.0"/>
    </font>
    <font>
      <sz val="11.0"/>
    </font>
    <font>
      <u/>
      <color rgb="FF0000FF"/>
    </font>
    <font>
      <u/>
      <sz val="12.0"/>
      <color rgb="FF000000"/>
      <name val="Arial"/>
    </font>
    <font>
      <sz val="11.0"/>
      <color rgb="FF333333"/>
      <name val="Roboto"/>
    </font>
    <font>
      <sz val="11.0"/>
      <color rgb="FF28A8B3"/>
      <name val="Roboto"/>
    </font>
    <font>
      <sz val="11.0"/>
      <color rgb="FFDD3333"/>
      <name val="Roboto"/>
    </font>
    <font>
      <u/>
      <sz val="11.0"/>
      <color rgb="FF0000FF"/>
    </font>
    <font>
      <b/>
      <sz val="11.0"/>
      <color rgb="FF000000"/>
    </font>
    <font>
      <u/>
      <sz val="11.0"/>
      <color rgb="FF222222"/>
      <name val="Arial"/>
    </font>
    <font>
      <sz val="11.0"/>
      <color rgb="FF000000"/>
      <name val="-webkit-standard"/>
    </font>
    <font>
      <u/>
      <sz val="11.0"/>
      <color rgb="FF0000FF"/>
    </font>
    <font>
      <sz val="11.0"/>
      <color rgb="FF333333"/>
      <name val="Open_sansregular"/>
    </font>
    <font>
      <u/>
      <color rgb="FF0000FF"/>
    </font>
    <font>
      <i/>
      <sz val="11.0"/>
      <color rgb="FF000000"/>
      <name val="Sans-serif"/>
    </font>
    <font>
      <i/>
      <sz val="11.0"/>
      <color rgb="FF000000"/>
      <name val="Arial"/>
    </font>
    <font>
      <sz val="8.0"/>
      <color rgb="FF000000"/>
      <name val="Arial"/>
    </font>
    <font>
      <sz val="11.0"/>
      <color rgb="FF163B67"/>
      <name val="Arial"/>
    </font>
    <font>
      <i/>
      <color rgb="FF404040"/>
      <name val="OpenSans"/>
    </font>
    <font>
      <sz val="12.0"/>
      <name val="Arial"/>
    </font>
    <font>
      <sz val="10.0"/>
      <color rgb="FF333333"/>
      <name val="Arial"/>
    </font>
    <font>
      <b/>
      <sz val="11.0"/>
      <color rgb="FFFF0000"/>
    </font>
    <font>
      <sz val="9.0"/>
      <color rgb="FF545454"/>
      <name val="Sans-serif"/>
    </font>
    <font>
      <u/>
      <color rgb="FF000000"/>
      <name val="Arial"/>
    </font>
    <font>
      <u/>
      <color rgb="FF1155CC"/>
      <name val="Arial"/>
    </font>
    <font>
      <b/>
      <sz val="9.0"/>
      <color rgb="FF2A5F9F"/>
      <name val="Arial"/>
    </font>
    <font>
      <sz val="9.0"/>
      <color rgb="FF000000"/>
      <name val="Arial"/>
    </font>
    <font>
      <color rgb="FF404040"/>
      <name val="OpenSans"/>
    </font>
    <font>
      <u/>
      <sz val="11.0"/>
      <color rgb="FF000000"/>
      <name val="Sans-serif"/>
    </font>
    <font>
      <color rgb="FFFFFFFF"/>
      <name val="Arial"/>
    </font>
    <font>
      <u/>
      <sz val="11.0"/>
      <color rgb="FF0000FF"/>
      <name val="Calibri"/>
    </font>
    <font>
      <u/>
      <sz val="11.0"/>
      <color rgb="FF404040"/>
      <name val="Roboto"/>
    </font>
    <font>
      <b/>
      <u/>
      <sz val="11.0"/>
      <color rgb="FF222222"/>
      <name val="Arial"/>
    </font>
    <font>
      <u/>
      <sz val="11.0"/>
      <color rgb="FF000000"/>
      <name val="Roboto"/>
    </font>
    <font>
      <sz val="11.0"/>
      <color rgb="FF454545"/>
      <name val="Arial"/>
    </font>
    <font>
      <sz val="11.0"/>
      <color rgb="FF0A0A0A"/>
      <name val="Arial"/>
    </font>
    <font>
      <u/>
      <sz val="11.0"/>
      <color rgb="FF404040"/>
      <name val="Roboto"/>
    </font>
    <font>
      <color rgb="FF000000"/>
      <name val="Nyt-franklin"/>
    </font>
    <font>
      <name val="Sans-serif"/>
    </font>
    <font>
      <sz val="9.0"/>
      <color rgb="FF33596D"/>
      <name val="Arial"/>
    </font>
    <font>
      <sz val="9.0"/>
      <color rgb="FF38383B"/>
      <name val="Arial"/>
    </font>
    <font>
      <sz val="9.0"/>
      <color rgb="FF163D60"/>
      <name val="Arial"/>
    </font>
    <font>
      <b/>
      <color rgb="FFFF0000"/>
      <name val="Arial"/>
    </font>
    <font>
      <sz val="11.0"/>
      <color rgb="FF000000"/>
      <name val="Nunito"/>
    </font>
    <font>
      <name val="Roboto"/>
    </font>
    <font>
      <sz val="10.0"/>
      <color rgb="FF000000"/>
      <name val="HdcTradeGothicLTStd"/>
    </font>
    <font>
      <sz val="12.0"/>
      <color rgb="FF212529"/>
      <name val="HdcTradeGothicLTStd"/>
    </font>
    <font>
      <b/>
      <sz val="9.0"/>
      <color rgb="FF000000"/>
      <name val="Sans-serif"/>
    </font>
    <font>
      <u/>
      <sz val="13.0"/>
      <color rgb="FF0000BB"/>
      <name val="Calibri"/>
    </font>
    <font>
      <sz val="12.0"/>
      <color rgb="FF6E0000"/>
      <name val="Arial"/>
    </font>
    <font>
      <b/>
      <sz val="15.0"/>
    </font>
    <font>
      <sz val="12.0"/>
      <color rgb="FF000000"/>
      <name val="Garamond"/>
    </font>
    <font>
      <sz val="12.0"/>
      <color rgb="FF6E0000"/>
      <name val="Garamond"/>
    </font>
    <font>
      <u/>
      <color rgb="FF000000"/>
      <name val="Arial"/>
    </font>
    <font>
      <sz val="13.0"/>
      <color rgb="FF333333"/>
      <name val="Calibri"/>
    </font>
    <font>
      <u/>
      <color rgb="FF222222"/>
      <name val="Arial"/>
    </font>
  </fonts>
  <fills count="38">
    <fill>
      <patternFill patternType="none"/>
    </fill>
    <fill>
      <patternFill patternType="lightGray"/>
    </fill>
    <fill>
      <patternFill patternType="solid">
        <fgColor rgb="FFD9D9D9"/>
        <bgColor rgb="FFD9D9D9"/>
      </patternFill>
    </fill>
    <fill>
      <patternFill patternType="solid">
        <fgColor rgb="FFB7B7B7"/>
        <bgColor rgb="FFB7B7B7"/>
      </patternFill>
    </fill>
    <fill>
      <patternFill patternType="solid">
        <fgColor rgb="FFB0CEFF"/>
        <bgColor rgb="FFB0CEFF"/>
      </patternFill>
    </fill>
    <fill>
      <patternFill patternType="solid">
        <fgColor rgb="FFFFB6B6"/>
        <bgColor rgb="FFFFB6B6"/>
      </patternFill>
    </fill>
    <fill>
      <patternFill patternType="solid">
        <fgColor rgb="FFF8F9FA"/>
        <bgColor rgb="FFF8F9FA"/>
      </patternFill>
    </fill>
    <fill>
      <patternFill patternType="solid">
        <fgColor rgb="FFEFEFEF"/>
        <bgColor rgb="FFEFEFEF"/>
      </patternFill>
    </fill>
    <fill>
      <patternFill patternType="solid">
        <fgColor rgb="FFFFFFFF"/>
        <bgColor rgb="FFFFFFFF"/>
      </patternFill>
    </fill>
    <fill>
      <patternFill patternType="solid">
        <fgColor rgb="FFFFFF00"/>
        <bgColor rgb="FFFFFF00"/>
      </patternFill>
    </fill>
    <fill>
      <patternFill patternType="solid">
        <fgColor rgb="FFFFE4E1"/>
        <bgColor rgb="FFFFE4E1"/>
      </patternFill>
    </fill>
    <fill>
      <patternFill patternType="solid">
        <fgColor rgb="FFFDFD7F"/>
        <bgColor rgb="FFFDFD7F"/>
      </patternFill>
    </fill>
    <fill>
      <patternFill patternType="solid">
        <fgColor rgb="FF000000"/>
        <bgColor rgb="FF000000"/>
      </patternFill>
    </fill>
    <fill>
      <patternFill patternType="solid">
        <fgColor rgb="FFF3F3F3"/>
        <bgColor rgb="FFF3F3F3"/>
      </patternFill>
    </fill>
    <fill>
      <patternFill patternType="solid">
        <fgColor rgb="FFF9F9F9"/>
        <bgColor rgb="FFF9F9F9"/>
      </patternFill>
    </fill>
    <fill>
      <patternFill patternType="solid">
        <fgColor rgb="FFB6D7A8"/>
        <bgColor rgb="FFB6D7A8"/>
      </patternFill>
    </fill>
    <fill>
      <patternFill patternType="solid">
        <fgColor rgb="FFDDDDDD"/>
        <bgColor rgb="FFDDDDDD"/>
      </patternFill>
    </fill>
    <fill>
      <patternFill patternType="solid">
        <fgColor rgb="FFF5F5F5"/>
        <bgColor rgb="FFF5F5F5"/>
      </patternFill>
    </fill>
    <fill>
      <patternFill patternType="solid">
        <fgColor rgb="FFA4C2F4"/>
        <bgColor rgb="FFA4C2F4"/>
      </patternFill>
    </fill>
    <fill>
      <patternFill patternType="solid">
        <fgColor rgb="FFEA9999"/>
        <bgColor rgb="FFEA9999"/>
      </patternFill>
    </fill>
    <fill>
      <patternFill patternType="solid">
        <fgColor rgb="FFCC4444"/>
        <bgColor rgb="FFCC4444"/>
      </patternFill>
    </fill>
    <fill>
      <patternFill patternType="solid">
        <fgColor rgb="FF4444CC"/>
        <bgColor rgb="FF4444CC"/>
      </patternFill>
    </fill>
    <fill>
      <patternFill patternType="solid">
        <fgColor rgb="FFEAECF0"/>
        <bgColor rgb="FFEAECF0"/>
      </patternFill>
    </fill>
    <fill>
      <patternFill patternType="solid">
        <fgColor rgb="FF00FF00"/>
        <bgColor rgb="FF00FF00"/>
      </patternFill>
    </fill>
    <fill>
      <patternFill patternType="solid">
        <fgColor rgb="FFEEEEEF"/>
        <bgColor rgb="FFEEEEEF"/>
      </patternFill>
    </fill>
    <fill>
      <patternFill patternType="solid">
        <fgColor rgb="FFE8EFFF"/>
        <bgColor rgb="FFE8EFFF"/>
      </patternFill>
    </fill>
    <fill>
      <patternFill patternType="solid">
        <fgColor rgb="FFEBEAEC"/>
        <bgColor rgb="FFEBEAEC"/>
      </patternFill>
    </fill>
    <fill>
      <patternFill patternType="solid">
        <fgColor rgb="FF969696"/>
        <bgColor rgb="FF969696"/>
      </patternFill>
    </fill>
    <fill>
      <patternFill patternType="solid">
        <fgColor rgb="FFFFF9F7"/>
        <bgColor rgb="FFFFF9F7"/>
      </patternFill>
    </fill>
    <fill>
      <patternFill patternType="solid">
        <fgColor rgb="FFF4CCCC"/>
        <bgColor rgb="FFF4CCCC"/>
      </patternFill>
    </fill>
    <fill>
      <patternFill patternType="solid">
        <fgColor rgb="FFFFF2CC"/>
        <bgColor rgb="FFFFF2CC"/>
      </patternFill>
    </fill>
    <fill>
      <patternFill patternType="solid">
        <fgColor rgb="FF0F2D4D"/>
        <bgColor rgb="FF0F2D4D"/>
      </patternFill>
    </fill>
    <fill>
      <patternFill patternType="solid">
        <fgColor rgb="FFF4F0E3"/>
        <bgColor rgb="FFF4F0E3"/>
      </patternFill>
    </fill>
    <fill>
      <patternFill patternType="solid">
        <fgColor rgb="FFFAFAFA"/>
        <bgColor rgb="FFFAFAFA"/>
      </patternFill>
    </fill>
    <fill>
      <patternFill patternType="solid">
        <fgColor rgb="FFFF82D3"/>
        <bgColor rgb="FFFF82D3"/>
      </patternFill>
    </fill>
    <fill>
      <patternFill patternType="solid">
        <fgColor rgb="FFFFD966"/>
        <bgColor rgb="FFFFD966"/>
      </patternFill>
    </fill>
    <fill>
      <patternFill patternType="solid">
        <fgColor rgb="FFD99FE8"/>
        <bgColor rgb="FFD99FE8"/>
      </patternFill>
    </fill>
    <fill>
      <patternFill patternType="solid">
        <fgColor rgb="FFE1E1E1"/>
        <bgColor rgb="FFE1E1E1"/>
      </patternFill>
    </fill>
  </fills>
  <borders count="7">
    <border/>
    <border>
      <left style="thick">
        <color rgb="FF000000"/>
      </left>
    </border>
    <border>
      <left style="thin">
        <color rgb="FF000000"/>
      </left>
    </border>
    <border>
      <right/>
    </border>
    <border>
      <left style="thin">
        <color rgb="FF000000"/>
      </left>
      <right style="thin">
        <color rgb="FF000000"/>
      </right>
    </border>
    <border>
      <left style="thin">
        <color rgb="FF808080"/>
      </left>
    </border>
    <border>
      <right style="thick">
        <color rgb="FF000000"/>
      </right>
    </border>
  </borders>
  <cellStyleXfs count="1">
    <xf borderId="0" fillId="0" fontId="0" numFmtId="0" applyAlignment="1" applyFont="1"/>
  </cellStyleXfs>
  <cellXfs count="822">
    <xf borderId="0" fillId="0" fontId="0" numFmtId="0" xfId="0" applyAlignment="1" applyFont="1">
      <alignment readingOrder="0" shrinkToFit="0" vertical="bottom" wrapText="0"/>
    </xf>
    <xf borderId="0" fillId="2" fontId="1" numFmtId="0" xfId="0" applyAlignment="1" applyFill="1" applyFont="1">
      <alignment readingOrder="0"/>
    </xf>
    <xf borderId="0" fillId="2" fontId="2" numFmtId="0" xfId="0" applyAlignment="1" applyFont="1">
      <alignment readingOrder="0"/>
    </xf>
    <xf borderId="0" fillId="2" fontId="3" numFmtId="0" xfId="0" applyAlignment="1" applyFont="1">
      <alignment horizontal="center" readingOrder="0"/>
    </xf>
    <xf borderId="0" fillId="2" fontId="1" numFmtId="0" xfId="0" applyAlignment="1" applyFont="1">
      <alignment horizontal="center" readingOrder="0"/>
    </xf>
    <xf borderId="0" fillId="2" fontId="4" numFmtId="0" xfId="0" applyAlignment="1" applyFont="1">
      <alignment horizontal="center" readingOrder="0"/>
    </xf>
    <xf borderId="0" fillId="0" fontId="5" numFmtId="0" xfId="0" applyAlignment="1" applyFont="1">
      <alignment horizontal="center" readingOrder="0"/>
    </xf>
    <xf borderId="0" fillId="2" fontId="6" numFmtId="0" xfId="0" applyAlignment="1" applyFont="1">
      <alignment horizontal="center" readingOrder="0"/>
    </xf>
    <xf borderId="0" fillId="0" fontId="3" numFmtId="164" xfId="0" applyAlignment="1" applyFont="1" applyNumberFormat="1">
      <alignment readingOrder="0"/>
    </xf>
    <xf borderId="0" fillId="0" fontId="3" numFmtId="0" xfId="0" applyAlignment="1" applyFont="1">
      <alignment readingOrder="0" shrinkToFit="0" wrapText="1"/>
    </xf>
    <xf borderId="1" fillId="2" fontId="6" numFmtId="0" xfId="0" applyAlignment="1" applyBorder="1" applyFont="1">
      <alignment horizontal="center" readingOrder="0"/>
    </xf>
    <xf borderId="0" fillId="3" fontId="6" numFmtId="0" xfId="0" applyAlignment="1" applyFill="1" applyFont="1">
      <alignment horizontal="left" readingOrder="0"/>
    </xf>
    <xf borderId="0" fillId="0" fontId="3" numFmtId="0" xfId="0" applyAlignment="1" applyFont="1">
      <alignment readingOrder="0"/>
    </xf>
    <xf borderId="0" fillId="3" fontId="2" numFmtId="0" xfId="0" applyAlignment="1" applyFont="1">
      <alignment readingOrder="0"/>
    </xf>
    <xf borderId="0" fillId="0" fontId="5" numFmtId="0" xfId="0" applyAlignment="1" applyFont="1">
      <alignment readingOrder="0"/>
    </xf>
    <xf borderId="0" fillId="0" fontId="3" numFmtId="0" xfId="0" applyFont="1"/>
    <xf borderId="2" fillId="0" fontId="7" numFmtId="0" xfId="0" applyAlignment="1" applyBorder="1" applyFont="1">
      <alignment horizontal="center" readingOrder="0"/>
    </xf>
    <xf borderId="0" fillId="3" fontId="3" numFmtId="0" xfId="0" applyAlignment="1" applyFont="1">
      <alignment readingOrder="0"/>
    </xf>
    <xf borderId="0" fillId="0" fontId="5" numFmtId="0" xfId="0" applyAlignment="1" applyFont="1">
      <alignment horizontal="center"/>
    </xf>
    <xf borderId="0" fillId="3" fontId="6" numFmtId="0" xfId="0" applyAlignment="1" applyFont="1">
      <alignment horizontal="center" readingOrder="0"/>
    </xf>
    <xf borderId="0" fillId="2" fontId="3" numFmtId="0" xfId="0" applyFont="1"/>
    <xf borderId="0" fillId="0" fontId="8" numFmtId="0" xfId="0" applyAlignment="1" applyFont="1">
      <alignment readingOrder="0"/>
    </xf>
    <xf borderId="0" fillId="0" fontId="5" numFmtId="164" xfId="0" applyFont="1" applyNumberFormat="1"/>
    <xf borderId="0" fillId="0" fontId="8" numFmtId="164" xfId="0" applyAlignment="1" applyFont="1" applyNumberFormat="1">
      <alignment readingOrder="0"/>
    </xf>
    <xf borderId="0" fillId="0" fontId="5" numFmtId="164" xfId="0" applyAlignment="1" applyFont="1" applyNumberFormat="1">
      <alignment shrinkToFit="0" wrapText="1"/>
    </xf>
    <xf borderId="0" fillId="0" fontId="8" numFmtId="164" xfId="0" applyAlignment="1" applyFont="1" applyNumberFormat="1">
      <alignment horizontal="center" readingOrder="0"/>
    </xf>
    <xf borderId="0" fillId="4" fontId="6" numFmtId="0" xfId="0" applyAlignment="1" applyFill="1" applyFont="1">
      <alignment horizontal="center" readingOrder="0"/>
    </xf>
    <xf borderId="0" fillId="0" fontId="8" numFmtId="0" xfId="0" applyAlignment="1" applyFont="1">
      <alignment horizontal="center" readingOrder="0"/>
    </xf>
    <xf borderId="0" fillId="5" fontId="6" numFmtId="0" xfId="0" applyAlignment="1" applyFill="1" applyFont="1">
      <alignment horizontal="center" readingOrder="0"/>
    </xf>
    <xf borderId="0" fillId="0" fontId="9" numFmtId="0" xfId="0" applyAlignment="1" applyFont="1">
      <alignment horizontal="right" vertical="bottom"/>
    </xf>
    <xf borderId="0" fillId="2" fontId="3" numFmtId="0" xfId="0" applyAlignment="1" applyFont="1">
      <alignment readingOrder="0"/>
    </xf>
    <xf borderId="0" fillId="6" fontId="10" numFmtId="0" xfId="0" applyAlignment="1" applyFill="1" applyFont="1">
      <alignment readingOrder="0"/>
    </xf>
    <xf borderId="0" fillId="0" fontId="11" numFmtId="0" xfId="0" applyAlignment="1" applyFont="1">
      <alignment vertical="bottom"/>
    </xf>
    <xf borderId="2" fillId="0" fontId="12" numFmtId="0" xfId="0" applyAlignment="1" applyBorder="1" applyFont="1">
      <alignment horizontal="right"/>
    </xf>
    <xf borderId="0" fillId="0" fontId="13" numFmtId="0" xfId="0" applyAlignment="1" applyFont="1">
      <alignment horizontal="right"/>
    </xf>
    <xf borderId="0" fillId="0" fontId="14" numFmtId="0" xfId="0" applyAlignment="1" applyFont="1">
      <alignment readingOrder="0"/>
    </xf>
    <xf borderId="0" fillId="4" fontId="10" numFmtId="0" xfId="0" applyAlignment="1" applyFont="1">
      <alignment readingOrder="0"/>
    </xf>
    <xf borderId="0" fillId="7" fontId="15" numFmtId="0" xfId="0" applyAlignment="1" applyFill="1" applyFont="1">
      <alignment readingOrder="0"/>
    </xf>
    <xf borderId="0" fillId="0" fontId="16" numFmtId="0" xfId="0" applyAlignment="1" applyFont="1">
      <alignment readingOrder="0"/>
    </xf>
    <xf borderId="0" fillId="7" fontId="10" numFmtId="0" xfId="0" applyAlignment="1" applyFont="1">
      <alignment readingOrder="0"/>
    </xf>
    <xf borderId="0" fillId="5" fontId="10" numFmtId="0" xfId="0" applyAlignment="1" applyFont="1">
      <alignment horizontal="center" readingOrder="0"/>
    </xf>
    <xf borderId="0" fillId="7" fontId="5" numFmtId="0" xfId="0" applyFont="1"/>
    <xf borderId="0" fillId="8" fontId="17" numFmtId="0" xfId="0" applyAlignment="1" applyFill="1" applyFont="1">
      <alignment horizontal="left" readingOrder="0" shrinkToFit="0" wrapText="0"/>
    </xf>
    <xf borderId="0" fillId="0" fontId="3" numFmtId="0" xfId="0" applyAlignment="1" applyFont="1">
      <alignment horizontal="left" readingOrder="0"/>
    </xf>
    <xf borderId="0" fillId="0" fontId="18" numFmtId="164" xfId="0" applyAlignment="1" applyFont="1" applyNumberFormat="1">
      <alignment readingOrder="0" shrinkToFit="0" wrapText="1"/>
    </xf>
    <xf borderId="0" fillId="0" fontId="19" numFmtId="0" xfId="0" applyAlignment="1" applyFont="1">
      <alignment readingOrder="0"/>
    </xf>
    <xf borderId="0" fillId="8" fontId="20" numFmtId="0" xfId="0" applyAlignment="1" applyFont="1">
      <alignment horizontal="left" readingOrder="0"/>
    </xf>
    <xf borderId="0" fillId="8" fontId="21" numFmtId="9" xfId="0" applyAlignment="1" applyFont="1" applyNumberFormat="1">
      <alignment horizontal="left" readingOrder="0"/>
    </xf>
    <xf borderId="0" fillId="0" fontId="3" numFmtId="0" xfId="0" applyAlignment="1" applyFont="1">
      <alignment horizontal="left"/>
    </xf>
    <xf borderId="0" fillId="0" fontId="5" numFmtId="165" xfId="0" applyAlignment="1" applyFont="1" applyNumberFormat="1">
      <alignment horizontal="center" readingOrder="0"/>
    </xf>
    <xf borderId="0" fillId="8" fontId="0" numFmtId="0" xfId="0" applyAlignment="1" applyFont="1">
      <alignment horizontal="left" readingOrder="0"/>
    </xf>
    <xf borderId="0" fillId="5" fontId="10" numFmtId="0" xfId="0" applyAlignment="1" applyFont="1">
      <alignment readingOrder="0"/>
    </xf>
    <xf borderId="0" fillId="0" fontId="5" numFmtId="0" xfId="0" applyAlignment="1" applyFont="1">
      <alignment readingOrder="0" shrinkToFit="0" wrapText="1"/>
    </xf>
    <xf borderId="0" fillId="7" fontId="14" numFmtId="0" xfId="0" applyAlignment="1" applyFont="1">
      <alignment readingOrder="0"/>
    </xf>
    <xf borderId="0" fillId="5" fontId="22" numFmtId="0" xfId="0" applyAlignment="1" applyFont="1">
      <alignment horizontal="center" readingOrder="0"/>
    </xf>
    <xf borderId="0" fillId="9" fontId="5" numFmtId="0" xfId="0" applyAlignment="1" applyFill="1" applyFont="1">
      <alignment horizontal="center" readingOrder="0"/>
    </xf>
    <xf borderId="2" fillId="0" fontId="23" numFmtId="0" xfId="0" applyAlignment="1" applyBorder="1" applyFont="1">
      <alignment horizontal="right"/>
    </xf>
    <xf borderId="0" fillId="8" fontId="21" numFmtId="0" xfId="0" applyAlignment="1" applyFont="1">
      <alignment horizontal="left" readingOrder="0"/>
    </xf>
    <xf borderId="0" fillId="8" fontId="21" numFmtId="0" xfId="0" applyAlignment="1" applyFont="1">
      <alignment horizontal="left"/>
    </xf>
    <xf borderId="0" fillId="8" fontId="24" numFmtId="0" xfId="0" applyAlignment="1" applyFont="1">
      <alignment horizontal="left" readingOrder="0"/>
    </xf>
    <xf borderId="0" fillId="0" fontId="25" numFmtId="0" xfId="0" applyAlignment="1" applyFont="1">
      <alignment readingOrder="0" shrinkToFit="0" wrapText="1"/>
    </xf>
    <xf borderId="0" fillId="10" fontId="10" numFmtId="0" xfId="0" applyAlignment="1" applyFill="1" applyFont="1">
      <alignment readingOrder="0"/>
    </xf>
    <xf borderId="0" fillId="0" fontId="9" numFmtId="14" xfId="0" applyAlignment="1" applyFont="1" applyNumberFormat="1">
      <alignment horizontal="right" vertical="bottom"/>
    </xf>
    <xf borderId="0" fillId="0" fontId="26" numFmtId="0" xfId="0" applyAlignment="1" applyFont="1">
      <alignment readingOrder="0"/>
    </xf>
    <xf borderId="0" fillId="0" fontId="0" numFmtId="0" xfId="0" applyAlignment="1" applyFont="1">
      <alignment horizontal="right"/>
    </xf>
    <xf borderId="0" fillId="11" fontId="10" numFmtId="0" xfId="0" applyAlignment="1" applyFill="1" applyFont="1">
      <alignment readingOrder="0"/>
    </xf>
    <xf borderId="2" fillId="0" fontId="12" numFmtId="0" xfId="0" applyAlignment="1" applyBorder="1" applyFont="1">
      <alignment horizontal="right" readingOrder="0"/>
    </xf>
    <xf borderId="0" fillId="0" fontId="0" numFmtId="0" xfId="0" applyAlignment="1" applyFont="1">
      <alignment horizontal="right" readingOrder="0"/>
    </xf>
    <xf borderId="0" fillId="0" fontId="5" numFmtId="164" xfId="0" applyAlignment="1" applyFont="1" applyNumberFormat="1">
      <alignment readingOrder="0"/>
    </xf>
    <xf borderId="0" fillId="8" fontId="27" numFmtId="0" xfId="0" applyAlignment="1" applyFont="1">
      <alignment horizontal="left" readingOrder="0" shrinkToFit="0" wrapText="0"/>
    </xf>
    <xf borderId="0" fillId="12" fontId="5" numFmtId="0" xfId="0" applyFill="1" applyFont="1"/>
    <xf borderId="0" fillId="12" fontId="28" numFmtId="0" xfId="0" applyFont="1"/>
    <xf borderId="0" fillId="0" fontId="5" numFmtId="0" xfId="0" applyFont="1"/>
    <xf borderId="0" fillId="4" fontId="10" numFmtId="0" xfId="0" applyAlignment="1" applyFont="1">
      <alignment horizontal="center" readingOrder="0"/>
    </xf>
    <xf borderId="0" fillId="6" fontId="14" numFmtId="0" xfId="0" applyAlignment="1" applyFont="1">
      <alignment readingOrder="0"/>
    </xf>
    <xf borderId="0" fillId="7" fontId="10" numFmtId="0" xfId="0" applyFont="1"/>
    <xf borderId="0" fillId="6" fontId="10" numFmtId="0" xfId="0" applyFont="1"/>
    <xf borderId="0" fillId="0" fontId="28" numFmtId="0" xfId="0" applyAlignment="1" applyFont="1">
      <alignment readingOrder="0"/>
    </xf>
    <xf borderId="0" fillId="6" fontId="16" numFmtId="0" xfId="0" applyAlignment="1" applyFont="1">
      <alignment readingOrder="0"/>
    </xf>
    <xf borderId="0" fillId="8" fontId="12" numFmtId="0" xfId="0" applyAlignment="1" applyFont="1">
      <alignment horizontal="left"/>
    </xf>
    <xf borderId="0" fillId="2" fontId="2" numFmtId="0" xfId="0" applyAlignment="1" applyFont="1">
      <alignment horizontal="left" readingOrder="0"/>
    </xf>
    <xf borderId="0" fillId="2" fontId="3" numFmtId="0" xfId="0" applyAlignment="1" applyFont="1">
      <alignment horizontal="left" readingOrder="0"/>
    </xf>
    <xf borderId="0" fillId="0" fontId="29" numFmtId="0" xfId="0" applyAlignment="1" applyFont="1">
      <alignment horizontal="center" readingOrder="0" vertical="center"/>
    </xf>
    <xf borderId="0" fillId="5" fontId="30" numFmtId="0" xfId="0" applyAlignment="1" applyFont="1">
      <alignment readingOrder="0"/>
    </xf>
    <xf borderId="0" fillId="0" fontId="2" numFmtId="0" xfId="0" applyAlignment="1" applyFont="1">
      <alignment horizontal="left" readingOrder="0"/>
    </xf>
    <xf borderId="0" fillId="8" fontId="31" numFmtId="0" xfId="0" applyAlignment="1" applyFont="1">
      <alignment horizontal="left" readingOrder="0" shrinkToFit="0" wrapText="0"/>
    </xf>
    <xf borderId="0" fillId="13" fontId="16" numFmtId="0" xfId="0" applyAlignment="1" applyFill="1" applyFont="1">
      <alignment horizontal="left" readingOrder="0"/>
    </xf>
    <xf borderId="0" fillId="8" fontId="0" numFmtId="0" xfId="0" applyAlignment="1" applyFont="1">
      <alignment horizontal="left" readingOrder="0"/>
    </xf>
    <xf borderId="0" fillId="13" fontId="10" numFmtId="0" xfId="0" applyAlignment="1" applyFont="1">
      <alignment readingOrder="0"/>
    </xf>
    <xf borderId="0" fillId="13" fontId="5" numFmtId="0" xfId="0" applyFont="1"/>
    <xf borderId="0" fillId="8" fontId="0" numFmtId="0" xfId="0" applyAlignment="1" applyFont="1">
      <alignment horizontal="left" readingOrder="0"/>
    </xf>
    <xf borderId="0" fillId="13" fontId="32" numFmtId="0" xfId="0" applyAlignment="1" applyFont="1">
      <alignment readingOrder="0"/>
    </xf>
    <xf borderId="0" fillId="0" fontId="2" numFmtId="0" xfId="0" applyAlignment="1" applyFont="1">
      <alignment horizontal="left"/>
    </xf>
    <xf borderId="0" fillId="13" fontId="16" numFmtId="0" xfId="0" applyAlignment="1" applyFont="1">
      <alignment vertical="bottom"/>
    </xf>
    <xf borderId="0" fillId="4" fontId="30" numFmtId="0" xfId="0" applyAlignment="1" applyFont="1">
      <alignment readingOrder="0"/>
    </xf>
    <xf borderId="0" fillId="14" fontId="16" numFmtId="0" xfId="0" applyAlignment="1" applyFill="1" applyFont="1">
      <alignment readingOrder="0"/>
    </xf>
    <xf borderId="0" fillId="4" fontId="22" numFmtId="0" xfId="0" applyAlignment="1" applyFont="1">
      <alignment horizontal="center" readingOrder="0"/>
    </xf>
    <xf borderId="0" fillId="7" fontId="22" numFmtId="0" xfId="0" applyAlignment="1" applyFont="1">
      <alignment readingOrder="0"/>
    </xf>
    <xf borderId="0" fillId="5" fontId="22" numFmtId="0" xfId="0" applyAlignment="1" applyFont="1">
      <alignment readingOrder="0"/>
    </xf>
    <xf borderId="0" fillId="8" fontId="33" numFmtId="0" xfId="0" applyAlignment="1" applyFont="1">
      <alignment horizontal="left" readingOrder="0" shrinkToFit="0" wrapText="0"/>
    </xf>
    <xf borderId="0" fillId="4" fontId="22" numFmtId="0" xfId="0" applyAlignment="1" applyFont="1">
      <alignment readingOrder="0"/>
    </xf>
    <xf borderId="0" fillId="12" fontId="5" numFmtId="0" xfId="0" applyAlignment="1" applyFont="1">
      <alignment horizontal="center"/>
    </xf>
    <xf borderId="0" fillId="12" fontId="27" numFmtId="0" xfId="0" applyAlignment="1" applyFont="1">
      <alignment horizontal="left"/>
    </xf>
    <xf borderId="0" fillId="12" fontId="3" numFmtId="0" xfId="0" applyAlignment="1" applyFont="1">
      <alignment horizontal="left"/>
    </xf>
    <xf borderId="0" fillId="12" fontId="34" numFmtId="0" xfId="0" applyAlignment="1" applyFont="1">
      <alignment horizontal="left"/>
    </xf>
    <xf borderId="0" fillId="0" fontId="35" numFmtId="0" xfId="0" applyAlignment="1" applyFont="1">
      <alignment readingOrder="0"/>
    </xf>
    <xf borderId="0" fillId="0" fontId="35" numFmtId="0" xfId="0" applyAlignment="1" applyFont="1">
      <alignment readingOrder="0"/>
    </xf>
    <xf borderId="0" fillId="0" fontId="27" numFmtId="0" xfId="0" applyAlignment="1" applyFont="1">
      <alignment horizontal="left"/>
    </xf>
    <xf borderId="0" fillId="7" fontId="36" numFmtId="0" xfId="0" applyAlignment="1" applyFont="1">
      <alignment horizontal="left" readingOrder="0"/>
    </xf>
    <xf borderId="0" fillId="8" fontId="37" numFmtId="0" xfId="0" applyAlignment="1" applyFont="1">
      <alignment readingOrder="0"/>
    </xf>
    <xf borderId="0" fillId="15" fontId="38" numFmtId="0" xfId="0" applyAlignment="1" applyFill="1" applyFont="1">
      <alignment readingOrder="0"/>
    </xf>
    <xf borderId="0" fillId="8" fontId="39" numFmtId="0" xfId="0" applyAlignment="1" applyFont="1">
      <alignment readingOrder="0"/>
    </xf>
    <xf borderId="0" fillId="8" fontId="10" numFmtId="0" xfId="0" applyAlignment="1" applyFont="1">
      <alignment readingOrder="0"/>
    </xf>
    <xf borderId="0" fillId="8" fontId="40" numFmtId="0" xfId="0" applyAlignment="1" applyFont="1">
      <alignment readingOrder="0"/>
    </xf>
    <xf borderId="0" fillId="0" fontId="27" numFmtId="0" xfId="0" applyAlignment="1" applyFont="1">
      <alignment horizontal="left" readingOrder="0"/>
    </xf>
    <xf borderId="0" fillId="8" fontId="41" numFmtId="0" xfId="0" applyAlignment="1" applyFont="1">
      <alignment readingOrder="0"/>
    </xf>
    <xf borderId="0" fillId="8" fontId="40" numFmtId="0" xfId="0" applyAlignment="1" applyFont="1">
      <alignment readingOrder="0" vertical="top"/>
    </xf>
    <xf borderId="3" fillId="0" fontId="42" numFmtId="0" xfId="0" applyAlignment="1" applyBorder="1" applyFont="1">
      <alignment horizontal="left" shrinkToFit="0" vertical="bottom" wrapText="0"/>
    </xf>
    <xf borderId="0" fillId="8" fontId="43" numFmtId="0" xfId="0" applyAlignment="1" applyFont="1">
      <alignment readingOrder="0"/>
    </xf>
    <xf borderId="0" fillId="8" fontId="43" numFmtId="0" xfId="0" applyAlignment="1" applyFont="1">
      <alignment horizontal="right"/>
    </xf>
    <xf borderId="0" fillId="0" fontId="42" numFmtId="0" xfId="0" applyAlignment="1" applyFont="1">
      <alignment horizontal="left" vertical="bottom"/>
    </xf>
    <xf borderId="0" fillId="15" fontId="41" numFmtId="0" xfId="0" applyAlignment="1" applyFont="1">
      <alignment readingOrder="0"/>
    </xf>
    <xf borderId="0" fillId="8" fontId="44" numFmtId="0" xfId="0" applyAlignment="1" applyFont="1">
      <alignment readingOrder="0"/>
    </xf>
    <xf borderId="0" fillId="8" fontId="43" numFmtId="9" xfId="0" applyAlignment="1" applyFont="1" applyNumberFormat="1">
      <alignment horizontal="right" readingOrder="0"/>
    </xf>
    <xf borderId="0" fillId="8" fontId="45" numFmtId="0" xfId="0" applyAlignment="1" applyFont="1">
      <alignment readingOrder="0"/>
    </xf>
    <xf borderId="0" fillId="7" fontId="0" numFmtId="0" xfId="0" applyAlignment="1" applyFont="1">
      <alignment horizontal="left" readingOrder="0"/>
    </xf>
    <xf borderId="0" fillId="0" fontId="2" numFmtId="0" xfId="0" applyAlignment="1" applyFont="1">
      <alignment readingOrder="0"/>
    </xf>
    <xf borderId="0" fillId="16" fontId="22" numFmtId="0" xfId="0" applyAlignment="1" applyFill="1" applyFont="1">
      <alignment horizontal="center" readingOrder="0"/>
    </xf>
    <xf borderId="0" fillId="12" fontId="5" numFmtId="0" xfId="0" applyAlignment="1" applyFont="1">
      <alignment horizontal="left"/>
    </xf>
    <xf borderId="0" fillId="8" fontId="5" numFmtId="0" xfId="0" applyAlignment="1" applyFont="1">
      <alignment readingOrder="0"/>
    </xf>
    <xf borderId="0" fillId="8" fontId="28" numFmtId="0" xfId="0" applyFont="1"/>
    <xf borderId="0" fillId="8" fontId="28" numFmtId="0" xfId="0" applyAlignment="1" applyFont="1">
      <alignment readingOrder="0"/>
    </xf>
    <xf borderId="0" fillId="8" fontId="5" numFmtId="0" xfId="0" applyAlignment="1" applyFont="1">
      <alignment horizontal="center" readingOrder="0"/>
    </xf>
    <xf borderId="0" fillId="8" fontId="27" numFmtId="0" xfId="0" applyAlignment="1" applyFont="1">
      <alignment horizontal="left"/>
    </xf>
    <xf borderId="0" fillId="8" fontId="3" numFmtId="0" xfId="0" applyAlignment="1" applyFont="1">
      <alignment horizontal="left"/>
    </xf>
    <xf borderId="0" fillId="7" fontId="5" numFmtId="0" xfId="0" applyAlignment="1" applyFont="1">
      <alignment horizontal="left"/>
    </xf>
    <xf borderId="0" fillId="7" fontId="5" numFmtId="0" xfId="0" applyAlignment="1" applyFont="1">
      <alignment readingOrder="0"/>
    </xf>
    <xf borderId="0" fillId="7" fontId="28" numFmtId="0" xfId="0" applyFont="1"/>
    <xf borderId="0" fillId="8" fontId="5" numFmtId="0" xfId="0" applyFont="1"/>
    <xf borderId="0" fillId="0" fontId="28" numFmtId="0" xfId="0" applyFont="1"/>
    <xf borderId="0" fillId="0" fontId="5" numFmtId="0" xfId="0" applyAlignment="1" applyFont="1">
      <alignment horizontal="left"/>
    </xf>
    <xf borderId="0" fillId="12" fontId="16" numFmtId="0" xfId="0" applyAlignment="1" applyFont="1">
      <alignment vertical="center"/>
    </xf>
    <xf borderId="0" fillId="12" fontId="16" numFmtId="0" xfId="0" applyFont="1"/>
    <xf borderId="0" fillId="12" fontId="2" numFmtId="0" xfId="0" applyAlignment="1" applyFont="1">
      <alignment horizontal="left"/>
    </xf>
    <xf borderId="0" fillId="0" fontId="16" numFmtId="0" xfId="0" applyAlignment="1" applyFont="1">
      <alignment readingOrder="0" vertical="center"/>
    </xf>
    <xf borderId="0" fillId="0" fontId="16" numFmtId="0" xfId="0" applyAlignment="1" applyFont="1">
      <alignment vertical="bottom"/>
    </xf>
    <xf borderId="0" fillId="14" fontId="16" numFmtId="0" xfId="0" applyAlignment="1" applyFont="1">
      <alignment vertical="bottom"/>
    </xf>
    <xf borderId="0" fillId="8" fontId="9" numFmtId="0" xfId="0" applyAlignment="1" applyFont="1">
      <alignment vertical="bottom"/>
    </xf>
    <xf borderId="0" fillId="13" fontId="45" numFmtId="0" xfId="0" applyAlignment="1" applyFont="1">
      <alignment readingOrder="0"/>
    </xf>
    <xf borderId="0" fillId="8" fontId="9" numFmtId="0" xfId="0" applyAlignment="1" applyFont="1">
      <alignment readingOrder="0" vertical="bottom"/>
    </xf>
    <xf borderId="0" fillId="14" fontId="24" numFmtId="0" xfId="0" applyAlignment="1" applyFont="1">
      <alignment vertical="bottom"/>
    </xf>
    <xf borderId="0" fillId="0" fontId="46" numFmtId="0" xfId="0" applyAlignment="1" applyFont="1">
      <alignment readingOrder="0"/>
    </xf>
    <xf borderId="0" fillId="2" fontId="2" numFmtId="0" xfId="0" applyAlignment="1" applyFont="1">
      <alignment readingOrder="0"/>
    </xf>
    <xf borderId="0" fillId="0" fontId="14" numFmtId="0" xfId="0" applyAlignment="1" applyFont="1">
      <alignment readingOrder="0"/>
    </xf>
    <xf borderId="0" fillId="13" fontId="47" numFmtId="0" xfId="0" applyAlignment="1" applyFont="1">
      <alignment readingOrder="0"/>
    </xf>
    <xf borderId="0" fillId="0" fontId="16" numFmtId="0" xfId="0" applyAlignment="1" applyFont="1">
      <alignment vertical="center"/>
    </xf>
    <xf borderId="0" fillId="5" fontId="5" numFmtId="0" xfId="0" applyAlignment="1" applyFont="1">
      <alignment readingOrder="0"/>
    </xf>
    <xf borderId="0" fillId="12" fontId="5" numFmtId="0" xfId="0" applyAlignment="1" applyFont="1">
      <alignment readingOrder="0"/>
    </xf>
    <xf borderId="0" fillId="0" fontId="10" numFmtId="0" xfId="0" applyFont="1"/>
    <xf borderId="0" fillId="4" fontId="5" numFmtId="0" xfId="0" applyAlignment="1" applyFont="1">
      <alignment readingOrder="0"/>
    </xf>
    <xf borderId="0" fillId="0" fontId="16" numFmtId="0" xfId="0" applyFont="1"/>
    <xf borderId="0" fillId="8" fontId="48" numFmtId="0" xfId="0" applyAlignment="1" applyFont="1">
      <alignment horizontal="center" readingOrder="0"/>
    </xf>
    <xf borderId="0" fillId="6" fontId="14" numFmtId="0" xfId="0" applyAlignment="1" applyFont="1">
      <alignment readingOrder="0"/>
    </xf>
    <xf borderId="0" fillId="13" fontId="47" numFmtId="0" xfId="0" applyAlignment="1" applyFont="1">
      <alignment readingOrder="0"/>
    </xf>
    <xf borderId="0" fillId="6" fontId="22" numFmtId="0" xfId="0" applyAlignment="1" applyFont="1">
      <alignment readingOrder="0"/>
    </xf>
    <xf borderId="0" fillId="0" fontId="10" numFmtId="0" xfId="0" applyAlignment="1" applyFont="1">
      <alignment readingOrder="0"/>
    </xf>
    <xf borderId="0" fillId="13" fontId="49" numFmtId="0" xfId="0" applyAlignment="1" applyFont="1">
      <alignment readingOrder="0"/>
    </xf>
    <xf borderId="0" fillId="2" fontId="6" numFmtId="0" xfId="0" applyAlignment="1" applyFont="1">
      <alignment horizontal="left" readingOrder="0"/>
    </xf>
    <xf borderId="0" fillId="0" fontId="46" numFmtId="164" xfId="0" applyAlignment="1" applyFont="1" applyNumberFormat="1">
      <alignment readingOrder="0"/>
    </xf>
    <xf borderId="0" fillId="0" fontId="50" numFmtId="0" xfId="0" applyFont="1"/>
    <xf borderId="0" fillId="0" fontId="0" numFmtId="0" xfId="0" applyAlignment="1" applyFont="1">
      <alignment readingOrder="0"/>
    </xf>
    <xf borderId="0" fillId="8" fontId="51" numFmtId="0" xfId="0" applyAlignment="1" applyFont="1">
      <alignment readingOrder="0"/>
    </xf>
    <xf borderId="0" fillId="0" fontId="34" numFmtId="0" xfId="0" applyFont="1"/>
    <xf borderId="0" fillId="0" fontId="1" numFmtId="0" xfId="0" applyFont="1"/>
    <xf borderId="0" fillId="8" fontId="52" numFmtId="0" xfId="0" applyAlignment="1" applyFont="1">
      <alignment readingOrder="0"/>
    </xf>
    <xf borderId="0" fillId="0" fontId="1" numFmtId="0" xfId="0" applyAlignment="1" applyFont="1">
      <alignment readingOrder="0"/>
    </xf>
    <xf borderId="0" fillId="0" fontId="53" numFmtId="0" xfId="0" applyAlignment="1" applyFont="1">
      <alignment readingOrder="0"/>
    </xf>
    <xf borderId="0" fillId="17" fontId="52" numFmtId="0" xfId="0" applyAlignment="1" applyFill="1" applyFont="1">
      <alignment readingOrder="0"/>
    </xf>
    <xf borderId="0" fillId="0" fontId="54" numFmtId="0" xfId="0" applyAlignment="1" applyFont="1">
      <alignment readingOrder="0"/>
    </xf>
    <xf borderId="0" fillId="0" fontId="34" numFmtId="0" xfId="0" applyAlignment="1" applyFont="1">
      <alignment readingOrder="0"/>
    </xf>
    <xf borderId="0" fillId="8" fontId="0" numFmtId="0" xfId="0" applyAlignment="1" applyFont="1">
      <alignment readingOrder="0"/>
    </xf>
    <xf borderId="0" fillId="8" fontId="33" numFmtId="0" xfId="0" applyAlignment="1" applyFont="1">
      <alignment readingOrder="0"/>
    </xf>
    <xf borderId="0" fillId="0" fontId="50" numFmtId="0" xfId="0" applyAlignment="1" applyFont="1">
      <alignment readingOrder="0"/>
    </xf>
    <xf borderId="0" fillId="0" fontId="40" numFmtId="9" xfId="0" applyFont="1" applyNumberFormat="1"/>
    <xf borderId="0" fillId="12" fontId="3" numFmtId="0" xfId="0" applyFont="1"/>
    <xf borderId="0" fillId="13" fontId="10" numFmtId="0" xfId="0" applyFont="1"/>
    <xf borderId="0" fillId="12" fontId="28" numFmtId="0" xfId="0" applyFont="1"/>
    <xf borderId="0" fillId="13" fontId="55" numFmtId="0" xfId="0" applyAlignment="1" applyFont="1">
      <alignment readingOrder="0"/>
    </xf>
    <xf borderId="0" fillId="8" fontId="12" numFmtId="0" xfId="0" applyAlignment="1" applyFont="1">
      <alignment readingOrder="0"/>
    </xf>
    <xf borderId="0" fillId="17" fontId="16" numFmtId="0" xfId="0" applyAlignment="1" applyFont="1">
      <alignment readingOrder="0"/>
    </xf>
    <xf borderId="0" fillId="12" fontId="50" numFmtId="0" xfId="0" applyFont="1"/>
    <xf borderId="0" fillId="12" fontId="34" numFmtId="0" xfId="0" applyFont="1"/>
    <xf borderId="0" fillId="12" fontId="56" numFmtId="0" xfId="0" applyFont="1"/>
    <xf borderId="0" fillId="0" fontId="51" numFmtId="0" xfId="0" applyAlignment="1" applyFont="1">
      <alignment readingOrder="0"/>
    </xf>
    <xf borderId="0" fillId="8" fontId="16" numFmtId="0" xfId="0" applyAlignment="1" applyFont="1">
      <alignment readingOrder="0"/>
    </xf>
    <xf borderId="0" fillId="12" fontId="14" numFmtId="0" xfId="0" applyFont="1"/>
    <xf borderId="0" fillId="8" fontId="14" numFmtId="0" xfId="0" applyFont="1"/>
    <xf borderId="0" fillId="0" fontId="28" numFmtId="0" xfId="0" applyAlignment="1" applyFont="1">
      <alignment readingOrder="0"/>
    </xf>
    <xf borderId="0" fillId="0" fontId="28" numFmtId="0" xfId="0" applyFont="1"/>
    <xf borderId="0" fillId="12" fontId="28" numFmtId="0" xfId="0" applyAlignment="1" applyFont="1">
      <alignment readingOrder="0"/>
    </xf>
    <xf borderId="0" fillId="0" fontId="15" numFmtId="0" xfId="0" applyAlignment="1" applyFont="1">
      <alignment readingOrder="0"/>
    </xf>
    <xf borderId="0" fillId="2" fontId="2" numFmtId="0" xfId="0" applyAlignment="1" applyFont="1">
      <alignment horizontal="center" readingOrder="0"/>
    </xf>
    <xf borderId="0" fillId="2" fontId="3" numFmtId="0" xfId="0" applyAlignment="1" applyFont="1">
      <alignment horizontal="center"/>
    </xf>
    <xf borderId="0" fillId="3" fontId="3" numFmtId="0" xfId="0" applyAlignment="1" applyFont="1">
      <alignment horizontal="center" readingOrder="0"/>
    </xf>
    <xf borderId="0" fillId="8" fontId="14" numFmtId="0" xfId="0" applyAlignment="1" applyFont="1">
      <alignment readingOrder="0"/>
    </xf>
    <xf borderId="0" fillId="0" fontId="57" numFmtId="0" xfId="0" applyAlignment="1" applyFont="1">
      <alignment readingOrder="0"/>
    </xf>
    <xf borderId="0" fillId="8" fontId="57" numFmtId="0" xfId="0" applyAlignment="1" applyFont="1">
      <alignment readingOrder="0"/>
    </xf>
    <xf borderId="0" fillId="18" fontId="5" numFmtId="0" xfId="0" applyAlignment="1" applyFill="1" applyFont="1">
      <alignment readingOrder="0"/>
    </xf>
    <xf borderId="0" fillId="8" fontId="57" numFmtId="0" xfId="0" applyAlignment="1" applyFont="1">
      <alignment horizontal="right"/>
    </xf>
    <xf borderId="0" fillId="8" fontId="34" numFmtId="0" xfId="0" applyFont="1"/>
    <xf borderId="0" fillId="8" fontId="58" numFmtId="0" xfId="0" applyAlignment="1" applyFont="1">
      <alignment horizontal="right" readingOrder="0"/>
    </xf>
    <xf borderId="0" fillId="0" fontId="56" numFmtId="0" xfId="0" applyFont="1"/>
    <xf borderId="0" fillId="19" fontId="5" numFmtId="0" xfId="0" applyAlignment="1" applyFill="1" applyFont="1">
      <alignment readingOrder="0"/>
    </xf>
    <xf borderId="0" fillId="8" fontId="16" numFmtId="0" xfId="0" applyAlignment="1" applyFont="1">
      <alignment readingOrder="0"/>
    </xf>
    <xf borderId="0" fillId="8" fontId="57" numFmtId="9" xfId="0" applyAlignment="1" applyFont="1" applyNumberFormat="1">
      <alignment horizontal="right" readingOrder="0"/>
    </xf>
    <xf borderId="0" fillId="8" fontId="59" numFmtId="0" xfId="0" applyAlignment="1" applyFont="1">
      <alignment horizontal="right" readingOrder="0"/>
    </xf>
    <xf borderId="0" fillId="0" fontId="36" numFmtId="0" xfId="0" applyAlignment="1" applyFont="1">
      <alignment readingOrder="0"/>
    </xf>
    <xf borderId="0" fillId="6" fontId="36" numFmtId="0" xfId="0" applyAlignment="1" applyFont="1">
      <alignment readingOrder="0"/>
    </xf>
    <xf borderId="0" fillId="8" fontId="60" numFmtId="0" xfId="0" applyAlignment="1" applyFont="1">
      <alignment horizontal="right" readingOrder="0"/>
    </xf>
    <xf borderId="0" fillId="8" fontId="14" numFmtId="0" xfId="0" applyAlignment="1" applyFont="1">
      <alignment readingOrder="0"/>
    </xf>
    <xf borderId="0" fillId="0" fontId="61" numFmtId="0" xfId="0" applyFont="1"/>
    <xf borderId="0" fillId="8" fontId="31" numFmtId="0" xfId="0" applyAlignment="1" applyFont="1">
      <alignment horizontal="center" readingOrder="0" shrinkToFit="0" wrapText="0"/>
    </xf>
    <xf borderId="0" fillId="0" fontId="62" numFmtId="0" xfId="0" applyAlignment="1" applyFont="1">
      <alignment readingOrder="0"/>
    </xf>
    <xf borderId="0" fillId="13" fontId="5" numFmtId="0" xfId="0" applyAlignment="1" applyFont="1">
      <alignment readingOrder="0"/>
    </xf>
    <xf borderId="0" fillId="13" fontId="22" numFmtId="0" xfId="0" applyAlignment="1" applyFont="1">
      <alignment readingOrder="0"/>
    </xf>
    <xf borderId="0" fillId="0" fontId="61" numFmtId="0" xfId="0" applyAlignment="1" applyFont="1">
      <alignment readingOrder="0"/>
    </xf>
    <xf borderId="0" fillId="0" fontId="28" numFmtId="0" xfId="0" applyAlignment="1" applyFont="1">
      <alignment readingOrder="0"/>
    </xf>
    <xf borderId="0" fillId="8" fontId="43" numFmtId="0" xfId="0" applyAlignment="1" applyFont="1">
      <alignment horizontal="right" readingOrder="0"/>
    </xf>
    <xf borderId="0" fillId="0" fontId="63" numFmtId="0" xfId="0" applyAlignment="1" applyFont="1">
      <alignment readingOrder="0"/>
    </xf>
    <xf borderId="0" fillId="12" fontId="64" numFmtId="0" xfId="0" applyAlignment="1" applyFont="1">
      <alignment readingOrder="0"/>
    </xf>
    <xf borderId="0" fillId="12" fontId="65" numFmtId="0" xfId="0" applyAlignment="1" applyFont="1">
      <alignment readingOrder="0"/>
    </xf>
    <xf borderId="0" fillId="12" fontId="66" numFmtId="0" xfId="0" applyAlignment="1" applyFont="1">
      <alignment horizontal="center" readingOrder="0"/>
    </xf>
    <xf borderId="0" fillId="12" fontId="67" numFmtId="0" xfId="0" applyAlignment="1" applyFont="1">
      <alignment readingOrder="0"/>
    </xf>
    <xf borderId="0" fillId="12" fontId="1" numFmtId="0" xfId="0" applyFont="1"/>
    <xf borderId="0" fillId="12" fontId="66" numFmtId="0" xfId="0" applyAlignment="1" applyFont="1">
      <alignment readingOrder="0"/>
    </xf>
    <xf borderId="0" fillId="12" fontId="6" numFmtId="0" xfId="0" applyAlignment="1" applyFont="1">
      <alignment readingOrder="0"/>
    </xf>
    <xf borderId="0" fillId="12" fontId="68" numFmtId="0" xfId="0" applyAlignment="1" applyFont="1">
      <alignment readingOrder="0"/>
    </xf>
    <xf borderId="0" fillId="0" fontId="67" numFmtId="0" xfId="0" applyAlignment="1" applyFont="1">
      <alignment readingOrder="0"/>
    </xf>
    <xf borderId="0" fillId="0" fontId="0" numFmtId="0" xfId="0" applyAlignment="1" applyFont="1">
      <alignment readingOrder="0" shrinkToFit="0" wrapText="1"/>
    </xf>
    <xf borderId="0" fillId="0" fontId="34" numFmtId="0" xfId="0" applyAlignment="1" applyFont="1">
      <alignment readingOrder="0" shrinkToFit="0" wrapText="1"/>
    </xf>
    <xf borderId="0" fillId="7" fontId="69" numFmtId="0" xfId="0" applyAlignment="1" applyFont="1">
      <alignment readingOrder="0"/>
    </xf>
    <xf borderId="0" fillId="12" fontId="61" numFmtId="0" xfId="0" applyFont="1"/>
    <xf borderId="0" fillId="0" fontId="70" numFmtId="0" xfId="0" applyAlignment="1" applyFont="1">
      <alignment horizontal="left" readingOrder="0"/>
    </xf>
    <xf borderId="0" fillId="0" fontId="35" numFmtId="0" xfId="0" applyAlignment="1" applyFont="1">
      <alignment readingOrder="0"/>
    </xf>
    <xf borderId="0" fillId="13" fontId="71" numFmtId="0" xfId="0" applyAlignment="1" applyFont="1">
      <alignment readingOrder="0"/>
    </xf>
    <xf borderId="0" fillId="0" fontId="72" numFmtId="0" xfId="0" applyAlignment="1" applyFont="1">
      <alignment readingOrder="0"/>
    </xf>
    <xf borderId="0" fillId="0" fontId="35" numFmtId="0" xfId="0" applyFont="1"/>
    <xf borderId="0" fillId="6" fontId="73" numFmtId="0" xfId="0" applyAlignment="1" applyFont="1">
      <alignment readingOrder="0"/>
    </xf>
    <xf borderId="0" fillId="0" fontId="74" numFmtId="0" xfId="0" applyAlignment="1" applyFont="1">
      <alignment horizontal="left" readingOrder="0"/>
    </xf>
    <xf borderId="0" fillId="6" fontId="14" numFmtId="0" xfId="0" applyAlignment="1" applyFont="1">
      <alignment horizontal="left" readingOrder="0"/>
    </xf>
    <xf borderId="0" fillId="0" fontId="75" numFmtId="0" xfId="0" applyAlignment="1" applyFont="1">
      <alignment horizontal="center" readingOrder="0"/>
    </xf>
    <xf borderId="0" fillId="0" fontId="36" numFmtId="0" xfId="0" applyFont="1"/>
    <xf borderId="0" fillId="4" fontId="76" numFmtId="0" xfId="0" applyAlignment="1" applyFont="1">
      <alignment readingOrder="0"/>
    </xf>
    <xf borderId="0" fillId="6" fontId="70" numFmtId="0" xfId="0" applyAlignment="1" applyFont="1">
      <alignment horizontal="left" readingOrder="0"/>
    </xf>
    <xf borderId="0" fillId="6" fontId="74" numFmtId="0" xfId="0" applyAlignment="1" applyFont="1">
      <alignment horizontal="left" readingOrder="0"/>
    </xf>
    <xf borderId="0" fillId="7" fontId="77" numFmtId="0" xfId="0" applyAlignment="1" applyFont="1">
      <alignment readingOrder="0"/>
    </xf>
    <xf borderId="0" fillId="0" fontId="16" numFmtId="0" xfId="0" applyAlignment="1" applyFont="1">
      <alignment horizontal="left" readingOrder="0"/>
    </xf>
    <xf borderId="0" fillId="6" fontId="22" numFmtId="0" xfId="0" applyAlignment="1" applyFont="1">
      <alignment horizontal="center" readingOrder="0"/>
    </xf>
    <xf borderId="0" fillId="0" fontId="67" numFmtId="0" xfId="0" applyAlignment="1" applyFont="1">
      <alignment horizontal="center" readingOrder="0"/>
    </xf>
    <xf borderId="0" fillId="0" fontId="0" numFmtId="0" xfId="0" applyAlignment="1" applyFont="1">
      <alignment horizontal="left" readingOrder="0"/>
    </xf>
    <xf borderId="0" fillId="2" fontId="1" numFmtId="0" xfId="0" applyAlignment="1" applyFont="1">
      <alignment horizontal="left" readingOrder="0"/>
    </xf>
    <xf borderId="0" fillId="9" fontId="5" numFmtId="0" xfId="0" applyFont="1"/>
    <xf borderId="0" fillId="0" fontId="8" numFmtId="164" xfId="0" applyAlignment="1" applyFont="1" applyNumberFormat="1">
      <alignment horizontal="left" readingOrder="0"/>
    </xf>
    <xf borderId="0" fillId="0" fontId="0" numFmtId="0" xfId="0" applyAlignment="1" applyFont="1">
      <alignment horizontal="right" readingOrder="0"/>
    </xf>
    <xf borderId="0" fillId="0" fontId="0" numFmtId="0" xfId="0" applyAlignment="1" applyFont="1">
      <alignment horizontal="left" readingOrder="0"/>
    </xf>
    <xf borderId="0" fillId="20" fontId="0" numFmtId="0" xfId="0" applyAlignment="1" applyFill="1" applyFont="1">
      <alignment horizontal="center" readingOrder="0"/>
    </xf>
    <xf borderId="0" fillId="6" fontId="16" numFmtId="0" xfId="0" applyAlignment="1" applyFont="1">
      <alignment horizontal="left" readingOrder="0"/>
    </xf>
    <xf borderId="0" fillId="7" fontId="78" numFmtId="0" xfId="0" applyAlignment="1" applyFont="1">
      <alignment readingOrder="0"/>
    </xf>
    <xf borderId="0" fillId="2" fontId="1" numFmtId="0" xfId="0" applyAlignment="1" applyFont="1">
      <alignment readingOrder="0"/>
    </xf>
    <xf borderId="0" fillId="2" fontId="72" numFmtId="0" xfId="0" applyAlignment="1" applyFont="1">
      <alignment readingOrder="0"/>
    </xf>
    <xf borderId="0" fillId="2" fontId="27" numFmtId="0" xfId="0" applyAlignment="1" applyFont="1">
      <alignment readingOrder="0"/>
    </xf>
    <xf borderId="0" fillId="2" fontId="4" numFmtId="0" xfId="0" applyAlignment="1" applyFont="1">
      <alignment readingOrder="0"/>
    </xf>
    <xf borderId="0" fillId="2" fontId="79" numFmtId="0" xfId="0" applyAlignment="1" applyFont="1">
      <alignment horizontal="center" readingOrder="0"/>
    </xf>
    <xf borderId="0" fillId="0" fontId="80" numFmtId="0" xfId="0" applyAlignment="1" applyFont="1">
      <alignment readingOrder="0"/>
    </xf>
    <xf borderId="0" fillId="0" fontId="80" numFmtId="0" xfId="0" applyAlignment="1" applyFont="1">
      <alignment readingOrder="0"/>
    </xf>
    <xf borderId="0" fillId="4" fontId="79" numFmtId="0" xfId="0" applyAlignment="1" applyFont="1">
      <alignment horizontal="center" readingOrder="0"/>
    </xf>
    <xf borderId="0" fillId="5" fontId="79" numFmtId="0" xfId="0" applyAlignment="1" applyFont="1">
      <alignment horizontal="center" readingOrder="0"/>
    </xf>
    <xf borderId="0" fillId="3" fontId="79" numFmtId="0" xfId="0" applyAlignment="1" applyFont="1">
      <alignment horizontal="center" readingOrder="0"/>
    </xf>
    <xf borderId="0" fillId="0" fontId="81" numFmtId="0" xfId="0" applyAlignment="1" applyFont="1">
      <alignment readingOrder="0"/>
    </xf>
    <xf borderId="0" fillId="6" fontId="30" numFmtId="0" xfId="0" applyAlignment="1" applyFont="1">
      <alignment readingOrder="0"/>
    </xf>
    <xf borderId="0" fillId="0" fontId="0" numFmtId="0" xfId="0" applyAlignment="1" applyFont="1">
      <alignment readingOrder="0"/>
    </xf>
    <xf borderId="0" fillId="0" fontId="27" numFmtId="0" xfId="0" applyAlignment="1" applyFont="1">
      <alignment readingOrder="0"/>
    </xf>
    <xf borderId="0" fillId="0" fontId="57" numFmtId="0" xfId="0" applyAlignment="1" applyFont="1">
      <alignment readingOrder="0" shrinkToFit="0" vertical="bottom" wrapText="1"/>
    </xf>
    <xf borderId="0" fillId="0" fontId="57" numFmtId="0" xfId="0" applyAlignment="1" applyFont="1">
      <alignment shrinkToFit="0" vertical="bottom" wrapText="1"/>
    </xf>
    <xf borderId="0" fillId="0" fontId="57" numFmtId="0" xfId="0" applyFont="1"/>
    <xf borderId="0" fillId="0" fontId="82" numFmtId="0" xfId="0" applyAlignment="1" applyFont="1">
      <alignment readingOrder="0"/>
    </xf>
    <xf borderId="0" fillId="12" fontId="10" numFmtId="0" xfId="0" applyAlignment="1" applyFont="1">
      <alignment readingOrder="0"/>
    </xf>
    <xf borderId="0" fillId="0" fontId="83" numFmtId="0" xfId="0" applyFont="1"/>
    <xf borderId="0" fillId="12" fontId="14" numFmtId="0" xfId="0" applyAlignment="1" applyFont="1">
      <alignment readingOrder="0"/>
    </xf>
    <xf borderId="0" fillId="0" fontId="83" numFmtId="0" xfId="0" applyAlignment="1" applyFont="1">
      <alignment readingOrder="0"/>
    </xf>
    <xf borderId="0" fillId="12" fontId="10" numFmtId="0" xfId="0" applyAlignment="1" applyFont="1">
      <alignment horizontal="center" readingOrder="0"/>
    </xf>
    <xf borderId="0" fillId="12" fontId="36" numFmtId="0" xfId="0" applyAlignment="1" applyFont="1">
      <alignment readingOrder="0"/>
    </xf>
    <xf borderId="0" fillId="6" fontId="0" numFmtId="0" xfId="0" applyAlignment="1" applyFont="1">
      <alignment readingOrder="0"/>
    </xf>
    <xf borderId="0" fillId="6" fontId="84" numFmtId="0" xfId="0" applyAlignment="1" applyFont="1">
      <alignment readingOrder="0"/>
    </xf>
    <xf borderId="0" fillId="8" fontId="0" numFmtId="0" xfId="0" applyAlignment="1" applyFont="1">
      <alignment readingOrder="0"/>
    </xf>
    <xf borderId="0" fillId="0" fontId="14" numFmtId="0" xfId="0" applyAlignment="1" applyFont="1">
      <alignment horizontal="left" readingOrder="0"/>
    </xf>
    <xf borderId="0" fillId="6" fontId="75" numFmtId="0" xfId="0" applyAlignment="1" applyFont="1">
      <alignment horizontal="center" readingOrder="0"/>
    </xf>
    <xf borderId="0" fillId="8" fontId="27" numFmtId="0" xfId="0" applyAlignment="1" applyFont="1">
      <alignment readingOrder="0"/>
    </xf>
    <xf borderId="0" fillId="0" fontId="31" numFmtId="0" xfId="0" applyAlignment="1" applyFont="1">
      <alignment readingOrder="0"/>
    </xf>
    <xf borderId="0" fillId="21" fontId="0" numFmtId="0" xfId="0" applyAlignment="1" applyFill="1" applyFont="1">
      <alignment horizontal="center" readingOrder="0"/>
    </xf>
    <xf borderId="0" fillId="4" fontId="85" numFmtId="0" xfId="0" applyAlignment="1" applyFont="1">
      <alignment readingOrder="0"/>
    </xf>
    <xf borderId="0" fillId="12" fontId="37" numFmtId="0" xfId="0" applyAlignment="1" applyFont="1">
      <alignment readingOrder="0"/>
    </xf>
    <xf borderId="0" fillId="12" fontId="10" numFmtId="0" xfId="0" applyFont="1"/>
    <xf borderId="0" fillId="0" fontId="28" numFmtId="0" xfId="0" applyFont="1"/>
    <xf borderId="0" fillId="0" fontId="28" numFmtId="0" xfId="0" applyAlignment="1" applyFont="1">
      <alignment horizontal="center" readingOrder="0"/>
    </xf>
    <xf borderId="0" fillId="12" fontId="81" numFmtId="0" xfId="0" applyFont="1"/>
    <xf borderId="0" fillId="12" fontId="30" numFmtId="0" xfId="0" applyFont="1"/>
    <xf borderId="0" fillId="12" fontId="0" numFmtId="0" xfId="0" applyFont="1"/>
    <xf borderId="0" fillId="12" fontId="57" numFmtId="0" xfId="0" applyFont="1"/>
    <xf borderId="0" fillId="12" fontId="27" numFmtId="0" xfId="0" applyFont="1"/>
    <xf borderId="0" fillId="12" fontId="57" numFmtId="0" xfId="0" applyAlignment="1" applyFont="1">
      <alignment shrinkToFit="0" wrapText="1"/>
    </xf>
    <xf borderId="0" fillId="12" fontId="83" numFmtId="0" xfId="0" applyFont="1"/>
    <xf borderId="0" fillId="6" fontId="27" numFmtId="0" xfId="0" applyAlignment="1" applyFont="1">
      <alignment readingOrder="0"/>
    </xf>
    <xf borderId="0" fillId="0" fontId="57" numFmtId="0" xfId="0" applyAlignment="1" applyFont="1">
      <alignment readingOrder="0" shrinkToFit="0" wrapText="1"/>
    </xf>
    <xf borderId="0" fillId="0" fontId="57" numFmtId="0" xfId="0" applyAlignment="1" applyFont="1">
      <alignment shrinkToFit="0" wrapText="1"/>
    </xf>
    <xf borderId="0" fillId="6" fontId="0" numFmtId="0" xfId="0" applyAlignment="1" applyFont="1">
      <alignment readingOrder="0"/>
    </xf>
    <xf borderId="0" fillId="6" fontId="57" numFmtId="0" xfId="0" applyAlignment="1" applyFont="1">
      <alignment readingOrder="0"/>
    </xf>
    <xf borderId="0" fillId="8" fontId="83" numFmtId="0" xfId="0" applyAlignment="1" applyFont="1">
      <alignment readingOrder="0"/>
    </xf>
    <xf borderId="0" fillId="0" fontId="86" numFmtId="0" xfId="0" applyAlignment="1" applyFont="1">
      <alignment readingOrder="0" shrinkToFit="0" wrapText="1"/>
    </xf>
    <xf borderId="0" fillId="0" fontId="87" numFmtId="0" xfId="0" applyAlignment="1" applyFont="1">
      <alignment horizontal="left" readingOrder="0"/>
    </xf>
    <xf borderId="0" fillId="12" fontId="30" numFmtId="0" xfId="0" applyAlignment="1" applyFont="1">
      <alignment readingOrder="0"/>
    </xf>
    <xf borderId="0" fillId="0" fontId="81" numFmtId="0" xfId="0" applyFont="1"/>
    <xf borderId="0" fillId="0" fontId="27" numFmtId="0" xfId="0" applyFont="1"/>
    <xf borderId="0" fillId="0" fontId="0" numFmtId="0" xfId="0" applyFont="1"/>
    <xf borderId="0" fillId="0" fontId="4" numFmtId="0" xfId="0" applyFont="1"/>
    <xf borderId="0" fillId="0" fontId="1" numFmtId="0" xfId="0" applyAlignment="1" applyFont="1">
      <alignment readingOrder="0"/>
    </xf>
    <xf borderId="0" fillId="0" fontId="46" numFmtId="166" xfId="0" applyAlignment="1" applyFont="1" applyNumberFormat="1">
      <alignment readingOrder="0"/>
    </xf>
    <xf borderId="0" fillId="0" fontId="46" numFmtId="167" xfId="0" applyAlignment="1" applyFont="1" applyNumberFormat="1">
      <alignment readingOrder="0"/>
    </xf>
    <xf borderId="0" fillId="5" fontId="29" numFmtId="0" xfId="0" applyAlignment="1" applyFont="1">
      <alignment horizontal="center" readingOrder="0"/>
    </xf>
    <xf borderId="0" fillId="3" fontId="29" numFmtId="0" xfId="0" applyAlignment="1" applyFont="1">
      <alignment horizontal="center" readingOrder="0"/>
    </xf>
    <xf borderId="0" fillId="22" fontId="66" numFmtId="0" xfId="0" applyAlignment="1" applyFill="1" applyFont="1">
      <alignment horizontal="center" readingOrder="0"/>
    </xf>
    <xf borderId="0" fillId="0" fontId="5" numFmtId="0" xfId="0" applyAlignment="1" applyFont="1">
      <alignment shrinkToFit="0" wrapText="1"/>
    </xf>
    <xf borderId="0" fillId="0" fontId="24" numFmtId="0" xfId="0" applyAlignment="1" applyFont="1">
      <alignment horizontal="left" readingOrder="0"/>
    </xf>
    <xf borderId="0" fillId="8" fontId="88" numFmtId="0" xfId="0" applyAlignment="1" applyFont="1">
      <alignment horizontal="left" readingOrder="0"/>
    </xf>
    <xf borderId="0" fillId="8" fontId="89" numFmtId="0" xfId="0" applyAlignment="1" applyFont="1">
      <alignment horizontal="left" readingOrder="0"/>
    </xf>
    <xf borderId="0" fillId="5" fontId="6" numFmtId="0" xfId="0" applyAlignment="1" applyFont="1">
      <alignment horizontal="left" readingOrder="0"/>
    </xf>
    <xf borderId="0" fillId="8" fontId="28" numFmtId="0" xfId="0" applyFont="1"/>
    <xf borderId="0" fillId="6" fontId="10" numFmtId="168" xfId="0" applyAlignment="1" applyFont="1" applyNumberFormat="1">
      <alignment readingOrder="0" shrinkToFit="0" wrapText="0"/>
    </xf>
    <xf borderId="0" fillId="0" fontId="24" numFmtId="0" xfId="0" applyAlignment="1" applyFont="1">
      <alignment horizontal="center" vertical="bottom"/>
    </xf>
    <xf borderId="0" fillId="0" fontId="90" numFmtId="0" xfId="0" applyAlignment="1" applyFont="1">
      <alignment horizontal="left" readingOrder="0" shrinkToFit="0" vertical="bottom" wrapText="0"/>
    </xf>
    <xf borderId="0" fillId="6" fontId="10" numFmtId="0" xfId="0" applyAlignment="1" applyFont="1">
      <alignment readingOrder="0" shrinkToFit="0" wrapText="0"/>
    </xf>
    <xf borderId="0" fillId="0" fontId="90" numFmtId="0" xfId="0" applyAlignment="1" applyFont="1">
      <alignment horizontal="left" shrinkToFit="0" vertical="bottom" wrapText="0"/>
    </xf>
    <xf borderId="0" fillId="8" fontId="91" numFmtId="0" xfId="0" applyAlignment="1" applyFont="1">
      <alignment readingOrder="0"/>
    </xf>
    <xf borderId="0" fillId="8" fontId="91" numFmtId="0" xfId="0" applyAlignment="1" applyFont="1">
      <alignment horizontal="right"/>
    </xf>
    <xf borderId="0" fillId="12" fontId="5" numFmtId="0" xfId="0" applyAlignment="1" applyFont="1">
      <alignment shrinkToFit="0" wrapText="1"/>
    </xf>
    <xf borderId="0" fillId="12" fontId="28" numFmtId="0" xfId="0" applyFont="1"/>
    <xf borderId="0" fillId="0" fontId="56" numFmtId="0" xfId="0" applyAlignment="1" applyFont="1">
      <alignment horizontal="left" readingOrder="0"/>
    </xf>
    <xf borderId="0" fillId="8" fontId="28" numFmtId="0" xfId="0" applyAlignment="1" applyFont="1">
      <alignment readingOrder="0"/>
    </xf>
    <xf borderId="0" fillId="8" fontId="92" numFmtId="0" xfId="0" applyAlignment="1" applyFont="1">
      <alignment horizontal="left" readingOrder="0"/>
    </xf>
    <xf borderId="0" fillId="8" fontId="91" numFmtId="9" xfId="0" applyAlignment="1" applyFont="1" applyNumberFormat="1">
      <alignment horizontal="right" readingOrder="0"/>
    </xf>
    <xf borderId="0" fillId="0" fontId="24" numFmtId="0" xfId="0" applyAlignment="1" applyFont="1">
      <alignment horizontal="left" readingOrder="0"/>
    </xf>
    <xf borderId="0" fillId="23" fontId="14" numFmtId="0" xfId="0" applyAlignment="1" applyFill="1" applyFont="1">
      <alignment readingOrder="0"/>
    </xf>
    <xf borderId="0" fillId="12" fontId="0" numFmtId="0" xfId="0" applyAlignment="1" applyFont="1">
      <alignment horizontal="right"/>
    </xf>
    <xf borderId="0" fillId="12" fontId="0" numFmtId="0" xfId="0" applyAlignment="1" applyFont="1">
      <alignment horizontal="left"/>
    </xf>
    <xf borderId="0" fillId="12" fontId="0" numFmtId="0" xfId="0" applyAlignment="1" applyFont="1">
      <alignment horizontal="center"/>
    </xf>
    <xf borderId="0" fillId="12" fontId="57" numFmtId="0" xfId="0" applyAlignment="1" applyFont="1">
      <alignment horizontal="left"/>
    </xf>
    <xf borderId="0" fillId="6" fontId="0" numFmtId="0" xfId="0" applyAlignment="1" applyFont="1">
      <alignment horizontal="center" readingOrder="0"/>
    </xf>
    <xf borderId="0" fillId="0" fontId="31" numFmtId="0" xfId="0" applyAlignment="1" applyFont="1">
      <alignment horizontal="left" readingOrder="0" shrinkToFit="0" wrapText="0"/>
    </xf>
    <xf borderId="0" fillId="4" fontId="0" numFmtId="0" xfId="0" applyAlignment="1" applyFont="1">
      <alignment horizontal="center" readingOrder="0"/>
    </xf>
    <xf borderId="0" fillId="5" fontId="0" numFmtId="0" xfId="0" applyAlignment="1" applyFont="1">
      <alignment horizontal="center" readingOrder="0"/>
    </xf>
    <xf borderId="0" fillId="0" fontId="0" numFmtId="0" xfId="0" applyAlignment="1" applyFont="1">
      <alignment horizontal="left" readingOrder="0" shrinkToFit="0" wrapText="0"/>
    </xf>
    <xf borderId="0" fillId="8" fontId="93" numFmtId="0" xfId="0" applyAlignment="1" applyFont="1">
      <alignment horizontal="left" readingOrder="0"/>
    </xf>
    <xf borderId="0" fillId="8" fontId="93" numFmtId="0" xfId="0" applyAlignment="1" applyFont="1">
      <alignment horizontal="center" readingOrder="0"/>
    </xf>
    <xf borderId="0" fillId="6" fontId="10" numFmtId="0" xfId="0" applyAlignment="1" applyFont="1">
      <alignment horizontal="left" readingOrder="0"/>
    </xf>
    <xf borderId="0" fillId="0" fontId="33" numFmtId="0" xfId="0" applyAlignment="1" applyFont="1">
      <alignment horizontal="left" readingOrder="0" shrinkToFit="0" wrapText="0"/>
    </xf>
    <xf borderId="0" fillId="2" fontId="2" numFmtId="0" xfId="0" applyAlignment="1" applyFont="1">
      <alignment readingOrder="0"/>
    </xf>
    <xf borderId="0" fillId="0" fontId="8" numFmtId="0" xfId="0" applyAlignment="1" applyFont="1">
      <alignment readingOrder="0"/>
    </xf>
    <xf borderId="0" fillId="0" fontId="2" numFmtId="164" xfId="0" applyAlignment="1" applyFont="1" applyNumberFormat="1">
      <alignment readingOrder="0"/>
    </xf>
    <xf borderId="0" fillId="8" fontId="94" numFmtId="0" xfId="0" applyAlignment="1" applyFont="1">
      <alignment readingOrder="0"/>
    </xf>
    <xf borderId="0" fillId="0" fontId="24" numFmtId="0" xfId="0" applyAlignment="1" applyFont="1">
      <alignment horizontal="center" readingOrder="0"/>
    </xf>
    <xf borderId="0" fillId="12" fontId="28" numFmtId="0" xfId="0" applyAlignment="1" applyFont="1">
      <alignment horizontal="right"/>
    </xf>
    <xf borderId="0" fillId="12" fontId="28" numFmtId="0" xfId="0" applyAlignment="1" applyFont="1">
      <alignment horizontal="left"/>
    </xf>
    <xf borderId="0" fillId="12" fontId="28" numFmtId="0" xfId="0" applyAlignment="1" applyFont="1">
      <alignment horizontal="center"/>
    </xf>
    <xf borderId="0" fillId="0" fontId="28" numFmtId="0" xfId="0" applyAlignment="1" applyFont="1">
      <alignment horizontal="right"/>
    </xf>
    <xf borderId="0" fillId="0" fontId="28" numFmtId="0" xfId="0" applyAlignment="1" applyFont="1">
      <alignment horizontal="left" readingOrder="0"/>
    </xf>
    <xf borderId="0" fillId="0" fontId="28" numFmtId="0" xfId="0" applyAlignment="1" applyFont="1">
      <alignment horizontal="right" readingOrder="0"/>
    </xf>
    <xf borderId="0" fillId="0" fontId="28" numFmtId="0" xfId="0" applyAlignment="1" applyFont="1">
      <alignment horizontal="center"/>
    </xf>
    <xf borderId="0" fillId="0" fontId="28" numFmtId="0" xfId="0" applyAlignment="1" applyFont="1">
      <alignment horizontal="left"/>
    </xf>
    <xf borderId="0" fillId="2" fontId="2" numFmtId="0" xfId="0" applyAlignment="1" applyFont="1">
      <alignment horizontal="left" readingOrder="0"/>
    </xf>
    <xf borderId="0" fillId="2" fontId="28" numFmtId="0" xfId="0" applyAlignment="1" applyFont="1">
      <alignment horizontal="left" readingOrder="0"/>
    </xf>
    <xf borderId="0" fillId="0" fontId="8" numFmtId="0" xfId="0" applyAlignment="1" applyFont="1">
      <alignment horizontal="left" readingOrder="0"/>
    </xf>
    <xf borderId="0" fillId="0" fontId="1" numFmtId="0" xfId="0" applyAlignment="1" applyFont="1">
      <alignment horizontal="left" readingOrder="0"/>
    </xf>
    <xf borderId="0" fillId="6" fontId="14" numFmtId="0" xfId="0" applyAlignment="1" applyFont="1">
      <alignment readingOrder="0"/>
    </xf>
    <xf borderId="0" fillId="2" fontId="2" numFmtId="0" xfId="0" applyAlignment="1" applyFont="1">
      <alignment horizontal="center" readingOrder="0"/>
    </xf>
    <xf borderId="0" fillId="20" fontId="0" numFmtId="0" xfId="0" applyAlignment="1" applyFont="1">
      <alignment horizontal="left" readingOrder="0"/>
    </xf>
    <xf borderId="0" fillId="0" fontId="5" numFmtId="0" xfId="0" applyAlignment="1" applyFont="1">
      <alignment horizontal="left" readingOrder="0"/>
    </xf>
    <xf borderId="0" fillId="24" fontId="95" numFmtId="0" xfId="0" applyAlignment="1" applyFill="1" applyFont="1">
      <alignment horizontal="left" readingOrder="0"/>
    </xf>
    <xf borderId="0" fillId="8" fontId="96" numFmtId="0" xfId="0" applyAlignment="1" applyFont="1">
      <alignment horizontal="left" readingOrder="0"/>
    </xf>
    <xf borderId="0" fillId="0" fontId="16" numFmtId="0" xfId="0" applyAlignment="1" applyFont="1">
      <alignment readingOrder="0"/>
    </xf>
    <xf borderId="0" fillId="24" fontId="97" numFmtId="0" xfId="0" applyAlignment="1" applyFont="1">
      <alignment horizontal="left" readingOrder="0"/>
    </xf>
    <xf borderId="0" fillId="8" fontId="98" numFmtId="0" xfId="0" applyAlignment="1" applyFont="1">
      <alignment horizontal="left" readingOrder="0"/>
    </xf>
    <xf borderId="0" fillId="24" fontId="98" numFmtId="0" xfId="0" applyAlignment="1" applyFont="1">
      <alignment horizontal="left" readingOrder="0"/>
    </xf>
    <xf borderId="0" fillId="24" fontId="99" numFmtId="0" xfId="0" applyAlignment="1" applyFont="1">
      <alignment horizontal="left" readingOrder="0"/>
    </xf>
    <xf borderId="0" fillId="0" fontId="100" numFmtId="0" xfId="0" applyAlignment="1" applyFont="1">
      <alignment readingOrder="0" shrinkToFit="0" vertical="bottom" wrapText="0"/>
    </xf>
    <xf borderId="0" fillId="21" fontId="0" numFmtId="0" xfId="0" applyAlignment="1" applyFont="1">
      <alignment horizontal="left" readingOrder="0"/>
    </xf>
    <xf borderId="0" fillId="0" fontId="101" numFmtId="0" xfId="0" applyAlignment="1" applyFont="1">
      <alignment readingOrder="0"/>
    </xf>
    <xf borderId="0" fillId="8" fontId="22" numFmtId="0" xfId="0" applyAlignment="1" applyFont="1">
      <alignment readingOrder="0"/>
    </xf>
    <xf borderId="0" fillId="6" fontId="16" numFmtId="0" xfId="0" applyAlignment="1" applyFont="1">
      <alignment readingOrder="0"/>
    </xf>
    <xf borderId="0" fillId="8" fontId="102" numFmtId="0" xfId="0" applyAlignment="1" applyFont="1">
      <alignment horizontal="left" readingOrder="0"/>
    </xf>
    <xf borderId="0" fillId="0" fontId="103" numFmtId="0" xfId="0" applyAlignment="1" applyFont="1">
      <alignment readingOrder="0"/>
    </xf>
    <xf borderId="0" fillId="0" fontId="104" numFmtId="0" xfId="0" applyAlignment="1" applyFont="1">
      <alignment readingOrder="0"/>
    </xf>
    <xf borderId="0" fillId="8" fontId="105" numFmtId="0" xfId="0" applyAlignment="1" applyFont="1">
      <alignment horizontal="left" readingOrder="0"/>
    </xf>
    <xf borderId="0" fillId="8" fontId="106" numFmtId="0" xfId="0" applyAlignment="1" applyFont="1">
      <alignment horizontal="left" readingOrder="0"/>
    </xf>
    <xf borderId="0" fillId="8" fontId="105" numFmtId="0" xfId="0" applyAlignment="1" applyFont="1">
      <alignment horizontal="center" readingOrder="0"/>
    </xf>
    <xf borderId="0" fillId="0" fontId="14" numFmtId="0" xfId="0" applyAlignment="1" applyFont="1">
      <alignment readingOrder="0"/>
    </xf>
    <xf borderId="0" fillId="8" fontId="98" numFmtId="0" xfId="0" applyAlignment="1" applyFont="1">
      <alignment horizontal="center" readingOrder="0"/>
    </xf>
    <xf borderId="0" fillId="8" fontId="65" numFmtId="0" xfId="0" applyAlignment="1" applyFont="1">
      <alignment readingOrder="0"/>
    </xf>
    <xf borderId="0" fillId="8" fontId="22" numFmtId="0" xfId="0" applyAlignment="1" applyFont="1">
      <alignment readingOrder="0"/>
    </xf>
    <xf borderId="0" fillId="8" fontId="10" numFmtId="0" xfId="0" applyFont="1"/>
    <xf borderId="0" fillId="13" fontId="107" numFmtId="0" xfId="0" applyFont="1"/>
    <xf borderId="0" fillId="24" fontId="105" numFmtId="0" xfId="0" applyAlignment="1" applyFont="1">
      <alignment horizontal="center" readingOrder="0"/>
    </xf>
    <xf borderId="0" fillId="24" fontId="98" numFmtId="0" xfId="0" applyAlignment="1" applyFont="1">
      <alignment horizontal="center" readingOrder="0"/>
    </xf>
    <xf borderId="0" fillId="24" fontId="105" numFmtId="0" xfId="0" applyAlignment="1" applyFont="1">
      <alignment horizontal="left" readingOrder="0"/>
    </xf>
    <xf borderId="0" fillId="8" fontId="29" numFmtId="0" xfId="0" applyAlignment="1" applyFont="1">
      <alignment readingOrder="0"/>
    </xf>
    <xf borderId="0" fillId="0" fontId="100" numFmtId="0" xfId="0" applyAlignment="1" applyFont="1">
      <alignment shrinkToFit="0" vertical="bottom" wrapText="0"/>
    </xf>
    <xf borderId="0" fillId="6" fontId="35" numFmtId="0" xfId="0" applyAlignment="1" applyFont="1">
      <alignment readingOrder="0"/>
    </xf>
    <xf borderId="0" fillId="8" fontId="65" numFmtId="0" xfId="0" applyFont="1"/>
    <xf borderId="0" fillId="12" fontId="2" numFmtId="0" xfId="0" applyFont="1"/>
    <xf borderId="0" fillId="8" fontId="2" numFmtId="0" xfId="0" applyFont="1"/>
    <xf borderId="0" fillId="8" fontId="15" numFmtId="0" xfId="0" applyAlignment="1" applyFont="1">
      <alignment readingOrder="0"/>
    </xf>
    <xf borderId="0" fillId="8" fontId="2" numFmtId="0" xfId="0" applyAlignment="1" applyFont="1">
      <alignment readingOrder="0"/>
    </xf>
    <xf borderId="0" fillId="8" fontId="10" numFmtId="168" xfId="0" applyAlignment="1" applyFont="1" applyNumberFormat="1">
      <alignment readingOrder="0"/>
    </xf>
    <xf borderId="0" fillId="0" fontId="108" numFmtId="0" xfId="0" applyAlignment="1" applyFont="1">
      <alignment readingOrder="0" shrinkToFit="0" vertical="bottom" wrapText="0"/>
    </xf>
    <xf borderId="0" fillId="0" fontId="109" numFmtId="0" xfId="0" applyAlignment="1" applyFont="1">
      <alignment readingOrder="0" shrinkToFit="0" vertical="bottom" wrapText="0"/>
    </xf>
    <xf borderId="0" fillId="0" fontId="14" numFmtId="0" xfId="0" applyAlignment="1" applyFont="1">
      <alignment readingOrder="0" shrinkToFit="0" wrapText="0"/>
    </xf>
    <xf borderId="0" fillId="12" fontId="14" numFmtId="0" xfId="0" applyFont="1"/>
    <xf borderId="0" fillId="0" fontId="2" numFmtId="0" xfId="0" applyFont="1"/>
    <xf borderId="0" fillId="12" fontId="0" numFmtId="0" xfId="0" applyAlignment="1" applyFont="1">
      <alignment horizontal="left"/>
    </xf>
    <xf borderId="0" fillId="8" fontId="0" numFmtId="0" xfId="0" applyAlignment="1" applyFont="1">
      <alignment horizontal="left" readingOrder="0"/>
    </xf>
    <xf borderId="0" fillId="2" fontId="4" numFmtId="0" xfId="0" applyAlignment="1" applyFont="1">
      <alignment readingOrder="0" shrinkToFit="0" wrapText="1"/>
    </xf>
    <xf borderId="0" fillId="2" fontId="3" numFmtId="0" xfId="0" applyAlignment="1" applyFont="1">
      <alignment readingOrder="0" shrinkToFit="0" wrapText="1"/>
    </xf>
    <xf borderId="1" fillId="2" fontId="79" numFmtId="0" xfId="0" applyAlignment="1" applyBorder="1" applyFont="1">
      <alignment horizontal="center" readingOrder="0"/>
    </xf>
    <xf borderId="0" fillId="2" fontId="79" numFmtId="0" xfId="0" applyAlignment="1" applyFont="1">
      <alignment horizontal="left" readingOrder="0"/>
    </xf>
    <xf borderId="0" fillId="2" fontId="1" numFmtId="0" xfId="0" applyAlignment="1" applyFont="1">
      <alignment readingOrder="0" shrinkToFit="0" wrapText="1"/>
    </xf>
    <xf borderId="0" fillId="2" fontId="4" numFmtId="0" xfId="0" applyFont="1"/>
    <xf borderId="0" fillId="0" fontId="8" numFmtId="164" xfId="0" applyAlignment="1" applyFont="1" applyNumberFormat="1">
      <alignment readingOrder="0" shrinkToFit="0" wrapText="1"/>
    </xf>
    <xf borderId="0" fillId="0" fontId="1" numFmtId="164" xfId="0" applyAlignment="1" applyFont="1" applyNumberFormat="1">
      <alignment readingOrder="0"/>
    </xf>
    <xf borderId="0" fillId="0" fontId="46" numFmtId="164" xfId="0" applyAlignment="1" applyFont="1" applyNumberFormat="1">
      <alignment readingOrder="0" shrinkToFit="0" wrapText="1"/>
    </xf>
    <xf borderId="0" fillId="0" fontId="8" numFmtId="169" xfId="0" applyAlignment="1" applyFont="1" applyNumberFormat="1">
      <alignment readingOrder="0" shrinkToFit="0" wrapText="1"/>
    </xf>
    <xf borderId="0" fillId="0" fontId="8" numFmtId="0" xfId="0" applyAlignment="1" applyFont="1">
      <alignment readingOrder="0" shrinkToFit="0" wrapText="1"/>
    </xf>
    <xf borderId="2" fillId="5" fontId="6" numFmtId="0" xfId="0" applyAlignment="1" applyBorder="1" applyFont="1">
      <alignment horizontal="center" readingOrder="0"/>
    </xf>
    <xf borderId="0" fillId="3" fontId="4" numFmtId="0" xfId="0" applyAlignment="1" applyFont="1">
      <alignment readingOrder="0"/>
    </xf>
    <xf borderId="2" fillId="3" fontId="3" numFmtId="0" xfId="0" applyAlignment="1" applyBorder="1" applyFont="1">
      <alignment readingOrder="0"/>
    </xf>
    <xf borderId="0" fillId="3" fontId="79" numFmtId="0" xfId="0" applyAlignment="1" applyFont="1">
      <alignment horizontal="left" readingOrder="0"/>
    </xf>
    <xf borderId="0" fillId="6" fontId="110" numFmtId="0" xfId="0" applyAlignment="1" applyFont="1">
      <alignment readingOrder="0"/>
    </xf>
    <xf borderId="0" fillId="8" fontId="10" numFmtId="0" xfId="0" applyAlignment="1" applyFont="1">
      <alignment horizontal="center" readingOrder="0"/>
    </xf>
    <xf borderId="0" fillId="0" fontId="0" numFmtId="0" xfId="0" applyAlignment="1" applyFont="1">
      <alignment horizontal="left" readingOrder="0" shrinkToFit="0" wrapText="1"/>
    </xf>
    <xf borderId="0" fillId="0" fontId="111" numFmtId="0" xfId="0" applyAlignment="1" applyFont="1">
      <alignment readingOrder="0" shrinkToFit="0" wrapText="1"/>
    </xf>
    <xf borderId="0" fillId="8" fontId="112" numFmtId="0" xfId="0" applyAlignment="1" applyFont="1">
      <alignment horizontal="left" readingOrder="0"/>
    </xf>
    <xf borderId="0" fillId="0" fontId="36" numFmtId="0" xfId="0" applyAlignment="1" applyFont="1">
      <alignment readingOrder="0"/>
    </xf>
    <xf borderId="2" fillId="13" fontId="5" numFmtId="0" xfId="0" applyBorder="1" applyFont="1"/>
    <xf borderId="0" fillId="0" fontId="113" numFmtId="0" xfId="0" applyAlignment="1" applyFont="1">
      <alignment readingOrder="0"/>
    </xf>
    <xf borderId="0" fillId="13" fontId="14" numFmtId="0" xfId="0" applyAlignment="1" applyFont="1">
      <alignment readingOrder="0"/>
    </xf>
    <xf borderId="0" fillId="8" fontId="114" numFmtId="0" xfId="0" applyAlignment="1" applyFont="1">
      <alignment horizontal="left" readingOrder="0" shrinkToFit="0" wrapText="1"/>
    </xf>
    <xf borderId="0" fillId="0" fontId="81" numFmtId="0" xfId="0" applyAlignment="1" applyFont="1">
      <alignment shrinkToFit="0" wrapText="1"/>
    </xf>
    <xf borderId="0" fillId="8" fontId="114" numFmtId="0" xfId="0" applyAlignment="1" applyFont="1">
      <alignment horizontal="left" readingOrder="0"/>
    </xf>
    <xf borderId="0" fillId="8" fontId="115" numFmtId="0" xfId="0" applyAlignment="1" applyFont="1">
      <alignment readingOrder="0"/>
    </xf>
    <xf borderId="0" fillId="0" fontId="110" numFmtId="0" xfId="0" applyAlignment="1" applyFont="1">
      <alignment horizontal="right" readingOrder="0" shrinkToFit="0" vertical="bottom" wrapText="0"/>
    </xf>
    <xf borderId="0" fillId="0" fontId="116" numFmtId="0" xfId="0" applyAlignment="1" applyFont="1">
      <alignment readingOrder="0"/>
    </xf>
    <xf borderId="0" fillId="0" fontId="110" numFmtId="0" xfId="0" applyAlignment="1" applyFont="1">
      <alignment readingOrder="0" shrinkToFit="0" wrapText="1"/>
    </xf>
    <xf borderId="0" fillId="0" fontId="81" numFmtId="0" xfId="0" applyAlignment="1" applyFont="1">
      <alignment readingOrder="0" shrinkToFit="0" wrapText="1"/>
    </xf>
    <xf borderId="0" fillId="8" fontId="117" numFmtId="9" xfId="0" applyAlignment="1" applyFont="1" applyNumberFormat="1">
      <alignment horizontal="right" readingOrder="0" shrinkToFit="0" wrapText="1"/>
    </xf>
    <xf borderId="0" fillId="8" fontId="118" numFmtId="0" xfId="0" applyAlignment="1" applyFont="1">
      <alignment readingOrder="0" shrinkToFit="0" wrapText="1"/>
    </xf>
    <xf borderId="0" fillId="0" fontId="110" numFmtId="0" xfId="0" applyAlignment="1" applyFont="1">
      <alignment horizontal="center" readingOrder="0" shrinkToFit="0" wrapText="1"/>
    </xf>
    <xf borderId="0" fillId="4" fontId="110" numFmtId="0" xfId="0" applyAlignment="1" applyFont="1">
      <alignment readingOrder="0"/>
    </xf>
    <xf borderId="0" fillId="8" fontId="117" numFmtId="0" xfId="0" applyAlignment="1" applyFont="1">
      <alignment horizontal="right" readingOrder="0" shrinkToFit="0" wrapText="1"/>
    </xf>
    <xf borderId="0" fillId="0" fontId="119" numFmtId="0" xfId="0" applyAlignment="1" applyFont="1">
      <alignment horizontal="center" readingOrder="0"/>
    </xf>
    <xf borderId="0" fillId="8" fontId="117" numFmtId="0" xfId="0" applyAlignment="1" applyFont="1">
      <alignment horizontal="right" shrinkToFit="0" wrapText="1"/>
    </xf>
    <xf borderId="0" fillId="0" fontId="110" numFmtId="0" xfId="0" applyAlignment="1" applyFont="1">
      <alignment readingOrder="0" shrinkToFit="0" vertical="bottom" wrapText="0"/>
    </xf>
    <xf borderId="0" fillId="8" fontId="120" numFmtId="0" xfId="0" applyAlignment="1" applyFont="1">
      <alignment readingOrder="0"/>
    </xf>
    <xf borderId="0" fillId="8" fontId="117" numFmtId="0" xfId="0" applyAlignment="1" applyFont="1">
      <alignment readingOrder="0" shrinkToFit="0" wrapText="1"/>
    </xf>
    <xf borderId="0" fillId="8" fontId="114" numFmtId="0" xfId="0" applyAlignment="1" applyFont="1">
      <alignment horizontal="left" readingOrder="0" shrinkToFit="0" wrapText="1"/>
    </xf>
    <xf borderId="0" fillId="6" fontId="0" numFmtId="0" xfId="0" applyAlignment="1" applyFont="1">
      <alignment readingOrder="0"/>
    </xf>
    <xf borderId="0" fillId="0" fontId="28" numFmtId="0" xfId="0" applyAlignment="1" applyFont="1">
      <alignment horizontal="left" readingOrder="0"/>
    </xf>
    <xf borderId="0" fillId="12" fontId="28" numFmtId="0" xfId="0" applyAlignment="1" applyFont="1">
      <alignment horizontal="left"/>
    </xf>
    <xf borderId="0" fillId="6" fontId="36" numFmtId="0" xfId="0" applyAlignment="1" applyFont="1">
      <alignment readingOrder="0"/>
    </xf>
    <xf borderId="0" fillId="0" fontId="28" numFmtId="0" xfId="0" applyAlignment="1" applyFont="1">
      <alignment horizontal="left"/>
    </xf>
    <xf borderId="0" fillId="8" fontId="121" numFmtId="0" xfId="0" applyAlignment="1" applyFont="1">
      <alignment readingOrder="0"/>
    </xf>
    <xf borderId="0" fillId="8" fontId="118" numFmtId="0" xfId="0" applyAlignment="1" applyFont="1">
      <alignment readingOrder="0"/>
    </xf>
    <xf borderId="0" fillId="0" fontId="122" numFmtId="0" xfId="0" applyAlignment="1" applyFont="1">
      <alignment readingOrder="0"/>
    </xf>
    <xf borderId="0" fillId="0" fontId="1" numFmtId="164" xfId="0" applyAlignment="1" applyFont="1" applyNumberFormat="1">
      <alignment readingOrder="0"/>
    </xf>
    <xf borderId="0" fillId="0" fontId="24" numFmtId="0" xfId="0" applyAlignment="1" applyFont="1">
      <alignment readingOrder="0" vertical="bottom"/>
    </xf>
    <xf borderId="0" fillId="0" fontId="16" numFmtId="0" xfId="0" applyAlignment="1" applyFont="1">
      <alignment horizontal="center" readingOrder="0" vertical="bottom"/>
    </xf>
    <xf borderId="0" fillId="8" fontId="16" numFmtId="0" xfId="0" applyAlignment="1" applyFont="1">
      <alignment readingOrder="0" shrinkToFit="0" vertical="bottom" wrapText="1"/>
    </xf>
    <xf borderId="0" fillId="5" fontId="10" numFmtId="0" xfId="0" applyAlignment="1" applyFont="1">
      <alignment readingOrder="0" vertical="bottom"/>
    </xf>
    <xf borderId="0" fillId="0" fontId="123" numFmtId="0" xfId="0" applyAlignment="1" applyFont="1">
      <alignment horizontal="left" readingOrder="0"/>
    </xf>
    <xf borderId="0" fillId="0" fontId="16" numFmtId="0" xfId="0" applyAlignment="1" applyFont="1">
      <alignment readingOrder="0" vertical="bottom"/>
    </xf>
    <xf borderId="0" fillId="25" fontId="124" numFmtId="0" xfId="0" applyAlignment="1" applyFill="1" applyFont="1">
      <alignment horizontal="left" readingOrder="0" vertical="top"/>
    </xf>
    <xf borderId="0" fillId="12" fontId="10" numFmtId="0" xfId="0" applyAlignment="1" applyFont="1">
      <alignment horizontal="center" readingOrder="0" shrinkToFit="0" wrapText="1"/>
    </xf>
    <xf borderId="0" fillId="12" fontId="15" numFmtId="0" xfId="0" applyAlignment="1" applyFont="1">
      <alignment readingOrder="0" shrinkToFit="0" wrapText="1"/>
    </xf>
    <xf borderId="0" fillId="12" fontId="15" numFmtId="0" xfId="0" applyAlignment="1" applyFont="1">
      <alignment readingOrder="0"/>
    </xf>
    <xf borderId="0" fillId="4" fontId="10" numFmtId="0" xfId="0" applyAlignment="1" applyFont="1">
      <alignment readingOrder="0" vertical="bottom"/>
    </xf>
    <xf borderId="0" fillId="25" fontId="125" numFmtId="0" xfId="0" applyAlignment="1" applyFont="1">
      <alignment horizontal="left" readingOrder="0"/>
    </xf>
    <xf borderId="0" fillId="0" fontId="126" numFmtId="0" xfId="0" applyAlignment="1" applyFont="1">
      <alignment readingOrder="0" shrinkToFit="0" wrapText="1"/>
    </xf>
    <xf borderId="0" fillId="8" fontId="124" numFmtId="0" xfId="0" applyAlignment="1" applyFont="1">
      <alignment horizontal="left" readingOrder="0" vertical="top"/>
    </xf>
    <xf borderId="0" fillId="0" fontId="15" numFmtId="0" xfId="0" applyAlignment="1" applyFont="1">
      <alignment readingOrder="0" shrinkToFit="0" wrapText="1"/>
    </xf>
    <xf borderId="0" fillId="26" fontId="127" numFmtId="0" xfId="0" applyAlignment="1" applyFill="1" applyFont="1">
      <alignment readingOrder="0"/>
    </xf>
    <xf borderId="0" fillId="11" fontId="110" numFmtId="0" xfId="0" applyAlignment="1" applyFont="1">
      <alignment readingOrder="0"/>
    </xf>
    <xf borderId="2" fillId="13" fontId="10" numFmtId="0" xfId="0" applyAlignment="1" applyBorder="1" applyFont="1">
      <alignment readingOrder="0"/>
    </xf>
    <xf borderId="0" fillId="8" fontId="16" numFmtId="0" xfId="0" applyAlignment="1" applyFont="1">
      <alignment readingOrder="0" vertical="bottom"/>
    </xf>
    <xf borderId="0" fillId="8" fontId="128" numFmtId="0" xfId="0" applyAlignment="1" applyFont="1">
      <alignment horizontal="left" readingOrder="0" vertical="top"/>
    </xf>
    <xf borderId="0" fillId="8" fontId="124" numFmtId="0" xfId="0" applyAlignment="1" applyFont="1">
      <alignment horizontal="left"/>
    </xf>
    <xf borderId="0" fillId="25" fontId="129" numFmtId="0" xfId="0" applyAlignment="1" applyFont="1">
      <alignment horizontal="left" readingOrder="0" vertical="top"/>
    </xf>
    <xf borderId="2" fillId="13" fontId="130" numFmtId="0" xfId="0" applyAlignment="1" applyBorder="1" applyFont="1">
      <alignment readingOrder="0"/>
    </xf>
    <xf borderId="0" fillId="15" fontId="131" numFmtId="0" xfId="0" applyAlignment="1" applyFont="1">
      <alignment readingOrder="0" shrinkToFit="0" wrapText="1"/>
    </xf>
    <xf borderId="0" fillId="8" fontId="14" numFmtId="0" xfId="0" applyAlignment="1" applyFont="1">
      <alignment horizontal="center" readingOrder="0"/>
    </xf>
    <xf borderId="0" fillId="5" fontId="22" numFmtId="0" xfId="0" applyAlignment="1" applyFont="1">
      <alignment readingOrder="0" vertical="bottom"/>
    </xf>
    <xf borderId="0" fillId="8" fontId="22" numFmtId="0" xfId="0" applyAlignment="1" applyFont="1">
      <alignment horizontal="left" readingOrder="0"/>
    </xf>
    <xf borderId="0" fillId="0" fontId="124" numFmtId="0" xfId="0" applyAlignment="1" applyFont="1">
      <alignment horizontal="left"/>
    </xf>
    <xf borderId="0" fillId="4" fontId="22" numFmtId="0" xfId="0" applyAlignment="1" applyFont="1">
      <alignment readingOrder="0" vertical="bottom"/>
    </xf>
    <xf borderId="0" fillId="8" fontId="10" numFmtId="0" xfId="0" applyAlignment="1" applyFont="1">
      <alignment horizontal="left" readingOrder="0"/>
    </xf>
    <xf borderId="0" fillId="8" fontId="3" numFmtId="0" xfId="0" applyAlignment="1" applyFont="1">
      <alignment readingOrder="0"/>
    </xf>
    <xf borderId="0" fillId="6" fontId="10" numFmtId="0" xfId="0" applyAlignment="1" applyFont="1">
      <alignment readingOrder="0" shrinkToFit="0" wrapText="1"/>
    </xf>
    <xf borderId="0" fillId="8" fontId="114" numFmtId="0" xfId="0" applyAlignment="1" applyFont="1">
      <alignment horizontal="left" readingOrder="0"/>
    </xf>
    <xf borderId="0" fillId="11" fontId="132" numFmtId="0" xfId="0" applyAlignment="1" applyFont="1">
      <alignment readingOrder="0"/>
    </xf>
    <xf borderId="0" fillId="8" fontId="10" numFmtId="0" xfId="0" applyAlignment="1" applyFont="1">
      <alignment horizontal="center" readingOrder="0" shrinkToFit="0" wrapText="1"/>
    </xf>
    <xf borderId="0" fillId="8" fontId="5" numFmtId="0" xfId="0" applyAlignment="1" applyFont="1">
      <alignment shrinkToFit="0" wrapText="1"/>
    </xf>
    <xf borderId="0" fillId="0" fontId="24" numFmtId="0" xfId="0" applyAlignment="1" applyFont="1">
      <alignment readingOrder="0" shrinkToFit="0" wrapText="1"/>
    </xf>
    <xf borderId="0" fillId="8" fontId="115" numFmtId="0" xfId="0" applyAlignment="1" applyFont="1">
      <alignment readingOrder="0"/>
    </xf>
    <xf borderId="0" fillId="2" fontId="34" numFmtId="0" xfId="0" applyAlignment="1" applyFont="1">
      <alignment horizontal="left" readingOrder="0"/>
    </xf>
    <xf borderId="0" fillId="0" fontId="8" numFmtId="169" xfId="0" applyAlignment="1" applyFont="1" applyNumberFormat="1">
      <alignment readingOrder="0"/>
    </xf>
    <xf borderId="0" fillId="6" fontId="110" numFmtId="0" xfId="0" applyAlignment="1" applyFont="1">
      <alignment horizontal="right" readingOrder="0"/>
    </xf>
    <xf borderId="0" fillId="5" fontId="36" numFmtId="0" xfId="0" applyAlignment="1" applyFont="1">
      <alignment horizontal="left" readingOrder="0"/>
    </xf>
    <xf borderId="0" fillId="0" fontId="91" numFmtId="0" xfId="0" applyAlignment="1" applyFont="1">
      <alignment readingOrder="0"/>
    </xf>
    <xf borderId="0" fillId="0" fontId="91" numFmtId="0" xfId="0" applyAlignment="1" applyFont="1">
      <alignment horizontal="right"/>
    </xf>
    <xf borderId="0" fillId="0" fontId="14" numFmtId="0" xfId="0" applyAlignment="1" applyFont="1">
      <alignment horizontal="left" readingOrder="0"/>
    </xf>
    <xf borderId="0" fillId="13" fontId="28" numFmtId="0" xfId="0" applyFont="1"/>
    <xf borderId="0" fillId="0" fontId="91" numFmtId="9" xfId="0" applyAlignment="1" applyFont="1" applyNumberFormat="1">
      <alignment horizontal="right" readingOrder="0"/>
    </xf>
    <xf borderId="0" fillId="4" fontId="36" numFmtId="0" xfId="0" applyAlignment="1" applyFont="1">
      <alignment horizontal="left" readingOrder="0"/>
    </xf>
    <xf borderId="0" fillId="6" fontId="14" numFmtId="0" xfId="0" applyAlignment="1" applyFont="1">
      <alignment horizontal="left" readingOrder="0"/>
    </xf>
    <xf borderId="0" fillId="0" fontId="91" numFmtId="0" xfId="0" applyAlignment="1" applyFont="1">
      <alignment horizontal="right"/>
    </xf>
    <xf borderId="0" fillId="5" fontId="110" numFmtId="0" xfId="0" applyAlignment="1" applyFont="1">
      <alignment readingOrder="0"/>
    </xf>
    <xf borderId="0" fillId="8" fontId="0" numFmtId="0" xfId="0" applyAlignment="1" applyFont="1">
      <alignment horizontal="left"/>
    </xf>
    <xf borderId="0" fillId="11" fontId="30" numFmtId="0" xfId="0" applyAlignment="1" applyFont="1">
      <alignment readingOrder="0"/>
    </xf>
    <xf borderId="0" fillId="27" fontId="0" numFmtId="0" xfId="0" applyAlignment="1" applyFill="1" applyFont="1">
      <alignment horizontal="left" readingOrder="0"/>
    </xf>
    <xf borderId="0" fillId="0" fontId="30" numFmtId="0" xfId="0" applyAlignment="1" applyFont="1">
      <alignment readingOrder="0"/>
    </xf>
    <xf borderId="0" fillId="0" fontId="110" numFmtId="0" xfId="0" applyAlignment="1" applyFont="1">
      <alignment shrinkToFit="0" vertical="bottom" wrapText="0"/>
    </xf>
    <xf borderId="0" fillId="0" fontId="133" numFmtId="0" xfId="0" applyAlignment="1" applyFont="1">
      <alignment horizontal="left" readingOrder="0"/>
    </xf>
    <xf borderId="0" fillId="0" fontId="0" numFmtId="0" xfId="0" applyAlignment="1" applyFont="1">
      <alignment shrinkToFit="0" vertical="bottom" wrapText="0"/>
    </xf>
    <xf borderId="0" fillId="13" fontId="28" numFmtId="0" xfId="0" applyFont="1"/>
    <xf borderId="2" fillId="12" fontId="5" numFmtId="0" xfId="0" applyBorder="1" applyFont="1"/>
    <xf borderId="2" fillId="0" fontId="5" numFmtId="0" xfId="0" applyBorder="1" applyFont="1"/>
    <xf borderId="0" fillId="0" fontId="72" numFmtId="0" xfId="0" applyAlignment="1" applyFont="1">
      <alignment horizontal="left" readingOrder="0"/>
    </xf>
    <xf borderId="0" fillId="8" fontId="134" numFmtId="0" xfId="0" applyAlignment="1" applyFont="1">
      <alignment readingOrder="0"/>
    </xf>
    <xf borderId="0" fillId="12" fontId="81" numFmtId="0" xfId="0" applyAlignment="1" applyFont="1">
      <alignment shrinkToFit="0" wrapText="1"/>
    </xf>
    <xf borderId="0" fillId="28" fontId="135" numFmtId="0" xfId="0" applyAlignment="1" applyFill="1" applyFont="1">
      <alignment readingOrder="0"/>
    </xf>
    <xf borderId="0" fillId="28" fontId="136" numFmtId="0" xfId="0" applyAlignment="1" applyFont="1">
      <alignment readingOrder="0"/>
    </xf>
    <xf borderId="0" fillId="0" fontId="0" numFmtId="0" xfId="0" applyAlignment="1" applyFont="1">
      <alignment readingOrder="0" shrinkToFit="0" vertical="bottom" wrapText="0"/>
    </xf>
    <xf borderId="0" fillId="0" fontId="0" numFmtId="0" xfId="0" applyAlignment="1" applyFont="1">
      <alignment shrinkToFit="0" vertical="bottom" wrapText="0"/>
    </xf>
    <xf borderId="0" fillId="0" fontId="0" numFmtId="9" xfId="0" applyAlignment="1" applyFont="1" applyNumberFormat="1">
      <alignment shrinkToFit="0" vertical="bottom" wrapText="0"/>
    </xf>
    <xf borderId="0" fillId="28" fontId="137" numFmtId="0" xfId="0" applyAlignment="1" applyFont="1">
      <alignment readingOrder="0"/>
    </xf>
    <xf borderId="0" fillId="28" fontId="138" numFmtId="0" xfId="0" applyAlignment="1" applyFont="1">
      <alignment readingOrder="0"/>
    </xf>
    <xf borderId="0" fillId="8" fontId="0" numFmtId="0" xfId="0" applyAlignment="1" applyFont="1">
      <alignment horizontal="right" readingOrder="0"/>
    </xf>
    <xf borderId="0" fillId="12" fontId="127" numFmtId="0" xfId="0" applyAlignment="1" applyFont="1">
      <alignment horizontal="right"/>
    </xf>
    <xf borderId="0" fillId="0" fontId="139" numFmtId="0" xfId="0" applyAlignment="1" applyFont="1">
      <alignment readingOrder="0" shrinkToFit="0" vertical="bottom" wrapText="0"/>
    </xf>
    <xf borderId="0" fillId="0" fontId="110" numFmtId="170" xfId="0" applyAlignment="1" applyFont="1" applyNumberFormat="1">
      <alignment horizontal="right" readingOrder="0" shrinkToFit="0" vertical="bottom" wrapText="0"/>
    </xf>
    <xf borderId="0" fillId="28" fontId="140" numFmtId="0" xfId="0" applyAlignment="1" applyFont="1">
      <alignment readingOrder="0"/>
    </xf>
    <xf borderId="0" fillId="11" fontId="81" numFmtId="0" xfId="0" applyAlignment="1" applyFont="1">
      <alignment readingOrder="0"/>
    </xf>
    <xf borderId="0" fillId="12" fontId="0" numFmtId="0" xfId="0" applyAlignment="1" applyFont="1">
      <alignment horizontal="center"/>
    </xf>
    <xf borderId="0" fillId="0" fontId="5" numFmtId="0" xfId="0" applyAlignment="1" applyFont="1">
      <alignment horizontal="right"/>
    </xf>
    <xf borderId="0" fillId="0" fontId="34" numFmtId="0" xfId="0" applyAlignment="1" applyFont="1">
      <alignment horizontal="left"/>
    </xf>
    <xf borderId="0" fillId="12" fontId="5" numFmtId="0" xfId="0" applyAlignment="1" applyFont="1">
      <alignment horizontal="right"/>
    </xf>
    <xf borderId="0" fillId="0" fontId="5" numFmtId="0" xfId="0" applyAlignment="1" applyFont="1">
      <alignment horizontal="right" readingOrder="0"/>
    </xf>
    <xf borderId="0" fillId="0" fontId="65" numFmtId="0" xfId="0" applyAlignment="1" applyFont="1">
      <alignment readingOrder="0"/>
    </xf>
    <xf borderId="0" fillId="0" fontId="141" numFmtId="0" xfId="0" applyAlignment="1" applyFont="1">
      <alignment readingOrder="0"/>
    </xf>
    <xf borderId="0" fillId="6" fontId="142" numFmtId="0" xfId="0" applyAlignment="1" applyFont="1">
      <alignment horizontal="center" readingOrder="0"/>
    </xf>
    <xf borderId="0" fillId="6" fontId="143" numFmtId="0" xfId="0" applyAlignment="1" applyFont="1">
      <alignment horizontal="center" readingOrder="0"/>
    </xf>
    <xf borderId="0" fillId="0" fontId="29" numFmtId="0" xfId="0" applyAlignment="1" applyFont="1">
      <alignment readingOrder="0"/>
    </xf>
    <xf borderId="4" fillId="2" fontId="1" numFmtId="0" xfId="0" applyAlignment="1" applyBorder="1" applyFont="1">
      <alignment readingOrder="0"/>
    </xf>
    <xf borderId="4" fillId="2" fontId="2" numFmtId="0" xfId="0" applyAlignment="1" applyBorder="1" applyFont="1">
      <alignment readingOrder="0"/>
    </xf>
    <xf borderId="4" fillId="0" fontId="8" numFmtId="164" xfId="0" applyAlignment="1" applyBorder="1" applyFont="1" applyNumberFormat="1">
      <alignment readingOrder="0"/>
    </xf>
    <xf borderId="0" fillId="8" fontId="144" numFmtId="0" xfId="0" applyAlignment="1" applyFont="1">
      <alignment horizontal="left"/>
    </xf>
    <xf borderId="4" fillId="0" fontId="46" numFmtId="164" xfId="0" applyAlignment="1" applyBorder="1" applyFont="1" applyNumberFormat="1">
      <alignment readingOrder="0"/>
    </xf>
    <xf borderId="4" fillId="0" fontId="0" numFmtId="0" xfId="0" applyAlignment="1" applyBorder="1" applyFont="1">
      <alignment readingOrder="0"/>
    </xf>
    <xf borderId="4" fillId="0" fontId="28" numFmtId="0" xfId="0" applyBorder="1" applyFont="1"/>
    <xf borderId="0" fillId="13" fontId="0" numFmtId="0" xfId="0" applyAlignment="1" applyFont="1">
      <alignment readingOrder="0"/>
    </xf>
    <xf borderId="0" fillId="8" fontId="145" numFmtId="0" xfId="0" applyAlignment="1" applyFont="1">
      <alignment readingOrder="0"/>
    </xf>
    <xf borderId="0" fillId="13" fontId="0" numFmtId="0" xfId="0" applyFont="1"/>
    <xf borderId="4" fillId="0" fontId="34" numFmtId="0" xfId="0" applyBorder="1" applyFont="1"/>
    <xf borderId="4" fillId="0" fontId="5" numFmtId="0" xfId="0" applyBorder="1" applyFont="1"/>
    <xf borderId="0" fillId="5" fontId="14" numFmtId="0" xfId="0" applyAlignment="1" applyFont="1">
      <alignment readingOrder="0"/>
    </xf>
    <xf borderId="0" fillId="4" fontId="14" numFmtId="0" xfId="0" applyAlignment="1" applyFont="1">
      <alignment readingOrder="0"/>
    </xf>
    <xf borderId="0" fillId="2" fontId="8" numFmtId="164" xfId="0" applyAlignment="1" applyFont="1" applyNumberFormat="1">
      <alignment readingOrder="0"/>
    </xf>
    <xf borderId="0" fillId="3" fontId="146" numFmtId="0" xfId="0" applyAlignment="1" applyFont="1">
      <alignment readingOrder="0"/>
    </xf>
    <xf borderId="0" fillId="0" fontId="100" numFmtId="0" xfId="0" applyAlignment="1" applyFont="1">
      <alignment shrinkToFit="0" vertical="bottom" wrapText="0"/>
    </xf>
    <xf borderId="0" fillId="0" fontId="90" numFmtId="0" xfId="0" applyAlignment="1" applyFont="1">
      <alignment readingOrder="0" shrinkToFit="0" vertical="bottom" wrapText="0"/>
    </xf>
    <xf borderId="0" fillId="0" fontId="16" numFmtId="0" xfId="0" applyAlignment="1" applyFont="1">
      <alignment readingOrder="0" shrinkToFit="0" vertical="bottom" wrapText="0"/>
    </xf>
    <xf borderId="0" fillId="0" fontId="147" numFmtId="0" xfId="0" applyFont="1"/>
    <xf borderId="0" fillId="0" fontId="90" numFmtId="0" xfId="0" applyAlignment="1" applyFont="1">
      <alignment horizontal="right" readingOrder="0" shrinkToFit="0" vertical="bottom" wrapText="0"/>
    </xf>
    <xf borderId="0" fillId="0" fontId="90" numFmtId="0" xfId="0" applyAlignment="1" applyFont="1">
      <alignment shrinkToFit="0" vertical="bottom" wrapText="0"/>
    </xf>
    <xf borderId="0" fillId="0" fontId="100" numFmtId="0" xfId="0" applyAlignment="1" applyFont="1">
      <alignment readingOrder="0" shrinkToFit="0" vertical="bottom" wrapText="0"/>
    </xf>
    <xf borderId="0" fillId="6" fontId="65" numFmtId="0" xfId="0" applyAlignment="1" applyFont="1">
      <alignment readingOrder="0"/>
    </xf>
    <xf borderId="4" fillId="0" fontId="81" numFmtId="0" xfId="0" applyBorder="1" applyFont="1"/>
    <xf borderId="4" fillId="12" fontId="34" numFmtId="0" xfId="0" applyBorder="1" applyFont="1"/>
    <xf borderId="4" fillId="12" fontId="28" numFmtId="0" xfId="0" applyBorder="1" applyFont="1"/>
    <xf borderId="4" fillId="0" fontId="36" numFmtId="0" xfId="0" applyAlignment="1" applyBorder="1" applyFont="1">
      <alignment readingOrder="0"/>
    </xf>
    <xf borderId="0" fillId="0" fontId="148" numFmtId="0" xfId="0" applyFont="1"/>
    <xf borderId="0" fillId="29" fontId="90" numFmtId="0" xfId="0" applyAlignment="1" applyFill="1" applyFont="1">
      <alignment shrinkToFit="0" vertical="bottom" wrapText="0"/>
    </xf>
    <xf borderId="5" fillId="8" fontId="149" numFmtId="0" xfId="0" applyAlignment="1" applyBorder="1" applyFont="1">
      <alignment horizontal="left" readingOrder="0"/>
    </xf>
    <xf borderId="0" fillId="12" fontId="0" numFmtId="0" xfId="0" applyAlignment="1" applyFont="1">
      <alignment horizontal="right"/>
    </xf>
    <xf borderId="0" fillId="6" fontId="10" numFmtId="0" xfId="0" applyAlignment="1" applyFont="1">
      <alignment horizontal="right" readingOrder="0"/>
    </xf>
    <xf borderId="0" fillId="0" fontId="65" numFmtId="0" xfId="0" applyAlignment="1" applyFont="1">
      <alignment readingOrder="0"/>
    </xf>
    <xf borderId="4" fillId="6" fontId="36" numFmtId="0" xfId="0" applyAlignment="1" applyBorder="1" applyFont="1">
      <alignment readingOrder="0"/>
    </xf>
    <xf borderId="4" fillId="6" fontId="0" numFmtId="0" xfId="0" applyAlignment="1" applyBorder="1" applyFont="1">
      <alignment readingOrder="0"/>
    </xf>
    <xf borderId="0" fillId="12" fontId="147" numFmtId="0" xfId="0" applyFont="1"/>
    <xf borderId="0" fillId="12" fontId="5" numFmtId="0" xfId="0" applyAlignment="1" applyFont="1">
      <alignment horizontal="right"/>
    </xf>
    <xf borderId="0" fillId="0" fontId="150" numFmtId="0" xfId="0" applyAlignment="1" applyFont="1">
      <alignment readingOrder="0"/>
    </xf>
    <xf borderId="0" fillId="0" fontId="5" numFmtId="0" xfId="0" applyAlignment="1" applyFont="1">
      <alignment horizontal="right"/>
    </xf>
    <xf borderId="0" fillId="0" fontId="151" numFmtId="0" xfId="0" applyAlignment="1" applyFont="1">
      <alignment readingOrder="0" shrinkToFit="0" wrapText="1"/>
    </xf>
    <xf borderId="0" fillId="0" fontId="147" numFmtId="0" xfId="0" applyAlignment="1" applyFont="1">
      <alignment readingOrder="0"/>
    </xf>
    <xf borderId="0" fillId="0" fontId="152" numFmtId="0" xfId="0" applyAlignment="1" applyFont="1">
      <alignment readingOrder="0" shrinkToFit="0" wrapText="1"/>
    </xf>
    <xf borderId="0" fillId="0" fontId="153" numFmtId="0" xfId="0" applyAlignment="1" applyFont="1">
      <alignment readingOrder="0"/>
    </xf>
    <xf borderId="0" fillId="0" fontId="14" numFmtId="0" xfId="0" applyFont="1"/>
    <xf borderId="0" fillId="0" fontId="16" numFmtId="0" xfId="0" applyFont="1"/>
    <xf borderId="0" fillId="0" fontId="104" numFmtId="0" xfId="0" applyAlignment="1" applyFont="1">
      <alignment readingOrder="0"/>
    </xf>
    <xf borderId="0" fillId="0" fontId="65" numFmtId="0" xfId="0" applyFont="1"/>
    <xf borderId="0" fillId="0" fontId="29" numFmtId="0" xfId="0" applyFont="1"/>
    <xf borderId="0" fillId="0" fontId="28" numFmtId="0" xfId="0" applyFont="1"/>
    <xf borderId="0" fillId="8" fontId="47" numFmtId="0" xfId="0" applyAlignment="1" applyFont="1">
      <alignment readingOrder="0"/>
    </xf>
    <xf borderId="0" fillId="3" fontId="2" numFmtId="0" xfId="0" applyAlignment="1" applyFont="1">
      <alignment horizontal="center" readingOrder="0"/>
    </xf>
    <xf borderId="0" fillId="0" fontId="3" numFmtId="0" xfId="0" applyAlignment="1" applyFont="1">
      <alignment horizontal="center"/>
    </xf>
    <xf borderId="0" fillId="2" fontId="146" numFmtId="0" xfId="0" applyAlignment="1" applyFont="1">
      <alignment horizontal="center" readingOrder="0"/>
    </xf>
    <xf borderId="0" fillId="2" fontId="154" numFmtId="0" xfId="0" applyAlignment="1" applyFont="1">
      <alignment horizontal="center" readingOrder="0"/>
    </xf>
    <xf borderId="0" fillId="3" fontId="146" numFmtId="0" xfId="0" applyAlignment="1" applyFont="1">
      <alignment horizontal="center" readingOrder="0"/>
    </xf>
    <xf borderId="0" fillId="3" fontId="154" numFmtId="0" xfId="0" applyAlignment="1" applyFont="1">
      <alignment horizontal="center" readingOrder="0"/>
    </xf>
    <xf borderId="0" fillId="0" fontId="146" numFmtId="0" xfId="0" applyAlignment="1" applyFont="1">
      <alignment horizontal="center"/>
    </xf>
    <xf borderId="0" fillId="0" fontId="147" numFmtId="0" xfId="0" applyAlignment="1" applyFont="1">
      <alignment horizontal="center"/>
    </xf>
    <xf borderId="0" fillId="0" fontId="6" numFmtId="0" xfId="0" applyAlignment="1" applyFont="1">
      <alignment readingOrder="0"/>
    </xf>
    <xf borderId="0" fillId="8" fontId="47" numFmtId="0" xfId="0" applyAlignment="1" applyFont="1">
      <alignment readingOrder="0"/>
    </xf>
    <xf borderId="0" fillId="13" fontId="147" numFmtId="0" xfId="0" applyFont="1"/>
    <xf borderId="0" fillId="13" fontId="155" numFmtId="0" xfId="0" applyAlignment="1" applyFont="1">
      <alignment readingOrder="0"/>
    </xf>
    <xf borderId="0" fillId="0" fontId="66" numFmtId="0" xfId="0" applyAlignment="1" applyFont="1">
      <alignment readingOrder="0"/>
    </xf>
    <xf borderId="0" fillId="8" fontId="47" numFmtId="0" xfId="0" applyAlignment="1" applyFont="1">
      <alignment readingOrder="0"/>
    </xf>
    <xf borderId="0" fillId="0" fontId="156" numFmtId="0" xfId="0" applyFont="1"/>
    <xf borderId="0" fillId="13" fontId="157" numFmtId="0" xfId="0" applyAlignment="1" applyFont="1">
      <alignment readingOrder="0"/>
    </xf>
    <xf borderId="0" fillId="0" fontId="46" numFmtId="171" xfId="0" applyAlignment="1" applyFont="1" applyNumberFormat="1">
      <alignment readingOrder="0"/>
    </xf>
    <xf borderId="0" fillId="0" fontId="133" numFmtId="0" xfId="0" applyAlignment="1" applyFont="1">
      <alignment horizontal="left" readingOrder="0" shrinkToFit="0" wrapText="0"/>
    </xf>
    <xf borderId="0" fillId="8" fontId="158" numFmtId="0" xfId="0" applyAlignment="1" applyFont="1">
      <alignment readingOrder="0"/>
    </xf>
    <xf borderId="0" fillId="0" fontId="14" numFmtId="0" xfId="0" applyAlignment="1" applyFont="1">
      <alignment vertical="bottom"/>
    </xf>
    <xf borderId="0" fillId="5" fontId="10" numFmtId="0" xfId="0" applyAlignment="1" applyFont="1">
      <alignment vertical="bottom"/>
    </xf>
    <xf borderId="0" fillId="13" fontId="159" numFmtId="0" xfId="0" applyAlignment="1" applyFont="1">
      <alignment readingOrder="0"/>
    </xf>
    <xf borderId="0" fillId="12" fontId="56" numFmtId="0" xfId="0" applyFont="1"/>
    <xf borderId="0" fillId="12" fontId="146" numFmtId="0" xfId="0" applyFont="1"/>
    <xf borderId="0" fillId="0" fontId="160" numFmtId="0" xfId="0" applyAlignment="1" applyFont="1">
      <alignment vertical="bottom"/>
    </xf>
    <xf borderId="0" fillId="4" fontId="10" numFmtId="0" xfId="0" applyAlignment="1" applyFont="1">
      <alignment vertical="bottom"/>
    </xf>
    <xf borderId="0" fillId="6" fontId="14" numFmtId="0" xfId="0" applyAlignment="1" applyFont="1">
      <alignment vertical="bottom"/>
    </xf>
    <xf borderId="0" fillId="6" fontId="16" numFmtId="0" xfId="0" applyAlignment="1" applyFont="1">
      <alignment readingOrder="0" vertical="bottom"/>
    </xf>
    <xf borderId="0" fillId="0" fontId="161" numFmtId="0" xfId="0" applyAlignment="1" applyFont="1">
      <alignment readingOrder="0" vertical="bottom"/>
    </xf>
    <xf borderId="0" fillId="8" fontId="14" numFmtId="0" xfId="0" applyFont="1"/>
    <xf borderId="0" fillId="0" fontId="16" numFmtId="0" xfId="0" applyAlignment="1" applyFont="1">
      <alignment vertical="bottom"/>
    </xf>
    <xf borderId="0" fillId="0" fontId="56" numFmtId="0" xfId="0" applyAlignment="1" applyFont="1">
      <alignment readingOrder="0"/>
    </xf>
    <xf borderId="0" fillId="0" fontId="146" numFmtId="0" xfId="0" applyFont="1"/>
    <xf borderId="0" fillId="6" fontId="16" numFmtId="0" xfId="0" applyAlignment="1" applyFont="1">
      <alignment vertical="bottom"/>
    </xf>
    <xf borderId="0" fillId="12" fontId="9" numFmtId="0" xfId="0" applyAlignment="1" applyFont="1">
      <alignment vertical="bottom"/>
    </xf>
    <xf borderId="0" fillId="2" fontId="2" numFmtId="0" xfId="0" applyFont="1"/>
    <xf borderId="0" fillId="0" fontId="46" numFmtId="169" xfId="0" applyAlignment="1" applyFont="1" applyNumberFormat="1">
      <alignment readingOrder="0"/>
    </xf>
    <xf borderId="0" fillId="0" fontId="16" numFmtId="0" xfId="0" applyAlignment="1" applyFont="1">
      <alignment horizontal="left" readingOrder="0" shrinkToFit="0" wrapText="0"/>
    </xf>
    <xf borderId="0" fillId="8" fontId="16" numFmtId="0" xfId="0" applyAlignment="1" applyFont="1">
      <alignment readingOrder="0"/>
    </xf>
    <xf borderId="0" fillId="8" fontId="16" numFmtId="0" xfId="0" applyAlignment="1" applyFont="1">
      <alignment horizontal="left" readingOrder="0"/>
    </xf>
    <xf borderId="0" fillId="0" fontId="127" numFmtId="0" xfId="0" applyAlignment="1" applyFont="1">
      <alignment readingOrder="0" shrinkToFit="0" vertical="bottom" wrapText="0"/>
    </xf>
    <xf borderId="0" fillId="8" fontId="162" numFmtId="0" xfId="0" applyAlignment="1" applyFont="1">
      <alignment horizontal="left" readingOrder="0"/>
    </xf>
    <xf borderId="0" fillId="30" fontId="10" numFmtId="0" xfId="0" applyAlignment="1" applyFill="1" applyFont="1">
      <alignment readingOrder="0"/>
    </xf>
    <xf borderId="0" fillId="8" fontId="163" numFmtId="0" xfId="0" applyAlignment="1" applyFont="1">
      <alignment readingOrder="0"/>
    </xf>
    <xf borderId="0" fillId="8" fontId="66" numFmtId="0" xfId="0" applyAlignment="1" applyFont="1">
      <alignment readingOrder="0"/>
    </xf>
    <xf borderId="0" fillId="8" fontId="6" numFmtId="0" xfId="0" applyAlignment="1" applyFont="1">
      <alignment readingOrder="0"/>
    </xf>
    <xf borderId="0" fillId="2" fontId="9" numFmtId="0" xfId="0" applyAlignment="1" applyFont="1">
      <alignment vertical="bottom"/>
    </xf>
    <xf borderId="0" fillId="8" fontId="164" numFmtId="0" xfId="0" applyAlignment="1" applyFont="1">
      <alignment readingOrder="0"/>
    </xf>
    <xf borderId="0" fillId="19" fontId="22" numFmtId="0" xfId="0" applyAlignment="1" applyFont="1">
      <alignment readingOrder="0"/>
    </xf>
    <xf borderId="0" fillId="8" fontId="9" numFmtId="0" xfId="0" applyAlignment="1" applyFont="1">
      <alignment readingOrder="0"/>
    </xf>
    <xf borderId="0" fillId="8" fontId="165" numFmtId="0" xfId="0" applyAlignment="1" applyFont="1">
      <alignment readingOrder="0"/>
    </xf>
    <xf borderId="0" fillId="8" fontId="24" numFmtId="0" xfId="0" applyAlignment="1" applyFont="1">
      <alignment readingOrder="0"/>
    </xf>
    <xf borderId="0" fillId="2" fontId="154" numFmtId="0" xfId="0" applyAlignment="1" applyFont="1">
      <alignment horizontal="left" readingOrder="0"/>
    </xf>
    <xf borderId="0" fillId="8" fontId="166" numFmtId="0" xfId="0" applyAlignment="1" applyFont="1">
      <alignment readingOrder="0"/>
    </xf>
    <xf borderId="0" fillId="0" fontId="167" numFmtId="0" xfId="0" applyAlignment="1" applyFont="1">
      <alignment horizontal="left" readingOrder="0"/>
    </xf>
    <xf borderId="0" fillId="0" fontId="154" numFmtId="0" xfId="0" applyAlignment="1" applyFont="1">
      <alignment horizontal="left" readingOrder="0"/>
    </xf>
    <xf borderId="0" fillId="0" fontId="168" numFmtId="0" xfId="0" applyAlignment="1" applyFont="1">
      <alignment readingOrder="0"/>
    </xf>
    <xf borderId="0" fillId="6" fontId="169" numFmtId="0" xfId="0" applyAlignment="1" applyFont="1">
      <alignment readingOrder="0"/>
    </xf>
    <xf borderId="0" fillId="8" fontId="168" numFmtId="0" xfId="0" applyAlignment="1" applyFont="1">
      <alignment readingOrder="0"/>
    </xf>
    <xf borderId="0" fillId="0" fontId="9" numFmtId="0" xfId="0" applyAlignment="1" applyFont="1">
      <alignment vertical="bottom"/>
    </xf>
    <xf borderId="0" fillId="6" fontId="10" numFmtId="0" xfId="0" applyAlignment="1" applyFont="1">
      <alignment horizontal="right" vertical="bottom"/>
    </xf>
    <xf borderId="0" fillId="0" fontId="14" numFmtId="0" xfId="0" applyAlignment="1" applyFont="1">
      <alignment horizontal="left" vertical="bottom"/>
    </xf>
    <xf borderId="0" fillId="4" fontId="10" numFmtId="0" xfId="0" applyAlignment="1" applyFont="1">
      <alignment vertical="bottom"/>
    </xf>
    <xf borderId="0" fillId="0" fontId="127" numFmtId="0" xfId="0" applyAlignment="1" applyFont="1">
      <alignment readingOrder="0" shrinkToFit="0" vertical="bottom" wrapText="0"/>
    </xf>
    <xf borderId="0" fillId="8" fontId="170" numFmtId="0" xfId="0" applyAlignment="1" applyFont="1">
      <alignment horizontal="left" readingOrder="0"/>
    </xf>
    <xf borderId="0" fillId="8" fontId="16" numFmtId="0" xfId="0" applyAlignment="1" applyFont="1">
      <alignment horizontal="left" readingOrder="0"/>
    </xf>
    <xf borderId="0" fillId="8" fontId="171" numFmtId="0" xfId="0" applyAlignment="1" applyFont="1">
      <alignment horizontal="left" readingOrder="0" vertical="top"/>
    </xf>
    <xf borderId="0" fillId="8" fontId="172" numFmtId="0" xfId="0" applyAlignment="1" applyFont="1">
      <alignment horizontal="left" readingOrder="0" vertical="top"/>
    </xf>
    <xf borderId="0" fillId="0" fontId="172" numFmtId="0" xfId="0" applyAlignment="1" applyFont="1">
      <alignment readingOrder="0"/>
    </xf>
    <xf borderId="0" fillId="0" fontId="15" numFmtId="0" xfId="0" applyFont="1"/>
    <xf borderId="0" fillId="8" fontId="173" numFmtId="0" xfId="0" applyAlignment="1" applyFont="1">
      <alignment readingOrder="0"/>
    </xf>
    <xf borderId="0" fillId="8" fontId="172" numFmtId="0" xfId="0" applyAlignment="1" applyFont="1">
      <alignment horizontal="left" readingOrder="0"/>
    </xf>
    <xf borderId="0" fillId="12" fontId="127" numFmtId="0" xfId="0" applyAlignment="1" applyFont="1">
      <alignment horizontal="right"/>
    </xf>
    <xf borderId="0" fillId="0" fontId="16" numFmtId="0" xfId="0" applyAlignment="1" applyFont="1">
      <alignment horizontal="left" readingOrder="0" vertical="bottom"/>
    </xf>
    <xf borderId="0" fillId="0" fontId="103" numFmtId="0" xfId="0" applyFont="1"/>
    <xf borderId="0" fillId="5" fontId="10" numFmtId="0" xfId="0" applyAlignment="1" applyFont="1">
      <alignment vertical="bottom"/>
    </xf>
    <xf borderId="0" fillId="0" fontId="22" numFmtId="0" xfId="0" applyFont="1"/>
    <xf borderId="0" fillId="6" fontId="10" numFmtId="0" xfId="0" applyAlignment="1" applyFont="1">
      <alignment horizontal="right" readingOrder="0" shrinkToFit="0" vertical="bottom" wrapText="0"/>
    </xf>
    <xf borderId="0" fillId="6" fontId="14" numFmtId="0" xfId="0" applyAlignment="1" applyFont="1">
      <alignment readingOrder="0" shrinkToFit="0" vertical="bottom" wrapText="0"/>
    </xf>
    <xf borderId="0" fillId="5" fontId="10" numFmtId="0" xfId="0" applyAlignment="1" applyFont="1">
      <alignment readingOrder="0" shrinkToFit="0" vertical="bottom" wrapText="0"/>
    </xf>
    <xf borderId="0" fillId="0" fontId="174" numFmtId="0" xfId="0" applyAlignment="1" applyFont="1">
      <alignment readingOrder="0" shrinkToFit="0" vertical="bottom" wrapText="0"/>
    </xf>
    <xf borderId="0" fillId="0" fontId="14" numFmtId="0" xfId="0" applyAlignment="1" applyFont="1">
      <alignment readingOrder="0" shrinkToFit="0" vertical="bottom" wrapText="0"/>
    </xf>
    <xf borderId="0" fillId="12" fontId="56" numFmtId="0" xfId="0" applyAlignment="1" applyFont="1">
      <alignment horizontal="left"/>
    </xf>
    <xf borderId="0" fillId="0" fontId="9" numFmtId="0" xfId="0" applyAlignment="1" applyFont="1">
      <alignment readingOrder="0" shrinkToFit="0" vertical="bottom" wrapText="0"/>
    </xf>
    <xf borderId="0" fillId="6" fontId="16" numFmtId="0" xfId="0" applyAlignment="1" applyFont="1">
      <alignment readingOrder="0" shrinkToFit="0" vertical="bottom" wrapText="0"/>
    </xf>
    <xf borderId="0" fillId="4" fontId="10" numFmtId="0" xfId="0" applyAlignment="1" applyFont="1">
      <alignment readingOrder="0" shrinkToFit="0" vertical="bottom" wrapText="0"/>
    </xf>
    <xf borderId="0" fillId="0" fontId="56" numFmtId="0" xfId="0" applyAlignment="1" applyFont="1">
      <alignment horizontal="left" readingOrder="0"/>
    </xf>
    <xf borderId="0" fillId="8" fontId="16" numFmtId="0" xfId="0" applyAlignment="1" applyFont="1">
      <alignment horizontal="left" readingOrder="0"/>
    </xf>
    <xf borderId="0" fillId="8" fontId="12" numFmtId="0" xfId="0" applyAlignment="1" applyFont="1">
      <alignment horizontal="left"/>
    </xf>
    <xf borderId="0" fillId="31" fontId="175" numFmtId="0" xfId="0" applyAlignment="1" applyFill="1" applyFont="1">
      <alignment horizontal="left" readingOrder="0"/>
    </xf>
    <xf borderId="0" fillId="0" fontId="24" numFmtId="0" xfId="0" applyAlignment="1" applyFont="1">
      <alignment readingOrder="0" shrinkToFit="0" vertical="bottom" wrapText="0"/>
    </xf>
    <xf borderId="0" fillId="0" fontId="24" numFmtId="0" xfId="0" applyAlignment="1" applyFont="1">
      <alignment shrinkToFit="0" vertical="bottom" wrapText="0"/>
    </xf>
    <xf borderId="0" fillId="0" fontId="56" numFmtId="0" xfId="0" applyAlignment="1" applyFont="1">
      <alignment horizontal="left"/>
    </xf>
    <xf borderId="0" fillId="0" fontId="176" numFmtId="0" xfId="0" applyAlignment="1" applyFont="1">
      <alignment horizontal="left" readingOrder="0"/>
    </xf>
    <xf borderId="0" fillId="0" fontId="177" numFmtId="0" xfId="0" applyAlignment="1" applyFont="1">
      <alignment horizontal="left" readingOrder="0"/>
    </xf>
    <xf borderId="0" fillId="2" fontId="178" numFmtId="0" xfId="0" applyAlignment="1" applyFont="1">
      <alignment horizontal="left" readingOrder="0"/>
    </xf>
    <xf borderId="0" fillId="2" fontId="3" numFmtId="0" xfId="0" applyAlignment="1" applyFont="1">
      <alignment shrinkToFit="0" wrapText="0"/>
    </xf>
    <xf borderId="0" fillId="0" fontId="24" numFmtId="0" xfId="0" applyAlignment="1" applyFont="1">
      <alignment readingOrder="0"/>
    </xf>
    <xf borderId="0" fillId="0" fontId="16" numFmtId="0" xfId="0" applyAlignment="1" applyFont="1">
      <alignment readingOrder="0" vertical="bottom"/>
    </xf>
    <xf borderId="0" fillId="0" fontId="179" numFmtId="0" xfId="0" applyAlignment="1" applyFont="1">
      <alignment horizontal="left" readingOrder="0"/>
    </xf>
    <xf borderId="0" fillId="17" fontId="180" numFmtId="0" xfId="0" applyAlignment="1" applyFont="1">
      <alignment readingOrder="0"/>
    </xf>
    <xf borderId="0" fillId="14" fontId="181" numFmtId="0" xfId="0" applyAlignment="1" applyFont="1">
      <alignment horizontal="center" readingOrder="0"/>
    </xf>
    <xf borderId="0" fillId="0" fontId="44" numFmtId="0" xfId="0" applyFont="1"/>
    <xf borderId="0" fillId="32" fontId="182" numFmtId="0" xfId="0" applyAlignment="1" applyFill="1" applyFont="1">
      <alignment horizontal="left" readingOrder="0"/>
    </xf>
    <xf borderId="0" fillId="8" fontId="181" numFmtId="0" xfId="0" applyAlignment="1" applyFont="1">
      <alignment horizontal="center" readingOrder="0"/>
    </xf>
    <xf borderId="0" fillId="6" fontId="29" numFmtId="0" xfId="0" applyAlignment="1" applyFont="1">
      <alignment readingOrder="0"/>
    </xf>
    <xf borderId="0" fillId="0" fontId="16" numFmtId="0" xfId="0" applyAlignment="1" applyFont="1">
      <alignment vertical="bottom"/>
    </xf>
    <xf borderId="0" fillId="0" fontId="183" numFmtId="0" xfId="0" applyAlignment="1" applyFont="1">
      <alignment readingOrder="0"/>
    </xf>
    <xf borderId="0" fillId="0" fontId="44" numFmtId="0" xfId="0" applyAlignment="1" applyFont="1">
      <alignment readingOrder="0"/>
    </xf>
    <xf borderId="0" fillId="0" fontId="184" numFmtId="0" xfId="0" applyAlignment="1" applyFont="1">
      <alignment readingOrder="0"/>
    </xf>
    <xf borderId="0" fillId="12" fontId="44" numFmtId="0" xfId="0" applyFont="1"/>
    <xf borderId="0" fillId="12" fontId="5" numFmtId="0" xfId="0" applyAlignment="1" applyFont="1">
      <alignment shrinkToFit="0" wrapText="0"/>
    </xf>
    <xf quotePrefix="1" borderId="0" fillId="0" fontId="5" numFmtId="0" xfId="0" applyAlignment="1" applyFont="1">
      <alignment readingOrder="0"/>
    </xf>
    <xf borderId="0" fillId="0" fontId="5" numFmtId="0" xfId="0" applyAlignment="1" applyFont="1">
      <alignment shrinkToFit="0" wrapText="0"/>
    </xf>
    <xf borderId="0" fillId="8" fontId="172" numFmtId="0" xfId="0" applyAlignment="1" applyFont="1">
      <alignment horizontal="center" readingOrder="0"/>
    </xf>
    <xf borderId="0" fillId="8" fontId="185" numFmtId="0" xfId="0" applyAlignment="1" applyFont="1">
      <alignment readingOrder="0"/>
    </xf>
    <xf borderId="0" fillId="0" fontId="0" numFmtId="0" xfId="0" applyAlignment="1" applyFont="1">
      <alignment horizontal="center" readingOrder="0"/>
    </xf>
    <xf borderId="0" fillId="8" fontId="186" numFmtId="0" xfId="0" applyAlignment="1" applyFont="1">
      <alignment readingOrder="0"/>
    </xf>
    <xf borderId="0" fillId="33" fontId="187" numFmtId="0" xfId="0" applyAlignment="1" applyFill="1" applyFont="1">
      <alignment horizontal="center" readingOrder="0"/>
    </xf>
    <xf borderId="0" fillId="0" fontId="9" numFmtId="0" xfId="0" applyAlignment="1" applyFont="1">
      <alignment readingOrder="0"/>
    </xf>
    <xf borderId="0" fillId="2" fontId="42" numFmtId="0" xfId="0" applyAlignment="1" applyFont="1">
      <alignment vertical="bottom"/>
    </xf>
    <xf borderId="0" fillId="2" fontId="42" numFmtId="0" xfId="0" applyAlignment="1" applyFont="1">
      <alignment vertical="bottom"/>
    </xf>
    <xf borderId="0" fillId="2" fontId="9" numFmtId="0" xfId="0" applyAlignment="1" applyFont="1">
      <alignment vertical="bottom"/>
    </xf>
    <xf borderId="0" fillId="2" fontId="11" numFmtId="0" xfId="0" applyAlignment="1" applyFont="1">
      <alignment vertical="bottom"/>
    </xf>
    <xf borderId="0" fillId="2" fontId="6" numFmtId="0" xfId="0" applyAlignment="1" applyFont="1">
      <alignment horizontal="center" vertical="bottom"/>
    </xf>
    <xf borderId="2" fillId="2" fontId="6" numFmtId="0" xfId="0" applyAlignment="1" applyBorder="1" applyFont="1">
      <alignment horizontal="center" vertical="bottom"/>
    </xf>
    <xf borderId="0" fillId="0" fontId="9" numFmtId="164" xfId="0" applyAlignment="1" applyFont="1" applyNumberFormat="1">
      <alignment vertical="bottom"/>
    </xf>
    <xf borderId="0" fillId="0" fontId="24" numFmtId="164" xfId="0" applyAlignment="1" applyFont="1" applyNumberFormat="1">
      <alignment vertical="bottom"/>
    </xf>
    <xf borderId="0" fillId="0" fontId="9" numFmtId="0" xfId="0" applyAlignment="1" applyFont="1">
      <alignment vertical="bottom"/>
    </xf>
    <xf borderId="0" fillId="2" fontId="42" numFmtId="0" xfId="0" applyAlignment="1" applyFont="1">
      <alignment horizontal="left" vertical="bottom"/>
    </xf>
    <xf borderId="0" fillId="0" fontId="188" numFmtId="164" xfId="0" applyAlignment="1" applyFont="1" applyNumberFormat="1">
      <alignment readingOrder="0" vertical="bottom"/>
    </xf>
    <xf borderId="0" fillId="2" fontId="9" numFmtId="0" xfId="0" applyAlignment="1" applyFont="1">
      <alignment horizontal="left" vertical="bottom"/>
    </xf>
    <xf borderId="6" fillId="0" fontId="5" numFmtId="0" xfId="0" applyBorder="1" applyFont="1"/>
    <xf borderId="0" fillId="4" fontId="6" numFmtId="0" xfId="0" applyAlignment="1" applyFont="1">
      <alignment horizontal="center" vertical="bottom"/>
    </xf>
    <xf borderId="0" fillId="0" fontId="24" numFmtId="0" xfId="0" applyAlignment="1" applyFont="1">
      <alignment horizontal="left" vertical="bottom"/>
    </xf>
    <xf borderId="0" fillId="0" fontId="9" numFmtId="0" xfId="0" applyAlignment="1" applyFont="1">
      <alignment vertical="bottom"/>
    </xf>
    <xf borderId="0" fillId="5" fontId="6" numFmtId="0" xfId="0" applyAlignment="1" applyFont="1">
      <alignment horizontal="center" vertical="bottom"/>
    </xf>
    <xf borderId="0" fillId="11" fontId="6" numFmtId="0" xfId="0" applyAlignment="1" applyFont="1">
      <alignment horizontal="center" vertical="bottom"/>
    </xf>
    <xf borderId="0" fillId="34" fontId="6" numFmtId="0" xfId="0" applyAlignment="1" applyFill="1" applyFont="1">
      <alignment horizontal="center" vertical="bottom"/>
    </xf>
    <xf borderId="2" fillId="4" fontId="6" numFmtId="0" xfId="0" applyAlignment="1" applyBorder="1" applyFont="1">
      <alignment horizontal="center" vertical="bottom"/>
    </xf>
    <xf borderId="0" fillId="3" fontId="6" numFmtId="0" xfId="0" applyAlignment="1" applyFont="1">
      <alignment horizontal="center" vertical="bottom"/>
    </xf>
    <xf borderId="0" fillId="2" fontId="42" numFmtId="0" xfId="0" applyAlignment="1" applyFont="1">
      <alignment horizontal="left" readingOrder="0" vertical="bottom"/>
    </xf>
    <xf borderId="0" fillId="3" fontId="11" numFmtId="0" xfId="0" applyAlignment="1" applyFont="1">
      <alignment vertical="bottom"/>
    </xf>
    <xf borderId="0" fillId="3" fontId="6" numFmtId="0" xfId="0" applyAlignment="1" applyFont="1">
      <alignment vertical="bottom"/>
    </xf>
    <xf borderId="0" fillId="2" fontId="11" numFmtId="0" xfId="0" applyAlignment="1" applyFont="1">
      <alignment horizontal="left" vertical="bottom"/>
    </xf>
    <xf borderId="3" fillId="3" fontId="11" numFmtId="0" xfId="0" applyAlignment="1" applyBorder="1" applyFont="1">
      <alignment shrinkToFit="0" vertical="bottom" wrapText="0"/>
    </xf>
    <xf borderId="0" fillId="3" fontId="9" numFmtId="0" xfId="0" applyAlignment="1" applyFont="1">
      <alignment vertical="bottom"/>
    </xf>
    <xf borderId="0" fillId="22" fontId="14" numFmtId="0" xfId="0" applyAlignment="1" applyFont="1">
      <alignment horizontal="center" readingOrder="0"/>
    </xf>
    <xf borderId="0" fillId="0" fontId="14" numFmtId="0" xfId="0" applyAlignment="1" applyFont="1">
      <alignment horizontal="center" readingOrder="0"/>
    </xf>
    <xf borderId="0" fillId="8" fontId="24" numFmtId="0" xfId="0" applyAlignment="1" applyFont="1">
      <alignment horizontal="left" readingOrder="0"/>
    </xf>
    <xf borderId="0" fillId="5" fontId="10" numFmtId="0" xfId="0" applyAlignment="1" applyFont="1">
      <alignment horizontal="left" readingOrder="0"/>
    </xf>
    <xf borderId="0" fillId="8" fontId="24" numFmtId="0" xfId="0" applyAlignment="1" applyFont="1">
      <alignment horizontal="left" readingOrder="0"/>
    </xf>
    <xf borderId="0" fillId="0" fontId="15" numFmtId="0" xfId="0" applyAlignment="1" applyFont="1">
      <alignment horizontal="center" readingOrder="0"/>
    </xf>
    <xf borderId="0" fillId="4" fontId="10" numFmtId="0" xfId="0" applyAlignment="1" applyFont="1">
      <alignment horizontal="left" readingOrder="0"/>
    </xf>
    <xf borderId="0" fillId="34" fontId="10" numFmtId="0" xfId="0" applyAlignment="1" applyFont="1">
      <alignment readingOrder="0"/>
    </xf>
    <xf borderId="0" fillId="0" fontId="189" numFmtId="0" xfId="0" applyAlignment="1" applyFont="1">
      <alignment readingOrder="0"/>
    </xf>
    <xf borderId="0" fillId="12" fontId="28" numFmtId="0" xfId="0" applyAlignment="1" applyFont="1">
      <alignment horizontal="center"/>
    </xf>
    <xf borderId="0" fillId="13" fontId="24" numFmtId="0" xfId="0" applyAlignment="1" applyFont="1">
      <alignment horizontal="left" readingOrder="0"/>
    </xf>
    <xf borderId="0" fillId="0" fontId="103" numFmtId="0" xfId="0" applyAlignment="1" applyFont="1">
      <alignment horizontal="left" readingOrder="0"/>
    </xf>
    <xf borderId="0" fillId="34" fontId="22" numFmtId="0" xfId="0" applyAlignment="1" applyFont="1">
      <alignment readingOrder="0"/>
    </xf>
    <xf borderId="0" fillId="0" fontId="28" numFmtId="0" xfId="0" applyAlignment="1" applyFont="1">
      <alignment horizontal="center"/>
    </xf>
    <xf borderId="0" fillId="0" fontId="28" numFmtId="0" xfId="0" applyAlignment="1" applyFont="1">
      <alignment horizontal="center" readingOrder="0"/>
    </xf>
    <xf borderId="0" fillId="35" fontId="147" numFmtId="0" xfId="0" applyAlignment="1" applyFill="1" applyFont="1">
      <alignment readingOrder="0"/>
    </xf>
    <xf borderId="0" fillId="0" fontId="190" numFmtId="0" xfId="0" applyAlignment="1" applyFont="1">
      <alignment readingOrder="0"/>
    </xf>
    <xf borderId="0" fillId="2" fontId="72" numFmtId="0" xfId="0" applyAlignment="1" applyFont="1">
      <alignment vertical="bottom"/>
    </xf>
    <xf borderId="0" fillId="0" fontId="24" numFmtId="0" xfId="0" applyAlignment="1" applyFont="1">
      <alignment vertical="bottom"/>
    </xf>
    <xf borderId="0" fillId="0" fontId="72" numFmtId="164" xfId="0" applyAlignment="1" applyFont="1" applyNumberFormat="1">
      <alignment vertical="bottom"/>
    </xf>
    <xf borderId="0" fillId="2" fontId="42" numFmtId="0" xfId="0" applyAlignment="1" applyFont="1">
      <alignment readingOrder="0" vertical="bottom"/>
    </xf>
    <xf borderId="0" fillId="0" fontId="191" numFmtId="0" xfId="0" applyAlignment="1" applyFont="1">
      <alignment horizontal="left" readingOrder="0"/>
    </xf>
    <xf borderId="0" fillId="0" fontId="191" numFmtId="0" xfId="0" applyAlignment="1" applyFont="1">
      <alignment horizontal="left"/>
    </xf>
    <xf borderId="0" fillId="0" fontId="191" numFmtId="0" xfId="0" applyAlignment="1" applyFont="1">
      <alignment horizontal="left"/>
    </xf>
    <xf borderId="0" fillId="18" fontId="22" numFmtId="0" xfId="0" applyAlignment="1" applyFont="1">
      <alignment vertical="bottom"/>
    </xf>
    <xf borderId="0" fillId="6" fontId="66" numFmtId="0" xfId="0" applyAlignment="1" applyFont="1">
      <alignment readingOrder="0"/>
    </xf>
    <xf borderId="0" fillId="8" fontId="150" numFmtId="0" xfId="0" applyAlignment="1" applyFont="1">
      <alignment readingOrder="0"/>
    </xf>
    <xf borderId="0" fillId="6" fontId="6" numFmtId="0" xfId="0" applyAlignment="1" applyFont="1">
      <alignment readingOrder="0"/>
    </xf>
    <xf borderId="0" fillId="13" fontId="16" numFmtId="0" xfId="0" applyAlignment="1" applyFont="1">
      <alignment readingOrder="0"/>
    </xf>
    <xf borderId="0" fillId="0" fontId="192" numFmtId="0" xfId="0" applyAlignment="1" applyFont="1">
      <alignment horizontal="left"/>
    </xf>
    <xf borderId="0" fillId="12" fontId="193" numFmtId="0" xfId="0" applyAlignment="1" applyFont="1">
      <alignment readingOrder="0"/>
    </xf>
    <xf borderId="0" fillId="0" fontId="193" numFmtId="0" xfId="0" applyFont="1"/>
    <xf borderId="0" fillId="0" fontId="188" numFmtId="0" xfId="0" applyAlignment="1" applyFont="1">
      <alignment readingOrder="0" vertical="bottom"/>
    </xf>
    <xf borderId="0" fillId="0" fontId="188" numFmtId="164" xfId="0" applyAlignment="1" applyFont="1" applyNumberFormat="1">
      <alignment horizontal="right" readingOrder="0" vertical="bottom"/>
    </xf>
    <xf borderId="0" fillId="36" fontId="10" numFmtId="0" xfId="0" applyAlignment="1" applyFill="1" applyFont="1">
      <alignment readingOrder="0" shrinkToFit="0" wrapText="0"/>
    </xf>
    <xf borderId="0" fillId="0" fontId="103" numFmtId="0" xfId="0" applyAlignment="1" applyFont="1">
      <alignment horizontal="center" readingOrder="0"/>
    </xf>
    <xf borderId="0" fillId="37" fontId="194" numFmtId="0" xfId="0" applyAlignment="1" applyFill="1" applyFont="1">
      <alignment readingOrder="0"/>
    </xf>
    <xf borderId="0" fillId="6" fontId="66" numFmtId="0" xfId="0" applyFont="1"/>
    <xf borderId="0" fillId="0" fontId="9" numFmtId="0" xfId="0" applyAlignment="1" applyFont="1">
      <alignment readingOrder="0" vertical="bottom"/>
    </xf>
    <xf borderId="0" fillId="2" fontId="9" numFmtId="164" xfId="0" applyAlignment="1" applyFont="1" applyNumberFormat="1">
      <alignment vertical="bottom"/>
    </xf>
    <xf borderId="0" fillId="0" fontId="16" numFmtId="0" xfId="0" applyAlignment="1" applyFont="1">
      <alignment readingOrder="0" shrinkToFit="0" wrapText="1"/>
    </xf>
    <xf borderId="0" fillId="0" fontId="195" numFmtId="0" xfId="0" applyAlignment="1" applyFont="1">
      <alignment readingOrder="0" vertical="top"/>
    </xf>
    <xf borderId="0" fillId="0" fontId="196" numFmtId="0" xfId="0" applyAlignment="1" applyFont="1">
      <alignment readingOrder="0"/>
    </xf>
    <xf borderId="0" fillId="8" fontId="197" numFmtId="0" xfId="0" applyAlignment="1" applyFont="1">
      <alignment readingOrder="0" vertical="top"/>
    </xf>
    <xf borderId="0" fillId="0" fontId="198" numFmtId="0" xfId="0" applyAlignment="1" applyFont="1">
      <alignment readingOrder="0" vertical="top"/>
    </xf>
    <xf borderId="0" fillId="0" fontId="195" numFmtId="0" xfId="0" applyAlignment="1" applyFont="1">
      <alignment readingOrder="0" shrinkToFit="0" vertical="top" wrapText="1"/>
    </xf>
    <xf borderId="0" fillId="14" fontId="197" numFmtId="0" xfId="0" applyAlignment="1" applyFont="1">
      <alignment readingOrder="0" vertical="top"/>
    </xf>
    <xf borderId="0" fillId="8" fontId="24" numFmtId="0" xfId="0" applyAlignment="1" applyFont="1">
      <alignment horizontal="left" readingOrder="0" shrinkToFit="0" wrapText="1"/>
    </xf>
    <xf borderId="0" fillId="0" fontId="42" numFmtId="0" xfId="0" applyAlignment="1" applyFont="1">
      <alignment horizontal="center" readingOrder="0" shrinkToFit="0" vertical="bottom" wrapText="0"/>
    </xf>
    <xf borderId="0" fillId="0" fontId="199" numFmtId="0" xfId="0" applyAlignment="1" applyFont="1">
      <alignment readingOrder="0" shrinkToFit="0" vertical="bottom" wrapText="0"/>
    </xf>
    <xf borderId="0" fillId="17" fontId="197" numFmtId="0" xfId="0" applyAlignment="1" applyFont="1">
      <alignment readingOrder="0" vertical="top"/>
    </xf>
    <xf borderId="0" fillId="8" fontId="197" numFmtId="0" xfId="0" applyAlignment="1" applyFont="1">
      <alignment vertical="top"/>
    </xf>
    <xf borderId="0" fillId="0" fontId="103" numFmtId="0" xfId="0" applyAlignment="1" applyFont="1">
      <alignment readingOrder="0" shrinkToFit="0" wrapText="1"/>
    </xf>
    <xf borderId="0" fillId="6" fontId="22" numFmtId="0" xfId="0" applyAlignment="1" applyFont="1">
      <alignment readingOrder="0" shrinkToFit="0" wrapText="1"/>
    </xf>
    <xf borderId="0" fillId="8" fontId="200" numFmtId="0" xfId="0" applyAlignment="1" applyFill="1" applyFont="1">
      <alignment readingOrder="0"/>
    </xf>
    <xf borderId="0" fillId="8" fontId="201" numFmtId="0" xfId="0" applyAlignment="1" applyFont="1">
      <alignment readingOrder="0"/>
    </xf>
  </cellXfs>
  <cellStyles count="1">
    <cellStyle xfId="0" name="Normal" builtinId="0"/>
  </cellStyles>
  <dxfs count="3">
    <dxf>
      <font/>
      <fill>
        <patternFill patternType="solid">
          <fgColor rgb="FFB0CEFF"/>
          <bgColor rgb="FFB0CEFF"/>
        </patternFill>
      </fill>
      <border/>
    </dxf>
    <dxf>
      <font/>
      <fill>
        <patternFill patternType="solid">
          <fgColor rgb="FFFFB6B6"/>
          <bgColor rgb="FFFFB6B6"/>
        </patternFill>
      </fill>
      <border/>
    </dxf>
    <dxf>
      <font/>
      <fill>
        <patternFill patternType="solid">
          <fgColor rgb="FFFFF2CC"/>
          <bgColor rgb="FFFFF2CC"/>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4" Type="http://schemas.openxmlformats.org/officeDocument/2006/relationships/worksheet" Target="worksheets/sheet5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en.wikipedia.org/w/index.php?title=Alabama_House_of_Representatives,_District_18&amp;action=edit&amp;redlink=1" TargetMode="External"/><Relationship Id="rId42" Type="http://schemas.openxmlformats.org/officeDocument/2006/relationships/hyperlink" Target="https://en.wikipedia.org/wiki/Laura_Hall_(politician)" TargetMode="External"/><Relationship Id="rId41" Type="http://schemas.openxmlformats.org/officeDocument/2006/relationships/hyperlink" Target="https://en.wikipedia.org/w/index.php?title=Alabama_House_of_Representatives,_District_19&amp;action=edit&amp;redlink=1" TargetMode="External"/><Relationship Id="rId44" Type="http://schemas.openxmlformats.org/officeDocument/2006/relationships/hyperlink" Target="https://en.wikipedia.org/wiki/Howard_Sanderford" TargetMode="External"/><Relationship Id="rId43" Type="http://schemas.openxmlformats.org/officeDocument/2006/relationships/hyperlink" Target="https://en.wikipedia.org/w/index.php?title=Alabama_House_of_Representatives,_District_20&amp;action=edit&amp;redlink=1" TargetMode="External"/><Relationship Id="rId46" Type="http://schemas.openxmlformats.org/officeDocument/2006/relationships/hyperlink" Target="https://en.wikipedia.org/w/index.php?title=Rex_Reynolds&amp;action=edit&amp;redlink=1" TargetMode="External"/><Relationship Id="rId45" Type="http://schemas.openxmlformats.org/officeDocument/2006/relationships/hyperlink" Target="https://en.wikipedia.org/w/index.php?title=Alabama_House_of_Representatives,_District_21&amp;action=edit&amp;redlink=1" TargetMode="External"/><Relationship Id="rId107" Type="http://schemas.openxmlformats.org/officeDocument/2006/relationships/hyperlink" Target="https://en.wikipedia.org/wiki/Victor_Gaston" TargetMode="External"/><Relationship Id="rId106" Type="http://schemas.openxmlformats.org/officeDocument/2006/relationships/hyperlink" Target="https://en.wikipedia.org/wiki/Mobile_County,_Alabama" TargetMode="External"/><Relationship Id="rId105" Type="http://schemas.openxmlformats.org/officeDocument/2006/relationships/hyperlink" Target="https://en.wikipedia.org/wiki/Steve_McMillan_(politician)" TargetMode="External"/><Relationship Id="rId104" Type="http://schemas.openxmlformats.org/officeDocument/2006/relationships/hyperlink" Target="https://en.wikipedia.org/wiki/Joe_Faust_(politician)" TargetMode="External"/><Relationship Id="rId109" Type="http://schemas.openxmlformats.org/officeDocument/2006/relationships/hyperlink" Target="https://en.wikipedia.org/w/index.php?title=Alabama_Senate,_District_1&amp;action=edit&amp;redlink=1" TargetMode="External"/><Relationship Id="rId108" Type="http://schemas.openxmlformats.org/officeDocument/2006/relationships/hyperlink" Target="https://en.wikipedia.org/wiki/Margie_Wilcox" TargetMode="External"/><Relationship Id="rId48" Type="http://schemas.openxmlformats.org/officeDocument/2006/relationships/hyperlink" Target="https://en.wikipedia.org/wiki/Jackson_County,_Alabama" TargetMode="External"/><Relationship Id="rId47" Type="http://schemas.openxmlformats.org/officeDocument/2006/relationships/hyperlink" Target="https://en.wikipedia.org/w/index.php?title=Ritchie_Whorton&amp;action=edit&amp;redlink=1" TargetMode="External"/><Relationship Id="rId49" Type="http://schemas.openxmlformats.org/officeDocument/2006/relationships/hyperlink" Target="https://en.wikipedia.org/w/index.php?title=Tommy_Hanes&amp;action=edit&amp;redlink=1" TargetMode="External"/><Relationship Id="rId103" Type="http://schemas.openxmlformats.org/officeDocument/2006/relationships/hyperlink" Target="https://en.wikipedia.org/wiki/Steve_Clouse" TargetMode="External"/><Relationship Id="rId102" Type="http://schemas.openxmlformats.org/officeDocument/2006/relationships/hyperlink" Target="https://en.wikipedia.org/wiki/Covington_County,_Alabama" TargetMode="External"/><Relationship Id="rId101" Type="http://schemas.openxmlformats.org/officeDocument/2006/relationships/hyperlink" Target="https://en.wikipedia.org/wiki/Geneva_County,_Alabama" TargetMode="External"/><Relationship Id="rId100" Type="http://schemas.openxmlformats.org/officeDocument/2006/relationships/hyperlink" Target="https://en.wikipedia.org/wiki/Barbour_County,_Alabama" TargetMode="External"/><Relationship Id="rId31" Type="http://schemas.openxmlformats.org/officeDocument/2006/relationships/hyperlink" Target="https://en.wikipedia.org/w/index.php?title=Tim_Wadsworth&amp;action=edit&amp;redlink=1" TargetMode="External"/><Relationship Id="rId30" Type="http://schemas.openxmlformats.org/officeDocument/2006/relationships/hyperlink" Target="https://en.wikipedia.org/w/index.php?title=Alabama_House_of_Representatives,_District_14&amp;action=edit&amp;redlink=1" TargetMode="External"/><Relationship Id="rId33" Type="http://schemas.openxmlformats.org/officeDocument/2006/relationships/hyperlink" Target="https://en.wikipedia.org/w/index.php?title=Alabama_House_of_Representatives,_District_15&amp;action=edit&amp;redlink=1" TargetMode="External"/><Relationship Id="rId32" Type="http://schemas.openxmlformats.org/officeDocument/2006/relationships/hyperlink" Target="https://en.wikipedia.org/wiki/Jefferson_County,_Alabama" TargetMode="External"/><Relationship Id="rId35" Type="http://schemas.openxmlformats.org/officeDocument/2006/relationships/hyperlink" Target="https://en.wikipedia.org/wiki/Shelby_County,_Alabama" TargetMode="External"/><Relationship Id="rId34" Type="http://schemas.openxmlformats.org/officeDocument/2006/relationships/hyperlink" Target="https://en.wikipedia.org/wiki/Allen_Farley" TargetMode="External"/><Relationship Id="rId37" Type="http://schemas.openxmlformats.org/officeDocument/2006/relationships/hyperlink" Target="https://en.wikipedia.org/w/index.php?title=Kyle_South&amp;action=edit&amp;redlink=1" TargetMode="External"/><Relationship Id="rId36" Type="http://schemas.openxmlformats.org/officeDocument/2006/relationships/hyperlink" Target="https://en.wikipedia.org/w/index.php?title=Alabama_House_of_Representatives,_District_16&amp;action=edit&amp;redlink=1" TargetMode="External"/><Relationship Id="rId39" Type="http://schemas.openxmlformats.org/officeDocument/2006/relationships/hyperlink" Target="https://en.wikipedia.org/wiki/Marion_County,_Alabama" TargetMode="External"/><Relationship Id="rId38" Type="http://schemas.openxmlformats.org/officeDocument/2006/relationships/hyperlink" Target="https://en.wikipedia.org/w/index.php?title=Alabama_House_of_Representatives,_District_17&amp;action=edit&amp;redlink=1" TargetMode="External"/><Relationship Id="rId20" Type="http://schemas.openxmlformats.org/officeDocument/2006/relationships/hyperlink" Target="https://en.wikipedia.org/wiki/Mike_Ball" TargetMode="External"/><Relationship Id="rId22" Type="http://schemas.openxmlformats.org/officeDocument/2006/relationships/hyperlink" Target="https://en.wikipedia.org/w/index.php?title=Alabama_House_of_Representatives,_District_11&amp;action=edit&amp;redlink=1" TargetMode="External"/><Relationship Id="rId21" Type="http://schemas.openxmlformats.org/officeDocument/2006/relationships/hyperlink" Target="https://en.wikipedia.org/wiki/Madison_County,_Alabama" TargetMode="External"/><Relationship Id="rId24" Type="http://schemas.openxmlformats.org/officeDocument/2006/relationships/hyperlink" Target="https://en.wikipedia.org/wiki/Blount_County,_Alabama" TargetMode="External"/><Relationship Id="rId23" Type="http://schemas.openxmlformats.org/officeDocument/2006/relationships/hyperlink" Target="https://en.wikipedia.org/wiki/Randall_Shedd" TargetMode="External"/><Relationship Id="rId129" Type="http://schemas.openxmlformats.org/officeDocument/2006/relationships/hyperlink" Target="https://en.wikipedia.org/wiki/Del_Marsh" TargetMode="External"/><Relationship Id="rId128" Type="http://schemas.openxmlformats.org/officeDocument/2006/relationships/hyperlink" Target="https://en.wikipedia.org/w/index.php?title=Alabama_Senate,_District_12&amp;action=edit&amp;redlink=1" TargetMode="External"/><Relationship Id="rId127" Type="http://schemas.openxmlformats.org/officeDocument/2006/relationships/hyperlink" Target="https://en.wikipedia.org/wiki/Jim_McClendon" TargetMode="External"/><Relationship Id="rId126" Type="http://schemas.openxmlformats.org/officeDocument/2006/relationships/hyperlink" Target="https://en.wikipedia.org/w/index.php?title=Alabama_Senate,_District_11&amp;action=edit&amp;redlink=1" TargetMode="External"/><Relationship Id="rId26" Type="http://schemas.openxmlformats.org/officeDocument/2006/relationships/hyperlink" Target="https://en.wikipedia.org/w/index.php?title=Corey_Harbison&amp;action=edit&amp;redlink=1" TargetMode="External"/><Relationship Id="rId121" Type="http://schemas.openxmlformats.org/officeDocument/2006/relationships/hyperlink" Target="https://en.wikipedia.org/w/index.php?title=Alabama_Senate,_District_8&amp;action=edit&amp;redlink=1" TargetMode="External"/><Relationship Id="rId25" Type="http://schemas.openxmlformats.org/officeDocument/2006/relationships/hyperlink" Target="https://en.wikipedia.org/w/index.php?title=Alabama_House_of_Representatives,_District_12&amp;action=edit&amp;redlink=1" TargetMode="External"/><Relationship Id="rId120" Type="http://schemas.openxmlformats.org/officeDocument/2006/relationships/hyperlink" Target="https://en.wikipedia.org/w/index.php?title=Alabama_Senate,_District_7&amp;action=edit&amp;redlink=1" TargetMode="External"/><Relationship Id="rId28" Type="http://schemas.openxmlformats.org/officeDocument/2006/relationships/hyperlink" Target="https://en.wikipedia.org/wiki/Connie_Rowe" TargetMode="External"/><Relationship Id="rId27" Type="http://schemas.openxmlformats.org/officeDocument/2006/relationships/hyperlink" Target="https://en.wikipedia.org/w/index.php?title=Alabama_House_of_Representatives,_District_13&amp;action=edit&amp;redlink=1" TargetMode="External"/><Relationship Id="rId125" Type="http://schemas.openxmlformats.org/officeDocument/2006/relationships/hyperlink" Target="https://en.wikipedia.org/w/index.php?title=Alabama_Senate,_District_10&amp;action=edit&amp;redlink=1" TargetMode="External"/><Relationship Id="rId29" Type="http://schemas.openxmlformats.org/officeDocument/2006/relationships/hyperlink" Target="https://en.wikipedia.org/wiki/Walker_County,_Alabama" TargetMode="External"/><Relationship Id="rId124" Type="http://schemas.openxmlformats.org/officeDocument/2006/relationships/hyperlink" Target="https://en.wikipedia.org/wiki/Clay_Scofield" TargetMode="External"/><Relationship Id="rId123" Type="http://schemas.openxmlformats.org/officeDocument/2006/relationships/hyperlink" Target="https://en.wikipedia.org/w/index.php?title=Alabama_Senate,_District_9&amp;action=edit&amp;redlink=1" TargetMode="External"/><Relationship Id="rId122" Type="http://schemas.openxmlformats.org/officeDocument/2006/relationships/hyperlink" Target="https://en.wikipedia.org/wiki/Steve_Livingston" TargetMode="External"/><Relationship Id="rId95" Type="http://schemas.openxmlformats.org/officeDocument/2006/relationships/hyperlink" Target="https://en.wikipedia.org/wiki/Russell_County,_Alabama" TargetMode="External"/><Relationship Id="rId94" Type="http://schemas.openxmlformats.org/officeDocument/2006/relationships/hyperlink" Target="https://en.wikipedia.org/wiki/Thad_McClammy" TargetMode="External"/><Relationship Id="rId97" Type="http://schemas.openxmlformats.org/officeDocument/2006/relationships/hyperlink" Target="https://en.wikipedia.org/wiki/Pebblin_Warren" TargetMode="External"/><Relationship Id="rId96" Type="http://schemas.openxmlformats.org/officeDocument/2006/relationships/hyperlink" Target="https://en.wikipedia.org/wiki/Tallapoosa_County,_Alabama" TargetMode="External"/><Relationship Id="rId11" Type="http://schemas.openxmlformats.org/officeDocument/2006/relationships/hyperlink" Target="https://en.wikipedia.org/w/index.php?title=Danny_Crawford_(politician)&amp;action=edit&amp;redlink=1" TargetMode="External"/><Relationship Id="rId99" Type="http://schemas.openxmlformats.org/officeDocument/2006/relationships/hyperlink" Target="https://en.wikipedia.org/wiki/Berry_Forte" TargetMode="External"/><Relationship Id="rId10" Type="http://schemas.openxmlformats.org/officeDocument/2006/relationships/hyperlink" Target="https://en.wikipedia.org/w/index.php?title=Alabama_House_of_Representatives,_District_5&amp;action=edit&amp;redlink=1" TargetMode="External"/><Relationship Id="rId98" Type="http://schemas.openxmlformats.org/officeDocument/2006/relationships/hyperlink" Target="https://en.wikipedia.org/wiki/Macon_County,_Alabama" TargetMode="External"/><Relationship Id="rId13" Type="http://schemas.openxmlformats.org/officeDocument/2006/relationships/hyperlink" Target="https://en.wikipedia.org/wiki/Madison_County,_Alabama" TargetMode="External"/><Relationship Id="rId12" Type="http://schemas.openxmlformats.org/officeDocument/2006/relationships/hyperlink" Target="https://en.wikipedia.org/w/index.php?title=Alabama_House_of_Representatives,_District_6&amp;action=edit&amp;redlink=1" TargetMode="External"/><Relationship Id="rId91" Type="http://schemas.openxmlformats.org/officeDocument/2006/relationships/hyperlink" Target="https://en.wikipedia.org/wiki/Hale_County,_Alabama" TargetMode="External"/><Relationship Id="rId90" Type="http://schemas.openxmlformats.org/officeDocument/2006/relationships/hyperlink" Target="https://en.wikipedia.org/wiki/Ralph_Anthony_Howard" TargetMode="External"/><Relationship Id="rId93" Type="http://schemas.openxmlformats.org/officeDocument/2006/relationships/hyperlink" Target="https://en.wikipedia.org/wiki/Reed_Ingram" TargetMode="External"/><Relationship Id="rId92" Type="http://schemas.openxmlformats.org/officeDocument/2006/relationships/hyperlink" Target="https://en.wikipedia.org/wiki/Dimitri_Polizos" TargetMode="External"/><Relationship Id="rId118" Type="http://schemas.openxmlformats.org/officeDocument/2006/relationships/hyperlink" Target="https://en.wikipedia.org/w/index.php?title=Alabama_Senate,_District_6&amp;action=edit&amp;redlink=1" TargetMode="External"/><Relationship Id="rId117" Type="http://schemas.openxmlformats.org/officeDocument/2006/relationships/hyperlink" Target="https://en.wikipedia.org/wiki/Greg_Reed" TargetMode="External"/><Relationship Id="rId116" Type="http://schemas.openxmlformats.org/officeDocument/2006/relationships/hyperlink" Target="https://en.wikipedia.org/w/index.php?title=Alabama_Senate,_District_5&amp;action=edit&amp;redlink=1" TargetMode="External"/><Relationship Id="rId115" Type="http://schemas.openxmlformats.org/officeDocument/2006/relationships/hyperlink" Target="https://en.wikipedia.org/w/index.php?title=Alabama_Senate,_District_4&amp;action=edit&amp;redlink=1" TargetMode="External"/><Relationship Id="rId119" Type="http://schemas.openxmlformats.org/officeDocument/2006/relationships/hyperlink" Target="https://en.wikipedia.org/wiki/Larry_Stutts" TargetMode="External"/><Relationship Id="rId15" Type="http://schemas.openxmlformats.org/officeDocument/2006/relationships/hyperlink" Target="https://en.wikipedia.org/w/index.php?title=Alabama_House_of_Representatives,_District_8&amp;action=edit&amp;redlink=1" TargetMode="External"/><Relationship Id="rId110" Type="http://schemas.openxmlformats.org/officeDocument/2006/relationships/hyperlink" Target="https://en.wikipedia.org/wiki/Tim_Melson" TargetMode="External"/><Relationship Id="rId14" Type="http://schemas.openxmlformats.org/officeDocument/2006/relationships/hyperlink" Target="https://en.wikipedia.org/w/index.php?title=Alabama_House_of_Representatives,_District_7&amp;action=edit&amp;redlink=1" TargetMode="External"/><Relationship Id="rId17" Type="http://schemas.openxmlformats.org/officeDocument/2006/relationships/hyperlink" Target="https://en.wikipedia.org/wiki/Morgan_County,_Alabama" TargetMode="External"/><Relationship Id="rId16" Type="http://schemas.openxmlformats.org/officeDocument/2006/relationships/hyperlink" Target="https://en.wikipedia.org/wiki/Terri_Collins" TargetMode="External"/><Relationship Id="rId19" Type="http://schemas.openxmlformats.org/officeDocument/2006/relationships/hyperlink" Target="https://en.wikipedia.org/w/index.php?title=Alabama_House_of_Representatives,_District_10&amp;action=edit&amp;redlink=1" TargetMode="External"/><Relationship Id="rId114" Type="http://schemas.openxmlformats.org/officeDocument/2006/relationships/hyperlink" Target="https://en.wikipedia.org/wiki/Morgan_County,_Alabama" TargetMode="External"/><Relationship Id="rId18" Type="http://schemas.openxmlformats.org/officeDocument/2006/relationships/hyperlink" Target="https://en.wikipedia.org/w/index.php?title=Alabama_House_of_Representatives,_District_9&amp;action=edit&amp;redlink=1" TargetMode="External"/><Relationship Id="rId113" Type="http://schemas.openxmlformats.org/officeDocument/2006/relationships/hyperlink" Target="https://en.wikipedia.org/wiki/Arthur_Orr" TargetMode="External"/><Relationship Id="rId112" Type="http://schemas.openxmlformats.org/officeDocument/2006/relationships/hyperlink" Target="https://en.wikipedia.org/w/index.php?title=Alabama_Senate,_District_3&amp;action=edit&amp;redlink=1" TargetMode="External"/><Relationship Id="rId111" Type="http://schemas.openxmlformats.org/officeDocument/2006/relationships/hyperlink" Target="https://en.wikipedia.org/w/index.php?title=Alabama_Senate,_District_2&amp;action=edit&amp;redlink=1" TargetMode="External"/><Relationship Id="rId84" Type="http://schemas.openxmlformats.org/officeDocument/2006/relationships/hyperlink" Target="https://en.wikipedia.org/wiki/Alan_Baker_(politician)" TargetMode="External"/><Relationship Id="rId83" Type="http://schemas.openxmlformats.org/officeDocument/2006/relationships/hyperlink" Target="https://en.wikipedia.org/wiki/Harry_Shiver" TargetMode="External"/><Relationship Id="rId86" Type="http://schemas.openxmlformats.org/officeDocument/2006/relationships/hyperlink" Target="https://en.wikipedia.org/wiki/Conecuh_County,_Alabama" TargetMode="External"/><Relationship Id="rId85" Type="http://schemas.openxmlformats.org/officeDocument/2006/relationships/hyperlink" Target="https://en.wikipedia.org/wiki/Thomas_Jackson_(Alabama_politician)" TargetMode="External"/><Relationship Id="rId88" Type="http://schemas.openxmlformats.org/officeDocument/2006/relationships/hyperlink" Target="https://en.wikipedia.org/wiki/Artis_J._McCampbell" TargetMode="External"/><Relationship Id="rId150" Type="http://schemas.openxmlformats.org/officeDocument/2006/relationships/hyperlink" Target="https://en.wikipedia.org/w/index.php?title=Alabama_Senate,_District_24&amp;action=edit&amp;redlink=1" TargetMode="External"/><Relationship Id="rId87" Type="http://schemas.openxmlformats.org/officeDocument/2006/relationships/hyperlink" Target="https://en.wikipedia.org/wiki/Christopher_J._England" TargetMode="External"/><Relationship Id="rId89" Type="http://schemas.openxmlformats.org/officeDocument/2006/relationships/hyperlink" Target="https://en.wikipedia.org/wiki/Sumter_County,_Alabama" TargetMode="External"/><Relationship Id="rId80" Type="http://schemas.openxmlformats.org/officeDocument/2006/relationships/hyperlink" Target="https://en.wikipedia.org/wiki/Mary_Moore_(politician)" TargetMode="External"/><Relationship Id="rId82" Type="http://schemas.openxmlformats.org/officeDocument/2006/relationships/hyperlink" Target="https://en.wikipedia.org/wiki/Rich_Wingo" TargetMode="External"/><Relationship Id="rId81" Type="http://schemas.openxmlformats.org/officeDocument/2006/relationships/hyperlink" Target="https://en.wikipedia.org/wiki/Juandalynn_Givan" TargetMode="External"/><Relationship Id="rId1" Type="http://schemas.openxmlformats.org/officeDocument/2006/relationships/hyperlink" Target="https://en.wikipedia.org/wiki/Alabama_House_of_Representatives,_District_1" TargetMode="External"/><Relationship Id="rId2" Type="http://schemas.openxmlformats.org/officeDocument/2006/relationships/hyperlink" Target="https://en.wikipedia.org/wiki/Lauderdale_County,_Alabama" TargetMode="External"/><Relationship Id="rId3" Type="http://schemas.openxmlformats.org/officeDocument/2006/relationships/hyperlink" Target="https://en.wikipedia.org/w/index.php?title=Alabama_House_of_Representatives,_District_2&amp;action=edit&amp;redlink=1" TargetMode="External"/><Relationship Id="rId149" Type="http://schemas.openxmlformats.org/officeDocument/2006/relationships/hyperlink" Target="https://en.wikipedia.org/w/index.php?title=Alabama_Senate,_District_23&amp;action=edit&amp;redlink=1" TargetMode="External"/><Relationship Id="rId4" Type="http://schemas.openxmlformats.org/officeDocument/2006/relationships/hyperlink" Target="https://en.wikipedia.org/wiki/Lynn_Greer_(politician)" TargetMode="External"/><Relationship Id="rId148" Type="http://schemas.openxmlformats.org/officeDocument/2006/relationships/hyperlink" Target="https://en.wikipedia.org/w/index.php?title=Greg_Albritton&amp;action=edit&amp;redlink=1" TargetMode="External"/><Relationship Id="rId9" Type="http://schemas.openxmlformats.org/officeDocument/2006/relationships/hyperlink" Target="https://en.wikipedia.org/wiki/Morgan_County,_Alabama" TargetMode="External"/><Relationship Id="rId143" Type="http://schemas.openxmlformats.org/officeDocument/2006/relationships/hyperlink" Target="https://en.wikipedia.org/w/index.php?title=Alabama_Senate,_District_20&amp;action=edit&amp;redlink=1" TargetMode="External"/><Relationship Id="rId142" Type="http://schemas.openxmlformats.org/officeDocument/2006/relationships/hyperlink" Target="https://en.wikipedia.org/wiki/Priscilla_Dunn" TargetMode="External"/><Relationship Id="rId141" Type="http://schemas.openxmlformats.org/officeDocument/2006/relationships/hyperlink" Target="https://en.wikipedia.org/w/index.php?title=Alabama_Senate,_District_19&amp;action=edit&amp;redlink=1" TargetMode="External"/><Relationship Id="rId140" Type="http://schemas.openxmlformats.org/officeDocument/2006/relationships/hyperlink" Target="https://en.wikipedia.org/wiki/Rodger_Smitherman" TargetMode="External"/><Relationship Id="rId5" Type="http://schemas.openxmlformats.org/officeDocument/2006/relationships/hyperlink" Target="https://en.wikipedia.org/wiki/Limestone_County,_Alabama" TargetMode="External"/><Relationship Id="rId147" Type="http://schemas.openxmlformats.org/officeDocument/2006/relationships/hyperlink" Target="https://en.wikipedia.org/w/index.php?title=Alabama_Senate,_District_22&amp;action=edit&amp;redlink=1" TargetMode="External"/><Relationship Id="rId6" Type="http://schemas.openxmlformats.org/officeDocument/2006/relationships/hyperlink" Target="https://en.wikipedia.org/w/index.php?title=Alabama_House_of_Representatives,_District_3&amp;action=edit&amp;redlink=1" TargetMode="External"/><Relationship Id="rId146" Type="http://schemas.openxmlformats.org/officeDocument/2006/relationships/hyperlink" Target="https://en.wikipedia.org/wiki/Gerald_Allen_(politician)" TargetMode="External"/><Relationship Id="rId7" Type="http://schemas.openxmlformats.org/officeDocument/2006/relationships/hyperlink" Target="https://en.wikipedia.org/w/index.php?title=Alabama_House_of_Representatives,_District_4&amp;action=edit&amp;redlink=1" TargetMode="External"/><Relationship Id="rId145" Type="http://schemas.openxmlformats.org/officeDocument/2006/relationships/hyperlink" Target="https://en.wikipedia.org/w/index.php?title=Alabama_Senate,_District_21&amp;action=edit&amp;redlink=1" TargetMode="External"/><Relationship Id="rId8" Type="http://schemas.openxmlformats.org/officeDocument/2006/relationships/hyperlink" Target="https://en.wikipedia.org/w/index.php?title=Parker_Moore&amp;action=edit&amp;redlink=1" TargetMode="External"/><Relationship Id="rId144" Type="http://schemas.openxmlformats.org/officeDocument/2006/relationships/hyperlink" Target="https://en.wikipedia.org/wiki/Linda_Coleman_(Alabama_politician)" TargetMode="External"/><Relationship Id="rId73" Type="http://schemas.openxmlformats.org/officeDocument/2006/relationships/hyperlink" Target="https://en.wikipedia.org/wiki/Bibb_County,_Alabama" TargetMode="External"/><Relationship Id="rId72" Type="http://schemas.openxmlformats.org/officeDocument/2006/relationships/hyperlink" Target="https://en.wikipedia.org/w/index.php?title=April_Weaver&amp;action=edit&amp;redlink=1" TargetMode="External"/><Relationship Id="rId75" Type="http://schemas.openxmlformats.org/officeDocument/2006/relationships/hyperlink" Target="https://en.wikipedia.org/wiki/John_Rogers_(Alabama_politician)" TargetMode="External"/><Relationship Id="rId74" Type="http://schemas.openxmlformats.org/officeDocument/2006/relationships/hyperlink" Target="https://en.wikipedia.org/wiki/Allen_Treadaway" TargetMode="External"/><Relationship Id="rId77" Type="http://schemas.openxmlformats.org/officeDocument/2006/relationships/hyperlink" Target="https://en.wikipedia.org/wiki/Rod_Scott" TargetMode="External"/><Relationship Id="rId76" Type="http://schemas.openxmlformats.org/officeDocument/2006/relationships/hyperlink" Target="https://en.wikipedia.org/wiki/Anthony_Daniels_(politician)" TargetMode="External"/><Relationship Id="rId79" Type="http://schemas.openxmlformats.org/officeDocument/2006/relationships/hyperlink" Target="https://en.wikipedia.org/wiki/Merika_Coleman" TargetMode="External"/><Relationship Id="rId78" Type="http://schemas.openxmlformats.org/officeDocument/2006/relationships/hyperlink" Target="https://en.wikipedia.org/w/index.php?title=Louise_Alexander&amp;action=edit&amp;redlink=1" TargetMode="External"/><Relationship Id="rId71" Type="http://schemas.openxmlformats.org/officeDocument/2006/relationships/hyperlink" Target="https://en.wikipedia.org/wiki/Jim_Carns" TargetMode="External"/><Relationship Id="rId70" Type="http://schemas.openxmlformats.org/officeDocument/2006/relationships/hyperlink" Target="https://en.wikipedia.org/w/index.php?title=David_Faulkner_(politician)&amp;action=edit&amp;redlink=1" TargetMode="External"/><Relationship Id="rId139" Type="http://schemas.openxmlformats.org/officeDocument/2006/relationships/hyperlink" Target="https://en.wikipedia.org/w/index.php?title=Alabama_Senate,_District_18&amp;action=edit&amp;redlink=1" TargetMode="External"/><Relationship Id="rId138" Type="http://schemas.openxmlformats.org/officeDocument/2006/relationships/hyperlink" Target="https://en.wikipedia.org/wiki/Blount_County,_Alabama" TargetMode="External"/><Relationship Id="rId137" Type="http://schemas.openxmlformats.org/officeDocument/2006/relationships/hyperlink" Target="https://en.wikipedia.org/wiki/Shay_Shelnutt" TargetMode="External"/><Relationship Id="rId132" Type="http://schemas.openxmlformats.org/officeDocument/2006/relationships/hyperlink" Target="https://en.wikipedia.org/wiki/Cam_Ward_(politician)" TargetMode="External"/><Relationship Id="rId131" Type="http://schemas.openxmlformats.org/officeDocument/2006/relationships/hyperlink" Target="https://en.wikipedia.org/w/index.php?title=Alabama_Senate,_District_14&amp;action=edit&amp;redlink=1" TargetMode="External"/><Relationship Id="rId130" Type="http://schemas.openxmlformats.org/officeDocument/2006/relationships/hyperlink" Target="https://en.wikipedia.org/w/index.php?title=Alabama_Senate,_District_13&amp;action=edit&amp;redlink=1" TargetMode="External"/><Relationship Id="rId136" Type="http://schemas.openxmlformats.org/officeDocument/2006/relationships/hyperlink" Target="https://en.wikipedia.org/w/index.php?title=Alabama_Senate,_District_17&amp;action=edit&amp;redlink=1" TargetMode="External"/><Relationship Id="rId135" Type="http://schemas.openxmlformats.org/officeDocument/2006/relationships/hyperlink" Target="https://en.wikipedia.org/wiki/J._T._Waggoner" TargetMode="External"/><Relationship Id="rId134" Type="http://schemas.openxmlformats.org/officeDocument/2006/relationships/hyperlink" Target="https://en.wikipedia.org/w/index.php?title=Alabama_Senate,_District_16&amp;action=edit&amp;redlink=1" TargetMode="External"/><Relationship Id="rId133" Type="http://schemas.openxmlformats.org/officeDocument/2006/relationships/hyperlink" Target="https://en.wikipedia.org/w/index.php?title=Alabama_Senate,_District_15&amp;action=edit&amp;redlink=1" TargetMode="External"/><Relationship Id="rId62" Type="http://schemas.openxmlformats.org/officeDocument/2006/relationships/hyperlink" Target="https://en.wikipedia.org/wiki/David_Standridge" TargetMode="External"/><Relationship Id="rId61" Type="http://schemas.openxmlformats.org/officeDocument/2006/relationships/hyperlink" Target="https://en.wikipedia.org/wiki/Ronald_Johnson_(Alabama_politician)" TargetMode="External"/><Relationship Id="rId64" Type="http://schemas.openxmlformats.org/officeDocument/2006/relationships/hyperlink" Target="https://en.wikipedia.org/wiki/Randy_Wood_(politician)" TargetMode="External"/><Relationship Id="rId63" Type="http://schemas.openxmlformats.org/officeDocument/2006/relationships/hyperlink" Target="https://en.wikipedia.org/wiki/Steve_Hurst" TargetMode="External"/><Relationship Id="rId66" Type="http://schemas.openxmlformats.org/officeDocument/2006/relationships/hyperlink" Target="https://en.wikipedia.org/wiki/Lee_County,_Alabama" TargetMode="External"/><Relationship Id="rId65" Type="http://schemas.openxmlformats.org/officeDocument/2006/relationships/hyperlink" Target="https://en.wikipedia.org/wiki/Bob_Fincher" TargetMode="External"/><Relationship Id="rId171" Type="http://schemas.openxmlformats.org/officeDocument/2006/relationships/drawing" Target="../drawings/drawing2.xml"/><Relationship Id="rId68" Type="http://schemas.openxmlformats.org/officeDocument/2006/relationships/hyperlink" Target="https://en.wikipedia.org/wiki/Jimmy_Martin_(politician)" TargetMode="External"/><Relationship Id="rId170" Type="http://schemas.openxmlformats.org/officeDocument/2006/relationships/hyperlink" Target="https://en.wikipedia.org/w/index.php?title=Alabama_Senate,_District_35&amp;action=edit&amp;redlink=1" TargetMode="External"/><Relationship Id="rId67" Type="http://schemas.openxmlformats.org/officeDocument/2006/relationships/hyperlink" Target="https://en.wikipedia.org/wiki/Cherokee_County,_Alabama" TargetMode="External"/><Relationship Id="rId60" Type="http://schemas.openxmlformats.org/officeDocument/2006/relationships/hyperlink" Target="https://en.wikipedia.org/wiki/Talladega_County,_Alabama" TargetMode="External"/><Relationship Id="rId165" Type="http://schemas.openxmlformats.org/officeDocument/2006/relationships/hyperlink" Target="https://en.wikipedia.org/wiki/Baldwin_County,_Alabama" TargetMode="External"/><Relationship Id="rId69" Type="http://schemas.openxmlformats.org/officeDocument/2006/relationships/hyperlink" Target="https://en.wikipedia.org/wiki/Chilton_County,_Alabama" TargetMode="External"/><Relationship Id="rId164" Type="http://schemas.openxmlformats.org/officeDocument/2006/relationships/hyperlink" Target="https://en.wikipedia.org/w/index.php?title=Alabama_Senate,_District_32&amp;action=edit&amp;redlink=1" TargetMode="External"/><Relationship Id="rId163" Type="http://schemas.openxmlformats.org/officeDocument/2006/relationships/hyperlink" Target="https://en.wikipedia.org/wiki/Jimmy_Holley" TargetMode="External"/><Relationship Id="rId162" Type="http://schemas.openxmlformats.org/officeDocument/2006/relationships/hyperlink" Target="https://en.wikipedia.org/w/index.php?title=Alabama_Senate,_District_31&amp;action=edit&amp;redlink=1" TargetMode="External"/><Relationship Id="rId169" Type="http://schemas.openxmlformats.org/officeDocument/2006/relationships/hyperlink" Target="https://en.wikipedia.org/w/index.php?title=Alabama_Senate,_District_34&amp;action=edit&amp;redlink=1" TargetMode="External"/><Relationship Id="rId168" Type="http://schemas.openxmlformats.org/officeDocument/2006/relationships/hyperlink" Target="https://en.wikipedia.org/wiki/Mobile_County,_Alabama" TargetMode="External"/><Relationship Id="rId167" Type="http://schemas.openxmlformats.org/officeDocument/2006/relationships/hyperlink" Target="https://en.wikipedia.org/wiki/Vivian_Davis_Figures" TargetMode="External"/><Relationship Id="rId166" Type="http://schemas.openxmlformats.org/officeDocument/2006/relationships/hyperlink" Target="https://en.wikipedia.org/w/index.php?title=Alabama_Senate,_District_33&amp;action=edit&amp;redlink=1" TargetMode="External"/><Relationship Id="rId51" Type="http://schemas.openxmlformats.org/officeDocument/2006/relationships/hyperlink" Target="https://en.wikipedia.org/wiki/Nathaniel_Ledbetter" TargetMode="External"/><Relationship Id="rId50" Type="http://schemas.openxmlformats.org/officeDocument/2006/relationships/hyperlink" Target="https://en.wikipedia.org/wiki/DeKalb_County,_Alabama" TargetMode="External"/><Relationship Id="rId53" Type="http://schemas.openxmlformats.org/officeDocument/2006/relationships/hyperlink" Target="https://en.wikipedia.org/w/index.php?title=Kerry_Rich&amp;action=edit&amp;redlink=1" TargetMode="External"/><Relationship Id="rId52" Type="http://schemas.openxmlformats.org/officeDocument/2006/relationships/hyperlink" Target="https://en.wikipedia.org/wiki/Mac_McCutcheon_(Alabama_politician)" TargetMode="External"/><Relationship Id="rId55" Type="http://schemas.openxmlformats.org/officeDocument/2006/relationships/hyperlink" Target="https://en.wikipedia.org/wiki/Becky_Nordgren" TargetMode="External"/><Relationship Id="rId161" Type="http://schemas.openxmlformats.org/officeDocument/2006/relationships/hyperlink" Target="https://en.wikipedia.org/wiki/Clyde_Chambliss" TargetMode="External"/><Relationship Id="rId54" Type="http://schemas.openxmlformats.org/officeDocument/2006/relationships/hyperlink" Target="https://en.wikipedia.org/wiki/Etowah_County,_Alabama" TargetMode="External"/><Relationship Id="rId160" Type="http://schemas.openxmlformats.org/officeDocument/2006/relationships/hyperlink" Target="https://en.wikipedia.org/w/index.php?title=Alabama_Senate,_District_30&amp;action=edit&amp;redlink=1" TargetMode="External"/><Relationship Id="rId57" Type="http://schemas.openxmlformats.org/officeDocument/2006/relationships/hyperlink" Target="https://en.wikipedia.org/wiki/St._Clair_County,_Alabama" TargetMode="External"/><Relationship Id="rId56" Type="http://schemas.openxmlformats.org/officeDocument/2006/relationships/hyperlink" Target="https://en.wikipedia.org/wiki/Calhoun_County,_Alabama" TargetMode="External"/><Relationship Id="rId159" Type="http://schemas.openxmlformats.org/officeDocument/2006/relationships/hyperlink" Target="https://en.wikipedia.org/w/index.php?title=Alabama_Senate,_District_29&amp;action=edit&amp;redlink=1" TargetMode="External"/><Relationship Id="rId59" Type="http://schemas.openxmlformats.org/officeDocument/2006/relationships/hyperlink" Target="https://en.wikipedia.org/wiki/Barbara_Boyd_(politician)" TargetMode="External"/><Relationship Id="rId154" Type="http://schemas.openxmlformats.org/officeDocument/2006/relationships/hyperlink" Target="https://en.wikipedia.org/w/index.php?title=David_Burkette&amp;action=edit&amp;redlink=1" TargetMode="External"/><Relationship Id="rId58" Type="http://schemas.openxmlformats.org/officeDocument/2006/relationships/hyperlink" Target="https://en.wikipedia.org/wiki/Mike_Holmes_(politician)" TargetMode="External"/><Relationship Id="rId153" Type="http://schemas.openxmlformats.org/officeDocument/2006/relationships/hyperlink" Target="https://en.wikipedia.org/w/index.php?title=Alabama_Senate,_District_26&amp;action=edit&amp;redlink=1" TargetMode="External"/><Relationship Id="rId152" Type="http://schemas.openxmlformats.org/officeDocument/2006/relationships/hyperlink" Target="https://en.wikipedia.org/w/index.php?title=Alabama_Senate,_District_25&amp;action=edit&amp;redlink=1" TargetMode="External"/><Relationship Id="rId151" Type="http://schemas.openxmlformats.org/officeDocument/2006/relationships/hyperlink" Target="https://en.wikipedia.org/wiki/Bobby_Singleton_(politician)" TargetMode="External"/><Relationship Id="rId158" Type="http://schemas.openxmlformats.org/officeDocument/2006/relationships/hyperlink" Target="https://en.wikipedia.org/wiki/Billy_Beasley" TargetMode="External"/><Relationship Id="rId157" Type="http://schemas.openxmlformats.org/officeDocument/2006/relationships/hyperlink" Target="https://en.wikipedia.org/w/index.php?title=Alabama_Senate,_District_28&amp;action=edit&amp;redlink=1" TargetMode="External"/><Relationship Id="rId156" Type="http://schemas.openxmlformats.org/officeDocument/2006/relationships/hyperlink" Target="https://en.wikipedia.org/w/index.php?title=Tom_Whatley&amp;action=edit&amp;redlink=1" TargetMode="External"/><Relationship Id="rId155" Type="http://schemas.openxmlformats.org/officeDocument/2006/relationships/hyperlink" Target="https://en.wikipedia.org/w/index.php?title=Alabama_Senate,_District_27&amp;action=edit&amp;redlink=1"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en.wikipedia.org/wiki/Dan_Ortiz_(politician)" TargetMode="External"/><Relationship Id="rId42" Type="http://schemas.openxmlformats.org/officeDocument/2006/relationships/hyperlink" Target="https://en.wikipedia.org/wiki/Bryce_Edgmon" TargetMode="External"/><Relationship Id="rId41" Type="http://schemas.openxmlformats.org/officeDocument/2006/relationships/hyperlink" Target="https://en.wikipedia.org/wiki/Ketchikan,_Alaska" TargetMode="External"/><Relationship Id="rId44" Type="http://schemas.openxmlformats.org/officeDocument/2006/relationships/hyperlink" Target="https://en.wikipedia.org/wiki/Tiffany_Zulkosky" TargetMode="External"/><Relationship Id="rId43" Type="http://schemas.openxmlformats.org/officeDocument/2006/relationships/hyperlink" Target="https://en.wikipedia.org/wiki/Dillingham,_Alaska" TargetMode="External"/><Relationship Id="rId46" Type="http://schemas.openxmlformats.org/officeDocument/2006/relationships/hyperlink" Target="https://en.wikipedia.org/wiki/Neal_Foster" TargetMode="External"/><Relationship Id="rId45" Type="http://schemas.openxmlformats.org/officeDocument/2006/relationships/hyperlink" Target="https://en.wikipedia.org/wiki/Bethel,_Alaska" TargetMode="External"/><Relationship Id="rId48" Type="http://schemas.openxmlformats.org/officeDocument/2006/relationships/hyperlink" Target="https://en.wikipedia.org/w/index.php?title=John_Lincoln_(politician)&amp;action=edit&amp;redlink=1" TargetMode="External"/><Relationship Id="rId47" Type="http://schemas.openxmlformats.org/officeDocument/2006/relationships/hyperlink" Target="https://en.wikipedia.org/wiki/Nome,_Alaska" TargetMode="External"/><Relationship Id="rId49" Type="http://schemas.openxmlformats.org/officeDocument/2006/relationships/hyperlink" Target="https://en.wikipedia.org/wiki/Kotzebue,_Alaska" TargetMode="External"/><Relationship Id="rId31" Type="http://schemas.openxmlformats.org/officeDocument/2006/relationships/hyperlink" Target="https://en.wikipedia.org/wiki/Gary_Knopp" TargetMode="External"/><Relationship Id="rId30" Type="http://schemas.openxmlformats.org/officeDocument/2006/relationships/hyperlink" Target="https://en.wikipedia.org/wiki/Nikiski,_Alaska" TargetMode="External"/><Relationship Id="rId33" Type="http://schemas.openxmlformats.org/officeDocument/2006/relationships/hyperlink" Target="https://en.wikipedia.org/wiki/Homer,_Alaska" TargetMode="External"/><Relationship Id="rId32" Type="http://schemas.openxmlformats.org/officeDocument/2006/relationships/hyperlink" Target="https://en.wikipedia.org/wiki/Soldotna,_Alaska" TargetMode="External"/><Relationship Id="rId35" Type="http://schemas.openxmlformats.org/officeDocument/2006/relationships/hyperlink" Target="https://en.wikipedia.org/wiki/Kodiak,_Alaska" TargetMode="External"/><Relationship Id="rId34" Type="http://schemas.openxmlformats.org/officeDocument/2006/relationships/hyperlink" Target="https://en.wikipedia.org/wiki/Louise_Stutes" TargetMode="External"/><Relationship Id="rId37" Type="http://schemas.openxmlformats.org/officeDocument/2006/relationships/hyperlink" Target="https://en.wikipedia.org/wiki/Juneau,_Alaska" TargetMode="External"/><Relationship Id="rId36" Type="http://schemas.openxmlformats.org/officeDocument/2006/relationships/hyperlink" Target="https://en.wikipedia.org/wiki/Sam_Kito_III" TargetMode="External"/><Relationship Id="rId39" Type="http://schemas.openxmlformats.org/officeDocument/2006/relationships/hyperlink" Target="https://en.wikipedia.org/wiki/Sitka,_Alaska" TargetMode="External"/><Relationship Id="rId38" Type="http://schemas.openxmlformats.org/officeDocument/2006/relationships/hyperlink" Target="https://en.wikipedia.org/wiki/Jonathan_Kreiss-Tomkins" TargetMode="External"/><Relationship Id="rId20" Type="http://schemas.openxmlformats.org/officeDocument/2006/relationships/hyperlink" Target="https://en.wikipedia.org/wiki/Anchorage,_Alaska" TargetMode="External"/><Relationship Id="rId22" Type="http://schemas.openxmlformats.org/officeDocument/2006/relationships/hyperlink" Target="https://en.wikipedia.org/wiki/Andy_Josephson" TargetMode="External"/><Relationship Id="rId21" Type="http://schemas.openxmlformats.org/officeDocument/2006/relationships/hyperlink" Target="https://en.wikipedia.org/wiki/Ivy_Spohnholz" TargetMode="External"/><Relationship Id="rId24" Type="http://schemas.openxmlformats.org/officeDocument/2006/relationships/hyperlink" Target="https://en.wikipedia.org/wiki/Geran_Tarr" TargetMode="External"/><Relationship Id="rId23" Type="http://schemas.openxmlformats.org/officeDocument/2006/relationships/hyperlink" Target="https://en.wikipedia.org/wiki/Harriet_Drummond" TargetMode="External"/><Relationship Id="rId26" Type="http://schemas.openxmlformats.org/officeDocument/2006/relationships/hyperlink" Target="https://en.wikipedia.org/wiki/Chris_Tuck" TargetMode="External"/><Relationship Id="rId25" Type="http://schemas.openxmlformats.org/officeDocument/2006/relationships/hyperlink" Target="https://en.wikipedia.org/wiki/Matt_Claman" TargetMode="External"/><Relationship Id="rId28" Type="http://schemas.openxmlformats.org/officeDocument/2006/relationships/hyperlink" Target="https://en.wikipedia.org/wiki/Lance_Pruitt" TargetMode="External"/><Relationship Id="rId27" Type="http://schemas.openxmlformats.org/officeDocument/2006/relationships/hyperlink" Target="https://en.wikipedia.org/w/index.php?title=Chuck_Kopp&amp;action=edit&amp;redlink=1" TargetMode="External"/><Relationship Id="rId29" Type="http://schemas.openxmlformats.org/officeDocument/2006/relationships/hyperlink" Target="https://en.wikipedia.org/w/index.php?title=Jennifer_Johnston_(politician)&amp;action=edit&amp;redlink=1" TargetMode="External"/><Relationship Id="rId11" Type="http://schemas.openxmlformats.org/officeDocument/2006/relationships/hyperlink" Target="https://en.wikipedia.org/wiki/Mark_Neuman" TargetMode="External"/><Relationship Id="rId10" Type="http://schemas.openxmlformats.org/officeDocument/2006/relationships/hyperlink" Target="https://en.wikipedia.org/wiki/Wasilla,_Alaska" TargetMode="External"/><Relationship Id="rId13" Type="http://schemas.openxmlformats.org/officeDocument/2006/relationships/hyperlink" Target="https://en.wikipedia.org/w/index.php?title=George_Rauscher&amp;action=edit&amp;redlink=1" TargetMode="External"/><Relationship Id="rId12" Type="http://schemas.openxmlformats.org/officeDocument/2006/relationships/hyperlink" Target="https://en.wikipedia.org/wiki/Big_Lake,_Alaska" TargetMode="External"/><Relationship Id="rId15" Type="http://schemas.openxmlformats.org/officeDocument/2006/relationships/hyperlink" Target="https://en.wikipedia.org/wiki/David_Eastman_(politician)" TargetMode="External"/><Relationship Id="rId14" Type="http://schemas.openxmlformats.org/officeDocument/2006/relationships/hyperlink" Target="https://en.wikipedia.org/wiki/Palmer,_Alaska" TargetMode="External"/><Relationship Id="rId17" Type="http://schemas.openxmlformats.org/officeDocument/2006/relationships/hyperlink" Target="https://en.wikipedia.org/wiki/Cathy_Tilton" TargetMode="External"/><Relationship Id="rId16" Type="http://schemas.openxmlformats.org/officeDocument/2006/relationships/hyperlink" Target="https://en.wikipedia.org/wiki/DeLena_Johnson" TargetMode="External"/><Relationship Id="rId19" Type="http://schemas.openxmlformats.org/officeDocument/2006/relationships/hyperlink" Target="https://en.wikipedia.org/wiki/Gabrielle_LeDoux" TargetMode="External"/><Relationship Id="rId18" Type="http://schemas.openxmlformats.org/officeDocument/2006/relationships/hyperlink" Target="https://en.wikipedia.org/wiki/Eagle_River,_Alaska" TargetMode="External"/><Relationship Id="rId1" Type="http://schemas.openxmlformats.org/officeDocument/2006/relationships/hyperlink" Target="https://en.wikipedia.org/wiki/Scott_Kawasaki" TargetMode="External"/><Relationship Id="rId2" Type="http://schemas.openxmlformats.org/officeDocument/2006/relationships/hyperlink" Target="https://en.wikipedia.org/wiki/Fairbanks,_Alaska" TargetMode="External"/><Relationship Id="rId3" Type="http://schemas.openxmlformats.org/officeDocument/2006/relationships/hyperlink" Target="https://en.wikipedia.org/wiki/Steve_M._Thompson" TargetMode="External"/><Relationship Id="rId4" Type="http://schemas.openxmlformats.org/officeDocument/2006/relationships/hyperlink" Target="https://en.wikipedia.org/wiki/Tammie_Wilson" TargetMode="External"/><Relationship Id="rId9" Type="http://schemas.openxmlformats.org/officeDocument/2006/relationships/hyperlink" Target="https://en.wikipedia.org/w/index.php?title=Colleen_Sullivan-Leonard&amp;action=edit&amp;redlink=1" TargetMode="External"/><Relationship Id="rId5" Type="http://schemas.openxmlformats.org/officeDocument/2006/relationships/hyperlink" Target="https://en.wikipedia.org/wiki/North_Pole,_Alaska" TargetMode="External"/><Relationship Id="rId6" Type="http://schemas.openxmlformats.org/officeDocument/2006/relationships/hyperlink" Target="https://en.wikipedia.org/wiki/Adam_Wool" TargetMode="External"/><Relationship Id="rId7" Type="http://schemas.openxmlformats.org/officeDocument/2006/relationships/hyperlink" Target="https://en.wikipedia.org/wiki/Dave_Talerico" TargetMode="External"/><Relationship Id="rId8" Type="http://schemas.openxmlformats.org/officeDocument/2006/relationships/hyperlink" Target="https://en.wikipedia.org/wiki/Healy,_Alaska" TargetMode="External"/><Relationship Id="rId73" Type="http://schemas.openxmlformats.org/officeDocument/2006/relationships/hyperlink" Target="https://en.wikipedia.org/wiki/Lyman_Hoffman" TargetMode="External"/><Relationship Id="rId72" Type="http://schemas.openxmlformats.org/officeDocument/2006/relationships/hyperlink" Target="https://en.wikipedia.org/wiki/Sitka,_Alaska" TargetMode="External"/><Relationship Id="rId75" Type="http://schemas.openxmlformats.org/officeDocument/2006/relationships/hyperlink" Target="https://en.wikipedia.org/wiki/Donny_Olson" TargetMode="External"/><Relationship Id="rId74" Type="http://schemas.openxmlformats.org/officeDocument/2006/relationships/hyperlink" Target="https://en.wikipedia.org/wiki/Bethel,_Alaska" TargetMode="External"/><Relationship Id="rId77" Type="http://schemas.openxmlformats.org/officeDocument/2006/relationships/drawing" Target="../drawings/drawing3.xml"/><Relationship Id="rId76" Type="http://schemas.openxmlformats.org/officeDocument/2006/relationships/hyperlink" Target="https://en.wikipedia.org/wiki/Golovin,_Alaska" TargetMode="External"/><Relationship Id="rId71" Type="http://schemas.openxmlformats.org/officeDocument/2006/relationships/hyperlink" Target="https://en.wikipedia.org/wiki/Bert_Stedman" TargetMode="External"/><Relationship Id="rId70" Type="http://schemas.openxmlformats.org/officeDocument/2006/relationships/hyperlink" Target="https://en.wikipedia.org/wiki/Juneau,_Alaska" TargetMode="External"/><Relationship Id="rId62" Type="http://schemas.openxmlformats.org/officeDocument/2006/relationships/hyperlink" Target="https://en.wikipedia.org/wiki/Tom_Begich" TargetMode="External"/><Relationship Id="rId61" Type="http://schemas.openxmlformats.org/officeDocument/2006/relationships/hyperlink" Target="https://en.wikipedia.org/wiki/Anchorage,_Alaska" TargetMode="External"/><Relationship Id="rId64" Type="http://schemas.openxmlformats.org/officeDocument/2006/relationships/hyperlink" Target="https://en.wikipedia.org/wiki/Natasha_von_Imhof" TargetMode="External"/><Relationship Id="rId63" Type="http://schemas.openxmlformats.org/officeDocument/2006/relationships/hyperlink" Target="https://en.wikipedia.org/wiki/Mia_Costello" TargetMode="External"/><Relationship Id="rId66" Type="http://schemas.openxmlformats.org/officeDocument/2006/relationships/hyperlink" Target="https://en.wikipedia.org/wiki/Peter_Micciche" TargetMode="External"/><Relationship Id="rId65" Type="http://schemas.openxmlformats.org/officeDocument/2006/relationships/hyperlink" Target="https://en.wikipedia.org/wiki/Cathy_Giessel" TargetMode="External"/><Relationship Id="rId68" Type="http://schemas.openxmlformats.org/officeDocument/2006/relationships/hyperlink" Target="https://en.wikipedia.org/wiki/Gary_Stevens_(politician)" TargetMode="External"/><Relationship Id="rId67" Type="http://schemas.openxmlformats.org/officeDocument/2006/relationships/hyperlink" Target="https://en.wikipedia.org/wiki/Soldotna,_Alaska" TargetMode="External"/><Relationship Id="rId60" Type="http://schemas.openxmlformats.org/officeDocument/2006/relationships/hyperlink" Target="https://en.wikipedia.org/wiki/Bill_Wielechowski" TargetMode="External"/><Relationship Id="rId69" Type="http://schemas.openxmlformats.org/officeDocument/2006/relationships/hyperlink" Target="https://en.wikipedia.org/wiki/Kodiak,_Alaska" TargetMode="External"/><Relationship Id="rId51" Type="http://schemas.openxmlformats.org/officeDocument/2006/relationships/hyperlink" Target="https://en.wikipedia.org/wiki/Fairbanks,_Alaska" TargetMode="External"/><Relationship Id="rId50" Type="http://schemas.openxmlformats.org/officeDocument/2006/relationships/hyperlink" Target="https://en.wikipedia.org/wiki/Pete_Kelly_(Alaska_politician)" TargetMode="External"/><Relationship Id="rId53" Type="http://schemas.openxmlformats.org/officeDocument/2006/relationships/hyperlink" Target="https://en.wikipedia.org/wiki/North_Pole,_Alaska" TargetMode="External"/><Relationship Id="rId52" Type="http://schemas.openxmlformats.org/officeDocument/2006/relationships/hyperlink" Target="https://en.wikipedia.org/wiki/John_Coghill" TargetMode="External"/><Relationship Id="rId55" Type="http://schemas.openxmlformats.org/officeDocument/2006/relationships/hyperlink" Target="https://en.wikipedia.org/wiki/David_S._Wilson" TargetMode="External"/><Relationship Id="rId54" Type="http://schemas.openxmlformats.org/officeDocument/2006/relationships/hyperlink" Target="https://en.wikipedia.org/wiki/Click_Bishop" TargetMode="External"/><Relationship Id="rId57" Type="http://schemas.openxmlformats.org/officeDocument/2006/relationships/hyperlink" Target="https://en.wikipedia.org/wiki/Shelley_Hughes" TargetMode="External"/><Relationship Id="rId56" Type="http://schemas.openxmlformats.org/officeDocument/2006/relationships/hyperlink" Target="https://en.wikipedia.org/wiki/Mike_Shower" TargetMode="External"/><Relationship Id="rId59" Type="http://schemas.openxmlformats.org/officeDocument/2006/relationships/hyperlink" Target="https://en.wikipedia.org/wiki/Eagle_River,_Alaska" TargetMode="External"/><Relationship Id="rId58" Type="http://schemas.openxmlformats.org/officeDocument/2006/relationships/hyperlink" Target="https://en.wikipedia.org/wiki/Palmer,_Alaska"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en.wikipedia.org/wiki/Kirsten_Engel" TargetMode="External"/><Relationship Id="rId190" Type="http://schemas.openxmlformats.org/officeDocument/2006/relationships/hyperlink" Target="https://en.wikipedia.org/wiki/Kate_Brophy_McGee" TargetMode="External"/><Relationship Id="rId42" Type="http://schemas.openxmlformats.org/officeDocument/2006/relationships/hyperlink" Target="https://en.wikipedia.org/wiki/Tucson,_Arizona" TargetMode="External"/><Relationship Id="rId41" Type="http://schemas.openxmlformats.org/officeDocument/2006/relationships/hyperlink" Target="https://en.wikipedia.org/wiki/Tucson,_Arizona" TargetMode="External"/><Relationship Id="rId44" Type="http://schemas.openxmlformats.org/officeDocument/2006/relationships/hyperlink" Target="https://en.wikipedia.org/wiki/Saddlebrooke,_Arizona" TargetMode="External"/><Relationship Id="rId194" Type="http://schemas.openxmlformats.org/officeDocument/2006/relationships/hyperlink" Target="https://en.wikipedia.org/wiki/Phoenix,_Arizona" TargetMode="External"/><Relationship Id="rId43" Type="http://schemas.openxmlformats.org/officeDocument/2006/relationships/hyperlink" Target="https://en.wikipedia.org/wiki/Arizona_11th_Legislative_District" TargetMode="External"/><Relationship Id="rId193" Type="http://schemas.openxmlformats.org/officeDocument/2006/relationships/hyperlink" Target="https://en.wikipedia.org/wiki/Martin_Quezada" TargetMode="External"/><Relationship Id="rId46" Type="http://schemas.openxmlformats.org/officeDocument/2006/relationships/hyperlink" Target="https://en.wikipedia.org/wiki/Oro_Valley,_Arizona" TargetMode="External"/><Relationship Id="rId192" Type="http://schemas.openxmlformats.org/officeDocument/2006/relationships/hyperlink" Target="https://en.wikipedia.org/wiki/Arizona_29th_Legislative_District" TargetMode="External"/><Relationship Id="rId45" Type="http://schemas.openxmlformats.org/officeDocument/2006/relationships/hyperlink" Target="https://en.wikipedia.org/wiki/Mark_Finchem" TargetMode="External"/><Relationship Id="rId191" Type="http://schemas.openxmlformats.org/officeDocument/2006/relationships/hyperlink" Target="https://en.wikipedia.org/wiki/Phoenix,_Arizona" TargetMode="External"/><Relationship Id="rId48" Type="http://schemas.openxmlformats.org/officeDocument/2006/relationships/hyperlink" Target="https://en.wikipedia.org/wiki/Travis_Grantham" TargetMode="External"/><Relationship Id="rId187" Type="http://schemas.openxmlformats.org/officeDocument/2006/relationships/hyperlink" Target="https://en.wikipedia.org/wiki/Arizona_27th_Legislative_District" TargetMode="External"/><Relationship Id="rId47" Type="http://schemas.openxmlformats.org/officeDocument/2006/relationships/hyperlink" Target="https://en.wikipedia.org/wiki/Arizona_12th_Legislative_District" TargetMode="External"/><Relationship Id="rId186" Type="http://schemas.openxmlformats.org/officeDocument/2006/relationships/hyperlink" Target="https://en.wikipedia.org/wiki/Tempe,_Arizona" TargetMode="External"/><Relationship Id="rId185" Type="http://schemas.openxmlformats.org/officeDocument/2006/relationships/hyperlink" Target="https://en.wikipedia.org/wiki/Juan_Mendez_(politician)" TargetMode="External"/><Relationship Id="rId49" Type="http://schemas.openxmlformats.org/officeDocument/2006/relationships/hyperlink" Target="https://en.wikipedia.org/wiki/Gilbert,_Arizona" TargetMode="External"/><Relationship Id="rId184" Type="http://schemas.openxmlformats.org/officeDocument/2006/relationships/hyperlink" Target="https://en.wikipedia.org/wiki/Arizona_26th_Legislative_District" TargetMode="External"/><Relationship Id="rId189" Type="http://schemas.openxmlformats.org/officeDocument/2006/relationships/hyperlink" Target="https://en.wikipedia.org/wiki/Arizona_28th_Legislative_District" TargetMode="External"/><Relationship Id="rId188" Type="http://schemas.openxmlformats.org/officeDocument/2006/relationships/hyperlink" Target="https://en.wikipedia.org/wiki/Phoenix,_Arizona" TargetMode="External"/><Relationship Id="rId31" Type="http://schemas.openxmlformats.org/officeDocument/2006/relationships/hyperlink" Target="https://en.wikipedia.org/wiki/Chinle,_Arizona" TargetMode="External"/><Relationship Id="rId30" Type="http://schemas.openxmlformats.org/officeDocument/2006/relationships/hyperlink" Target="https://en.wikipedia.org/wiki/Window_Rock,_Arizona" TargetMode="External"/><Relationship Id="rId33" Type="http://schemas.openxmlformats.org/officeDocument/2006/relationships/hyperlink" Target="https://en.wikipedia.org/wiki/Casa_Grande,_Arizona" TargetMode="External"/><Relationship Id="rId183" Type="http://schemas.openxmlformats.org/officeDocument/2006/relationships/hyperlink" Target="https://en.wikipedia.org/wiki/Mesa,_Arizona" TargetMode="External"/><Relationship Id="rId32" Type="http://schemas.openxmlformats.org/officeDocument/2006/relationships/hyperlink" Target="https://en.wikipedia.org/wiki/Arizona_8th_Legislative_District" TargetMode="External"/><Relationship Id="rId182" Type="http://schemas.openxmlformats.org/officeDocument/2006/relationships/hyperlink" Target="https://en.wikipedia.org/wiki/Arizona_25th_Legislative_District" TargetMode="External"/><Relationship Id="rId35" Type="http://schemas.openxmlformats.org/officeDocument/2006/relationships/hyperlink" Target="https://en.wikipedia.org/wiki/Arizona_9th_Legislative_District" TargetMode="External"/><Relationship Id="rId181" Type="http://schemas.openxmlformats.org/officeDocument/2006/relationships/hyperlink" Target="https://en.wikipedia.org/wiki/Phoenix,_Arizona" TargetMode="External"/><Relationship Id="rId34" Type="http://schemas.openxmlformats.org/officeDocument/2006/relationships/hyperlink" Target="https://en.wikipedia.org/wiki/Coolidge,_Arizona" TargetMode="External"/><Relationship Id="rId180" Type="http://schemas.openxmlformats.org/officeDocument/2006/relationships/hyperlink" Target="https://en.wikipedia.org/wiki/Arizona_24th_Legislative_District" TargetMode="External"/><Relationship Id="rId37" Type="http://schemas.openxmlformats.org/officeDocument/2006/relationships/hyperlink" Target="https://en.wikipedia.org/wiki/Randall_Friese" TargetMode="External"/><Relationship Id="rId176" Type="http://schemas.openxmlformats.org/officeDocument/2006/relationships/hyperlink" Target="https://en.wikipedia.org/wiki/Arizona_22nd_Legislative_District" TargetMode="External"/><Relationship Id="rId36" Type="http://schemas.openxmlformats.org/officeDocument/2006/relationships/hyperlink" Target="https://en.wikipedia.org/wiki/Tucson,_Arizona" TargetMode="External"/><Relationship Id="rId175" Type="http://schemas.openxmlformats.org/officeDocument/2006/relationships/hyperlink" Target="https://en.wikipedia.org/wiki/Sun_City,_Arizona" TargetMode="External"/><Relationship Id="rId39" Type="http://schemas.openxmlformats.org/officeDocument/2006/relationships/hyperlink" Target="https://en.wikipedia.org/wiki/Arizona_10th_Legislative_District" TargetMode="External"/><Relationship Id="rId174" Type="http://schemas.openxmlformats.org/officeDocument/2006/relationships/hyperlink" Target="https://en.wikipedia.org/wiki/Rick_Gray_(Arizona_politician)" TargetMode="External"/><Relationship Id="rId38" Type="http://schemas.openxmlformats.org/officeDocument/2006/relationships/hyperlink" Target="https://en.wikipedia.org/wiki/Tucson,_Arizona" TargetMode="External"/><Relationship Id="rId173" Type="http://schemas.openxmlformats.org/officeDocument/2006/relationships/hyperlink" Target="https://en.wikipedia.org/wiki/Arizona_21st_Legislative_District" TargetMode="External"/><Relationship Id="rId179" Type="http://schemas.openxmlformats.org/officeDocument/2006/relationships/hyperlink" Target="https://en.wikipedia.org/wiki/Fountain_Hills,_Arizona" TargetMode="External"/><Relationship Id="rId178" Type="http://schemas.openxmlformats.org/officeDocument/2006/relationships/hyperlink" Target="https://en.wikipedia.org/wiki/Arizona_23rd_Legislative_District" TargetMode="External"/><Relationship Id="rId177" Type="http://schemas.openxmlformats.org/officeDocument/2006/relationships/hyperlink" Target="https://en.wikipedia.org/wiki/Sun_City_West,_Arizona" TargetMode="External"/><Relationship Id="rId20" Type="http://schemas.openxmlformats.org/officeDocument/2006/relationships/hyperlink" Target="https://en.wikipedia.org/wiki/Goodyear,_Arizona" TargetMode="External"/><Relationship Id="rId22" Type="http://schemas.openxmlformats.org/officeDocument/2006/relationships/hyperlink" Target="https://en.wikipedia.org/wiki/Lake_Havasu_City,_Arizona" TargetMode="External"/><Relationship Id="rId21" Type="http://schemas.openxmlformats.org/officeDocument/2006/relationships/hyperlink" Target="https://en.wikipedia.org/wiki/Arizona_5th_Legislative_District" TargetMode="External"/><Relationship Id="rId24" Type="http://schemas.openxmlformats.org/officeDocument/2006/relationships/hyperlink" Target="https://en.wikipedia.org/wiki/Kingman,_Arizona" TargetMode="External"/><Relationship Id="rId23" Type="http://schemas.openxmlformats.org/officeDocument/2006/relationships/hyperlink" Target="https://en.wikipedia.org/wiki/Regina_Cobb" TargetMode="External"/><Relationship Id="rId26" Type="http://schemas.openxmlformats.org/officeDocument/2006/relationships/hyperlink" Target="https://en.wikipedia.org/wiki/Payson,_Arizona" TargetMode="External"/><Relationship Id="rId25" Type="http://schemas.openxmlformats.org/officeDocument/2006/relationships/hyperlink" Target="https://en.wikipedia.org/wiki/Arizona_6th_Legislative_District" TargetMode="External"/><Relationship Id="rId28" Type="http://schemas.openxmlformats.org/officeDocument/2006/relationships/hyperlink" Target="https://en.wikipedia.org/wiki/Flagstaff,_Arizona" TargetMode="External"/><Relationship Id="rId27" Type="http://schemas.openxmlformats.org/officeDocument/2006/relationships/hyperlink" Target="https://en.wikipedia.org/wiki/Bob_Thorpe_(politician)" TargetMode="External"/><Relationship Id="rId29" Type="http://schemas.openxmlformats.org/officeDocument/2006/relationships/hyperlink" Target="https://en.wikipedia.org/wiki/Arizona_7th_Legislative_District" TargetMode="External"/><Relationship Id="rId11" Type="http://schemas.openxmlformats.org/officeDocument/2006/relationships/hyperlink" Target="https://en.wikipedia.org/wiki/Arizona_3rd_Legislative_District" TargetMode="External"/><Relationship Id="rId10" Type="http://schemas.openxmlformats.org/officeDocument/2006/relationships/hyperlink" Target="https://en.wikipedia.org/wiki/Sahuarita,_Arizona" TargetMode="External"/><Relationship Id="rId13" Type="http://schemas.openxmlformats.org/officeDocument/2006/relationships/hyperlink" Target="https://en.wikipedia.org/wiki/Tucson,_Arizona" TargetMode="External"/><Relationship Id="rId12" Type="http://schemas.openxmlformats.org/officeDocument/2006/relationships/hyperlink" Target="https://ballotpedia.org/Andres_Cano" TargetMode="External"/><Relationship Id="rId15" Type="http://schemas.openxmlformats.org/officeDocument/2006/relationships/hyperlink" Target="https://en.wikipedia.org/wiki/Tucson,_Arizona" TargetMode="External"/><Relationship Id="rId14" Type="http://schemas.openxmlformats.org/officeDocument/2006/relationships/hyperlink" Target="https://ballotpedia.org/Alma_Hernandez" TargetMode="External"/><Relationship Id="rId197" Type="http://schemas.openxmlformats.org/officeDocument/2006/relationships/drawing" Target="../drawings/drawing4.xml"/><Relationship Id="rId17" Type="http://schemas.openxmlformats.org/officeDocument/2006/relationships/hyperlink" Target="https://en.wikipedia.org/wiki/Charlene_Fernandez" TargetMode="External"/><Relationship Id="rId196" Type="http://schemas.openxmlformats.org/officeDocument/2006/relationships/hyperlink" Target="https://en.wikipedia.org/wiki/Phoenix,_Arizona" TargetMode="External"/><Relationship Id="rId16" Type="http://schemas.openxmlformats.org/officeDocument/2006/relationships/hyperlink" Target="https://en.wikipedia.org/wiki/Arizona_4th_Legislative_District" TargetMode="External"/><Relationship Id="rId195" Type="http://schemas.openxmlformats.org/officeDocument/2006/relationships/hyperlink" Target="https://en.wikipedia.org/wiki/Arizona_30th_Legislative_District" TargetMode="External"/><Relationship Id="rId19" Type="http://schemas.openxmlformats.org/officeDocument/2006/relationships/hyperlink" Target="https://en.wikipedia.org/wiki/Geraldine_Peten" TargetMode="External"/><Relationship Id="rId18" Type="http://schemas.openxmlformats.org/officeDocument/2006/relationships/hyperlink" Target="https://en.wikipedia.org/wiki/Yuma,_Arizona" TargetMode="External"/><Relationship Id="rId84" Type="http://schemas.openxmlformats.org/officeDocument/2006/relationships/hyperlink" Target="https://en.wikipedia.org/wiki/Sun_City,_Arizona" TargetMode="External"/><Relationship Id="rId83" Type="http://schemas.openxmlformats.org/officeDocument/2006/relationships/hyperlink" Target="https://en.wikipedia.org/wiki/Kevin_Payne_(politician)" TargetMode="External"/><Relationship Id="rId86" Type="http://schemas.openxmlformats.org/officeDocument/2006/relationships/hyperlink" Target="https://en.wikipedia.org/wiki/Glendale,_Arizona" TargetMode="External"/><Relationship Id="rId85" Type="http://schemas.openxmlformats.org/officeDocument/2006/relationships/hyperlink" Target="https://en.wikipedia.org/wiki/Tony_Rivero" TargetMode="External"/><Relationship Id="rId88" Type="http://schemas.openxmlformats.org/officeDocument/2006/relationships/hyperlink" Target="https://en.wikipedia.org/wiki/Ben_Toma" TargetMode="External"/><Relationship Id="rId150" Type="http://schemas.openxmlformats.org/officeDocument/2006/relationships/hyperlink" Target="https://en.wikipedia.org/wiki/Tucson,_Arizona" TargetMode="External"/><Relationship Id="rId87" Type="http://schemas.openxmlformats.org/officeDocument/2006/relationships/hyperlink" Target="https://en.wikipedia.org/wiki/Arizona_22nd_Legislative_District" TargetMode="External"/><Relationship Id="rId89" Type="http://schemas.openxmlformats.org/officeDocument/2006/relationships/hyperlink" Target="https://en.wikipedia.org/wiki/Peoria,_Arizona" TargetMode="External"/><Relationship Id="rId80" Type="http://schemas.openxmlformats.org/officeDocument/2006/relationships/hyperlink" Target="https://en.wikipedia.org/wiki/Phoenix,_Arizona" TargetMode="External"/><Relationship Id="rId82" Type="http://schemas.openxmlformats.org/officeDocument/2006/relationships/hyperlink" Target="https://en.wikipedia.org/wiki/Arizona_21st_Legislative_District" TargetMode="External"/><Relationship Id="rId81" Type="http://schemas.openxmlformats.org/officeDocument/2006/relationships/hyperlink" Target="https://en.wikipedia.org/wiki/Glendale,_Arizona" TargetMode="External"/><Relationship Id="rId1" Type="http://schemas.openxmlformats.org/officeDocument/2006/relationships/hyperlink" Target="https://en.wikipedia.org/wiki/Arizona_1st_Legislative_District" TargetMode="External"/><Relationship Id="rId2" Type="http://schemas.openxmlformats.org/officeDocument/2006/relationships/hyperlink" Target="https://en.wikipedia.org/wiki/David_Stringer" TargetMode="External"/><Relationship Id="rId3" Type="http://schemas.openxmlformats.org/officeDocument/2006/relationships/hyperlink" Target="https://en.wikipedia.org/wiki/Prescott,_Arizona" TargetMode="External"/><Relationship Id="rId149" Type="http://schemas.openxmlformats.org/officeDocument/2006/relationships/hyperlink" Target="https://en.wikipedia.org/wiki/Arizona_10th_Legislative_District" TargetMode="External"/><Relationship Id="rId4" Type="http://schemas.openxmlformats.org/officeDocument/2006/relationships/hyperlink" Target="https://en.wikipedia.org/wiki/Noel_W._Campbell" TargetMode="External"/><Relationship Id="rId148" Type="http://schemas.openxmlformats.org/officeDocument/2006/relationships/hyperlink" Target="https://en.wikipedia.org/wiki/Tucson,_Arizona" TargetMode="External"/><Relationship Id="rId9" Type="http://schemas.openxmlformats.org/officeDocument/2006/relationships/hyperlink" Target="https://en.wikipedia.org/wiki/Rosanna_Gabald%C3%B3n" TargetMode="External"/><Relationship Id="rId143" Type="http://schemas.openxmlformats.org/officeDocument/2006/relationships/hyperlink" Target="https://en.wikipedia.org/wiki/Arizona_8th_Legislative_District" TargetMode="External"/><Relationship Id="rId142" Type="http://schemas.openxmlformats.org/officeDocument/2006/relationships/hyperlink" Target="https://en.wikipedia.org/wiki/Cameron,_Arizona" TargetMode="External"/><Relationship Id="rId141" Type="http://schemas.openxmlformats.org/officeDocument/2006/relationships/hyperlink" Target="https://en.wikipedia.org/wiki/Jamescita_Peshlakai" TargetMode="External"/><Relationship Id="rId140" Type="http://schemas.openxmlformats.org/officeDocument/2006/relationships/hyperlink" Target="https://en.wikipedia.org/wiki/Arizona_7th_Legislative_District" TargetMode="External"/><Relationship Id="rId5" Type="http://schemas.openxmlformats.org/officeDocument/2006/relationships/hyperlink" Target="https://en.wikipedia.org/wiki/Prescott,_Arizona" TargetMode="External"/><Relationship Id="rId147" Type="http://schemas.openxmlformats.org/officeDocument/2006/relationships/hyperlink" Target="https://ballotpedia.org/Victoria_Steele" TargetMode="External"/><Relationship Id="rId6" Type="http://schemas.openxmlformats.org/officeDocument/2006/relationships/hyperlink" Target="https://en.wikipedia.org/wiki/Arizona_2nd_Legislative_District" TargetMode="External"/><Relationship Id="rId146" Type="http://schemas.openxmlformats.org/officeDocument/2006/relationships/hyperlink" Target="https://en.wikipedia.org/wiki/Arizona_9th_Legislative_District" TargetMode="External"/><Relationship Id="rId7" Type="http://schemas.openxmlformats.org/officeDocument/2006/relationships/hyperlink" Target="https://en.wikipedia.org/wiki/Daniel_Hern%C3%A1ndez_Jr." TargetMode="External"/><Relationship Id="rId145" Type="http://schemas.openxmlformats.org/officeDocument/2006/relationships/hyperlink" Target="https://en.wikipedia.org/wiki/Casa_Grande,_Arizona" TargetMode="External"/><Relationship Id="rId8" Type="http://schemas.openxmlformats.org/officeDocument/2006/relationships/hyperlink" Target="https://en.wikipedia.org/wiki/Tucson,_Arizona" TargetMode="External"/><Relationship Id="rId144" Type="http://schemas.openxmlformats.org/officeDocument/2006/relationships/hyperlink" Target="https://en.wikipedia.org/wiki/Frank_Pratt_(politician)" TargetMode="External"/><Relationship Id="rId73" Type="http://schemas.openxmlformats.org/officeDocument/2006/relationships/hyperlink" Target="https://en.wikipedia.org/wiki/Denise_Epstein" TargetMode="External"/><Relationship Id="rId72" Type="http://schemas.openxmlformats.org/officeDocument/2006/relationships/hyperlink" Target="https://en.wikipedia.org/wiki/Phoenix,_Arizona" TargetMode="External"/><Relationship Id="rId75" Type="http://schemas.openxmlformats.org/officeDocument/2006/relationships/hyperlink" Target="https://en.wikipedia.org/wiki/Arizona_19th_Legislative_District" TargetMode="External"/><Relationship Id="rId74" Type="http://schemas.openxmlformats.org/officeDocument/2006/relationships/hyperlink" Target="https://en.wikipedia.org/wiki/Chandler,_Arizona" TargetMode="External"/><Relationship Id="rId77" Type="http://schemas.openxmlformats.org/officeDocument/2006/relationships/hyperlink" Target="https://en.wikipedia.org/wiki/Avondale,_Arizona" TargetMode="External"/><Relationship Id="rId76" Type="http://schemas.openxmlformats.org/officeDocument/2006/relationships/hyperlink" Target="https://en.wikipedia.org/wiki/Diego_Espinoza" TargetMode="External"/><Relationship Id="rId79" Type="http://schemas.openxmlformats.org/officeDocument/2006/relationships/hyperlink" Target="https://en.wikipedia.org/wiki/Arizona_20th_Legislative_District" TargetMode="External"/><Relationship Id="rId78" Type="http://schemas.openxmlformats.org/officeDocument/2006/relationships/hyperlink" Target="https://en.wikipedia.org/wiki/Phoenix,_Arizona" TargetMode="External"/><Relationship Id="rId71" Type="http://schemas.openxmlformats.org/officeDocument/2006/relationships/hyperlink" Target="https://en.wikipedia.org/wiki/Arizona_18th_Legislative_District" TargetMode="External"/><Relationship Id="rId70" Type="http://schemas.openxmlformats.org/officeDocument/2006/relationships/hyperlink" Target="https://en.wikipedia.org/wiki/Chandler,_Arizona" TargetMode="External"/><Relationship Id="rId139" Type="http://schemas.openxmlformats.org/officeDocument/2006/relationships/hyperlink" Target="https://en.wikipedia.org/wiki/Heber,_Arizona" TargetMode="External"/><Relationship Id="rId138" Type="http://schemas.openxmlformats.org/officeDocument/2006/relationships/hyperlink" Target="https://en.wikipedia.org/wiki/Sylvia_Allen" TargetMode="External"/><Relationship Id="rId137" Type="http://schemas.openxmlformats.org/officeDocument/2006/relationships/hyperlink" Target="https://en.wikipedia.org/wiki/Arizona_6th_Legislative_District" TargetMode="External"/><Relationship Id="rId132" Type="http://schemas.openxmlformats.org/officeDocument/2006/relationships/hyperlink" Target="https://en.wikipedia.org/wiki/Lisa_Otondo" TargetMode="External"/><Relationship Id="rId131" Type="http://schemas.openxmlformats.org/officeDocument/2006/relationships/hyperlink" Target="https://en.wikipedia.org/wiki/Arizona_4th_Legislative_District" TargetMode="External"/><Relationship Id="rId130" Type="http://schemas.openxmlformats.org/officeDocument/2006/relationships/hyperlink" Target="https://en.wikipedia.org/wiki/Tucson,_Arizona" TargetMode="External"/><Relationship Id="rId136" Type="http://schemas.openxmlformats.org/officeDocument/2006/relationships/hyperlink" Target="https://en.wikipedia.org/wiki/Lake_Havasu_City,_Arizona" TargetMode="External"/><Relationship Id="rId135" Type="http://schemas.openxmlformats.org/officeDocument/2006/relationships/hyperlink" Target="https://en.wikipedia.org/wiki/Sonny_Borrelli" TargetMode="External"/><Relationship Id="rId134" Type="http://schemas.openxmlformats.org/officeDocument/2006/relationships/hyperlink" Target="https://en.wikipedia.org/wiki/Arizona_5th_Legislative_District" TargetMode="External"/><Relationship Id="rId133" Type="http://schemas.openxmlformats.org/officeDocument/2006/relationships/hyperlink" Target="https://en.wikipedia.org/wiki/Yuma,_Arizona" TargetMode="External"/><Relationship Id="rId62" Type="http://schemas.openxmlformats.org/officeDocument/2006/relationships/hyperlink" Target="https://en.wikipedia.org/wiki/Scottsdale,_Arizona" TargetMode="External"/><Relationship Id="rId61" Type="http://schemas.openxmlformats.org/officeDocument/2006/relationships/hyperlink" Target="https://en.wikipedia.org/wiki/John_Allen_(Arizona_politician)" TargetMode="External"/><Relationship Id="rId64" Type="http://schemas.openxmlformats.org/officeDocument/2006/relationships/hyperlink" Target="https://en.wikipedia.org/wiki/Apache_Junction,_Arizona" TargetMode="External"/><Relationship Id="rId63" Type="http://schemas.openxmlformats.org/officeDocument/2006/relationships/hyperlink" Target="https://en.wikipedia.org/wiki/Arizona_16th_Legislative_District" TargetMode="External"/><Relationship Id="rId66" Type="http://schemas.openxmlformats.org/officeDocument/2006/relationships/hyperlink" Target="https://en.wikipedia.org/wiki/Mesa,_Arizona" TargetMode="External"/><Relationship Id="rId172" Type="http://schemas.openxmlformats.org/officeDocument/2006/relationships/hyperlink" Target="https://en.wikipedia.org/wiki/Phoenix,_Arizona" TargetMode="External"/><Relationship Id="rId65" Type="http://schemas.openxmlformats.org/officeDocument/2006/relationships/hyperlink" Target="https://en.wikipedia.org/wiki/Kelly_Townsend" TargetMode="External"/><Relationship Id="rId171" Type="http://schemas.openxmlformats.org/officeDocument/2006/relationships/hyperlink" Target="https://en.wikipedia.org/wiki/Arizona_20th_Legislative_District" TargetMode="External"/><Relationship Id="rId68" Type="http://schemas.openxmlformats.org/officeDocument/2006/relationships/hyperlink" Target="https://en.wikipedia.org/wiki/Jeff_Weninger" TargetMode="External"/><Relationship Id="rId170" Type="http://schemas.openxmlformats.org/officeDocument/2006/relationships/hyperlink" Target="https://en.wikipedia.org/wiki/Cashion,_Arizona" TargetMode="External"/><Relationship Id="rId67" Type="http://schemas.openxmlformats.org/officeDocument/2006/relationships/hyperlink" Target="https://en.wikipedia.org/wiki/Arizona_17th_Legislative_District" TargetMode="External"/><Relationship Id="rId60" Type="http://schemas.openxmlformats.org/officeDocument/2006/relationships/hyperlink" Target="https://en.wikipedia.org/wiki/Cave_Creek,_Arizona" TargetMode="External"/><Relationship Id="rId165" Type="http://schemas.openxmlformats.org/officeDocument/2006/relationships/hyperlink" Target="https://en.wikipedia.org/wiki/Chandler,_Arizona" TargetMode="External"/><Relationship Id="rId69" Type="http://schemas.openxmlformats.org/officeDocument/2006/relationships/hyperlink" Target="https://en.wikipedia.org/wiki/Chandler,_Arizona" TargetMode="External"/><Relationship Id="rId164" Type="http://schemas.openxmlformats.org/officeDocument/2006/relationships/hyperlink" Target="https://en.wikipedia.org/wiki/Arizona_17th_Legislative_District" TargetMode="External"/><Relationship Id="rId163" Type="http://schemas.openxmlformats.org/officeDocument/2006/relationships/hyperlink" Target="https://en.wikipedia.org/wiki/Mesa,_Arizona" TargetMode="External"/><Relationship Id="rId162" Type="http://schemas.openxmlformats.org/officeDocument/2006/relationships/hyperlink" Target="https://en.wikipedia.org/wiki/Arizona_16th_Legislative_District" TargetMode="External"/><Relationship Id="rId169" Type="http://schemas.openxmlformats.org/officeDocument/2006/relationships/hyperlink" Target="https://en.wikipedia.org/wiki/Arizona_19th_Legislative_District" TargetMode="External"/><Relationship Id="rId168" Type="http://schemas.openxmlformats.org/officeDocument/2006/relationships/hyperlink" Target="https://en.wikipedia.org/wiki/Ahwatukee,_Arizona" TargetMode="External"/><Relationship Id="rId167" Type="http://schemas.openxmlformats.org/officeDocument/2006/relationships/hyperlink" Target="https://en.wikipedia.org/wiki/Sean_Bowie" TargetMode="External"/><Relationship Id="rId166" Type="http://schemas.openxmlformats.org/officeDocument/2006/relationships/hyperlink" Target="https://en.wikipedia.org/wiki/Arizona_18th_Legislative_District" TargetMode="External"/><Relationship Id="rId51" Type="http://schemas.openxmlformats.org/officeDocument/2006/relationships/hyperlink" Target="https://en.wikipedia.org/wiki/Arizona_13th_Legislative_District" TargetMode="External"/><Relationship Id="rId50" Type="http://schemas.openxmlformats.org/officeDocument/2006/relationships/hyperlink" Target="https://en.wikipedia.org/wiki/Gilbert,_Arizona" TargetMode="External"/><Relationship Id="rId53" Type="http://schemas.openxmlformats.org/officeDocument/2006/relationships/hyperlink" Target="https://en.wikipedia.org/wiki/Yuma,_Arizona" TargetMode="External"/><Relationship Id="rId52" Type="http://schemas.openxmlformats.org/officeDocument/2006/relationships/hyperlink" Target="https://en.wikipedia.org/wiki/Tim_Dunn_(politician)" TargetMode="External"/><Relationship Id="rId55" Type="http://schemas.openxmlformats.org/officeDocument/2006/relationships/hyperlink" Target="https://en.wikipedia.org/wiki/Arizona_14th_Legislative_District" TargetMode="External"/><Relationship Id="rId161" Type="http://schemas.openxmlformats.org/officeDocument/2006/relationships/hyperlink" Target="https://en.wikipedia.org/wiki/Phoenix,_Arizona" TargetMode="External"/><Relationship Id="rId54" Type="http://schemas.openxmlformats.org/officeDocument/2006/relationships/hyperlink" Target="https://en.wikipedia.org/wiki/Litchfield_Park,_Arizona" TargetMode="External"/><Relationship Id="rId160" Type="http://schemas.openxmlformats.org/officeDocument/2006/relationships/hyperlink" Target="https://en.wikipedia.org/wiki/Arizona_15th_Legislative_District" TargetMode="External"/><Relationship Id="rId57" Type="http://schemas.openxmlformats.org/officeDocument/2006/relationships/hyperlink" Target="https://en.wikipedia.org/wiki/Sierra_Vista,_Arizona" TargetMode="External"/><Relationship Id="rId56" Type="http://schemas.openxmlformats.org/officeDocument/2006/relationships/hyperlink" Target="https://en.wikipedia.org/wiki/Becky_Nutt" TargetMode="External"/><Relationship Id="rId159" Type="http://schemas.openxmlformats.org/officeDocument/2006/relationships/hyperlink" Target="https://en.wikipedia.org/wiki/Hereford,_Arizona" TargetMode="External"/><Relationship Id="rId59" Type="http://schemas.openxmlformats.org/officeDocument/2006/relationships/hyperlink" Target="https://en.wikipedia.org/wiki/Arizona_15th_Legislative_District" TargetMode="External"/><Relationship Id="rId154" Type="http://schemas.openxmlformats.org/officeDocument/2006/relationships/hyperlink" Target="https://en.wikipedia.org/wiki/Gilbert,_Arizona" TargetMode="External"/><Relationship Id="rId58" Type="http://schemas.openxmlformats.org/officeDocument/2006/relationships/hyperlink" Target="https://en.wikipedia.org/wiki/Sierra_Vista,_Arizona" TargetMode="External"/><Relationship Id="rId153" Type="http://schemas.openxmlformats.org/officeDocument/2006/relationships/hyperlink" Target="https://en.wikipedia.org/wiki/Arizona_12th_Legislative_District" TargetMode="External"/><Relationship Id="rId152" Type="http://schemas.openxmlformats.org/officeDocument/2006/relationships/hyperlink" Target="https://en.wikipedia.org/wiki/Maricopa,_Arizona" TargetMode="External"/><Relationship Id="rId151" Type="http://schemas.openxmlformats.org/officeDocument/2006/relationships/hyperlink" Target="https://en.wikipedia.org/wiki/Arizona_11th_Legislative_District" TargetMode="External"/><Relationship Id="rId158" Type="http://schemas.openxmlformats.org/officeDocument/2006/relationships/hyperlink" Target="https://en.wikipedia.org/wiki/Arizona_14th_Legislative_District" TargetMode="External"/><Relationship Id="rId157" Type="http://schemas.openxmlformats.org/officeDocument/2006/relationships/hyperlink" Target="https://en.wikipedia.org/wiki/Buckeye,_Arizona" TargetMode="External"/><Relationship Id="rId156" Type="http://schemas.openxmlformats.org/officeDocument/2006/relationships/hyperlink" Target="https://en.wikipedia.org/wiki/Sine_Kerr" TargetMode="External"/><Relationship Id="rId155" Type="http://schemas.openxmlformats.org/officeDocument/2006/relationships/hyperlink" Target="https://en.wikipedia.org/wiki/Arizona_13th_Legislative_District" TargetMode="External"/><Relationship Id="rId107" Type="http://schemas.openxmlformats.org/officeDocument/2006/relationships/hyperlink" Target="https://en.wikipedia.org/wiki/Tempe,_Arizona" TargetMode="External"/><Relationship Id="rId106" Type="http://schemas.openxmlformats.org/officeDocument/2006/relationships/hyperlink" Target="https://en.wikipedia.org/wiki/Athena_Salman" TargetMode="External"/><Relationship Id="rId105" Type="http://schemas.openxmlformats.org/officeDocument/2006/relationships/hyperlink" Target="https://en.wikipedia.org/wiki/Tempe,_Arizona" TargetMode="External"/><Relationship Id="rId104" Type="http://schemas.openxmlformats.org/officeDocument/2006/relationships/hyperlink" Target="https://en.wikipedia.org/wiki/Isela_Blanc" TargetMode="External"/><Relationship Id="rId109" Type="http://schemas.openxmlformats.org/officeDocument/2006/relationships/hyperlink" Target="https://en.wikipedia.org/wiki/Reginald_Bolding" TargetMode="External"/><Relationship Id="rId108" Type="http://schemas.openxmlformats.org/officeDocument/2006/relationships/hyperlink" Target="https://en.wikipedia.org/wiki/Arizona_27th_Legislative_District" TargetMode="External"/><Relationship Id="rId103" Type="http://schemas.openxmlformats.org/officeDocument/2006/relationships/hyperlink" Target="https://en.wikipedia.org/wiki/Arizona_26th_Legislative_District" TargetMode="External"/><Relationship Id="rId102" Type="http://schemas.openxmlformats.org/officeDocument/2006/relationships/hyperlink" Target="https://en.wikipedia.org/wiki/Mesa,_Arizona" TargetMode="External"/><Relationship Id="rId101" Type="http://schemas.openxmlformats.org/officeDocument/2006/relationships/hyperlink" Target="https://en.wikipedia.org/wiki/Russell_Bowers" TargetMode="External"/><Relationship Id="rId100" Type="http://schemas.openxmlformats.org/officeDocument/2006/relationships/hyperlink" Target="https://en.wikipedia.org/wiki/Mesa,_Arizona" TargetMode="External"/><Relationship Id="rId129" Type="http://schemas.openxmlformats.org/officeDocument/2006/relationships/hyperlink" Target="https://en.wikipedia.org/wiki/Arizona_3rd_Legislative_District" TargetMode="External"/><Relationship Id="rId128" Type="http://schemas.openxmlformats.org/officeDocument/2006/relationships/hyperlink" Target="https://en.wikipedia.org/wiki/Green_Valley,_Arizona" TargetMode="External"/><Relationship Id="rId127" Type="http://schemas.openxmlformats.org/officeDocument/2006/relationships/hyperlink" Target="https://en.wikipedia.org/wiki/Andrea_Dalessandro" TargetMode="External"/><Relationship Id="rId126" Type="http://schemas.openxmlformats.org/officeDocument/2006/relationships/hyperlink" Target="https://en.wikipedia.org/wiki/Arizona_2nd_Legislative_District" TargetMode="External"/><Relationship Id="rId121" Type="http://schemas.openxmlformats.org/officeDocument/2006/relationships/hyperlink" Target="https://en.wikipedia.org/wiki/Glendale,_Arizona" TargetMode="External"/><Relationship Id="rId120" Type="http://schemas.openxmlformats.org/officeDocument/2006/relationships/hyperlink" Target="https://en.wikipedia.org/wiki/Arizona_30th_Legislative_District" TargetMode="External"/><Relationship Id="rId125" Type="http://schemas.openxmlformats.org/officeDocument/2006/relationships/hyperlink" Target="https://en.wikipedia.org/wiki/Prescott,_Arizona" TargetMode="External"/><Relationship Id="rId124" Type="http://schemas.openxmlformats.org/officeDocument/2006/relationships/hyperlink" Target="https://en.wikipedia.org/wiki/Karen_Fann" TargetMode="External"/><Relationship Id="rId123" Type="http://schemas.openxmlformats.org/officeDocument/2006/relationships/hyperlink" Target="https://en.wikipedia.org/wiki/Arizona_1st_Legislative_District" TargetMode="External"/><Relationship Id="rId122" Type="http://schemas.openxmlformats.org/officeDocument/2006/relationships/hyperlink" Target="https://en.wikipedia.org/wiki/Phoenix,_Arizona" TargetMode="External"/><Relationship Id="rId95" Type="http://schemas.openxmlformats.org/officeDocument/2006/relationships/hyperlink" Target="https://en.wikipedia.org/wiki/Arizona_24th_Legislative_District" TargetMode="External"/><Relationship Id="rId94" Type="http://schemas.openxmlformats.org/officeDocument/2006/relationships/hyperlink" Target="https://en.wikipedia.org/wiki/Scottsdale,_Arizona" TargetMode="External"/><Relationship Id="rId97" Type="http://schemas.openxmlformats.org/officeDocument/2006/relationships/hyperlink" Target="https://en.wikipedia.org/wiki/Phoenix,_Arizona" TargetMode="External"/><Relationship Id="rId96" Type="http://schemas.openxmlformats.org/officeDocument/2006/relationships/hyperlink" Target="https://en.wikipedia.org/wiki/Phoenix,_Arizona" TargetMode="External"/><Relationship Id="rId99" Type="http://schemas.openxmlformats.org/officeDocument/2006/relationships/hyperlink" Target="https://en.wikipedia.org/wiki/Michelle_Udall" TargetMode="External"/><Relationship Id="rId98" Type="http://schemas.openxmlformats.org/officeDocument/2006/relationships/hyperlink" Target="https://en.wikipedia.org/wiki/Arizona_25th_Legislative_District" TargetMode="External"/><Relationship Id="rId91" Type="http://schemas.openxmlformats.org/officeDocument/2006/relationships/hyperlink" Target="https://en.wikipedia.org/wiki/Arizona_23rd_Legislative_District" TargetMode="External"/><Relationship Id="rId90" Type="http://schemas.openxmlformats.org/officeDocument/2006/relationships/hyperlink" Target="https://en.wikipedia.org/wiki/Peoria,_Arizona" TargetMode="External"/><Relationship Id="rId93" Type="http://schemas.openxmlformats.org/officeDocument/2006/relationships/hyperlink" Target="https://en.wikipedia.org/wiki/Fountain_Hills,_Arizona" TargetMode="External"/><Relationship Id="rId92" Type="http://schemas.openxmlformats.org/officeDocument/2006/relationships/hyperlink" Target="https://en.wikipedia.org/wiki/Jay_Lawrence_(politician)" TargetMode="External"/><Relationship Id="rId118" Type="http://schemas.openxmlformats.org/officeDocument/2006/relationships/hyperlink" Target="https://en.wikipedia.org/wiki/Cesar_Chavez_(Arizona_legislator)" TargetMode="External"/><Relationship Id="rId117" Type="http://schemas.openxmlformats.org/officeDocument/2006/relationships/hyperlink" Target="https://en.wikipedia.org/wiki/Phoenix,_Arizona" TargetMode="External"/><Relationship Id="rId116" Type="http://schemas.openxmlformats.org/officeDocument/2006/relationships/hyperlink" Target="https://en.wikipedia.org/wiki/Richard_C._Andrade" TargetMode="External"/><Relationship Id="rId115" Type="http://schemas.openxmlformats.org/officeDocument/2006/relationships/hyperlink" Target="https://en.wikipedia.org/wiki/Arizona_29th_Legislative_District" TargetMode="External"/><Relationship Id="rId119" Type="http://schemas.openxmlformats.org/officeDocument/2006/relationships/hyperlink" Target="https://en.wikipedia.org/wiki/Phoenix,_Arizona" TargetMode="External"/><Relationship Id="rId110" Type="http://schemas.openxmlformats.org/officeDocument/2006/relationships/hyperlink" Target="https://en.wikipedia.org/wiki/Phoenix,_Arizona" TargetMode="External"/><Relationship Id="rId114" Type="http://schemas.openxmlformats.org/officeDocument/2006/relationships/hyperlink" Target="https://en.wikipedia.org/wiki/Paradise_Valley,_Arizona" TargetMode="External"/><Relationship Id="rId113" Type="http://schemas.openxmlformats.org/officeDocument/2006/relationships/hyperlink" Target="https://en.wikipedia.org/wiki/Phoenix,_Arizona" TargetMode="External"/><Relationship Id="rId112" Type="http://schemas.openxmlformats.org/officeDocument/2006/relationships/hyperlink" Target="https://en.wikipedia.org/wiki/Arizona_28th_Legislative_District" TargetMode="External"/><Relationship Id="rId111" Type="http://schemas.openxmlformats.org/officeDocument/2006/relationships/hyperlink" Target="https://en.wikipedia.org/wiki/Phoenix,_Arizona"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www.arkleg.state.ar.us/assembly/2019/2019R/Pages/CommitteeDetail.aspx?committeecode=032" TargetMode="External"/><Relationship Id="rId190" Type="http://schemas.openxmlformats.org/officeDocument/2006/relationships/hyperlink" Target="https://en.wikipedia.org/w/index.php?title=Austin_McCollum&amp;action=edit&amp;redlink=1" TargetMode="External"/><Relationship Id="rId42" Type="http://schemas.openxmlformats.org/officeDocument/2006/relationships/hyperlink" Target="http://www.arkleg.state.ar.us/assembly/2019/2019R/Pages/CommitteeDetail.aspx?committeecode=080" TargetMode="External"/><Relationship Id="rId41" Type="http://schemas.openxmlformats.org/officeDocument/2006/relationships/hyperlink" Target="http://www.arkleg.state.ar.us/assembly/2019/2019R/Pages/CommitteeDetail.aspx?committeecode=038" TargetMode="External"/><Relationship Id="rId44" Type="http://schemas.openxmlformats.org/officeDocument/2006/relationships/hyperlink" Target="http://www.arkleg.state.ar.us/assembly/2019/2019R/Pages/CommitteeDetail.aspx?committeecode=109" TargetMode="External"/><Relationship Id="rId194" Type="http://schemas.openxmlformats.org/officeDocument/2006/relationships/hyperlink" Target="https://en.wikipedia.org/wiki/Grant_Hodges" TargetMode="External"/><Relationship Id="rId43" Type="http://schemas.openxmlformats.org/officeDocument/2006/relationships/hyperlink" Target="https://en.wikipedia.org/wiki/Ken_Ferguson_(Arkansas_politician)" TargetMode="External"/><Relationship Id="rId193" Type="http://schemas.openxmlformats.org/officeDocument/2006/relationships/hyperlink" Target="http://www.arkleg.state.ar.us/assembly/2019/2019R/Pages/CommitteeDetail.aspx?committeecode=092" TargetMode="External"/><Relationship Id="rId46" Type="http://schemas.openxmlformats.org/officeDocument/2006/relationships/hyperlink" Target="https://en.wikipedia.org/wiki/Vivian_Flowers" TargetMode="External"/><Relationship Id="rId192" Type="http://schemas.openxmlformats.org/officeDocument/2006/relationships/hyperlink" Target="http://www.arkleg.state.ar.us/assembly/2019/2019R/Pages/CommitteeDetail.aspx?committeecode=832" TargetMode="External"/><Relationship Id="rId45" Type="http://schemas.openxmlformats.org/officeDocument/2006/relationships/hyperlink" Target="http://www.arkleg.state.ar.us/assembly/2019/2019R/Pages/CommitteeDetail.aspx?committeecode=905" TargetMode="External"/><Relationship Id="rId191" Type="http://schemas.openxmlformats.org/officeDocument/2006/relationships/hyperlink" Target="http://www.arkleg.state.ar.us/assembly/2019/2019R/Pages/CommitteeDetail.aspx?committeecode=830" TargetMode="External"/><Relationship Id="rId48" Type="http://schemas.openxmlformats.org/officeDocument/2006/relationships/hyperlink" Target="http://www.arkleg.state.ar.us/assembly/2019/2019R/Pages/CommitteeDetail.aspx?committeecode=850" TargetMode="External"/><Relationship Id="rId187" Type="http://schemas.openxmlformats.org/officeDocument/2006/relationships/hyperlink" Target="https://en.wikipedia.org/wiki/Rebecca_Petty" TargetMode="External"/><Relationship Id="rId47" Type="http://schemas.openxmlformats.org/officeDocument/2006/relationships/hyperlink" Target="http://www.arkleg.state.ar.us/assembly/2019/2019R/Pages/CommitteeDetail.aspx?committeecode=092" TargetMode="External"/><Relationship Id="rId186" Type="http://schemas.openxmlformats.org/officeDocument/2006/relationships/hyperlink" Target="https://en.wikipedia.org/wiki/Jim_Dotson" TargetMode="External"/><Relationship Id="rId185" Type="http://schemas.openxmlformats.org/officeDocument/2006/relationships/hyperlink" Target="http://www.arkleg.state.ar.us/assembly/2019/2019R/Pages/CommitteeDetail.aspx?committeecode=019" TargetMode="External"/><Relationship Id="rId49" Type="http://schemas.openxmlformats.org/officeDocument/2006/relationships/hyperlink" Target="http://www.arkleg.state.ar.us/assembly/2019/2019R/Pages/CommitteeDetail.aspx?committeecode=860" TargetMode="External"/><Relationship Id="rId184" Type="http://schemas.openxmlformats.org/officeDocument/2006/relationships/hyperlink" Target="http://www.arkleg.state.ar.us/assembly/2019/2019R/Pages/CommitteeDetail.aspx?committeecode=005" TargetMode="External"/><Relationship Id="rId189" Type="http://schemas.openxmlformats.org/officeDocument/2006/relationships/hyperlink" Target="http://www.arkleg.state.ar.us/assembly/2019/2019R/Pages/CommitteeDetail.aspx?committeecode=110" TargetMode="External"/><Relationship Id="rId188" Type="http://schemas.openxmlformats.org/officeDocument/2006/relationships/hyperlink" Target="http://www.arkleg.state.ar.us/assembly/2019/2019R/Pages/CommitteeDetail.aspx?committeecode=820" TargetMode="External"/><Relationship Id="rId31" Type="http://schemas.openxmlformats.org/officeDocument/2006/relationships/hyperlink" Target="http://www.arkleg.state.ar.us/assembly/2019/2019R/Pages/CommitteeDetail.aspx?committeecode=032" TargetMode="External"/><Relationship Id="rId30" Type="http://schemas.openxmlformats.org/officeDocument/2006/relationships/hyperlink" Target="http://www.arkleg.state.ar.us/assembly/2019/2019R/Pages/CommitteeDetail.aspx?committeecode=000" TargetMode="External"/><Relationship Id="rId33" Type="http://schemas.openxmlformats.org/officeDocument/2006/relationships/hyperlink" Target="http://www.arkleg.state.ar.us/assembly/2019/2019R/Pages/CommitteeDetail.aspx?committeecode=520" TargetMode="External"/><Relationship Id="rId183" Type="http://schemas.openxmlformats.org/officeDocument/2006/relationships/hyperlink" Target="http://www.arkleg.state.ar.us/assembly/2019/2019R/Pages/CommitteeDetail.aspx?committeecode=003" TargetMode="External"/><Relationship Id="rId32" Type="http://schemas.openxmlformats.org/officeDocument/2006/relationships/hyperlink" Target="https://en.wikipedia.org/wiki/David_Hillman_(politician)" TargetMode="External"/><Relationship Id="rId182" Type="http://schemas.openxmlformats.org/officeDocument/2006/relationships/hyperlink" Target="https://en.wikipedia.org/wiki/Dan_Douglas" TargetMode="External"/><Relationship Id="rId35" Type="http://schemas.openxmlformats.org/officeDocument/2006/relationships/hyperlink" Target="http://www.arkleg.state.ar.us/assembly/2019/2019R/Pages/CommitteeDetail.aspx?committeecode=840" TargetMode="External"/><Relationship Id="rId181" Type="http://schemas.openxmlformats.org/officeDocument/2006/relationships/hyperlink" Target="http://www.arkleg.state.ar.us/assembly/2019/2019R/Pages/CommitteeDetail.aspx?committeecode=810" TargetMode="External"/><Relationship Id="rId34" Type="http://schemas.openxmlformats.org/officeDocument/2006/relationships/hyperlink" Target="http://www.arkleg.state.ar.us/assembly/2019/2019R/Pages/CommitteeDetail.aspx?committeecode=905" TargetMode="External"/><Relationship Id="rId180" Type="http://schemas.openxmlformats.org/officeDocument/2006/relationships/hyperlink" Target="http://www.arkleg.state.ar.us/assembly/2019/2019R/Pages/CommitteeDetail.aspx?committeecode=685" TargetMode="External"/><Relationship Id="rId37" Type="http://schemas.openxmlformats.org/officeDocument/2006/relationships/hyperlink" Target="http://www.arkleg.state.ar.us/assembly/2019/2019R/Pages/CommitteeDetail.aspx?committeecode=880" TargetMode="External"/><Relationship Id="rId176" Type="http://schemas.openxmlformats.org/officeDocument/2006/relationships/hyperlink" Target="https://en.wikipedia.org/w/index.php?title=Clint_Penzo&amp;action=edit&amp;redlink=1" TargetMode="External"/><Relationship Id="rId297" Type="http://schemas.openxmlformats.org/officeDocument/2006/relationships/hyperlink" Target="https://en.wikipedia.org/wiki/Little_Rock,_AR" TargetMode="External"/><Relationship Id="rId36" Type="http://schemas.openxmlformats.org/officeDocument/2006/relationships/hyperlink" Target="https://en.wikipedia.org/w/index.php?title=Roger_Lynch&amp;action=edit&amp;redlink=1" TargetMode="External"/><Relationship Id="rId175" Type="http://schemas.openxmlformats.org/officeDocument/2006/relationships/hyperlink" Target="http://www.arkleg.state.ar.us/assembly/2019/2019R/Pages/CommitteeDetail.aspx?committeecode=830" TargetMode="External"/><Relationship Id="rId296" Type="http://schemas.openxmlformats.org/officeDocument/2006/relationships/hyperlink" Target="http://www.arkleg.state.ar.us/assembly/2019/2019R/Pages/CommitteeDetail.aspx?committeecode=003" TargetMode="External"/><Relationship Id="rId39" Type="http://schemas.openxmlformats.org/officeDocument/2006/relationships/hyperlink" Target="http://www.arkleg.state.ar.us/assembly/2019/2019R/Pages/CommitteeDetail.aspx?committeecode=030" TargetMode="External"/><Relationship Id="rId174" Type="http://schemas.openxmlformats.org/officeDocument/2006/relationships/hyperlink" Target="http://www.arkleg.state.ar.us/assembly/2019/2019R/Pages/CommitteeDetail.aspx?committeecode=832" TargetMode="External"/><Relationship Id="rId295" Type="http://schemas.openxmlformats.org/officeDocument/2006/relationships/hyperlink" Target="http://www.arkleg.state.ar.us/assembly/2019/2019R/Pages/CommitteeDetail.aspx?committeecode=000" TargetMode="External"/><Relationship Id="rId38" Type="http://schemas.openxmlformats.org/officeDocument/2006/relationships/hyperlink" Target="https://en.wikipedia.org/wiki/Ken_Bragg" TargetMode="External"/><Relationship Id="rId173" Type="http://schemas.openxmlformats.org/officeDocument/2006/relationships/hyperlink" Target="https://en.wikipedia.org/wiki/Robin_Lundstrum" TargetMode="External"/><Relationship Id="rId294" Type="http://schemas.openxmlformats.org/officeDocument/2006/relationships/hyperlink" Target="https://en.wikipedia.org/wiki/Linda_Chesterfield" TargetMode="External"/><Relationship Id="rId179" Type="http://schemas.openxmlformats.org/officeDocument/2006/relationships/hyperlink" Target="https://en.wikipedia.org/wiki/Jana_Della_Rosa" TargetMode="External"/><Relationship Id="rId178" Type="http://schemas.openxmlformats.org/officeDocument/2006/relationships/hyperlink" Target="http://www.arkleg.state.ar.us/assembly/2019/2019R/Pages/CommitteeDetail.aspx?committeecode=540" TargetMode="External"/><Relationship Id="rId299" Type="http://schemas.openxmlformats.org/officeDocument/2006/relationships/hyperlink" Target="https://en.wikipedia.org/wiki/Little_Rock,_AR" TargetMode="External"/><Relationship Id="rId177" Type="http://schemas.openxmlformats.org/officeDocument/2006/relationships/hyperlink" Target="http://www.arkleg.state.ar.us/assembly/2019/2019R/Pages/CommitteeDetail.aspx?committeecode=530" TargetMode="External"/><Relationship Id="rId298" Type="http://schemas.openxmlformats.org/officeDocument/2006/relationships/hyperlink" Target="https://en.wikipedia.org/wiki/Joyce_Elliott" TargetMode="External"/><Relationship Id="rId20" Type="http://schemas.openxmlformats.org/officeDocument/2006/relationships/hyperlink" Target="http://www.arkleg.state.ar.us/assembly/2019/2019R/Pages/CommitteeDetail.aspx?committeecode=000" TargetMode="External"/><Relationship Id="rId22" Type="http://schemas.openxmlformats.org/officeDocument/2006/relationships/hyperlink" Target="http://www.arkleg.state.ar.us/assembly/2019/2019R/Pages/CommitteeDetail.aspx?committeecode=003" TargetMode="External"/><Relationship Id="rId21" Type="http://schemas.openxmlformats.org/officeDocument/2006/relationships/hyperlink" Target="http://www.arkleg.state.ar.us/assembly/2019/2019R/Pages/CommitteeDetail.aspx?committeecode=032" TargetMode="External"/><Relationship Id="rId24" Type="http://schemas.openxmlformats.org/officeDocument/2006/relationships/hyperlink" Target="http://www.arkleg.state.ar.us/assembly/2019/2019R/Pages/CommitteeDetail.aspx?committeecode=003" TargetMode="External"/><Relationship Id="rId23" Type="http://schemas.openxmlformats.org/officeDocument/2006/relationships/hyperlink" Target="https://en.wikipedia.org/w/index.php?title=LeAnne_Burch&amp;action=edit&amp;redlink=1" TargetMode="External"/><Relationship Id="rId26" Type="http://schemas.openxmlformats.org/officeDocument/2006/relationships/hyperlink" Target="http://www.arkleg.state.ar.us/assembly/2019/2019R/Pages/CommitteeDetail.aspx?committeecode=110" TargetMode="External"/><Relationship Id="rId25" Type="http://schemas.openxmlformats.org/officeDocument/2006/relationships/hyperlink" Target="http://www.arkleg.state.ar.us/assembly/2019/2019R/Pages/CommitteeDetail.aspx?committeecode=092" TargetMode="External"/><Relationship Id="rId28" Type="http://schemas.openxmlformats.org/officeDocument/2006/relationships/hyperlink" Target="http://www.arkleg.state.ar.us/assembly/2019/2019R/Pages/CommitteeDetail.aspx?committeecode=005" TargetMode="External"/><Relationship Id="rId27" Type="http://schemas.openxmlformats.org/officeDocument/2006/relationships/hyperlink" Target="https://en.wikipedia.org/wiki/Mike_Holcomb_(politician)" TargetMode="External"/><Relationship Id="rId29" Type="http://schemas.openxmlformats.org/officeDocument/2006/relationships/hyperlink" Target="http://www.arkleg.state.ar.us/assembly/2019/2019R/Pages/CommitteeDetail.aspx?committeecode=880" TargetMode="External"/><Relationship Id="rId11" Type="http://schemas.openxmlformats.org/officeDocument/2006/relationships/hyperlink" Target="http://www.arkleg.state.ar.us/assembly/2019/2019R/Pages/CommitteeDetail.aspx?committeecode=000" TargetMode="External"/><Relationship Id="rId10" Type="http://schemas.openxmlformats.org/officeDocument/2006/relationships/hyperlink" Target="https://en.wikipedia.org/wiki/David_Fielding_(politician)" TargetMode="External"/><Relationship Id="rId13" Type="http://schemas.openxmlformats.org/officeDocument/2006/relationships/hyperlink" Target="https://en.wikipedia.org/wiki/Matthew_Shepherd" TargetMode="External"/><Relationship Id="rId12" Type="http://schemas.openxmlformats.org/officeDocument/2006/relationships/hyperlink" Target="http://www.arkleg.state.ar.us/assembly/2019/2019R/Pages/CommitteeDetail.aspx?committeecode=880" TargetMode="External"/><Relationship Id="rId15" Type="http://schemas.openxmlformats.org/officeDocument/2006/relationships/hyperlink" Target="http://www.arkleg.state.ar.us/assembly/2019/2019R/Pages/CommitteeDetail.aspx?committeecode=038" TargetMode="External"/><Relationship Id="rId198" Type="http://schemas.openxmlformats.org/officeDocument/2006/relationships/hyperlink" Target="http://www.arkleg.state.ar.us/assembly/2019/2019R/Pages/CommitteeDetail.aspx?committeecode=003" TargetMode="External"/><Relationship Id="rId14" Type="http://schemas.openxmlformats.org/officeDocument/2006/relationships/hyperlink" Target="http://www.arkleg.state.ar.us/assembly/2019/2019R/Pages/CommitteeDetail.aspx?committeecode=005" TargetMode="External"/><Relationship Id="rId197" Type="http://schemas.openxmlformats.org/officeDocument/2006/relationships/hyperlink" Target="https://en.wikipedia.org/wiki/Ron_McNair_(Arkansas_politician)" TargetMode="External"/><Relationship Id="rId17" Type="http://schemas.openxmlformats.org/officeDocument/2006/relationships/hyperlink" Target="http://www.arkleg.state.ar.us/assembly/2019/2019R/Pages/CommitteeDetail.aspx?committeecode=820" TargetMode="External"/><Relationship Id="rId196" Type="http://schemas.openxmlformats.org/officeDocument/2006/relationships/hyperlink" Target="http://www.arkleg.state.ar.us/assembly/2019/2019R/Pages/CommitteeDetail.aspx?committeecode=510" TargetMode="External"/><Relationship Id="rId16" Type="http://schemas.openxmlformats.org/officeDocument/2006/relationships/hyperlink" Target="http://www.arkleg.state.ar.us/assembly/2019/2019R/Pages/CommitteeDetail.aspx?committeecode=080" TargetMode="External"/><Relationship Id="rId195" Type="http://schemas.openxmlformats.org/officeDocument/2006/relationships/hyperlink" Target="http://www.arkleg.state.ar.us/assembly/2019/2019R/Pages/CommitteeDetail.aspx?committeecode=461" TargetMode="External"/><Relationship Id="rId19" Type="http://schemas.openxmlformats.org/officeDocument/2006/relationships/hyperlink" Target="https://en.wikipedia.org/wiki/Jeff_Wardlaw" TargetMode="External"/><Relationship Id="rId18" Type="http://schemas.openxmlformats.org/officeDocument/2006/relationships/hyperlink" Target="https://en.wikipedia.org/w/index.php?title=Sonia_Eubanks_Barker&amp;action=edit&amp;redlink=1" TargetMode="External"/><Relationship Id="rId199" Type="http://schemas.openxmlformats.org/officeDocument/2006/relationships/hyperlink" Target="http://www.arkleg.state.ar.us/assembly/2019/2019R/Pages/CommitteeDetail.aspx?committeecode=005" TargetMode="External"/><Relationship Id="rId84" Type="http://schemas.openxmlformats.org/officeDocument/2006/relationships/hyperlink" Target="http://www.arkleg.state.ar.us/assembly/2019/2019R/Pages/CommitteeDetail.aspx?committeecode=830" TargetMode="External"/><Relationship Id="rId83" Type="http://schemas.openxmlformats.org/officeDocument/2006/relationships/hyperlink" Target="http://www.arkleg.state.ar.us/assembly/2019/2019R/Pages/CommitteeDetail.aspx?committeecode=092" TargetMode="External"/><Relationship Id="rId86" Type="http://schemas.openxmlformats.org/officeDocument/2006/relationships/hyperlink" Target="http://www.arkleg.state.ar.us/assembly/2019/2019R/Pages/CommitteeDetail.aspx?committeecode=530" TargetMode="External"/><Relationship Id="rId85" Type="http://schemas.openxmlformats.org/officeDocument/2006/relationships/hyperlink" Target="http://www.arkleg.state.ar.us/assembly/2019/2019R/Pages/CommitteeDetail.aspx?committeecode=003" TargetMode="External"/><Relationship Id="rId88" Type="http://schemas.openxmlformats.org/officeDocument/2006/relationships/hyperlink" Target="http://www.arkleg.state.ar.us/assembly/2019/2019R/Pages/CommitteeDetail.aspx?committeecode=949" TargetMode="External"/><Relationship Id="rId150" Type="http://schemas.openxmlformats.org/officeDocument/2006/relationships/hyperlink" Target="http://www.arkleg.state.ar.us/assembly/2019/2019R/Pages/CommitteeDetail.aspx?committeecode=005" TargetMode="External"/><Relationship Id="rId271" Type="http://schemas.openxmlformats.org/officeDocument/2006/relationships/hyperlink" Target="https://en.wikipedia.org/wiki/West_Memphis,_AR" TargetMode="External"/><Relationship Id="rId87" Type="http://schemas.openxmlformats.org/officeDocument/2006/relationships/hyperlink" Target="http://www.arkleg.state.ar.us/assembly/2019/2019R/Pages/CommitteeDetail.aspx?committeecode=870" TargetMode="External"/><Relationship Id="rId270" Type="http://schemas.openxmlformats.org/officeDocument/2006/relationships/hyperlink" Target="https://en.wikipedia.org/wiki/Keith_Ingram" TargetMode="External"/><Relationship Id="rId89" Type="http://schemas.openxmlformats.org/officeDocument/2006/relationships/hyperlink" Target="http://www.arkleg.state.ar.us/assembly/2019/2019R/Pages/CommitteeDetail.aspx?committeecode=810" TargetMode="External"/><Relationship Id="rId80" Type="http://schemas.openxmlformats.org/officeDocument/2006/relationships/hyperlink" Target="http://www.arkleg.state.ar.us/assembly/2019/2019R/Pages/CommitteeDetail.aspx?committeecode=820" TargetMode="External"/><Relationship Id="rId82" Type="http://schemas.openxmlformats.org/officeDocument/2006/relationships/hyperlink" Target="https://en.wikipedia.org/wiki/Andy_Mayberry" TargetMode="External"/><Relationship Id="rId81" Type="http://schemas.openxmlformats.org/officeDocument/2006/relationships/hyperlink" Target="http://www.arkleg.state.ar.us/assembly/2019/2019R/Pages/CommitteeDetail.aspx?committeecode=461" TargetMode="External"/><Relationship Id="rId1" Type="http://schemas.openxmlformats.org/officeDocument/2006/relationships/hyperlink" Target="https://en.wikipedia.org/w/index.php?title=Carol_Dalby&amp;action=edit&amp;redlink=1" TargetMode="External"/><Relationship Id="rId2" Type="http://schemas.openxmlformats.org/officeDocument/2006/relationships/hyperlink" Target="http://www.arkleg.state.ar.us/assembly/2019/2019R/Pages/CommitteeDetail.aspx?committeecode=092" TargetMode="External"/><Relationship Id="rId3" Type="http://schemas.openxmlformats.org/officeDocument/2006/relationships/hyperlink" Target="http://www.arkleg.state.ar.us/assembly/2019/2019R/Pages/CommitteeDetail.aspx?committeecode=880" TargetMode="External"/><Relationship Id="rId149" Type="http://schemas.openxmlformats.org/officeDocument/2006/relationships/hyperlink" Target="http://www.arkleg.state.ar.us/assembly/2019/2019R/Pages/CommitteeDetail.aspx?committeecode=830" TargetMode="External"/><Relationship Id="rId4" Type="http://schemas.openxmlformats.org/officeDocument/2006/relationships/hyperlink" Target="https://en.wikipedia.org/wiki/Lane_Jean" TargetMode="External"/><Relationship Id="rId148" Type="http://schemas.openxmlformats.org/officeDocument/2006/relationships/hyperlink" Target="http://www.arkleg.state.ar.us/assembly/2019/2019R/Pages/CommitteeDetail.aspx?committeecode=520" TargetMode="External"/><Relationship Id="rId269" Type="http://schemas.openxmlformats.org/officeDocument/2006/relationships/hyperlink" Target="https://en.wikipedia.org/wiki/Wynne,_AR" TargetMode="External"/><Relationship Id="rId9" Type="http://schemas.openxmlformats.org/officeDocument/2006/relationships/hyperlink" Target="http://www.arkleg.state.ar.us/assembly/2019/2019R/Pages/CommitteeDetail.aspx?committeecode=005" TargetMode="External"/><Relationship Id="rId143" Type="http://schemas.openxmlformats.org/officeDocument/2006/relationships/hyperlink" Target="http://www.arkleg.state.ar.us/assembly/2019/2019R/Pages/CommitteeDetail.aspx?committeecode=810" TargetMode="External"/><Relationship Id="rId264" Type="http://schemas.openxmlformats.org/officeDocument/2006/relationships/hyperlink" Target="http://www.arkleg.state.ar.us/assembly/2019/2019R/Pages/CommitteeDetail.aspx?committeecode=430" TargetMode="External"/><Relationship Id="rId142" Type="http://schemas.openxmlformats.org/officeDocument/2006/relationships/hyperlink" Target="http://www.arkleg.state.ar.us/assembly/2019/2019R/Pages/CommitteeDetail.aspx?committeecode=108" TargetMode="External"/><Relationship Id="rId263" Type="http://schemas.openxmlformats.org/officeDocument/2006/relationships/hyperlink" Target="http://www.arkleg.state.ar.us/assembly/2019/2019R/Pages/CommitteeDetail.aspx?committeecode=428" TargetMode="External"/><Relationship Id="rId141" Type="http://schemas.openxmlformats.org/officeDocument/2006/relationships/hyperlink" Target="http://www.arkleg.state.ar.us/assembly/2019/2019R/Pages/CommitteeDetail.aspx?committeecode=093" TargetMode="External"/><Relationship Id="rId262" Type="http://schemas.openxmlformats.org/officeDocument/2006/relationships/hyperlink" Target="http://www.arkleg.state.ar.us/assembly/2019/2019R/Pages/CommitteeDetail.aspx?committeecode=427" TargetMode="External"/><Relationship Id="rId140" Type="http://schemas.openxmlformats.org/officeDocument/2006/relationships/hyperlink" Target="http://www.arkleg.state.ar.us/assembly/2019/2019R/Pages/CommitteeDetail.aspx?committeecode=832" TargetMode="External"/><Relationship Id="rId261" Type="http://schemas.openxmlformats.org/officeDocument/2006/relationships/hyperlink" Target="https://en.wikipedia.org/wiki/John_Cooper_(Arkansas_politician)" TargetMode="External"/><Relationship Id="rId5" Type="http://schemas.openxmlformats.org/officeDocument/2006/relationships/hyperlink" Target="https://en.wikipedia.org/wiki/Danny_Watson" TargetMode="External"/><Relationship Id="rId147" Type="http://schemas.openxmlformats.org/officeDocument/2006/relationships/hyperlink" Target="http://www.arkleg.state.ar.us/assembly/2019/2019R/Pages/CommitteeDetail.aspx?committeecode=830" TargetMode="External"/><Relationship Id="rId268" Type="http://schemas.openxmlformats.org/officeDocument/2006/relationships/hyperlink" Target="https://en.wikipedia.org/wiki/Ron_Caldwell_(Arkansas_politician)" TargetMode="External"/><Relationship Id="rId6" Type="http://schemas.openxmlformats.org/officeDocument/2006/relationships/hyperlink" Target="http://www.arkleg.state.ar.us/assembly/2019/2019R/Pages/CommitteeDetail.aspx?committeecode=860" TargetMode="External"/><Relationship Id="rId146" Type="http://schemas.openxmlformats.org/officeDocument/2006/relationships/hyperlink" Target="http://www.arkleg.state.ar.us/assembly/2019/2019R/Pages/CommitteeDetail.aspx?committeecode=093" TargetMode="External"/><Relationship Id="rId267" Type="http://schemas.openxmlformats.org/officeDocument/2006/relationships/hyperlink" Target="https://en.wikipedia.org/wiki/Leachville,_Arkansas" TargetMode="External"/><Relationship Id="rId7" Type="http://schemas.openxmlformats.org/officeDocument/2006/relationships/hyperlink" Target="http://www.arkleg.state.ar.us/assembly/2019/2019R/Pages/CommitteeDetail.aspx?committeecode=510" TargetMode="External"/><Relationship Id="rId145" Type="http://schemas.openxmlformats.org/officeDocument/2006/relationships/hyperlink" Target="http://www.arkleg.state.ar.us/assembly/2019/2019R/Pages/CommitteeDetail.aspx?committeecode=005" TargetMode="External"/><Relationship Id="rId266" Type="http://schemas.openxmlformats.org/officeDocument/2006/relationships/hyperlink" Target="https://en.wikipedia.org/wiki/David_Wallace_(Arkansas_politician)" TargetMode="External"/><Relationship Id="rId8" Type="http://schemas.openxmlformats.org/officeDocument/2006/relationships/hyperlink" Target="https://en.wikipedia.org/wiki/DeAnn_Vaught" TargetMode="External"/><Relationship Id="rId144" Type="http://schemas.openxmlformats.org/officeDocument/2006/relationships/hyperlink" Target="http://www.arkleg.state.ar.us/assembly/2019/2019R/Pages/CommitteeDetail.aspx?committeecode=830" TargetMode="External"/><Relationship Id="rId265" Type="http://schemas.openxmlformats.org/officeDocument/2006/relationships/hyperlink" Target="https://en.wikipedia.org/wiki/Jonesboro,_Arkansas" TargetMode="External"/><Relationship Id="rId73" Type="http://schemas.openxmlformats.org/officeDocument/2006/relationships/hyperlink" Target="http://www.arkleg.state.ar.us/assembly/2019/2019R/Pages/CommitteeDetail.aspx?committeecode=905" TargetMode="External"/><Relationship Id="rId72" Type="http://schemas.openxmlformats.org/officeDocument/2006/relationships/hyperlink" Target="http://www.arkleg.state.ar.us/assembly/2019/2019R/Pages/CommitteeDetail.aspx?committeecode=880" TargetMode="External"/><Relationship Id="rId75" Type="http://schemas.openxmlformats.org/officeDocument/2006/relationships/hyperlink" Target="http://www.arkleg.state.ar.us/assembly/2019/2019R/Pages/CommitteeDetail.aspx?committeecode=461" TargetMode="External"/><Relationship Id="rId74" Type="http://schemas.openxmlformats.org/officeDocument/2006/relationships/hyperlink" Target="https://en.wikipedia.org/wiki/Bruce_Cozart" TargetMode="External"/><Relationship Id="rId77" Type="http://schemas.openxmlformats.org/officeDocument/2006/relationships/hyperlink" Target="http://www.arkleg.state.ar.us/assembly/2019/2019R/Pages/CommitteeDetail.aspx?committeecode=093" TargetMode="External"/><Relationship Id="rId260" Type="http://schemas.openxmlformats.org/officeDocument/2006/relationships/hyperlink" Target="https://en.wikipedia.org/wiki/Corning,_Arkansas" TargetMode="External"/><Relationship Id="rId76" Type="http://schemas.openxmlformats.org/officeDocument/2006/relationships/hyperlink" Target="https://en.wikipedia.org/w/index.php?title=Les_Warren_(politician)&amp;action=edit&amp;redlink=1" TargetMode="External"/><Relationship Id="rId79" Type="http://schemas.openxmlformats.org/officeDocument/2006/relationships/hyperlink" Target="https://en.wikipedia.org/wiki/Laurie_Rushing" TargetMode="External"/><Relationship Id="rId78" Type="http://schemas.openxmlformats.org/officeDocument/2006/relationships/hyperlink" Target="http://www.arkleg.state.ar.us/assembly/2019/2019R/Pages/CommitteeDetail.aspx?committeecode=530" TargetMode="External"/><Relationship Id="rId71" Type="http://schemas.openxmlformats.org/officeDocument/2006/relationships/hyperlink" Target="http://www.arkleg.state.ar.us/assembly/2019/2019R/Pages/CommitteeDetail.aspx?committeecode=820" TargetMode="External"/><Relationship Id="rId70" Type="http://schemas.openxmlformats.org/officeDocument/2006/relationships/hyperlink" Target="https://en.wikipedia.org/wiki/Lanny_Fite" TargetMode="External"/><Relationship Id="rId139" Type="http://schemas.openxmlformats.org/officeDocument/2006/relationships/hyperlink" Target="http://www.arkleg.state.ar.us/assembly/2019/2019R/Pages/CommitteeDetail.aspx?committeecode=830" TargetMode="External"/><Relationship Id="rId138" Type="http://schemas.openxmlformats.org/officeDocument/2006/relationships/hyperlink" Target="http://www.arkleg.state.ar.us/assembly/2019/2019R/Pages/CommitteeDetail.aspx?committeecode=901" TargetMode="External"/><Relationship Id="rId259" Type="http://schemas.openxmlformats.org/officeDocument/2006/relationships/hyperlink" Target="http://www.arkleg.state.ar.us/assembly/2019/2019R/Pages/CommitteeDetail.aspx?committeecode=003" TargetMode="External"/><Relationship Id="rId137" Type="http://schemas.openxmlformats.org/officeDocument/2006/relationships/hyperlink" Target="http://www.arkleg.state.ar.us/assembly/2019/2019R/Pages/CommitteeDetail.aspx?committeecode=823" TargetMode="External"/><Relationship Id="rId258" Type="http://schemas.openxmlformats.org/officeDocument/2006/relationships/hyperlink" Target="https://en.wikipedia.org/wiki/Blake_Johnson_(Arkansas_politician)" TargetMode="External"/><Relationship Id="rId132" Type="http://schemas.openxmlformats.org/officeDocument/2006/relationships/hyperlink" Target="http://www.arkleg.state.ar.us/assembly/2019/2019R/Pages/CommitteeDetail.aspx?committeecode=830" TargetMode="External"/><Relationship Id="rId253" Type="http://schemas.openxmlformats.org/officeDocument/2006/relationships/hyperlink" Target="https://en.wikipedia.org/wiki/Missy_Irvin" TargetMode="External"/><Relationship Id="rId131" Type="http://schemas.openxmlformats.org/officeDocument/2006/relationships/hyperlink" Target="http://www.arkleg.state.ar.us/assembly/2019/2019R/Pages/CommitteeDetail.aspx?committeecode=820" TargetMode="External"/><Relationship Id="rId252" Type="http://schemas.openxmlformats.org/officeDocument/2006/relationships/hyperlink" Target="https://en.wikipedia.org/wiki/Mountain_Home,_AR" TargetMode="External"/><Relationship Id="rId130" Type="http://schemas.openxmlformats.org/officeDocument/2006/relationships/hyperlink" Target="http://www.arkleg.state.ar.us/assembly/2019/2019R/Pages/CommitteeDetail.aspx?committeecode=003" TargetMode="External"/><Relationship Id="rId251" Type="http://schemas.openxmlformats.org/officeDocument/2006/relationships/hyperlink" Target="http://www.arkleg.state.ar.us/assembly/2019/2019R/Pages/CommitteeDetail.aspx?committeecode=430" TargetMode="External"/><Relationship Id="rId250" Type="http://schemas.openxmlformats.org/officeDocument/2006/relationships/hyperlink" Target="http://www.arkleg.state.ar.us/assembly/2019/2019R/Pages/CommitteeDetail.aspx?committeecode=427" TargetMode="External"/><Relationship Id="rId136" Type="http://schemas.openxmlformats.org/officeDocument/2006/relationships/hyperlink" Target="http://www.arkleg.state.ar.us/assembly/2019/2019R/Pages/CommitteeDetail.aspx?committeecode=820" TargetMode="External"/><Relationship Id="rId257" Type="http://schemas.openxmlformats.org/officeDocument/2006/relationships/hyperlink" Target="https://en.wikipedia.org/wiki/Pocahontas,_AR" TargetMode="External"/><Relationship Id="rId135" Type="http://schemas.openxmlformats.org/officeDocument/2006/relationships/hyperlink" Target="http://www.arkleg.state.ar.us/assembly/2019/2019R/Pages/CommitteeDetail.aspx?committeecode=685" TargetMode="External"/><Relationship Id="rId256" Type="http://schemas.openxmlformats.org/officeDocument/2006/relationships/hyperlink" Target="https://en.wikipedia.org/wiki/Mountain_View,_AR" TargetMode="External"/><Relationship Id="rId134" Type="http://schemas.openxmlformats.org/officeDocument/2006/relationships/hyperlink" Target="http://www.arkleg.state.ar.us/assembly/2019/2019R/Pages/CommitteeDetail.aspx?committeecode=109" TargetMode="External"/><Relationship Id="rId255" Type="http://schemas.openxmlformats.org/officeDocument/2006/relationships/hyperlink" Target="http://www.arkleg.state.ar.us/assembly/2019/2019R/Pages/CommitteeDetail.aspx?committeecode=430" TargetMode="External"/><Relationship Id="rId133" Type="http://schemas.openxmlformats.org/officeDocument/2006/relationships/hyperlink" Target="http://www.arkleg.state.ar.us/assembly/2019/2019R/Pages/CommitteeDetail.aspx?committeecode=831" TargetMode="External"/><Relationship Id="rId254" Type="http://schemas.openxmlformats.org/officeDocument/2006/relationships/hyperlink" Target="http://www.arkleg.state.ar.us/assembly/2019/2019R/Pages/CommitteeDetail.aspx?committeecode=427" TargetMode="External"/><Relationship Id="rId62" Type="http://schemas.openxmlformats.org/officeDocument/2006/relationships/hyperlink" Target="https://en.wikipedia.org/wiki/Marcus_Richmond" TargetMode="External"/><Relationship Id="rId61" Type="http://schemas.openxmlformats.org/officeDocument/2006/relationships/hyperlink" Target="http://www.arkleg.state.ar.us/assembly/2019/2019R/Pages/CommitteeDetail.aspx?committeecode=003" TargetMode="External"/><Relationship Id="rId64" Type="http://schemas.openxmlformats.org/officeDocument/2006/relationships/hyperlink" Target="http://www.arkleg.state.ar.us/assembly/2019/2019R/Pages/CommitteeDetail.aspx?committeecode=931" TargetMode="External"/><Relationship Id="rId63" Type="http://schemas.openxmlformats.org/officeDocument/2006/relationships/hyperlink" Target="http://www.arkleg.state.ar.us/assembly/2019/2019R/Pages/CommitteeDetail.aspx?committeecode=003" TargetMode="External"/><Relationship Id="rId66" Type="http://schemas.openxmlformats.org/officeDocument/2006/relationships/hyperlink" Target="http://www.arkleg.state.ar.us/assembly/2019/2019R/Pages/CommitteeDetail.aspx?committeecode=093" TargetMode="External"/><Relationship Id="rId172" Type="http://schemas.openxmlformats.org/officeDocument/2006/relationships/hyperlink" Target="http://www.arkleg.state.ar.us/assembly/2019/2019R/Pages/CommitteeDetail.aspx?committeecode=688" TargetMode="External"/><Relationship Id="rId293" Type="http://schemas.openxmlformats.org/officeDocument/2006/relationships/hyperlink" Target="https://en.wikipedia.org/wiki/Cabot,_AR" TargetMode="External"/><Relationship Id="rId65" Type="http://schemas.openxmlformats.org/officeDocument/2006/relationships/hyperlink" Target="https://en.wikipedia.org/wiki/Mickey_Gates" TargetMode="External"/><Relationship Id="rId171" Type="http://schemas.openxmlformats.org/officeDocument/2006/relationships/hyperlink" Target="http://www.arkleg.state.ar.us/assembly/2019/2019R/Pages/CommitteeDetail.aspx?committeecode=685" TargetMode="External"/><Relationship Id="rId292" Type="http://schemas.openxmlformats.org/officeDocument/2006/relationships/hyperlink" Target="http://www.arkleg.state.ar.us/assembly/2019/2019R/Pages/CommitteeDetail.aspx?committeecode=948" TargetMode="External"/><Relationship Id="rId68" Type="http://schemas.openxmlformats.org/officeDocument/2006/relationships/hyperlink" Target="http://www.arkleg.state.ar.us/assembly/2019/2019R/Pages/CommitteeDetail.aspx?committeecode=810" TargetMode="External"/><Relationship Id="rId170" Type="http://schemas.openxmlformats.org/officeDocument/2006/relationships/hyperlink" Target="http://www.arkleg.state.ar.us/assembly/2019/2019R/Pages/CommitteeDetail.aspx?committeecode=820" TargetMode="External"/><Relationship Id="rId291" Type="http://schemas.openxmlformats.org/officeDocument/2006/relationships/hyperlink" Target="http://www.arkleg.state.ar.us/assembly/2019/2019R/Pages/CommitteeDetail.aspx?committeecode=510" TargetMode="External"/><Relationship Id="rId67" Type="http://schemas.openxmlformats.org/officeDocument/2006/relationships/hyperlink" Target="http://www.arkleg.state.ar.us/assembly/2019/2019R/Pages/CommitteeDetail.aspx?committeecode=110" TargetMode="External"/><Relationship Id="rId290" Type="http://schemas.openxmlformats.org/officeDocument/2006/relationships/hyperlink" Target="http://www.arkleg.state.ar.us/assembly/2019/2019R/Pages/CommitteeDetail.aspx?committeecode=500" TargetMode="External"/><Relationship Id="rId60" Type="http://schemas.openxmlformats.org/officeDocument/2006/relationships/hyperlink" Target="http://www.arkleg.state.ar.us/assembly/2019/2019R/Pages/CommitteeDetail.aspx?committeecode=820" TargetMode="External"/><Relationship Id="rId165" Type="http://schemas.openxmlformats.org/officeDocument/2006/relationships/hyperlink" Target="https://en.wikipedia.org/w/index.php?title=Sarah_Capp&amp;action=edit&amp;redlink=1" TargetMode="External"/><Relationship Id="rId286" Type="http://schemas.openxmlformats.org/officeDocument/2006/relationships/hyperlink" Target="http://www.arkleg.state.ar.us/assembly/2019/2019R/Pages/CommitteeDetail.aspx?committeecode=013" TargetMode="External"/><Relationship Id="rId69" Type="http://schemas.openxmlformats.org/officeDocument/2006/relationships/hyperlink" Target="http://www.arkleg.state.ar.us/assembly/2019/2019R/Pages/CommitteeDetail.aspx?committeecode=860" TargetMode="External"/><Relationship Id="rId164" Type="http://schemas.openxmlformats.org/officeDocument/2006/relationships/hyperlink" Target="http://www.arkleg.state.ar.us/assembly/2019/2019R/Pages/CommitteeDetail.aspx?committeecode=860" TargetMode="External"/><Relationship Id="rId285" Type="http://schemas.openxmlformats.org/officeDocument/2006/relationships/hyperlink" Target="http://www.arkleg.state.ar.us/assembly/2019/2019R/Pages/CommitteeDetail.aspx?committeecode=007" TargetMode="External"/><Relationship Id="rId163" Type="http://schemas.openxmlformats.org/officeDocument/2006/relationships/hyperlink" Target="http://www.arkleg.state.ar.us/assembly/2019/2019R/Pages/CommitteeDetail.aspx?committeecode=530" TargetMode="External"/><Relationship Id="rId284" Type="http://schemas.openxmlformats.org/officeDocument/2006/relationships/hyperlink" Target="http://www.arkleg.state.ar.us/assembly/2019/2019R/Pages/CommitteeDetail.aspx?committeecode=005" TargetMode="External"/><Relationship Id="rId162" Type="http://schemas.openxmlformats.org/officeDocument/2006/relationships/hyperlink" Target="http://www.arkleg.state.ar.us/assembly/2019/2019R/Pages/CommitteeDetail.aspx?committeecode=830" TargetMode="External"/><Relationship Id="rId283" Type="http://schemas.openxmlformats.org/officeDocument/2006/relationships/hyperlink" Target="http://www.arkleg.state.ar.us/assembly/2019/2019R/Pages/CommitteeDetail.aspx?committeecode=003" TargetMode="External"/><Relationship Id="rId169" Type="http://schemas.openxmlformats.org/officeDocument/2006/relationships/hyperlink" Target="https://en.wikipedia.org/wiki/David_Whitaker_(politician)" TargetMode="External"/><Relationship Id="rId168" Type="http://schemas.openxmlformats.org/officeDocument/2006/relationships/hyperlink" Target="http://www.arkleg.state.ar.us/assembly/2019/2019R/Pages/CommitteeDetail.aspx?committeecode=880" TargetMode="External"/><Relationship Id="rId289" Type="http://schemas.openxmlformats.org/officeDocument/2006/relationships/hyperlink" Target="http://www.arkleg.state.ar.us/assembly/2019/2019R/Pages/CommitteeDetail.aspx?committeecode=440" TargetMode="External"/><Relationship Id="rId167" Type="http://schemas.openxmlformats.org/officeDocument/2006/relationships/hyperlink" Target="http://www.arkleg.state.ar.us/assembly/2019/2019R/Pages/CommitteeDetail.aspx?committeecode=821" TargetMode="External"/><Relationship Id="rId288" Type="http://schemas.openxmlformats.org/officeDocument/2006/relationships/hyperlink" Target="https://en.wikipedia.org/w/index.php?title=Ricky_Hill_(Arkansas_politician)&amp;action=edit&amp;redlink=1" TargetMode="External"/><Relationship Id="rId166" Type="http://schemas.openxmlformats.org/officeDocument/2006/relationships/hyperlink" Target="http://www.arkleg.state.ar.us/assembly/2019/2019R/Pages/CommitteeDetail.aspx?committeecode=820" TargetMode="External"/><Relationship Id="rId287" Type="http://schemas.openxmlformats.org/officeDocument/2006/relationships/hyperlink" Target="https://en.wikipedia.org/wiki/Beebe,_AR" TargetMode="External"/><Relationship Id="rId51" Type="http://schemas.openxmlformats.org/officeDocument/2006/relationships/hyperlink" Target="http://www.arkleg.state.ar.us/assembly/2019/2019R/Pages/CommitteeDetail.aspx?committeecode=830" TargetMode="External"/><Relationship Id="rId50" Type="http://schemas.openxmlformats.org/officeDocument/2006/relationships/hyperlink" Target="https://en.wikipedia.org/wiki/Richard_Womack" TargetMode="External"/><Relationship Id="rId53" Type="http://schemas.openxmlformats.org/officeDocument/2006/relationships/hyperlink" Target="http://www.arkleg.state.ar.us/assembly/2019/2019R/Pages/CommitteeDetail.aspx?committeecode=003" TargetMode="External"/><Relationship Id="rId52" Type="http://schemas.openxmlformats.org/officeDocument/2006/relationships/hyperlink" Target="http://www.arkleg.state.ar.us/assembly/2019/2019R/Pages/CommitteeDetail.aspx?committeecode=080" TargetMode="External"/><Relationship Id="rId55" Type="http://schemas.openxmlformats.org/officeDocument/2006/relationships/hyperlink" Target="https://en.wikipedia.org/wiki/Justin_Gonzales" TargetMode="External"/><Relationship Id="rId161" Type="http://schemas.openxmlformats.org/officeDocument/2006/relationships/hyperlink" Target="http://www.arkleg.state.ar.us/assembly/2019/2019R/Pages/CommitteeDetail.aspx?committeecode=823" TargetMode="External"/><Relationship Id="rId282" Type="http://schemas.openxmlformats.org/officeDocument/2006/relationships/hyperlink" Target="https://en.wikipedia.org/wiki/Jonathan_Dismang" TargetMode="External"/><Relationship Id="rId54" Type="http://schemas.openxmlformats.org/officeDocument/2006/relationships/hyperlink" Target="http://www.arkleg.state.ar.us/assembly/2019/2019R/Pages/CommitteeDetail.aspx?committeecode=050" TargetMode="External"/><Relationship Id="rId160" Type="http://schemas.openxmlformats.org/officeDocument/2006/relationships/hyperlink" Target="http://www.arkleg.state.ar.us/assembly/2019/2019R/Pages/CommitteeDetail.aspx?committeecode=820" TargetMode="External"/><Relationship Id="rId281" Type="http://schemas.openxmlformats.org/officeDocument/2006/relationships/hyperlink" Target="https://en.wikipedia.org/wiki/El_Dorado,_Arkansas" TargetMode="External"/><Relationship Id="rId57" Type="http://schemas.openxmlformats.org/officeDocument/2006/relationships/hyperlink" Target="http://www.arkleg.state.ar.us/assembly/2019/2019R/Pages/CommitteeDetail.aspx?committeecode=003" TargetMode="External"/><Relationship Id="rId280" Type="http://schemas.openxmlformats.org/officeDocument/2006/relationships/hyperlink" Target="http://www.arkleg.state.ar.us/assembly/2019/2019R/Pages/CommitteeDetail.aspx?committeecode=421" TargetMode="External"/><Relationship Id="rId56" Type="http://schemas.openxmlformats.org/officeDocument/2006/relationships/hyperlink" Target="http://www.arkleg.state.ar.us/assembly/2019/2019R/Pages/CommitteeDetail.aspx?committeecode=030" TargetMode="External"/><Relationship Id="rId159" Type="http://schemas.openxmlformats.org/officeDocument/2006/relationships/hyperlink" Target="http://www.arkleg.state.ar.us/assembly/2019/2019R/Pages/CommitteeDetail.aspx?committeecode=003" TargetMode="External"/><Relationship Id="rId59" Type="http://schemas.openxmlformats.org/officeDocument/2006/relationships/hyperlink" Target="https://en.wikipedia.org/w/index.php?title=John_Maddox_(politician)&amp;action=edit&amp;redlink=1" TargetMode="External"/><Relationship Id="rId154" Type="http://schemas.openxmlformats.org/officeDocument/2006/relationships/hyperlink" Target="http://www.arkleg.state.ar.us/assembly/2019/2019R/Pages/CommitteeDetail.aspx?committeecode=005" TargetMode="External"/><Relationship Id="rId275" Type="http://schemas.openxmlformats.org/officeDocument/2006/relationships/hyperlink" Target="https://en.wikipedia.org/wiki/Pine_Bluff,_AR" TargetMode="External"/><Relationship Id="rId58" Type="http://schemas.openxmlformats.org/officeDocument/2006/relationships/hyperlink" Target="http://www.arkleg.state.ar.us/assembly/2019/2019R/Pages/CommitteeDetail.aspx?committeecode=092" TargetMode="External"/><Relationship Id="rId153" Type="http://schemas.openxmlformats.org/officeDocument/2006/relationships/hyperlink" Target="http://www.arkleg.state.ar.us/assembly/2019/2019R/Pages/CommitteeDetail.aspx?committeecode=092" TargetMode="External"/><Relationship Id="rId274" Type="http://schemas.openxmlformats.org/officeDocument/2006/relationships/hyperlink" Target="http://www.arkleg.state.ar.us/assembly/2019/2019R/Pages/CommitteeDetail.aspx?committeecode=438" TargetMode="External"/><Relationship Id="rId152" Type="http://schemas.openxmlformats.org/officeDocument/2006/relationships/hyperlink" Target="http://www.arkleg.state.ar.us/assembly/2019/2019R/Pages/CommitteeDetail.aspx?committeecode=831" TargetMode="External"/><Relationship Id="rId273" Type="http://schemas.openxmlformats.org/officeDocument/2006/relationships/hyperlink" Target="http://www.arkleg.state.ar.us/assembly/2019/2019R/Pages/CommitteeDetail.aspx?committeecode=430" TargetMode="External"/><Relationship Id="rId151" Type="http://schemas.openxmlformats.org/officeDocument/2006/relationships/hyperlink" Target="http://www.arkleg.state.ar.us/assembly/2019/2019R/Pages/CommitteeDetail.aspx?committeecode=830" TargetMode="External"/><Relationship Id="rId272" Type="http://schemas.openxmlformats.org/officeDocument/2006/relationships/hyperlink" Target="https://en.wikipedia.org/wiki/Stephanie_Flowers" TargetMode="External"/><Relationship Id="rId158" Type="http://schemas.openxmlformats.org/officeDocument/2006/relationships/hyperlink" Target="http://www.arkleg.state.ar.us/assembly/2019/2019R/Pages/CommitteeDetail.aspx?committeecode=000" TargetMode="External"/><Relationship Id="rId279" Type="http://schemas.openxmlformats.org/officeDocument/2006/relationships/hyperlink" Target="http://www.arkleg.state.ar.us/assembly/2019/2019R/Pages/CommitteeDetail.aspx?committeecode=420" TargetMode="External"/><Relationship Id="rId157" Type="http://schemas.openxmlformats.org/officeDocument/2006/relationships/hyperlink" Target="http://www.arkleg.state.ar.us/assembly/2019/2019R/Pages/CommitteeDetail.aspx?committeecode=832" TargetMode="External"/><Relationship Id="rId278" Type="http://schemas.openxmlformats.org/officeDocument/2006/relationships/hyperlink" Target="https://en.wikipedia.org/w/index.php?title=Trent_Garner_(Arkansas_politician)&amp;action=edit&amp;redlink=1" TargetMode="External"/><Relationship Id="rId156" Type="http://schemas.openxmlformats.org/officeDocument/2006/relationships/hyperlink" Target="http://www.arkleg.state.ar.us/assembly/2019/2019R/Pages/CommitteeDetail.aspx?committeecode=830" TargetMode="External"/><Relationship Id="rId277" Type="http://schemas.openxmlformats.org/officeDocument/2006/relationships/hyperlink" Target="https://en.wikipedia.org/wiki/Crossett,_AR" TargetMode="External"/><Relationship Id="rId155" Type="http://schemas.openxmlformats.org/officeDocument/2006/relationships/hyperlink" Target="http://www.arkleg.state.ar.us/assembly/2019/2019R/Pages/CommitteeDetail.aspx?committeecode=810" TargetMode="External"/><Relationship Id="rId276" Type="http://schemas.openxmlformats.org/officeDocument/2006/relationships/hyperlink" Target="https://en.wikipedia.org/wiki/Eddie_Cheatham" TargetMode="External"/><Relationship Id="rId107" Type="http://schemas.openxmlformats.org/officeDocument/2006/relationships/hyperlink" Target="http://www.arkleg.state.ar.us/assembly/2019/2019R/Pages/CommitteeDetail.aspx?committeecode=820" TargetMode="External"/><Relationship Id="rId228" Type="http://schemas.openxmlformats.org/officeDocument/2006/relationships/hyperlink" Target="https://en.wikipedia.org/wiki/Waldron,_AR" TargetMode="External"/><Relationship Id="rId106" Type="http://schemas.openxmlformats.org/officeDocument/2006/relationships/hyperlink" Target="http://www.arkleg.state.ar.us/assembly/2019/2019R/Pages/CommitteeDetail.aspx?committeecode=840" TargetMode="External"/><Relationship Id="rId227" Type="http://schemas.openxmlformats.org/officeDocument/2006/relationships/hyperlink" Target="http://www.arkleg.state.ar.us/assembly/2019/2019R/Pages/CommitteeDetail.aspx?committeecode=422" TargetMode="External"/><Relationship Id="rId105" Type="http://schemas.openxmlformats.org/officeDocument/2006/relationships/hyperlink" Target="http://www.arkleg.state.ar.us/assembly/2019/2019R/Pages/CommitteeDetail.aspx?committeecode=688" TargetMode="External"/><Relationship Id="rId226" Type="http://schemas.openxmlformats.org/officeDocument/2006/relationships/hyperlink" Target="http://www.arkleg.state.ar.us/assembly/2019/2019R/Pages/CommitteeDetail.aspx?committeecode=421" TargetMode="External"/><Relationship Id="rId104" Type="http://schemas.openxmlformats.org/officeDocument/2006/relationships/hyperlink" Target="http://www.arkleg.state.ar.us/assembly/2019/2019R/Pages/CommitteeDetail.aspx?committeecode=685" TargetMode="External"/><Relationship Id="rId225" Type="http://schemas.openxmlformats.org/officeDocument/2006/relationships/hyperlink" Target="https://en.wikipedia.org/wiki/Terry_Rice" TargetMode="External"/><Relationship Id="rId109" Type="http://schemas.openxmlformats.org/officeDocument/2006/relationships/hyperlink" Target="http://www.arkleg.state.ar.us/assembly/2019/2019R/Pages/CommitteeDetail.aspx?committeecode=030" TargetMode="External"/><Relationship Id="rId108" Type="http://schemas.openxmlformats.org/officeDocument/2006/relationships/hyperlink" Target="http://www.arkleg.state.ar.us/assembly/2019/2019R/Pages/CommitteeDetail.aspx?committeecode=880" TargetMode="External"/><Relationship Id="rId229" Type="http://schemas.openxmlformats.org/officeDocument/2006/relationships/hyperlink" Target="https://en.wikipedia.org/wiki/Larry_Teague" TargetMode="External"/><Relationship Id="rId220" Type="http://schemas.openxmlformats.org/officeDocument/2006/relationships/hyperlink" Target="http://www.arkleg.state.ar.us/assembly/2019/2019R/Pages/CommitteeDetail.aspx?committeecode=422" TargetMode="External"/><Relationship Id="rId103" Type="http://schemas.openxmlformats.org/officeDocument/2006/relationships/hyperlink" Target="http://www.arkleg.state.ar.us/assembly/2019/2019R/Pages/CommitteeDetail.aspx?committeecode=820" TargetMode="External"/><Relationship Id="rId224" Type="http://schemas.openxmlformats.org/officeDocument/2006/relationships/hyperlink" Target="https://en.wikipedia.org/wiki/Springdale,_AR" TargetMode="External"/><Relationship Id="rId102" Type="http://schemas.openxmlformats.org/officeDocument/2006/relationships/hyperlink" Target="http://www.arkleg.state.ar.us/assembly/2019/2019R/Pages/CommitteeDetail.aspx?committeecode=810" TargetMode="External"/><Relationship Id="rId223" Type="http://schemas.openxmlformats.org/officeDocument/2006/relationships/hyperlink" Target="http://www.arkleg.state.ar.us/assembly/2019/2019R/Pages/CommitteeDetail.aspx?committeecode=430" TargetMode="External"/><Relationship Id="rId101" Type="http://schemas.openxmlformats.org/officeDocument/2006/relationships/hyperlink" Target="http://www.arkleg.state.ar.us/assembly/2019/2019R/Pages/CommitteeDetail.aspx?committeecode=962" TargetMode="External"/><Relationship Id="rId222" Type="http://schemas.openxmlformats.org/officeDocument/2006/relationships/hyperlink" Target="https://en.wikipedia.org/wiki/Lance_Eads" TargetMode="External"/><Relationship Id="rId100" Type="http://schemas.openxmlformats.org/officeDocument/2006/relationships/hyperlink" Target="http://www.arkleg.state.ar.us/assembly/2019/2019R/Pages/CommitteeDetail.aspx?committeecode=840" TargetMode="External"/><Relationship Id="rId221" Type="http://schemas.openxmlformats.org/officeDocument/2006/relationships/hyperlink" Target="https://en.wikipedia.org/wiki/Branch,_AR" TargetMode="External"/><Relationship Id="rId217" Type="http://schemas.openxmlformats.org/officeDocument/2006/relationships/hyperlink" Target="https://en.wikipedia.org/wiki/Gary_Stubblefield" TargetMode="External"/><Relationship Id="rId216" Type="http://schemas.openxmlformats.org/officeDocument/2006/relationships/hyperlink" Target="https://en.wikipedia.org/wiki/Green_Forest,_AR" TargetMode="External"/><Relationship Id="rId215" Type="http://schemas.openxmlformats.org/officeDocument/2006/relationships/hyperlink" Target="https://en.wikipedia.org/wiki/Fayetteville,_Arkansas" TargetMode="External"/><Relationship Id="rId214" Type="http://schemas.openxmlformats.org/officeDocument/2006/relationships/hyperlink" Target="https://en.wikipedia.org/wiki/Rogers,_Arkansas" TargetMode="External"/><Relationship Id="rId219" Type="http://schemas.openxmlformats.org/officeDocument/2006/relationships/hyperlink" Target="http://www.arkleg.state.ar.us/assembly/2019/2019R/Pages/CommitteeDetail.aspx?committeecode=421" TargetMode="External"/><Relationship Id="rId218" Type="http://schemas.openxmlformats.org/officeDocument/2006/relationships/hyperlink" Target="http://www.arkleg.state.ar.us/assembly/2019/2019R/Pages/CommitteeDetail.aspx?committeecode=420" TargetMode="External"/><Relationship Id="rId213" Type="http://schemas.openxmlformats.org/officeDocument/2006/relationships/hyperlink" Target="http://www.arkleg.state.ar.us/assembly/2019/2019R/Pages/CommitteeDetail.aspx?committeecode=003" TargetMode="External"/><Relationship Id="rId212" Type="http://schemas.openxmlformats.org/officeDocument/2006/relationships/hyperlink" Target="http://www.arkleg.state.ar.us/assembly/2019/2019R/Pages/CommitteeDetail.aspx?committeecode=000" TargetMode="External"/><Relationship Id="rId211" Type="http://schemas.openxmlformats.org/officeDocument/2006/relationships/hyperlink" Target="https://en.wikipedia.org/wiki/Cecile_Bledsoe" TargetMode="External"/><Relationship Id="rId210" Type="http://schemas.openxmlformats.org/officeDocument/2006/relationships/hyperlink" Target="https://en.wikipedia.org/wiki/Gravette,_AR" TargetMode="External"/><Relationship Id="rId129" Type="http://schemas.openxmlformats.org/officeDocument/2006/relationships/hyperlink" Target="http://www.arkleg.state.ar.us/assembly/2019/2019R/Pages/CommitteeDetail.aspx?committeecode=880" TargetMode="External"/><Relationship Id="rId128" Type="http://schemas.openxmlformats.org/officeDocument/2006/relationships/hyperlink" Target="http://www.arkleg.state.ar.us/assembly/2019/2019R/Pages/CommitteeDetail.aspx?committeecode=820" TargetMode="External"/><Relationship Id="rId249" Type="http://schemas.openxmlformats.org/officeDocument/2006/relationships/hyperlink" Target="https://en.wikipedia.org/wiki/Scott_Flippo" TargetMode="External"/><Relationship Id="rId127" Type="http://schemas.openxmlformats.org/officeDocument/2006/relationships/hyperlink" Target="http://www.arkleg.state.ar.us/assembly/2019/2019R/Pages/CommitteeDetail.aspx?committeecode=003" TargetMode="External"/><Relationship Id="rId248" Type="http://schemas.openxmlformats.org/officeDocument/2006/relationships/hyperlink" Target="https://en.wikipedia.org/wiki/Russellville,_AR" TargetMode="External"/><Relationship Id="rId126" Type="http://schemas.openxmlformats.org/officeDocument/2006/relationships/hyperlink" Target="http://www.arkleg.state.ar.us/assembly/2019/2019R/Pages/CommitteeDetail.aspx?committeecode=000" TargetMode="External"/><Relationship Id="rId247" Type="http://schemas.openxmlformats.org/officeDocument/2006/relationships/hyperlink" Target="http://www.arkleg.state.ar.us/assembly/2019/2019R/Pages/CommitteeDetail.aspx?committeecode=951" TargetMode="External"/><Relationship Id="rId121" Type="http://schemas.openxmlformats.org/officeDocument/2006/relationships/hyperlink" Target="http://www.arkleg.state.ar.us/assembly/2019/2019R/Pages/CommitteeDetail.aspx?committeecode=810" TargetMode="External"/><Relationship Id="rId242" Type="http://schemas.openxmlformats.org/officeDocument/2006/relationships/hyperlink" Target="https://en.wikipedia.org/wiki/Little_Rock,_AR" TargetMode="External"/><Relationship Id="rId120" Type="http://schemas.openxmlformats.org/officeDocument/2006/relationships/hyperlink" Target="http://www.arkleg.state.ar.us/assembly/2019/2019R/Pages/CommitteeDetail.aspx?committeecode=108" TargetMode="External"/><Relationship Id="rId241" Type="http://schemas.openxmlformats.org/officeDocument/2006/relationships/hyperlink" Target="https://en.wikipedia.org/wiki/Hot_Springs,_AR" TargetMode="External"/><Relationship Id="rId240" Type="http://schemas.openxmlformats.org/officeDocument/2006/relationships/hyperlink" Target="http://www.arkleg.state.ar.us/assembly/2019/2019R/Pages/CommitteeDetail.aspx?committeecode=092" TargetMode="External"/><Relationship Id="rId125" Type="http://schemas.openxmlformats.org/officeDocument/2006/relationships/hyperlink" Target="http://www.arkleg.state.ar.us/assembly/2019/2019R/Pages/CommitteeDetail.aspx?committeecode=005" TargetMode="External"/><Relationship Id="rId246" Type="http://schemas.openxmlformats.org/officeDocument/2006/relationships/hyperlink" Target="http://www.arkleg.state.ar.us/assembly/2019/2019R/Pages/CommitteeDetail.aspx?committeecode=550" TargetMode="External"/><Relationship Id="rId124" Type="http://schemas.openxmlformats.org/officeDocument/2006/relationships/hyperlink" Target="http://www.arkleg.state.ar.us/assembly/2019/2019R/Pages/CommitteeDetail.aspx?committeecode=003" TargetMode="External"/><Relationship Id="rId245" Type="http://schemas.openxmlformats.org/officeDocument/2006/relationships/hyperlink" Target="http://www.arkleg.state.ar.us/assembly/2019/2019R/Pages/CommitteeDetail.aspx?committeecode=490" TargetMode="External"/><Relationship Id="rId123" Type="http://schemas.openxmlformats.org/officeDocument/2006/relationships/hyperlink" Target="http://www.arkleg.state.ar.us/assembly/2019/2019R/Pages/CommitteeDetail.aspx?committeecode=840" TargetMode="External"/><Relationship Id="rId244" Type="http://schemas.openxmlformats.org/officeDocument/2006/relationships/hyperlink" Target="http://www.arkleg.state.ar.us/assembly/2019/2019R/Pages/CommitteeDetail.aspx?committeecode=420" TargetMode="External"/><Relationship Id="rId122" Type="http://schemas.openxmlformats.org/officeDocument/2006/relationships/hyperlink" Target="http://www.arkleg.state.ar.us/assembly/2019/2019R/Pages/CommitteeDetail.aspx?committeecode=530" TargetMode="External"/><Relationship Id="rId243" Type="http://schemas.openxmlformats.org/officeDocument/2006/relationships/hyperlink" Target="https://en.wikipedia.org/w/index.php?title=Breanne_Davis&amp;action=edit&amp;redlink=1" TargetMode="External"/><Relationship Id="rId95" Type="http://schemas.openxmlformats.org/officeDocument/2006/relationships/hyperlink" Target="http://www.arkleg.state.ar.us/assembly/2019/2019R/Pages/CommitteeDetail.aspx?committeecode=930" TargetMode="External"/><Relationship Id="rId94" Type="http://schemas.openxmlformats.org/officeDocument/2006/relationships/hyperlink" Target="http://www.arkleg.state.ar.us/assembly/2019/2019R/Pages/CommitteeDetail.aspx?committeecode=860" TargetMode="External"/><Relationship Id="rId97" Type="http://schemas.openxmlformats.org/officeDocument/2006/relationships/hyperlink" Target="http://www.arkleg.state.ar.us/assembly/2019/2019R/Pages/CommitteeDetail.aspx?committeecode=820" TargetMode="External"/><Relationship Id="rId96" Type="http://schemas.openxmlformats.org/officeDocument/2006/relationships/hyperlink" Target="http://www.arkleg.state.ar.us/assembly/2019/2019R/Pages/CommitteeDetail.aspx?committeecode=949" TargetMode="External"/><Relationship Id="rId99" Type="http://schemas.openxmlformats.org/officeDocument/2006/relationships/hyperlink" Target="http://www.arkleg.state.ar.us/assembly/2019/2019R/Pages/CommitteeDetail.aspx?committeecode=003" TargetMode="External"/><Relationship Id="rId98" Type="http://schemas.openxmlformats.org/officeDocument/2006/relationships/hyperlink" Target="http://www.arkleg.state.ar.us/assembly/2019/2019R/Pages/CommitteeDetail.aspx?committeecode=860" TargetMode="External"/><Relationship Id="rId91" Type="http://schemas.openxmlformats.org/officeDocument/2006/relationships/hyperlink" Target="http://www.arkleg.state.ar.us/assembly/2019/2019R/Pages/CommitteeDetail.aspx?committeecode=510" TargetMode="External"/><Relationship Id="rId90" Type="http://schemas.openxmlformats.org/officeDocument/2006/relationships/hyperlink" Target="http://www.arkleg.state.ar.us/assembly/2019/2019R/Pages/CommitteeDetail.aspx?committeecode=003" TargetMode="External"/><Relationship Id="rId93" Type="http://schemas.openxmlformats.org/officeDocument/2006/relationships/hyperlink" Target="http://www.arkleg.state.ar.us/assembly/2019/2019R/Pages/CommitteeDetail.aspx?committeecode=810" TargetMode="External"/><Relationship Id="rId92" Type="http://schemas.openxmlformats.org/officeDocument/2006/relationships/hyperlink" Target="http://www.arkleg.state.ar.us/assembly/2019/2019R/Pages/CommitteeDetail.aspx?committeecode=840" TargetMode="External"/><Relationship Id="rId118" Type="http://schemas.openxmlformats.org/officeDocument/2006/relationships/hyperlink" Target="http://www.arkleg.state.ar.us/assembly/2019/2019R/Pages/CommitteeDetail.aspx?committeecode=096" TargetMode="External"/><Relationship Id="rId239" Type="http://schemas.openxmlformats.org/officeDocument/2006/relationships/hyperlink" Target="https://en.wikipedia.org/wiki/Bill_Sample" TargetMode="External"/><Relationship Id="rId117" Type="http://schemas.openxmlformats.org/officeDocument/2006/relationships/hyperlink" Target="http://www.arkleg.state.ar.us/assembly/2019/2019R/Pages/CommitteeDetail.aspx?committeecode=949" TargetMode="External"/><Relationship Id="rId238" Type="http://schemas.openxmlformats.org/officeDocument/2006/relationships/hyperlink" Target="https://en.wikipedia.org/wiki/Lonsdale,_AR" TargetMode="External"/><Relationship Id="rId116" Type="http://schemas.openxmlformats.org/officeDocument/2006/relationships/hyperlink" Target="http://www.arkleg.state.ar.us/assembly/2019/2019R/Pages/CommitteeDetail.aspx?committeecode=005" TargetMode="External"/><Relationship Id="rId237" Type="http://schemas.openxmlformats.org/officeDocument/2006/relationships/hyperlink" Target="http://www.arkleg.state.ar.us/assembly/2019/2019R/Pages/CommitteeDetail.aspx?committeecode=110" TargetMode="External"/><Relationship Id="rId115" Type="http://schemas.openxmlformats.org/officeDocument/2006/relationships/hyperlink" Target="http://www.arkleg.state.ar.us/assembly/2019/2019R/Pages/CommitteeDetail.aspx?committeecode=820" TargetMode="External"/><Relationship Id="rId236" Type="http://schemas.openxmlformats.org/officeDocument/2006/relationships/hyperlink" Target="https://en.wikipedia.org/wiki/Alan_Clark_(Arkansas_politician)" TargetMode="External"/><Relationship Id="rId119" Type="http://schemas.openxmlformats.org/officeDocument/2006/relationships/hyperlink" Target="http://www.arkleg.state.ar.us/assembly/2019/2019R/Pages/CommitteeDetail.aspx?committeecode=900" TargetMode="External"/><Relationship Id="rId110" Type="http://schemas.openxmlformats.org/officeDocument/2006/relationships/hyperlink" Target="http://www.arkleg.state.ar.us/assembly/2019/2019R/Pages/CommitteeDetail.aspx?committeecode=032" TargetMode="External"/><Relationship Id="rId231" Type="http://schemas.openxmlformats.org/officeDocument/2006/relationships/hyperlink" Target="https://en.wikipedia.org/wiki/Jimmy_Hickey_Jr." TargetMode="External"/><Relationship Id="rId230" Type="http://schemas.openxmlformats.org/officeDocument/2006/relationships/hyperlink" Target="https://en.wikipedia.org/wiki/Nashville,_AR" TargetMode="External"/><Relationship Id="rId114" Type="http://schemas.openxmlformats.org/officeDocument/2006/relationships/hyperlink" Target="http://www.arkleg.state.ar.us/assembly/2019/2019R/Pages/CommitteeDetail.aspx?committeecode=860" TargetMode="External"/><Relationship Id="rId235" Type="http://schemas.openxmlformats.org/officeDocument/2006/relationships/hyperlink" Target="https://en.wikipedia.org/wiki/Magnolia,_AR" TargetMode="External"/><Relationship Id="rId113" Type="http://schemas.openxmlformats.org/officeDocument/2006/relationships/hyperlink" Target="http://www.arkleg.state.ar.us/assembly/2019/2019R/Pages/CommitteeDetail.aspx?committeecode=510" TargetMode="External"/><Relationship Id="rId234" Type="http://schemas.openxmlformats.org/officeDocument/2006/relationships/hyperlink" Target="https://en.wikipedia.org/wiki/Bruce_Maloch" TargetMode="External"/><Relationship Id="rId112" Type="http://schemas.openxmlformats.org/officeDocument/2006/relationships/hyperlink" Target="http://www.arkleg.state.ar.us/assembly/2019/2019R/Pages/CommitteeDetail.aspx?committeecode=093" TargetMode="External"/><Relationship Id="rId233" Type="http://schemas.openxmlformats.org/officeDocument/2006/relationships/hyperlink" Target="https://en.wikipedia.org/wiki/Texarkana,_Arkansas" TargetMode="External"/><Relationship Id="rId111" Type="http://schemas.openxmlformats.org/officeDocument/2006/relationships/hyperlink" Target="http://www.arkleg.state.ar.us/assembly/2019/2019R/Pages/CommitteeDetail.aspx?committeecode=080" TargetMode="External"/><Relationship Id="rId232" Type="http://schemas.openxmlformats.org/officeDocument/2006/relationships/hyperlink" Target="http://www.arkleg.state.ar.us/assembly/2019/2019R/Pages/CommitteeDetail.aspx?committeecode=003" TargetMode="External"/><Relationship Id="rId305" Type="http://schemas.openxmlformats.org/officeDocument/2006/relationships/hyperlink" Target="https://en.wikipedia.org/wiki/Jane_English_(Arkansas_politician)" TargetMode="External"/><Relationship Id="rId304" Type="http://schemas.openxmlformats.org/officeDocument/2006/relationships/hyperlink" Target="https://en.wikipedia.org/wiki/Benton,_AR" TargetMode="External"/><Relationship Id="rId303" Type="http://schemas.openxmlformats.org/officeDocument/2006/relationships/hyperlink" Target="https://en.wikipedia.org/wiki/Little_Rock,_AR" TargetMode="External"/><Relationship Id="rId302" Type="http://schemas.openxmlformats.org/officeDocument/2006/relationships/hyperlink" Target="http://www.arkleg.state.ar.us/assembly/2019/2019R/Pages/CommitteeDetail.aspx?committeecode=422" TargetMode="External"/><Relationship Id="rId309" Type="http://schemas.openxmlformats.org/officeDocument/2006/relationships/drawing" Target="../drawings/drawing5.xml"/><Relationship Id="rId308" Type="http://schemas.openxmlformats.org/officeDocument/2006/relationships/hyperlink" Target="https://en.wikipedia.org/wiki/Conway,_AR" TargetMode="External"/><Relationship Id="rId307" Type="http://schemas.openxmlformats.org/officeDocument/2006/relationships/hyperlink" Target="https://en.wikipedia.org/wiki/Jason_Rapert" TargetMode="External"/><Relationship Id="rId306" Type="http://schemas.openxmlformats.org/officeDocument/2006/relationships/hyperlink" Target="https://en.wikipedia.org/wiki/North_Little_Rock,_AR" TargetMode="External"/><Relationship Id="rId301" Type="http://schemas.openxmlformats.org/officeDocument/2006/relationships/hyperlink" Target="http://www.arkleg.state.ar.us/assembly/2019/2019R/Pages/CommitteeDetail.aspx?committeecode=420" TargetMode="External"/><Relationship Id="rId300" Type="http://schemas.openxmlformats.org/officeDocument/2006/relationships/hyperlink" Target="https://en.wikipedia.org/wiki/Will_Bond" TargetMode="External"/><Relationship Id="rId206" Type="http://schemas.openxmlformats.org/officeDocument/2006/relationships/hyperlink" Target="http://www.arkleg.state.ar.us/assembly/2019/2019R/Pages/CommitteeDetail.aspx?committeecode=520" TargetMode="External"/><Relationship Id="rId205" Type="http://schemas.openxmlformats.org/officeDocument/2006/relationships/hyperlink" Target="https://en.wikipedia.org/wiki/Nelda_Speaks" TargetMode="External"/><Relationship Id="rId204" Type="http://schemas.openxmlformats.org/officeDocument/2006/relationships/hyperlink" Target="http://www.arkleg.state.ar.us/assembly/2019/2019R/Pages/CommitteeDetail.aspx?committeecode=841" TargetMode="External"/><Relationship Id="rId203" Type="http://schemas.openxmlformats.org/officeDocument/2006/relationships/hyperlink" Target="http://www.arkleg.state.ar.us/assembly/2019/2019R/Pages/CommitteeDetail.aspx?committeecode=840" TargetMode="External"/><Relationship Id="rId209" Type="http://schemas.openxmlformats.org/officeDocument/2006/relationships/hyperlink" Target="https://en.wikipedia.org/wiki/Jim_Hendren" TargetMode="External"/><Relationship Id="rId208" Type="http://schemas.openxmlformats.org/officeDocument/2006/relationships/hyperlink" Target="https://en.wikipedia.org/wiki/Cave_Springs,_AR" TargetMode="External"/><Relationship Id="rId207" Type="http://schemas.openxmlformats.org/officeDocument/2006/relationships/hyperlink" Target="https://en.wikipedia.org/wiki/Bart_Hester" TargetMode="External"/><Relationship Id="rId202" Type="http://schemas.openxmlformats.org/officeDocument/2006/relationships/hyperlink" Target="http://www.arkleg.state.ar.us/assembly/2019/2019R/Pages/CommitteeDetail.aspx?committeecode=520" TargetMode="External"/><Relationship Id="rId201" Type="http://schemas.openxmlformats.org/officeDocument/2006/relationships/hyperlink" Target="https://en.wikipedia.org/w/index.php?title=Jack_Fortner&amp;action=edit&amp;redlink=1" TargetMode="External"/><Relationship Id="rId200" Type="http://schemas.openxmlformats.org/officeDocument/2006/relationships/hyperlink" Target="http://www.arkleg.state.ar.us/assembly/2019/2019R/Pages/CommitteeDetail.aspx?committeecode=007" TargetMode="External"/></Relationships>
</file>

<file path=xl/worksheets/_rels/sheet6.xml.rels><?xml version="1.0" encoding="UTF-8" standalone="yes"?><Relationships xmlns="http://schemas.openxmlformats.org/package/2006/relationships"><Relationship Id="rId40" Type="http://schemas.openxmlformats.org/officeDocument/2006/relationships/hyperlink" Target="https://en.wikipedia.org/wiki/California%27s_21st_State_Assembly_district" TargetMode="External"/><Relationship Id="rId190" Type="http://schemas.openxmlformats.org/officeDocument/2006/relationships/hyperlink" Target="https://en.wikipedia.org/wiki/California%27s_21st_State_Senate_district" TargetMode="External"/><Relationship Id="rId42" Type="http://schemas.openxmlformats.org/officeDocument/2006/relationships/hyperlink" Target="https://en.wikipedia.org/wiki/California%27s_22nd_State_Assembly_district" TargetMode="External"/><Relationship Id="rId41" Type="http://schemas.openxmlformats.org/officeDocument/2006/relationships/hyperlink" Target="https://en.wikipedia.org/wiki/Adam_Gray" TargetMode="External"/><Relationship Id="rId44" Type="http://schemas.openxmlformats.org/officeDocument/2006/relationships/hyperlink" Target="https://en.wikipedia.org/wiki/California%27s_23rd_State_Assembly_district" TargetMode="External"/><Relationship Id="rId194" Type="http://schemas.openxmlformats.org/officeDocument/2006/relationships/hyperlink" Target="https://en.wikipedia.org/wiki/Mike_Morrell" TargetMode="External"/><Relationship Id="rId43" Type="http://schemas.openxmlformats.org/officeDocument/2006/relationships/hyperlink" Target="https://en.wikipedia.org/wiki/Kevin_Mullin" TargetMode="External"/><Relationship Id="rId193" Type="http://schemas.openxmlformats.org/officeDocument/2006/relationships/hyperlink" Target="https://en.wikipedia.org/wiki/California%27s_23rd_State_Senate_district" TargetMode="External"/><Relationship Id="rId46" Type="http://schemas.openxmlformats.org/officeDocument/2006/relationships/hyperlink" Target="https://en.wikipedia.org/wiki/California%27s_24th_State_Assembly_district" TargetMode="External"/><Relationship Id="rId192" Type="http://schemas.openxmlformats.org/officeDocument/2006/relationships/hyperlink" Target="https://en.wikipedia.org/wiki/California%27s_22nd_State_Senate_district" TargetMode="External"/><Relationship Id="rId45" Type="http://schemas.openxmlformats.org/officeDocument/2006/relationships/hyperlink" Target="https://en.wikipedia.org/wiki/Jim_Patterson_(California_politician)" TargetMode="External"/><Relationship Id="rId191" Type="http://schemas.openxmlformats.org/officeDocument/2006/relationships/hyperlink" Target="https://en.wikipedia.org/wiki/Scott_Wilk" TargetMode="External"/><Relationship Id="rId48" Type="http://schemas.openxmlformats.org/officeDocument/2006/relationships/hyperlink" Target="https://en.wikipedia.org/wiki/California%27s_25th_State_Assembly_district" TargetMode="External"/><Relationship Id="rId187" Type="http://schemas.openxmlformats.org/officeDocument/2006/relationships/hyperlink" Target="https://en.wikipedia.org/wiki/California%27s_19th_State_Senate_district" TargetMode="External"/><Relationship Id="rId47" Type="http://schemas.openxmlformats.org/officeDocument/2006/relationships/hyperlink" Target="https://en.wikipedia.org/wiki/Marc_Berman" TargetMode="External"/><Relationship Id="rId186" Type="http://schemas.openxmlformats.org/officeDocument/2006/relationships/hyperlink" Target="https://en.wikipedia.org/wiki/Robert_Hertzberg" TargetMode="External"/><Relationship Id="rId185" Type="http://schemas.openxmlformats.org/officeDocument/2006/relationships/hyperlink" Target="https://en.wikipedia.org/wiki/California%27s_18th_State_Senate_district" TargetMode="External"/><Relationship Id="rId49" Type="http://schemas.openxmlformats.org/officeDocument/2006/relationships/hyperlink" Target="https://en.wikipedia.org/wiki/Kansen_Chu" TargetMode="External"/><Relationship Id="rId184" Type="http://schemas.openxmlformats.org/officeDocument/2006/relationships/hyperlink" Target="https://en.wikipedia.org/wiki/Bill_Monning" TargetMode="External"/><Relationship Id="rId189" Type="http://schemas.openxmlformats.org/officeDocument/2006/relationships/hyperlink" Target="https://en.wikipedia.org/wiki/California%27s_20th_State_Senate_district" TargetMode="External"/><Relationship Id="rId188" Type="http://schemas.openxmlformats.org/officeDocument/2006/relationships/hyperlink" Target="https://en.wikipedia.org/wiki/Hannah-Beth_Jackson" TargetMode="External"/><Relationship Id="rId31" Type="http://schemas.openxmlformats.org/officeDocument/2006/relationships/hyperlink" Target="https://en.wikipedia.org/wiki/Catharine_Baker" TargetMode="External"/><Relationship Id="rId30" Type="http://schemas.openxmlformats.org/officeDocument/2006/relationships/hyperlink" Target="https://en.wikipedia.org/wiki/California%27s_16th_State_Assembly_district" TargetMode="External"/><Relationship Id="rId33" Type="http://schemas.openxmlformats.org/officeDocument/2006/relationships/hyperlink" Target="https://en.wikipedia.org/wiki/David_Chiu_(politician)" TargetMode="External"/><Relationship Id="rId183" Type="http://schemas.openxmlformats.org/officeDocument/2006/relationships/hyperlink" Target="https://en.wikipedia.org/wiki/California%27s_16th_State_Senate_district" TargetMode="External"/><Relationship Id="rId32" Type="http://schemas.openxmlformats.org/officeDocument/2006/relationships/hyperlink" Target="https://en.wikipedia.org/wiki/California%27s_17th_State_Assembly_district" TargetMode="External"/><Relationship Id="rId182" Type="http://schemas.openxmlformats.org/officeDocument/2006/relationships/hyperlink" Target="https://en.wikipedia.org/wiki/Jim_Beall_(California_politician)" TargetMode="External"/><Relationship Id="rId35" Type="http://schemas.openxmlformats.org/officeDocument/2006/relationships/hyperlink" Target="https://en.wikipedia.org/wiki/Rob_Bonta" TargetMode="External"/><Relationship Id="rId181" Type="http://schemas.openxmlformats.org/officeDocument/2006/relationships/hyperlink" Target="https://en.wikipedia.org/wiki/California%27s_15th_State_Senate_district" TargetMode="External"/><Relationship Id="rId34" Type="http://schemas.openxmlformats.org/officeDocument/2006/relationships/hyperlink" Target="https://en.wikipedia.org/wiki/California%27s_18th_State_Assembly_district" TargetMode="External"/><Relationship Id="rId180" Type="http://schemas.openxmlformats.org/officeDocument/2006/relationships/hyperlink" Target="https://en.wikipedia.org/wiki/Andy_Vidak" TargetMode="External"/><Relationship Id="rId37" Type="http://schemas.openxmlformats.org/officeDocument/2006/relationships/hyperlink" Target="https://en.wikipedia.org/wiki/Phil_Ting" TargetMode="External"/><Relationship Id="rId176" Type="http://schemas.openxmlformats.org/officeDocument/2006/relationships/hyperlink" Target="https://en.wikipedia.org/wiki/California%27s_12th_State_Senate_district" TargetMode="External"/><Relationship Id="rId36" Type="http://schemas.openxmlformats.org/officeDocument/2006/relationships/hyperlink" Target="https://en.wikipedia.org/wiki/California%27s_19th_State_Assembly_district" TargetMode="External"/><Relationship Id="rId175" Type="http://schemas.openxmlformats.org/officeDocument/2006/relationships/hyperlink" Target="https://en.wikipedia.org/wiki/Scott_Wiener" TargetMode="External"/><Relationship Id="rId39" Type="http://schemas.openxmlformats.org/officeDocument/2006/relationships/hyperlink" Target="https://en.wikipedia.org/wiki/Bill_Quirk" TargetMode="External"/><Relationship Id="rId174" Type="http://schemas.openxmlformats.org/officeDocument/2006/relationships/hyperlink" Target="https://en.wikipedia.org/wiki/California%27s_11th_State_Senate_district" TargetMode="External"/><Relationship Id="rId38" Type="http://schemas.openxmlformats.org/officeDocument/2006/relationships/hyperlink" Target="https://en.wikipedia.org/wiki/California%27s_20th_State_Assembly_district" TargetMode="External"/><Relationship Id="rId173" Type="http://schemas.openxmlformats.org/officeDocument/2006/relationships/hyperlink" Target="https://en.wikipedia.org/wiki/Bob_Wieckowski" TargetMode="External"/><Relationship Id="rId179" Type="http://schemas.openxmlformats.org/officeDocument/2006/relationships/hyperlink" Target="https://en.wikipedia.org/wiki/California%27s_14th_State_Senate_district" TargetMode="External"/><Relationship Id="rId178" Type="http://schemas.openxmlformats.org/officeDocument/2006/relationships/hyperlink" Target="https://en.wikipedia.org/wiki/Jerry_Hill_(politician)" TargetMode="External"/><Relationship Id="rId177" Type="http://schemas.openxmlformats.org/officeDocument/2006/relationships/hyperlink" Target="https://en.wikipedia.org/wiki/California%27s_13th_State_Senate_district" TargetMode="External"/><Relationship Id="rId20" Type="http://schemas.openxmlformats.org/officeDocument/2006/relationships/hyperlink" Target="https://en.wikipedia.org/wiki/Marc_Levine" TargetMode="External"/><Relationship Id="rId22" Type="http://schemas.openxmlformats.org/officeDocument/2006/relationships/hyperlink" Target="https://en.wikipedia.org/wiki/Jim_Frazier_(politician)" TargetMode="External"/><Relationship Id="rId21" Type="http://schemas.openxmlformats.org/officeDocument/2006/relationships/hyperlink" Target="https://en.wikipedia.org/wiki/California%27s_11th_State_Assembly_district" TargetMode="External"/><Relationship Id="rId24" Type="http://schemas.openxmlformats.org/officeDocument/2006/relationships/hyperlink" Target="https://en.wikipedia.org/wiki/Heath_Flora" TargetMode="External"/><Relationship Id="rId23" Type="http://schemas.openxmlformats.org/officeDocument/2006/relationships/hyperlink" Target="https://en.wikipedia.org/wiki/California%27s_12th_State_Assembly_district" TargetMode="External"/><Relationship Id="rId26" Type="http://schemas.openxmlformats.org/officeDocument/2006/relationships/hyperlink" Target="https://en.wikipedia.org/wiki/Susan_Eggman" TargetMode="External"/><Relationship Id="rId25" Type="http://schemas.openxmlformats.org/officeDocument/2006/relationships/hyperlink" Target="https://en.wikipedia.org/wiki/California%27s_13th_State_Assembly_district" TargetMode="External"/><Relationship Id="rId28" Type="http://schemas.openxmlformats.org/officeDocument/2006/relationships/hyperlink" Target="https://en.wikipedia.org/wiki/Tim_Grayson" TargetMode="External"/><Relationship Id="rId27" Type="http://schemas.openxmlformats.org/officeDocument/2006/relationships/hyperlink" Target="https://en.wikipedia.org/wiki/California%27s_14th_State_Assembly_district" TargetMode="External"/><Relationship Id="rId29" Type="http://schemas.openxmlformats.org/officeDocument/2006/relationships/hyperlink" Target="https://en.wikipedia.org/wiki/California%27s_15th_State_Assembly_district" TargetMode="External"/><Relationship Id="rId11" Type="http://schemas.openxmlformats.org/officeDocument/2006/relationships/hyperlink" Target="https://en.wikipedia.org/wiki/California%27s_6th_State_Assembly_district" TargetMode="External"/><Relationship Id="rId10" Type="http://schemas.openxmlformats.org/officeDocument/2006/relationships/hyperlink" Target="https://en.wikipedia.org/wiki/Frank_Bigelow" TargetMode="External"/><Relationship Id="rId13" Type="http://schemas.openxmlformats.org/officeDocument/2006/relationships/hyperlink" Target="https://en.wikipedia.org/wiki/California%27s_7th_State_Assembly_district" TargetMode="External"/><Relationship Id="rId12" Type="http://schemas.openxmlformats.org/officeDocument/2006/relationships/hyperlink" Target="https://en.wikipedia.org/wiki/Kevin_Kiley_(politician)" TargetMode="External"/><Relationship Id="rId15" Type="http://schemas.openxmlformats.org/officeDocument/2006/relationships/hyperlink" Target="https://en.wikipedia.org/wiki/California%27s_8th_State_Assembly_district" TargetMode="External"/><Relationship Id="rId198" Type="http://schemas.openxmlformats.org/officeDocument/2006/relationships/hyperlink" Target="https://en.wikipedia.org/wiki/Ben_Allen" TargetMode="External"/><Relationship Id="rId14" Type="http://schemas.openxmlformats.org/officeDocument/2006/relationships/hyperlink" Target="https://en.wikipedia.org/wiki/Kevin_McCarty" TargetMode="External"/><Relationship Id="rId197" Type="http://schemas.openxmlformats.org/officeDocument/2006/relationships/hyperlink" Target="https://en.wikipedia.org/wiki/California%27s_26th_State_Senate_district" TargetMode="External"/><Relationship Id="rId17" Type="http://schemas.openxmlformats.org/officeDocument/2006/relationships/hyperlink" Target="https://en.wikipedia.org/wiki/California%27s_9th_State_Assembly_district" TargetMode="External"/><Relationship Id="rId196" Type="http://schemas.openxmlformats.org/officeDocument/2006/relationships/hyperlink" Target="https://en.wikipedia.org/wiki/California%27s_25th_State_Senate_district" TargetMode="External"/><Relationship Id="rId16" Type="http://schemas.openxmlformats.org/officeDocument/2006/relationships/hyperlink" Target="https://en.wikipedia.org/wiki/Ken_Cooley" TargetMode="External"/><Relationship Id="rId195" Type="http://schemas.openxmlformats.org/officeDocument/2006/relationships/hyperlink" Target="https://en.wikipedia.org/wiki/California%27s_24th_State_Senate_district" TargetMode="External"/><Relationship Id="rId19" Type="http://schemas.openxmlformats.org/officeDocument/2006/relationships/hyperlink" Target="https://en.wikipedia.org/wiki/California%27s_10th_State_Assembly_district" TargetMode="External"/><Relationship Id="rId18" Type="http://schemas.openxmlformats.org/officeDocument/2006/relationships/hyperlink" Target="https://en.wikipedia.org/wiki/Jim_Cooper_(California_politician)" TargetMode="External"/><Relationship Id="rId199" Type="http://schemas.openxmlformats.org/officeDocument/2006/relationships/hyperlink" Target="https://en.wikipedia.org/wiki/California%27s_27th_State_Senate_district" TargetMode="External"/><Relationship Id="rId84" Type="http://schemas.openxmlformats.org/officeDocument/2006/relationships/hyperlink" Target="https://en.wikipedia.org/wiki/California%27s_44th_State_Assembly_district" TargetMode="External"/><Relationship Id="rId83" Type="http://schemas.openxmlformats.org/officeDocument/2006/relationships/hyperlink" Target="https://en.wikipedia.org/wiki/Laura_Friedman" TargetMode="External"/><Relationship Id="rId86" Type="http://schemas.openxmlformats.org/officeDocument/2006/relationships/hyperlink" Target="https://en.wikipedia.org/wiki/California%27s_45th_State_Assembly_district" TargetMode="External"/><Relationship Id="rId85" Type="http://schemas.openxmlformats.org/officeDocument/2006/relationships/hyperlink" Target="https://en.wikipedia.org/wiki/Jacqui_Irwin" TargetMode="External"/><Relationship Id="rId88" Type="http://schemas.openxmlformats.org/officeDocument/2006/relationships/hyperlink" Target="https://en.wikipedia.org/wiki/California%27s_46th_State_Assembly_district" TargetMode="External"/><Relationship Id="rId150" Type="http://schemas.openxmlformats.org/officeDocument/2006/relationships/hyperlink" Target="https://en.wikipedia.org/wiki/California%27s_78th_State_Assembly_district" TargetMode="External"/><Relationship Id="rId87" Type="http://schemas.openxmlformats.org/officeDocument/2006/relationships/hyperlink" Target="https://en.wikipedia.org/wiki/Jesse_Gabriel" TargetMode="External"/><Relationship Id="rId89" Type="http://schemas.openxmlformats.org/officeDocument/2006/relationships/hyperlink" Target="https://en.wikipedia.org/wiki/Adrin_Nazarian" TargetMode="External"/><Relationship Id="rId80" Type="http://schemas.openxmlformats.org/officeDocument/2006/relationships/hyperlink" Target="https://en.wikipedia.org/wiki/California%27s_42nd_State_Assembly_district" TargetMode="External"/><Relationship Id="rId82" Type="http://schemas.openxmlformats.org/officeDocument/2006/relationships/hyperlink" Target="https://en.wikipedia.org/wiki/California%27s_43rd_State_Assembly_district" TargetMode="External"/><Relationship Id="rId81" Type="http://schemas.openxmlformats.org/officeDocument/2006/relationships/hyperlink" Target="https://en.wikipedia.org/wiki/Chad_Mayes" TargetMode="External"/><Relationship Id="rId1" Type="http://schemas.openxmlformats.org/officeDocument/2006/relationships/hyperlink" Target="https://en.wikipedia.org/wiki/California%27s_1st_State_Assembly_district" TargetMode="External"/><Relationship Id="rId2" Type="http://schemas.openxmlformats.org/officeDocument/2006/relationships/hyperlink" Target="https://en.wikipedia.org/wiki/Brian_Dahle" TargetMode="External"/><Relationship Id="rId3" Type="http://schemas.openxmlformats.org/officeDocument/2006/relationships/hyperlink" Target="https://en.wikipedia.org/wiki/California%27s_2nd_State_Assembly_district" TargetMode="External"/><Relationship Id="rId149" Type="http://schemas.openxmlformats.org/officeDocument/2006/relationships/hyperlink" Target="https://en.wikipedia.org/wiki/Brian_Maienschein" TargetMode="External"/><Relationship Id="rId4" Type="http://schemas.openxmlformats.org/officeDocument/2006/relationships/hyperlink" Target="https://en.wikipedia.org/wiki/Jim_Wood_(California_politician)" TargetMode="External"/><Relationship Id="rId148" Type="http://schemas.openxmlformats.org/officeDocument/2006/relationships/hyperlink" Target="https://en.wikipedia.org/wiki/California%27s_77th_State_Assembly_district" TargetMode="External"/><Relationship Id="rId9" Type="http://schemas.openxmlformats.org/officeDocument/2006/relationships/hyperlink" Target="https://en.wikipedia.org/wiki/California%27s_5th_State_Assembly_district" TargetMode="External"/><Relationship Id="rId143" Type="http://schemas.openxmlformats.org/officeDocument/2006/relationships/hyperlink" Target="https://en.wikipedia.org/wiki/California%27s_74th_State_Assembly_district" TargetMode="External"/><Relationship Id="rId142" Type="http://schemas.openxmlformats.org/officeDocument/2006/relationships/hyperlink" Target="https://en.wikipedia.org/wiki/Bill_Brough" TargetMode="External"/><Relationship Id="rId141" Type="http://schemas.openxmlformats.org/officeDocument/2006/relationships/hyperlink" Target="https://en.wikipedia.org/wiki/California%27s_73rd_State_Assembly_district" TargetMode="External"/><Relationship Id="rId140" Type="http://schemas.openxmlformats.org/officeDocument/2006/relationships/hyperlink" Target="https://en.wikipedia.org/wiki/Travis_Allen" TargetMode="External"/><Relationship Id="rId5" Type="http://schemas.openxmlformats.org/officeDocument/2006/relationships/hyperlink" Target="https://en.wikipedia.org/wiki/California%27s_3rd_State_Assembly_district" TargetMode="External"/><Relationship Id="rId147" Type="http://schemas.openxmlformats.org/officeDocument/2006/relationships/hyperlink" Target="https://en.wikipedia.org/wiki/California%27s_76th_State_Assembly_district" TargetMode="External"/><Relationship Id="rId6" Type="http://schemas.openxmlformats.org/officeDocument/2006/relationships/hyperlink" Target="https://en.wikipedia.org/wiki/James_Gallagher_(California_politician)" TargetMode="External"/><Relationship Id="rId146" Type="http://schemas.openxmlformats.org/officeDocument/2006/relationships/hyperlink" Target="https://en.wikipedia.org/wiki/Marie_Waldron" TargetMode="External"/><Relationship Id="rId7" Type="http://schemas.openxmlformats.org/officeDocument/2006/relationships/hyperlink" Target="https://en.wikipedia.org/wiki/California%27s_4th_State_Assembly_district" TargetMode="External"/><Relationship Id="rId145" Type="http://schemas.openxmlformats.org/officeDocument/2006/relationships/hyperlink" Target="https://en.wikipedia.org/wiki/California%27s_75th_State_Assembly_district" TargetMode="External"/><Relationship Id="rId8" Type="http://schemas.openxmlformats.org/officeDocument/2006/relationships/hyperlink" Target="https://en.wikipedia.org/wiki/Cecilia_Aguiar-Curry" TargetMode="External"/><Relationship Id="rId144" Type="http://schemas.openxmlformats.org/officeDocument/2006/relationships/hyperlink" Target="https://en.wikipedia.org/wiki/Matthew_Harper" TargetMode="External"/><Relationship Id="rId73" Type="http://schemas.openxmlformats.org/officeDocument/2006/relationships/hyperlink" Target="https://en.wikipedia.org/wiki/California%27s_38th_State_Assembly_district" TargetMode="External"/><Relationship Id="rId72" Type="http://schemas.openxmlformats.org/officeDocument/2006/relationships/hyperlink" Target="https://en.wikipedia.org/wiki/Monique_Lim%C3%B3n" TargetMode="External"/><Relationship Id="rId75" Type="http://schemas.openxmlformats.org/officeDocument/2006/relationships/hyperlink" Target="https://en.wikipedia.org/wiki/California%27s_39th_State_Assembly_district" TargetMode="External"/><Relationship Id="rId74" Type="http://schemas.openxmlformats.org/officeDocument/2006/relationships/hyperlink" Target="https://en.wikipedia.org/wiki/Dante_Acosta" TargetMode="External"/><Relationship Id="rId77" Type="http://schemas.openxmlformats.org/officeDocument/2006/relationships/hyperlink" Target="https://en.wikipedia.org/wiki/California%27s_40th_State_Assembly_district" TargetMode="External"/><Relationship Id="rId76" Type="http://schemas.openxmlformats.org/officeDocument/2006/relationships/hyperlink" Target="https://en.wikipedia.org/wiki/Luz_Rivas" TargetMode="External"/><Relationship Id="rId79" Type="http://schemas.openxmlformats.org/officeDocument/2006/relationships/hyperlink" Target="https://en.wikipedia.org/wiki/Chris_Holden" TargetMode="External"/><Relationship Id="rId78" Type="http://schemas.openxmlformats.org/officeDocument/2006/relationships/hyperlink" Target="https://en.wikipedia.org/wiki/California%27s_41st_State_Assembly_district" TargetMode="External"/><Relationship Id="rId71" Type="http://schemas.openxmlformats.org/officeDocument/2006/relationships/hyperlink" Target="https://en.wikipedia.org/wiki/California%27s_37th_State_Assembly_district" TargetMode="External"/><Relationship Id="rId70" Type="http://schemas.openxmlformats.org/officeDocument/2006/relationships/hyperlink" Target="https://en.wikipedia.org/wiki/Tom_Lackey" TargetMode="External"/><Relationship Id="rId139" Type="http://schemas.openxmlformats.org/officeDocument/2006/relationships/hyperlink" Target="https://en.wikipedia.org/wiki/California%27s_72nd_State_Assembly_district" TargetMode="External"/><Relationship Id="rId138" Type="http://schemas.openxmlformats.org/officeDocument/2006/relationships/hyperlink" Target="https://en.wikipedia.org/wiki/Randy_Voepel" TargetMode="External"/><Relationship Id="rId137" Type="http://schemas.openxmlformats.org/officeDocument/2006/relationships/hyperlink" Target="https://en.wikipedia.org/wiki/California%27s_71st_State_Assembly_district" TargetMode="External"/><Relationship Id="rId132" Type="http://schemas.openxmlformats.org/officeDocument/2006/relationships/hyperlink" Target="https://en.wikipedia.org/wiki/Steven_Choi" TargetMode="External"/><Relationship Id="rId131" Type="http://schemas.openxmlformats.org/officeDocument/2006/relationships/hyperlink" Target="https://en.wikipedia.org/wiki/California%27s_68th_State_Assembly_district" TargetMode="External"/><Relationship Id="rId130" Type="http://schemas.openxmlformats.org/officeDocument/2006/relationships/hyperlink" Target="https://en.wikipedia.org/wiki/Melissa_Melendez" TargetMode="External"/><Relationship Id="rId136" Type="http://schemas.openxmlformats.org/officeDocument/2006/relationships/hyperlink" Target="https://en.wikipedia.org/wiki/Patrick_O%27Donnell_(California_politician)" TargetMode="External"/><Relationship Id="rId135" Type="http://schemas.openxmlformats.org/officeDocument/2006/relationships/hyperlink" Target="https://en.wikipedia.org/wiki/California%27s_70th_State_Assembly_district" TargetMode="External"/><Relationship Id="rId134" Type="http://schemas.openxmlformats.org/officeDocument/2006/relationships/hyperlink" Target="https://en.wikipedia.org/wiki/Tom_Daly_(American_politician)" TargetMode="External"/><Relationship Id="rId133" Type="http://schemas.openxmlformats.org/officeDocument/2006/relationships/hyperlink" Target="https://en.wikipedia.org/wiki/California%27s_69th_State_Assembly_district" TargetMode="External"/><Relationship Id="rId62" Type="http://schemas.openxmlformats.org/officeDocument/2006/relationships/hyperlink" Target="https://en.wikipedia.org/wiki/Rudy_Salas" TargetMode="External"/><Relationship Id="rId61" Type="http://schemas.openxmlformats.org/officeDocument/2006/relationships/hyperlink" Target="https://en.wikipedia.org/wiki/California%27s_32nd_State_Assembly_district" TargetMode="External"/><Relationship Id="rId64" Type="http://schemas.openxmlformats.org/officeDocument/2006/relationships/hyperlink" Target="https://en.wikipedia.org/wiki/Jay_Obernolte" TargetMode="External"/><Relationship Id="rId63" Type="http://schemas.openxmlformats.org/officeDocument/2006/relationships/hyperlink" Target="https://en.wikipedia.org/wiki/California%27s_33rd_State_Assembly_district" TargetMode="External"/><Relationship Id="rId66" Type="http://schemas.openxmlformats.org/officeDocument/2006/relationships/hyperlink" Target="https://en.wikipedia.org/wiki/Vince_Fong" TargetMode="External"/><Relationship Id="rId172" Type="http://schemas.openxmlformats.org/officeDocument/2006/relationships/hyperlink" Target="https://en.wikipedia.org/wiki/California%27s_10th_State_Senate_district" TargetMode="External"/><Relationship Id="rId65" Type="http://schemas.openxmlformats.org/officeDocument/2006/relationships/hyperlink" Target="https://en.wikipedia.org/wiki/California%27s_34th_State_Assembly_district" TargetMode="External"/><Relationship Id="rId171" Type="http://schemas.openxmlformats.org/officeDocument/2006/relationships/hyperlink" Target="https://en.wikipedia.org/wiki/Nancy_Skinner_(California_politician)" TargetMode="External"/><Relationship Id="rId68" Type="http://schemas.openxmlformats.org/officeDocument/2006/relationships/hyperlink" Target="https://en.wikipedia.org/wiki/Jordan_Cunningham" TargetMode="External"/><Relationship Id="rId170" Type="http://schemas.openxmlformats.org/officeDocument/2006/relationships/hyperlink" Target="https://en.wikipedia.org/wiki/California%27s_9th_State_Senate_district" TargetMode="External"/><Relationship Id="rId67" Type="http://schemas.openxmlformats.org/officeDocument/2006/relationships/hyperlink" Target="https://en.wikipedia.org/wiki/California%27s_35th_State_Assembly_district" TargetMode="External"/><Relationship Id="rId60" Type="http://schemas.openxmlformats.org/officeDocument/2006/relationships/hyperlink" Target="https://en.wikipedia.org/wiki/Joaquin_Arambula" TargetMode="External"/><Relationship Id="rId165" Type="http://schemas.openxmlformats.org/officeDocument/2006/relationships/hyperlink" Target="https://en.wikipedia.org/wiki/California%27s_6th_State_Senate_district" TargetMode="External"/><Relationship Id="rId69" Type="http://schemas.openxmlformats.org/officeDocument/2006/relationships/hyperlink" Target="https://en.wikipedia.org/wiki/California%27s_36th_State_Assembly_district" TargetMode="External"/><Relationship Id="rId164" Type="http://schemas.openxmlformats.org/officeDocument/2006/relationships/hyperlink" Target="https://en.wikipedia.org/wiki/Cathleen_Galgiani" TargetMode="External"/><Relationship Id="rId163" Type="http://schemas.openxmlformats.org/officeDocument/2006/relationships/hyperlink" Target="https://en.wikipedia.org/wiki/California%27s_5th_State_Senate_district" TargetMode="External"/><Relationship Id="rId162" Type="http://schemas.openxmlformats.org/officeDocument/2006/relationships/hyperlink" Target="https://en.wikipedia.org/wiki/Jim_Nielsen" TargetMode="External"/><Relationship Id="rId169" Type="http://schemas.openxmlformats.org/officeDocument/2006/relationships/hyperlink" Target="https://en.wikipedia.org/wiki/California%27s_8th_State_Senate_district" TargetMode="External"/><Relationship Id="rId168" Type="http://schemas.openxmlformats.org/officeDocument/2006/relationships/hyperlink" Target="https://en.wikipedia.org/wiki/Steve_Glazer" TargetMode="External"/><Relationship Id="rId167" Type="http://schemas.openxmlformats.org/officeDocument/2006/relationships/hyperlink" Target="https://en.wikipedia.org/wiki/California%27s_7th_State_Senate_district" TargetMode="External"/><Relationship Id="rId166" Type="http://schemas.openxmlformats.org/officeDocument/2006/relationships/hyperlink" Target="https://en.wikipedia.org/wiki/Richard_Pan" TargetMode="External"/><Relationship Id="rId51" Type="http://schemas.openxmlformats.org/officeDocument/2006/relationships/hyperlink" Target="https://en.wikipedia.org/wiki/Devon_Mathis" TargetMode="External"/><Relationship Id="rId50" Type="http://schemas.openxmlformats.org/officeDocument/2006/relationships/hyperlink" Target="https://en.wikipedia.org/wiki/California%27s_26th_State_Assembly_district" TargetMode="External"/><Relationship Id="rId53" Type="http://schemas.openxmlformats.org/officeDocument/2006/relationships/hyperlink" Target="https://en.wikipedia.org/wiki/Ash_Kalra" TargetMode="External"/><Relationship Id="rId52" Type="http://schemas.openxmlformats.org/officeDocument/2006/relationships/hyperlink" Target="https://en.wikipedia.org/wiki/California%27s_27th_State_Assembly_district" TargetMode="External"/><Relationship Id="rId55" Type="http://schemas.openxmlformats.org/officeDocument/2006/relationships/hyperlink" Target="https://en.wikipedia.org/wiki/Evan_Low" TargetMode="External"/><Relationship Id="rId161" Type="http://schemas.openxmlformats.org/officeDocument/2006/relationships/hyperlink" Target="https://en.wikipedia.org/wiki/California%27s_4th_State_Senate_district" TargetMode="External"/><Relationship Id="rId54" Type="http://schemas.openxmlformats.org/officeDocument/2006/relationships/hyperlink" Target="https://en.wikipedia.org/wiki/California%27s_28th_State_Assembly_district" TargetMode="External"/><Relationship Id="rId160" Type="http://schemas.openxmlformats.org/officeDocument/2006/relationships/hyperlink" Target="https://en.wikipedia.org/wiki/Bill_Dodd_(California_politician)" TargetMode="External"/><Relationship Id="rId57" Type="http://schemas.openxmlformats.org/officeDocument/2006/relationships/hyperlink" Target="https://en.wikipedia.org/wiki/Mark_Stone_(politician)" TargetMode="External"/><Relationship Id="rId56" Type="http://schemas.openxmlformats.org/officeDocument/2006/relationships/hyperlink" Target="https://en.wikipedia.org/wiki/California%27s_29th_State_Assembly_district" TargetMode="External"/><Relationship Id="rId159" Type="http://schemas.openxmlformats.org/officeDocument/2006/relationships/hyperlink" Target="https://en.wikipedia.org/wiki/California%27s_3rd_State_Senate_district" TargetMode="External"/><Relationship Id="rId59" Type="http://schemas.openxmlformats.org/officeDocument/2006/relationships/hyperlink" Target="https://en.wikipedia.org/wiki/California%27s_31st_State_Assembly_district" TargetMode="External"/><Relationship Id="rId154" Type="http://schemas.openxmlformats.org/officeDocument/2006/relationships/hyperlink" Target="https://en.wikipedia.org/wiki/California%27s_80th_State_Assembly_district" TargetMode="External"/><Relationship Id="rId58" Type="http://schemas.openxmlformats.org/officeDocument/2006/relationships/hyperlink" Target="https://en.wikipedia.org/wiki/California%27s_30th_State_Assembly_district" TargetMode="External"/><Relationship Id="rId153" Type="http://schemas.openxmlformats.org/officeDocument/2006/relationships/hyperlink" Target="https://en.wikipedia.org/wiki/Shirley_Weber" TargetMode="External"/><Relationship Id="rId152" Type="http://schemas.openxmlformats.org/officeDocument/2006/relationships/hyperlink" Target="https://en.wikipedia.org/wiki/California%27s_79th_State_Assembly_district" TargetMode="External"/><Relationship Id="rId151" Type="http://schemas.openxmlformats.org/officeDocument/2006/relationships/hyperlink" Target="https://en.wikipedia.org/wiki/Todd_Gloria" TargetMode="External"/><Relationship Id="rId158" Type="http://schemas.openxmlformats.org/officeDocument/2006/relationships/hyperlink" Target="https://en.wikipedia.org/wiki/Mike_McGuire_(politician)" TargetMode="External"/><Relationship Id="rId157" Type="http://schemas.openxmlformats.org/officeDocument/2006/relationships/hyperlink" Target="https://en.wikipedia.org/wiki/California%27s_2nd_State_Senate_district" TargetMode="External"/><Relationship Id="rId156" Type="http://schemas.openxmlformats.org/officeDocument/2006/relationships/hyperlink" Target="https://en.wikipedia.org/wiki/Ted_Gaines" TargetMode="External"/><Relationship Id="rId155" Type="http://schemas.openxmlformats.org/officeDocument/2006/relationships/hyperlink" Target="https://en.wikipedia.org/wiki/Lorena_Gonzalez_Fletcher" TargetMode="External"/><Relationship Id="rId107" Type="http://schemas.openxmlformats.org/officeDocument/2006/relationships/hyperlink" Target="https://en.wikipedia.org/wiki/California%27s_56th_State_Assembly_district" TargetMode="External"/><Relationship Id="rId106" Type="http://schemas.openxmlformats.org/officeDocument/2006/relationships/hyperlink" Target="https://en.wikipedia.org/wiki/California%27s_55th_State_Assembly_district" TargetMode="External"/><Relationship Id="rId105" Type="http://schemas.openxmlformats.org/officeDocument/2006/relationships/hyperlink" Target="https://en.wikipedia.org/wiki/Sydney_Kamlager" TargetMode="External"/><Relationship Id="rId104" Type="http://schemas.openxmlformats.org/officeDocument/2006/relationships/hyperlink" Target="https://en.wikipedia.org/wiki/California%27s_54th_State_Assembly_district" TargetMode="External"/><Relationship Id="rId109" Type="http://schemas.openxmlformats.org/officeDocument/2006/relationships/hyperlink" Target="https://en.wikipedia.org/wiki/California%27s_57th_State_Assembly_district" TargetMode="External"/><Relationship Id="rId108" Type="http://schemas.openxmlformats.org/officeDocument/2006/relationships/hyperlink" Target="https://en.wikipedia.org/wiki/Eduardo_Garcia_(politician)" TargetMode="External"/><Relationship Id="rId220" Type="http://schemas.openxmlformats.org/officeDocument/2006/relationships/hyperlink" Target="https://en.wikipedia.org/wiki/California%27s_38th_State_Senate_district" TargetMode="External"/><Relationship Id="rId103" Type="http://schemas.openxmlformats.org/officeDocument/2006/relationships/hyperlink" Target="https://en.wikipedia.org/wiki/Miguel_Santiago" TargetMode="External"/><Relationship Id="rId224" Type="http://schemas.openxmlformats.org/officeDocument/2006/relationships/drawing" Target="../drawings/drawing6.xml"/><Relationship Id="rId102" Type="http://schemas.openxmlformats.org/officeDocument/2006/relationships/hyperlink" Target="https://en.wikipedia.org/wiki/California%27s_53rd_State_Assembly_district" TargetMode="External"/><Relationship Id="rId223" Type="http://schemas.openxmlformats.org/officeDocument/2006/relationships/hyperlink" Target="https://en.wikipedia.org/wiki/Ben_Hueso" TargetMode="External"/><Relationship Id="rId101" Type="http://schemas.openxmlformats.org/officeDocument/2006/relationships/hyperlink" Target="https://en.wikipedia.org/wiki/Freddie_Rodriguez" TargetMode="External"/><Relationship Id="rId222" Type="http://schemas.openxmlformats.org/officeDocument/2006/relationships/hyperlink" Target="https://en.wikipedia.org/wiki/California%27s_40th_State_Senate_district" TargetMode="External"/><Relationship Id="rId100" Type="http://schemas.openxmlformats.org/officeDocument/2006/relationships/hyperlink" Target="https://en.wikipedia.org/wiki/California%27s_52nd_State_Assembly_district" TargetMode="External"/><Relationship Id="rId221" Type="http://schemas.openxmlformats.org/officeDocument/2006/relationships/hyperlink" Target="https://en.wikipedia.org/wiki/California%27s_39th_State_Senate_district" TargetMode="External"/><Relationship Id="rId217" Type="http://schemas.openxmlformats.org/officeDocument/2006/relationships/hyperlink" Target="https://en.wikipedia.org/wiki/Patricia_Bates" TargetMode="External"/><Relationship Id="rId216" Type="http://schemas.openxmlformats.org/officeDocument/2006/relationships/hyperlink" Target="https://en.wikipedia.org/wiki/California%27s_36th_State_Senate_district" TargetMode="External"/><Relationship Id="rId215" Type="http://schemas.openxmlformats.org/officeDocument/2006/relationships/hyperlink" Target="https://en.wikipedia.org/wiki/Steven_Bradford" TargetMode="External"/><Relationship Id="rId214" Type="http://schemas.openxmlformats.org/officeDocument/2006/relationships/hyperlink" Target="https://en.wikipedia.org/wiki/California%27s_35th_State_Senate_district" TargetMode="External"/><Relationship Id="rId219" Type="http://schemas.openxmlformats.org/officeDocument/2006/relationships/hyperlink" Target="https://en.wikipedia.org/wiki/John_Moorlach" TargetMode="External"/><Relationship Id="rId218" Type="http://schemas.openxmlformats.org/officeDocument/2006/relationships/hyperlink" Target="https://en.wikipedia.org/wiki/California%27s_37th_State_Senate_district" TargetMode="External"/><Relationship Id="rId213" Type="http://schemas.openxmlformats.org/officeDocument/2006/relationships/hyperlink" Target="https://en.wikipedia.org/wiki/Janet_Nguyen" TargetMode="External"/><Relationship Id="rId212" Type="http://schemas.openxmlformats.org/officeDocument/2006/relationships/hyperlink" Target="https://en.wikipedia.org/wiki/California%27s_34th_State_Senate_district" TargetMode="External"/><Relationship Id="rId211" Type="http://schemas.openxmlformats.org/officeDocument/2006/relationships/hyperlink" Target="https://en.wikipedia.org/wiki/Ricardo_Lara" TargetMode="External"/><Relationship Id="rId210" Type="http://schemas.openxmlformats.org/officeDocument/2006/relationships/hyperlink" Target="https://en.wikipedia.org/wiki/California%27s_33rd_State_Senate_district" TargetMode="External"/><Relationship Id="rId129" Type="http://schemas.openxmlformats.org/officeDocument/2006/relationships/hyperlink" Target="https://en.wikipedia.org/wiki/California%27s_67th_State_Assembly_district" TargetMode="External"/><Relationship Id="rId128" Type="http://schemas.openxmlformats.org/officeDocument/2006/relationships/hyperlink" Target="https://en.wikipedia.org/wiki/Al_Muratsuchi" TargetMode="External"/><Relationship Id="rId127" Type="http://schemas.openxmlformats.org/officeDocument/2006/relationships/hyperlink" Target="https://en.wikipedia.org/wiki/California%27s_66th_State_Assembly_district" TargetMode="External"/><Relationship Id="rId126" Type="http://schemas.openxmlformats.org/officeDocument/2006/relationships/hyperlink" Target="https://en.wikipedia.org/wiki/Sharon_Quirk-Silva" TargetMode="External"/><Relationship Id="rId121" Type="http://schemas.openxmlformats.org/officeDocument/2006/relationships/hyperlink" Target="https://en.wikipedia.org/wiki/California%27s_63rd_State_Assembly_district" TargetMode="External"/><Relationship Id="rId120" Type="http://schemas.openxmlformats.org/officeDocument/2006/relationships/hyperlink" Target="https://en.wikipedia.org/wiki/Autumn_Burke" TargetMode="External"/><Relationship Id="rId125" Type="http://schemas.openxmlformats.org/officeDocument/2006/relationships/hyperlink" Target="https://en.wikipedia.org/wiki/California%27s_65th_State_Assembly_district" TargetMode="External"/><Relationship Id="rId124" Type="http://schemas.openxmlformats.org/officeDocument/2006/relationships/hyperlink" Target="https://en.wikipedia.org/wiki/Mike_Gipson" TargetMode="External"/><Relationship Id="rId123" Type="http://schemas.openxmlformats.org/officeDocument/2006/relationships/hyperlink" Target="https://en.wikipedia.org/wiki/California%27s_64th_State_Assembly_district" TargetMode="External"/><Relationship Id="rId122" Type="http://schemas.openxmlformats.org/officeDocument/2006/relationships/hyperlink" Target="https://en.wikipedia.org/wiki/Anthony_Rendon_(politician)" TargetMode="External"/><Relationship Id="rId95" Type="http://schemas.openxmlformats.org/officeDocument/2006/relationships/hyperlink" Target="https://en.wikipedia.org/wiki/Ed_Chau" TargetMode="External"/><Relationship Id="rId94" Type="http://schemas.openxmlformats.org/officeDocument/2006/relationships/hyperlink" Target="https://en.wikipedia.org/wiki/California%27s_49th_State_Assembly_district" TargetMode="External"/><Relationship Id="rId97" Type="http://schemas.openxmlformats.org/officeDocument/2006/relationships/hyperlink" Target="https://en.wikipedia.org/wiki/Richard_Bloom" TargetMode="External"/><Relationship Id="rId96" Type="http://schemas.openxmlformats.org/officeDocument/2006/relationships/hyperlink" Target="https://en.wikipedia.org/wiki/California%27s_50th_State_Assembly_district" TargetMode="External"/><Relationship Id="rId99" Type="http://schemas.openxmlformats.org/officeDocument/2006/relationships/hyperlink" Target="https://en.wikipedia.org/wiki/Wendy_Carrillo" TargetMode="External"/><Relationship Id="rId98" Type="http://schemas.openxmlformats.org/officeDocument/2006/relationships/hyperlink" Target="https://en.wikipedia.org/wiki/California%27s_51st_State_Assembly_district" TargetMode="External"/><Relationship Id="rId91" Type="http://schemas.openxmlformats.org/officeDocument/2006/relationships/hyperlink" Target="https://en.wikipedia.org/wiki/Eloise_Reyes" TargetMode="External"/><Relationship Id="rId90" Type="http://schemas.openxmlformats.org/officeDocument/2006/relationships/hyperlink" Target="https://en.wikipedia.org/wiki/California%27s_47th_State_Assembly_district" TargetMode="External"/><Relationship Id="rId93" Type="http://schemas.openxmlformats.org/officeDocument/2006/relationships/hyperlink" Target="https://en.wikipedia.org/wiki/Blanca_Rubio" TargetMode="External"/><Relationship Id="rId92" Type="http://schemas.openxmlformats.org/officeDocument/2006/relationships/hyperlink" Target="https://en.wikipedia.org/wiki/California%27s_48th_State_Assembly_district" TargetMode="External"/><Relationship Id="rId118" Type="http://schemas.openxmlformats.org/officeDocument/2006/relationships/hyperlink" Target="https://en.wikipedia.org/wiki/Jose_Medina" TargetMode="External"/><Relationship Id="rId117" Type="http://schemas.openxmlformats.org/officeDocument/2006/relationships/hyperlink" Target="https://en.wikipedia.org/wiki/California%27s_61st_State_Assembly_district" TargetMode="External"/><Relationship Id="rId116" Type="http://schemas.openxmlformats.org/officeDocument/2006/relationships/hyperlink" Target="https://en.wikipedia.org/wiki/Sabrina_Cervantes" TargetMode="External"/><Relationship Id="rId115" Type="http://schemas.openxmlformats.org/officeDocument/2006/relationships/hyperlink" Target="https://en.wikipedia.org/wiki/California%27s_60th_State_Assembly_district" TargetMode="External"/><Relationship Id="rId119" Type="http://schemas.openxmlformats.org/officeDocument/2006/relationships/hyperlink" Target="https://en.wikipedia.org/wiki/California%27s_62nd_State_Assembly_district" TargetMode="External"/><Relationship Id="rId110" Type="http://schemas.openxmlformats.org/officeDocument/2006/relationships/hyperlink" Target="https://en.wikipedia.org/wiki/Ian_Calderon" TargetMode="External"/><Relationship Id="rId114" Type="http://schemas.openxmlformats.org/officeDocument/2006/relationships/hyperlink" Target="https://en.wikipedia.org/wiki/Reggie_Jones-Sawyer" TargetMode="External"/><Relationship Id="rId113" Type="http://schemas.openxmlformats.org/officeDocument/2006/relationships/hyperlink" Target="https://en.wikipedia.org/wiki/California%27s_59th_State_Assembly_district" TargetMode="External"/><Relationship Id="rId112" Type="http://schemas.openxmlformats.org/officeDocument/2006/relationships/hyperlink" Target="https://en.wikipedia.org/wiki/Cristina_Garcia_(politician)" TargetMode="External"/><Relationship Id="rId111" Type="http://schemas.openxmlformats.org/officeDocument/2006/relationships/hyperlink" Target="https://en.wikipedia.org/wiki/California%27s_58th_State_Assembly_district" TargetMode="External"/><Relationship Id="rId206" Type="http://schemas.openxmlformats.org/officeDocument/2006/relationships/hyperlink" Target="https://en.wikipedia.org/wiki/Holly_Mitchell" TargetMode="External"/><Relationship Id="rId205" Type="http://schemas.openxmlformats.org/officeDocument/2006/relationships/hyperlink" Target="https://en.wikipedia.org/wiki/California%27s_30th_State_Senate_district" TargetMode="External"/><Relationship Id="rId204" Type="http://schemas.openxmlformats.org/officeDocument/2006/relationships/hyperlink" Target="https://en.wikipedia.org/wiki/Ling_Ling_Chang" TargetMode="External"/><Relationship Id="rId203" Type="http://schemas.openxmlformats.org/officeDocument/2006/relationships/hyperlink" Target="https://en.wikipedia.org/wiki/California%27s_29th_State_Senate_district" TargetMode="External"/><Relationship Id="rId209" Type="http://schemas.openxmlformats.org/officeDocument/2006/relationships/hyperlink" Target="https://en.wikipedia.org/wiki/California%27s_32nd_State_Senate_district" TargetMode="External"/><Relationship Id="rId208" Type="http://schemas.openxmlformats.org/officeDocument/2006/relationships/hyperlink" Target="https://en.wikipedia.org/wiki/Richard_Roth_(politician)" TargetMode="External"/><Relationship Id="rId207" Type="http://schemas.openxmlformats.org/officeDocument/2006/relationships/hyperlink" Target="https://en.wikipedia.org/wiki/California%27s_31st_State_Senate_district" TargetMode="External"/><Relationship Id="rId202" Type="http://schemas.openxmlformats.org/officeDocument/2006/relationships/hyperlink" Target="https://en.wikipedia.org/wiki/Jeff_Stone_(California_politician)" TargetMode="External"/><Relationship Id="rId201" Type="http://schemas.openxmlformats.org/officeDocument/2006/relationships/hyperlink" Target="https://en.wikipedia.org/wiki/California%27s_28th_State_Senate_district" TargetMode="External"/><Relationship Id="rId200" Type="http://schemas.openxmlformats.org/officeDocument/2006/relationships/hyperlink" Target="https://en.wikipedia.org/wiki/Henry_Stern_(California_politician)"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s://en.wikipedia.org/wiki/Broomfield,_Colorado" TargetMode="External"/><Relationship Id="rId42" Type="http://schemas.openxmlformats.org/officeDocument/2006/relationships/hyperlink" Target="https://en.wikipedia.org/wiki/Westminster,_Colorado" TargetMode="External"/><Relationship Id="rId41" Type="http://schemas.openxmlformats.org/officeDocument/2006/relationships/hyperlink" Target="https://en.wikipedia.org/wiki/Northglenn,_Colorado" TargetMode="External"/><Relationship Id="rId44" Type="http://schemas.openxmlformats.org/officeDocument/2006/relationships/hyperlink" Target="https://en.wikipedia.org/wiki/Centennial,_Colorado" TargetMode="External"/><Relationship Id="rId43" Type="http://schemas.openxmlformats.org/officeDocument/2006/relationships/hyperlink" Target="https://en.wikipedia.org/wiki/Aurora,_Colorado" TargetMode="External"/><Relationship Id="rId46" Type="http://schemas.openxmlformats.org/officeDocument/2006/relationships/hyperlink" Target="https://en.wikipedia.org/wiki/Aurora,_Colorado" TargetMode="External"/><Relationship Id="rId45" Type="http://schemas.openxmlformats.org/officeDocument/2006/relationships/hyperlink" Target="https://en.wikipedia.org/wiki/Susan_Beckman" TargetMode="External"/><Relationship Id="rId48" Type="http://schemas.openxmlformats.org/officeDocument/2006/relationships/hyperlink" Target="https://en.wikipedia.org/wiki/Aurora,_Colorado" TargetMode="External"/><Relationship Id="rId47" Type="http://schemas.openxmlformats.org/officeDocument/2006/relationships/hyperlink" Target="https://en.wikipedia.org/wiki/Jovan_Melton" TargetMode="External"/><Relationship Id="rId49" Type="http://schemas.openxmlformats.org/officeDocument/2006/relationships/hyperlink" Target="https://en.wikipedia.org/wiki/Dominique_Jackson_(politician)" TargetMode="External"/><Relationship Id="rId31" Type="http://schemas.openxmlformats.org/officeDocument/2006/relationships/hyperlink" Target="https://en.wikipedia.org/wiki/Arvada,_Colorado" TargetMode="External"/><Relationship Id="rId30" Type="http://schemas.openxmlformats.org/officeDocument/2006/relationships/hyperlink" Target="https://en.wikipedia.org/wiki/Eagle,_Colorado" TargetMode="External"/><Relationship Id="rId33" Type="http://schemas.openxmlformats.org/officeDocument/2006/relationships/hyperlink" Target="https://en.wikipedia.org/wiki/Tracy_Kraft-Tharp" TargetMode="External"/><Relationship Id="rId32" Type="http://schemas.openxmlformats.org/officeDocument/2006/relationships/hyperlink" Target="https://en.wikipedia.org/wiki/Lakewood,_Colorado" TargetMode="External"/><Relationship Id="rId35" Type="http://schemas.openxmlformats.org/officeDocument/2006/relationships/hyperlink" Target="https://en.wikipedia.org/wiki/Dafna_Michaelson_Jenet" TargetMode="External"/><Relationship Id="rId34" Type="http://schemas.openxmlformats.org/officeDocument/2006/relationships/hyperlink" Target="https://en.wikipedia.org/wiki/Arvada,_Colorado" TargetMode="External"/><Relationship Id="rId37" Type="http://schemas.openxmlformats.org/officeDocument/2006/relationships/hyperlink" Target="https://en.wikipedia.org/wiki/Adrienne_Benavidez" TargetMode="External"/><Relationship Id="rId36" Type="http://schemas.openxmlformats.org/officeDocument/2006/relationships/hyperlink" Target="https://en.wikipedia.org/wiki/Commerce_City,_Colorado" TargetMode="External"/><Relationship Id="rId39" Type="http://schemas.openxmlformats.org/officeDocument/2006/relationships/hyperlink" Target="https://en.wikipedia.org/wiki/Matt_Gray_(politician)" TargetMode="External"/><Relationship Id="rId38" Type="http://schemas.openxmlformats.org/officeDocument/2006/relationships/hyperlink" Target="https://en.wikipedia.org/wiki/Commerce_City,_Colorado" TargetMode="External"/><Relationship Id="rId20" Type="http://schemas.openxmlformats.org/officeDocument/2006/relationships/hyperlink" Target="https://en.wikipedia.org/wiki/Colorado_Springs,_Colorado" TargetMode="External"/><Relationship Id="rId22" Type="http://schemas.openxmlformats.org/officeDocument/2006/relationships/hyperlink" Target="https://en.wikipedia.org/wiki/Terri_Carver" TargetMode="External"/><Relationship Id="rId21" Type="http://schemas.openxmlformats.org/officeDocument/2006/relationships/hyperlink" Target="https://en.wikipedia.org/wiki/Colorado_Springs,_Colorado" TargetMode="External"/><Relationship Id="rId24" Type="http://schemas.openxmlformats.org/officeDocument/2006/relationships/hyperlink" Target="https://en.wikipedia.org/wiki/Littleton,_Colorado" TargetMode="External"/><Relationship Id="rId23" Type="http://schemas.openxmlformats.org/officeDocument/2006/relationships/hyperlink" Target="https://en.wikipedia.org/wiki/Lois_Landgraf" TargetMode="External"/><Relationship Id="rId26" Type="http://schemas.openxmlformats.org/officeDocument/2006/relationships/hyperlink" Target="https://en.wikipedia.org/wiki/Lakewood,_Colorado" TargetMode="External"/><Relationship Id="rId25" Type="http://schemas.openxmlformats.org/officeDocument/2006/relationships/hyperlink" Target="https://en.wikipedia.org/wiki/Chris_Kennedy_(Colorado_politician)" TargetMode="External"/><Relationship Id="rId28" Type="http://schemas.openxmlformats.org/officeDocument/2006/relationships/hyperlink" Target="https://en.wikipedia.org/wiki/Evergreen,_Colorado" TargetMode="External"/><Relationship Id="rId27" Type="http://schemas.openxmlformats.org/officeDocument/2006/relationships/hyperlink" Target="https://en.wikipedia.org/wiki/Wheat_Ridge,_Colorado" TargetMode="External"/><Relationship Id="rId29" Type="http://schemas.openxmlformats.org/officeDocument/2006/relationships/hyperlink" Target="https://en.wikipedia.org/w/index.php?title=Dylan_Roberts&amp;action=edit&amp;redlink=1" TargetMode="External"/><Relationship Id="rId11" Type="http://schemas.openxmlformats.org/officeDocument/2006/relationships/hyperlink" Target="https://en.wikipedia.org/wiki/Longmont" TargetMode="External"/><Relationship Id="rId10" Type="http://schemas.openxmlformats.org/officeDocument/2006/relationships/hyperlink" Target="https://en.wikipedia.org/wiki/Jonathan_Singer_(politician)" TargetMode="External"/><Relationship Id="rId13" Type="http://schemas.openxmlformats.org/officeDocument/2006/relationships/hyperlink" Target="https://en.wikipedia.org/wiki/Boulder,_Colorado" TargetMode="External"/><Relationship Id="rId12" Type="http://schemas.openxmlformats.org/officeDocument/2006/relationships/hyperlink" Target="https://en.wikipedia.org/wiki/Lafayette,_Colorado" TargetMode="External"/><Relationship Id="rId15" Type="http://schemas.openxmlformats.org/officeDocument/2006/relationships/hyperlink" Target="https://en.wikipedia.org/wiki/Colorado_Springs,_Colorado" TargetMode="External"/><Relationship Id="rId14" Type="http://schemas.openxmlformats.org/officeDocument/2006/relationships/hyperlink" Target="https://en.wikipedia.org/w/index.php?title=Shane_Sandridge&amp;action=edit&amp;redlink=1" TargetMode="External"/><Relationship Id="rId17" Type="http://schemas.openxmlformats.org/officeDocument/2006/relationships/hyperlink" Target="https://en.wikipedia.org/wiki/Larry_Liston" TargetMode="External"/><Relationship Id="rId16" Type="http://schemas.openxmlformats.org/officeDocument/2006/relationships/hyperlink" Target="https://en.wikipedia.org/wiki/Dave_Williams_(Colorado_politician)" TargetMode="External"/><Relationship Id="rId19" Type="http://schemas.openxmlformats.org/officeDocument/2006/relationships/hyperlink" Target="https://en.wikipedia.org/wiki/Tony_Exum" TargetMode="External"/><Relationship Id="rId18" Type="http://schemas.openxmlformats.org/officeDocument/2006/relationships/hyperlink" Target="https://en.wikipedia.org/wiki/Colorado_Springs,_Colorado" TargetMode="External"/><Relationship Id="rId84" Type="http://schemas.openxmlformats.org/officeDocument/2006/relationships/hyperlink" Target="https://en.wikipedia.org/wiki/Kimmi_Lewis" TargetMode="External"/><Relationship Id="rId83" Type="http://schemas.openxmlformats.org/officeDocument/2006/relationships/hyperlink" Target="https://en.wikipedia.org/wiki/Dacono,_Colorado" TargetMode="External"/><Relationship Id="rId86" Type="http://schemas.openxmlformats.org/officeDocument/2006/relationships/hyperlink" Target="https://en.wikipedia.org/wiki/Sterling,_Colorado" TargetMode="External"/><Relationship Id="rId85" Type="http://schemas.openxmlformats.org/officeDocument/2006/relationships/hyperlink" Target="https://en.wikipedia.org/wiki/Kim,_Colorado" TargetMode="External"/><Relationship Id="rId88" Type="http://schemas.openxmlformats.org/officeDocument/2006/relationships/hyperlink" Target="https://en.wikipedia.org/wiki/Sterling,_Colorado" TargetMode="External"/><Relationship Id="rId87" Type="http://schemas.openxmlformats.org/officeDocument/2006/relationships/hyperlink" Target="https://en.wikipedia.org/wiki/Jerry_Sonnenberg" TargetMode="External"/><Relationship Id="rId89" Type="http://schemas.openxmlformats.org/officeDocument/2006/relationships/hyperlink" Target="https://en.wikipedia.org/wiki/Ca%C3%B1on_City,_Colorado" TargetMode="External"/><Relationship Id="rId80" Type="http://schemas.openxmlformats.org/officeDocument/2006/relationships/hyperlink" Target="https://en.wikipedia.org/wiki/Dillon,_Colorado" TargetMode="External"/><Relationship Id="rId82" Type="http://schemas.openxmlformats.org/officeDocument/2006/relationships/hyperlink" Target="https://en.wikipedia.org/wiki/Lori_Saine" TargetMode="External"/><Relationship Id="rId81" Type="http://schemas.openxmlformats.org/officeDocument/2006/relationships/hyperlink" Target="https://en.wikipedia.org/wiki/Donald_Valdez" TargetMode="External"/><Relationship Id="rId1" Type="http://schemas.openxmlformats.org/officeDocument/2006/relationships/hyperlink" Target="https://en.wikipedia.org/wiki/Susan_Lontine" TargetMode="External"/><Relationship Id="rId2" Type="http://schemas.openxmlformats.org/officeDocument/2006/relationships/hyperlink" Target="https://en.wikipedia.org/wiki/Denver" TargetMode="External"/><Relationship Id="rId3" Type="http://schemas.openxmlformats.org/officeDocument/2006/relationships/hyperlink" Target="https://en.wikipedia.org/wiki/Alec_Garnett" TargetMode="External"/><Relationship Id="rId4" Type="http://schemas.openxmlformats.org/officeDocument/2006/relationships/hyperlink" Target="https://en.wikipedia.org/wiki/Jeff_Bridges_(politician)" TargetMode="External"/><Relationship Id="rId9" Type="http://schemas.openxmlformats.org/officeDocument/2006/relationships/hyperlink" Target="https://en.wikipedia.org/wiki/Boulder,_Colorado" TargetMode="External"/><Relationship Id="rId143" Type="http://schemas.openxmlformats.org/officeDocument/2006/relationships/hyperlink" Target="https://en.wikipedia.org/wiki/Alamosa,_Colorado" TargetMode="External"/><Relationship Id="rId142" Type="http://schemas.openxmlformats.org/officeDocument/2006/relationships/hyperlink" Target="https://en.wikipedia.org/wiki/Larry_Crowder" TargetMode="External"/><Relationship Id="rId141" Type="http://schemas.openxmlformats.org/officeDocument/2006/relationships/hyperlink" Target="https://en.wikipedia.org/wiki/Denver,_CO" TargetMode="External"/><Relationship Id="rId140" Type="http://schemas.openxmlformats.org/officeDocument/2006/relationships/hyperlink" Target="https://en.wikipedia.org/wiki/Denver,_CO" TargetMode="External"/><Relationship Id="rId5" Type="http://schemas.openxmlformats.org/officeDocument/2006/relationships/hyperlink" Target="https://en.wikipedia.org/wiki/Chris_Hansen_(politician)" TargetMode="External"/><Relationship Id="rId6" Type="http://schemas.openxmlformats.org/officeDocument/2006/relationships/hyperlink" Target="https://en.wikipedia.org/wiki/James_Coleman_(politician)" TargetMode="External"/><Relationship Id="rId7" Type="http://schemas.openxmlformats.org/officeDocument/2006/relationships/hyperlink" Target="https://en.wikipedia.org/wiki/Leslie_Herod" TargetMode="External"/><Relationship Id="rId8" Type="http://schemas.openxmlformats.org/officeDocument/2006/relationships/hyperlink" Target="https://en.wikipedia.org/wiki/Edie_Hooton" TargetMode="External"/><Relationship Id="rId144" Type="http://schemas.openxmlformats.org/officeDocument/2006/relationships/drawing" Target="../drawings/drawing7.xml"/><Relationship Id="rId73" Type="http://schemas.openxmlformats.org/officeDocument/2006/relationships/hyperlink" Target="https://en.wikipedia.org/wiki/Carbondale,_Colorado" TargetMode="External"/><Relationship Id="rId72" Type="http://schemas.openxmlformats.org/officeDocument/2006/relationships/hyperlink" Target="https://en.wikipedia.org/wiki/Bob_Rankin" TargetMode="External"/><Relationship Id="rId75" Type="http://schemas.openxmlformats.org/officeDocument/2006/relationships/hyperlink" Target="https://en.wikipedia.org/wiki/Montrose,_Colorado" TargetMode="External"/><Relationship Id="rId74" Type="http://schemas.openxmlformats.org/officeDocument/2006/relationships/hyperlink" Target="https://en.wikipedia.org/wiki/Marc_Catlin" TargetMode="External"/><Relationship Id="rId77" Type="http://schemas.openxmlformats.org/officeDocument/2006/relationships/hyperlink" Target="https://en.wikipedia.org/wiki/Durango,_Colorado" TargetMode="External"/><Relationship Id="rId76" Type="http://schemas.openxmlformats.org/officeDocument/2006/relationships/hyperlink" Target="https://en.wikipedia.org/wiki/Barbara_Hall_McLachlan" TargetMode="External"/><Relationship Id="rId79" Type="http://schemas.openxmlformats.org/officeDocument/2006/relationships/hyperlink" Target="https://en.wikipedia.org/wiki/Salida,_Colorado" TargetMode="External"/><Relationship Id="rId78" Type="http://schemas.openxmlformats.org/officeDocument/2006/relationships/hyperlink" Target="https://en.wikipedia.org/wiki/James_Wilson_(Colorado_politician)" TargetMode="External"/><Relationship Id="rId71" Type="http://schemas.openxmlformats.org/officeDocument/2006/relationships/hyperlink" Target="https://en.wikipedia.org/wiki/Henderson,_Colorado" TargetMode="External"/><Relationship Id="rId70" Type="http://schemas.openxmlformats.org/officeDocument/2006/relationships/hyperlink" Target="https://en.wikipedia.org/wiki/Fruita,_Colorado" TargetMode="External"/><Relationship Id="rId139" Type="http://schemas.openxmlformats.org/officeDocument/2006/relationships/hyperlink" Target="https://en.wikipedia.org/wiki/Angela_Williams_(politician)" TargetMode="External"/><Relationship Id="rId138" Type="http://schemas.openxmlformats.org/officeDocument/2006/relationships/hyperlink" Target="https://en.wikipedia.org/wiki/Denver,_CO" TargetMode="External"/><Relationship Id="rId137" Type="http://schemas.openxmlformats.org/officeDocument/2006/relationships/hyperlink" Target="https://en.wikipedia.org/wiki/Denver,_CO" TargetMode="External"/><Relationship Id="rId132" Type="http://schemas.openxmlformats.org/officeDocument/2006/relationships/hyperlink" Target="https://en.wikipedia.org/wiki/Rhonda_Fields" TargetMode="External"/><Relationship Id="rId131" Type="http://schemas.openxmlformats.org/officeDocument/2006/relationships/hyperlink" Target="https://en.wikipedia.org/wiki/Aurora,_CO" TargetMode="External"/><Relationship Id="rId130" Type="http://schemas.openxmlformats.org/officeDocument/2006/relationships/hyperlink" Target="https://en.wikipedia.org/wiki/Nancy_Todd" TargetMode="External"/><Relationship Id="rId136" Type="http://schemas.openxmlformats.org/officeDocument/2006/relationships/hyperlink" Target="https://en.wikipedia.org/wiki/Lois_Court" TargetMode="External"/><Relationship Id="rId135" Type="http://schemas.openxmlformats.org/officeDocument/2006/relationships/hyperlink" Target="https://en.wikipedia.org/wiki/Parker,_Colorado" TargetMode="External"/><Relationship Id="rId134" Type="http://schemas.openxmlformats.org/officeDocument/2006/relationships/hyperlink" Target="https://en.wikipedia.org/wiki/Chris_Holbert" TargetMode="External"/><Relationship Id="rId133" Type="http://schemas.openxmlformats.org/officeDocument/2006/relationships/hyperlink" Target="https://en.wikipedia.org/wiki/Aurora,_CO" TargetMode="External"/><Relationship Id="rId62" Type="http://schemas.openxmlformats.org/officeDocument/2006/relationships/hyperlink" Target="https://en.wikipedia.org/wiki/Perry_Buck" TargetMode="External"/><Relationship Id="rId61" Type="http://schemas.openxmlformats.org/officeDocument/2006/relationships/hyperlink" Target="https://en.wikipedia.org/wiki/Severance,_Colorado" TargetMode="External"/><Relationship Id="rId64" Type="http://schemas.openxmlformats.org/officeDocument/2006/relationships/hyperlink" Target="https://en.wikipedia.org/wiki/Greeley,_Colorado" TargetMode="External"/><Relationship Id="rId63" Type="http://schemas.openxmlformats.org/officeDocument/2006/relationships/hyperlink" Target="https://en.wikipedia.org/wiki/Loveland,_Colorado" TargetMode="External"/><Relationship Id="rId66" Type="http://schemas.openxmlformats.org/officeDocument/2006/relationships/hyperlink" Target="https://en.wikipedia.org/wiki/Joann_Ginal" TargetMode="External"/><Relationship Id="rId65" Type="http://schemas.openxmlformats.org/officeDocument/2006/relationships/hyperlink" Target="https://en.wikipedia.org/wiki/Hugh_McKean" TargetMode="External"/><Relationship Id="rId68" Type="http://schemas.openxmlformats.org/officeDocument/2006/relationships/hyperlink" Target="https://en.wikipedia.org/wiki/Jennifer_Arndt" TargetMode="External"/><Relationship Id="rId67" Type="http://schemas.openxmlformats.org/officeDocument/2006/relationships/hyperlink" Target="https://en.wikipedia.org/wiki/Fort_Collins,_Colorado" TargetMode="External"/><Relationship Id="rId60" Type="http://schemas.openxmlformats.org/officeDocument/2006/relationships/hyperlink" Target="https://en.wikipedia.org/wiki/Stephen_Humphrey" TargetMode="External"/><Relationship Id="rId69" Type="http://schemas.openxmlformats.org/officeDocument/2006/relationships/hyperlink" Target="https://en.wikipedia.org/wiki/Fort_Collins,_Colorado" TargetMode="External"/><Relationship Id="rId51" Type="http://schemas.openxmlformats.org/officeDocument/2006/relationships/hyperlink" Target="https://en.wikipedia.org/wiki/Kevin_Van_Winkle" TargetMode="External"/><Relationship Id="rId50" Type="http://schemas.openxmlformats.org/officeDocument/2006/relationships/hyperlink" Target="https://en.wikipedia.org/wiki/Aurora,_Colorado" TargetMode="External"/><Relationship Id="rId53" Type="http://schemas.openxmlformats.org/officeDocument/2006/relationships/hyperlink" Target="https://en.wikipedia.org/wiki/Kim_Ransom" TargetMode="External"/><Relationship Id="rId52" Type="http://schemas.openxmlformats.org/officeDocument/2006/relationships/hyperlink" Target="https://en.wikipedia.org/wiki/Highlands_Ranch,_Colorado" TargetMode="External"/><Relationship Id="rId55" Type="http://schemas.openxmlformats.org/officeDocument/2006/relationships/hyperlink" Target="https://en.wikipedia.org/wiki/Patrick_Neville" TargetMode="External"/><Relationship Id="rId54" Type="http://schemas.openxmlformats.org/officeDocument/2006/relationships/hyperlink" Target="https://en.wikipedia.org/wiki/Parker,_Colorado" TargetMode="External"/><Relationship Id="rId57" Type="http://schemas.openxmlformats.org/officeDocument/2006/relationships/hyperlink" Target="https://en.wikipedia.org/wiki/Daneya_Esgar" TargetMode="External"/><Relationship Id="rId56" Type="http://schemas.openxmlformats.org/officeDocument/2006/relationships/hyperlink" Target="https://en.wikipedia.org/wiki/Castle_Rock,_Colorado" TargetMode="External"/><Relationship Id="rId59" Type="http://schemas.openxmlformats.org/officeDocument/2006/relationships/hyperlink" Target="https://en.wikipedia.org/wiki/Swink,_Colorado" TargetMode="External"/><Relationship Id="rId58" Type="http://schemas.openxmlformats.org/officeDocument/2006/relationships/hyperlink" Target="https://en.wikipedia.org/wiki/Pueblo,_Colorado" TargetMode="External"/><Relationship Id="rId107" Type="http://schemas.openxmlformats.org/officeDocument/2006/relationships/hyperlink" Target="https://en.wikipedia.org/wiki/Colorado_Springs,_CO" TargetMode="External"/><Relationship Id="rId106" Type="http://schemas.openxmlformats.org/officeDocument/2006/relationships/hyperlink" Target="https://en.wikipedia.org/wiki/Bob_Gardner" TargetMode="External"/><Relationship Id="rId105" Type="http://schemas.openxmlformats.org/officeDocument/2006/relationships/hyperlink" Target="https://en.wikipedia.org/wiki/Colorado_Springs,_CO" TargetMode="External"/><Relationship Id="rId104" Type="http://schemas.openxmlformats.org/officeDocument/2006/relationships/hyperlink" Target="https://en.wikipedia.org/wiki/Colorado_Springs,_CO" TargetMode="External"/><Relationship Id="rId109" Type="http://schemas.openxmlformats.org/officeDocument/2006/relationships/hyperlink" Target="https://en.wikipedia.org/wiki/Greeley,_Colorado" TargetMode="External"/><Relationship Id="rId108" Type="http://schemas.openxmlformats.org/officeDocument/2006/relationships/hyperlink" Target="https://en.wikipedia.org/wiki/John_Cooke_(Colorado_politician)" TargetMode="External"/><Relationship Id="rId103" Type="http://schemas.openxmlformats.org/officeDocument/2006/relationships/hyperlink" Target="https://en.wikipedia.org/wiki/Owen_Hill" TargetMode="External"/><Relationship Id="rId102" Type="http://schemas.openxmlformats.org/officeDocument/2006/relationships/hyperlink" Target="https://en.wikipedia.org/wiki/Colorado_Springs,_Colorado" TargetMode="External"/><Relationship Id="rId101" Type="http://schemas.openxmlformats.org/officeDocument/2006/relationships/hyperlink" Target="https://en.wikipedia.org/wiki/Steamboat_Springs,_Colorado" TargetMode="External"/><Relationship Id="rId100" Type="http://schemas.openxmlformats.org/officeDocument/2006/relationships/hyperlink" Target="https://en.wikipedia.org/wiki/Randy_Baumgardner" TargetMode="External"/><Relationship Id="rId129" Type="http://schemas.openxmlformats.org/officeDocument/2006/relationships/hyperlink" Target="https://en.wikipedia.org/wiki/Centennial,_Colorado" TargetMode="External"/><Relationship Id="rId128" Type="http://schemas.openxmlformats.org/officeDocument/2006/relationships/hyperlink" Target="https://en.wikipedia.org/wiki/Jack_Tate_(politician)" TargetMode="External"/><Relationship Id="rId127" Type="http://schemas.openxmlformats.org/officeDocument/2006/relationships/hyperlink" Target="https://en.wikipedia.org/wiki/Littleton,_Colorado" TargetMode="External"/><Relationship Id="rId126" Type="http://schemas.openxmlformats.org/officeDocument/2006/relationships/hyperlink" Target="https://en.wikipedia.org/wiki/Daniel_Kagan" TargetMode="External"/><Relationship Id="rId121" Type="http://schemas.openxmlformats.org/officeDocument/2006/relationships/hyperlink" Target="https://en.wikipedia.org/wiki/Vicki_Marble" TargetMode="External"/><Relationship Id="rId120" Type="http://schemas.openxmlformats.org/officeDocument/2006/relationships/hyperlink" Target="https://en.wikipedia.org/wiki/Lakewood,_Colorado" TargetMode="External"/><Relationship Id="rId125" Type="http://schemas.openxmlformats.org/officeDocument/2006/relationships/hyperlink" Target="https://en.wikipedia.org/wiki/Aurora,_Colorado" TargetMode="External"/><Relationship Id="rId124" Type="http://schemas.openxmlformats.org/officeDocument/2006/relationships/hyperlink" Target="https://en.wikipedia.org/wiki/Kevin_Priola" TargetMode="External"/><Relationship Id="rId123" Type="http://schemas.openxmlformats.org/officeDocument/2006/relationships/hyperlink" Target="https://en.wikipedia.org/wiki/Thornton,_Colorado" TargetMode="External"/><Relationship Id="rId122" Type="http://schemas.openxmlformats.org/officeDocument/2006/relationships/hyperlink" Target="https://en.wikipedia.org/wiki/Fort_Collins,_Colorado" TargetMode="External"/><Relationship Id="rId95" Type="http://schemas.openxmlformats.org/officeDocument/2006/relationships/hyperlink" Target="https://en.wikipedia.org/wiki/Vail,_CO" TargetMode="External"/><Relationship Id="rId94" Type="http://schemas.openxmlformats.org/officeDocument/2006/relationships/hyperlink" Target="https://en.wikipedia.org/wiki/Kerry_Donovan" TargetMode="External"/><Relationship Id="rId97" Type="http://schemas.openxmlformats.org/officeDocument/2006/relationships/hyperlink" Target="https://en.wikipedia.org/wiki/Montrose,_Colorado" TargetMode="External"/><Relationship Id="rId96" Type="http://schemas.openxmlformats.org/officeDocument/2006/relationships/hyperlink" Target="https://en.wikipedia.org/wiki/Don_Coram" TargetMode="External"/><Relationship Id="rId99" Type="http://schemas.openxmlformats.org/officeDocument/2006/relationships/hyperlink" Target="https://en.wikipedia.org/wiki/Grand_Junction,_Colorado" TargetMode="External"/><Relationship Id="rId98" Type="http://schemas.openxmlformats.org/officeDocument/2006/relationships/hyperlink" Target="https://en.wikipedia.org/wiki/Ray_Scott_(Colorado_politician)" TargetMode="External"/><Relationship Id="rId91" Type="http://schemas.openxmlformats.org/officeDocument/2006/relationships/hyperlink" Target="https://en.wikipedia.org/wiki/Pueblo,_Colorado" TargetMode="External"/><Relationship Id="rId90" Type="http://schemas.openxmlformats.org/officeDocument/2006/relationships/hyperlink" Target="https://en.wikipedia.org/wiki/Leroy_Garcia" TargetMode="External"/><Relationship Id="rId93" Type="http://schemas.openxmlformats.org/officeDocument/2006/relationships/hyperlink" Target="https://en.wikipedia.org/wiki/Sedalia,_Colorado" TargetMode="External"/><Relationship Id="rId92" Type="http://schemas.openxmlformats.org/officeDocument/2006/relationships/hyperlink" Target="https://en.wikipedia.org/wiki/James_%22Jim%22_Smallwood" TargetMode="External"/><Relationship Id="rId118" Type="http://schemas.openxmlformats.org/officeDocument/2006/relationships/hyperlink" Target="https://en.wikipedia.org/wiki/Dominick_Moreno" TargetMode="External"/><Relationship Id="rId117" Type="http://schemas.openxmlformats.org/officeDocument/2006/relationships/hyperlink" Target="https://en.wikipedia.org/wiki/Wheat_Ridge,_Colorado" TargetMode="External"/><Relationship Id="rId116" Type="http://schemas.openxmlformats.org/officeDocument/2006/relationships/hyperlink" Target="https://en.wikipedia.org/wiki/Arvada,_Colorado" TargetMode="External"/><Relationship Id="rId115" Type="http://schemas.openxmlformats.org/officeDocument/2006/relationships/hyperlink" Target="https://en.wikipedia.org/wiki/Rachel_Zenzinger" TargetMode="External"/><Relationship Id="rId119" Type="http://schemas.openxmlformats.org/officeDocument/2006/relationships/hyperlink" Target="https://en.wikipedia.org/wiki/Commerce_City,_Colorado" TargetMode="External"/><Relationship Id="rId110" Type="http://schemas.openxmlformats.org/officeDocument/2006/relationships/hyperlink" Target="https://en.wikipedia.org/wiki/John_Kefalas" TargetMode="External"/><Relationship Id="rId114" Type="http://schemas.openxmlformats.org/officeDocument/2006/relationships/hyperlink" Target="https://en.wikipedia.org/wiki/Boulder,_Colorado" TargetMode="External"/><Relationship Id="rId113" Type="http://schemas.openxmlformats.org/officeDocument/2006/relationships/hyperlink" Target="https://en.wikipedia.org/wiki/Stephen_Fenberg" TargetMode="External"/><Relationship Id="rId112" Type="http://schemas.openxmlformats.org/officeDocument/2006/relationships/hyperlink" Target="https://en.wikipedia.org/wiki/Longmont,_Colorado" TargetMode="External"/><Relationship Id="rId111" Type="http://schemas.openxmlformats.org/officeDocument/2006/relationships/hyperlink" Target="https://en.wikipedia.org/wiki/Fort_Collins,_Colorado"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s://en.wikipedia.org/wiki/John_Piscopo" TargetMode="External"/><Relationship Id="rId42" Type="http://schemas.openxmlformats.org/officeDocument/2006/relationships/hyperlink" Target="https://en.wikipedia.org/wiki/Dave_Yaccarino" TargetMode="External"/><Relationship Id="rId41" Type="http://schemas.openxmlformats.org/officeDocument/2006/relationships/hyperlink" Target="https://en.wikipedia.org/wiki/Connecticut%27s_87th_assembly_district" TargetMode="External"/><Relationship Id="rId44" Type="http://schemas.openxmlformats.org/officeDocument/2006/relationships/hyperlink" Target="https://en.wikipedia.org/wiki/Craig_C._Fishbein" TargetMode="External"/><Relationship Id="rId43" Type="http://schemas.openxmlformats.org/officeDocument/2006/relationships/hyperlink" Target="https://en.wikipedia.org/wiki/Lezlye_Zupkus" TargetMode="External"/><Relationship Id="rId46" Type="http://schemas.openxmlformats.org/officeDocument/2006/relationships/hyperlink" Target="https://en.wikipedia.org/wiki/Stephen_Harding_(politician)" TargetMode="External"/><Relationship Id="rId45" Type="http://schemas.openxmlformats.org/officeDocument/2006/relationships/hyperlink" Target="https://en.wikipedia.org/wiki/Matt_Lesser" TargetMode="External"/><Relationship Id="rId48" Type="http://schemas.openxmlformats.org/officeDocument/2006/relationships/hyperlink" Target="https://en.wikipedia.org/wiki/Bob_Godfrey_(politician)" TargetMode="External"/><Relationship Id="rId47" Type="http://schemas.openxmlformats.org/officeDocument/2006/relationships/hyperlink" Target="https://en.wikipedia.org/wiki/Richard_A._Smith_(Connecticut_politician)" TargetMode="External"/><Relationship Id="rId49" Type="http://schemas.openxmlformats.org/officeDocument/2006/relationships/hyperlink" Target="https://en.wikipedia.org/wiki/John_H._Frey" TargetMode="External"/><Relationship Id="rId31" Type="http://schemas.openxmlformats.org/officeDocument/2006/relationships/hyperlink" Target="https://en.wikipedia.org/wiki/Connecticut%27s_58th_assembly_district" TargetMode="External"/><Relationship Id="rId30" Type="http://schemas.openxmlformats.org/officeDocument/2006/relationships/hyperlink" Target="https://en.wikipedia.org/wiki/Connecticut%27s_54th_assembly_district" TargetMode="External"/><Relationship Id="rId33" Type="http://schemas.openxmlformats.org/officeDocument/2006/relationships/hyperlink" Target="https://en.wikipedia.org/wiki/Connecticut%27s_61st_assembly_district" TargetMode="External"/><Relationship Id="rId32" Type="http://schemas.openxmlformats.org/officeDocument/2006/relationships/hyperlink" Target="https://en.wikipedia.org/wiki/Connecticut%27s_59th_assembly_district" TargetMode="External"/><Relationship Id="rId35" Type="http://schemas.openxmlformats.org/officeDocument/2006/relationships/hyperlink" Target="https://en.wikipedia.org/wiki/Connecticut%27s_63rd_assembly_district" TargetMode="External"/><Relationship Id="rId34" Type="http://schemas.openxmlformats.org/officeDocument/2006/relationships/hyperlink" Target="https://en.wikipedia.org/wiki/Connecticut%27s_62nd_assembly_district" TargetMode="External"/><Relationship Id="rId37" Type="http://schemas.openxmlformats.org/officeDocument/2006/relationships/hyperlink" Target="https://en.wikipedia.org/wiki/Connecticut%27s_65th_assembly_district" TargetMode="External"/><Relationship Id="rId36" Type="http://schemas.openxmlformats.org/officeDocument/2006/relationships/hyperlink" Target="https://en.wikipedia.org/wiki/Connecticut%27s_64th_assembly_district" TargetMode="External"/><Relationship Id="rId39" Type="http://schemas.openxmlformats.org/officeDocument/2006/relationships/hyperlink" Target="https://en.wikipedia.org/wiki/Rosa_Rebimbas" TargetMode="External"/><Relationship Id="rId38" Type="http://schemas.openxmlformats.org/officeDocument/2006/relationships/hyperlink" Target="https://en.wikipedia.org/wiki/Michelle_Cook" TargetMode="External"/><Relationship Id="rId20" Type="http://schemas.openxmlformats.org/officeDocument/2006/relationships/hyperlink" Target="https://en.wikipedia.org/wiki/Connecticut%27s_28th_assembly_district" TargetMode="External"/><Relationship Id="rId22" Type="http://schemas.openxmlformats.org/officeDocument/2006/relationships/hyperlink" Target="https://en.wikipedia.org/wiki/Joe_Aresimowicz" TargetMode="External"/><Relationship Id="rId21" Type="http://schemas.openxmlformats.org/officeDocument/2006/relationships/hyperlink" Target="https://en.wikipedia.org/wiki/Connecticut%27s_29th_assembly_district" TargetMode="External"/><Relationship Id="rId24" Type="http://schemas.openxmlformats.org/officeDocument/2006/relationships/hyperlink" Target="https://en.wikipedia.org/wiki/Connecticut%27s_39th_assembly_district" TargetMode="External"/><Relationship Id="rId23" Type="http://schemas.openxmlformats.org/officeDocument/2006/relationships/hyperlink" Target="https://en.wikipedia.org/wiki/Christie_Carpino" TargetMode="External"/><Relationship Id="rId26" Type="http://schemas.openxmlformats.org/officeDocument/2006/relationships/hyperlink" Target="https://en.wikipedia.org/wiki/Connecticut%27s_44th_assembly_district" TargetMode="External"/><Relationship Id="rId25" Type="http://schemas.openxmlformats.org/officeDocument/2006/relationships/hyperlink" Target="https://en.wikipedia.org/wiki/Connecticut%27s_43rd_assembly_district" TargetMode="External"/><Relationship Id="rId28" Type="http://schemas.openxmlformats.org/officeDocument/2006/relationships/hyperlink" Target="https://en.wikipedia.org/wiki/Connecticut%27s_52nd_assembly_district" TargetMode="External"/><Relationship Id="rId27" Type="http://schemas.openxmlformats.org/officeDocument/2006/relationships/hyperlink" Target="https://en.wikipedia.org/wiki/Pat_Boyd" TargetMode="External"/><Relationship Id="rId29" Type="http://schemas.openxmlformats.org/officeDocument/2006/relationships/hyperlink" Target="https://en.wikipedia.org/wiki/Kurt_Vail" TargetMode="External"/><Relationship Id="rId11" Type="http://schemas.openxmlformats.org/officeDocument/2006/relationships/hyperlink" Target="https://en.wikipedia.org/wiki/Joshua_M._Hall" TargetMode="External"/><Relationship Id="rId10" Type="http://schemas.openxmlformats.org/officeDocument/2006/relationships/hyperlink" Target="https://en.wikipedia.org/wiki/Connecticut%27s_7th_assembly_district" TargetMode="External"/><Relationship Id="rId13" Type="http://schemas.openxmlformats.org/officeDocument/2006/relationships/hyperlink" Target="https://en.wikipedia.org/wiki/Connecticut%27s_9th_assembly_district" TargetMode="External"/><Relationship Id="rId12" Type="http://schemas.openxmlformats.org/officeDocument/2006/relationships/hyperlink" Target="https://en.wikipedia.org/wiki/Connecticut%27s_8th_assembly_district" TargetMode="External"/><Relationship Id="rId15" Type="http://schemas.openxmlformats.org/officeDocument/2006/relationships/hyperlink" Target="https://en.wikipedia.org/wiki/Connecticut%27s_10th_assembly_district" TargetMode="External"/><Relationship Id="rId14" Type="http://schemas.openxmlformats.org/officeDocument/2006/relationships/hyperlink" Target="https://en.wikipedia.org/wiki/Jason_Rojas" TargetMode="External"/><Relationship Id="rId17" Type="http://schemas.openxmlformats.org/officeDocument/2006/relationships/hyperlink" Target="https://en.wikipedia.org/wiki/Connecticut%27s_15th_assembly_district" TargetMode="External"/><Relationship Id="rId16" Type="http://schemas.openxmlformats.org/officeDocument/2006/relationships/hyperlink" Target="https://en.wikipedia.org/wiki/Jeffrey_Currey" TargetMode="External"/><Relationship Id="rId19" Type="http://schemas.openxmlformats.org/officeDocument/2006/relationships/hyperlink" Target="https://en.wikipedia.org/w/index.php?title=Devin_Carney&amp;action=edit&amp;redlink=1" TargetMode="External"/><Relationship Id="rId18" Type="http://schemas.openxmlformats.org/officeDocument/2006/relationships/hyperlink" Target="https://en.wikipedia.org/wiki/Connecticut%27s_16th_assembly_district" TargetMode="External"/><Relationship Id="rId84" Type="http://schemas.openxmlformats.org/officeDocument/2006/relationships/hyperlink" Target="https://en.wikipedia.org/wiki/George_Logan_(Connecticut_politician)" TargetMode="External"/><Relationship Id="rId83" Type="http://schemas.openxmlformats.org/officeDocument/2006/relationships/hyperlink" Target="https://en.wikipedia.org/w/index.php?title=Connecticut%27s_16th_Senate_district&amp;action=edit&amp;redlink=1" TargetMode="External"/><Relationship Id="rId86" Type="http://schemas.openxmlformats.org/officeDocument/2006/relationships/hyperlink" Target="https://en.wikipedia.org/wiki/Catherine_A._Osten" TargetMode="External"/><Relationship Id="rId85" Type="http://schemas.openxmlformats.org/officeDocument/2006/relationships/hyperlink" Target="https://en.wikipedia.org/w/index.php?title=Heather_Somers&amp;action=edit&amp;redlink=1" TargetMode="External"/><Relationship Id="rId88" Type="http://schemas.openxmlformats.org/officeDocument/2006/relationships/hyperlink" Target="https://en.wikipedia.org/w/index.php?title=Connecticut%27s_20th_Senate_district&amp;action=edit&amp;redlink=1" TargetMode="External"/><Relationship Id="rId87" Type="http://schemas.openxmlformats.org/officeDocument/2006/relationships/hyperlink" Target="http://www.senatedems.ct.gov/Osten-contact" TargetMode="External"/><Relationship Id="rId89" Type="http://schemas.openxmlformats.org/officeDocument/2006/relationships/hyperlink" Target="https://en.wikipedia.org/wiki/Paul_Formica" TargetMode="External"/><Relationship Id="rId80" Type="http://schemas.openxmlformats.org/officeDocument/2006/relationships/hyperlink" Target="https://en.wikipedia.org/wiki/Martin_M._Looney" TargetMode="External"/><Relationship Id="rId82" Type="http://schemas.openxmlformats.org/officeDocument/2006/relationships/hyperlink" Target="https://en.wikipedia.org/wiki/Joan_V._Hartley" TargetMode="External"/><Relationship Id="rId81" Type="http://schemas.openxmlformats.org/officeDocument/2006/relationships/hyperlink" Target="https://en.wikipedia.org/wiki/Connecticut%27s_12th_Senate_District" TargetMode="External"/><Relationship Id="rId1" Type="http://schemas.openxmlformats.org/officeDocument/2006/relationships/comments" Target="../comments1.xml"/><Relationship Id="rId2" Type="http://schemas.openxmlformats.org/officeDocument/2006/relationships/hyperlink" Target="https://en.wikipedia.org/wiki/Connecticut%27s_1st_assembly_district" TargetMode="External"/><Relationship Id="rId3" Type="http://schemas.openxmlformats.org/officeDocument/2006/relationships/hyperlink" Target="https://en.wikipedia.org/wiki/Matthew_Ritter" TargetMode="External"/><Relationship Id="rId4" Type="http://schemas.openxmlformats.org/officeDocument/2006/relationships/hyperlink" Target="https://en.wikipedia.org/wiki/Connecticut%27s_2nd_assembly_district" TargetMode="External"/><Relationship Id="rId9" Type="http://schemas.openxmlformats.org/officeDocument/2006/relationships/hyperlink" Target="https://en.wikipedia.org/wiki/Connecticut%27s_6th_assembly_district" TargetMode="External"/><Relationship Id="rId5" Type="http://schemas.openxmlformats.org/officeDocument/2006/relationships/hyperlink" Target="https://en.wikipedia.org/wiki/Connecticut%27s_3rd_assembly_district" TargetMode="External"/><Relationship Id="rId6" Type="http://schemas.openxmlformats.org/officeDocument/2006/relationships/hyperlink" Target="https://en.wikipedia.org/wiki/Minnie_Gonzalez" TargetMode="External"/><Relationship Id="rId7" Type="http://schemas.openxmlformats.org/officeDocument/2006/relationships/hyperlink" Target="https://en.wikipedia.org/wiki/Connecticut%27s_4th_assembly_district" TargetMode="External"/><Relationship Id="rId8" Type="http://schemas.openxmlformats.org/officeDocument/2006/relationships/hyperlink" Target="https://en.wikipedia.org/wiki/Connecticut%27s_5th_assembly_district" TargetMode="External"/><Relationship Id="rId73" Type="http://schemas.openxmlformats.org/officeDocument/2006/relationships/hyperlink" Target="http://www.senatedems.ct.gov/Gerratana-contact" TargetMode="External"/><Relationship Id="rId72" Type="http://schemas.openxmlformats.org/officeDocument/2006/relationships/hyperlink" Target="https://en.wikipedia.org/wiki/Terry_Gerratana" TargetMode="External"/><Relationship Id="rId75" Type="http://schemas.openxmlformats.org/officeDocument/2006/relationships/hyperlink" Target="https://en.wikipedia.org/wiki/John_A._Kissel" TargetMode="External"/><Relationship Id="rId74" Type="http://schemas.openxmlformats.org/officeDocument/2006/relationships/hyperlink" Target="https://en.wikipedia.org/wiki/Connecticut%27s_7th_Senate_district" TargetMode="External"/><Relationship Id="rId77" Type="http://schemas.openxmlformats.org/officeDocument/2006/relationships/hyperlink" Target="https://en.wikipedia.org/wiki/Kevin_Witkos" TargetMode="External"/><Relationship Id="rId76" Type="http://schemas.openxmlformats.org/officeDocument/2006/relationships/hyperlink" Target="https://en.wikipedia.org/wiki/Connecticut%27s_8th_Senate_District" TargetMode="External"/><Relationship Id="rId79" Type="http://schemas.openxmlformats.org/officeDocument/2006/relationships/hyperlink" Target="http://www.senatedems.ct.gov/Winfield-contact" TargetMode="External"/><Relationship Id="rId78" Type="http://schemas.openxmlformats.org/officeDocument/2006/relationships/hyperlink" Target="https://en.wikipedia.org/wiki/Gary_Holder-Winfield" TargetMode="External"/><Relationship Id="rId71" Type="http://schemas.openxmlformats.org/officeDocument/2006/relationships/hyperlink" Target="http://www.senatedems.ct.gov/Bye-contact" TargetMode="External"/><Relationship Id="rId70" Type="http://schemas.openxmlformats.org/officeDocument/2006/relationships/hyperlink" Target="https://en.wikipedia.org/wiki/Beth_Bye" TargetMode="External"/><Relationship Id="rId62" Type="http://schemas.openxmlformats.org/officeDocument/2006/relationships/hyperlink" Target="https://en.wikipedia.org/wiki/John_Fonfara" TargetMode="External"/><Relationship Id="rId61" Type="http://schemas.openxmlformats.org/officeDocument/2006/relationships/hyperlink" Target="https://en.wikipedia.org/wiki/Gail_Lavielle" TargetMode="External"/><Relationship Id="rId64" Type="http://schemas.openxmlformats.org/officeDocument/2006/relationships/hyperlink" Target="https://en.wikipedia.org/wiki/Douglas_McCrory" TargetMode="External"/><Relationship Id="rId63" Type="http://schemas.openxmlformats.org/officeDocument/2006/relationships/hyperlink" Target="http://www.senatedems.ct.gov/Fonfara-contact" TargetMode="External"/><Relationship Id="rId66" Type="http://schemas.openxmlformats.org/officeDocument/2006/relationships/hyperlink" Target="https://en.wikipedia.org/wiki/Tim_Larson" TargetMode="External"/><Relationship Id="rId65" Type="http://schemas.openxmlformats.org/officeDocument/2006/relationships/hyperlink" Target="http://www.senatedems.ct.gov/McCrory-contact" TargetMode="External"/><Relationship Id="rId68" Type="http://schemas.openxmlformats.org/officeDocument/2006/relationships/hyperlink" Target="https://en.wikipedia.org/wiki/Steve_Cassano" TargetMode="External"/><Relationship Id="rId67" Type="http://schemas.openxmlformats.org/officeDocument/2006/relationships/hyperlink" Target="http://www.senatedems.ct.gov/Larson-contact" TargetMode="External"/><Relationship Id="rId60" Type="http://schemas.openxmlformats.org/officeDocument/2006/relationships/hyperlink" Target="https://en.wikipedia.org/wiki/Connecticut%27s_143rd_assembly_district" TargetMode="External"/><Relationship Id="rId69" Type="http://schemas.openxmlformats.org/officeDocument/2006/relationships/hyperlink" Target="http://www.senatedems.ct.gov/Cassano-contact" TargetMode="External"/><Relationship Id="rId51" Type="http://schemas.openxmlformats.org/officeDocument/2006/relationships/hyperlink" Target="https://en.wikipedia.org/wiki/Dorinda_Keenan_Borer" TargetMode="External"/><Relationship Id="rId50" Type="http://schemas.openxmlformats.org/officeDocument/2006/relationships/hyperlink" Target="https://en.wikipedia.org/wiki/Themis_Klarides" TargetMode="External"/><Relationship Id="rId53" Type="http://schemas.openxmlformats.org/officeDocument/2006/relationships/hyperlink" Target="https://en.wikipedia.org/wiki/Connecticut%27s_135th_assembly_district" TargetMode="External"/><Relationship Id="rId52" Type="http://schemas.openxmlformats.org/officeDocument/2006/relationships/hyperlink" Target="https://en.wikipedia.org/wiki/Tom_O%27Dea" TargetMode="External"/><Relationship Id="rId55" Type="http://schemas.openxmlformats.org/officeDocument/2006/relationships/hyperlink" Target="https://en.wikipedia.org/wiki/Chris_Perone" TargetMode="External"/><Relationship Id="rId54" Type="http://schemas.openxmlformats.org/officeDocument/2006/relationships/hyperlink" Target="https://en.wikipedia.org/wiki/Connecticut%27s_137th_assembly_district" TargetMode="External"/><Relationship Id="rId57" Type="http://schemas.openxmlformats.org/officeDocument/2006/relationships/hyperlink" Target="https://en.wikipedia.org/wiki/Connecticut%27s_141st_assembly_district" TargetMode="External"/><Relationship Id="rId56" Type="http://schemas.openxmlformats.org/officeDocument/2006/relationships/hyperlink" Target="https://en.wikipedia.org/wiki/Connecticut%27s_140th_assembly_district" TargetMode="External"/><Relationship Id="rId59" Type="http://schemas.openxmlformats.org/officeDocument/2006/relationships/hyperlink" Target="https://en.wikipedia.org/wiki/Connecticut%27s_142nd_assembly_district" TargetMode="External"/><Relationship Id="rId58" Type="http://schemas.openxmlformats.org/officeDocument/2006/relationships/hyperlink" Target="https://en.wikipedia.org/wiki/Terrie_Wood" TargetMode="External"/><Relationship Id="rId107" Type="http://schemas.openxmlformats.org/officeDocument/2006/relationships/hyperlink" Target="https://en.wikipedia.org/wiki/Henri_Martin_(American_politician)" TargetMode="External"/><Relationship Id="rId106" Type="http://schemas.openxmlformats.org/officeDocument/2006/relationships/hyperlink" Target="https://en.wikipedia.org/w/index.php?title=Connecticut%27s_31st_Senate_district&amp;action=edit&amp;redlink=1" TargetMode="External"/><Relationship Id="rId105" Type="http://schemas.openxmlformats.org/officeDocument/2006/relationships/hyperlink" Target="https://en.wikipedia.org/wiki/Craig_Miner" TargetMode="External"/><Relationship Id="rId104" Type="http://schemas.openxmlformats.org/officeDocument/2006/relationships/hyperlink" Target="https://en.wikipedia.org/wiki/Mae_Flexer" TargetMode="External"/><Relationship Id="rId109" Type="http://schemas.openxmlformats.org/officeDocument/2006/relationships/hyperlink" Target="https://en.wikipedia.org/wiki/Eric_Berthel" TargetMode="External"/><Relationship Id="rId108" Type="http://schemas.openxmlformats.org/officeDocument/2006/relationships/hyperlink" Target="https://en.wikipedia.org/w/index.php?title=Connecticut%27s_32nd_Senate_district&amp;action=edit&amp;redlink=1" TargetMode="External"/><Relationship Id="rId103" Type="http://schemas.openxmlformats.org/officeDocument/2006/relationships/hyperlink" Target="https://en.wikipedia.org/wiki/Tony_Hwang" TargetMode="External"/><Relationship Id="rId102" Type="http://schemas.openxmlformats.org/officeDocument/2006/relationships/hyperlink" Target="https://en.wikipedia.org/w/index.php?title=Connecticut%27s_28th_Senate_district&amp;action=edit&amp;redlink=1" TargetMode="External"/><Relationship Id="rId101" Type="http://schemas.openxmlformats.org/officeDocument/2006/relationships/hyperlink" Target="http://www.senatedems.ct.gov/Leone-contact" TargetMode="External"/><Relationship Id="rId100" Type="http://schemas.openxmlformats.org/officeDocument/2006/relationships/hyperlink" Target="https://en.wikipedia.org/w/index.php?title=Carlo_Leone&amp;action=edit&amp;redlink=1" TargetMode="External"/><Relationship Id="rId95" Type="http://schemas.openxmlformats.org/officeDocument/2006/relationships/hyperlink" Target="https://en.wikipedia.org/w/index.php?title=Connecticut%27s_24th_Senate_district&amp;action=edit&amp;redlink=1" TargetMode="External"/><Relationship Id="rId94" Type="http://schemas.openxmlformats.org/officeDocument/2006/relationships/hyperlink" Target="https://en.wikipedia.org/wiki/Connecticut_Senate" TargetMode="External"/><Relationship Id="rId97" Type="http://schemas.openxmlformats.org/officeDocument/2006/relationships/hyperlink" Target="https://en.wikipedia.org/wiki/Bob_Duff" TargetMode="External"/><Relationship Id="rId96" Type="http://schemas.openxmlformats.org/officeDocument/2006/relationships/hyperlink" Target="https://en.wikipedia.org/wiki/Connecticut%27s_25th_Senate_District" TargetMode="External"/><Relationship Id="rId99" Type="http://schemas.openxmlformats.org/officeDocument/2006/relationships/hyperlink" Target="https://en.wikipedia.org/wiki/Toni_Boucher" TargetMode="External"/><Relationship Id="rId98" Type="http://schemas.openxmlformats.org/officeDocument/2006/relationships/hyperlink" Target="https://en.wikipedia.org/wiki/Connecticut%27s_26th_Senate_district" TargetMode="External"/><Relationship Id="rId91" Type="http://schemas.openxmlformats.org/officeDocument/2006/relationships/hyperlink" Target="https://en.wikipedia.org/wiki/Kevin_C._Kelly" TargetMode="External"/><Relationship Id="rId90" Type="http://schemas.openxmlformats.org/officeDocument/2006/relationships/hyperlink" Target="https://en.wikipedia.org/w/index.php?title=Connecticut%27s_21th_Senate_district&amp;action=edit&amp;redlink=1" TargetMode="External"/><Relationship Id="rId93" Type="http://schemas.openxmlformats.org/officeDocument/2006/relationships/hyperlink" Target="http://www.senatedems.ct.gov/Moore-contact" TargetMode="External"/><Relationship Id="rId92" Type="http://schemas.openxmlformats.org/officeDocument/2006/relationships/hyperlink" Target="https://en.wikipedia.org/wiki/Marilyn_Moore_(politician)" TargetMode="External"/><Relationship Id="rId118" Type="http://schemas.openxmlformats.org/officeDocument/2006/relationships/vmlDrawing" Target="../drawings/vmlDrawing1.vml"/><Relationship Id="rId117" Type="http://schemas.openxmlformats.org/officeDocument/2006/relationships/drawing" Target="../drawings/drawing8.xml"/><Relationship Id="rId116" Type="http://schemas.openxmlformats.org/officeDocument/2006/relationships/hyperlink" Target="https://en.wikipedia.org/w/index.php?title=Connecticut%27s_36th_Senate_district&amp;action=edit&amp;redlink=1" TargetMode="External"/><Relationship Id="rId115" Type="http://schemas.openxmlformats.org/officeDocument/2006/relationships/hyperlink" Target="https://en.wikipedia.org/wiki/Tony_Guglielmo" TargetMode="External"/><Relationship Id="rId110" Type="http://schemas.openxmlformats.org/officeDocument/2006/relationships/hyperlink" Target="https://en.wikipedia.org/w/index.php?title=Connecticut%27s_33rd_Senate_district&amp;action=edit&amp;redlink=1" TargetMode="External"/><Relationship Id="rId114" Type="http://schemas.openxmlformats.org/officeDocument/2006/relationships/hyperlink" Target="https://en.wikipedia.org/w/index.php?title=Connecticut%27s_35th_Senate_district&amp;action=edit&amp;redlink=1" TargetMode="External"/><Relationship Id="rId113" Type="http://schemas.openxmlformats.org/officeDocument/2006/relationships/hyperlink" Target="https://en.wikipedia.org/wiki/Len_Fasano" TargetMode="External"/><Relationship Id="rId112" Type="http://schemas.openxmlformats.org/officeDocument/2006/relationships/hyperlink" Target="https://en.wikipedia.org/w/index.php?title=Connecticut%27s_34th_Senate_district&amp;action=edit&amp;redlink=1" TargetMode="External"/><Relationship Id="rId111" Type="http://schemas.openxmlformats.org/officeDocument/2006/relationships/hyperlink" Target="https://en.wikipedia.org/wiki/Art_Linares" TargetMode="External"/></Relationships>
</file>

<file path=xl/worksheets/_rels/sheet9.xml.rels><?xml version="1.0" encoding="UTF-8" standalone="yes"?><Relationships xmlns="http://schemas.openxmlformats.org/package/2006/relationships"><Relationship Id="rId40" Type="http://schemas.openxmlformats.org/officeDocument/2006/relationships/hyperlink" Target="https://en.wikipedia.org/wiki/Millsboro,_Delaware" TargetMode="External"/><Relationship Id="rId42" Type="http://schemas.openxmlformats.org/officeDocument/2006/relationships/hyperlink" Target="https://en.wikipedia.org/wiki/Harris_McDowell_III" TargetMode="External"/><Relationship Id="rId41" Type="http://schemas.openxmlformats.org/officeDocument/2006/relationships/hyperlink" Target="http://electionsncc.delaware.gov/senate/2012/senate_01.pdf" TargetMode="External"/><Relationship Id="rId44" Type="http://schemas.openxmlformats.org/officeDocument/2006/relationships/hyperlink" Target="http://electionsncc.delaware.gov/senate/2012/senate_02.pdf" TargetMode="External"/><Relationship Id="rId43" Type="http://schemas.openxmlformats.org/officeDocument/2006/relationships/hyperlink" Target="https://en.wikipedia.org/wiki/Wilmington,_Delaware" TargetMode="External"/><Relationship Id="rId46" Type="http://schemas.openxmlformats.org/officeDocument/2006/relationships/hyperlink" Target="http://electionsncc.delaware.gov/senate/2012/senate_04.pdf" TargetMode="External"/><Relationship Id="rId45" Type="http://schemas.openxmlformats.org/officeDocument/2006/relationships/hyperlink" Target="http://electionsncc.delaware.gov/senate/2012/senate_03.pdf" TargetMode="External"/><Relationship Id="rId48" Type="http://schemas.openxmlformats.org/officeDocument/2006/relationships/hyperlink" Target="http://electionsncc.delaware.gov/senate/2012/senate_05.pdf" TargetMode="External"/><Relationship Id="rId47" Type="http://schemas.openxmlformats.org/officeDocument/2006/relationships/hyperlink" Target="https://en.wikipedia.org/wiki/Sharpley,_Delaware" TargetMode="External"/><Relationship Id="rId49" Type="http://schemas.openxmlformats.org/officeDocument/2006/relationships/hyperlink" Target="https://en.wikipedia.org/wiki/Catherine_Cloutier" TargetMode="External"/><Relationship Id="rId31" Type="http://schemas.openxmlformats.org/officeDocument/2006/relationships/hyperlink" Target="https://en.wikipedia.org/wiki/Lyndon_Yearick" TargetMode="External"/><Relationship Id="rId30" Type="http://schemas.openxmlformats.org/officeDocument/2006/relationships/hyperlink" Target="https://en.wikipedia.org/wiki/Andria_Bennett" TargetMode="External"/><Relationship Id="rId33" Type="http://schemas.openxmlformats.org/officeDocument/2006/relationships/hyperlink" Target="https://en.wikipedia.org/wiki/Ruth_Briggs_King" TargetMode="External"/><Relationship Id="rId32" Type="http://schemas.openxmlformats.org/officeDocument/2006/relationships/hyperlink" Target="https://en.wikipedia.org/wiki/Bridgeville,_Delaware" TargetMode="External"/><Relationship Id="rId35" Type="http://schemas.openxmlformats.org/officeDocument/2006/relationships/hyperlink" Target="https://en.wikipedia.org/wiki/Daniel_Short" TargetMode="External"/><Relationship Id="rId34" Type="http://schemas.openxmlformats.org/officeDocument/2006/relationships/hyperlink" Target="https://en.wikipedia.org/wiki/Ronald_E._Gray" TargetMode="External"/><Relationship Id="rId37" Type="http://schemas.openxmlformats.org/officeDocument/2006/relationships/hyperlink" Target="https://en.wikipedia.org/wiki/Timothy_Dukes" TargetMode="External"/><Relationship Id="rId36" Type="http://schemas.openxmlformats.org/officeDocument/2006/relationships/hyperlink" Target="https://en.wikipedia.org/wiki/Seaford,_Delaware" TargetMode="External"/><Relationship Id="rId39" Type="http://schemas.openxmlformats.org/officeDocument/2006/relationships/hyperlink" Target="https://en.wikipedia.org/wiki/Richard_G._Collins" TargetMode="External"/><Relationship Id="rId38" Type="http://schemas.openxmlformats.org/officeDocument/2006/relationships/hyperlink" Target="https://en.wikipedia.org/wiki/Laurel,_Delaware" TargetMode="External"/><Relationship Id="rId20" Type="http://schemas.openxmlformats.org/officeDocument/2006/relationships/hyperlink" Target="https://en.wikipedia.org/wiki/Edward_Osienski" TargetMode="External"/><Relationship Id="rId22" Type="http://schemas.openxmlformats.org/officeDocument/2006/relationships/hyperlink" Target="https://en.wikipedia.org/wiki/John_Viola" TargetMode="External"/><Relationship Id="rId21" Type="http://schemas.openxmlformats.org/officeDocument/2006/relationships/hyperlink" Target="https://en.wikipedia.org/wiki/John_Kowalko" TargetMode="External"/><Relationship Id="rId24" Type="http://schemas.openxmlformats.org/officeDocument/2006/relationships/hyperlink" Target="https://en.wikipedia.org/wiki/Glasgow,_Delaware" TargetMode="External"/><Relationship Id="rId23" Type="http://schemas.openxmlformats.org/officeDocument/2006/relationships/hyperlink" Target="https://en.wikipedia.org/wiki/Earl_Jaques,_Jr." TargetMode="External"/><Relationship Id="rId26" Type="http://schemas.openxmlformats.org/officeDocument/2006/relationships/hyperlink" Target="https://en.wikipedia.org/wiki/Smyrna,_Delaware" TargetMode="External"/><Relationship Id="rId25" Type="http://schemas.openxmlformats.org/officeDocument/2006/relationships/hyperlink" Target="https://en.wikipedia.org/wiki/William_Carson,_Jr." TargetMode="External"/><Relationship Id="rId28" Type="http://schemas.openxmlformats.org/officeDocument/2006/relationships/hyperlink" Target="https://en.wikipedia.org/w/index.php?title=Sean_Lynn&amp;action=edit&amp;redlink=1" TargetMode="External"/><Relationship Id="rId27" Type="http://schemas.openxmlformats.org/officeDocument/2006/relationships/hyperlink" Target="https://en.wikipedia.org/wiki/Harrington,_Delaware" TargetMode="External"/><Relationship Id="rId29" Type="http://schemas.openxmlformats.org/officeDocument/2006/relationships/hyperlink" Target="https://en.wikipedia.org/wiki/Dover,_Delaware" TargetMode="External"/><Relationship Id="rId11" Type="http://schemas.openxmlformats.org/officeDocument/2006/relationships/hyperlink" Target="https://en.wikipedia.org/wiki/Elsmere,_Delaware" TargetMode="External"/><Relationship Id="rId10" Type="http://schemas.openxmlformats.org/officeDocument/2006/relationships/hyperlink" Target="https://en.wikipedia.org/wiki/John_Mitchell,_Jr._(politician)" TargetMode="External"/><Relationship Id="rId13" Type="http://schemas.openxmlformats.org/officeDocument/2006/relationships/hyperlink" Target="https://en.wikipedia.org/wiki/Valerie_Longhurst" TargetMode="External"/><Relationship Id="rId12" Type="http://schemas.openxmlformats.org/officeDocument/2006/relationships/hyperlink" Target="https://en.wikipedia.org/wiki/Peter_Schwartzkopf" TargetMode="External"/><Relationship Id="rId15" Type="http://schemas.openxmlformats.org/officeDocument/2006/relationships/hyperlink" Target="https://en.wikipedia.org/w/index.php?title=David_Bentz&amp;action=edit&amp;redlink=1" TargetMode="External"/><Relationship Id="rId14" Type="http://schemas.openxmlformats.org/officeDocument/2006/relationships/hyperlink" Target="https://en.wikipedia.org/w/index.php?title=Pennwood&amp;action=edit&amp;redlink=1" TargetMode="External"/><Relationship Id="rId17" Type="http://schemas.openxmlformats.org/officeDocument/2006/relationships/hyperlink" Target="https://en.wikipedia.org/wiki/Stephen_Smyk" TargetMode="External"/><Relationship Id="rId16" Type="http://schemas.openxmlformats.org/officeDocument/2006/relationships/hyperlink" Target="https://en.wikipedia.org/wiki/Kimberly_Williams_(politician)" TargetMode="External"/><Relationship Id="rId19" Type="http://schemas.openxmlformats.org/officeDocument/2006/relationships/hyperlink" Target="https://en.wikipedia.org/wiki/Paul_Baumbach" TargetMode="External"/><Relationship Id="rId18" Type="http://schemas.openxmlformats.org/officeDocument/2006/relationships/hyperlink" Target="https://en.wikipedia.org/wiki/Michael_Ramone" TargetMode="External"/><Relationship Id="rId83" Type="http://schemas.openxmlformats.org/officeDocument/2006/relationships/drawing" Target="../drawings/drawing9.xml"/><Relationship Id="rId80" Type="http://schemas.openxmlformats.org/officeDocument/2006/relationships/hyperlink" Target="https://en.wikipedia.org/wiki/Ocean_View,_Delaware" TargetMode="External"/><Relationship Id="rId82" Type="http://schemas.openxmlformats.org/officeDocument/2006/relationships/hyperlink" Target="https://en.wikipedia.org/wiki/Laurel,_Delaware" TargetMode="External"/><Relationship Id="rId81" Type="http://schemas.openxmlformats.org/officeDocument/2006/relationships/hyperlink" Target="https://en.wikipedia.org/wiki/Bryant_Richardson" TargetMode="External"/><Relationship Id="rId1" Type="http://schemas.openxmlformats.org/officeDocument/2006/relationships/hyperlink" Target="https://en.wikipedia.org/wiki/Gerald_Brady" TargetMode="External"/><Relationship Id="rId2" Type="http://schemas.openxmlformats.org/officeDocument/2006/relationships/hyperlink" Target="https://en.wikipedia.org/wiki/Debra_Heffernan" TargetMode="External"/><Relationship Id="rId3" Type="http://schemas.openxmlformats.org/officeDocument/2006/relationships/hyperlink" Target="https://en.wikipedia.org/wiki/Edgewood_Hills,_Delaware" TargetMode="External"/><Relationship Id="rId4" Type="http://schemas.openxmlformats.org/officeDocument/2006/relationships/hyperlink" Target="https://en.wikipedia.org/wiki/Middletown,_Delaware" TargetMode="External"/><Relationship Id="rId9" Type="http://schemas.openxmlformats.org/officeDocument/2006/relationships/hyperlink" Target="https://en.wikipedia.org/wiki/Clayton,_Delaware" TargetMode="External"/><Relationship Id="rId5" Type="http://schemas.openxmlformats.org/officeDocument/2006/relationships/hyperlink" Target="https://en.wikipedia.org/wiki/Kevin_Hensley_(politician)" TargetMode="External"/><Relationship Id="rId6" Type="http://schemas.openxmlformats.org/officeDocument/2006/relationships/hyperlink" Target="https://en.wikipedia.org/w/index.php?title=Sean_Matthews&amp;action=edit&amp;redlink=1" TargetMode="External"/><Relationship Id="rId7" Type="http://schemas.openxmlformats.org/officeDocument/2006/relationships/hyperlink" Target="https://en.wikipedia.org/wiki/Delaware" TargetMode="External"/><Relationship Id="rId8" Type="http://schemas.openxmlformats.org/officeDocument/2006/relationships/hyperlink" Target="https://en.wikipedia.org/wiki/Jeffrey_Spiegelman" TargetMode="External"/><Relationship Id="rId73" Type="http://schemas.openxmlformats.org/officeDocument/2006/relationships/hyperlink" Target="https://en.wikipedia.org/wiki/Colin_R._J._Bonini" TargetMode="External"/><Relationship Id="rId72" Type="http://schemas.openxmlformats.org/officeDocument/2006/relationships/hyperlink" Target="https://en.wikipedia.org/wiki/Marydel,_Delaware" TargetMode="External"/><Relationship Id="rId75" Type="http://schemas.openxmlformats.org/officeDocument/2006/relationships/hyperlink" Target="https://en.wikipedia.org/wiki/Dover,_Delaware" TargetMode="External"/><Relationship Id="rId74" Type="http://schemas.openxmlformats.org/officeDocument/2006/relationships/hyperlink" Target="https://en.wikipedia.org/wiki/Dover,_Delaware" TargetMode="External"/><Relationship Id="rId77" Type="http://schemas.openxmlformats.org/officeDocument/2006/relationships/hyperlink" Target="https://en.wikipedia.org/wiki/Brian_G._Pettyjohn" TargetMode="External"/><Relationship Id="rId76" Type="http://schemas.openxmlformats.org/officeDocument/2006/relationships/hyperlink" Target="https://en.wikipedia.org/wiki/Milford,_Delaware" TargetMode="External"/><Relationship Id="rId79" Type="http://schemas.openxmlformats.org/officeDocument/2006/relationships/hyperlink" Target="https://en.wikipedia.org/wiki/Gerald_Hocker" TargetMode="External"/><Relationship Id="rId78" Type="http://schemas.openxmlformats.org/officeDocument/2006/relationships/hyperlink" Target="https://en.wikipedia.org/wiki/Georgetown,_Delaware" TargetMode="External"/><Relationship Id="rId71" Type="http://schemas.openxmlformats.org/officeDocument/2006/relationships/hyperlink" Target="https://en.wikipedia.org/wiki/David_G._Lawson" TargetMode="External"/><Relationship Id="rId70" Type="http://schemas.openxmlformats.org/officeDocument/2006/relationships/hyperlink" Target="https://en.wikipedia.org/wiki/Clayton,_Delaware" TargetMode="External"/><Relationship Id="rId62" Type="http://schemas.openxmlformats.org/officeDocument/2006/relationships/hyperlink" Target="http://electionsncc.delaware.gov/senate/2012/senate_11.pdf" TargetMode="External"/><Relationship Id="rId61" Type="http://schemas.openxmlformats.org/officeDocument/2006/relationships/hyperlink" Target="https://en.wikipedia.org/wiki/Middletown,_Delaware" TargetMode="External"/><Relationship Id="rId64" Type="http://schemas.openxmlformats.org/officeDocument/2006/relationships/hyperlink" Target="http://electionsncc.delaware.gov/senate/2012/senate_12.pdf" TargetMode="External"/><Relationship Id="rId63" Type="http://schemas.openxmlformats.org/officeDocument/2006/relationships/hyperlink" Target="https://en.wikipedia.org/wiki/Bryan_Townsend_(American_politician)" TargetMode="External"/><Relationship Id="rId66" Type="http://schemas.openxmlformats.org/officeDocument/2006/relationships/hyperlink" Target="http://electionsncc.delaware.gov/senate/2012/senate_13.pdf" TargetMode="External"/><Relationship Id="rId65" Type="http://schemas.openxmlformats.org/officeDocument/2006/relationships/hyperlink" Target="https://en.wikipedia.org/wiki/Nicole_Poore" TargetMode="External"/><Relationship Id="rId68" Type="http://schemas.openxmlformats.org/officeDocument/2006/relationships/hyperlink" Target="http://electionsncc.delaware.gov/senate/2012/senate_14.pdf" TargetMode="External"/><Relationship Id="rId67" Type="http://schemas.openxmlformats.org/officeDocument/2006/relationships/hyperlink" Target="https://en.wikipedia.org/wiki/David_McBride" TargetMode="External"/><Relationship Id="rId60" Type="http://schemas.openxmlformats.org/officeDocument/2006/relationships/hyperlink" Target="https://en.wikipedia.org/wiki/Stephanie_Hansen" TargetMode="External"/><Relationship Id="rId69" Type="http://schemas.openxmlformats.org/officeDocument/2006/relationships/hyperlink" Target="https://en.wikipedia.org/wiki/Bruce_Ennis" TargetMode="External"/><Relationship Id="rId51" Type="http://schemas.openxmlformats.org/officeDocument/2006/relationships/hyperlink" Target="https://en.wikipedia.org/wiki/Lewes,_Delaware" TargetMode="External"/><Relationship Id="rId50" Type="http://schemas.openxmlformats.org/officeDocument/2006/relationships/hyperlink" Target="https://en.wikipedia.org/wiki/Ernesto_Lopez" TargetMode="External"/><Relationship Id="rId53" Type="http://schemas.openxmlformats.org/officeDocument/2006/relationships/hyperlink" Target="https://en.wikipedia.org/wiki/Anthony_Delcollo" TargetMode="External"/><Relationship Id="rId52" Type="http://schemas.openxmlformats.org/officeDocument/2006/relationships/hyperlink" Target="http://electionsncc.delaware.gov/senate/2012/senate_07.pdf" TargetMode="External"/><Relationship Id="rId55" Type="http://schemas.openxmlformats.org/officeDocument/2006/relationships/hyperlink" Target="https://en.wikipedia.org/wiki/David_Sokola" TargetMode="External"/><Relationship Id="rId54" Type="http://schemas.openxmlformats.org/officeDocument/2006/relationships/hyperlink" Target="http://electionsncc.delaware.gov/senate/2012/senate_08.pdf" TargetMode="External"/><Relationship Id="rId57" Type="http://schemas.openxmlformats.org/officeDocument/2006/relationships/hyperlink" Target="http://electionsncc.delaware.gov/senate/2012/senate_09.pdf" TargetMode="External"/><Relationship Id="rId56" Type="http://schemas.openxmlformats.org/officeDocument/2006/relationships/hyperlink" Target="https://en.wikipedia.org/wiki/Newark,_Delaware" TargetMode="External"/><Relationship Id="rId59" Type="http://schemas.openxmlformats.org/officeDocument/2006/relationships/hyperlink" Target="http://electionsncc.delaware.gov/senate/2012/senate_10.pdf" TargetMode="External"/><Relationship Id="rId58" Type="http://schemas.openxmlformats.org/officeDocument/2006/relationships/hyperlink" Target="https://en.wikipedia.org/wiki/Jack_Walsh_(politician)" TargetMode="External"/></Relationships>
</file>

<file path=xl/worksheets/_rels/sheet10.xml.rels><?xml version="1.0" encoding="UTF-8" standalone="yes"?><Relationships xmlns="http://schemas.openxmlformats.org/package/2006/relationships"><Relationship Id="rId40" Type="http://schemas.openxmlformats.org/officeDocument/2006/relationships/hyperlink" Target="https://en.wikipedia.org/w/index.php?title=Randy_Fine&amp;action=edit&amp;redlink=1" TargetMode="External"/><Relationship Id="rId42" Type="http://schemas.openxmlformats.org/officeDocument/2006/relationships/hyperlink" Target="https://en.wikipedia.org/wiki/Cary_Pigman" TargetMode="External"/><Relationship Id="rId41" Type="http://schemas.openxmlformats.org/officeDocument/2006/relationships/hyperlink" Target="https://en.wikipedia.org/w/index.php?title=Erin_Grall&amp;action=edit&amp;redlink=1" TargetMode="External"/><Relationship Id="rId44" Type="http://schemas.openxmlformats.org/officeDocument/2006/relationships/hyperlink" Target="https://en.wikipedia.org/wiki/Jackie_Toledo" TargetMode="External"/><Relationship Id="rId43" Type="http://schemas.openxmlformats.org/officeDocument/2006/relationships/hyperlink" Target="https://en.wikipedia.org/wiki/Lawrence_McClure" TargetMode="External"/><Relationship Id="rId46" Type="http://schemas.openxmlformats.org/officeDocument/2006/relationships/hyperlink" Target="https://en.wikipedia.org/wiki/Ben_Diamond" TargetMode="External"/><Relationship Id="rId45" Type="http://schemas.openxmlformats.org/officeDocument/2006/relationships/hyperlink" Target="https://en.wikipedia.org/wiki/Chris_Sprowls" TargetMode="External"/><Relationship Id="rId48" Type="http://schemas.openxmlformats.org/officeDocument/2006/relationships/hyperlink" Target="https://en.wikipedia.org/wiki/Margaret_Good" TargetMode="External"/><Relationship Id="rId47" Type="http://schemas.openxmlformats.org/officeDocument/2006/relationships/hyperlink" Target="https://en.wikipedia.org/w/index.php?title=Wengay_Newton&amp;action=edit&amp;redlink=1" TargetMode="External"/><Relationship Id="rId49" Type="http://schemas.openxmlformats.org/officeDocument/2006/relationships/hyperlink" Target="https://en.wikipedia.org/wiki/Ray_Rodrigues" TargetMode="External"/><Relationship Id="rId31" Type="http://schemas.openxmlformats.org/officeDocument/2006/relationships/hyperlink" Target="https://en.wikipedia.org/w/index.php?title=Sam_Killebrew&amp;action=edit&amp;redlink=1" TargetMode="External"/><Relationship Id="rId30" Type="http://schemas.openxmlformats.org/officeDocument/2006/relationships/hyperlink" Target="https://en.wikipedia.org/wiki/Colleen_Burton" TargetMode="External"/><Relationship Id="rId33" Type="http://schemas.openxmlformats.org/officeDocument/2006/relationships/hyperlink" Target="https://en.wikipedia.org/wiki/John_Cortes_(Florida_politician)" TargetMode="External"/><Relationship Id="rId32" Type="http://schemas.openxmlformats.org/officeDocument/2006/relationships/hyperlink" Target="https://en.wikipedia.org/wiki/Mike_La_Rosa" TargetMode="External"/><Relationship Id="rId35" Type="http://schemas.openxmlformats.org/officeDocument/2006/relationships/hyperlink" Target="https://en.wikipedia.org/wiki/Bruce_Antone" TargetMode="External"/><Relationship Id="rId34" Type="http://schemas.openxmlformats.org/officeDocument/2006/relationships/hyperlink" Target="https://en.wikipedia.org/w/index.php?title=Kamia_Brown&amp;action=edit&amp;redlink=1" TargetMode="External"/><Relationship Id="rId37" Type="http://schemas.openxmlformats.org/officeDocument/2006/relationships/hyperlink" Target="https://en.wikipedia.org/wiki/Carlos_Guillermo_Smith" TargetMode="External"/><Relationship Id="rId36" Type="http://schemas.openxmlformats.org/officeDocument/2006/relationships/hyperlink" Target="https://en.wikipedia.org/wiki/Amy_Mercado" TargetMode="External"/><Relationship Id="rId39" Type="http://schemas.openxmlformats.org/officeDocument/2006/relationships/hyperlink" Target="https://en.wikipedia.org/wiki/Thad_Altman" TargetMode="External"/><Relationship Id="rId38" Type="http://schemas.openxmlformats.org/officeDocument/2006/relationships/hyperlink" Target="https://en.wikipedia.org/wiki/Rene_Plasencia" TargetMode="External"/><Relationship Id="rId20" Type="http://schemas.openxmlformats.org/officeDocument/2006/relationships/hyperlink" Target="https://en.wikipedia.org/wiki/Paul_Renner_(politician)" TargetMode="External"/><Relationship Id="rId22" Type="http://schemas.openxmlformats.org/officeDocument/2006/relationships/hyperlink" Target="https://en.wikipedia.org/wiki/David_Santiago" TargetMode="External"/><Relationship Id="rId21" Type="http://schemas.openxmlformats.org/officeDocument/2006/relationships/hyperlink" Target="https://en.wikipedia.org/w/index.php?title=Tom_Leek&amp;action=edit&amp;redlink=1" TargetMode="External"/><Relationship Id="rId24" Type="http://schemas.openxmlformats.org/officeDocument/2006/relationships/hyperlink" Target="https://en.wikipedia.org/wiki/Jennifer_Sullivan_(Florida_politician)" TargetMode="External"/><Relationship Id="rId23" Type="http://schemas.openxmlformats.org/officeDocument/2006/relationships/hyperlink" Target="https://en.wikipedia.org/wiki/Scott_Plakon" TargetMode="External"/><Relationship Id="rId26" Type="http://schemas.openxmlformats.org/officeDocument/2006/relationships/hyperlink" Target="https://en.wikipedia.org/wiki/Blaise_Ingoglia" TargetMode="External"/><Relationship Id="rId25" Type="http://schemas.openxmlformats.org/officeDocument/2006/relationships/hyperlink" Target="https://en.wikipedia.org/w/index.php?title=Ralph_Massullo_Jr.&amp;action=edit&amp;redlink=1" TargetMode="External"/><Relationship Id="rId28" Type="http://schemas.openxmlformats.org/officeDocument/2006/relationships/hyperlink" Target="https://en.wikipedia.org/wiki/Danny_Burgess" TargetMode="External"/><Relationship Id="rId27" Type="http://schemas.openxmlformats.org/officeDocument/2006/relationships/hyperlink" Target="https://en.wikipedia.org/wiki/Amber_Mariano_(Florida_politician)" TargetMode="External"/><Relationship Id="rId29" Type="http://schemas.openxmlformats.org/officeDocument/2006/relationships/hyperlink" Target="https://en.wikipedia.org/w/index.php?title=Josie_Tomkow&amp;action=edit&amp;redlink=1" TargetMode="External"/><Relationship Id="rId11" Type="http://schemas.openxmlformats.org/officeDocument/2006/relationships/hyperlink" Target="https://en.wikipedia.org/wiki/Kimberly_Daniels" TargetMode="External"/><Relationship Id="rId10" Type="http://schemas.openxmlformats.org/officeDocument/2006/relationships/hyperlink" Target="https://en.wikipedia.org/wiki/Tracie_Davis" TargetMode="External"/><Relationship Id="rId13" Type="http://schemas.openxmlformats.org/officeDocument/2006/relationships/hyperlink" Target="https://en.wikipedia.org/wiki/Cyndi_Stevenson" TargetMode="External"/><Relationship Id="rId12" Type="http://schemas.openxmlformats.org/officeDocument/2006/relationships/hyperlink" Target="https://en.wikipedia.org/wiki/Jason_Fischer_(Florida_politician)" TargetMode="External"/><Relationship Id="rId15" Type="http://schemas.openxmlformats.org/officeDocument/2006/relationships/hyperlink" Target="https://en.wikipedia.org/w/index.php?title=Bobby_Payne&amp;action=edit&amp;redlink=1" TargetMode="External"/><Relationship Id="rId14" Type="http://schemas.openxmlformats.org/officeDocument/2006/relationships/hyperlink" Target="https://en.wikipedia.org/wiki/Travis_Cummings" TargetMode="External"/><Relationship Id="rId17" Type="http://schemas.openxmlformats.org/officeDocument/2006/relationships/hyperlink" Target="https://en.wikipedia.org/w/index.php?title=Chuck_Clemons&amp;action=edit&amp;redlink=1" TargetMode="External"/><Relationship Id="rId16" Type="http://schemas.openxmlformats.org/officeDocument/2006/relationships/hyperlink" Target="https://en.wikipedia.org/wiki/Clovis_Watson,_Jr." TargetMode="External"/><Relationship Id="rId19" Type="http://schemas.openxmlformats.org/officeDocument/2006/relationships/hyperlink" Target="https://en.wikipedia.org/w/index.php?title=Stan_McClain&amp;action=edit&amp;redlink=1" TargetMode="External"/><Relationship Id="rId18" Type="http://schemas.openxmlformats.org/officeDocument/2006/relationships/hyperlink" Target="https://en.wikipedia.org/wiki/Charlie_Stone_(politician)" TargetMode="External"/><Relationship Id="rId84" Type="http://schemas.openxmlformats.org/officeDocument/2006/relationships/hyperlink" Target="https://en.wikipedia.org/wiki/Wilton_Simpson" TargetMode="External"/><Relationship Id="rId83" Type="http://schemas.openxmlformats.org/officeDocument/2006/relationships/hyperlink" Target="https://en.wikipedia.org/wiki/David_H._Simmons" TargetMode="External"/><Relationship Id="rId86" Type="http://schemas.openxmlformats.org/officeDocument/2006/relationships/hyperlink" Target="https://en.wikipedia.org/wiki/Dennis_K._Baxley" TargetMode="External"/><Relationship Id="rId85" Type="http://schemas.openxmlformats.org/officeDocument/2006/relationships/hyperlink" Target="https://en.wikipedia.org/wiki/Randolph_Bracy" TargetMode="External"/><Relationship Id="rId88" Type="http://schemas.openxmlformats.org/officeDocument/2006/relationships/hyperlink" Target="https://en.wikipedia.org/wiki/Victor_M._Torres_Jr." TargetMode="External"/><Relationship Id="rId87" Type="http://schemas.openxmlformats.org/officeDocument/2006/relationships/hyperlink" Target="https://en.wikipedia.org/wiki/Linda_Stewart" TargetMode="External"/><Relationship Id="rId89" Type="http://schemas.openxmlformats.org/officeDocument/2006/relationships/hyperlink" Target="https://en.wikipedia.org/wiki/Debbie_Mayfield" TargetMode="External"/><Relationship Id="rId80" Type="http://schemas.openxmlformats.org/officeDocument/2006/relationships/hyperlink" Target="https://en.wikipedia.org/wiki/Audrey_Gibson" TargetMode="External"/><Relationship Id="rId82" Type="http://schemas.openxmlformats.org/officeDocument/2006/relationships/hyperlink" Target="https://en.wikipedia.org/wiki/Keith_Perry_(politician)" TargetMode="External"/><Relationship Id="rId81" Type="http://schemas.openxmlformats.org/officeDocument/2006/relationships/hyperlink" Target="https://en.wikipedia.org/wiki/Travis_Hutson" TargetMode="External"/><Relationship Id="rId1" Type="http://schemas.openxmlformats.org/officeDocument/2006/relationships/hyperlink" Target="https://en.wikipedia.org/wiki/Jayer_Williamson_(Florida_politician)" TargetMode="External"/><Relationship Id="rId2" Type="http://schemas.openxmlformats.org/officeDocument/2006/relationships/hyperlink" Target="https://en.wikipedia.org/wiki/Mel_Ponder" TargetMode="External"/><Relationship Id="rId3" Type="http://schemas.openxmlformats.org/officeDocument/2006/relationships/hyperlink" Target="https://en.wikipedia.org/wiki/Brad_Drake" TargetMode="External"/><Relationship Id="rId4" Type="http://schemas.openxmlformats.org/officeDocument/2006/relationships/hyperlink" Target="https://en.wikipedia.org/wiki/Jay_Trumbull" TargetMode="External"/><Relationship Id="rId9" Type="http://schemas.openxmlformats.org/officeDocument/2006/relationships/hyperlink" Target="https://en.wikipedia.org/w/index.php?title=Clay_Yarborough&amp;action=edit&amp;redlink=1" TargetMode="External"/><Relationship Id="rId5" Type="http://schemas.openxmlformats.org/officeDocument/2006/relationships/hyperlink" Target="https://en.wikipedia.org/wiki/Halsey_Beshears" TargetMode="External"/><Relationship Id="rId6" Type="http://schemas.openxmlformats.org/officeDocument/2006/relationships/hyperlink" Target="https://en.wikipedia.org/wiki/Ramon_Alexander" TargetMode="External"/><Relationship Id="rId7" Type="http://schemas.openxmlformats.org/officeDocument/2006/relationships/hyperlink" Target="https://en.wikipedia.org/wiki/Loranne_Ausley" TargetMode="External"/><Relationship Id="rId8" Type="http://schemas.openxmlformats.org/officeDocument/2006/relationships/hyperlink" Target="https://en.wikipedia.org/wiki/Cord_Byrd" TargetMode="External"/><Relationship Id="rId73" Type="http://schemas.openxmlformats.org/officeDocument/2006/relationships/hyperlink" Target="https://en.wikipedia.org/wiki/Kionne_McGhee" TargetMode="External"/><Relationship Id="rId72" Type="http://schemas.openxmlformats.org/officeDocument/2006/relationships/hyperlink" Target="https://en.wikipedia.org/w/index.php?title=Daniel_Anthony_Perez&amp;action=edit&amp;redlink=1" TargetMode="External"/><Relationship Id="rId75" Type="http://schemas.openxmlformats.org/officeDocument/2006/relationships/hyperlink" Target="https://en.wikipedia.org/wiki/Doug_Broxson" TargetMode="External"/><Relationship Id="rId74" Type="http://schemas.openxmlformats.org/officeDocument/2006/relationships/hyperlink" Target="https://en.wikipedia.org/wiki/Holly_Merrill_Raschein" TargetMode="External"/><Relationship Id="rId77" Type="http://schemas.openxmlformats.org/officeDocument/2006/relationships/hyperlink" Target="https://en.wikipedia.org/wiki/Bill_Montford" TargetMode="External"/><Relationship Id="rId76" Type="http://schemas.openxmlformats.org/officeDocument/2006/relationships/hyperlink" Target="https://en.wikipedia.org/wiki/George_Gainer" TargetMode="External"/><Relationship Id="rId79" Type="http://schemas.openxmlformats.org/officeDocument/2006/relationships/hyperlink" Target="https://en.wikipedia.org/wiki/Rob_Bradley" TargetMode="External"/><Relationship Id="rId78" Type="http://schemas.openxmlformats.org/officeDocument/2006/relationships/hyperlink" Target="https://en.wikipedia.org/wiki/Aaron_Bean" TargetMode="External"/><Relationship Id="rId71" Type="http://schemas.openxmlformats.org/officeDocument/2006/relationships/hyperlink" Target="https://en.wikipedia.org/wiki/Javier_Fernandez_(Florida_politician)" TargetMode="External"/><Relationship Id="rId70" Type="http://schemas.openxmlformats.org/officeDocument/2006/relationships/hyperlink" Target="https://en.wikipedia.org/w/index.php?title=Nicholas_Duran&amp;action=edit&amp;redlink=1" TargetMode="External"/><Relationship Id="rId62" Type="http://schemas.openxmlformats.org/officeDocument/2006/relationships/hyperlink" Target="https://en.wikipedia.org/wiki/Jared_Moskowitz" TargetMode="External"/><Relationship Id="rId61" Type="http://schemas.openxmlformats.org/officeDocument/2006/relationships/hyperlink" Target="https://en.wikipedia.org/w/index.php?title=Barrington_Russell&amp;action=edit&amp;redlink=1" TargetMode="External"/><Relationship Id="rId64" Type="http://schemas.openxmlformats.org/officeDocument/2006/relationships/hyperlink" Target="https://en.wikipedia.org/wiki/Joe_Geller" TargetMode="External"/><Relationship Id="rId63" Type="http://schemas.openxmlformats.org/officeDocument/2006/relationships/hyperlink" Target="https://en.wikipedia.org/wiki/Evan_Jenne" TargetMode="External"/><Relationship Id="rId66" Type="http://schemas.openxmlformats.org/officeDocument/2006/relationships/hyperlink" Target="https://en.wikipedia.org/wiki/Richard_Stark_(politician)" TargetMode="External"/><Relationship Id="rId65" Type="http://schemas.openxmlformats.org/officeDocument/2006/relationships/hyperlink" Target="https://en.wikipedia.org/wiki/Sharon_Pritchett" TargetMode="External"/><Relationship Id="rId68" Type="http://schemas.openxmlformats.org/officeDocument/2006/relationships/hyperlink" Target="https://en.wikipedia.org/wiki/Barbara_Watson_(politician)" TargetMode="External"/><Relationship Id="rId67" Type="http://schemas.openxmlformats.org/officeDocument/2006/relationships/hyperlink" Target="https://en.wikipedia.org/w/index.php?title=Bob_Rommel&amp;action=edit&amp;redlink=1" TargetMode="External"/><Relationship Id="rId60" Type="http://schemas.openxmlformats.org/officeDocument/2006/relationships/hyperlink" Target="https://en.wikipedia.org/wiki/Bobby_DuBose" TargetMode="External"/><Relationship Id="rId69" Type="http://schemas.openxmlformats.org/officeDocument/2006/relationships/hyperlink" Target="https://en.wikipedia.org/wiki/Bryan_Avila" TargetMode="External"/><Relationship Id="rId51" Type="http://schemas.openxmlformats.org/officeDocument/2006/relationships/hyperlink" Target="https://en.wikipedia.org/wiki/Heather_Fitzenhagen" TargetMode="External"/><Relationship Id="rId50" Type="http://schemas.openxmlformats.org/officeDocument/2006/relationships/hyperlink" Target="https://en.wikipedia.org/wiki/Dane_Eagle" TargetMode="External"/><Relationship Id="rId53" Type="http://schemas.openxmlformats.org/officeDocument/2006/relationships/hyperlink" Target="https://en.wikipedia.org/wiki/MaryLynn_Magar" TargetMode="External"/><Relationship Id="rId52" Type="http://schemas.openxmlformats.org/officeDocument/2006/relationships/hyperlink" Target="https://en.wikipedia.org/w/index.php?title=Byron_Donalds&amp;action=edit&amp;redlink=1" TargetMode="External"/><Relationship Id="rId55" Type="http://schemas.openxmlformats.org/officeDocument/2006/relationships/hyperlink" Target="https://en.wikipedia.org/w/index.php?title=Matt_Willhite&amp;action=edit&amp;redlink=1" TargetMode="External"/><Relationship Id="rId54" Type="http://schemas.openxmlformats.org/officeDocument/2006/relationships/hyperlink" Target="https://en.wikipedia.org/w/index.php?title=Rick_Roth&amp;action=edit&amp;redlink=1" TargetMode="External"/><Relationship Id="rId57" Type="http://schemas.openxmlformats.org/officeDocument/2006/relationships/hyperlink" Target="https://en.wikipedia.org/wiki/Al_Jacquet" TargetMode="External"/><Relationship Id="rId56" Type="http://schemas.openxmlformats.org/officeDocument/2006/relationships/hyperlink" Target="https://en.wikipedia.org/w/index.php?title=David_Silvers&amp;action=edit&amp;redlink=1" TargetMode="External"/><Relationship Id="rId59" Type="http://schemas.openxmlformats.org/officeDocument/2006/relationships/hyperlink" Target="https://en.wikipedia.org/w/index.php?title=Patricia_Hawkins-Williams&amp;action=edit&amp;redlink=1" TargetMode="External"/><Relationship Id="rId58" Type="http://schemas.openxmlformats.org/officeDocument/2006/relationships/hyperlink" Target="https://en.wikipedia.org/wiki/Emily_Slosberg" TargetMode="External"/><Relationship Id="rId107" Type="http://schemas.openxmlformats.org/officeDocument/2006/relationships/drawing" Target="../drawings/drawing10.xml"/><Relationship Id="rId106" Type="http://schemas.openxmlformats.org/officeDocument/2006/relationships/hyperlink" Target="https://en.wikipedia.org/wiki/Annette_Taddeo" TargetMode="External"/><Relationship Id="rId105" Type="http://schemas.openxmlformats.org/officeDocument/2006/relationships/hyperlink" Target="https://en.wikipedia.org/wiki/Anitere_Flores" TargetMode="External"/><Relationship Id="rId104" Type="http://schemas.openxmlformats.org/officeDocument/2006/relationships/hyperlink" Target="https://en.wikipedia.org/wiki/Jos%C3%A9_Javier_Rodr%C3%ADguez_(Florida)" TargetMode="External"/><Relationship Id="rId103" Type="http://schemas.openxmlformats.org/officeDocument/2006/relationships/hyperlink" Target="https://en.wikipedia.org/wiki/Oscar_Braynon" TargetMode="External"/><Relationship Id="rId102" Type="http://schemas.openxmlformats.org/officeDocument/2006/relationships/hyperlink" Target="https://en.wikipedia.org/wiki/Gary_Farmer_(Florida_politician)" TargetMode="External"/><Relationship Id="rId101" Type="http://schemas.openxmlformats.org/officeDocument/2006/relationships/hyperlink" Target="https://en.wikipedia.org/wiki/Perry_E._Thurston,_Jr." TargetMode="External"/><Relationship Id="rId100" Type="http://schemas.openxmlformats.org/officeDocument/2006/relationships/hyperlink" Target="https://en.wikipedia.org/wiki/Lauren_Book" TargetMode="External"/><Relationship Id="rId95" Type="http://schemas.openxmlformats.org/officeDocument/2006/relationships/hyperlink" Target="https://en.wikipedia.org/wiki/Lizbeth_Benacquisto" TargetMode="External"/><Relationship Id="rId94" Type="http://schemas.openxmlformats.org/officeDocument/2006/relationships/hyperlink" Target="https://en.wikipedia.org/wiki/Jeff_Brandes" TargetMode="External"/><Relationship Id="rId97" Type="http://schemas.openxmlformats.org/officeDocument/2006/relationships/hyperlink" Target="https://en.wikipedia.org/wiki/Kevin_Rader" TargetMode="External"/><Relationship Id="rId96" Type="http://schemas.openxmlformats.org/officeDocument/2006/relationships/hyperlink" Target="https://en.wikipedia.org/wiki/Kathleen_Passidomo" TargetMode="External"/><Relationship Id="rId99" Type="http://schemas.openxmlformats.org/officeDocument/2006/relationships/hyperlink" Target="https://en.wikipedia.org/wiki/Lori_Berman" TargetMode="External"/><Relationship Id="rId98" Type="http://schemas.openxmlformats.org/officeDocument/2006/relationships/hyperlink" Target="https://en.wikipedia.org/wiki/Bobby_Powell_(politician)" TargetMode="External"/><Relationship Id="rId91" Type="http://schemas.openxmlformats.org/officeDocument/2006/relationships/hyperlink" Target="https://en.wikipedia.org/wiki/Tom_Lee_(politician)" TargetMode="External"/><Relationship Id="rId90" Type="http://schemas.openxmlformats.org/officeDocument/2006/relationships/hyperlink" Target="https://en.wikipedia.org/wiki/Darryl_Rouson" TargetMode="External"/><Relationship Id="rId93" Type="http://schemas.openxmlformats.org/officeDocument/2006/relationships/hyperlink" Target="https://en.wikipedia.org/wiki/Kelli_Stargel" TargetMode="External"/><Relationship Id="rId92" Type="http://schemas.openxmlformats.org/officeDocument/2006/relationships/hyperlink" Target="https://en.wikipedia.org/wiki/Bill_Galvano" TargetMode="External"/></Relationships>
</file>

<file path=xl/worksheets/_rels/sheet11.xml.rels><?xml version="1.0" encoding="UTF-8" standalone="yes"?><Relationships xmlns="http://schemas.openxmlformats.org/package/2006/relationships"><Relationship Id="rId190" Type="http://schemas.openxmlformats.org/officeDocument/2006/relationships/hyperlink" Target="https://ballotpedia.org/Timothy_Barr" TargetMode="External"/><Relationship Id="rId194" Type="http://schemas.openxmlformats.org/officeDocument/2006/relationships/hyperlink" Target="https://ballotpedia.org/Georgia_House_of_Representatives_District_106" TargetMode="External"/><Relationship Id="rId193" Type="http://schemas.openxmlformats.org/officeDocument/2006/relationships/hyperlink" Target="https://ballotpedia.org/Georgia_House_of_Representatives_District_105" TargetMode="External"/><Relationship Id="rId192" Type="http://schemas.openxmlformats.org/officeDocument/2006/relationships/hyperlink" Target="https://ballotpedia.org/Chuck_Efstration" TargetMode="External"/><Relationship Id="rId191" Type="http://schemas.openxmlformats.org/officeDocument/2006/relationships/hyperlink" Target="https://ballotpedia.org/Georgia_House_of_Representatives_District_104" TargetMode="External"/><Relationship Id="rId187" Type="http://schemas.openxmlformats.org/officeDocument/2006/relationships/hyperlink" Target="https://ballotpedia.org/Samuel_Park" TargetMode="External"/><Relationship Id="rId186" Type="http://schemas.openxmlformats.org/officeDocument/2006/relationships/hyperlink" Target="https://ballotpedia.org/Georgia_House_of_Representatives_District_101" TargetMode="External"/><Relationship Id="rId185" Type="http://schemas.openxmlformats.org/officeDocument/2006/relationships/hyperlink" Target="https://ballotpedia.org/Dewey_McClain" TargetMode="External"/><Relationship Id="rId184" Type="http://schemas.openxmlformats.org/officeDocument/2006/relationships/hyperlink" Target="https://ballotpedia.org/Georgia_House_of_Representatives_District_100" TargetMode="External"/><Relationship Id="rId189" Type="http://schemas.openxmlformats.org/officeDocument/2006/relationships/hyperlink" Target="https://ballotpedia.org/Georgia_House_of_Representatives_District_103" TargetMode="External"/><Relationship Id="rId188" Type="http://schemas.openxmlformats.org/officeDocument/2006/relationships/hyperlink" Target="https://ballotpedia.org/Georgia_House_of_Representatives_District_102" TargetMode="External"/><Relationship Id="rId183" Type="http://schemas.openxmlformats.org/officeDocument/2006/relationships/hyperlink" Target="https://ballotpedia.org/Brenda_Lopez" TargetMode="External"/><Relationship Id="rId182" Type="http://schemas.openxmlformats.org/officeDocument/2006/relationships/hyperlink" Target="https://ballotpedia.org/Georgia_House_of_Representatives_District_99" TargetMode="External"/><Relationship Id="rId181" Type="http://schemas.openxmlformats.org/officeDocument/2006/relationships/hyperlink" Target="https://ballotpedia.org/David_Clark_(Georgia)" TargetMode="External"/><Relationship Id="rId180" Type="http://schemas.openxmlformats.org/officeDocument/2006/relationships/hyperlink" Target="https://ballotpedia.org/Georgia_House_of_Representatives_District_98" TargetMode="External"/><Relationship Id="rId176" Type="http://schemas.openxmlformats.org/officeDocument/2006/relationships/hyperlink" Target="https://ballotpedia.org/Georgia_House_of_Representatives_District_95" TargetMode="External"/><Relationship Id="rId297" Type="http://schemas.openxmlformats.org/officeDocument/2006/relationships/hyperlink" Target="https://ballotpedia.org/Georgia_House_of_Representatives_District_163" TargetMode="External"/><Relationship Id="rId175" Type="http://schemas.openxmlformats.org/officeDocument/2006/relationships/hyperlink" Target="https://ballotpedia.org/Karen_Bennett" TargetMode="External"/><Relationship Id="rId296" Type="http://schemas.openxmlformats.org/officeDocument/2006/relationships/hyperlink" Target="https://ballotpedia.org/Carl_Gilliard" TargetMode="External"/><Relationship Id="rId174" Type="http://schemas.openxmlformats.org/officeDocument/2006/relationships/hyperlink" Target="https://ballotpedia.org/Georgia_House_of_Representatives_District_94" TargetMode="External"/><Relationship Id="rId295" Type="http://schemas.openxmlformats.org/officeDocument/2006/relationships/hyperlink" Target="https://ballotpedia.org/Georgia_House_of_Representatives_District_162" TargetMode="External"/><Relationship Id="rId173" Type="http://schemas.openxmlformats.org/officeDocument/2006/relationships/hyperlink" Target="https://ballotpedia.org/Dar%27shun_Kendrick" TargetMode="External"/><Relationship Id="rId294" Type="http://schemas.openxmlformats.org/officeDocument/2006/relationships/hyperlink" Target="https://ballotpedia.org/Bill_Hitchens" TargetMode="External"/><Relationship Id="rId179" Type="http://schemas.openxmlformats.org/officeDocument/2006/relationships/hyperlink" Target="https://ballotpedia.org/Georgia_House_of_Representatives_District_97" TargetMode="External"/><Relationship Id="rId178" Type="http://schemas.openxmlformats.org/officeDocument/2006/relationships/hyperlink" Target="https://ballotpedia.org/Pedro_Marin" TargetMode="External"/><Relationship Id="rId299" Type="http://schemas.openxmlformats.org/officeDocument/2006/relationships/hyperlink" Target="https://ballotpedia.org/Ron_Stephens,_Georgia_Representative" TargetMode="External"/><Relationship Id="rId177" Type="http://schemas.openxmlformats.org/officeDocument/2006/relationships/hyperlink" Target="https://ballotpedia.org/Georgia_House_of_Representatives_District_96" TargetMode="External"/><Relationship Id="rId298" Type="http://schemas.openxmlformats.org/officeDocument/2006/relationships/hyperlink" Target="https://ballotpedia.org/Georgia_House_of_Representatives_District_164" TargetMode="External"/><Relationship Id="rId198" Type="http://schemas.openxmlformats.org/officeDocument/2006/relationships/hyperlink" Target="https://ballotpedia.org/Clay_Cox" TargetMode="External"/><Relationship Id="rId197" Type="http://schemas.openxmlformats.org/officeDocument/2006/relationships/hyperlink" Target="https://ballotpedia.org/Georgia_House_of_Representatives_District_108" TargetMode="External"/><Relationship Id="rId196" Type="http://schemas.openxmlformats.org/officeDocument/2006/relationships/hyperlink" Target="https://ballotpedia.org/Georgia_House_of_Representatives_District_107" TargetMode="External"/><Relationship Id="rId195" Type="http://schemas.openxmlformats.org/officeDocument/2006/relationships/hyperlink" Target="https://ballotpedia.org/Brett_Harrell" TargetMode="External"/><Relationship Id="rId199" Type="http://schemas.openxmlformats.org/officeDocument/2006/relationships/hyperlink" Target="https://ballotpedia.org/Georgia_House_of_Representatives_District_109" TargetMode="External"/><Relationship Id="rId150" Type="http://schemas.openxmlformats.org/officeDocument/2006/relationships/hyperlink" Target="https://ballotpedia.org/Georgia_House_of_Representatives_District_81" TargetMode="External"/><Relationship Id="rId271" Type="http://schemas.openxmlformats.org/officeDocument/2006/relationships/hyperlink" Target="https://ballotpedia.org/Jimmy_Pruett" TargetMode="External"/><Relationship Id="rId392" Type="http://schemas.openxmlformats.org/officeDocument/2006/relationships/hyperlink" Target="https://en.wikipedia.org/wiki/Valencia_Seay" TargetMode="External"/><Relationship Id="rId270" Type="http://schemas.openxmlformats.org/officeDocument/2006/relationships/hyperlink" Target="https://ballotpedia.org/Georgia_House_of_Representatives_District_149" TargetMode="External"/><Relationship Id="rId391" Type="http://schemas.openxmlformats.org/officeDocument/2006/relationships/hyperlink" Target="http://www.senate.ga.gov/senators/en-US/district.aspx?District=34" TargetMode="External"/><Relationship Id="rId390" Type="http://schemas.openxmlformats.org/officeDocument/2006/relationships/hyperlink" Target="https://en.wikipedia.org/wiki/Michael_Rhett" TargetMode="External"/><Relationship Id="rId1" Type="http://schemas.openxmlformats.org/officeDocument/2006/relationships/hyperlink" Target="https://ballotpedia.org/Georgia_House_of_Representatives_District_1" TargetMode="External"/><Relationship Id="rId2" Type="http://schemas.openxmlformats.org/officeDocument/2006/relationships/hyperlink" Target="https://ballotpedia.org/Georgia_House_of_Representatives_District_2" TargetMode="External"/><Relationship Id="rId3" Type="http://schemas.openxmlformats.org/officeDocument/2006/relationships/hyperlink" Target="https://ballotpedia.org/Steve_Tarvin" TargetMode="External"/><Relationship Id="rId149" Type="http://schemas.openxmlformats.org/officeDocument/2006/relationships/hyperlink" Target="https://ballotpedia.org/Georgia_House_of_Representatives_District_80" TargetMode="External"/><Relationship Id="rId4" Type="http://schemas.openxmlformats.org/officeDocument/2006/relationships/hyperlink" Target="https://ballotpedia.org/Georgia_House_of_Representatives_District_3" TargetMode="External"/><Relationship Id="rId148" Type="http://schemas.openxmlformats.org/officeDocument/2006/relationships/hyperlink" Target="https://ballotpedia.org/Georgia_House_of_Representatives_District_79" TargetMode="External"/><Relationship Id="rId269" Type="http://schemas.openxmlformats.org/officeDocument/2006/relationships/hyperlink" Target="https://ballotpedia.org/Georgia_House_of_Representatives_District_148" TargetMode="External"/><Relationship Id="rId9" Type="http://schemas.openxmlformats.org/officeDocument/2006/relationships/hyperlink" Target="https://ballotpedia.org/John_D._Meadows,_III" TargetMode="External"/><Relationship Id="rId143" Type="http://schemas.openxmlformats.org/officeDocument/2006/relationships/hyperlink" Target="https://ballotpedia.org/Sandra_Scott" TargetMode="External"/><Relationship Id="rId264" Type="http://schemas.openxmlformats.org/officeDocument/2006/relationships/hyperlink" Target="https://ballotpedia.org/Ricky_Williams" TargetMode="External"/><Relationship Id="rId385" Type="http://schemas.openxmlformats.org/officeDocument/2006/relationships/hyperlink" Target="http://www.senate.ga.gov/senators/en-US/district.aspx?District=31" TargetMode="External"/><Relationship Id="rId142" Type="http://schemas.openxmlformats.org/officeDocument/2006/relationships/hyperlink" Target="https://ballotpedia.org/Georgia_House_of_Representatives_District_76" TargetMode="External"/><Relationship Id="rId263" Type="http://schemas.openxmlformats.org/officeDocument/2006/relationships/hyperlink" Target="https://ballotpedia.org/Georgia_House_of_Representatives_District_145" TargetMode="External"/><Relationship Id="rId384" Type="http://schemas.openxmlformats.org/officeDocument/2006/relationships/hyperlink" Target="https://en.wikipedia.org/w/index.php?title=Mike_Dugan_(politician)&amp;action=edit&amp;redlink=1" TargetMode="External"/><Relationship Id="rId141" Type="http://schemas.openxmlformats.org/officeDocument/2006/relationships/hyperlink" Target="https://ballotpedia.org/Mike_Glanton" TargetMode="External"/><Relationship Id="rId262" Type="http://schemas.openxmlformats.org/officeDocument/2006/relationships/hyperlink" Target="https://ballotpedia.org/Georgia_House_of_Representatives_District_144" TargetMode="External"/><Relationship Id="rId383" Type="http://schemas.openxmlformats.org/officeDocument/2006/relationships/hyperlink" Target="http://www.senate.ga.gov/senators/en-US/district.aspx?District=30" TargetMode="External"/><Relationship Id="rId140" Type="http://schemas.openxmlformats.org/officeDocument/2006/relationships/hyperlink" Target="https://ballotpedia.org/Georgia_House_of_Representatives_District_75" TargetMode="External"/><Relationship Id="rId261" Type="http://schemas.openxmlformats.org/officeDocument/2006/relationships/hyperlink" Target="https://ballotpedia.org/James_Beverly" TargetMode="External"/><Relationship Id="rId382" Type="http://schemas.openxmlformats.org/officeDocument/2006/relationships/hyperlink" Target="http://www.senate.ga.gov/senators/en-US/district.aspx?District=29" TargetMode="External"/><Relationship Id="rId5" Type="http://schemas.openxmlformats.org/officeDocument/2006/relationships/hyperlink" Target="https://ballotpedia.org/Dewayne_Hill" TargetMode="External"/><Relationship Id="rId147" Type="http://schemas.openxmlformats.org/officeDocument/2006/relationships/hyperlink" Target="https://ballotpedia.org/Demetrius_Douglas" TargetMode="External"/><Relationship Id="rId268" Type="http://schemas.openxmlformats.org/officeDocument/2006/relationships/hyperlink" Target="https://ballotpedia.org/Heath_N._Clark" TargetMode="External"/><Relationship Id="rId389" Type="http://schemas.openxmlformats.org/officeDocument/2006/relationships/hyperlink" Target="http://www.senate.ga.gov/senators/en-US/district.aspx?District=33" TargetMode="External"/><Relationship Id="rId6" Type="http://schemas.openxmlformats.org/officeDocument/2006/relationships/hyperlink" Target="https://ballotpedia.org/Georgia_House_of_Representatives_District_4" TargetMode="External"/><Relationship Id="rId146" Type="http://schemas.openxmlformats.org/officeDocument/2006/relationships/hyperlink" Target="https://ballotpedia.org/Georgia_House_of_Representatives_District_78" TargetMode="External"/><Relationship Id="rId267" Type="http://schemas.openxmlformats.org/officeDocument/2006/relationships/hyperlink" Target="https://ballotpedia.org/Georgia_House_of_Representatives_District_147" TargetMode="External"/><Relationship Id="rId388" Type="http://schemas.openxmlformats.org/officeDocument/2006/relationships/hyperlink" Target="https://en.wikipedia.org/wiki/Kay_Kirkpatrick" TargetMode="External"/><Relationship Id="rId7" Type="http://schemas.openxmlformats.org/officeDocument/2006/relationships/hyperlink" Target="https://ballotpedia.org/Kasey_Carpenter" TargetMode="External"/><Relationship Id="rId145" Type="http://schemas.openxmlformats.org/officeDocument/2006/relationships/hyperlink" Target="https://ballotpedia.org/Rhonda_Burnough" TargetMode="External"/><Relationship Id="rId266" Type="http://schemas.openxmlformats.org/officeDocument/2006/relationships/hyperlink" Target="https://ballotpedia.org/Shaw_Blackmon" TargetMode="External"/><Relationship Id="rId387" Type="http://schemas.openxmlformats.org/officeDocument/2006/relationships/hyperlink" Target="http://www.senate.ga.gov/senators/en-US/district.aspx?District=32" TargetMode="External"/><Relationship Id="rId8" Type="http://schemas.openxmlformats.org/officeDocument/2006/relationships/hyperlink" Target="https://ballotpedia.org/Georgia_House_of_Representatives_District_5" TargetMode="External"/><Relationship Id="rId144" Type="http://schemas.openxmlformats.org/officeDocument/2006/relationships/hyperlink" Target="https://ballotpedia.org/Georgia_House_of_Representatives_District_77" TargetMode="External"/><Relationship Id="rId265" Type="http://schemas.openxmlformats.org/officeDocument/2006/relationships/hyperlink" Target="https://ballotpedia.org/Georgia_House_of_Representatives_District_146" TargetMode="External"/><Relationship Id="rId386" Type="http://schemas.openxmlformats.org/officeDocument/2006/relationships/hyperlink" Target="https://en.wikipedia.org/wiki/Bill_Heath_(politician)" TargetMode="External"/><Relationship Id="rId260" Type="http://schemas.openxmlformats.org/officeDocument/2006/relationships/hyperlink" Target="https://ballotpedia.org/Georgia_House_of_Representatives_District_143" TargetMode="External"/><Relationship Id="rId381" Type="http://schemas.openxmlformats.org/officeDocument/2006/relationships/hyperlink" Target="https://en.wikipedia.org/w/index.php?title=Matt_Brass&amp;action=edit&amp;redlink=1" TargetMode="External"/><Relationship Id="rId380" Type="http://schemas.openxmlformats.org/officeDocument/2006/relationships/hyperlink" Target="http://www.senate.ga.gov/senators/en-US/district.aspx?District=28" TargetMode="External"/><Relationship Id="rId139" Type="http://schemas.openxmlformats.org/officeDocument/2006/relationships/hyperlink" Target="https://ballotpedia.org/Valencia_Stovall" TargetMode="External"/><Relationship Id="rId138" Type="http://schemas.openxmlformats.org/officeDocument/2006/relationships/hyperlink" Target="https://ballotpedia.org/Georgia_House_of_Representatives_District_74" TargetMode="External"/><Relationship Id="rId259" Type="http://schemas.openxmlformats.org/officeDocument/2006/relationships/hyperlink" Target="https://ballotpedia.org/Miriam_Paris" TargetMode="External"/><Relationship Id="rId137" Type="http://schemas.openxmlformats.org/officeDocument/2006/relationships/hyperlink" Target="https://ballotpedia.org/Karen_Mathiak" TargetMode="External"/><Relationship Id="rId258" Type="http://schemas.openxmlformats.org/officeDocument/2006/relationships/hyperlink" Target="https://ballotpedia.org/Georgia_House_of_Representatives_District_142" TargetMode="External"/><Relationship Id="rId379" Type="http://schemas.openxmlformats.org/officeDocument/2006/relationships/hyperlink" Target="http://www.senate.ga.gov/senators/en-US/district.aspx?District=27" TargetMode="External"/><Relationship Id="rId132" Type="http://schemas.openxmlformats.org/officeDocument/2006/relationships/hyperlink" Target="https://ballotpedia.org/Georgia_House_of_Representatives_District_71" TargetMode="External"/><Relationship Id="rId253" Type="http://schemas.openxmlformats.org/officeDocument/2006/relationships/hyperlink" Target="https://ballotpedia.org/Georgia_House_of_Representatives_District_139" TargetMode="External"/><Relationship Id="rId374" Type="http://schemas.openxmlformats.org/officeDocument/2006/relationships/hyperlink" Target="https://en.wikipedia.org/wiki/Lee_Anderson_(politician)" TargetMode="External"/><Relationship Id="rId131" Type="http://schemas.openxmlformats.org/officeDocument/2006/relationships/hyperlink" Target="https://ballotpedia.org/Lynn_Smith" TargetMode="External"/><Relationship Id="rId252" Type="http://schemas.openxmlformats.org/officeDocument/2006/relationships/hyperlink" Target="https://ballotpedia.org/Georgia_House_of_Representatives_District_138" TargetMode="External"/><Relationship Id="rId373" Type="http://schemas.openxmlformats.org/officeDocument/2006/relationships/hyperlink" Target="http://www.senate.ga.gov/senators/en-US/district.aspx?District=24" TargetMode="External"/><Relationship Id="rId130" Type="http://schemas.openxmlformats.org/officeDocument/2006/relationships/hyperlink" Target="https://ballotpedia.org/Georgia_House_of_Representatives_District_70" TargetMode="External"/><Relationship Id="rId251" Type="http://schemas.openxmlformats.org/officeDocument/2006/relationships/hyperlink" Target="https://ballotpedia.org/Debbie_Buckner" TargetMode="External"/><Relationship Id="rId372" Type="http://schemas.openxmlformats.org/officeDocument/2006/relationships/hyperlink" Target="https://en.wikipedia.org/wiki/Jesse_Stone_(Georgia_politician)" TargetMode="External"/><Relationship Id="rId250" Type="http://schemas.openxmlformats.org/officeDocument/2006/relationships/hyperlink" Target="https://ballotpedia.org/Georgia_House_of_Representatives_District_137" TargetMode="External"/><Relationship Id="rId371" Type="http://schemas.openxmlformats.org/officeDocument/2006/relationships/hyperlink" Target="http://www.senate.ga.gov/senators/en-US/district.aspx?District=23" TargetMode="External"/><Relationship Id="rId136" Type="http://schemas.openxmlformats.org/officeDocument/2006/relationships/hyperlink" Target="https://ballotpedia.org/Georgia_House_of_Representatives_District_73" TargetMode="External"/><Relationship Id="rId257" Type="http://schemas.openxmlformats.org/officeDocument/2006/relationships/hyperlink" Target="https://ballotpedia.org/Georgia_House_of_Representatives_District_141" TargetMode="External"/><Relationship Id="rId378" Type="http://schemas.openxmlformats.org/officeDocument/2006/relationships/hyperlink" Target="https://en.wikipedia.org/wiki/David_Lucas_(politician)" TargetMode="External"/><Relationship Id="rId135" Type="http://schemas.openxmlformats.org/officeDocument/2006/relationships/hyperlink" Target="https://ballotpedia.org/Josh_Bonner" TargetMode="External"/><Relationship Id="rId256" Type="http://schemas.openxmlformats.org/officeDocument/2006/relationships/hyperlink" Target="https://ballotpedia.org/Robert_Dickey" TargetMode="External"/><Relationship Id="rId377" Type="http://schemas.openxmlformats.org/officeDocument/2006/relationships/hyperlink" Target="http://www.senate.ga.gov/senators/en-US/district.aspx?District=26" TargetMode="External"/><Relationship Id="rId134" Type="http://schemas.openxmlformats.org/officeDocument/2006/relationships/hyperlink" Target="https://ballotpedia.org/Georgia_House_of_Representatives_District_72" TargetMode="External"/><Relationship Id="rId255" Type="http://schemas.openxmlformats.org/officeDocument/2006/relationships/hyperlink" Target="https://ballotpedia.org/Georgia_House_of_Representatives_District_140" TargetMode="External"/><Relationship Id="rId376" Type="http://schemas.openxmlformats.org/officeDocument/2006/relationships/hyperlink" Target="https://en.wikipedia.org/wiki/Burt_Jones" TargetMode="External"/><Relationship Id="rId133" Type="http://schemas.openxmlformats.org/officeDocument/2006/relationships/hyperlink" Target="https://ballotpedia.org/David_Stover" TargetMode="External"/><Relationship Id="rId254" Type="http://schemas.openxmlformats.org/officeDocument/2006/relationships/hyperlink" Target="https://ballotpedia.org/Patty_Bentley" TargetMode="External"/><Relationship Id="rId375" Type="http://schemas.openxmlformats.org/officeDocument/2006/relationships/hyperlink" Target="http://www.senate.ga.gov/senators/en-US/district.aspx?District=25" TargetMode="External"/><Relationship Id="rId172" Type="http://schemas.openxmlformats.org/officeDocument/2006/relationships/hyperlink" Target="https://ballotpedia.org/Georgia_House_of_Representatives_District_93" TargetMode="External"/><Relationship Id="rId293" Type="http://schemas.openxmlformats.org/officeDocument/2006/relationships/hyperlink" Target="https://ballotpedia.org/Georgia_House_of_Representatives_District_161" TargetMode="External"/><Relationship Id="rId171" Type="http://schemas.openxmlformats.org/officeDocument/2006/relationships/hyperlink" Target="https://ballotpedia.org/Doreen_Carter" TargetMode="External"/><Relationship Id="rId292" Type="http://schemas.openxmlformats.org/officeDocument/2006/relationships/hyperlink" Target="https://ballotpedia.org/Jan_Tankersley" TargetMode="External"/><Relationship Id="rId170" Type="http://schemas.openxmlformats.org/officeDocument/2006/relationships/hyperlink" Target="https://ballotpedia.org/Georgia_House_of_Representatives_District_92" TargetMode="External"/><Relationship Id="rId291" Type="http://schemas.openxmlformats.org/officeDocument/2006/relationships/hyperlink" Target="https://ballotpedia.org/Georgia_House_of_Representatives_District_160" TargetMode="External"/><Relationship Id="rId290" Type="http://schemas.openxmlformats.org/officeDocument/2006/relationships/hyperlink" Target="https://ballotpedia.org/Jon_G._Burns" TargetMode="External"/><Relationship Id="rId165" Type="http://schemas.openxmlformats.org/officeDocument/2006/relationships/hyperlink" Target="https://ballotpedia.org/Bee_Nguyen" TargetMode="External"/><Relationship Id="rId286" Type="http://schemas.openxmlformats.org/officeDocument/2006/relationships/hyperlink" Target="https://ballotpedia.org/Bill_Werkheiser" TargetMode="External"/><Relationship Id="rId164" Type="http://schemas.openxmlformats.org/officeDocument/2006/relationships/hyperlink" Target="https://ballotpedia.org/Georgia_House_of_Representatives_District_89" TargetMode="External"/><Relationship Id="rId285" Type="http://schemas.openxmlformats.org/officeDocument/2006/relationships/hyperlink" Target="https://ballotpedia.org/Georgia_House_of_Representatives_District_157" TargetMode="External"/><Relationship Id="rId163" Type="http://schemas.openxmlformats.org/officeDocument/2006/relationships/hyperlink" Target="https://ballotpedia.org/Billy_Mitchell" TargetMode="External"/><Relationship Id="rId284" Type="http://schemas.openxmlformats.org/officeDocument/2006/relationships/hyperlink" Target="https://ballotpedia.org/Greg_Morris" TargetMode="External"/><Relationship Id="rId162" Type="http://schemas.openxmlformats.org/officeDocument/2006/relationships/hyperlink" Target="https://ballotpedia.org/Georgia_House_of_Representatives_District_88" TargetMode="External"/><Relationship Id="rId283" Type="http://schemas.openxmlformats.org/officeDocument/2006/relationships/hyperlink" Target="https://ballotpedia.org/Georgia_House_of_Representatives_District_156" TargetMode="External"/><Relationship Id="rId169" Type="http://schemas.openxmlformats.org/officeDocument/2006/relationships/hyperlink" Target="https://ballotpedia.org/Vernon_Jones" TargetMode="External"/><Relationship Id="rId168" Type="http://schemas.openxmlformats.org/officeDocument/2006/relationships/hyperlink" Target="https://ballotpedia.org/Georgia_House_of_Representatives_District_91" TargetMode="External"/><Relationship Id="rId289" Type="http://schemas.openxmlformats.org/officeDocument/2006/relationships/hyperlink" Target="https://ballotpedia.org/Georgia_House_of_Representatives_District_159" TargetMode="External"/><Relationship Id="rId167" Type="http://schemas.openxmlformats.org/officeDocument/2006/relationships/hyperlink" Target="https://ballotpedia.org/Pam_Stephenson" TargetMode="External"/><Relationship Id="rId288" Type="http://schemas.openxmlformats.org/officeDocument/2006/relationships/hyperlink" Target="https://ballotpedia.org/Butch_Parrish" TargetMode="External"/><Relationship Id="rId166" Type="http://schemas.openxmlformats.org/officeDocument/2006/relationships/hyperlink" Target="https://ballotpedia.org/Georgia_House_of_Representatives_District_90" TargetMode="External"/><Relationship Id="rId287" Type="http://schemas.openxmlformats.org/officeDocument/2006/relationships/hyperlink" Target="https://ballotpedia.org/Georgia_House_of_Representatives_District_158" TargetMode="External"/><Relationship Id="rId161" Type="http://schemas.openxmlformats.org/officeDocument/2006/relationships/hyperlink" Target="https://ballotpedia.org/Georgia_House_of_Representatives_District_87" TargetMode="External"/><Relationship Id="rId282" Type="http://schemas.openxmlformats.org/officeDocument/2006/relationships/hyperlink" Target="https://ballotpedia.org/Clay_Pirkle" TargetMode="External"/><Relationship Id="rId160" Type="http://schemas.openxmlformats.org/officeDocument/2006/relationships/hyperlink" Target="https://ballotpedia.org/Michele_Henson" TargetMode="External"/><Relationship Id="rId281" Type="http://schemas.openxmlformats.org/officeDocument/2006/relationships/hyperlink" Target="https://ballotpedia.org/Georgia_House_of_Representatives_District_155" TargetMode="External"/><Relationship Id="rId280" Type="http://schemas.openxmlformats.org/officeDocument/2006/relationships/hyperlink" Target="https://ballotpedia.org/Winfred_Dukes" TargetMode="External"/><Relationship Id="rId159" Type="http://schemas.openxmlformats.org/officeDocument/2006/relationships/hyperlink" Target="https://ballotpedia.org/Georgia_House_of_Representatives_District_86" TargetMode="External"/><Relationship Id="rId154" Type="http://schemas.openxmlformats.org/officeDocument/2006/relationships/hyperlink" Target="https://ballotpedia.org/Georgia_House_of_Representatives_District_83" TargetMode="External"/><Relationship Id="rId275" Type="http://schemas.openxmlformats.org/officeDocument/2006/relationships/hyperlink" Target="https://ballotpedia.org/Gerald_Greene" TargetMode="External"/><Relationship Id="rId396" Type="http://schemas.openxmlformats.org/officeDocument/2006/relationships/hyperlink" Target="https://en.wikipedia.org/wiki/Nan_Orrock" TargetMode="External"/><Relationship Id="rId153" Type="http://schemas.openxmlformats.org/officeDocument/2006/relationships/hyperlink" Target="https://ballotpedia.org/Mary_Margaret_Oliver" TargetMode="External"/><Relationship Id="rId274" Type="http://schemas.openxmlformats.org/officeDocument/2006/relationships/hyperlink" Target="https://ballotpedia.org/Georgia_House_of_Representatives_District_151" TargetMode="External"/><Relationship Id="rId395" Type="http://schemas.openxmlformats.org/officeDocument/2006/relationships/hyperlink" Target="http://www.senate.ga.gov/senators/en-US/district.aspx?District=36" TargetMode="External"/><Relationship Id="rId152" Type="http://schemas.openxmlformats.org/officeDocument/2006/relationships/hyperlink" Target="https://ballotpedia.org/Georgia_House_of_Representatives_District_82" TargetMode="External"/><Relationship Id="rId273" Type="http://schemas.openxmlformats.org/officeDocument/2006/relationships/hyperlink" Target="https://ballotpedia.org/Matt_Hatchett" TargetMode="External"/><Relationship Id="rId394" Type="http://schemas.openxmlformats.org/officeDocument/2006/relationships/hyperlink" Target="https://en.wikipedia.org/wiki/Donzella_James" TargetMode="External"/><Relationship Id="rId151" Type="http://schemas.openxmlformats.org/officeDocument/2006/relationships/hyperlink" Target="https://ballotpedia.org/Scott_Holcomb" TargetMode="External"/><Relationship Id="rId272" Type="http://schemas.openxmlformats.org/officeDocument/2006/relationships/hyperlink" Target="https://ballotpedia.org/Georgia_House_of_Representatives_District_150" TargetMode="External"/><Relationship Id="rId393" Type="http://schemas.openxmlformats.org/officeDocument/2006/relationships/hyperlink" Target="http://www.senate.ga.gov/senators/en-US/district.aspx?District=35" TargetMode="External"/><Relationship Id="rId158" Type="http://schemas.openxmlformats.org/officeDocument/2006/relationships/hyperlink" Target="https://ballotpedia.org/Karla_Drenner" TargetMode="External"/><Relationship Id="rId279" Type="http://schemas.openxmlformats.org/officeDocument/2006/relationships/hyperlink" Target="https://ballotpedia.org/Georgia_House_of_Representatives_District_154" TargetMode="External"/><Relationship Id="rId157" Type="http://schemas.openxmlformats.org/officeDocument/2006/relationships/hyperlink" Target="https://ballotpedia.org/Georgia_House_of_Representatives_District_85" TargetMode="External"/><Relationship Id="rId278" Type="http://schemas.openxmlformats.org/officeDocument/2006/relationships/hyperlink" Target="https://ballotpedia.org/Georgia_House_of_Representatives_District_153" TargetMode="External"/><Relationship Id="rId399" Type="http://schemas.openxmlformats.org/officeDocument/2006/relationships/hyperlink" Target="http://www.senate.ga.gov/senators/en-US/district.aspx?District=38" TargetMode="External"/><Relationship Id="rId156" Type="http://schemas.openxmlformats.org/officeDocument/2006/relationships/hyperlink" Target="https://ballotpedia.org/Renitta_Shannon" TargetMode="External"/><Relationship Id="rId277" Type="http://schemas.openxmlformats.org/officeDocument/2006/relationships/hyperlink" Target="https://ballotpedia.org/Ed_Rynders" TargetMode="External"/><Relationship Id="rId398" Type="http://schemas.openxmlformats.org/officeDocument/2006/relationships/hyperlink" Target="https://en.wikipedia.org/wiki/Lindsey_Tippins" TargetMode="External"/><Relationship Id="rId155" Type="http://schemas.openxmlformats.org/officeDocument/2006/relationships/hyperlink" Target="https://ballotpedia.org/Georgia_House_of_Representatives_District_84" TargetMode="External"/><Relationship Id="rId276" Type="http://schemas.openxmlformats.org/officeDocument/2006/relationships/hyperlink" Target="https://ballotpedia.org/Georgia_House_of_Representatives_District_152" TargetMode="External"/><Relationship Id="rId397" Type="http://schemas.openxmlformats.org/officeDocument/2006/relationships/hyperlink" Target="http://www.senate.ga.gov/senators/en-US/district.aspx?District=37" TargetMode="External"/><Relationship Id="rId40" Type="http://schemas.openxmlformats.org/officeDocument/2006/relationships/hyperlink" Target="https://ballotpedia.org/Georgia_House_of_Representatives_District_23" TargetMode="External"/><Relationship Id="rId42" Type="http://schemas.openxmlformats.org/officeDocument/2006/relationships/hyperlink" Target="https://ballotpedia.org/Georgia_House_of_Representatives_District_24" TargetMode="External"/><Relationship Id="rId41" Type="http://schemas.openxmlformats.org/officeDocument/2006/relationships/hyperlink" Target="https://ballotpedia.org/Mandi_Ballinger" TargetMode="External"/><Relationship Id="rId44" Type="http://schemas.openxmlformats.org/officeDocument/2006/relationships/hyperlink" Target="https://ballotpedia.org/Georgia_House_of_Representatives_District_25" TargetMode="External"/><Relationship Id="rId43" Type="http://schemas.openxmlformats.org/officeDocument/2006/relationships/hyperlink" Target="https://ballotpedia.org/Sheri_Smallwood_Gilligan" TargetMode="External"/><Relationship Id="rId46" Type="http://schemas.openxmlformats.org/officeDocument/2006/relationships/hyperlink" Target="https://ballotpedia.org/Georgia_House_of_Representatives_District_26" TargetMode="External"/><Relationship Id="rId45" Type="http://schemas.openxmlformats.org/officeDocument/2006/relationships/hyperlink" Target="https://ballotpedia.org/Todd_Jones" TargetMode="External"/><Relationship Id="rId48" Type="http://schemas.openxmlformats.org/officeDocument/2006/relationships/hyperlink" Target="https://ballotpedia.org/Georgia_House_of_Representatives_District_27" TargetMode="External"/><Relationship Id="rId47" Type="http://schemas.openxmlformats.org/officeDocument/2006/relationships/hyperlink" Target="https://ballotpedia.org/Marc_Morris" TargetMode="External"/><Relationship Id="rId49" Type="http://schemas.openxmlformats.org/officeDocument/2006/relationships/hyperlink" Target="https://ballotpedia.org/Lee_Hawkins" TargetMode="External"/><Relationship Id="rId31" Type="http://schemas.openxmlformats.org/officeDocument/2006/relationships/hyperlink" Target="https://ballotpedia.org/Georgia_House_of_Representatives_District_18" TargetMode="External"/><Relationship Id="rId30" Type="http://schemas.openxmlformats.org/officeDocument/2006/relationships/hyperlink" Target="https://ballotpedia.org/Georgia_House_of_Representatives_District_17" TargetMode="External"/><Relationship Id="rId33" Type="http://schemas.openxmlformats.org/officeDocument/2006/relationships/hyperlink" Target="https://ballotpedia.org/Georgia_House_of_Representatives_District_19" TargetMode="External"/><Relationship Id="rId32" Type="http://schemas.openxmlformats.org/officeDocument/2006/relationships/hyperlink" Target="https://ballotpedia.org/Kevin_Cooke" TargetMode="External"/><Relationship Id="rId35" Type="http://schemas.openxmlformats.org/officeDocument/2006/relationships/hyperlink" Target="https://ballotpedia.org/Michael_Caldwell_(Georgia)" TargetMode="External"/><Relationship Id="rId34" Type="http://schemas.openxmlformats.org/officeDocument/2006/relationships/hyperlink" Target="https://ballotpedia.org/Georgia_House_of_Representatives_District_20" TargetMode="External"/><Relationship Id="rId37" Type="http://schemas.openxmlformats.org/officeDocument/2006/relationships/hyperlink" Target="https://ballotpedia.org/Scot_Turner" TargetMode="External"/><Relationship Id="rId36" Type="http://schemas.openxmlformats.org/officeDocument/2006/relationships/hyperlink" Target="https://ballotpedia.org/Georgia_House_of_Representatives_District_21" TargetMode="External"/><Relationship Id="rId39" Type="http://schemas.openxmlformats.org/officeDocument/2006/relationships/hyperlink" Target="https://ballotpedia.org/Wes_Cantrell" TargetMode="External"/><Relationship Id="rId38" Type="http://schemas.openxmlformats.org/officeDocument/2006/relationships/hyperlink" Target="https://ballotpedia.org/Georgia_House_of_Representatives_District_22" TargetMode="External"/><Relationship Id="rId20" Type="http://schemas.openxmlformats.org/officeDocument/2006/relationships/hyperlink" Target="https://ballotpedia.org/Georgia_House_of_Representatives_District_11" TargetMode="External"/><Relationship Id="rId22" Type="http://schemas.openxmlformats.org/officeDocument/2006/relationships/hyperlink" Target="https://ballotpedia.org/Georgia_House_of_Representatives_District_12" TargetMode="External"/><Relationship Id="rId21" Type="http://schemas.openxmlformats.org/officeDocument/2006/relationships/hyperlink" Target="https://ballotpedia.org/Rick_Jasperse" TargetMode="External"/><Relationship Id="rId24" Type="http://schemas.openxmlformats.org/officeDocument/2006/relationships/hyperlink" Target="https://ballotpedia.org/Georgia_House_of_Representatives_District_13" TargetMode="External"/><Relationship Id="rId23" Type="http://schemas.openxmlformats.org/officeDocument/2006/relationships/hyperlink" Target="https://ballotpedia.org/Eddie_Lumsden" TargetMode="External"/><Relationship Id="rId409" Type="http://schemas.openxmlformats.org/officeDocument/2006/relationships/hyperlink" Target="https://en.wikipedia.org/wiki/Tonya_Anderson" TargetMode="External"/><Relationship Id="rId404" Type="http://schemas.openxmlformats.org/officeDocument/2006/relationships/hyperlink" Target="http://www.senate.ga.gov/senators/en-US/district.aspx?District=41" TargetMode="External"/><Relationship Id="rId403" Type="http://schemas.openxmlformats.org/officeDocument/2006/relationships/hyperlink" Target="http://www.senate.ga.gov/senators/en-US/district.aspx?District=40" TargetMode="External"/><Relationship Id="rId402" Type="http://schemas.openxmlformats.org/officeDocument/2006/relationships/hyperlink" Target="https://en.wikipedia.org/wiki/Nikema_Williams" TargetMode="External"/><Relationship Id="rId401" Type="http://schemas.openxmlformats.org/officeDocument/2006/relationships/hyperlink" Target="http://www.senate.ga.gov/senators/en-US/district.aspx?District=39" TargetMode="External"/><Relationship Id="rId408" Type="http://schemas.openxmlformats.org/officeDocument/2006/relationships/hyperlink" Target="http://www.senate.ga.gov/senators/en-US/district.aspx?District=43" TargetMode="External"/><Relationship Id="rId407" Type="http://schemas.openxmlformats.org/officeDocument/2006/relationships/hyperlink" Target="https://en.wikipedia.org/wiki/Elena_Parent" TargetMode="External"/><Relationship Id="rId406" Type="http://schemas.openxmlformats.org/officeDocument/2006/relationships/hyperlink" Target="http://www.senate.ga.gov/senators/en-US/district.aspx?District=42" TargetMode="External"/><Relationship Id="rId405" Type="http://schemas.openxmlformats.org/officeDocument/2006/relationships/hyperlink" Target="https://en.wikipedia.org/wiki/Steve_Henson_(politician)" TargetMode="External"/><Relationship Id="rId26" Type="http://schemas.openxmlformats.org/officeDocument/2006/relationships/hyperlink" Target="https://ballotpedia.org/Georgia_House_of_Representatives_District_14" TargetMode="External"/><Relationship Id="rId25" Type="http://schemas.openxmlformats.org/officeDocument/2006/relationships/hyperlink" Target="https://ballotpedia.org/Katie_Dempsey" TargetMode="External"/><Relationship Id="rId28" Type="http://schemas.openxmlformats.org/officeDocument/2006/relationships/hyperlink" Target="https://ballotpedia.org/Georgia_House_of_Representatives_District_16" TargetMode="External"/><Relationship Id="rId27" Type="http://schemas.openxmlformats.org/officeDocument/2006/relationships/hyperlink" Target="https://ballotpedia.org/Georgia_House_of_Representatives_District_15" TargetMode="External"/><Relationship Id="rId400" Type="http://schemas.openxmlformats.org/officeDocument/2006/relationships/hyperlink" Target="https://en.wikipedia.org/wiki/Horacena_Tate" TargetMode="External"/><Relationship Id="rId29" Type="http://schemas.openxmlformats.org/officeDocument/2006/relationships/hyperlink" Target="https://ballotpedia.org/Trey_Kelley" TargetMode="External"/><Relationship Id="rId11" Type="http://schemas.openxmlformats.org/officeDocument/2006/relationships/hyperlink" Target="https://ballotpedia.org/Jason_Ridley" TargetMode="External"/><Relationship Id="rId10" Type="http://schemas.openxmlformats.org/officeDocument/2006/relationships/hyperlink" Target="https://ballotpedia.org/Georgia_House_of_Representatives_District_6" TargetMode="External"/><Relationship Id="rId13" Type="http://schemas.openxmlformats.org/officeDocument/2006/relationships/hyperlink" Target="https://ballotpedia.org/David_Ralston" TargetMode="External"/><Relationship Id="rId12" Type="http://schemas.openxmlformats.org/officeDocument/2006/relationships/hyperlink" Target="https://ballotpedia.org/Georgia_House_of_Representatives_District_7" TargetMode="External"/><Relationship Id="rId15" Type="http://schemas.openxmlformats.org/officeDocument/2006/relationships/hyperlink" Target="https://ballotpedia.org/Matt_Gurtler" TargetMode="External"/><Relationship Id="rId14" Type="http://schemas.openxmlformats.org/officeDocument/2006/relationships/hyperlink" Target="https://ballotpedia.org/Georgia_House_of_Representatives_District_8" TargetMode="External"/><Relationship Id="rId17" Type="http://schemas.openxmlformats.org/officeDocument/2006/relationships/hyperlink" Target="https://ballotpedia.org/Kevin_Tanner" TargetMode="External"/><Relationship Id="rId16" Type="http://schemas.openxmlformats.org/officeDocument/2006/relationships/hyperlink" Target="https://ballotpedia.org/Georgia_House_of_Representatives_District_9" TargetMode="External"/><Relationship Id="rId19" Type="http://schemas.openxmlformats.org/officeDocument/2006/relationships/hyperlink" Target="https://ballotpedia.org/Terry_Rogers" TargetMode="External"/><Relationship Id="rId18" Type="http://schemas.openxmlformats.org/officeDocument/2006/relationships/hyperlink" Target="https://ballotpedia.org/Georgia_House_of_Representatives_District_10" TargetMode="External"/><Relationship Id="rId84" Type="http://schemas.openxmlformats.org/officeDocument/2006/relationships/hyperlink" Target="https://ballotpedia.org/Georgia_House_of_Representatives_District_46" TargetMode="External"/><Relationship Id="rId83" Type="http://schemas.openxmlformats.org/officeDocument/2006/relationships/hyperlink" Target="https://ballotpedia.org/Matt_Dollar" TargetMode="External"/><Relationship Id="rId86" Type="http://schemas.openxmlformats.org/officeDocument/2006/relationships/hyperlink" Target="https://ballotpedia.org/Georgia_House_of_Representatives_District_47" TargetMode="External"/><Relationship Id="rId85" Type="http://schemas.openxmlformats.org/officeDocument/2006/relationships/hyperlink" Target="https://ballotpedia.org/John_Carson_(Georgia)" TargetMode="External"/><Relationship Id="rId88" Type="http://schemas.openxmlformats.org/officeDocument/2006/relationships/hyperlink" Target="https://ballotpedia.org/Georgia_House_of_Representatives_District_48" TargetMode="External"/><Relationship Id="rId87" Type="http://schemas.openxmlformats.org/officeDocument/2006/relationships/hyperlink" Target="https://ballotpedia.org/Jan_Jones" TargetMode="External"/><Relationship Id="rId89" Type="http://schemas.openxmlformats.org/officeDocument/2006/relationships/hyperlink" Target="https://ballotpedia.org/Betty_Price" TargetMode="External"/><Relationship Id="rId80" Type="http://schemas.openxmlformats.org/officeDocument/2006/relationships/hyperlink" Target="https://ballotpedia.org/Georgia_House_of_Representatives_District_44" TargetMode="External"/><Relationship Id="rId82" Type="http://schemas.openxmlformats.org/officeDocument/2006/relationships/hyperlink" Target="https://ballotpedia.org/Georgia_House_of_Representatives_District_45" TargetMode="External"/><Relationship Id="rId81" Type="http://schemas.openxmlformats.org/officeDocument/2006/relationships/hyperlink" Target="https://ballotpedia.org/Don_Parsons" TargetMode="External"/><Relationship Id="rId73" Type="http://schemas.openxmlformats.org/officeDocument/2006/relationships/hyperlink" Target="https://ballotpedia.org/Georgia_House_of_Representatives_District_40" TargetMode="External"/><Relationship Id="rId72" Type="http://schemas.openxmlformats.org/officeDocument/2006/relationships/hyperlink" Target="https://ballotpedia.org/Erica_R._Thomas" TargetMode="External"/><Relationship Id="rId75" Type="http://schemas.openxmlformats.org/officeDocument/2006/relationships/hyperlink" Target="https://ballotpedia.org/Michael_Smith_(Georgia_state_representative)" TargetMode="External"/><Relationship Id="rId74" Type="http://schemas.openxmlformats.org/officeDocument/2006/relationships/hyperlink" Target="https://ballotpedia.org/Georgia_House_of_Representatives_District_41" TargetMode="External"/><Relationship Id="rId77" Type="http://schemas.openxmlformats.org/officeDocument/2006/relationships/hyperlink" Target="https://ballotpedia.org/Teri_Anulewicz" TargetMode="External"/><Relationship Id="rId76" Type="http://schemas.openxmlformats.org/officeDocument/2006/relationships/hyperlink" Target="https://ballotpedia.org/Georgia_House_of_Representatives_District_42" TargetMode="External"/><Relationship Id="rId79" Type="http://schemas.openxmlformats.org/officeDocument/2006/relationships/hyperlink" Target="https://ballotpedia.org/Sharon_Cooper" TargetMode="External"/><Relationship Id="rId78" Type="http://schemas.openxmlformats.org/officeDocument/2006/relationships/hyperlink" Target="https://ballotpedia.org/Georgia_House_of_Representatives_District_43" TargetMode="External"/><Relationship Id="rId71" Type="http://schemas.openxmlformats.org/officeDocument/2006/relationships/hyperlink" Target="https://ballotpedia.org/Georgia_House_of_Representatives_District_39" TargetMode="External"/><Relationship Id="rId70" Type="http://schemas.openxmlformats.org/officeDocument/2006/relationships/hyperlink" Target="https://ballotpedia.org/David_Wilkerson" TargetMode="External"/><Relationship Id="rId62" Type="http://schemas.openxmlformats.org/officeDocument/2006/relationships/hyperlink" Target="https://ballotpedia.org/Bert_Reeves" TargetMode="External"/><Relationship Id="rId61" Type="http://schemas.openxmlformats.org/officeDocument/2006/relationships/hyperlink" Target="https://ballotpedia.org/Georgia_House_of_Representatives_District_34" TargetMode="External"/><Relationship Id="rId64" Type="http://schemas.openxmlformats.org/officeDocument/2006/relationships/hyperlink" Target="https://ballotpedia.org/Ed_Setzler" TargetMode="External"/><Relationship Id="rId63" Type="http://schemas.openxmlformats.org/officeDocument/2006/relationships/hyperlink" Target="https://ballotpedia.org/Georgia_House_of_Representatives_District_35" TargetMode="External"/><Relationship Id="rId66" Type="http://schemas.openxmlformats.org/officeDocument/2006/relationships/hyperlink" Target="https://ballotpedia.org/Earl_Ehrhart" TargetMode="External"/><Relationship Id="rId65" Type="http://schemas.openxmlformats.org/officeDocument/2006/relationships/hyperlink" Target="https://ballotpedia.org/Georgia_House_of_Representatives_District_36" TargetMode="External"/><Relationship Id="rId68" Type="http://schemas.openxmlformats.org/officeDocument/2006/relationships/hyperlink" Target="https://ballotpedia.org/Sam_Teasley" TargetMode="External"/><Relationship Id="rId67" Type="http://schemas.openxmlformats.org/officeDocument/2006/relationships/hyperlink" Target="https://ballotpedia.org/Georgia_House_of_Representatives_District_37" TargetMode="External"/><Relationship Id="rId60" Type="http://schemas.openxmlformats.org/officeDocument/2006/relationships/hyperlink" Target="https://ballotpedia.org/Tom_McCall" TargetMode="External"/><Relationship Id="rId69" Type="http://schemas.openxmlformats.org/officeDocument/2006/relationships/hyperlink" Target="https://ballotpedia.org/Georgia_House_of_Representatives_District_38" TargetMode="External"/><Relationship Id="rId51" Type="http://schemas.openxmlformats.org/officeDocument/2006/relationships/hyperlink" Target="https://ballotpedia.org/Georgia_House_of_Representatives_District_29" TargetMode="External"/><Relationship Id="rId50" Type="http://schemas.openxmlformats.org/officeDocument/2006/relationships/hyperlink" Target="https://ballotpedia.org/Georgia_House_of_Representatives_District_28" TargetMode="External"/><Relationship Id="rId53" Type="http://schemas.openxmlformats.org/officeDocument/2006/relationships/hyperlink" Target="https://ballotpedia.org/Georgia_House_of_Representatives_District_30" TargetMode="External"/><Relationship Id="rId52" Type="http://schemas.openxmlformats.org/officeDocument/2006/relationships/hyperlink" Target="https://ballotpedia.org/Matt_Dubnik" TargetMode="External"/><Relationship Id="rId55" Type="http://schemas.openxmlformats.org/officeDocument/2006/relationships/hyperlink" Target="https://ballotpedia.org/Georgia_House_of_Representatives_District_31" TargetMode="External"/><Relationship Id="rId54" Type="http://schemas.openxmlformats.org/officeDocument/2006/relationships/hyperlink" Target="https://ballotpedia.org/Emory_Dunahoo" TargetMode="External"/><Relationship Id="rId57" Type="http://schemas.openxmlformats.org/officeDocument/2006/relationships/hyperlink" Target="https://ballotpedia.org/Georgia_House_of_Representatives_District_32" TargetMode="External"/><Relationship Id="rId56" Type="http://schemas.openxmlformats.org/officeDocument/2006/relationships/hyperlink" Target="https://ballotpedia.org/Tommy_Benton" TargetMode="External"/><Relationship Id="rId59" Type="http://schemas.openxmlformats.org/officeDocument/2006/relationships/hyperlink" Target="https://ballotpedia.org/Georgia_House_of_Representatives_District_33" TargetMode="External"/><Relationship Id="rId58" Type="http://schemas.openxmlformats.org/officeDocument/2006/relationships/hyperlink" Target="https://ballotpedia.org/Alan_Powell" TargetMode="External"/><Relationship Id="rId107" Type="http://schemas.openxmlformats.org/officeDocument/2006/relationships/hyperlink" Target="https://ballotpedia.org/Park_Cannon" TargetMode="External"/><Relationship Id="rId228" Type="http://schemas.openxmlformats.org/officeDocument/2006/relationships/hyperlink" Target="https://ballotpedia.org/Georgia_House_of_Representatives_District_125" TargetMode="External"/><Relationship Id="rId349" Type="http://schemas.openxmlformats.org/officeDocument/2006/relationships/hyperlink" Target="http://www.senate.ga.gov/senators/en-US/district.aspx?District=12" TargetMode="External"/><Relationship Id="rId106" Type="http://schemas.openxmlformats.org/officeDocument/2006/relationships/hyperlink" Target="https://ballotpedia.org/Georgia_House_of_Representatives_District_58" TargetMode="External"/><Relationship Id="rId227" Type="http://schemas.openxmlformats.org/officeDocument/2006/relationships/hyperlink" Target="https://ballotpedia.org/Henry_Howard" TargetMode="External"/><Relationship Id="rId348" Type="http://schemas.openxmlformats.org/officeDocument/2006/relationships/hyperlink" Target="https://en.wikipedia.org/wiki/Dean_Burke" TargetMode="External"/><Relationship Id="rId105" Type="http://schemas.openxmlformats.org/officeDocument/2006/relationships/hyperlink" Target="https://ballotpedia.org/Pat_Gardner" TargetMode="External"/><Relationship Id="rId226" Type="http://schemas.openxmlformats.org/officeDocument/2006/relationships/hyperlink" Target="https://ballotpedia.org/Georgia_House_of_Representatives_District_124" TargetMode="External"/><Relationship Id="rId347" Type="http://schemas.openxmlformats.org/officeDocument/2006/relationships/hyperlink" Target="http://www.senate.ga.gov/senators/en-US/district.aspx?District=11" TargetMode="External"/><Relationship Id="rId104" Type="http://schemas.openxmlformats.org/officeDocument/2006/relationships/hyperlink" Target="https://ballotpedia.org/Georgia_House_of_Representatives_District_57" TargetMode="External"/><Relationship Id="rId225" Type="http://schemas.openxmlformats.org/officeDocument/2006/relationships/hyperlink" Target="https://ballotpedia.org/Mark_Newton" TargetMode="External"/><Relationship Id="rId346" Type="http://schemas.openxmlformats.org/officeDocument/2006/relationships/hyperlink" Target="https://en.wikipedia.org/wiki/Emanuel_Jones" TargetMode="External"/><Relationship Id="rId109" Type="http://schemas.openxmlformats.org/officeDocument/2006/relationships/hyperlink" Target="https://ballotpedia.org/David_Dreyer" TargetMode="External"/><Relationship Id="rId108" Type="http://schemas.openxmlformats.org/officeDocument/2006/relationships/hyperlink" Target="https://ballotpedia.org/Georgia_House_of_Representatives_District_59" TargetMode="External"/><Relationship Id="rId229" Type="http://schemas.openxmlformats.org/officeDocument/2006/relationships/hyperlink" Target="https://ballotpedia.org/Sheila_Clark_Nelson" TargetMode="External"/><Relationship Id="rId220" Type="http://schemas.openxmlformats.org/officeDocument/2006/relationships/hyperlink" Target="https://ballotpedia.org/Georgia_House_of_Representatives_District_121" TargetMode="External"/><Relationship Id="rId341" Type="http://schemas.openxmlformats.org/officeDocument/2006/relationships/hyperlink" Target="http://www.senate.ga.gov/senators/en-US/district.aspx?District=8" TargetMode="External"/><Relationship Id="rId340" Type="http://schemas.openxmlformats.org/officeDocument/2006/relationships/hyperlink" Target="https://en.wikipedia.org/w/index.php?title=Tyler_Harper&amp;action=edit&amp;redlink=1" TargetMode="External"/><Relationship Id="rId103" Type="http://schemas.openxmlformats.org/officeDocument/2006/relationships/hyperlink" Target="https://ballotpedia.org/Mable_Thomas" TargetMode="External"/><Relationship Id="rId224" Type="http://schemas.openxmlformats.org/officeDocument/2006/relationships/hyperlink" Target="https://ballotpedia.org/Georgia_House_of_Representatives_District_123" TargetMode="External"/><Relationship Id="rId345" Type="http://schemas.openxmlformats.org/officeDocument/2006/relationships/hyperlink" Target="http://www.senate.ga.gov/senators/en-US/district.aspx?District=10" TargetMode="External"/><Relationship Id="rId102" Type="http://schemas.openxmlformats.org/officeDocument/2006/relationships/hyperlink" Target="https://ballotpedia.org/Georgia_House_of_Representatives_District_56" TargetMode="External"/><Relationship Id="rId223" Type="http://schemas.openxmlformats.org/officeDocument/2006/relationships/hyperlink" Target="https://ballotpedia.org/Jodi_Lott" TargetMode="External"/><Relationship Id="rId344" Type="http://schemas.openxmlformats.org/officeDocument/2006/relationships/hyperlink" Target="https://en.wikipedia.org/wiki/P.K._Martin_IV" TargetMode="External"/><Relationship Id="rId101" Type="http://schemas.openxmlformats.org/officeDocument/2006/relationships/hyperlink" Target="https://ballotpedia.org/Marie_Metze" TargetMode="External"/><Relationship Id="rId222" Type="http://schemas.openxmlformats.org/officeDocument/2006/relationships/hyperlink" Target="https://ballotpedia.org/Georgia_House_of_Representatives_District_122" TargetMode="External"/><Relationship Id="rId343" Type="http://schemas.openxmlformats.org/officeDocument/2006/relationships/hyperlink" Target="http://www.senate.ga.gov/senators/en-US/district.aspx?District=9" TargetMode="External"/><Relationship Id="rId100" Type="http://schemas.openxmlformats.org/officeDocument/2006/relationships/hyperlink" Target="https://ballotpedia.org/Georgia_House_of_Representatives_District_55" TargetMode="External"/><Relationship Id="rId221" Type="http://schemas.openxmlformats.org/officeDocument/2006/relationships/hyperlink" Target="https://ballotpedia.org/Barry_Fleming_(Georgia)" TargetMode="External"/><Relationship Id="rId342" Type="http://schemas.openxmlformats.org/officeDocument/2006/relationships/hyperlink" Target="https://en.wikipedia.org/wiki/Ellis_Black_(politician)" TargetMode="External"/><Relationship Id="rId217" Type="http://schemas.openxmlformats.org/officeDocument/2006/relationships/hyperlink" Target="https://ballotpedia.org/Georgia_House_of_Representatives_District_119" TargetMode="External"/><Relationship Id="rId338" Type="http://schemas.openxmlformats.org/officeDocument/2006/relationships/hyperlink" Target="https://en.wikipedia.org/wiki/Jen_Jordan" TargetMode="External"/><Relationship Id="rId216" Type="http://schemas.openxmlformats.org/officeDocument/2006/relationships/hyperlink" Target="https://ballotpedia.org/Spencer_Frye" TargetMode="External"/><Relationship Id="rId337" Type="http://schemas.openxmlformats.org/officeDocument/2006/relationships/hyperlink" Target="http://www.senate.ga.gov/senators/en-US/district.aspx?District=6" TargetMode="External"/><Relationship Id="rId215" Type="http://schemas.openxmlformats.org/officeDocument/2006/relationships/hyperlink" Target="https://ballotpedia.org/Georgia_House_of_Representatives_District_118" TargetMode="External"/><Relationship Id="rId336" Type="http://schemas.openxmlformats.org/officeDocument/2006/relationships/hyperlink" Target="http://www.senate.ga.gov/senators/en-US/district.aspx?District=5" TargetMode="External"/><Relationship Id="rId214" Type="http://schemas.openxmlformats.org/officeDocument/2006/relationships/hyperlink" Target="https://ballotpedia.org/Georgia_House_of_Representatives_District_117" TargetMode="External"/><Relationship Id="rId335" Type="http://schemas.openxmlformats.org/officeDocument/2006/relationships/hyperlink" Target="https://en.wikipedia.org/wiki/Jack_Hill_(politician)" TargetMode="External"/><Relationship Id="rId219" Type="http://schemas.openxmlformats.org/officeDocument/2006/relationships/hyperlink" Target="https://ballotpedia.org/Trey_Rhodes" TargetMode="External"/><Relationship Id="rId218" Type="http://schemas.openxmlformats.org/officeDocument/2006/relationships/hyperlink" Target="https://ballotpedia.org/Georgia_House_of_Representatives_District_120" TargetMode="External"/><Relationship Id="rId339" Type="http://schemas.openxmlformats.org/officeDocument/2006/relationships/hyperlink" Target="http://www.senate.ga.gov/senators/en-US/district.aspx?District=7" TargetMode="External"/><Relationship Id="rId330" Type="http://schemas.openxmlformats.org/officeDocument/2006/relationships/hyperlink" Target="https://en.wikipedia.org/wiki/Georgia_Senate,_District_2" TargetMode="External"/><Relationship Id="rId213" Type="http://schemas.openxmlformats.org/officeDocument/2006/relationships/hyperlink" Target="https://ballotpedia.org/Terry_England" TargetMode="External"/><Relationship Id="rId334" Type="http://schemas.openxmlformats.org/officeDocument/2006/relationships/hyperlink" Target="http://www.senate.ga.gov/senators/en-US/district.aspx?District=4" TargetMode="External"/><Relationship Id="rId212" Type="http://schemas.openxmlformats.org/officeDocument/2006/relationships/hyperlink" Target="https://ballotpedia.org/Georgia_House_of_Representatives_District_116" TargetMode="External"/><Relationship Id="rId333" Type="http://schemas.openxmlformats.org/officeDocument/2006/relationships/hyperlink" Target="https://en.wikipedia.org/w/index.php?title=William_T._Ligon_Jr.&amp;action=edit&amp;redlink=1" TargetMode="External"/><Relationship Id="rId211" Type="http://schemas.openxmlformats.org/officeDocument/2006/relationships/hyperlink" Target="https://ballotpedia.org/Bruce_Williamson" TargetMode="External"/><Relationship Id="rId332" Type="http://schemas.openxmlformats.org/officeDocument/2006/relationships/hyperlink" Target="http://www.senate.ga.gov/senators/en-US/district.aspx?District=3" TargetMode="External"/><Relationship Id="rId210" Type="http://schemas.openxmlformats.org/officeDocument/2006/relationships/hyperlink" Target="https://ballotpedia.org/Georgia_House_of_Representatives_District_115" TargetMode="External"/><Relationship Id="rId331" Type="http://schemas.openxmlformats.org/officeDocument/2006/relationships/hyperlink" Target="https://en.wikipedia.org/wiki/Lester_G._Jackson" TargetMode="External"/><Relationship Id="rId370" Type="http://schemas.openxmlformats.org/officeDocument/2006/relationships/hyperlink" Target="https://en.wikipedia.org/w/index.php?title=Harold_V._Jones_II&amp;action=edit&amp;redlink=1" TargetMode="External"/><Relationship Id="rId129" Type="http://schemas.openxmlformats.org/officeDocument/2006/relationships/hyperlink" Target="https://ballotpedia.org/Randy_Nix" TargetMode="External"/><Relationship Id="rId128" Type="http://schemas.openxmlformats.org/officeDocument/2006/relationships/hyperlink" Target="https://ballotpedia.org/Georgia_House_of_Representatives_District_69" TargetMode="External"/><Relationship Id="rId249" Type="http://schemas.openxmlformats.org/officeDocument/2006/relationships/hyperlink" Target="https://ballotpedia.org/Carolyn_Hugley" TargetMode="External"/><Relationship Id="rId127" Type="http://schemas.openxmlformats.org/officeDocument/2006/relationships/hyperlink" Target="https://ballotpedia.org/J._Collins" TargetMode="External"/><Relationship Id="rId248" Type="http://schemas.openxmlformats.org/officeDocument/2006/relationships/hyperlink" Target="https://ballotpedia.org/Georgia_House_of_Representatives_District_136" TargetMode="External"/><Relationship Id="rId369" Type="http://schemas.openxmlformats.org/officeDocument/2006/relationships/hyperlink" Target="http://www.senate.ga.gov/senators/en-US/district.aspx?District=22" TargetMode="External"/><Relationship Id="rId126" Type="http://schemas.openxmlformats.org/officeDocument/2006/relationships/hyperlink" Target="https://ballotpedia.org/Georgia_House_of_Representatives_District_68" TargetMode="External"/><Relationship Id="rId247" Type="http://schemas.openxmlformats.org/officeDocument/2006/relationships/hyperlink" Target="https://ballotpedia.org/Calvin_Smyre" TargetMode="External"/><Relationship Id="rId368" Type="http://schemas.openxmlformats.org/officeDocument/2006/relationships/hyperlink" Target="https://en.wikipedia.org/wiki/Brandon_Beach" TargetMode="External"/><Relationship Id="rId121" Type="http://schemas.openxmlformats.org/officeDocument/2006/relationships/hyperlink" Target="https://ballotpedia.org/Sharon_Beasley-Teague" TargetMode="External"/><Relationship Id="rId242" Type="http://schemas.openxmlformats.org/officeDocument/2006/relationships/hyperlink" Target="https://ballotpedia.org/Robert_Trammell" TargetMode="External"/><Relationship Id="rId363" Type="http://schemas.openxmlformats.org/officeDocument/2006/relationships/hyperlink" Target="http://www.senate.ga.gov/senators/en-US/district.aspx?District=19" TargetMode="External"/><Relationship Id="rId120" Type="http://schemas.openxmlformats.org/officeDocument/2006/relationships/hyperlink" Target="https://ballotpedia.org/Georgia_House_of_Representatives_District_65" TargetMode="External"/><Relationship Id="rId241" Type="http://schemas.openxmlformats.org/officeDocument/2006/relationships/hyperlink" Target="https://ballotpedia.org/Georgia_House_of_Representatives_District_132" TargetMode="External"/><Relationship Id="rId362" Type="http://schemas.openxmlformats.org/officeDocument/2006/relationships/hyperlink" Target="https://en.wikipedia.org/wiki/John_F._Kennedy_(Georgia_politician)" TargetMode="External"/><Relationship Id="rId240" Type="http://schemas.openxmlformats.org/officeDocument/2006/relationships/hyperlink" Target="https://ballotpedia.org/Georgia_House_of_Representatives_District_131" TargetMode="External"/><Relationship Id="rId361" Type="http://schemas.openxmlformats.org/officeDocument/2006/relationships/hyperlink" Target="http://www.senate.ga.gov/senators/en-US/district.aspx?District=18" TargetMode="External"/><Relationship Id="rId360" Type="http://schemas.openxmlformats.org/officeDocument/2006/relationships/hyperlink" Target="https://en.wikipedia.org/w/index.php?title=Brian_Strickland&amp;action=edit&amp;redlink=1" TargetMode="External"/><Relationship Id="rId125" Type="http://schemas.openxmlformats.org/officeDocument/2006/relationships/hyperlink" Target="https://ballotpedia.org/Micah_Gravley" TargetMode="External"/><Relationship Id="rId246" Type="http://schemas.openxmlformats.org/officeDocument/2006/relationships/hyperlink" Target="https://ballotpedia.org/Georgia_House_of_Representatives_District_135" TargetMode="External"/><Relationship Id="rId367" Type="http://schemas.openxmlformats.org/officeDocument/2006/relationships/hyperlink" Target="http://www.senate.ga.gov/senators/en-US/district.aspx?District=21" TargetMode="External"/><Relationship Id="rId124" Type="http://schemas.openxmlformats.org/officeDocument/2006/relationships/hyperlink" Target="https://ballotpedia.org/Georgia_House_of_Representatives_District_67" TargetMode="External"/><Relationship Id="rId245" Type="http://schemas.openxmlformats.org/officeDocument/2006/relationships/hyperlink" Target="https://ballotpedia.org/Richard_H._Smith" TargetMode="External"/><Relationship Id="rId366" Type="http://schemas.openxmlformats.org/officeDocument/2006/relationships/hyperlink" Target="https://en.wikipedia.org/w/index.php?title=Larry_Walker_III&amp;action=edit&amp;redlink=1" TargetMode="External"/><Relationship Id="rId123" Type="http://schemas.openxmlformats.org/officeDocument/2006/relationships/hyperlink" Target="https://ballotpedia.org/Kimberly_Alexander" TargetMode="External"/><Relationship Id="rId244" Type="http://schemas.openxmlformats.org/officeDocument/2006/relationships/hyperlink" Target="https://ballotpedia.org/Georgia_House_of_Representatives_District_134" TargetMode="External"/><Relationship Id="rId365" Type="http://schemas.openxmlformats.org/officeDocument/2006/relationships/hyperlink" Target="http://www.senate.ga.gov/senators/en-US/district.aspx?District=20" TargetMode="External"/><Relationship Id="rId122" Type="http://schemas.openxmlformats.org/officeDocument/2006/relationships/hyperlink" Target="https://ballotpedia.org/Georgia_House_of_Representatives_District_66" TargetMode="External"/><Relationship Id="rId243" Type="http://schemas.openxmlformats.org/officeDocument/2006/relationships/hyperlink" Target="https://ballotpedia.org/Georgia_House_of_Representatives_District_133" TargetMode="External"/><Relationship Id="rId364" Type="http://schemas.openxmlformats.org/officeDocument/2006/relationships/hyperlink" Target="https://en.wikipedia.org/w/index.php?title=Blake_Tillery&amp;action=edit&amp;redlink=1" TargetMode="External"/><Relationship Id="rId95" Type="http://schemas.openxmlformats.org/officeDocument/2006/relationships/hyperlink" Target="https://ballotpedia.org/Georgia_House_of_Representatives_District_52" TargetMode="External"/><Relationship Id="rId94" Type="http://schemas.openxmlformats.org/officeDocument/2006/relationships/hyperlink" Target="https://ballotpedia.org/Georgia_House_of_Representatives_District_51" TargetMode="External"/><Relationship Id="rId97" Type="http://schemas.openxmlformats.org/officeDocument/2006/relationships/hyperlink" Target="https://ballotpedia.org/Georgia_House_of_Representatives_District_53" TargetMode="External"/><Relationship Id="rId96" Type="http://schemas.openxmlformats.org/officeDocument/2006/relationships/hyperlink" Target="https://ballotpedia.org/Deborah_Silcox" TargetMode="External"/><Relationship Id="rId99" Type="http://schemas.openxmlformats.org/officeDocument/2006/relationships/hyperlink" Target="https://ballotpedia.org/Georgia_House_of_Representatives_District_54" TargetMode="External"/><Relationship Id="rId98" Type="http://schemas.openxmlformats.org/officeDocument/2006/relationships/hyperlink" Target="https://ballotpedia.org/Sheila_Jones" TargetMode="External"/><Relationship Id="rId91" Type="http://schemas.openxmlformats.org/officeDocument/2006/relationships/hyperlink" Target="https://ballotpedia.org/Chuck_Martin" TargetMode="External"/><Relationship Id="rId90" Type="http://schemas.openxmlformats.org/officeDocument/2006/relationships/hyperlink" Target="https://ballotpedia.org/Georgia_House_of_Representatives_District_49" TargetMode="External"/><Relationship Id="rId93" Type="http://schemas.openxmlformats.org/officeDocument/2006/relationships/hyperlink" Target="https://ballotpedia.org/Brad_Raffensperger" TargetMode="External"/><Relationship Id="rId92" Type="http://schemas.openxmlformats.org/officeDocument/2006/relationships/hyperlink" Target="https://ballotpedia.org/Georgia_House_of_Representatives_District_50" TargetMode="External"/><Relationship Id="rId118" Type="http://schemas.openxmlformats.org/officeDocument/2006/relationships/hyperlink" Target="https://ballotpedia.org/Georgia_House_of_Representatives_District_64" TargetMode="External"/><Relationship Id="rId239" Type="http://schemas.openxmlformats.org/officeDocument/2006/relationships/hyperlink" Target="https://ballotpedia.org/David_Knight" TargetMode="External"/><Relationship Id="rId117" Type="http://schemas.openxmlformats.org/officeDocument/2006/relationships/hyperlink" Target="https://ballotpedia.org/Debra_Bazemore" TargetMode="External"/><Relationship Id="rId238" Type="http://schemas.openxmlformats.org/officeDocument/2006/relationships/hyperlink" Target="https://ballotpedia.org/Georgia_House_of_Representatives_District_130" TargetMode="External"/><Relationship Id="rId359" Type="http://schemas.openxmlformats.org/officeDocument/2006/relationships/hyperlink" Target="http://www.senate.ga.gov/senators/en-US/district.aspx?District=17" TargetMode="External"/><Relationship Id="rId116" Type="http://schemas.openxmlformats.org/officeDocument/2006/relationships/hyperlink" Target="https://ballotpedia.org/Georgia_House_of_Representatives_District_63" TargetMode="External"/><Relationship Id="rId237" Type="http://schemas.openxmlformats.org/officeDocument/2006/relationships/hyperlink" Target="https://ballotpedia.org/Susan_Holmes" TargetMode="External"/><Relationship Id="rId358" Type="http://schemas.openxmlformats.org/officeDocument/2006/relationships/hyperlink" Target="https://en.wikipedia.org/w/index.php?title=Marty_Harbin&amp;action=edit&amp;redlink=1" TargetMode="External"/><Relationship Id="rId115" Type="http://schemas.openxmlformats.org/officeDocument/2006/relationships/hyperlink" Target="https://ballotpedia.org/William_Boddie" TargetMode="External"/><Relationship Id="rId236" Type="http://schemas.openxmlformats.org/officeDocument/2006/relationships/hyperlink" Target="https://ballotpedia.org/Georgia_House_of_Representatives_District_129" TargetMode="External"/><Relationship Id="rId357" Type="http://schemas.openxmlformats.org/officeDocument/2006/relationships/hyperlink" Target="http://www.senate.ga.gov/senators/en-US/district.aspx?District=16" TargetMode="External"/><Relationship Id="rId119" Type="http://schemas.openxmlformats.org/officeDocument/2006/relationships/hyperlink" Target="https://ballotpedia.org/Derrick_Jackson" TargetMode="External"/><Relationship Id="rId110" Type="http://schemas.openxmlformats.org/officeDocument/2006/relationships/hyperlink" Target="https://ballotpedia.org/Georgia_House_of_Representatives_District_60" TargetMode="External"/><Relationship Id="rId231" Type="http://schemas.openxmlformats.org/officeDocument/2006/relationships/hyperlink" Target="https://ballotpedia.org/Gloria_Frazier" TargetMode="External"/><Relationship Id="rId352" Type="http://schemas.openxmlformats.org/officeDocument/2006/relationships/hyperlink" Target="https://en.wikipedia.org/wiki/Greg_Kirk" TargetMode="External"/><Relationship Id="rId230" Type="http://schemas.openxmlformats.org/officeDocument/2006/relationships/hyperlink" Target="https://ballotpedia.org/Georgia_House_of_Representatives_District_126" TargetMode="External"/><Relationship Id="rId351" Type="http://schemas.openxmlformats.org/officeDocument/2006/relationships/hyperlink" Target="http://www.senate.ga.gov/senators/en-US/district.aspx?District=13" TargetMode="External"/><Relationship Id="rId350" Type="http://schemas.openxmlformats.org/officeDocument/2006/relationships/hyperlink" Target="https://en.wikipedia.org/wiki/Freddie_Powell_Sims" TargetMode="External"/><Relationship Id="rId114" Type="http://schemas.openxmlformats.org/officeDocument/2006/relationships/hyperlink" Target="https://ballotpedia.org/Georgia_House_of_Representatives_District_62" TargetMode="External"/><Relationship Id="rId235" Type="http://schemas.openxmlformats.org/officeDocument/2006/relationships/hyperlink" Target="https://ballotpedia.org/Mack_Jackson" TargetMode="External"/><Relationship Id="rId356" Type="http://schemas.openxmlformats.org/officeDocument/2006/relationships/hyperlink" Target="https://en.wikipedia.org/wiki/Ed_Harbison" TargetMode="External"/><Relationship Id="rId113" Type="http://schemas.openxmlformats.org/officeDocument/2006/relationships/hyperlink" Target="https://ballotpedia.org/Roger_Bruce" TargetMode="External"/><Relationship Id="rId234" Type="http://schemas.openxmlformats.org/officeDocument/2006/relationships/hyperlink" Target="https://ballotpedia.org/Georgia_House_of_Representatives_District_128" TargetMode="External"/><Relationship Id="rId355" Type="http://schemas.openxmlformats.org/officeDocument/2006/relationships/hyperlink" Target="http://www.senate.ga.gov/senators/en-US/district.aspx?District=15" TargetMode="External"/><Relationship Id="rId112" Type="http://schemas.openxmlformats.org/officeDocument/2006/relationships/hyperlink" Target="https://ballotpedia.org/Georgia_House_of_Representatives_District_61" TargetMode="External"/><Relationship Id="rId233" Type="http://schemas.openxmlformats.org/officeDocument/2006/relationships/hyperlink" Target="https://ballotpedia.org/Brian_Prince" TargetMode="External"/><Relationship Id="rId354" Type="http://schemas.openxmlformats.org/officeDocument/2006/relationships/hyperlink" Target="https://en.wikipedia.org/wiki/Bruce_Thompson_(Georgia_politician)" TargetMode="External"/><Relationship Id="rId111" Type="http://schemas.openxmlformats.org/officeDocument/2006/relationships/hyperlink" Target="https://ballotpedia.org/Kim_Schofield" TargetMode="External"/><Relationship Id="rId232" Type="http://schemas.openxmlformats.org/officeDocument/2006/relationships/hyperlink" Target="https://ballotpedia.org/Georgia_House_of_Representatives_District_127" TargetMode="External"/><Relationship Id="rId353" Type="http://schemas.openxmlformats.org/officeDocument/2006/relationships/hyperlink" Target="http://www.senate.ga.gov/senators/en-US/district.aspx?District=14" TargetMode="External"/><Relationship Id="rId305" Type="http://schemas.openxmlformats.org/officeDocument/2006/relationships/hyperlink" Target="https://ballotpedia.org/Jeff_Jones_(Georgia)" TargetMode="External"/><Relationship Id="rId426" Type="http://schemas.openxmlformats.org/officeDocument/2006/relationships/hyperlink" Target="https://en.wikipedia.org/wiki/Chuck_Hufstetler" TargetMode="External"/><Relationship Id="rId304" Type="http://schemas.openxmlformats.org/officeDocument/2006/relationships/hyperlink" Target="https://ballotpedia.org/Georgia_House_of_Representatives_District_167" TargetMode="External"/><Relationship Id="rId425" Type="http://schemas.openxmlformats.org/officeDocument/2006/relationships/hyperlink" Target="http://www.senate.ga.gov/senators/en-US/district.aspx?District=52" TargetMode="External"/><Relationship Id="rId303" Type="http://schemas.openxmlformats.org/officeDocument/2006/relationships/hyperlink" Target="https://ballotpedia.org/Jesse_L._Petrea" TargetMode="External"/><Relationship Id="rId424" Type="http://schemas.openxmlformats.org/officeDocument/2006/relationships/hyperlink" Target="https://en.wikipedia.org/wiki/Steve_Gooch" TargetMode="External"/><Relationship Id="rId302" Type="http://schemas.openxmlformats.org/officeDocument/2006/relationships/hyperlink" Target="https://ballotpedia.org/Georgia_House_of_Representatives_District_166" TargetMode="External"/><Relationship Id="rId423" Type="http://schemas.openxmlformats.org/officeDocument/2006/relationships/hyperlink" Target="http://www.senate.ga.gov/senators/en-US/district.aspx?District=51" TargetMode="External"/><Relationship Id="rId309" Type="http://schemas.openxmlformats.org/officeDocument/2006/relationships/hyperlink" Target="https://ballotpedia.org/Dominic_F._Lariccia" TargetMode="External"/><Relationship Id="rId308" Type="http://schemas.openxmlformats.org/officeDocument/2006/relationships/hyperlink" Target="https://ballotpedia.org/Georgia_House_of_Representatives_District_169" TargetMode="External"/><Relationship Id="rId429" Type="http://schemas.openxmlformats.org/officeDocument/2006/relationships/hyperlink" Target="http://www.senate.ga.gov/senators/en-US/district.aspx?District=54" TargetMode="External"/><Relationship Id="rId307" Type="http://schemas.openxmlformats.org/officeDocument/2006/relationships/hyperlink" Target="https://ballotpedia.org/Al_Williams_(Georgia_legislator)" TargetMode="External"/><Relationship Id="rId428" Type="http://schemas.openxmlformats.org/officeDocument/2006/relationships/hyperlink" Target="https://en.wikipedia.org/wiki/Jeff_Mullis" TargetMode="External"/><Relationship Id="rId306" Type="http://schemas.openxmlformats.org/officeDocument/2006/relationships/hyperlink" Target="https://ballotpedia.org/Georgia_House_of_Representatives_District_168" TargetMode="External"/><Relationship Id="rId427" Type="http://schemas.openxmlformats.org/officeDocument/2006/relationships/hyperlink" Target="http://www.senate.ga.gov/senators/en-US/district.aspx?District=53" TargetMode="External"/><Relationship Id="rId301" Type="http://schemas.openxmlformats.org/officeDocument/2006/relationships/hyperlink" Target="https://ballotpedia.org/Mickey_Stephens" TargetMode="External"/><Relationship Id="rId422" Type="http://schemas.openxmlformats.org/officeDocument/2006/relationships/hyperlink" Target="https://en.wikipedia.org/wiki/John_Wilkinson_(Georgia_politician)" TargetMode="External"/><Relationship Id="rId300" Type="http://schemas.openxmlformats.org/officeDocument/2006/relationships/hyperlink" Target="https://ballotpedia.org/Georgia_House_of_Representatives_District_165" TargetMode="External"/><Relationship Id="rId421" Type="http://schemas.openxmlformats.org/officeDocument/2006/relationships/hyperlink" Target="http://www.senate.ga.gov/senators/en-US/district.aspx?District=50" TargetMode="External"/><Relationship Id="rId420" Type="http://schemas.openxmlformats.org/officeDocument/2006/relationships/hyperlink" Target="https://en.wikipedia.org/wiki/Butch_Miller_(politician)" TargetMode="External"/><Relationship Id="rId415" Type="http://schemas.openxmlformats.org/officeDocument/2006/relationships/hyperlink" Target="https://en.wikipedia.org/wiki/Bill_Cowsert" TargetMode="External"/><Relationship Id="rId414" Type="http://schemas.openxmlformats.org/officeDocument/2006/relationships/hyperlink" Target="http://www.senate.ga.gov/senators/en-US/district.aspx?District=46" TargetMode="External"/><Relationship Id="rId413" Type="http://schemas.openxmlformats.org/officeDocument/2006/relationships/hyperlink" Target="https://en.wikipedia.org/wiki/Renee_Unterman" TargetMode="External"/><Relationship Id="rId412" Type="http://schemas.openxmlformats.org/officeDocument/2006/relationships/hyperlink" Target="http://www.senate.ga.gov/senators/en-US/district.aspx?District=45" TargetMode="External"/><Relationship Id="rId419" Type="http://schemas.openxmlformats.org/officeDocument/2006/relationships/hyperlink" Target="http://www.senate.ga.gov/senators/en-US/district.aspx?District=49" TargetMode="External"/><Relationship Id="rId418" Type="http://schemas.openxmlformats.org/officeDocument/2006/relationships/hyperlink" Target="http://www.senate.ga.gov/senators/en-US/district.aspx?District=48" TargetMode="External"/><Relationship Id="rId417" Type="http://schemas.openxmlformats.org/officeDocument/2006/relationships/hyperlink" Target="https://en.wikipedia.org/w/index.php?title=Frank_Ginn&amp;action=edit&amp;redlink=1" TargetMode="External"/><Relationship Id="rId416" Type="http://schemas.openxmlformats.org/officeDocument/2006/relationships/hyperlink" Target="http://www.senate.ga.gov/senators/en-US/district.aspx?District=47" TargetMode="External"/><Relationship Id="rId411" Type="http://schemas.openxmlformats.org/officeDocument/2006/relationships/hyperlink" Target="https://en.wikipedia.org/wiki/Gail_Davenport" TargetMode="External"/><Relationship Id="rId410" Type="http://schemas.openxmlformats.org/officeDocument/2006/relationships/hyperlink" Target="http://www.senate.ga.gov/senators/en-US/district.aspx?District=44" TargetMode="External"/><Relationship Id="rId206" Type="http://schemas.openxmlformats.org/officeDocument/2006/relationships/hyperlink" Target="https://ballotpedia.org/Georgia_House_of_Representatives_District_113" TargetMode="External"/><Relationship Id="rId327" Type="http://schemas.openxmlformats.org/officeDocument/2006/relationships/hyperlink" Target="https://ballotpedia.org/Georgia_House_of_Representatives_District_179" TargetMode="External"/><Relationship Id="rId205" Type="http://schemas.openxmlformats.org/officeDocument/2006/relationships/hyperlink" Target="https://ballotpedia.org/Dave_Belton" TargetMode="External"/><Relationship Id="rId326" Type="http://schemas.openxmlformats.org/officeDocument/2006/relationships/hyperlink" Target="https://ballotpedia.org/Georgia_House_of_Representatives_District_178" TargetMode="External"/><Relationship Id="rId204" Type="http://schemas.openxmlformats.org/officeDocument/2006/relationships/hyperlink" Target="https://ballotpedia.org/Georgia_House_of_Representatives_District_112" TargetMode="External"/><Relationship Id="rId325" Type="http://schemas.openxmlformats.org/officeDocument/2006/relationships/hyperlink" Target="https://ballotpedia.org/Dexter_Sharper" TargetMode="External"/><Relationship Id="rId203" Type="http://schemas.openxmlformats.org/officeDocument/2006/relationships/hyperlink" Target="https://ballotpedia.org/Georgia_House_of_Representatives_District_111" TargetMode="External"/><Relationship Id="rId324" Type="http://schemas.openxmlformats.org/officeDocument/2006/relationships/hyperlink" Target="https://ballotpedia.org/Georgia_House_of_Representatives_District_177" TargetMode="External"/><Relationship Id="rId209" Type="http://schemas.openxmlformats.org/officeDocument/2006/relationships/hyperlink" Target="https://ballotpedia.org/Tom_Kirby" TargetMode="External"/><Relationship Id="rId208" Type="http://schemas.openxmlformats.org/officeDocument/2006/relationships/hyperlink" Target="https://ballotpedia.org/Georgia_House_of_Representatives_District_114" TargetMode="External"/><Relationship Id="rId329" Type="http://schemas.openxmlformats.org/officeDocument/2006/relationships/hyperlink" Target="https://ballotpedia.org/Georgia_House_of_Representatives_District_180" TargetMode="External"/><Relationship Id="rId207" Type="http://schemas.openxmlformats.org/officeDocument/2006/relationships/hyperlink" Target="https://ballotpedia.org/Pam_Dickerson" TargetMode="External"/><Relationship Id="rId328" Type="http://schemas.openxmlformats.org/officeDocument/2006/relationships/hyperlink" Target="https://ballotpedia.org/Don_Hogan" TargetMode="External"/><Relationship Id="rId202" Type="http://schemas.openxmlformats.org/officeDocument/2006/relationships/hyperlink" Target="https://ballotpedia.org/Andrew_Welch" TargetMode="External"/><Relationship Id="rId323" Type="http://schemas.openxmlformats.org/officeDocument/2006/relationships/hyperlink" Target="https://ballotpedia.org/Jason_Shaw" TargetMode="External"/><Relationship Id="rId201" Type="http://schemas.openxmlformats.org/officeDocument/2006/relationships/hyperlink" Target="https://ballotpedia.org/Georgia_House_of_Representatives_District_110" TargetMode="External"/><Relationship Id="rId322" Type="http://schemas.openxmlformats.org/officeDocument/2006/relationships/hyperlink" Target="https://ballotpedia.org/Georgia_House_of_Representatives_District_176" TargetMode="External"/><Relationship Id="rId200" Type="http://schemas.openxmlformats.org/officeDocument/2006/relationships/hyperlink" Target="https://ballotpedia.org/Dale_Rutledge" TargetMode="External"/><Relationship Id="rId321" Type="http://schemas.openxmlformats.org/officeDocument/2006/relationships/hyperlink" Target="https://ballotpedia.org/John_LaHood" TargetMode="External"/><Relationship Id="rId320" Type="http://schemas.openxmlformats.org/officeDocument/2006/relationships/hyperlink" Target="https://ballotpedia.org/Georgia_House_of_Representatives_District_175" TargetMode="External"/><Relationship Id="rId316" Type="http://schemas.openxmlformats.org/officeDocument/2006/relationships/hyperlink" Target="https://ballotpedia.org/Georgia_House_of_Representatives_District_173" TargetMode="External"/><Relationship Id="rId315" Type="http://schemas.openxmlformats.org/officeDocument/2006/relationships/hyperlink" Target="https://ballotpedia.org/Sam_Watson" TargetMode="External"/><Relationship Id="rId314" Type="http://schemas.openxmlformats.org/officeDocument/2006/relationships/hyperlink" Target="https://ballotpedia.org/Georgia_House_of_Representatives_District_172" TargetMode="External"/><Relationship Id="rId435" Type="http://schemas.openxmlformats.org/officeDocument/2006/relationships/drawing" Target="../drawings/drawing11.xml"/><Relationship Id="rId313" Type="http://schemas.openxmlformats.org/officeDocument/2006/relationships/hyperlink" Target="https://ballotpedia.org/Jay_Powell" TargetMode="External"/><Relationship Id="rId434" Type="http://schemas.openxmlformats.org/officeDocument/2006/relationships/hyperlink" Target="https://en.wikipedia.org/wiki/John_Albers" TargetMode="External"/><Relationship Id="rId319" Type="http://schemas.openxmlformats.org/officeDocument/2006/relationships/hyperlink" Target="https://ballotpedia.org/John_L._Corbett" TargetMode="External"/><Relationship Id="rId318" Type="http://schemas.openxmlformats.org/officeDocument/2006/relationships/hyperlink" Target="https://ballotpedia.org/Georgia_House_of_Representatives_District_174" TargetMode="External"/><Relationship Id="rId317" Type="http://schemas.openxmlformats.org/officeDocument/2006/relationships/hyperlink" Target="https://ballotpedia.org/Darlene_Taylor" TargetMode="External"/><Relationship Id="rId312" Type="http://schemas.openxmlformats.org/officeDocument/2006/relationships/hyperlink" Target="https://ballotpedia.org/Georgia_House_of_Representatives_District_171" TargetMode="External"/><Relationship Id="rId433" Type="http://schemas.openxmlformats.org/officeDocument/2006/relationships/hyperlink" Target="http://www.senate.ga.gov/senators/en-US/district.aspx?District=56" TargetMode="External"/><Relationship Id="rId311" Type="http://schemas.openxmlformats.org/officeDocument/2006/relationships/hyperlink" Target="https://ballotpedia.org/Penny_Houston" TargetMode="External"/><Relationship Id="rId432" Type="http://schemas.openxmlformats.org/officeDocument/2006/relationships/hyperlink" Target="https://en.wikipedia.org/wiki/Gloria_Butler" TargetMode="External"/><Relationship Id="rId310" Type="http://schemas.openxmlformats.org/officeDocument/2006/relationships/hyperlink" Target="https://ballotpedia.org/Georgia_House_of_Representatives_District_170" TargetMode="External"/><Relationship Id="rId431" Type="http://schemas.openxmlformats.org/officeDocument/2006/relationships/hyperlink" Target="http://www.senate.ga.gov/senators/en-US/district.aspx?District=55" TargetMode="External"/><Relationship Id="rId430" Type="http://schemas.openxmlformats.org/officeDocument/2006/relationships/hyperlink" Target="https://en.wikipedia.org/w/index.php?title=Chuck_Payne&amp;action=edit&amp;redlink=1"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en.wikipedia.org/wiki/Mark_Nakashima" TargetMode="External"/><Relationship Id="rId2" Type="http://schemas.openxmlformats.org/officeDocument/2006/relationships/hyperlink" Target="mailto:repnakashima@Capitol.hawaii.gov" TargetMode="External"/><Relationship Id="rId3" Type="http://schemas.openxmlformats.org/officeDocument/2006/relationships/hyperlink" Target="https://en.wikipedia.org/wiki/Chris_Toshiro_Todd" TargetMode="External"/><Relationship Id="rId4" Type="http://schemas.openxmlformats.org/officeDocument/2006/relationships/hyperlink" Target="mailto:reptodd@Capitol.hawaii.gov" TargetMode="External"/><Relationship Id="rId9" Type="http://schemas.openxmlformats.org/officeDocument/2006/relationships/hyperlink" Target="https://en.wikipedia.org/w/index.php?title=Richard_Creagan&amp;action=edit&amp;redlink=1" TargetMode="External"/><Relationship Id="rId5" Type="http://schemas.openxmlformats.org/officeDocument/2006/relationships/hyperlink" Target="https://en.wikipedia.org/wiki/Richard_Onishi" TargetMode="External"/><Relationship Id="rId6" Type="http://schemas.openxmlformats.org/officeDocument/2006/relationships/hyperlink" Target="mailto:reponishi@Capitol.hawaii.gov" TargetMode="External"/><Relationship Id="rId7" Type="http://schemas.openxmlformats.org/officeDocument/2006/relationships/hyperlink" Target="https://en.wikipedia.org/w/index.php?title=Joy_San_Buenaventura&amp;action=edit&amp;redlink=1" TargetMode="External"/><Relationship Id="rId8" Type="http://schemas.openxmlformats.org/officeDocument/2006/relationships/hyperlink" Target="mailto:repsanbuenaventura@Capitol.hawaii.gov" TargetMode="External"/><Relationship Id="rId138" Type="http://schemas.openxmlformats.org/officeDocument/2006/relationships/drawing" Target="../drawings/drawing12.xml"/><Relationship Id="rId137" Type="http://schemas.openxmlformats.org/officeDocument/2006/relationships/hyperlink" Target="mailto:senthielen@capitol.hawaii.gov" TargetMode="External"/><Relationship Id="rId132" Type="http://schemas.openxmlformats.org/officeDocument/2006/relationships/hyperlink" Target="https://en.wikipedia.org/w/index.php?title=Gil_Riviere&amp;action=edit&amp;redlink=1" TargetMode="External"/><Relationship Id="rId131" Type="http://schemas.openxmlformats.org/officeDocument/2006/relationships/hyperlink" Target="mailto:sendelacruz@capitol.hawaii.gov" TargetMode="External"/><Relationship Id="rId130" Type="http://schemas.openxmlformats.org/officeDocument/2006/relationships/hyperlink" Target="https://en.wikipedia.org/wiki/Donovan_Dela_Cruz" TargetMode="External"/><Relationship Id="rId136" Type="http://schemas.openxmlformats.org/officeDocument/2006/relationships/hyperlink" Target="https://en.wikipedia.org/wiki/Laura_Thielen" TargetMode="External"/><Relationship Id="rId135" Type="http://schemas.openxmlformats.org/officeDocument/2006/relationships/hyperlink" Target="mailto:senkeohokalole@capitol.hawaii.gov" TargetMode="External"/><Relationship Id="rId134" Type="http://schemas.openxmlformats.org/officeDocument/2006/relationships/hyperlink" Target="https://en.wikipedia.org/wiki/Jarrett_Keohokalole" TargetMode="External"/><Relationship Id="rId133" Type="http://schemas.openxmlformats.org/officeDocument/2006/relationships/hyperlink" Target="mailto:senriviere@capitol.hawaii.gov" TargetMode="External"/><Relationship Id="rId40" Type="http://schemas.openxmlformats.org/officeDocument/2006/relationships/hyperlink" Target="https://en.wikipedia.org/wiki/Tom_Brower" TargetMode="External"/><Relationship Id="rId42" Type="http://schemas.openxmlformats.org/officeDocument/2006/relationships/hyperlink" Target="mailto:repdkobayashi@Capitol.hawaii.gov" TargetMode="External"/><Relationship Id="rId41" Type="http://schemas.openxmlformats.org/officeDocument/2006/relationships/hyperlink" Target="mailto:repbrower@Capitol.hawaii.gov" TargetMode="External"/><Relationship Id="rId44" Type="http://schemas.openxmlformats.org/officeDocument/2006/relationships/hyperlink" Target="mailto:repbelatti@Capitol.hawaii.gov" TargetMode="External"/><Relationship Id="rId43" Type="http://schemas.openxmlformats.org/officeDocument/2006/relationships/hyperlink" Target="https://en.wikipedia.org/wiki/Della_Au_Belatti" TargetMode="External"/><Relationship Id="rId46" Type="http://schemas.openxmlformats.org/officeDocument/2006/relationships/hyperlink" Target="mailto:repluke@Capitol.hawaii.gov" TargetMode="External"/><Relationship Id="rId45" Type="http://schemas.openxmlformats.org/officeDocument/2006/relationships/hyperlink" Target="https://en.wikipedia.org/wiki/Sylvia_Luke" TargetMode="External"/><Relationship Id="rId48" Type="http://schemas.openxmlformats.org/officeDocument/2006/relationships/hyperlink" Target="mailto:repsaiki@Capitol.hawaii.gov" TargetMode="External"/><Relationship Id="rId47" Type="http://schemas.openxmlformats.org/officeDocument/2006/relationships/hyperlink" Target="https://en.wikipedia.org/wiki/Scott_Saiki" TargetMode="External"/><Relationship Id="rId49" Type="http://schemas.openxmlformats.org/officeDocument/2006/relationships/hyperlink" Target="https://en.wikipedia.org/wiki/Takashi_Ohno" TargetMode="External"/><Relationship Id="rId31" Type="http://schemas.openxmlformats.org/officeDocument/2006/relationships/hyperlink" Target="mailto:repward@Capitol.hawaii.gov" TargetMode="External"/><Relationship Id="rId30" Type="http://schemas.openxmlformats.org/officeDocument/2006/relationships/hyperlink" Target="https://en.wikipedia.org/wiki/Gene_Ward" TargetMode="External"/><Relationship Id="rId33" Type="http://schemas.openxmlformats.org/officeDocument/2006/relationships/hyperlink" Target="mailto:rephashem@Capitol.hawaii.gov" TargetMode="External"/><Relationship Id="rId32" Type="http://schemas.openxmlformats.org/officeDocument/2006/relationships/hyperlink" Target="https://en.wikipedia.org/wiki/Mark_Hashem" TargetMode="External"/><Relationship Id="rId35" Type="http://schemas.openxmlformats.org/officeDocument/2006/relationships/hyperlink" Target="mailto:repkobayashi@Capitol.hawaii.gov" TargetMode="External"/><Relationship Id="rId34" Type="http://schemas.openxmlformats.org/officeDocument/2006/relationships/hyperlink" Target="https://en.wikipedia.org/wiki/Bertrand_Kobayashi" TargetMode="External"/><Relationship Id="rId37" Type="http://schemas.openxmlformats.org/officeDocument/2006/relationships/hyperlink" Target="mailto:repsay@Capitol.hawaii.gov" TargetMode="External"/><Relationship Id="rId36" Type="http://schemas.openxmlformats.org/officeDocument/2006/relationships/hyperlink" Target="https://en.wikipedia.org/wiki/Calvin_K.Y._Say" TargetMode="External"/><Relationship Id="rId39" Type="http://schemas.openxmlformats.org/officeDocument/2006/relationships/hyperlink" Target="mailto:repnishimoto@Capitol.hawaii.gov" TargetMode="External"/><Relationship Id="rId38" Type="http://schemas.openxmlformats.org/officeDocument/2006/relationships/hyperlink" Target="https://en.wikipedia.org/wiki/Scott_Nishimoto" TargetMode="External"/><Relationship Id="rId20" Type="http://schemas.openxmlformats.org/officeDocument/2006/relationships/hyperlink" Target="https://en.wikipedia.org/wiki/Kyle_Yamashita" TargetMode="External"/><Relationship Id="rId22" Type="http://schemas.openxmlformats.org/officeDocument/2006/relationships/hyperlink" Target="https://en.wikipedia.org/wiki/Lynn_DeCoite" TargetMode="External"/><Relationship Id="rId21" Type="http://schemas.openxmlformats.org/officeDocument/2006/relationships/hyperlink" Target="mailto:repyamashita@Capitol.hawaii.gov" TargetMode="External"/><Relationship Id="rId24" Type="http://schemas.openxmlformats.org/officeDocument/2006/relationships/hyperlink" Target="https://en.wikipedia.org/w/index.php?title=Nadine_Nakamura&amp;action=edit&amp;redlink=1" TargetMode="External"/><Relationship Id="rId23" Type="http://schemas.openxmlformats.org/officeDocument/2006/relationships/hyperlink" Target="mailto:repdecoite@Capitol.hawaii.gov" TargetMode="External"/><Relationship Id="rId26" Type="http://schemas.openxmlformats.org/officeDocument/2006/relationships/hyperlink" Target="https://en.wikipedia.org/wiki/James_Tokioka" TargetMode="External"/><Relationship Id="rId25" Type="http://schemas.openxmlformats.org/officeDocument/2006/relationships/hyperlink" Target="mailto:repnakamura@Capitol.hawaii.gov" TargetMode="External"/><Relationship Id="rId28" Type="http://schemas.openxmlformats.org/officeDocument/2006/relationships/hyperlink" Target="https://en.wikipedia.org/wiki/Dee_Morikawa" TargetMode="External"/><Relationship Id="rId27" Type="http://schemas.openxmlformats.org/officeDocument/2006/relationships/hyperlink" Target="mailto:reptokioka@Capitol.hawaii.gov" TargetMode="External"/><Relationship Id="rId29" Type="http://schemas.openxmlformats.org/officeDocument/2006/relationships/hyperlink" Target="mailto:repmorikawa@Capitol.hawaii.gov" TargetMode="External"/><Relationship Id="rId11" Type="http://schemas.openxmlformats.org/officeDocument/2006/relationships/hyperlink" Target="https://en.wikipedia.org/wiki/Nicole_Lowen" TargetMode="External"/><Relationship Id="rId10" Type="http://schemas.openxmlformats.org/officeDocument/2006/relationships/hyperlink" Target="mailto:repcreagan@Capitol.hawaii.gov" TargetMode="External"/><Relationship Id="rId13" Type="http://schemas.openxmlformats.org/officeDocument/2006/relationships/hyperlink" Target="mailto:reptarnas@Capitol.hawaii.gov" TargetMode="External"/><Relationship Id="rId12" Type="http://schemas.openxmlformats.org/officeDocument/2006/relationships/hyperlink" Target="mailto:replowen@Capitol.hawaii.gov" TargetMode="External"/><Relationship Id="rId15" Type="http://schemas.openxmlformats.org/officeDocument/2006/relationships/hyperlink" Target="https://en.wikipedia.org/wiki/Justin_Woodson" TargetMode="External"/><Relationship Id="rId14" Type="http://schemas.openxmlformats.org/officeDocument/2006/relationships/hyperlink" Target="mailto:rephashimoto@Capitol.hawaii.gov" TargetMode="External"/><Relationship Id="rId17" Type="http://schemas.openxmlformats.org/officeDocument/2006/relationships/hyperlink" Target="https://en.wikipedia.org/wiki/Angus_McKelvey" TargetMode="External"/><Relationship Id="rId16" Type="http://schemas.openxmlformats.org/officeDocument/2006/relationships/hyperlink" Target="mailto:repwoodson@Capitol.hawaii.gov" TargetMode="External"/><Relationship Id="rId19" Type="http://schemas.openxmlformats.org/officeDocument/2006/relationships/hyperlink" Target="mailto:repwildberger@Capitol.hawaii.gov" TargetMode="External"/><Relationship Id="rId18" Type="http://schemas.openxmlformats.org/officeDocument/2006/relationships/hyperlink" Target="mailto:repmckelvey@Capitol.hawaii.gov" TargetMode="External"/><Relationship Id="rId84" Type="http://schemas.openxmlformats.org/officeDocument/2006/relationships/hyperlink" Target="mailto:repmatsumoto@Capitol.hawaii.gov" TargetMode="External"/><Relationship Id="rId83" Type="http://schemas.openxmlformats.org/officeDocument/2006/relationships/hyperlink" Target="https://en.wikipedia.org/wiki/Lauren_Matsumoto" TargetMode="External"/><Relationship Id="rId86" Type="http://schemas.openxmlformats.org/officeDocument/2006/relationships/hyperlink" Target="mailto:repquinlan@Capitol.hawaii.gov" TargetMode="External"/><Relationship Id="rId85" Type="http://schemas.openxmlformats.org/officeDocument/2006/relationships/hyperlink" Target="mailto:repperruso@Capitol.hawaii.gov" TargetMode="External"/><Relationship Id="rId88" Type="http://schemas.openxmlformats.org/officeDocument/2006/relationships/hyperlink" Target="mailto:repmatayoshi@Capitol.hawaii.gov" TargetMode="External"/><Relationship Id="rId87" Type="http://schemas.openxmlformats.org/officeDocument/2006/relationships/hyperlink" Target="mailto:repkitagawa@Capitol.hawaii.gov" TargetMode="External"/><Relationship Id="rId89" Type="http://schemas.openxmlformats.org/officeDocument/2006/relationships/hyperlink" Target="mailto:repthielen@Capitol.hawaii.gov" TargetMode="External"/><Relationship Id="rId80" Type="http://schemas.openxmlformats.org/officeDocument/2006/relationships/hyperlink" Target="mailto:repeli@Capitol.hawaii.gov" TargetMode="External"/><Relationship Id="rId82" Type="http://schemas.openxmlformats.org/officeDocument/2006/relationships/hyperlink" Target="mailto:repgates@Capitol.hawaii.gov" TargetMode="External"/><Relationship Id="rId81" Type="http://schemas.openxmlformats.org/officeDocument/2006/relationships/hyperlink" Target="https://en.wikipedia.org/wiki/Cedric_Gates" TargetMode="External"/><Relationship Id="rId73" Type="http://schemas.openxmlformats.org/officeDocument/2006/relationships/hyperlink" Target="https://en.wikipedia.org/wiki/Ty_Cullen" TargetMode="External"/><Relationship Id="rId72" Type="http://schemas.openxmlformats.org/officeDocument/2006/relationships/hyperlink" Target="mailto:repaquino@Capitol.hawaii.gov" TargetMode="External"/><Relationship Id="rId75" Type="http://schemas.openxmlformats.org/officeDocument/2006/relationships/hyperlink" Target="https://en.wikipedia.org/wiki/Bob_McDermott" TargetMode="External"/><Relationship Id="rId74" Type="http://schemas.openxmlformats.org/officeDocument/2006/relationships/hyperlink" Target="mailto:repcullen@Capitol.hawaii.gov" TargetMode="External"/><Relationship Id="rId77" Type="http://schemas.openxmlformats.org/officeDocument/2006/relationships/hyperlink" Target="mailto:repcabanilla@Capitol.hawaii.gov" TargetMode="External"/><Relationship Id="rId76" Type="http://schemas.openxmlformats.org/officeDocument/2006/relationships/hyperlink" Target="mailto:repmcdermott@Capitol.hawaii.gov" TargetMode="External"/><Relationship Id="rId79" Type="http://schemas.openxmlformats.org/officeDocument/2006/relationships/hyperlink" Target="mailto:rephar@Capitol.hawaii.gov" TargetMode="External"/><Relationship Id="rId78" Type="http://schemas.openxmlformats.org/officeDocument/2006/relationships/hyperlink" Target="https://en.wikipedia.org/wiki/Sharon_Har" TargetMode="External"/><Relationship Id="rId71" Type="http://schemas.openxmlformats.org/officeDocument/2006/relationships/hyperlink" Target="https://en.wikipedia.org/wiki/Henry_Aquino" TargetMode="External"/><Relationship Id="rId70" Type="http://schemas.openxmlformats.org/officeDocument/2006/relationships/hyperlink" Target="mailto:repyamane@Capitol.hawaii.gov" TargetMode="External"/><Relationship Id="rId62" Type="http://schemas.openxmlformats.org/officeDocument/2006/relationships/hyperlink" Target="https://en.wikipedia.org/wiki/Sam_Kong" TargetMode="External"/><Relationship Id="rId61" Type="http://schemas.openxmlformats.org/officeDocument/2006/relationships/hyperlink" Target="mailto:repichiyama@Capitol.hawaii.gov" TargetMode="External"/><Relationship Id="rId64" Type="http://schemas.openxmlformats.org/officeDocument/2006/relationships/hyperlink" Target="https://en.wikipedia.org/wiki/Gregg_Takayama" TargetMode="External"/><Relationship Id="rId63" Type="http://schemas.openxmlformats.org/officeDocument/2006/relationships/hyperlink" Target="mailto:repkong@Capitol.hawaii.gov" TargetMode="External"/><Relationship Id="rId66" Type="http://schemas.openxmlformats.org/officeDocument/2006/relationships/hyperlink" Target="https://en.wikipedia.org/wiki/Roy_Takumi" TargetMode="External"/><Relationship Id="rId65" Type="http://schemas.openxmlformats.org/officeDocument/2006/relationships/hyperlink" Target="mailto:reptakayama@Capitol.hawaii.gov" TargetMode="External"/><Relationship Id="rId68" Type="http://schemas.openxmlformats.org/officeDocument/2006/relationships/hyperlink" Target="mailto:repokimoto@Capitol.hawaii.gov" TargetMode="External"/><Relationship Id="rId67" Type="http://schemas.openxmlformats.org/officeDocument/2006/relationships/hyperlink" Target="mailto:reptakumi@Capitol.hawaii.gov" TargetMode="External"/><Relationship Id="rId60" Type="http://schemas.openxmlformats.org/officeDocument/2006/relationships/hyperlink" Target="https://en.wikipedia.org/wiki/Linda_Ichiyama" TargetMode="External"/><Relationship Id="rId69" Type="http://schemas.openxmlformats.org/officeDocument/2006/relationships/hyperlink" Target="https://en.wikipedia.org/wiki/Ryan_Yamane" TargetMode="External"/><Relationship Id="rId51" Type="http://schemas.openxmlformats.org/officeDocument/2006/relationships/hyperlink" Target="https://en.wikipedia.org/wiki/John_Mizuno" TargetMode="External"/><Relationship Id="rId50" Type="http://schemas.openxmlformats.org/officeDocument/2006/relationships/hyperlink" Target="mailto:repohno@Capitol.hawaii.gov" TargetMode="External"/><Relationship Id="rId53" Type="http://schemas.openxmlformats.org/officeDocument/2006/relationships/hyperlink" Target="https://en.wikipedia.org/w/index.php?title=Daniel_Holt&amp;action=edit&amp;redlink=1" TargetMode="External"/><Relationship Id="rId52" Type="http://schemas.openxmlformats.org/officeDocument/2006/relationships/hyperlink" Target="mailto:repmizuno@Capitol.hawaii.gov" TargetMode="External"/><Relationship Id="rId55" Type="http://schemas.openxmlformats.org/officeDocument/2006/relationships/hyperlink" Target="https://en.wikipedia.org/wiki/Romy_Cachola" TargetMode="External"/><Relationship Id="rId54" Type="http://schemas.openxmlformats.org/officeDocument/2006/relationships/hyperlink" Target="mailto:repholt@Capitol.hawaii.gov" TargetMode="External"/><Relationship Id="rId57" Type="http://schemas.openxmlformats.org/officeDocument/2006/relationships/hyperlink" Target="https://en.wikipedia.org/wiki/Aaron_Johanson" TargetMode="External"/><Relationship Id="rId56" Type="http://schemas.openxmlformats.org/officeDocument/2006/relationships/hyperlink" Target="mailto:repcachola@Capitol.hawaii.gov" TargetMode="External"/><Relationship Id="rId59" Type="http://schemas.openxmlformats.org/officeDocument/2006/relationships/hyperlink" Target="mailto:repjohanson@Capitol.hawaii.gov" TargetMode="External"/><Relationship Id="rId58" Type="http://schemas.openxmlformats.org/officeDocument/2006/relationships/hyperlink" Target="https://en.wikipedia.org/wiki/Hawaii_House_of_Representatives" TargetMode="External"/><Relationship Id="rId107" Type="http://schemas.openxmlformats.org/officeDocument/2006/relationships/hyperlink" Target="https://en.wikipedia.org/wiki/Stanley_Chang" TargetMode="External"/><Relationship Id="rId106" Type="http://schemas.openxmlformats.org/officeDocument/2006/relationships/hyperlink" Target="mailto:senkouchi@capitol.hawaii.gov" TargetMode="External"/><Relationship Id="rId105" Type="http://schemas.openxmlformats.org/officeDocument/2006/relationships/hyperlink" Target="https://en.wikipedia.org/wiki/Ron_Kouchi" TargetMode="External"/><Relationship Id="rId104" Type="http://schemas.openxmlformats.org/officeDocument/2006/relationships/hyperlink" Target="mailto:senenglish@capitol.hawaii.gov" TargetMode="External"/><Relationship Id="rId109" Type="http://schemas.openxmlformats.org/officeDocument/2006/relationships/hyperlink" Target="mailto:senchang@capitol.hawaii.gov" TargetMode="External"/><Relationship Id="rId108" Type="http://schemas.openxmlformats.org/officeDocument/2006/relationships/hyperlink" Target="https://www.capitol.hawaii.gov/committeepage.aspx?comm=LCA" TargetMode="External"/><Relationship Id="rId103" Type="http://schemas.openxmlformats.org/officeDocument/2006/relationships/hyperlink" Target="mailto:senbaker@capitol.hawaii.gov" TargetMode="External"/><Relationship Id="rId102" Type="http://schemas.openxmlformats.org/officeDocument/2006/relationships/hyperlink" Target="https://www.capitol.hawaii.gov/committeepage.aspx?comm=PSM" TargetMode="External"/><Relationship Id="rId101" Type="http://schemas.openxmlformats.org/officeDocument/2006/relationships/hyperlink" Target="https://en.wikipedia.org/wiki/Rosalyn_Baker" TargetMode="External"/><Relationship Id="rId100" Type="http://schemas.openxmlformats.org/officeDocument/2006/relationships/hyperlink" Target="mailto:senkeithagaran@capitol.hawaii.gov" TargetMode="External"/><Relationship Id="rId129" Type="http://schemas.openxmlformats.org/officeDocument/2006/relationships/hyperlink" Target="mailto:senshimabukuro@capitol.hawaii.gov" TargetMode="External"/><Relationship Id="rId128" Type="http://schemas.openxmlformats.org/officeDocument/2006/relationships/hyperlink" Target="https://en.wikipedia.org/wiki/Maile_Shimabukuro" TargetMode="External"/><Relationship Id="rId127" Type="http://schemas.openxmlformats.org/officeDocument/2006/relationships/hyperlink" Target="mailto:sengabbard@capitol.hawaii.gov" TargetMode="External"/><Relationship Id="rId126" Type="http://schemas.openxmlformats.org/officeDocument/2006/relationships/hyperlink" Target="https://en.wikipedia.org/wiki/Mike_Gabbard" TargetMode="External"/><Relationship Id="rId121" Type="http://schemas.openxmlformats.org/officeDocument/2006/relationships/hyperlink" Target="https://en.wikipedia.org/wiki/Clarence_K._Nishihara" TargetMode="External"/><Relationship Id="rId120" Type="http://schemas.openxmlformats.org/officeDocument/2006/relationships/hyperlink" Target="mailto:senharimoto@capitol.hawaii.gov" TargetMode="External"/><Relationship Id="rId125" Type="http://schemas.openxmlformats.org/officeDocument/2006/relationships/hyperlink" Target="mailto:senfevella@capitol.hawaii.gov" TargetMode="External"/><Relationship Id="rId124" Type="http://schemas.openxmlformats.org/officeDocument/2006/relationships/hyperlink" Target="mailto:senkidani@capitol.hawaii.gov" TargetMode="External"/><Relationship Id="rId123" Type="http://schemas.openxmlformats.org/officeDocument/2006/relationships/hyperlink" Target="https://en.wikipedia.org/wiki/Michelle_Kidani" TargetMode="External"/><Relationship Id="rId122" Type="http://schemas.openxmlformats.org/officeDocument/2006/relationships/hyperlink" Target="mailto:sennishihara@capitol.hawaii.gov" TargetMode="External"/><Relationship Id="rId95" Type="http://schemas.openxmlformats.org/officeDocument/2006/relationships/hyperlink" Target="mailto:senruderman@capitol.hawaii.gov" TargetMode="External"/><Relationship Id="rId94" Type="http://schemas.openxmlformats.org/officeDocument/2006/relationships/hyperlink" Target="https://en.wikipedia.org/wiki/Russell_Ruderman" TargetMode="External"/><Relationship Id="rId97" Type="http://schemas.openxmlformats.org/officeDocument/2006/relationships/hyperlink" Target="https://en.wikipedia.org/wiki/Lorraine_Inouye" TargetMode="External"/><Relationship Id="rId96" Type="http://schemas.openxmlformats.org/officeDocument/2006/relationships/hyperlink" Target="mailto:senkanuha@capitol.hawaii.gov" TargetMode="External"/><Relationship Id="rId99" Type="http://schemas.openxmlformats.org/officeDocument/2006/relationships/hyperlink" Target="https://en.wikipedia.org/wiki/Hawaii_Senate" TargetMode="External"/><Relationship Id="rId98" Type="http://schemas.openxmlformats.org/officeDocument/2006/relationships/hyperlink" Target="mailto:seninouye@capitol.hawaii.gov" TargetMode="External"/><Relationship Id="rId91" Type="http://schemas.openxmlformats.org/officeDocument/2006/relationships/hyperlink" Target="mailto:replee@Capitol.hawaii.gov" TargetMode="External"/><Relationship Id="rId90" Type="http://schemas.openxmlformats.org/officeDocument/2006/relationships/hyperlink" Target="https://en.wikipedia.org/wiki/Chris_Lee_(Hawaii_politician)" TargetMode="External"/><Relationship Id="rId93" Type="http://schemas.openxmlformats.org/officeDocument/2006/relationships/hyperlink" Target="mailto:senkkahele@capitol.hawaii.gov" TargetMode="External"/><Relationship Id="rId92" Type="http://schemas.openxmlformats.org/officeDocument/2006/relationships/hyperlink" Target="https://en.wikipedia.org/wiki/Kaiali%E2%80%98i_Kahele" TargetMode="External"/><Relationship Id="rId118" Type="http://schemas.openxmlformats.org/officeDocument/2006/relationships/hyperlink" Target="mailto:senwakai@capitol.hawaii.gov" TargetMode="External"/><Relationship Id="rId117" Type="http://schemas.openxmlformats.org/officeDocument/2006/relationships/hyperlink" Target="https://en.wikipedia.org/wiki/Glenn_Wakai" TargetMode="External"/><Relationship Id="rId116" Type="http://schemas.openxmlformats.org/officeDocument/2006/relationships/hyperlink" Target="mailto:senkim@capitol.hawaii.gov" TargetMode="External"/><Relationship Id="rId115" Type="http://schemas.openxmlformats.org/officeDocument/2006/relationships/hyperlink" Target="mailto:senrhoads@capitol.hawaii.gov" TargetMode="External"/><Relationship Id="rId119" Type="http://schemas.openxmlformats.org/officeDocument/2006/relationships/hyperlink" Target="https://en.wikipedia.org/w/index.php?title=Breene_Harimoto&amp;action=edit&amp;redlink=1" TargetMode="External"/><Relationship Id="rId110" Type="http://schemas.openxmlformats.org/officeDocument/2006/relationships/hyperlink" Target="https://en.wikipedia.org/wiki/Les_Ihara,_Jr." TargetMode="External"/><Relationship Id="rId114" Type="http://schemas.openxmlformats.org/officeDocument/2006/relationships/hyperlink" Target="mailto:senmoriwaki@capitol.hawaii.gov" TargetMode="External"/><Relationship Id="rId113" Type="http://schemas.openxmlformats.org/officeDocument/2006/relationships/hyperlink" Target="mailto:sentaniguchi@capitol.hawaii.gov" TargetMode="External"/><Relationship Id="rId112" Type="http://schemas.openxmlformats.org/officeDocument/2006/relationships/hyperlink" Target="https://en.wikipedia.org/wiki/Brian_Taniguchi" TargetMode="External"/><Relationship Id="rId111" Type="http://schemas.openxmlformats.org/officeDocument/2006/relationships/hyperlink" Target="mailto:senihara@capitol.hawaii.gov" TargetMode="External"/></Relationships>
</file>

<file path=xl/worksheets/_rels/sheet13.xml.rels><?xml version="1.0" encoding="UTF-8" standalone="yes"?><Relationships xmlns="http://schemas.openxmlformats.org/package/2006/relationships"><Relationship Id="rId176" Type="http://schemas.openxmlformats.org/officeDocument/2006/relationships/hyperlink" Target="https://en.wikipedia.org/wiki/Idaho_Legislative_District_35" TargetMode="External"/><Relationship Id="rId175" Type="http://schemas.openxmlformats.org/officeDocument/2006/relationships/hyperlink" Target="https://en.wikipedia.org/wiki/Rexburg,_Idaho" TargetMode="External"/><Relationship Id="rId174" Type="http://schemas.openxmlformats.org/officeDocument/2006/relationships/hyperlink" Target="https://en.wikipedia.org/wiki/Brent_Hill_(politician)" TargetMode="External"/><Relationship Id="rId173" Type="http://schemas.openxmlformats.org/officeDocument/2006/relationships/hyperlink" Target="https://en.wikipedia.org/wiki/Idaho_Legislative_District_34" TargetMode="External"/><Relationship Id="rId178" Type="http://schemas.openxmlformats.org/officeDocument/2006/relationships/drawing" Target="../drawings/drawing13.xml"/><Relationship Id="rId177" Type="http://schemas.openxmlformats.org/officeDocument/2006/relationships/hyperlink" Target="https://en.wikipedia.org/wiki/Terreton,_Idaho" TargetMode="External"/><Relationship Id="rId150" Type="http://schemas.openxmlformats.org/officeDocument/2006/relationships/hyperlink" Target="https://en.wikipedia.org/wiki/Twin_Falls,_Idaho" TargetMode="External"/><Relationship Id="rId1" Type="http://schemas.openxmlformats.org/officeDocument/2006/relationships/hyperlink" Target="https://en.wikipedia.org/wiki/Heather_Scott" TargetMode="External"/><Relationship Id="rId2" Type="http://schemas.openxmlformats.org/officeDocument/2006/relationships/hyperlink" Target="https://en.wikipedia.org/wiki/Blanchard,_Idaho" TargetMode="External"/><Relationship Id="rId3" Type="http://schemas.openxmlformats.org/officeDocument/2006/relationships/hyperlink" Target="https://en.wikipedia.org/wiki/Sage_Dixon" TargetMode="External"/><Relationship Id="rId149" Type="http://schemas.openxmlformats.org/officeDocument/2006/relationships/hyperlink" Target="https://en.wikipedia.org/wiki/James_Patrick_(politician)" TargetMode="External"/><Relationship Id="rId4" Type="http://schemas.openxmlformats.org/officeDocument/2006/relationships/hyperlink" Target="https://en.wikipedia.org/wiki/Sandpoint,_Idaho" TargetMode="External"/><Relationship Id="rId148" Type="http://schemas.openxmlformats.org/officeDocument/2006/relationships/hyperlink" Target="https://en.wikipedia.org/wiki/Idaho_Legislative_District_25" TargetMode="External"/><Relationship Id="rId9" Type="http://schemas.openxmlformats.org/officeDocument/2006/relationships/hyperlink" Target="https://en.wikipedia.org/wiki/Coeur_d%27Alene,_Idaho" TargetMode="External"/><Relationship Id="rId143" Type="http://schemas.openxmlformats.org/officeDocument/2006/relationships/hyperlink" Target="https://en.wikipedia.org/wiki/Bert_Brackett" TargetMode="External"/><Relationship Id="rId142" Type="http://schemas.openxmlformats.org/officeDocument/2006/relationships/hyperlink" Target="https://en.wikipedia.org/wiki/Idaho_Legislative_District_23" TargetMode="External"/><Relationship Id="rId141" Type="http://schemas.openxmlformats.org/officeDocument/2006/relationships/hyperlink" Target="https://en.wikipedia.org/wiki/Lori_Den_Hartog" TargetMode="External"/><Relationship Id="rId140" Type="http://schemas.openxmlformats.org/officeDocument/2006/relationships/hyperlink" Target="https://en.wikipedia.org/wiki/Idaho_Legislative_District_22" TargetMode="External"/><Relationship Id="rId5" Type="http://schemas.openxmlformats.org/officeDocument/2006/relationships/hyperlink" Target="https://en.wikipedia.org/wiki/Vito_Barbieri" TargetMode="External"/><Relationship Id="rId147" Type="http://schemas.openxmlformats.org/officeDocument/2006/relationships/hyperlink" Target="https://en.wikipedia.org/wiki/Twin_Falls,_Idaho" TargetMode="External"/><Relationship Id="rId6" Type="http://schemas.openxmlformats.org/officeDocument/2006/relationships/hyperlink" Target="https://en.wikipedia.org/wiki/Dalton_Gardens,_Idaho" TargetMode="External"/><Relationship Id="rId146" Type="http://schemas.openxmlformats.org/officeDocument/2006/relationships/hyperlink" Target="https://en.wikipedia.org/wiki/Lee_Heider" TargetMode="External"/><Relationship Id="rId7" Type="http://schemas.openxmlformats.org/officeDocument/2006/relationships/hyperlink" Target="https://en.wikipedia.org/wiki/Spirit_Lake,_Idaho" TargetMode="External"/><Relationship Id="rId145" Type="http://schemas.openxmlformats.org/officeDocument/2006/relationships/hyperlink" Target="https://en.wikipedia.org/wiki/Idaho_Legislative_District_24" TargetMode="External"/><Relationship Id="rId8" Type="http://schemas.openxmlformats.org/officeDocument/2006/relationships/hyperlink" Target="https://en.wikipedia.org/wiki/Ron_Mendive" TargetMode="External"/><Relationship Id="rId144" Type="http://schemas.openxmlformats.org/officeDocument/2006/relationships/hyperlink" Target="https://en.wikipedia.org/wiki/Rogerson,_Idaho" TargetMode="External"/><Relationship Id="rId139" Type="http://schemas.openxmlformats.org/officeDocument/2006/relationships/hyperlink" Target="https://en.wikipedia.org/wiki/Cliff_Bayer" TargetMode="External"/><Relationship Id="rId138" Type="http://schemas.openxmlformats.org/officeDocument/2006/relationships/hyperlink" Target="https://en.wikipedia.org/wiki/Idaho_Legislative_District_21" TargetMode="External"/><Relationship Id="rId137" Type="http://schemas.openxmlformats.org/officeDocument/2006/relationships/hyperlink" Target="https://en.wikipedia.org/wiki/Chuck_Winder" TargetMode="External"/><Relationship Id="rId132" Type="http://schemas.openxmlformats.org/officeDocument/2006/relationships/hyperlink" Target="https://en.wikipedia.org/wiki/Idaho_Legislative_District_18" TargetMode="External"/><Relationship Id="rId131" Type="http://schemas.openxmlformats.org/officeDocument/2006/relationships/hyperlink" Target="https://en.wikipedia.org/wiki/Maryanne_Jordan" TargetMode="External"/><Relationship Id="rId130" Type="http://schemas.openxmlformats.org/officeDocument/2006/relationships/hyperlink" Target="https://en.wikipedia.org/wiki/Idaho_Legislative_District_17" TargetMode="External"/><Relationship Id="rId136" Type="http://schemas.openxmlformats.org/officeDocument/2006/relationships/hyperlink" Target="https://en.wikipedia.org/wiki/Idaho_Legislative_District_20" TargetMode="External"/><Relationship Id="rId135" Type="http://schemas.openxmlformats.org/officeDocument/2006/relationships/hyperlink" Target="https://en.wikipedia.org/wiki/Cherie_Buckner-Webb" TargetMode="External"/><Relationship Id="rId134" Type="http://schemas.openxmlformats.org/officeDocument/2006/relationships/hyperlink" Target="https://en.wikipedia.org/wiki/Idaho_Legislative_District_19" TargetMode="External"/><Relationship Id="rId133" Type="http://schemas.openxmlformats.org/officeDocument/2006/relationships/hyperlink" Target="https://en.wikipedia.org/wiki/Janie_Ward-Engelking" TargetMode="External"/><Relationship Id="rId172" Type="http://schemas.openxmlformats.org/officeDocument/2006/relationships/hyperlink" Target="https://en.wikipedia.org/wiki/Idaho_Legislative_District_33" TargetMode="External"/><Relationship Id="rId171" Type="http://schemas.openxmlformats.org/officeDocument/2006/relationships/hyperlink" Target="https://en.wikipedia.org/wiki/Soda_Springs,_Idaho" TargetMode="External"/><Relationship Id="rId170" Type="http://schemas.openxmlformats.org/officeDocument/2006/relationships/hyperlink" Target="https://en.wikipedia.org/wiki/Mark_Harris_(Idaho_politician)" TargetMode="External"/><Relationship Id="rId165" Type="http://schemas.openxmlformats.org/officeDocument/2006/relationships/hyperlink" Target="https://en.wikipedia.org/wiki/Idaho_Falls,_Idaho" TargetMode="External"/><Relationship Id="rId164" Type="http://schemas.openxmlformats.org/officeDocument/2006/relationships/hyperlink" Target="https://en.wikipedia.org/wiki/Dean_Mortimer" TargetMode="External"/><Relationship Id="rId163" Type="http://schemas.openxmlformats.org/officeDocument/2006/relationships/hyperlink" Target="https://en.wikipedia.org/wiki/Idaho_Legislative_District_30" TargetMode="External"/><Relationship Id="rId162" Type="http://schemas.openxmlformats.org/officeDocument/2006/relationships/hyperlink" Target="https://en.wikipedia.org/wiki/Pocatello,_Idaho" TargetMode="External"/><Relationship Id="rId169" Type="http://schemas.openxmlformats.org/officeDocument/2006/relationships/hyperlink" Target="https://en.wikipedia.org/wiki/Idaho_Legislative_District_32" TargetMode="External"/><Relationship Id="rId168" Type="http://schemas.openxmlformats.org/officeDocument/2006/relationships/hyperlink" Target="https://en.wikipedia.org/wiki/Blackfoot,_Idaho" TargetMode="External"/><Relationship Id="rId167" Type="http://schemas.openxmlformats.org/officeDocument/2006/relationships/hyperlink" Target="https://en.wikipedia.org/wiki/Steve_Bair" TargetMode="External"/><Relationship Id="rId166" Type="http://schemas.openxmlformats.org/officeDocument/2006/relationships/hyperlink" Target="https://en.wikipedia.org/wiki/Idaho_Legislative_District_31" TargetMode="External"/><Relationship Id="rId161" Type="http://schemas.openxmlformats.org/officeDocument/2006/relationships/hyperlink" Target="https://en.wikipedia.org/wiki/Mark_Nye_(politician)" TargetMode="External"/><Relationship Id="rId160" Type="http://schemas.openxmlformats.org/officeDocument/2006/relationships/hyperlink" Target="https://en.wikipedia.org/wiki/Idaho_Legislative_District_29" TargetMode="External"/><Relationship Id="rId159" Type="http://schemas.openxmlformats.org/officeDocument/2006/relationships/hyperlink" Target="https://en.wikipedia.org/wiki/McCammon,_Idaho" TargetMode="External"/><Relationship Id="rId154" Type="http://schemas.openxmlformats.org/officeDocument/2006/relationships/hyperlink" Target="https://en.wikipedia.org/wiki/Idaho_Legislative_District_27" TargetMode="External"/><Relationship Id="rId153" Type="http://schemas.openxmlformats.org/officeDocument/2006/relationships/hyperlink" Target="https://en.wikipedia.org/wiki/Ketchum,_Idaho" TargetMode="External"/><Relationship Id="rId152" Type="http://schemas.openxmlformats.org/officeDocument/2006/relationships/hyperlink" Target="https://en.wikipedia.org/wiki/Michelle_Stennett" TargetMode="External"/><Relationship Id="rId151" Type="http://schemas.openxmlformats.org/officeDocument/2006/relationships/hyperlink" Target="https://en.wikipedia.org/wiki/Idaho_Legislative_District_26" TargetMode="External"/><Relationship Id="rId158" Type="http://schemas.openxmlformats.org/officeDocument/2006/relationships/hyperlink" Target="https://en.wikipedia.org/wiki/Jim_Guthrie_(politician)" TargetMode="External"/><Relationship Id="rId157" Type="http://schemas.openxmlformats.org/officeDocument/2006/relationships/hyperlink" Target="https://en.wikipedia.org/wiki/Idaho_Legislative_District_28" TargetMode="External"/><Relationship Id="rId156" Type="http://schemas.openxmlformats.org/officeDocument/2006/relationships/hyperlink" Target="https://en.wikipedia.org/wiki/Declo,_Idaho" TargetMode="External"/><Relationship Id="rId155" Type="http://schemas.openxmlformats.org/officeDocument/2006/relationships/hyperlink" Target="https://en.wikipedia.org/wiki/Kelly_Anthon" TargetMode="External"/><Relationship Id="rId40" Type="http://schemas.openxmlformats.org/officeDocument/2006/relationships/hyperlink" Target="https://en.wikipedia.org/wiki/Star,_Idaho" TargetMode="External"/><Relationship Id="rId42" Type="http://schemas.openxmlformats.org/officeDocument/2006/relationships/hyperlink" Target="https://en.wikipedia.org/wiki/Eagle,_Idaho" TargetMode="External"/><Relationship Id="rId41" Type="http://schemas.openxmlformats.org/officeDocument/2006/relationships/hyperlink" Target="https://en.wikipedia.org/wiki/Gayann_DeMordaunt" TargetMode="External"/><Relationship Id="rId44" Type="http://schemas.openxmlformats.org/officeDocument/2006/relationships/hyperlink" Target="https://en.wikipedia.org/wiki/John_McCrostie" TargetMode="External"/><Relationship Id="rId43" Type="http://schemas.openxmlformats.org/officeDocument/2006/relationships/hyperlink" Target="https://en.wikipedia.org/wiki/Boise,_Idaho" TargetMode="External"/><Relationship Id="rId46" Type="http://schemas.openxmlformats.org/officeDocument/2006/relationships/hyperlink" Target="https://en.wikipedia.org/wiki/John_Gannon_(American_politician)" TargetMode="External"/><Relationship Id="rId45" Type="http://schemas.openxmlformats.org/officeDocument/2006/relationships/hyperlink" Target="https://en.wikipedia.org/wiki/Garden_City,_Idaho" TargetMode="External"/><Relationship Id="rId48" Type="http://schemas.openxmlformats.org/officeDocument/2006/relationships/hyperlink" Target="https://en.wikipedia.org/wiki/Ilana_Rubel" TargetMode="External"/><Relationship Id="rId47" Type="http://schemas.openxmlformats.org/officeDocument/2006/relationships/hyperlink" Target="https://en.wikipedia.org/wiki/Susan_Chew" TargetMode="External"/><Relationship Id="rId49" Type="http://schemas.openxmlformats.org/officeDocument/2006/relationships/hyperlink" Target="https://en.wikipedia.org/wiki/Mat_Erpelding" TargetMode="External"/><Relationship Id="rId31" Type="http://schemas.openxmlformats.org/officeDocument/2006/relationships/hyperlink" Target="https://en.wikipedia.org/wiki/Greg_Chaney" TargetMode="External"/><Relationship Id="rId30" Type="http://schemas.openxmlformats.org/officeDocument/2006/relationships/hyperlink" Target="https://en.wikipedia.org/wiki/Jarom_Wagoner" TargetMode="External"/><Relationship Id="rId33" Type="http://schemas.openxmlformats.org/officeDocument/2006/relationships/hyperlink" Target="https://en.wikipedia.org/wiki/Wilder,_Idaho" TargetMode="External"/><Relationship Id="rId32" Type="http://schemas.openxmlformats.org/officeDocument/2006/relationships/hyperlink" Target="https://en.wikipedia.org/w/index.php?title=Scott_Syme&amp;action=edit&amp;redlink=1" TargetMode="External"/><Relationship Id="rId35" Type="http://schemas.openxmlformats.org/officeDocument/2006/relationships/hyperlink" Target="https://en.wikipedia.org/wiki/Robert_Anderst" TargetMode="External"/><Relationship Id="rId34" Type="http://schemas.openxmlformats.org/officeDocument/2006/relationships/hyperlink" Target="https://en.wikipedia.org/wiki/Nampa,_Idaho" TargetMode="External"/><Relationship Id="rId37" Type="http://schemas.openxmlformats.org/officeDocument/2006/relationships/hyperlink" Target="https://en.wikipedia.org/wiki/Brent_Crane" TargetMode="External"/><Relationship Id="rId36" Type="http://schemas.openxmlformats.org/officeDocument/2006/relationships/hyperlink" Target="https://en.wikipedia.org/wiki/Rick_Youngblood" TargetMode="External"/><Relationship Id="rId39" Type="http://schemas.openxmlformats.org/officeDocument/2006/relationships/hyperlink" Target="https://en.wikipedia.org/wiki/Mike_Moyle" TargetMode="External"/><Relationship Id="rId38" Type="http://schemas.openxmlformats.org/officeDocument/2006/relationships/hyperlink" Target="https://en.wikipedia.org/wiki/Gary_Collins_(Idaho_politician)" TargetMode="External"/><Relationship Id="rId20" Type="http://schemas.openxmlformats.org/officeDocument/2006/relationships/hyperlink" Target="https://en.wikipedia.org/wiki/Paul_Shepherd_(politician)" TargetMode="External"/><Relationship Id="rId22" Type="http://schemas.openxmlformats.org/officeDocument/2006/relationships/hyperlink" Target="https://en.wikipedia.org/wiki/Terry_Gestrin" TargetMode="External"/><Relationship Id="rId21" Type="http://schemas.openxmlformats.org/officeDocument/2006/relationships/hyperlink" Target="https://en.wikipedia.org/wiki/Riggins,_Idaho" TargetMode="External"/><Relationship Id="rId24" Type="http://schemas.openxmlformats.org/officeDocument/2006/relationships/hyperlink" Target="https://en.wikipedia.org/w/index.php?title=Dorothy_Moon&amp;action=edit&amp;redlink=1" TargetMode="External"/><Relationship Id="rId23" Type="http://schemas.openxmlformats.org/officeDocument/2006/relationships/hyperlink" Target="https://en.wikipedia.org/wiki/Donnelly,_Idaho" TargetMode="External"/><Relationship Id="rId26" Type="http://schemas.openxmlformats.org/officeDocument/2006/relationships/hyperlink" Target="https://en.wikipedia.org/w/index.php?title=Ryan_Kerby&amp;action=edit&amp;redlink=1" TargetMode="External"/><Relationship Id="rId25" Type="http://schemas.openxmlformats.org/officeDocument/2006/relationships/hyperlink" Target="https://en.wikipedia.org/wiki/Stanley,_Idaho" TargetMode="External"/><Relationship Id="rId28" Type="http://schemas.openxmlformats.org/officeDocument/2006/relationships/hyperlink" Target="https://en.wikipedia.org/wiki/Judy_Boyle" TargetMode="External"/><Relationship Id="rId27" Type="http://schemas.openxmlformats.org/officeDocument/2006/relationships/hyperlink" Target="https://en.wikipedia.org/wiki/New_Plymouth,_Idaho" TargetMode="External"/><Relationship Id="rId29" Type="http://schemas.openxmlformats.org/officeDocument/2006/relationships/hyperlink" Target="https://en.wikipedia.org/wiki/Midvale,_Idaho" TargetMode="External"/><Relationship Id="rId11" Type="http://schemas.openxmlformats.org/officeDocument/2006/relationships/hyperlink" Target="https://en.wikipedia.org/wiki/Paul_Amador" TargetMode="External"/><Relationship Id="rId10" Type="http://schemas.openxmlformats.org/officeDocument/2006/relationships/hyperlink" Target="https://en.wikipedia.org/wiki/Post_Falls,_Idaho" TargetMode="External"/><Relationship Id="rId13" Type="http://schemas.openxmlformats.org/officeDocument/2006/relationships/hyperlink" Target="https://en.wikipedia.org/wiki/Caroline_Nilsson_Troy" TargetMode="External"/><Relationship Id="rId12" Type="http://schemas.openxmlformats.org/officeDocument/2006/relationships/hyperlink" Target="https://en.wikipedia.org/wiki/Plummer,_Idaho" TargetMode="External"/><Relationship Id="rId15" Type="http://schemas.openxmlformats.org/officeDocument/2006/relationships/hyperlink" Target="https://en.wikipedia.org/wiki/Thyra_Stevenson" TargetMode="External"/><Relationship Id="rId14" Type="http://schemas.openxmlformats.org/officeDocument/2006/relationships/hyperlink" Target="https://en.wikipedia.org/wiki/Genesee,_Idaho" TargetMode="External"/><Relationship Id="rId17" Type="http://schemas.openxmlformats.org/officeDocument/2006/relationships/hyperlink" Target="https://en.wikipedia.org/wiki/Mike_Kingsley" TargetMode="External"/><Relationship Id="rId16" Type="http://schemas.openxmlformats.org/officeDocument/2006/relationships/hyperlink" Target="https://en.wikipedia.org/wiki/Lewiston,_Idaho" TargetMode="External"/><Relationship Id="rId19" Type="http://schemas.openxmlformats.org/officeDocument/2006/relationships/hyperlink" Target="https://en.wikipedia.org/wiki/White_Bird,_Idaho" TargetMode="External"/><Relationship Id="rId18" Type="http://schemas.openxmlformats.org/officeDocument/2006/relationships/hyperlink" Target="https://en.wikipedia.org/w/index.php?title=Priscilla_Giddings&amp;action=edit&amp;redlink=1" TargetMode="External"/><Relationship Id="rId84" Type="http://schemas.openxmlformats.org/officeDocument/2006/relationships/hyperlink" Target="https://en.wikipedia.org/wiki/Iona,_Idaho" TargetMode="External"/><Relationship Id="rId83" Type="http://schemas.openxmlformats.org/officeDocument/2006/relationships/hyperlink" Target="https://en.wikipedia.org/wiki/Grace,_Idaho" TargetMode="External"/><Relationship Id="rId86" Type="http://schemas.openxmlformats.org/officeDocument/2006/relationships/hyperlink" Target="https://en.wikipedia.org/wiki/Rexburg,_Idaho" TargetMode="External"/><Relationship Id="rId85" Type="http://schemas.openxmlformats.org/officeDocument/2006/relationships/hyperlink" Target="https://en.wikipedia.org/wiki/Bryan_Zollinger" TargetMode="External"/><Relationship Id="rId88" Type="http://schemas.openxmlformats.org/officeDocument/2006/relationships/hyperlink" Target="https://en.wikipedia.org/wiki/St._Anthony,_Idaho" TargetMode="External"/><Relationship Id="rId87" Type="http://schemas.openxmlformats.org/officeDocument/2006/relationships/hyperlink" Target="https://en.wikipedia.org/wiki/Terreton,_Idaho" TargetMode="External"/><Relationship Id="rId89" Type="http://schemas.openxmlformats.org/officeDocument/2006/relationships/hyperlink" Target="https://en.wikipedia.org/wiki/Idaho_Legislative_District_1" TargetMode="External"/><Relationship Id="rId80" Type="http://schemas.openxmlformats.org/officeDocument/2006/relationships/hyperlink" Target="https://en.wikipedia.org/wiki/Neil_A._Anderson" TargetMode="External"/><Relationship Id="rId82" Type="http://schemas.openxmlformats.org/officeDocument/2006/relationships/hyperlink" Target="https://en.wikipedia.org/wiki/Marc_Gibbs" TargetMode="External"/><Relationship Id="rId81" Type="http://schemas.openxmlformats.org/officeDocument/2006/relationships/hyperlink" Target="https://en.wikipedia.org/wiki/Blackfoot,_Idaho" TargetMode="External"/><Relationship Id="rId73" Type="http://schemas.openxmlformats.org/officeDocument/2006/relationships/hyperlink" Target="https://en.wikipedia.org/w/index.php?title=Randall_Armstrong&amp;action=edit&amp;redlink=1" TargetMode="External"/><Relationship Id="rId72" Type="http://schemas.openxmlformats.org/officeDocument/2006/relationships/hyperlink" Target="https://en.wikipedia.org/wiki/Burley,_Idaho" TargetMode="External"/><Relationship Id="rId75" Type="http://schemas.openxmlformats.org/officeDocument/2006/relationships/hyperlink" Target="https://en.wikipedia.org/wiki/McCammon,_Idaho" TargetMode="External"/><Relationship Id="rId74" Type="http://schemas.openxmlformats.org/officeDocument/2006/relationships/hyperlink" Target="https://en.wikipedia.org/wiki/Inkom,_Idaho" TargetMode="External"/><Relationship Id="rId77" Type="http://schemas.openxmlformats.org/officeDocument/2006/relationships/hyperlink" Target="https://en.wikipedia.org/wiki/Elaine_Smith_(Idaho_politician)" TargetMode="External"/><Relationship Id="rId76" Type="http://schemas.openxmlformats.org/officeDocument/2006/relationships/hyperlink" Target="https://en.wikipedia.org/wiki/Pocatello,_Idaho" TargetMode="External"/><Relationship Id="rId79" Type="http://schemas.openxmlformats.org/officeDocument/2006/relationships/hyperlink" Target="https://en.wikipedia.org/wiki/Wendy_Horman" TargetMode="External"/><Relationship Id="rId78" Type="http://schemas.openxmlformats.org/officeDocument/2006/relationships/hyperlink" Target="https://en.wikipedia.org/wiki/Idaho_Falls,_Idaho" TargetMode="External"/><Relationship Id="rId71" Type="http://schemas.openxmlformats.org/officeDocument/2006/relationships/hyperlink" Target="https://en.wikipedia.org/wiki/Fred_Wood_(politician)" TargetMode="External"/><Relationship Id="rId70" Type="http://schemas.openxmlformats.org/officeDocument/2006/relationships/hyperlink" Target="https://en.wikipedia.org/wiki/Oakley,_Idaho" TargetMode="External"/><Relationship Id="rId62" Type="http://schemas.openxmlformats.org/officeDocument/2006/relationships/hyperlink" Target="https://en.wikipedia.org/wiki/Twin_Falls,_Idaho" TargetMode="External"/><Relationship Id="rId61" Type="http://schemas.openxmlformats.org/officeDocument/2006/relationships/hyperlink" Target="https://en.wikipedia.org/wiki/Lance_Clow" TargetMode="External"/><Relationship Id="rId64" Type="http://schemas.openxmlformats.org/officeDocument/2006/relationships/hyperlink" Target="https://en.wikipedia.org/wiki/Clark_Kauffman" TargetMode="External"/><Relationship Id="rId63" Type="http://schemas.openxmlformats.org/officeDocument/2006/relationships/hyperlink" Target="https://en.wikipedia.org/wiki/Jerome,_Idaho" TargetMode="External"/><Relationship Id="rId66" Type="http://schemas.openxmlformats.org/officeDocument/2006/relationships/hyperlink" Target="https://en.wikipedia.org/wiki/Fairfield,_Idaho" TargetMode="External"/><Relationship Id="rId65" Type="http://schemas.openxmlformats.org/officeDocument/2006/relationships/hyperlink" Target="https://en.wikipedia.org/wiki/Filer,_Idaho" TargetMode="External"/><Relationship Id="rId68" Type="http://schemas.openxmlformats.org/officeDocument/2006/relationships/hyperlink" Target="https://en.wikipedia.org/wiki/Gooding,_Idaho" TargetMode="External"/><Relationship Id="rId67" Type="http://schemas.openxmlformats.org/officeDocument/2006/relationships/hyperlink" Target="https://en.wikipedia.org/w/index.php?title=Sally_Toone&amp;action=edit&amp;redlink=1" TargetMode="External"/><Relationship Id="rId60" Type="http://schemas.openxmlformats.org/officeDocument/2006/relationships/hyperlink" Target="https://en.wikipedia.org/wiki/Megan_Blanksma" TargetMode="External"/><Relationship Id="rId69" Type="http://schemas.openxmlformats.org/officeDocument/2006/relationships/hyperlink" Target="https://en.wikipedia.org/wiki/Scott_Bedke" TargetMode="External"/><Relationship Id="rId51" Type="http://schemas.openxmlformats.org/officeDocument/2006/relationships/hyperlink" Target="https://en.wikipedia.org/wiki/Joe_Palmer_(politician)" TargetMode="External"/><Relationship Id="rId50" Type="http://schemas.openxmlformats.org/officeDocument/2006/relationships/hyperlink" Target="https://en.wikipedia.org/wiki/Melissa_Wintrow" TargetMode="External"/><Relationship Id="rId53" Type="http://schemas.openxmlformats.org/officeDocument/2006/relationships/hyperlink" Target="https://en.wikipedia.org/wiki/James_Holtzclaw" TargetMode="External"/><Relationship Id="rId52" Type="http://schemas.openxmlformats.org/officeDocument/2006/relationships/hyperlink" Target="https://en.wikipedia.org/wiki/Meridian,_Idaho" TargetMode="External"/><Relationship Id="rId55" Type="http://schemas.openxmlformats.org/officeDocument/2006/relationships/hyperlink" Target="https://en.wikipedia.org/wiki/Thomas_Dayley" TargetMode="External"/><Relationship Id="rId54" Type="http://schemas.openxmlformats.org/officeDocument/2006/relationships/hyperlink" Target="https://en.wikipedia.org/wiki/Steven_Harris_(politician)" TargetMode="External"/><Relationship Id="rId57" Type="http://schemas.openxmlformats.org/officeDocument/2006/relationships/hyperlink" Target="https://en.wikipedia.org/wiki/Jason_Monks" TargetMode="External"/><Relationship Id="rId56" Type="http://schemas.openxmlformats.org/officeDocument/2006/relationships/hyperlink" Target="https://en.wikipedia.org/wiki/John_Vander_Woude" TargetMode="External"/><Relationship Id="rId59" Type="http://schemas.openxmlformats.org/officeDocument/2006/relationships/hyperlink" Target="https://en.wikipedia.org/wiki/Hammett,_Idaho" TargetMode="External"/><Relationship Id="rId58" Type="http://schemas.openxmlformats.org/officeDocument/2006/relationships/hyperlink" Target="https://en.wikipedia.org/wiki/Christy_Zito" TargetMode="External"/><Relationship Id="rId107" Type="http://schemas.openxmlformats.org/officeDocument/2006/relationships/hyperlink" Target="https://en.wikipedia.org/wiki/Steven_Thayn" TargetMode="External"/><Relationship Id="rId106" Type="http://schemas.openxmlformats.org/officeDocument/2006/relationships/hyperlink" Target="https://en.wikipedia.org/wiki/Idaho_Legislative_District_8" TargetMode="External"/><Relationship Id="rId105" Type="http://schemas.openxmlformats.org/officeDocument/2006/relationships/hyperlink" Target="https://en.wikipedia.org/wiki/Grangeville,_Idaho" TargetMode="External"/><Relationship Id="rId104" Type="http://schemas.openxmlformats.org/officeDocument/2006/relationships/hyperlink" Target="https://en.wikipedia.org/wiki/Carl_Crabtree" TargetMode="External"/><Relationship Id="rId109" Type="http://schemas.openxmlformats.org/officeDocument/2006/relationships/hyperlink" Target="https://en.wikipedia.org/wiki/Idaho_Legislative_District_9" TargetMode="External"/><Relationship Id="rId108" Type="http://schemas.openxmlformats.org/officeDocument/2006/relationships/hyperlink" Target="https://en.wikipedia.org/wiki/Emmett,_Idaho" TargetMode="External"/><Relationship Id="rId103" Type="http://schemas.openxmlformats.org/officeDocument/2006/relationships/hyperlink" Target="https://en.wikipedia.org/wiki/Idaho_Legislative_District_7" TargetMode="External"/><Relationship Id="rId102" Type="http://schemas.openxmlformats.org/officeDocument/2006/relationships/hyperlink" Target="https://en.wikipedia.org/wiki/Lewiston,_Idaho" TargetMode="External"/><Relationship Id="rId101" Type="http://schemas.openxmlformats.org/officeDocument/2006/relationships/hyperlink" Target="https://en.wikipedia.org/wiki/Dan_G._Johnson" TargetMode="External"/><Relationship Id="rId100" Type="http://schemas.openxmlformats.org/officeDocument/2006/relationships/hyperlink" Target="https://en.wikipedia.org/wiki/Idaho_Legislative_District_6" TargetMode="External"/><Relationship Id="rId129" Type="http://schemas.openxmlformats.org/officeDocument/2006/relationships/hyperlink" Target="https://en.wikipedia.org/wiki/Grant_Burgoyne" TargetMode="External"/><Relationship Id="rId128" Type="http://schemas.openxmlformats.org/officeDocument/2006/relationships/hyperlink" Target="https://en.wikipedia.org/wiki/Idaho_Legislative_District_16" TargetMode="External"/><Relationship Id="rId127" Type="http://schemas.openxmlformats.org/officeDocument/2006/relationships/hyperlink" Target="https://en.wikipedia.org/wiki/Boise,_Idaho" TargetMode="External"/><Relationship Id="rId126" Type="http://schemas.openxmlformats.org/officeDocument/2006/relationships/hyperlink" Target="https://en.wikipedia.org/wiki/Fred_S._Martin" TargetMode="External"/><Relationship Id="rId121" Type="http://schemas.openxmlformats.org/officeDocument/2006/relationships/hyperlink" Target="https://en.wikipedia.org/wiki/Idaho_Legislative_District_13" TargetMode="External"/><Relationship Id="rId120" Type="http://schemas.openxmlformats.org/officeDocument/2006/relationships/hyperlink" Target="https://en.wikipedia.org/wiki/Nampa,_Idaho" TargetMode="External"/><Relationship Id="rId125" Type="http://schemas.openxmlformats.org/officeDocument/2006/relationships/hyperlink" Target="https://en.wikipedia.org/wiki/Idaho_Legislative_District_15" TargetMode="External"/><Relationship Id="rId124" Type="http://schemas.openxmlformats.org/officeDocument/2006/relationships/hyperlink" Target="https://en.wikipedia.org/wiki/Meridian,_Idaho" TargetMode="External"/><Relationship Id="rId123" Type="http://schemas.openxmlformats.org/officeDocument/2006/relationships/hyperlink" Target="https://en.wikipedia.org/wiki/Idaho_Legislative_District_14" TargetMode="External"/><Relationship Id="rId122" Type="http://schemas.openxmlformats.org/officeDocument/2006/relationships/hyperlink" Target="https://en.wikipedia.org/wiki/Jeff_Agenbroad" TargetMode="External"/><Relationship Id="rId95" Type="http://schemas.openxmlformats.org/officeDocument/2006/relationships/hyperlink" Target="https://en.wikipedia.org/wiki/Coeur_d%27Alene,_Idaho" TargetMode="External"/><Relationship Id="rId94" Type="http://schemas.openxmlformats.org/officeDocument/2006/relationships/hyperlink" Target="https://en.wikipedia.org/wiki/Idaho_Legislative_District_3" TargetMode="External"/><Relationship Id="rId97" Type="http://schemas.openxmlformats.org/officeDocument/2006/relationships/hyperlink" Target="https://en.wikipedia.org/wiki/Mary_Souza" TargetMode="External"/><Relationship Id="rId96" Type="http://schemas.openxmlformats.org/officeDocument/2006/relationships/hyperlink" Target="https://en.wikipedia.org/wiki/Idaho_Legislative_District_4" TargetMode="External"/><Relationship Id="rId99" Type="http://schemas.openxmlformats.org/officeDocument/2006/relationships/hyperlink" Target="https://en.wikipedia.org/wiki/Viola,_Idaho" TargetMode="External"/><Relationship Id="rId98" Type="http://schemas.openxmlformats.org/officeDocument/2006/relationships/hyperlink" Target="https://en.wikipedia.org/wiki/Idaho_Legislative_District_5" TargetMode="External"/><Relationship Id="rId91" Type="http://schemas.openxmlformats.org/officeDocument/2006/relationships/hyperlink" Target="https://en.wikipedia.org/wiki/Idaho_Legislative_District_2" TargetMode="External"/><Relationship Id="rId90" Type="http://schemas.openxmlformats.org/officeDocument/2006/relationships/hyperlink" Target="https://en.wikipedia.org/wiki/Sandpoint,_Idaho" TargetMode="External"/><Relationship Id="rId93" Type="http://schemas.openxmlformats.org/officeDocument/2006/relationships/hyperlink" Target="https://en.wikipedia.org/wiki/Dalton_Gardens,_Idaho" TargetMode="External"/><Relationship Id="rId92" Type="http://schemas.openxmlformats.org/officeDocument/2006/relationships/hyperlink" Target="https://en.wikipedia.org/wiki/Steve_Vick" TargetMode="External"/><Relationship Id="rId118" Type="http://schemas.openxmlformats.org/officeDocument/2006/relationships/hyperlink" Target="https://en.wikipedia.org/wiki/Idaho_Legislative_District_12" TargetMode="External"/><Relationship Id="rId117" Type="http://schemas.openxmlformats.org/officeDocument/2006/relationships/hyperlink" Target="https://en.wikipedia.org/wiki/Huston,_Idaho" TargetMode="External"/><Relationship Id="rId116" Type="http://schemas.openxmlformats.org/officeDocument/2006/relationships/hyperlink" Target="https://en.wikipedia.org/wiki/Patti_Anne_Lodge" TargetMode="External"/><Relationship Id="rId115" Type="http://schemas.openxmlformats.org/officeDocument/2006/relationships/hyperlink" Target="https://en.wikipedia.org/wiki/Idaho_Legislative_District_11" TargetMode="External"/><Relationship Id="rId119" Type="http://schemas.openxmlformats.org/officeDocument/2006/relationships/hyperlink" Target="https://en.wikipedia.org/wiki/Todd_Lakey" TargetMode="External"/><Relationship Id="rId110" Type="http://schemas.openxmlformats.org/officeDocument/2006/relationships/hyperlink" Target="https://en.wikipedia.org/wiki/Abby_Lee_(politician)" TargetMode="External"/><Relationship Id="rId114" Type="http://schemas.openxmlformats.org/officeDocument/2006/relationships/hyperlink" Target="https://en.wikipedia.org/wiki/Caldwell,_Idaho" TargetMode="External"/><Relationship Id="rId113" Type="http://schemas.openxmlformats.org/officeDocument/2006/relationships/hyperlink" Target="https://en.wikipedia.org/wiki/Jim_Rice_(politician)" TargetMode="External"/><Relationship Id="rId112" Type="http://schemas.openxmlformats.org/officeDocument/2006/relationships/hyperlink" Target="https://en.wikipedia.org/wiki/Idaho_Legislative_District_10" TargetMode="External"/><Relationship Id="rId111" Type="http://schemas.openxmlformats.org/officeDocument/2006/relationships/hyperlink" Target="https://en.wikipedia.org/wiki/Fruitland,_Idaho"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en.wikipedia.org/wiki/Daniel_J._Burke" TargetMode="External"/><Relationship Id="rId2" Type="http://schemas.openxmlformats.org/officeDocument/2006/relationships/hyperlink" Target="https://en.wikipedia.org/wiki/Theresa_Mah" TargetMode="External"/><Relationship Id="rId3" Type="http://schemas.openxmlformats.org/officeDocument/2006/relationships/hyperlink" Target="https://en.wikipedia.org/wiki/Sonya_Harper" TargetMode="External"/><Relationship Id="rId4" Type="http://schemas.openxmlformats.org/officeDocument/2006/relationships/hyperlink" Target="https://en.wikipedia.org/wiki/Emanuel_Chris_Welch" TargetMode="External"/><Relationship Id="rId9" Type="http://schemas.openxmlformats.org/officeDocument/2006/relationships/hyperlink" Target="https://en.wikipedia.org/wiki/Greg_Harris_(Illinois)" TargetMode="External"/><Relationship Id="rId143" Type="http://schemas.openxmlformats.org/officeDocument/2006/relationships/hyperlink" Target="https://en.wikipedia.org/wiki/Dale_Fowler" TargetMode="External"/><Relationship Id="rId142" Type="http://schemas.openxmlformats.org/officeDocument/2006/relationships/hyperlink" Target="https://en.wikipedia.org/wiki/Paul_Schimpf" TargetMode="External"/><Relationship Id="rId141" Type="http://schemas.openxmlformats.org/officeDocument/2006/relationships/hyperlink" Target="https://en.wikipedia.org/wiki/Dale_Righter" TargetMode="External"/><Relationship Id="rId140" Type="http://schemas.openxmlformats.org/officeDocument/2006/relationships/hyperlink" Target="https://en.wikipedia.org/wiki/Jason_Barickman" TargetMode="External"/><Relationship Id="rId5" Type="http://schemas.openxmlformats.org/officeDocument/2006/relationships/hyperlink" Target="https://en.wikipedia.org/wiki/LaShawn_Ford" TargetMode="External"/><Relationship Id="rId6" Type="http://schemas.openxmlformats.org/officeDocument/2006/relationships/hyperlink" Target="https://en.wikipedia.org/wiki/Art_Turner" TargetMode="External"/><Relationship Id="rId7" Type="http://schemas.openxmlformats.org/officeDocument/2006/relationships/hyperlink" Target="https://en.wikipedia.org/wiki/Ann_Williams_(politician)" TargetMode="External"/><Relationship Id="rId8" Type="http://schemas.openxmlformats.org/officeDocument/2006/relationships/hyperlink" Target="https://en.wikipedia.org/wiki/Sara_Feigenholtz" TargetMode="External"/><Relationship Id="rId144" Type="http://schemas.openxmlformats.org/officeDocument/2006/relationships/drawing" Target="../drawings/drawing14.xml"/><Relationship Id="rId139" Type="http://schemas.openxmlformats.org/officeDocument/2006/relationships/hyperlink" Target="https://en.wikipedia.org/wiki/Scott_M._Bennett" TargetMode="External"/><Relationship Id="rId138" Type="http://schemas.openxmlformats.org/officeDocument/2006/relationships/hyperlink" Target="https://en.wikipedia.org/wiki/Chapin_Rose" TargetMode="External"/><Relationship Id="rId137" Type="http://schemas.openxmlformats.org/officeDocument/2006/relationships/hyperlink" Target="https://en.wikipedia.org/wiki/Jennifer_Bertino-Tarrant" TargetMode="External"/><Relationship Id="rId132" Type="http://schemas.openxmlformats.org/officeDocument/2006/relationships/hyperlink" Target="https://en.wikipedia.org/wiki/Pat_McGuire_(politician)" TargetMode="External"/><Relationship Id="rId131" Type="http://schemas.openxmlformats.org/officeDocument/2006/relationships/hyperlink" Target="https://en.wikipedia.org/wiki/Linda_Holmes" TargetMode="External"/><Relationship Id="rId130" Type="http://schemas.openxmlformats.org/officeDocument/2006/relationships/hyperlink" Target="https://en.wikipedia.org/wiki/John_Curran_(Illinois_politician)" TargetMode="External"/><Relationship Id="rId136" Type="http://schemas.openxmlformats.org/officeDocument/2006/relationships/hyperlink" Target="https://en.wikipedia.org/wiki/Andy_Manar" TargetMode="External"/><Relationship Id="rId135" Type="http://schemas.openxmlformats.org/officeDocument/2006/relationships/hyperlink" Target="https://en.wikipedia.org/wiki/Jil_Tracy" TargetMode="External"/><Relationship Id="rId134" Type="http://schemas.openxmlformats.org/officeDocument/2006/relationships/hyperlink" Target="https://en.wikipedia.org/wiki/David_Koehler" TargetMode="External"/><Relationship Id="rId133" Type="http://schemas.openxmlformats.org/officeDocument/2006/relationships/hyperlink" Target="https://en.wikipedia.org/wiki/Bill_Brady_(politician)" TargetMode="External"/><Relationship Id="rId40" Type="http://schemas.openxmlformats.org/officeDocument/2006/relationships/hyperlink" Target="https://en.wikipedia.org/wiki/Keith_R._Wheeler" TargetMode="External"/><Relationship Id="rId42" Type="http://schemas.openxmlformats.org/officeDocument/2006/relationships/hyperlink" Target="https://en.wikipedia.org/wiki/David_McSweeney_(politician)" TargetMode="External"/><Relationship Id="rId41" Type="http://schemas.openxmlformats.org/officeDocument/2006/relationships/hyperlink" Target="https://en.wikipedia.org/wiki/Helene_Walsh" TargetMode="External"/><Relationship Id="rId44" Type="http://schemas.openxmlformats.org/officeDocument/2006/relationships/hyperlink" Target="https://en.wikipedia.org/wiki/Marty_Moylan" TargetMode="External"/><Relationship Id="rId43" Type="http://schemas.openxmlformats.org/officeDocument/2006/relationships/hyperlink" Target="https://en.wikipedia.org/wiki/Thomas_Morrison_(politician)" TargetMode="External"/><Relationship Id="rId46" Type="http://schemas.openxmlformats.org/officeDocument/2006/relationships/hyperlink" Target="https://en.wikipedia.org/wiki/Jonathan_Carroll_(elected_official)" TargetMode="External"/><Relationship Id="rId45" Type="http://schemas.openxmlformats.org/officeDocument/2006/relationships/hyperlink" Target="https://en.wikipedia.org/wiki/Michelle_Mussman" TargetMode="External"/><Relationship Id="rId48" Type="http://schemas.openxmlformats.org/officeDocument/2006/relationships/hyperlink" Target="https://en.wikipedia.org/wiki/Sam_Yingling" TargetMode="External"/><Relationship Id="rId47" Type="http://schemas.openxmlformats.org/officeDocument/2006/relationships/hyperlink" Target="https://en.wikipedia.org/wiki/Rita_Mayfield" TargetMode="External"/><Relationship Id="rId49" Type="http://schemas.openxmlformats.org/officeDocument/2006/relationships/hyperlink" Target="https://en.wikipedia.org/wiki/Steve_Reick" TargetMode="External"/><Relationship Id="rId31" Type="http://schemas.openxmlformats.org/officeDocument/2006/relationships/hyperlink" Target="https://en.wikipedia.org/wiki/Margo_McDermed" TargetMode="External"/><Relationship Id="rId30" Type="http://schemas.openxmlformats.org/officeDocument/2006/relationships/hyperlink" Target="https://en.wikipedia.org/wiki/Kelly_M._Burke" TargetMode="External"/><Relationship Id="rId33" Type="http://schemas.openxmlformats.org/officeDocument/2006/relationships/hyperlink" Target="https://en.wikipedia.org/wiki/Jaime_Andrade_Jr." TargetMode="External"/><Relationship Id="rId32" Type="http://schemas.openxmlformats.org/officeDocument/2006/relationships/hyperlink" Target="https://en.wikipedia.org/wiki/Will_Guzzardi" TargetMode="External"/><Relationship Id="rId35" Type="http://schemas.openxmlformats.org/officeDocument/2006/relationships/hyperlink" Target="https://en.wikipedia.org/wiki/Anna_Moeller" TargetMode="External"/><Relationship Id="rId34" Type="http://schemas.openxmlformats.org/officeDocument/2006/relationships/hyperlink" Target="https://en.wikipedia.org/wiki/Grant_Wehrli" TargetMode="External"/><Relationship Id="rId37" Type="http://schemas.openxmlformats.org/officeDocument/2006/relationships/hyperlink" Target="https://en.wikipedia.org/wiki/Christine_Winger" TargetMode="External"/><Relationship Id="rId36" Type="http://schemas.openxmlformats.org/officeDocument/2006/relationships/hyperlink" Target="https://en.wikipedia.org/wiki/Fred_Crespo" TargetMode="External"/><Relationship Id="rId39" Type="http://schemas.openxmlformats.org/officeDocument/2006/relationships/hyperlink" Target="https://en.wikipedia.org/wiki/Deanne_Mazzochi" TargetMode="External"/><Relationship Id="rId38" Type="http://schemas.openxmlformats.org/officeDocument/2006/relationships/hyperlink" Target="https://en.wikipedia.org/wiki/Deborah_Conroy" TargetMode="External"/><Relationship Id="rId20" Type="http://schemas.openxmlformats.org/officeDocument/2006/relationships/hyperlink" Target="https://en.wikipedia.org/wiki/Christian_Mitchell" TargetMode="External"/><Relationship Id="rId22" Type="http://schemas.openxmlformats.org/officeDocument/2006/relationships/hyperlink" Target="https://en.wikipedia.org/wiki/Robert_Rita" TargetMode="External"/><Relationship Id="rId21" Type="http://schemas.openxmlformats.org/officeDocument/2006/relationships/hyperlink" Target="https://en.wikipedia.org/wiki/Justin_Slaughter" TargetMode="External"/><Relationship Id="rId24" Type="http://schemas.openxmlformats.org/officeDocument/2006/relationships/hyperlink" Target="https://en.wikipedia.org/wiki/Will_Davis_(politician)" TargetMode="External"/><Relationship Id="rId23" Type="http://schemas.openxmlformats.org/officeDocument/2006/relationships/hyperlink" Target="https://en.wikipedia.org/wiki/Thaddeus_Jones_(politician)" TargetMode="External"/><Relationship Id="rId26" Type="http://schemas.openxmlformats.org/officeDocument/2006/relationships/hyperlink" Target="https://en.wikipedia.org/wiki/Andre_Thapedi" TargetMode="External"/><Relationship Id="rId25" Type="http://schemas.openxmlformats.org/officeDocument/2006/relationships/hyperlink" Target="https://en.wikipedia.org/wiki/Mary_E._Flowers" TargetMode="External"/><Relationship Id="rId28" Type="http://schemas.openxmlformats.org/officeDocument/2006/relationships/hyperlink" Target="https://en.wikipedia.org/wiki/Nicholas_Smith_(Illinois_politician)" TargetMode="External"/><Relationship Id="rId27" Type="http://schemas.openxmlformats.org/officeDocument/2006/relationships/hyperlink" Target="https://en.wikipedia.org/wiki/Marcus_C._Evans,_Jr." TargetMode="External"/><Relationship Id="rId29" Type="http://schemas.openxmlformats.org/officeDocument/2006/relationships/hyperlink" Target="https://en.wikipedia.org/wiki/Frances_Ann_Hurley" TargetMode="External"/><Relationship Id="rId11" Type="http://schemas.openxmlformats.org/officeDocument/2006/relationships/hyperlink" Target="https://en.wikipedia.org/wiki/John_C._D%27Amico" TargetMode="External"/><Relationship Id="rId10" Type="http://schemas.openxmlformats.org/officeDocument/2006/relationships/hyperlink" Target="https://en.wikipedia.org/wiki/Kelly_Cassidy" TargetMode="External"/><Relationship Id="rId13" Type="http://schemas.openxmlformats.org/officeDocument/2006/relationships/hyperlink" Target="https://en.wikipedia.org/wiki/Robyn_Gabel" TargetMode="External"/><Relationship Id="rId12" Type="http://schemas.openxmlformats.org/officeDocument/2006/relationships/hyperlink" Target="https://en.wikipedia.org/wiki/Lou_Lang" TargetMode="External"/><Relationship Id="rId15" Type="http://schemas.openxmlformats.org/officeDocument/2006/relationships/hyperlink" Target="https://en.wikipedia.org/wiki/Michael_P._McAuliffe" TargetMode="External"/><Relationship Id="rId14" Type="http://schemas.openxmlformats.org/officeDocument/2006/relationships/hyperlink" Target="https://en.wikipedia.org/wiki/Robert_F._Martwick,_Jr" TargetMode="External"/><Relationship Id="rId17" Type="http://schemas.openxmlformats.org/officeDocument/2006/relationships/hyperlink" Target="https://en.wikipedia.org/wiki/Michael_Madigan" TargetMode="External"/><Relationship Id="rId16" Type="http://schemas.openxmlformats.org/officeDocument/2006/relationships/hyperlink" Target="https://en.wikipedia.org/wiki/Celina_Villanueva" TargetMode="External"/><Relationship Id="rId19" Type="http://schemas.openxmlformats.org/officeDocument/2006/relationships/hyperlink" Target="https://en.wikipedia.org/wiki/Elizabeth_Hernandez" TargetMode="External"/><Relationship Id="rId18" Type="http://schemas.openxmlformats.org/officeDocument/2006/relationships/hyperlink" Target="https://en.wikipedia.org/wiki/Michael_J._Zalewski" TargetMode="External"/><Relationship Id="rId84" Type="http://schemas.openxmlformats.org/officeDocument/2006/relationships/hyperlink" Target="https://en.wikipedia.org/wiki/Thomas_M._Bennett" TargetMode="External"/><Relationship Id="rId83" Type="http://schemas.openxmlformats.org/officeDocument/2006/relationships/hyperlink" Target="https://en.wikipedia.org/wiki/Dan_Brady_(Illinois_politician)" TargetMode="External"/><Relationship Id="rId86" Type="http://schemas.openxmlformats.org/officeDocument/2006/relationships/hyperlink" Target="https://en.wikipedia.org/wiki/Monica_Bristow" TargetMode="External"/><Relationship Id="rId85" Type="http://schemas.openxmlformats.org/officeDocument/2006/relationships/hyperlink" Target="https://en.wikipedia.org/wiki/Charles_Meier" TargetMode="External"/><Relationship Id="rId88" Type="http://schemas.openxmlformats.org/officeDocument/2006/relationships/hyperlink" Target="https://en.wikipedia.org/wiki/Jay_Hoffman_(politician)" TargetMode="External"/><Relationship Id="rId87" Type="http://schemas.openxmlformats.org/officeDocument/2006/relationships/hyperlink" Target="https://en.wikipedia.org/wiki/Katie_Stuart_(politician)" TargetMode="External"/><Relationship Id="rId89" Type="http://schemas.openxmlformats.org/officeDocument/2006/relationships/hyperlink" Target="https://en.wikipedia.org/wiki/LaToya_Greenwood" TargetMode="External"/><Relationship Id="rId80" Type="http://schemas.openxmlformats.org/officeDocument/2006/relationships/hyperlink" Target="https://en.wikipedia.org/wiki/Brad_Halbrook" TargetMode="External"/><Relationship Id="rId82" Type="http://schemas.openxmlformats.org/officeDocument/2006/relationships/hyperlink" Target="https://en.wikipedia.org/wiki/Chad_Hays" TargetMode="External"/><Relationship Id="rId81" Type="http://schemas.openxmlformats.org/officeDocument/2006/relationships/hyperlink" Target="https://en.wikipedia.org/wiki/Carol_Ammons" TargetMode="External"/><Relationship Id="rId73" Type="http://schemas.openxmlformats.org/officeDocument/2006/relationships/hyperlink" Target="https://en.wikipedia.org/wiki/Norine_Hammond" TargetMode="External"/><Relationship Id="rId72" Type="http://schemas.openxmlformats.org/officeDocument/2006/relationships/hyperlink" Target="https://en.wikipedia.org/wiki/Michael_D._Unes" TargetMode="External"/><Relationship Id="rId75" Type="http://schemas.openxmlformats.org/officeDocument/2006/relationships/hyperlink" Target="https://en.wikipedia.org/wiki/Avery_Bourne" TargetMode="External"/><Relationship Id="rId74" Type="http://schemas.openxmlformats.org/officeDocument/2006/relationships/hyperlink" Target="https://en.wikipedia.org/wiki/Randy_Frese" TargetMode="External"/><Relationship Id="rId77" Type="http://schemas.openxmlformats.org/officeDocument/2006/relationships/hyperlink" Target="https://en.wikipedia.org/wiki/Mark_Batinick" TargetMode="External"/><Relationship Id="rId76" Type="http://schemas.openxmlformats.org/officeDocument/2006/relationships/hyperlink" Target="https://en.wikipedia.org/wiki/Sue_Scherer_(politician)" TargetMode="External"/><Relationship Id="rId79" Type="http://schemas.openxmlformats.org/officeDocument/2006/relationships/hyperlink" Target="https://en.wikipedia.org/wiki/C._D._Davidsmeyer" TargetMode="External"/><Relationship Id="rId78" Type="http://schemas.openxmlformats.org/officeDocument/2006/relationships/hyperlink" Target="https://en.wikipedia.org/wiki/Natalie_Manley" TargetMode="External"/><Relationship Id="rId71" Type="http://schemas.openxmlformats.org/officeDocument/2006/relationships/hyperlink" Target="https://en.wikipedia.org/wiki/Tom_Demmer" TargetMode="External"/><Relationship Id="rId70" Type="http://schemas.openxmlformats.org/officeDocument/2006/relationships/hyperlink" Target="https://en.wikipedia.org/wiki/Keith_P._Sommer" TargetMode="External"/><Relationship Id="rId62" Type="http://schemas.openxmlformats.org/officeDocument/2006/relationships/hyperlink" Target="https://en.wikipedia.org/wiki/Anthony_DeLuca_(Illinois_politician)" TargetMode="External"/><Relationship Id="rId61" Type="http://schemas.openxmlformats.org/officeDocument/2006/relationships/hyperlink" Target="https://en.wikipedia.org/wiki/Lindsay_Parkhurst" TargetMode="External"/><Relationship Id="rId64" Type="http://schemas.openxmlformats.org/officeDocument/2006/relationships/hyperlink" Target="https://en.wikipedia.org/wiki/Jim_Durkin" TargetMode="External"/><Relationship Id="rId63" Type="http://schemas.openxmlformats.org/officeDocument/2006/relationships/hyperlink" Target="https://en.wikipedia.org/wiki/David_S._Olsen" TargetMode="External"/><Relationship Id="rId66" Type="http://schemas.openxmlformats.org/officeDocument/2006/relationships/hyperlink" Target="https://en.wikipedia.org/wiki/Stephanie_Kifowit" TargetMode="External"/><Relationship Id="rId65" Type="http://schemas.openxmlformats.org/officeDocument/2006/relationships/hyperlink" Target="https://en.wikipedia.org/wiki/Linda_Chapa_LaVia" TargetMode="External"/><Relationship Id="rId68" Type="http://schemas.openxmlformats.org/officeDocument/2006/relationships/hyperlink" Target="https://en.wikipedia.org/wiki/Lawrence_M._Walsh,_Jr." TargetMode="External"/><Relationship Id="rId67" Type="http://schemas.openxmlformats.org/officeDocument/2006/relationships/hyperlink" Target="https://en.wikipedia.org/wiki/John_Connor_(Illinois_politician)" TargetMode="External"/><Relationship Id="rId60" Type="http://schemas.openxmlformats.org/officeDocument/2006/relationships/hyperlink" Target="https://en.wikipedia.org/wiki/Camille_Y._Lilly" TargetMode="External"/><Relationship Id="rId69" Type="http://schemas.openxmlformats.org/officeDocument/2006/relationships/hyperlink" Target="https://en.wikipedia.org/wiki/Tim_Butler_(politician)" TargetMode="External"/><Relationship Id="rId51" Type="http://schemas.openxmlformats.org/officeDocument/2006/relationships/hyperlink" Target="https://en.wikipedia.org/wiki/John_Cabello" TargetMode="External"/><Relationship Id="rId50" Type="http://schemas.openxmlformats.org/officeDocument/2006/relationships/hyperlink" Target="https://en.wikipedia.org/wiki/Allen_Skillicorn" TargetMode="External"/><Relationship Id="rId53" Type="http://schemas.openxmlformats.org/officeDocument/2006/relationships/hyperlink" Target="https://en.wikipedia.org/w/index.php?title=Jeff_Keicher&amp;action=edit&amp;redlink=1" TargetMode="External"/><Relationship Id="rId52" Type="http://schemas.openxmlformats.org/officeDocument/2006/relationships/hyperlink" Target="https://en.wikipedia.org/wiki/Joe_Sosnowski" TargetMode="External"/><Relationship Id="rId55" Type="http://schemas.openxmlformats.org/officeDocument/2006/relationships/hyperlink" Target="https://en.wikipedia.org/wiki/Michael_Halpin" TargetMode="External"/><Relationship Id="rId54" Type="http://schemas.openxmlformats.org/officeDocument/2006/relationships/hyperlink" Target="https://en.wikipedia.org/wiki/Tony_McCombie" TargetMode="External"/><Relationship Id="rId57" Type="http://schemas.openxmlformats.org/officeDocument/2006/relationships/hyperlink" Target="https://en.wikipedia.org/wiki/Daniel_Swanson" TargetMode="External"/><Relationship Id="rId56" Type="http://schemas.openxmlformats.org/officeDocument/2006/relationships/hyperlink" Target="https://en.wikipedia.org/wiki/Ryan_Spain" TargetMode="External"/><Relationship Id="rId59" Type="http://schemas.openxmlformats.org/officeDocument/2006/relationships/hyperlink" Target="https://en.wikipedia.org/wiki/Kathleen_Willis" TargetMode="External"/><Relationship Id="rId58" Type="http://schemas.openxmlformats.org/officeDocument/2006/relationships/hyperlink" Target="https://en.wikipedia.org/wiki/David_Welter" TargetMode="External"/><Relationship Id="rId107" Type="http://schemas.openxmlformats.org/officeDocument/2006/relationships/hyperlink" Target="https://en.wikipedia.org/wiki/Elgie_Sims" TargetMode="External"/><Relationship Id="rId106" Type="http://schemas.openxmlformats.org/officeDocument/2006/relationships/hyperlink" Target="https://en.wikipedia.org/wiki/Jacqueline_Y._Collins" TargetMode="External"/><Relationship Id="rId105" Type="http://schemas.openxmlformats.org/officeDocument/2006/relationships/hyperlink" Target="https://en.wikipedia.org/wiki/Napoleon_Harris" TargetMode="External"/><Relationship Id="rId104" Type="http://schemas.openxmlformats.org/officeDocument/2006/relationships/hyperlink" Target="https://en.wikipedia.org/wiki/Emil_Jones_III" TargetMode="External"/><Relationship Id="rId109" Type="http://schemas.openxmlformats.org/officeDocument/2006/relationships/hyperlink" Target="https://en.wikipedia.org/wiki/Michael_Hastings_(politician)" TargetMode="External"/><Relationship Id="rId108" Type="http://schemas.openxmlformats.org/officeDocument/2006/relationships/hyperlink" Target="https://en.wikipedia.org/wiki/William_Cunningham_(Illinois_politician)" TargetMode="External"/><Relationship Id="rId103" Type="http://schemas.openxmlformats.org/officeDocument/2006/relationships/hyperlink" Target="https://en.wikipedia.org/wiki/Kwame_Raoul" TargetMode="External"/><Relationship Id="rId102" Type="http://schemas.openxmlformats.org/officeDocument/2006/relationships/hyperlink" Target="https://en.wikipedia.org/wiki/Steven_Landek" TargetMode="External"/><Relationship Id="rId101" Type="http://schemas.openxmlformats.org/officeDocument/2006/relationships/hyperlink" Target="https://en.wikipedia.org/wiki/Martin_Sandoval" TargetMode="External"/><Relationship Id="rId100" Type="http://schemas.openxmlformats.org/officeDocument/2006/relationships/hyperlink" Target="https://en.wikipedia.org/wiki/John_G._Mulroe" TargetMode="External"/><Relationship Id="rId129" Type="http://schemas.openxmlformats.org/officeDocument/2006/relationships/hyperlink" Target="https://en.wikipedia.org/wiki/Toi_Hutchinson" TargetMode="External"/><Relationship Id="rId128" Type="http://schemas.openxmlformats.org/officeDocument/2006/relationships/hyperlink" Target="https://en.wikipedia.org/wiki/Don_Harmon" TargetMode="External"/><Relationship Id="rId127" Type="http://schemas.openxmlformats.org/officeDocument/2006/relationships/hyperlink" Target="https://en.wikipedia.org/wiki/Sue_Rezin" TargetMode="External"/><Relationship Id="rId126" Type="http://schemas.openxmlformats.org/officeDocument/2006/relationships/hyperlink" Target="https://en.wikipedia.org/wiki/Chuck_Weaver" TargetMode="External"/><Relationship Id="rId121" Type="http://schemas.openxmlformats.org/officeDocument/2006/relationships/hyperlink" Target="https://en.wikipedia.org/wiki/Pamela_Althoff" TargetMode="External"/><Relationship Id="rId120" Type="http://schemas.openxmlformats.org/officeDocument/2006/relationships/hyperlink" Target="https://en.wikipedia.org/wiki/Melinda_Bush" TargetMode="External"/><Relationship Id="rId125" Type="http://schemas.openxmlformats.org/officeDocument/2006/relationships/hyperlink" Target="https://en.wikipedia.org/wiki/Neil_Anderson_(Illinois_politician)" TargetMode="External"/><Relationship Id="rId124" Type="http://schemas.openxmlformats.org/officeDocument/2006/relationships/hyperlink" Target="https://en.wikipedia.org/wiki/Dave_Syverson" TargetMode="External"/><Relationship Id="rId123" Type="http://schemas.openxmlformats.org/officeDocument/2006/relationships/hyperlink" Target="https://en.wikipedia.org/wiki/Steve_Stadelman" TargetMode="External"/><Relationship Id="rId122" Type="http://schemas.openxmlformats.org/officeDocument/2006/relationships/hyperlink" Target="https://en.wikipedia.org/wiki/Karen_McConnaughay" TargetMode="External"/><Relationship Id="rId95" Type="http://schemas.openxmlformats.org/officeDocument/2006/relationships/hyperlink" Target="https://en.wikipedia.org/wiki/Mattie_Hunter" TargetMode="External"/><Relationship Id="rId94" Type="http://schemas.openxmlformats.org/officeDocument/2006/relationships/hyperlink" Target="https://en.wikipedia.org/wiki/Omar_Aquino" TargetMode="External"/><Relationship Id="rId97" Type="http://schemas.openxmlformats.org/officeDocument/2006/relationships/hyperlink" Target="https://en.wikipedia.org/wiki/Patricia_Van_Pelt" TargetMode="External"/><Relationship Id="rId96" Type="http://schemas.openxmlformats.org/officeDocument/2006/relationships/hyperlink" Target="https://en.wikipedia.org/wiki/Kimberly_A._Lightford" TargetMode="External"/><Relationship Id="rId99" Type="http://schemas.openxmlformats.org/officeDocument/2006/relationships/hyperlink" Target="https://en.wikipedia.org/wiki/Heather_Steans" TargetMode="External"/><Relationship Id="rId98" Type="http://schemas.openxmlformats.org/officeDocument/2006/relationships/hyperlink" Target="https://en.wikipedia.org/wiki/John_Cullerton" TargetMode="External"/><Relationship Id="rId91" Type="http://schemas.openxmlformats.org/officeDocument/2006/relationships/hyperlink" Target="https://en.wikipedia.org/wiki/Jerry_Costello_II" TargetMode="External"/><Relationship Id="rId90" Type="http://schemas.openxmlformats.org/officeDocument/2006/relationships/hyperlink" Target="https://en.wikipedia.org/wiki/Terri_Bryant" TargetMode="External"/><Relationship Id="rId93" Type="http://schemas.openxmlformats.org/officeDocument/2006/relationships/hyperlink" Target="https://en.wikipedia.org/wiki/Antonio_Munoz_(politician)" TargetMode="External"/><Relationship Id="rId92" Type="http://schemas.openxmlformats.org/officeDocument/2006/relationships/hyperlink" Target="https://en.wikipedia.org/wiki/Dave_Severin" TargetMode="External"/><Relationship Id="rId118" Type="http://schemas.openxmlformats.org/officeDocument/2006/relationships/hyperlink" Target="https://en.wikipedia.org/wiki/Julie_Morrison" TargetMode="External"/><Relationship Id="rId117" Type="http://schemas.openxmlformats.org/officeDocument/2006/relationships/hyperlink" Target="https://en.wikipedia.org/wiki/Laura_Murphy" TargetMode="External"/><Relationship Id="rId116" Type="http://schemas.openxmlformats.org/officeDocument/2006/relationships/hyperlink" Target="https://en.wikipedia.org/wiki/Dan_McConchie" TargetMode="External"/><Relationship Id="rId115" Type="http://schemas.openxmlformats.org/officeDocument/2006/relationships/hyperlink" Target="https://en.wikipedia.org/wiki/Jim_Oberweis" TargetMode="External"/><Relationship Id="rId119" Type="http://schemas.openxmlformats.org/officeDocument/2006/relationships/hyperlink" Target="https://en.wikipedia.org/wiki/Terry_Link" TargetMode="External"/><Relationship Id="rId110" Type="http://schemas.openxmlformats.org/officeDocument/2006/relationships/hyperlink" Target="https://en.wikipedia.org/wiki/Iris_Martinez" TargetMode="External"/><Relationship Id="rId114" Type="http://schemas.openxmlformats.org/officeDocument/2006/relationships/hyperlink" Target="https://en.wikipedia.org/wiki/Chris_Nybo" TargetMode="External"/><Relationship Id="rId113" Type="http://schemas.openxmlformats.org/officeDocument/2006/relationships/hyperlink" Target="https://en.wikipedia.org/wiki/Tom_Cullerton" TargetMode="External"/><Relationship Id="rId112" Type="http://schemas.openxmlformats.org/officeDocument/2006/relationships/hyperlink" Target="https://en.wikipedia.org/wiki/Cristina_Castro" TargetMode="External"/><Relationship Id="rId111" Type="http://schemas.openxmlformats.org/officeDocument/2006/relationships/hyperlink" Target="https://en.wikipedia.org/wiki/Michael_Connelly_(Illinois_politicia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en.wikipedia.org/wiki/Edmond_Soliday" TargetMode="External"/><Relationship Id="rId2" Type="http://schemas.openxmlformats.org/officeDocument/2006/relationships/hyperlink" Target="https://en.wikipedia.org/wiki/Ryan_Dvorak" TargetMode="External"/><Relationship Id="rId3" Type="http://schemas.openxmlformats.org/officeDocument/2006/relationships/hyperlink" Target="https://en.wikipedia.org/wiki/Charles_Moseley" TargetMode="External"/><Relationship Id="rId4" Type="http://schemas.openxmlformats.org/officeDocument/2006/relationships/hyperlink" Target="https://en.wikipedia.org/wiki/Michael_Aylesworth" TargetMode="External"/><Relationship Id="rId9" Type="http://schemas.openxmlformats.org/officeDocument/2006/relationships/hyperlink" Target="https://en.wikipedia.org/wiki/Douglas_Gutwein" TargetMode="External"/><Relationship Id="rId5" Type="http://schemas.openxmlformats.org/officeDocument/2006/relationships/hyperlink" Target="https://en.wikipedia.org/wiki/Mara_Candelaria_Reardon" TargetMode="External"/><Relationship Id="rId6" Type="http://schemas.openxmlformats.org/officeDocument/2006/relationships/hyperlink" Target="https://en.wikipedia.org/wiki/Sharon_Negele" TargetMode="External"/><Relationship Id="rId7" Type="http://schemas.openxmlformats.org/officeDocument/2006/relationships/hyperlink" Target="https://en.wikipedia.org/wiki/Vernon_Smith_(Indiana_politician)" TargetMode="External"/><Relationship Id="rId8" Type="http://schemas.openxmlformats.org/officeDocument/2006/relationships/hyperlink" Target="https://en.wikipedia.org/wiki/Hal_Slager" TargetMode="External"/><Relationship Id="rId40" Type="http://schemas.openxmlformats.org/officeDocument/2006/relationships/hyperlink" Target="https://en.wikipedia.org/wiki/Mike_Speedy" TargetMode="External"/><Relationship Id="rId42" Type="http://schemas.openxmlformats.org/officeDocument/2006/relationships/hyperlink" Target="https://en.wikipedia.org/wiki/Karlee_Macer" TargetMode="External"/><Relationship Id="rId41" Type="http://schemas.openxmlformats.org/officeDocument/2006/relationships/hyperlink" Target="https://en.wikipedia.org/wiki/Robert_Behning" TargetMode="External"/><Relationship Id="rId44" Type="http://schemas.openxmlformats.org/officeDocument/2006/relationships/hyperlink" Target="https://en.wikipedia.org/wiki/Cherrish_Pryor" TargetMode="External"/><Relationship Id="rId43" Type="http://schemas.openxmlformats.org/officeDocument/2006/relationships/hyperlink" Target="https://en.wikipedia.org/wiki/David_Frizzell_(Indiana_politician)" TargetMode="External"/><Relationship Id="rId46" Type="http://schemas.openxmlformats.org/officeDocument/2006/relationships/hyperlink" Target="https://en.wikipedia.org/wiki/Greg_Porter" TargetMode="External"/><Relationship Id="rId45" Type="http://schemas.openxmlformats.org/officeDocument/2006/relationships/hyperlink" Target="https://en.wikipedia.org/wiki/John_Bartlett_(Indiana_politician)" TargetMode="External"/><Relationship Id="rId48" Type="http://schemas.openxmlformats.org/officeDocument/2006/relationships/hyperlink" Target="https://en.wikipedia.org/wiki/Vanessa_Summers" TargetMode="External"/><Relationship Id="rId47" Type="http://schemas.openxmlformats.org/officeDocument/2006/relationships/hyperlink" Target="https://en.wikipedia.org/wiki/Justin_Moed" TargetMode="External"/><Relationship Id="rId49" Type="http://schemas.openxmlformats.org/officeDocument/2006/relationships/hyperlink" Target="https://en.wikipedia.org/wiki/Dan_Forestal" TargetMode="External"/><Relationship Id="rId31" Type="http://schemas.openxmlformats.org/officeDocument/2006/relationships/hyperlink" Target="https://en.wikipedia.org/wiki/Matt_Pierce" TargetMode="External"/><Relationship Id="rId30" Type="http://schemas.openxmlformats.org/officeDocument/2006/relationships/hyperlink" Target="https://en.wikipedia.org/wiki/Woody_Burton" TargetMode="External"/><Relationship Id="rId33" Type="http://schemas.openxmlformats.org/officeDocument/2006/relationships/hyperlink" Target="https://en.wikipedia.org/wiki/Edward_Clere" TargetMode="External"/><Relationship Id="rId32" Type="http://schemas.openxmlformats.org/officeDocument/2006/relationships/hyperlink" Target="https://en.wikipedia.org/wiki/Terry_Goodin" TargetMode="External"/><Relationship Id="rId35" Type="http://schemas.openxmlformats.org/officeDocument/2006/relationships/hyperlink" Target="https://en.wikipedia.org/wiki/Wendy_McNamara" TargetMode="External"/><Relationship Id="rId34" Type="http://schemas.openxmlformats.org/officeDocument/2006/relationships/hyperlink" Target="https://en.wikipedia.org/wiki/Ronald_Bacon" TargetMode="External"/><Relationship Id="rId37" Type="http://schemas.openxmlformats.org/officeDocument/2006/relationships/hyperlink" Target="https://en.wikipedia.org/wiki/Edward_DeLaney" TargetMode="External"/><Relationship Id="rId36" Type="http://schemas.openxmlformats.org/officeDocument/2006/relationships/hyperlink" Target="https://en.wikipedia.org/wiki/Phil_GiaQuinta" TargetMode="External"/><Relationship Id="rId39" Type="http://schemas.openxmlformats.org/officeDocument/2006/relationships/hyperlink" Target="https://en.wikipedia.org/wiki/Cindy_Kirchhofer" TargetMode="External"/><Relationship Id="rId38" Type="http://schemas.openxmlformats.org/officeDocument/2006/relationships/hyperlink" Target="https://en.wikipedia.org/wiki/Brian_Bosma" TargetMode="External"/><Relationship Id="rId20" Type="http://schemas.openxmlformats.org/officeDocument/2006/relationships/hyperlink" Target="https://en.wikipedia.org/wiki/Jerry_Torr" TargetMode="External"/><Relationship Id="rId22" Type="http://schemas.openxmlformats.org/officeDocument/2006/relationships/hyperlink" Target="https://en.wikipedia.org/wiki/Bruce_Borders" TargetMode="External"/><Relationship Id="rId21" Type="http://schemas.openxmlformats.org/officeDocument/2006/relationships/hyperlink" Target="https://en.wikipedia.org/wiki/Tim_Brown_(Indiana_politician)" TargetMode="External"/><Relationship Id="rId24" Type="http://schemas.openxmlformats.org/officeDocument/2006/relationships/hyperlink" Target="https://en.wikipedia.org/w/index.php?title=Douglas_Miller_(Indiana_politician)&amp;action=edit&amp;redlink=1" TargetMode="External"/><Relationship Id="rId23" Type="http://schemas.openxmlformats.org/officeDocument/2006/relationships/hyperlink" Target="https://en.wikipedia.org/wiki/Bob_Heaton" TargetMode="External"/><Relationship Id="rId26" Type="http://schemas.openxmlformats.org/officeDocument/2006/relationships/hyperlink" Target="https://en.wikipedia.org/wiki/Bob_Cherry_(politician)" TargetMode="External"/><Relationship Id="rId25" Type="http://schemas.openxmlformats.org/officeDocument/2006/relationships/hyperlink" Target="https://en.wikipedia.org/wiki/Dan_Leonard" TargetMode="External"/><Relationship Id="rId28" Type="http://schemas.openxmlformats.org/officeDocument/2006/relationships/hyperlink" Target="https://en.wikipedia.org/wiki/Cindy_Ziemke" TargetMode="External"/><Relationship Id="rId27" Type="http://schemas.openxmlformats.org/officeDocument/2006/relationships/hyperlink" Target="https://en.wikipedia.org/wiki/Thomas_E._Saunders" TargetMode="External"/><Relationship Id="rId29" Type="http://schemas.openxmlformats.org/officeDocument/2006/relationships/hyperlink" Target="https://en.wikipedia.org/wiki/Sean_Eberhart" TargetMode="External"/><Relationship Id="rId11" Type="http://schemas.openxmlformats.org/officeDocument/2006/relationships/hyperlink" Target="https://en.wikipedia.org/wiki/Timothy_Wesco" TargetMode="External"/><Relationship Id="rId10" Type="http://schemas.openxmlformats.org/officeDocument/2006/relationships/hyperlink" Target="https://en.wikipedia.org/wiki/David_Wolkins" TargetMode="External"/><Relationship Id="rId13" Type="http://schemas.openxmlformats.org/officeDocument/2006/relationships/hyperlink" Target="https://en.wikipedia.org/wiki/Donald_Lehe" TargetMode="External"/><Relationship Id="rId12" Type="http://schemas.openxmlformats.org/officeDocument/2006/relationships/hyperlink" Target="https://en.wikipedia.org/w/index.php?title=Donna_Schaibley&amp;action=edit&amp;redlink=1" TargetMode="External"/><Relationship Id="rId15" Type="http://schemas.openxmlformats.org/officeDocument/2006/relationships/hyperlink" Target="https://en.wikipedia.org/wiki/Jeff_Thompson_(politician)" TargetMode="External"/><Relationship Id="rId14" Type="http://schemas.openxmlformats.org/officeDocument/2006/relationships/hyperlink" Target="https://en.wikipedia.org/wiki/Sheila_Klinker" TargetMode="External"/><Relationship Id="rId17" Type="http://schemas.openxmlformats.org/officeDocument/2006/relationships/hyperlink" Target="https://en.wikipedia.org/wiki/Sue_Errington" TargetMode="External"/><Relationship Id="rId16" Type="http://schemas.openxmlformats.org/officeDocument/2006/relationships/hyperlink" Target="https://en.wikipedia.org/wiki/Michael_Karickhoff" TargetMode="External"/><Relationship Id="rId19" Type="http://schemas.openxmlformats.org/officeDocument/2006/relationships/hyperlink" Target="https://en.wikipedia.org/wiki/Heath_VanNatter" TargetMode="External"/><Relationship Id="rId18" Type="http://schemas.openxmlformats.org/officeDocument/2006/relationships/hyperlink" Target="https://en.wikipedia.org/wiki/Terri_Austin" TargetMode="External"/><Relationship Id="rId84" Type="http://schemas.openxmlformats.org/officeDocument/2006/relationships/hyperlink" Target="https://en.wikipedia.org/wiki/Erin_Houchin" TargetMode="External"/><Relationship Id="rId83" Type="http://schemas.openxmlformats.org/officeDocument/2006/relationships/hyperlink" Target="https://en.wikipedia.org/wiki/Ron_Grooms" TargetMode="External"/><Relationship Id="rId86" Type="http://schemas.openxmlformats.org/officeDocument/2006/relationships/hyperlink" Target="https://en.wikipedia.org/wiki/Jim_Tomes" TargetMode="External"/><Relationship Id="rId85" Type="http://schemas.openxmlformats.org/officeDocument/2006/relationships/hyperlink" Target="https://en.wikipedia.org/wiki/Mark_Messmer" TargetMode="External"/><Relationship Id="rId88" Type="http://schemas.openxmlformats.org/officeDocument/2006/relationships/drawing" Target="../drawings/drawing15.xml"/><Relationship Id="rId87" Type="http://schemas.openxmlformats.org/officeDocument/2006/relationships/hyperlink" Target="https://en.wikipedia.org/wiki/Vaneta_Becker" TargetMode="External"/><Relationship Id="rId80" Type="http://schemas.openxmlformats.org/officeDocument/2006/relationships/hyperlink" Target="https://en.wikipedia.org/wiki/Jean_Leising" TargetMode="External"/><Relationship Id="rId82" Type="http://schemas.openxmlformats.org/officeDocument/2006/relationships/hyperlink" Target="https://en.wikipedia.org/wiki/Eric_Koch_(politician)" TargetMode="External"/><Relationship Id="rId81" Type="http://schemas.openxmlformats.org/officeDocument/2006/relationships/hyperlink" Target="https://en.wikipedia.org/wiki/Chip_Perfect" TargetMode="External"/><Relationship Id="rId73" Type="http://schemas.openxmlformats.org/officeDocument/2006/relationships/hyperlink" Target="https://en.wikipedia.org/wiki/Greg_Taylor_(Indiana_politician)" TargetMode="External"/><Relationship Id="rId72" Type="http://schemas.openxmlformats.org/officeDocument/2006/relationships/hyperlink" Target="https://en.wikipedia.org/wiki/Aaron_Freeman_(Indiana_politician)" TargetMode="External"/><Relationship Id="rId75" Type="http://schemas.openxmlformats.org/officeDocument/2006/relationships/hyperlink" Target="https://en.wikipedia.org/wiki/Jack_Sandlin" TargetMode="External"/><Relationship Id="rId74" Type="http://schemas.openxmlformats.org/officeDocument/2006/relationships/hyperlink" Target="https://en.wikipedia.org/wiki/Jean_Breaux" TargetMode="External"/><Relationship Id="rId77" Type="http://schemas.openxmlformats.org/officeDocument/2006/relationships/hyperlink" Target="https://en.wikipedia.org/wiki/Jon_Ford_(American_politician)" TargetMode="External"/><Relationship Id="rId76" Type="http://schemas.openxmlformats.org/officeDocument/2006/relationships/hyperlink" Target="https://en.wikipedia.org/wiki/Rodric_Bray" TargetMode="External"/><Relationship Id="rId79" Type="http://schemas.openxmlformats.org/officeDocument/2006/relationships/hyperlink" Target="https://en.wikipedia.org/wiki/Greg_Walker_(Indiana_politician)" TargetMode="External"/><Relationship Id="rId78" Type="http://schemas.openxmlformats.org/officeDocument/2006/relationships/hyperlink" Target="https://en.wikipedia.org/wiki/Mark_Stoops_(Indiana)" TargetMode="External"/><Relationship Id="rId71" Type="http://schemas.openxmlformats.org/officeDocument/2006/relationships/hyperlink" Target="https://en.wikipedia.org/wiki/James_W._Merritt" TargetMode="External"/><Relationship Id="rId70" Type="http://schemas.openxmlformats.org/officeDocument/2006/relationships/hyperlink" Target="https://en.wikipedia.org/wiki/John_Ruckelshaus" TargetMode="External"/><Relationship Id="rId62" Type="http://schemas.openxmlformats.org/officeDocument/2006/relationships/hyperlink" Target="https://en.wikipedia.org/wiki/Randall_Head" TargetMode="External"/><Relationship Id="rId61" Type="http://schemas.openxmlformats.org/officeDocument/2006/relationships/hyperlink" Target="https://en.wikipedia.org/wiki/David_C._Long" TargetMode="External"/><Relationship Id="rId64" Type="http://schemas.openxmlformats.org/officeDocument/2006/relationships/hyperlink" Target="https://en.wikipedia.org/wiki/James_R._Buck" TargetMode="External"/><Relationship Id="rId63" Type="http://schemas.openxmlformats.org/officeDocument/2006/relationships/hyperlink" Target="https://en.wikipedia.org/wiki/Travis_Holdman" TargetMode="External"/><Relationship Id="rId66" Type="http://schemas.openxmlformats.org/officeDocument/2006/relationships/hyperlink" Target="https://en.wikipedia.org/wiki/Phil_Boots" TargetMode="External"/><Relationship Id="rId65" Type="http://schemas.openxmlformats.org/officeDocument/2006/relationships/hyperlink" Target="https://en.wikipedia.org/wiki/Ronnie_Alting" TargetMode="External"/><Relationship Id="rId68" Type="http://schemas.openxmlformats.org/officeDocument/2006/relationships/hyperlink" Target="https://en.wikipedia.org/wiki/Michael_Crider" TargetMode="External"/><Relationship Id="rId67" Type="http://schemas.openxmlformats.org/officeDocument/2006/relationships/hyperlink" Target="https://en.wikipedia.org/wiki/Timothy_Lanane" TargetMode="External"/><Relationship Id="rId60" Type="http://schemas.openxmlformats.org/officeDocument/2006/relationships/hyperlink" Target="https://en.wikipedia.org/wiki/Liz_Brown_(politician)" TargetMode="External"/><Relationship Id="rId69" Type="http://schemas.openxmlformats.org/officeDocument/2006/relationships/hyperlink" Target="https://www.theindychannel.com/news/local-news/crime/bill-would-create-system-to-track-indianas-backlog-of-untested-rape-kits" TargetMode="External"/><Relationship Id="rId51" Type="http://schemas.openxmlformats.org/officeDocument/2006/relationships/hyperlink" Target="https://en.wikipedia.org/wiki/Frank_Mrvan" TargetMode="External"/><Relationship Id="rId50" Type="http://schemas.openxmlformats.org/officeDocument/2006/relationships/hyperlink" Target="https://en.wikipedia.org/wiki/Indiana_State_Senate_1st_District" TargetMode="External"/><Relationship Id="rId53" Type="http://schemas.openxmlformats.org/officeDocument/2006/relationships/hyperlink" Target="https://en.wikipedia.org/wiki/Karen_Tallian" TargetMode="External"/><Relationship Id="rId52" Type="http://schemas.openxmlformats.org/officeDocument/2006/relationships/hyperlink" Target="https://en.wikipedia.org/wiki/Lonnie_Randolph_(Indiana_politician)" TargetMode="External"/><Relationship Id="rId55" Type="http://schemas.openxmlformats.org/officeDocument/2006/relationships/hyperlink" Target="https://en.wikipedia.org/wiki/Rick_Niemeyer" TargetMode="External"/><Relationship Id="rId54" Type="http://schemas.openxmlformats.org/officeDocument/2006/relationships/hyperlink" Target="https://en.wikipedia.org/wiki/Ed_Charbonneau" TargetMode="External"/><Relationship Id="rId57" Type="http://schemas.openxmlformats.org/officeDocument/2006/relationships/hyperlink" Target="https://en.wikipedia.org/wiki/David_L._Niezgodski" TargetMode="External"/><Relationship Id="rId56" Type="http://schemas.openxmlformats.org/officeDocument/2006/relationships/hyperlink" Target="https://en.wikipedia.org/wiki/Ryan_Mishler" TargetMode="External"/><Relationship Id="rId59" Type="http://schemas.openxmlformats.org/officeDocument/2006/relationships/hyperlink" Target="https://en.wikipedia.org/wiki/Dennis_Kruse" TargetMode="External"/><Relationship Id="rId58" Type="http://schemas.openxmlformats.org/officeDocument/2006/relationships/hyperlink" Target="https://en.wikipedia.org/wiki/Sue_Glick" TargetMode="External"/></Relationships>
</file>

<file path=xl/worksheets/_rels/sheet16.xml.rels><?xml version="1.0" encoding="UTF-8" standalone="yes"?><Relationships xmlns="http://schemas.openxmlformats.org/package/2006/relationships"><Relationship Id="rId190" Type="http://schemas.openxmlformats.org/officeDocument/2006/relationships/hyperlink" Target="https://ballotpedia.org/David_Maxwell" TargetMode="External"/><Relationship Id="rId194" Type="http://schemas.openxmlformats.org/officeDocument/2006/relationships/hyperlink" Target="mailto:Amy.Nielsen@legis.iowa.gov" TargetMode="External"/><Relationship Id="rId193" Type="http://schemas.openxmlformats.org/officeDocument/2006/relationships/hyperlink" Target="https://ballotpedia.org/Amy_Nielsen" TargetMode="External"/><Relationship Id="rId192" Type="http://schemas.openxmlformats.org/officeDocument/2006/relationships/hyperlink" Target="https://ballotpedia.org/Iowa_House_of_Representatives_District_77" TargetMode="External"/><Relationship Id="rId191" Type="http://schemas.openxmlformats.org/officeDocument/2006/relationships/hyperlink" Target="mailto:dave.maxwell@legis.iowa.gov" TargetMode="External"/><Relationship Id="rId187" Type="http://schemas.openxmlformats.org/officeDocument/2006/relationships/hyperlink" Target="mailto:david.jacoby@legis.iowa.gov" TargetMode="External"/><Relationship Id="rId186" Type="http://schemas.openxmlformats.org/officeDocument/2006/relationships/hyperlink" Target="https://ballotpedia.org/David_Jacoby" TargetMode="External"/><Relationship Id="rId185" Type="http://schemas.openxmlformats.org/officeDocument/2006/relationships/hyperlink" Target="https://ballotpedia.org/Iowa_House_of_Representatives_District_74" TargetMode="External"/><Relationship Id="rId184" Type="http://schemas.openxmlformats.org/officeDocument/2006/relationships/hyperlink" Target="mailto:bobby.kaufmann@legis.iowa.gov" TargetMode="External"/><Relationship Id="rId189" Type="http://schemas.openxmlformats.org/officeDocument/2006/relationships/hyperlink" Target="https://ballotpedia.org/Iowa_House_of_Representatives_District_76" TargetMode="External"/><Relationship Id="rId188" Type="http://schemas.openxmlformats.org/officeDocument/2006/relationships/hyperlink" Target="https://ballotpedia.org/Iowa_House_of_Representatives_District_75" TargetMode="External"/><Relationship Id="rId183" Type="http://schemas.openxmlformats.org/officeDocument/2006/relationships/hyperlink" Target="https://ballotpedia.org/Bobby_Kaufmann" TargetMode="External"/><Relationship Id="rId182" Type="http://schemas.openxmlformats.org/officeDocument/2006/relationships/hyperlink" Target="https://ballotpedia.org/Iowa_House_of_Representatives_District_73" TargetMode="External"/><Relationship Id="rId181" Type="http://schemas.openxmlformats.org/officeDocument/2006/relationships/hyperlink" Target="mailto:dean.fisher@legis.iowa.gov" TargetMode="External"/><Relationship Id="rId180" Type="http://schemas.openxmlformats.org/officeDocument/2006/relationships/hyperlink" Target="https://ballotpedia.org/Dean_Fisher" TargetMode="External"/><Relationship Id="rId176" Type="http://schemas.openxmlformats.org/officeDocument/2006/relationships/hyperlink" Target="https://ballotpedia.org/Iowa_House_of_Representatives_District_70" TargetMode="External"/><Relationship Id="rId297" Type="http://schemas.openxmlformats.org/officeDocument/2006/relationships/hyperlink" Target="https://ballotpedia.org/Iowa_State_Senate_District_18" TargetMode="External"/><Relationship Id="rId175" Type="http://schemas.openxmlformats.org/officeDocument/2006/relationships/hyperlink" Target="https://ballotpedia.org/Kirsten_Running-Marquardt" TargetMode="External"/><Relationship Id="rId296" Type="http://schemas.openxmlformats.org/officeDocument/2006/relationships/hyperlink" Target="mailto:tony.bisignano@legis.iowa.gov" TargetMode="External"/><Relationship Id="rId174" Type="http://schemas.openxmlformats.org/officeDocument/2006/relationships/hyperlink" Target="https://ballotpedia.org/Iowa_House_of_Representatives_District_69" TargetMode="External"/><Relationship Id="rId295" Type="http://schemas.openxmlformats.org/officeDocument/2006/relationships/hyperlink" Target="https://ballotpedia.org/Tony_Bisignano" TargetMode="External"/><Relationship Id="rId173" Type="http://schemas.openxmlformats.org/officeDocument/2006/relationships/hyperlink" Target="https://ballotpedia.org/Iowa_House_of_Representatives_District_68" TargetMode="External"/><Relationship Id="rId294" Type="http://schemas.openxmlformats.org/officeDocument/2006/relationships/hyperlink" Target="https://ballotpedia.org/Iowa_State_Senate_District_17" TargetMode="External"/><Relationship Id="rId179" Type="http://schemas.openxmlformats.org/officeDocument/2006/relationships/hyperlink" Target="https://ballotpedia.org/Iowa_House_of_Representatives_District_72" TargetMode="External"/><Relationship Id="rId178" Type="http://schemas.openxmlformats.org/officeDocument/2006/relationships/hyperlink" Target="https://ballotpedia.org/Mark_Smith_(Iowa)" TargetMode="External"/><Relationship Id="rId299" Type="http://schemas.openxmlformats.org/officeDocument/2006/relationships/hyperlink" Target="mailto:janet.petersen@legis.iowa.gov" TargetMode="External"/><Relationship Id="rId177" Type="http://schemas.openxmlformats.org/officeDocument/2006/relationships/hyperlink" Target="https://ballotpedia.org/Iowa_House_of_Representatives_District_71" TargetMode="External"/><Relationship Id="rId298" Type="http://schemas.openxmlformats.org/officeDocument/2006/relationships/hyperlink" Target="https://ballotpedia.org/Janet_Petersen" TargetMode="External"/><Relationship Id="rId198" Type="http://schemas.openxmlformats.org/officeDocument/2006/relationships/hyperlink" Target="https://ballotpedia.org/Iowa_House_of_Representatives_District_79" TargetMode="External"/><Relationship Id="rId197" Type="http://schemas.openxmlformats.org/officeDocument/2006/relationships/hyperlink" Target="mailto:jarad.klein@legis.iowa.gov" TargetMode="External"/><Relationship Id="rId196" Type="http://schemas.openxmlformats.org/officeDocument/2006/relationships/hyperlink" Target="https://ballotpedia.org/Jarad_Klein" TargetMode="External"/><Relationship Id="rId195" Type="http://schemas.openxmlformats.org/officeDocument/2006/relationships/hyperlink" Target="https://ballotpedia.org/Iowa_House_of_Representatives_District_78" TargetMode="External"/><Relationship Id="rId199" Type="http://schemas.openxmlformats.org/officeDocument/2006/relationships/hyperlink" Target="https://ballotpedia.org/Iowa_House_of_Representatives_District_80" TargetMode="External"/><Relationship Id="rId150" Type="http://schemas.openxmlformats.org/officeDocument/2006/relationships/hyperlink" Target="mailto:bob.kressig@legis.iowa.gov" TargetMode="External"/><Relationship Id="rId271" Type="http://schemas.openxmlformats.org/officeDocument/2006/relationships/hyperlink" Target="mailto:dan.dawson@legis.iowa.gov" TargetMode="External"/><Relationship Id="rId270" Type="http://schemas.openxmlformats.org/officeDocument/2006/relationships/hyperlink" Target="https://ballotpedia.org/Dan_Dawson" TargetMode="External"/><Relationship Id="rId1" Type="http://schemas.openxmlformats.org/officeDocument/2006/relationships/hyperlink" Target="https://ballotpedia.org/Iowa_House_of_Representatives_District_1" TargetMode="External"/><Relationship Id="rId2" Type="http://schemas.openxmlformats.org/officeDocument/2006/relationships/hyperlink" Target="https://ballotpedia.org/John_H._Wills" TargetMode="External"/><Relationship Id="rId3" Type="http://schemas.openxmlformats.org/officeDocument/2006/relationships/hyperlink" Target="https://ballotpedia.org/Iowa_House_of_Representatives_District_2" TargetMode="External"/><Relationship Id="rId149" Type="http://schemas.openxmlformats.org/officeDocument/2006/relationships/hyperlink" Target="https://ballotpedia.org/Bob_Kressig" TargetMode="External"/><Relationship Id="rId4" Type="http://schemas.openxmlformats.org/officeDocument/2006/relationships/hyperlink" Target="https://ballotpedia.org/Megan_Jones" TargetMode="External"/><Relationship Id="rId148" Type="http://schemas.openxmlformats.org/officeDocument/2006/relationships/hyperlink" Target="https://ballotpedia.org/Iowa_House_of_Representatives_District_59" TargetMode="External"/><Relationship Id="rId269" Type="http://schemas.openxmlformats.org/officeDocument/2006/relationships/hyperlink" Target="https://ballotpedia.org/Iowa_State_Senate_District_8" TargetMode="External"/><Relationship Id="rId9" Type="http://schemas.openxmlformats.org/officeDocument/2006/relationships/hyperlink" Target="https://ballotpedia.org/Iowa_House_of_Representatives_District_4" TargetMode="External"/><Relationship Id="rId143" Type="http://schemas.openxmlformats.org/officeDocument/2006/relationships/hyperlink" Target="https://ballotpedia.org/Shannon_Lundgren" TargetMode="External"/><Relationship Id="rId264" Type="http://schemas.openxmlformats.org/officeDocument/2006/relationships/hyperlink" Target="mailto:tim.kraayenbrink@legis.iowa.gov" TargetMode="External"/><Relationship Id="rId142" Type="http://schemas.openxmlformats.org/officeDocument/2006/relationships/hyperlink" Target="https://ballotpedia.org/Iowa_House_of_Representatives_District_57" TargetMode="External"/><Relationship Id="rId263" Type="http://schemas.openxmlformats.org/officeDocument/2006/relationships/hyperlink" Target="https://ballotpedia.org/Tim_Kraayenbrink" TargetMode="External"/><Relationship Id="rId384" Type="http://schemas.openxmlformats.org/officeDocument/2006/relationships/drawing" Target="../drawings/drawing16.xml"/><Relationship Id="rId141" Type="http://schemas.openxmlformats.org/officeDocument/2006/relationships/hyperlink" Target="https://ballotpedia.org/Iowa_House_of_Representatives_District_56" TargetMode="External"/><Relationship Id="rId262" Type="http://schemas.openxmlformats.org/officeDocument/2006/relationships/hyperlink" Target="https://ballotpedia.org/Iowa_State_Senate_District_5" TargetMode="External"/><Relationship Id="rId383" Type="http://schemas.openxmlformats.org/officeDocument/2006/relationships/hyperlink" Target="mailto:pam.jochum@legis.iowa.gov" TargetMode="External"/><Relationship Id="rId140" Type="http://schemas.openxmlformats.org/officeDocument/2006/relationships/hyperlink" Target="mailto:Michael.Bergan@legis.iowa.gov" TargetMode="External"/><Relationship Id="rId261" Type="http://schemas.openxmlformats.org/officeDocument/2006/relationships/hyperlink" Target="mailto:dennis.guth@legis.iowa.gov" TargetMode="External"/><Relationship Id="rId382" Type="http://schemas.openxmlformats.org/officeDocument/2006/relationships/hyperlink" Target="https://ballotpedia.org/Pam_Jochum" TargetMode="External"/><Relationship Id="rId5" Type="http://schemas.openxmlformats.org/officeDocument/2006/relationships/hyperlink" Target="mailto:megan.jones@legis.iowa.gov" TargetMode="External"/><Relationship Id="rId147" Type="http://schemas.openxmlformats.org/officeDocument/2006/relationships/hyperlink" Target="mailto:Andy.McKean@legis.iowa.gov" TargetMode="External"/><Relationship Id="rId268" Type="http://schemas.openxmlformats.org/officeDocument/2006/relationships/hyperlink" Target="https://ballotpedia.org/Iowa_State_Senate_District_7" TargetMode="External"/><Relationship Id="rId6" Type="http://schemas.openxmlformats.org/officeDocument/2006/relationships/hyperlink" Target="https://ballotpedia.org/Iowa_House_of_Representatives_District_3" TargetMode="External"/><Relationship Id="rId146" Type="http://schemas.openxmlformats.org/officeDocument/2006/relationships/hyperlink" Target="https://ballotpedia.org/Andy_McKean" TargetMode="External"/><Relationship Id="rId267" Type="http://schemas.openxmlformats.org/officeDocument/2006/relationships/hyperlink" Target="mailto:mark.segebart@legis.iowa.gov" TargetMode="External"/><Relationship Id="rId7" Type="http://schemas.openxmlformats.org/officeDocument/2006/relationships/hyperlink" Target="https://ballotpedia.org/Daniel_Huseman" TargetMode="External"/><Relationship Id="rId145" Type="http://schemas.openxmlformats.org/officeDocument/2006/relationships/hyperlink" Target="https://ballotpedia.org/Iowa_House_of_Representatives_District_58" TargetMode="External"/><Relationship Id="rId266" Type="http://schemas.openxmlformats.org/officeDocument/2006/relationships/hyperlink" Target="https://ballotpedia.org/Mark_Segebart" TargetMode="External"/><Relationship Id="rId8" Type="http://schemas.openxmlformats.org/officeDocument/2006/relationships/hyperlink" Target="mailto:dan.huseman@legis.iowa.gov" TargetMode="External"/><Relationship Id="rId144" Type="http://schemas.openxmlformats.org/officeDocument/2006/relationships/hyperlink" Target="mailto:Shannon.Lundgren@legis.iowa.gov" TargetMode="External"/><Relationship Id="rId265" Type="http://schemas.openxmlformats.org/officeDocument/2006/relationships/hyperlink" Target="https://ballotpedia.org/Iowa_State_Senate_District_6" TargetMode="External"/><Relationship Id="rId260" Type="http://schemas.openxmlformats.org/officeDocument/2006/relationships/hyperlink" Target="https://ballotpedia.org/Dennis_Guth" TargetMode="External"/><Relationship Id="rId381" Type="http://schemas.openxmlformats.org/officeDocument/2006/relationships/hyperlink" Target="https://ballotpedia.org/Iowa_State_Senate_District_50" TargetMode="External"/><Relationship Id="rId380" Type="http://schemas.openxmlformats.org/officeDocument/2006/relationships/hyperlink" Target="https://ballotpedia.org/Iowa_State_Senate_District_49" TargetMode="External"/><Relationship Id="rId139" Type="http://schemas.openxmlformats.org/officeDocument/2006/relationships/hyperlink" Target="https://ballotpedia.org/Michael_Bergan" TargetMode="External"/><Relationship Id="rId138" Type="http://schemas.openxmlformats.org/officeDocument/2006/relationships/hyperlink" Target="https://ballotpedia.org/Iowa_House_of_Representatives_District_55" TargetMode="External"/><Relationship Id="rId259" Type="http://schemas.openxmlformats.org/officeDocument/2006/relationships/hyperlink" Target="https://ballotpedia.org/Iowa_State_Senate_District_4" TargetMode="External"/><Relationship Id="rId137" Type="http://schemas.openxmlformats.org/officeDocument/2006/relationships/hyperlink" Target="mailto:linda.upmeyer@legis.iowa.gov" TargetMode="External"/><Relationship Id="rId258" Type="http://schemas.openxmlformats.org/officeDocument/2006/relationships/hyperlink" Target="mailto:jim.carlin@legis.iowa.gov" TargetMode="External"/><Relationship Id="rId379" Type="http://schemas.openxmlformats.org/officeDocument/2006/relationships/hyperlink" Target="mailto:dan.zumbach@legis.iowa.gov" TargetMode="External"/><Relationship Id="rId132" Type="http://schemas.openxmlformats.org/officeDocument/2006/relationships/hyperlink" Target="https://ballotpedia.org/Iowa_House_of_Representatives_District_53" TargetMode="External"/><Relationship Id="rId253" Type="http://schemas.openxmlformats.org/officeDocument/2006/relationships/hyperlink" Target="https://ballotpedia.org/Iowa_State_Senate_District_2" TargetMode="External"/><Relationship Id="rId374" Type="http://schemas.openxmlformats.org/officeDocument/2006/relationships/hyperlink" Target="https://ballotpedia.org/Iowa_State_Senate_District_47" TargetMode="External"/><Relationship Id="rId131" Type="http://schemas.openxmlformats.org/officeDocument/2006/relationships/hyperlink" Target="mailto:todd.prichard@legis.iowa.gov" TargetMode="External"/><Relationship Id="rId252" Type="http://schemas.openxmlformats.org/officeDocument/2006/relationships/hyperlink" Target="https://ballotpedia.org/Iowa_State_Senate_District_1" TargetMode="External"/><Relationship Id="rId373" Type="http://schemas.openxmlformats.org/officeDocument/2006/relationships/hyperlink" Target="mailto:mark.lofgren@legis.iowa.gov" TargetMode="External"/><Relationship Id="rId130" Type="http://schemas.openxmlformats.org/officeDocument/2006/relationships/hyperlink" Target="https://ballotpedia.org/Todd_Prichard" TargetMode="External"/><Relationship Id="rId251" Type="http://schemas.openxmlformats.org/officeDocument/2006/relationships/hyperlink" Target="mailto:charles.isenhart@legis.iowa.gov" TargetMode="External"/><Relationship Id="rId372" Type="http://schemas.openxmlformats.org/officeDocument/2006/relationships/hyperlink" Target="https://ballotpedia.org/Mark_Lofgren" TargetMode="External"/><Relationship Id="rId250" Type="http://schemas.openxmlformats.org/officeDocument/2006/relationships/hyperlink" Target="https://ballotpedia.org/Charles_Isenhart" TargetMode="External"/><Relationship Id="rId371" Type="http://schemas.openxmlformats.org/officeDocument/2006/relationships/hyperlink" Target="https://ballotpedia.org/Iowa_State_Senate_District_46" TargetMode="External"/><Relationship Id="rId136" Type="http://schemas.openxmlformats.org/officeDocument/2006/relationships/hyperlink" Target="https://ballotpedia.org/Linda_Upmeyer" TargetMode="External"/><Relationship Id="rId257" Type="http://schemas.openxmlformats.org/officeDocument/2006/relationships/hyperlink" Target="https://ballotpedia.org/Jim_Carlin" TargetMode="External"/><Relationship Id="rId378" Type="http://schemas.openxmlformats.org/officeDocument/2006/relationships/hyperlink" Target="https://ballotpedia.org/Dan_Zumbach" TargetMode="External"/><Relationship Id="rId135" Type="http://schemas.openxmlformats.org/officeDocument/2006/relationships/hyperlink" Target="https://ballotpedia.org/Iowa_House_of_Representatives_District_54" TargetMode="External"/><Relationship Id="rId256" Type="http://schemas.openxmlformats.org/officeDocument/2006/relationships/hyperlink" Target="https://ballotpedia.org/Iowa_State_Senate_District_3" TargetMode="External"/><Relationship Id="rId377" Type="http://schemas.openxmlformats.org/officeDocument/2006/relationships/hyperlink" Target="https://ballotpedia.org/Iowa_State_Senate_District_48" TargetMode="External"/><Relationship Id="rId134" Type="http://schemas.openxmlformats.org/officeDocument/2006/relationships/hyperlink" Target="mailto:sharon.steckman@legis.iowa.gov" TargetMode="External"/><Relationship Id="rId255" Type="http://schemas.openxmlformats.org/officeDocument/2006/relationships/hyperlink" Target="mailto:randy.feenstra@legis.iowa.gov" TargetMode="External"/><Relationship Id="rId376" Type="http://schemas.openxmlformats.org/officeDocument/2006/relationships/hyperlink" Target="mailto:roby.smith@legis.iowa.gov" TargetMode="External"/><Relationship Id="rId133" Type="http://schemas.openxmlformats.org/officeDocument/2006/relationships/hyperlink" Target="https://ballotpedia.org/Sharon_Steckman" TargetMode="External"/><Relationship Id="rId254" Type="http://schemas.openxmlformats.org/officeDocument/2006/relationships/hyperlink" Target="https://ballotpedia.org/Randy_Feenstra" TargetMode="External"/><Relationship Id="rId375" Type="http://schemas.openxmlformats.org/officeDocument/2006/relationships/hyperlink" Target="https://ballotpedia.org/Roby_Smith" TargetMode="External"/><Relationship Id="rId172" Type="http://schemas.openxmlformats.org/officeDocument/2006/relationships/hyperlink" Target="mailto:Ashley.Hinson@legis.iowa.gov" TargetMode="External"/><Relationship Id="rId293" Type="http://schemas.openxmlformats.org/officeDocument/2006/relationships/hyperlink" Target="mailto:nate.boulton@legis.iowa.gov" TargetMode="External"/><Relationship Id="rId171" Type="http://schemas.openxmlformats.org/officeDocument/2006/relationships/hyperlink" Target="https://ballotpedia.org/Ashley_Hinson" TargetMode="External"/><Relationship Id="rId292" Type="http://schemas.openxmlformats.org/officeDocument/2006/relationships/hyperlink" Target="https://ballotpedia.org/Nate_Boulton" TargetMode="External"/><Relationship Id="rId170" Type="http://schemas.openxmlformats.org/officeDocument/2006/relationships/hyperlink" Target="https://ballotpedia.org/Iowa_House_of_Representatives_District_67" TargetMode="External"/><Relationship Id="rId291" Type="http://schemas.openxmlformats.org/officeDocument/2006/relationships/hyperlink" Target="https://ballotpedia.org/Iowa_State_Senate_District_16" TargetMode="External"/><Relationship Id="rId290" Type="http://schemas.openxmlformats.org/officeDocument/2006/relationships/hyperlink" Target="https://ballotpedia.org/Iowa_State_Senate_District_15" TargetMode="External"/><Relationship Id="rId165" Type="http://schemas.openxmlformats.org/officeDocument/2006/relationships/hyperlink" Target="https://ballotpedia.org/Liz_Bennett" TargetMode="External"/><Relationship Id="rId286" Type="http://schemas.openxmlformats.org/officeDocument/2006/relationships/hyperlink" Target="mailto:julian.garrett@legis.iowa.gov" TargetMode="External"/><Relationship Id="rId164" Type="http://schemas.openxmlformats.org/officeDocument/2006/relationships/hyperlink" Target="https://ballotpedia.org/Iowa_House_of_Representatives_District_65" TargetMode="External"/><Relationship Id="rId285" Type="http://schemas.openxmlformats.org/officeDocument/2006/relationships/hyperlink" Target="https://ballotpedia.org/Julian_B._Garrett" TargetMode="External"/><Relationship Id="rId163" Type="http://schemas.openxmlformats.org/officeDocument/2006/relationships/hyperlink" Target="mailto:bruce.bearinger@legis.iowa.gov" TargetMode="External"/><Relationship Id="rId284" Type="http://schemas.openxmlformats.org/officeDocument/2006/relationships/hyperlink" Target="https://ballotpedia.org/Iowa_State_Senate_District_13" TargetMode="External"/><Relationship Id="rId162" Type="http://schemas.openxmlformats.org/officeDocument/2006/relationships/hyperlink" Target="https://ballotpedia.org/Bruce_Bearinger" TargetMode="External"/><Relationship Id="rId283" Type="http://schemas.openxmlformats.org/officeDocument/2006/relationships/hyperlink" Target="mailto:mark.costello@legis.iowa.gov" TargetMode="External"/><Relationship Id="rId169" Type="http://schemas.openxmlformats.org/officeDocument/2006/relationships/hyperlink" Target="mailto:art.staed@legis.iowa.gov" TargetMode="External"/><Relationship Id="rId168" Type="http://schemas.openxmlformats.org/officeDocument/2006/relationships/hyperlink" Target="https://ballotpedia.org/Art_Staed" TargetMode="External"/><Relationship Id="rId289" Type="http://schemas.openxmlformats.org/officeDocument/2006/relationships/hyperlink" Target="mailto:amy.sinclair@legis.iowa.gov" TargetMode="External"/><Relationship Id="rId167" Type="http://schemas.openxmlformats.org/officeDocument/2006/relationships/hyperlink" Target="https://ballotpedia.org/Iowa_House_of_Representatives_District_66" TargetMode="External"/><Relationship Id="rId288" Type="http://schemas.openxmlformats.org/officeDocument/2006/relationships/hyperlink" Target="https://ballotpedia.org/Amy_Sinclair" TargetMode="External"/><Relationship Id="rId166" Type="http://schemas.openxmlformats.org/officeDocument/2006/relationships/hyperlink" Target="mailto:Liz.Bennett@legis.iowa.gov" TargetMode="External"/><Relationship Id="rId287" Type="http://schemas.openxmlformats.org/officeDocument/2006/relationships/hyperlink" Target="https://ballotpedia.org/Iowa_State_Senate_District_14" TargetMode="External"/><Relationship Id="rId161" Type="http://schemas.openxmlformats.org/officeDocument/2006/relationships/hyperlink" Target="https://ballotpedia.org/Iowa_House_of_Representatives_District_64" TargetMode="External"/><Relationship Id="rId282" Type="http://schemas.openxmlformats.org/officeDocument/2006/relationships/hyperlink" Target="https://ballotpedia.org/Mark_Costello_(Iowa)" TargetMode="External"/><Relationship Id="rId160" Type="http://schemas.openxmlformats.org/officeDocument/2006/relationships/hyperlink" Target="mailto:sandy.salmon@legis.iowa.gov" TargetMode="External"/><Relationship Id="rId281" Type="http://schemas.openxmlformats.org/officeDocument/2006/relationships/hyperlink" Target="https://ballotpedia.org/Iowa_State_Senate_District_12" TargetMode="External"/><Relationship Id="rId280" Type="http://schemas.openxmlformats.org/officeDocument/2006/relationships/hyperlink" Target="mailto:tom.shipley@legis.iowa.gov" TargetMode="External"/><Relationship Id="rId159" Type="http://schemas.openxmlformats.org/officeDocument/2006/relationships/hyperlink" Target="https://ballotpedia.org/Sandy_Salmon" TargetMode="External"/><Relationship Id="rId154" Type="http://schemas.openxmlformats.org/officeDocument/2006/relationships/hyperlink" Target="mailto:Timi.Brown-Powers@legis.iowa.gov" TargetMode="External"/><Relationship Id="rId275" Type="http://schemas.openxmlformats.org/officeDocument/2006/relationships/hyperlink" Target="https://ballotpedia.org/Iowa_State_Senate_District_10" TargetMode="External"/><Relationship Id="rId153" Type="http://schemas.openxmlformats.org/officeDocument/2006/relationships/hyperlink" Target="https://ballotpedia.org/Timi_Brown-Powers" TargetMode="External"/><Relationship Id="rId274" Type="http://schemas.openxmlformats.org/officeDocument/2006/relationships/hyperlink" Target="mailto:jason.schultz@legis.iowa.gov" TargetMode="External"/><Relationship Id="rId152" Type="http://schemas.openxmlformats.org/officeDocument/2006/relationships/hyperlink" Target="https://ballotpedia.org/Iowa_House_of_Representatives_District_61" TargetMode="External"/><Relationship Id="rId273" Type="http://schemas.openxmlformats.org/officeDocument/2006/relationships/hyperlink" Target="https://ballotpedia.org/Jason_Schultz" TargetMode="External"/><Relationship Id="rId151" Type="http://schemas.openxmlformats.org/officeDocument/2006/relationships/hyperlink" Target="https://ballotpedia.org/Iowa_House_of_Representatives_District_60" TargetMode="External"/><Relationship Id="rId272" Type="http://schemas.openxmlformats.org/officeDocument/2006/relationships/hyperlink" Target="https://ballotpedia.org/Iowa_State_Senate_District_9" TargetMode="External"/><Relationship Id="rId158" Type="http://schemas.openxmlformats.org/officeDocument/2006/relationships/hyperlink" Target="https://ballotpedia.org/Iowa_House_of_Representatives_District_63" TargetMode="External"/><Relationship Id="rId279" Type="http://schemas.openxmlformats.org/officeDocument/2006/relationships/hyperlink" Target="https://ballotpedia.org/Tom_Shipley" TargetMode="External"/><Relationship Id="rId157" Type="http://schemas.openxmlformats.org/officeDocument/2006/relationships/hyperlink" Target="mailto:Ras.Smith@legis.iowa.gov" TargetMode="External"/><Relationship Id="rId278" Type="http://schemas.openxmlformats.org/officeDocument/2006/relationships/hyperlink" Target="https://ballotpedia.org/Iowa_State_Senate_District_11" TargetMode="External"/><Relationship Id="rId156" Type="http://schemas.openxmlformats.org/officeDocument/2006/relationships/hyperlink" Target="https://ballotpedia.org/Ras_Smith" TargetMode="External"/><Relationship Id="rId277" Type="http://schemas.openxmlformats.org/officeDocument/2006/relationships/hyperlink" Target="mailto:jake.chapman@legis.iowa.gov" TargetMode="External"/><Relationship Id="rId155" Type="http://schemas.openxmlformats.org/officeDocument/2006/relationships/hyperlink" Target="https://ballotpedia.org/Iowa_House_of_Representatives_District_62" TargetMode="External"/><Relationship Id="rId276" Type="http://schemas.openxmlformats.org/officeDocument/2006/relationships/hyperlink" Target="https://ballotpedia.org/Jake_Chapman" TargetMode="External"/><Relationship Id="rId40" Type="http://schemas.openxmlformats.org/officeDocument/2006/relationships/hyperlink" Target="mailto:Charlie.McConkey@legis.iowa.gov" TargetMode="External"/><Relationship Id="rId42" Type="http://schemas.openxmlformats.org/officeDocument/2006/relationships/hyperlink" Target="https://ballotpedia.org/Mary_Ann_Hanusa" TargetMode="External"/><Relationship Id="rId41" Type="http://schemas.openxmlformats.org/officeDocument/2006/relationships/hyperlink" Target="https://ballotpedia.org/Iowa_House_of_Representatives_District_16" TargetMode="External"/><Relationship Id="rId44" Type="http://schemas.openxmlformats.org/officeDocument/2006/relationships/hyperlink" Target="https://ballotpedia.org/Iowa_House_of_Representatives_District_17" TargetMode="External"/><Relationship Id="rId43" Type="http://schemas.openxmlformats.org/officeDocument/2006/relationships/hyperlink" Target="mailto:mary.ann.hanusa@legis.iowa.gov" TargetMode="External"/><Relationship Id="rId46" Type="http://schemas.openxmlformats.org/officeDocument/2006/relationships/hyperlink" Target="mailto:matt.windschitl@legis.iowa.gov" TargetMode="External"/><Relationship Id="rId45" Type="http://schemas.openxmlformats.org/officeDocument/2006/relationships/hyperlink" Target="https://ballotpedia.org/Matt_Windschitl" TargetMode="External"/><Relationship Id="rId48" Type="http://schemas.openxmlformats.org/officeDocument/2006/relationships/hyperlink" Target="https://ballotpedia.org/Steven_Holt" TargetMode="External"/><Relationship Id="rId47" Type="http://schemas.openxmlformats.org/officeDocument/2006/relationships/hyperlink" Target="https://ballotpedia.org/Iowa_House_of_Representatives_District_18" TargetMode="External"/><Relationship Id="rId49" Type="http://schemas.openxmlformats.org/officeDocument/2006/relationships/hyperlink" Target="mailto:Steven.Holt@legis.iowa.gov" TargetMode="External"/><Relationship Id="rId31" Type="http://schemas.openxmlformats.org/officeDocument/2006/relationships/hyperlink" Target="mailto:Brian.Best@legis.iowa.gov" TargetMode="External"/><Relationship Id="rId30" Type="http://schemas.openxmlformats.org/officeDocument/2006/relationships/hyperlink" Target="https://ballotpedia.org/Brian_Best" TargetMode="External"/><Relationship Id="rId33" Type="http://schemas.openxmlformats.org/officeDocument/2006/relationships/hyperlink" Target="https://ballotpedia.org/Chris_Hall" TargetMode="External"/><Relationship Id="rId32" Type="http://schemas.openxmlformats.org/officeDocument/2006/relationships/hyperlink" Target="https://ballotpedia.org/Iowa_House_of_Representatives_District_13" TargetMode="External"/><Relationship Id="rId35" Type="http://schemas.openxmlformats.org/officeDocument/2006/relationships/hyperlink" Target="https://ballotpedia.org/Iowa_House_of_Representatives_District_14" TargetMode="External"/><Relationship Id="rId34" Type="http://schemas.openxmlformats.org/officeDocument/2006/relationships/hyperlink" Target="mailto:chris.hall@legis.iowa.gov" TargetMode="External"/><Relationship Id="rId37" Type="http://schemas.openxmlformats.org/officeDocument/2006/relationships/hyperlink" Target="mailto:Timothy.Kacena@legis.iowa.gov" TargetMode="External"/><Relationship Id="rId36" Type="http://schemas.openxmlformats.org/officeDocument/2006/relationships/hyperlink" Target="https://ballotpedia.org/Timothy_Kacena" TargetMode="External"/><Relationship Id="rId39" Type="http://schemas.openxmlformats.org/officeDocument/2006/relationships/hyperlink" Target="https://ballotpedia.org/Charlie_McConkey" TargetMode="External"/><Relationship Id="rId38" Type="http://schemas.openxmlformats.org/officeDocument/2006/relationships/hyperlink" Target="https://ballotpedia.org/Iowa_House_of_Representatives_District_15" TargetMode="External"/><Relationship Id="rId20" Type="http://schemas.openxmlformats.org/officeDocument/2006/relationships/hyperlink" Target="https://ballotpedia.org/Terry_Baxter" TargetMode="External"/><Relationship Id="rId22" Type="http://schemas.openxmlformats.org/officeDocument/2006/relationships/hyperlink" Target="https://ballotpedia.org/Iowa_House_of_Representatives_District_9" TargetMode="External"/><Relationship Id="rId21" Type="http://schemas.openxmlformats.org/officeDocument/2006/relationships/hyperlink" Target="mailto:Terry.Baxter@legis.iowa.gov" TargetMode="External"/><Relationship Id="rId24" Type="http://schemas.openxmlformats.org/officeDocument/2006/relationships/hyperlink" Target="https://ballotpedia.org/Mike_Sexton" TargetMode="External"/><Relationship Id="rId23" Type="http://schemas.openxmlformats.org/officeDocument/2006/relationships/hyperlink" Target="https://ballotpedia.org/Iowa_House_of_Representatives_District_10" TargetMode="External"/><Relationship Id="rId26" Type="http://schemas.openxmlformats.org/officeDocument/2006/relationships/hyperlink" Target="https://ballotpedia.org/Iowa_House_of_Representatives_District_11" TargetMode="External"/><Relationship Id="rId25" Type="http://schemas.openxmlformats.org/officeDocument/2006/relationships/hyperlink" Target="mailto:Mike.Sexton@legis.iowa.gov" TargetMode="External"/><Relationship Id="rId28" Type="http://schemas.openxmlformats.org/officeDocument/2006/relationships/hyperlink" Target="mailto:gary.worthan@legis.iowa.gov" TargetMode="External"/><Relationship Id="rId27" Type="http://schemas.openxmlformats.org/officeDocument/2006/relationships/hyperlink" Target="https://ballotpedia.org/Gary_Worthan" TargetMode="External"/><Relationship Id="rId29" Type="http://schemas.openxmlformats.org/officeDocument/2006/relationships/hyperlink" Target="https://ballotpedia.org/Iowa_House_of_Representatives_District_12" TargetMode="External"/><Relationship Id="rId11" Type="http://schemas.openxmlformats.org/officeDocument/2006/relationships/hyperlink" Target="mailto:Skyler.Wheeler@legis.iowa.gov" TargetMode="External"/><Relationship Id="rId10" Type="http://schemas.openxmlformats.org/officeDocument/2006/relationships/hyperlink" Target="https://ballotpedia.org/Skyler_Wheeler" TargetMode="External"/><Relationship Id="rId13" Type="http://schemas.openxmlformats.org/officeDocument/2006/relationships/hyperlink" Target="https://ballotpedia.org/Iowa_House_of_Representatives_District_6" TargetMode="External"/><Relationship Id="rId12" Type="http://schemas.openxmlformats.org/officeDocument/2006/relationships/hyperlink" Target="https://ballotpedia.org/Iowa_House_of_Representatives_District_5" TargetMode="External"/><Relationship Id="rId15" Type="http://schemas.openxmlformats.org/officeDocument/2006/relationships/hyperlink" Target="mailto:Jacob.Bossman@legis.iowa.gov" TargetMode="External"/><Relationship Id="rId14" Type="http://schemas.openxmlformats.org/officeDocument/2006/relationships/hyperlink" Target="https://ballotpedia.org/Jacob_Bossman" TargetMode="External"/><Relationship Id="rId17" Type="http://schemas.openxmlformats.org/officeDocument/2006/relationships/hyperlink" Target="https://ballotpedia.org/Tedd_Gassman" TargetMode="External"/><Relationship Id="rId16" Type="http://schemas.openxmlformats.org/officeDocument/2006/relationships/hyperlink" Target="https://ballotpedia.org/Iowa_House_of_Representatives_District_7" TargetMode="External"/><Relationship Id="rId19" Type="http://schemas.openxmlformats.org/officeDocument/2006/relationships/hyperlink" Target="https://ballotpedia.org/Iowa_House_of_Representatives_District_8" TargetMode="External"/><Relationship Id="rId18" Type="http://schemas.openxmlformats.org/officeDocument/2006/relationships/hyperlink" Target="mailto:tedd.gassman@legis.iowa.gov" TargetMode="External"/><Relationship Id="rId84" Type="http://schemas.openxmlformats.org/officeDocument/2006/relationships/hyperlink" Target="https://ballotpedia.org/Iowa_House_of_Representatives_District_33" TargetMode="External"/><Relationship Id="rId83" Type="http://schemas.openxmlformats.org/officeDocument/2006/relationships/hyperlink" Target="mailto:ruthann.gaines@legis.iowa.gov" TargetMode="External"/><Relationship Id="rId86" Type="http://schemas.openxmlformats.org/officeDocument/2006/relationships/hyperlink" Target="mailto:brian.meyer@legis.iowa.gov" TargetMode="External"/><Relationship Id="rId85" Type="http://schemas.openxmlformats.org/officeDocument/2006/relationships/hyperlink" Target="https://ballotpedia.org/Brian_Meyer" TargetMode="External"/><Relationship Id="rId88" Type="http://schemas.openxmlformats.org/officeDocument/2006/relationships/hyperlink" Target="https://ballotpedia.org/Bruce_Hunter" TargetMode="External"/><Relationship Id="rId87" Type="http://schemas.openxmlformats.org/officeDocument/2006/relationships/hyperlink" Target="https://ballotpedia.org/Iowa_House_of_Representatives_District_34" TargetMode="External"/><Relationship Id="rId89" Type="http://schemas.openxmlformats.org/officeDocument/2006/relationships/hyperlink" Target="mailto:bruce.hunter@legis.iowa.gov" TargetMode="External"/><Relationship Id="rId80" Type="http://schemas.openxmlformats.org/officeDocument/2006/relationships/hyperlink" Target="mailto:rick.olson@legis.iowa.gov" TargetMode="External"/><Relationship Id="rId82" Type="http://schemas.openxmlformats.org/officeDocument/2006/relationships/hyperlink" Target="https://ballotpedia.org/Ruth_Ann_Gaines" TargetMode="External"/><Relationship Id="rId81" Type="http://schemas.openxmlformats.org/officeDocument/2006/relationships/hyperlink" Target="https://ballotpedia.org/Iowa_House_of_Representatives_District_32" TargetMode="External"/><Relationship Id="rId73" Type="http://schemas.openxmlformats.org/officeDocument/2006/relationships/hyperlink" Target="https://ballotpedia.org/Iowa_House_of_Representatives_District_28" TargetMode="External"/><Relationship Id="rId72" Type="http://schemas.openxmlformats.org/officeDocument/2006/relationships/hyperlink" Target="mailto:joel.fry@legis.iowa.gov" TargetMode="External"/><Relationship Id="rId75" Type="http://schemas.openxmlformats.org/officeDocument/2006/relationships/hyperlink" Target="https://ballotpedia.org/Wesley_Breckenridge" TargetMode="External"/><Relationship Id="rId74" Type="http://schemas.openxmlformats.org/officeDocument/2006/relationships/hyperlink" Target="https://ballotpedia.org/Iowa_House_of_Representatives_District_29" TargetMode="External"/><Relationship Id="rId77" Type="http://schemas.openxmlformats.org/officeDocument/2006/relationships/hyperlink" Target="https://ballotpedia.org/Iowa_House_of_Representatives_District_30" TargetMode="External"/><Relationship Id="rId76" Type="http://schemas.openxmlformats.org/officeDocument/2006/relationships/hyperlink" Target="mailto:Wes.Breckenridge@legis.iowa.gov" TargetMode="External"/><Relationship Id="rId79" Type="http://schemas.openxmlformats.org/officeDocument/2006/relationships/hyperlink" Target="https://ballotpedia.org/Rick_Olson" TargetMode="External"/><Relationship Id="rId78" Type="http://schemas.openxmlformats.org/officeDocument/2006/relationships/hyperlink" Target="https://ballotpedia.org/Iowa_House_of_Representatives_District_31" TargetMode="External"/><Relationship Id="rId71" Type="http://schemas.openxmlformats.org/officeDocument/2006/relationships/hyperlink" Target="https://ballotpedia.org/Joel_Fry" TargetMode="External"/><Relationship Id="rId70" Type="http://schemas.openxmlformats.org/officeDocument/2006/relationships/hyperlink" Target="https://ballotpedia.org/Iowa_House_of_Representatives_District_27" TargetMode="External"/><Relationship Id="rId62" Type="http://schemas.openxmlformats.org/officeDocument/2006/relationships/hyperlink" Target="https://ballotpedia.org/Cecil_Dolecheck" TargetMode="External"/><Relationship Id="rId61" Type="http://schemas.openxmlformats.org/officeDocument/2006/relationships/hyperlink" Target="https://ballotpedia.org/Iowa_House_of_Representatives_District_24" TargetMode="External"/><Relationship Id="rId64" Type="http://schemas.openxmlformats.org/officeDocument/2006/relationships/hyperlink" Target="https://ballotpedia.org/Iowa_House_of_Representatives_District_25" TargetMode="External"/><Relationship Id="rId63" Type="http://schemas.openxmlformats.org/officeDocument/2006/relationships/hyperlink" Target="mailto:cecil.dolecheck@legis.iowa.gov" TargetMode="External"/><Relationship Id="rId66" Type="http://schemas.openxmlformats.org/officeDocument/2006/relationships/hyperlink" Target="mailto:stan.gustafson@legis.iowa.gov" TargetMode="External"/><Relationship Id="rId65" Type="http://schemas.openxmlformats.org/officeDocument/2006/relationships/hyperlink" Target="https://ballotpedia.org/Stan_Gustafson" TargetMode="External"/><Relationship Id="rId68" Type="http://schemas.openxmlformats.org/officeDocument/2006/relationships/hyperlink" Target="https://ballotpedia.org/Scott_Ourth" TargetMode="External"/><Relationship Id="rId67" Type="http://schemas.openxmlformats.org/officeDocument/2006/relationships/hyperlink" Target="https://ballotpedia.org/Iowa_House_of_Representatives_District_26" TargetMode="External"/><Relationship Id="rId60" Type="http://schemas.openxmlformats.org/officeDocument/2006/relationships/hyperlink" Target="mailto:David.Sieck@legis.iowa.gov" TargetMode="External"/><Relationship Id="rId69" Type="http://schemas.openxmlformats.org/officeDocument/2006/relationships/hyperlink" Target="mailto:scott.ourth@legis.iowa.gov" TargetMode="External"/><Relationship Id="rId51" Type="http://schemas.openxmlformats.org/officeDocument/2006/relationships/hyperlink" Target="https://ballotpedia.org/Iowa_House_of_Representatives_District_20" TargetMode="External"/><Relationship Id="rId50" Type="http://schemas.openxmlformats.org/officeDocument/2006/relationships/hyperlink" Target="https://ballotpedia.org/Iowa_House_of_Representatives_District_19" TargetMode="External"/><Relationship Id="rId53" Type="http://schemas.openxmlformats.org/officeDocument/2006/relationships/hyperlink" Target="https://ballotpedia.org/Tom_Moore_(Iowa)" TargetMode="External"/><Relationship Id="rId52" Type="http://schemas.openxmlformats.org/officeDocument/2006/relationships/hyperlink" Target="https://ballotpedia.org/Iowa_House_of_Representatives_District_21" TargetMode="External"/><Relationship Id="rId55" Type="http://schemas.openxmlformats.org/officeDocument/2006/relationships/hyperlink" Target="https://ballotpedia.org/Iowa_House_of_Representatives_District_22" TargetMode="External"/><Relationship Id="rId54" Type="http://schemas.openxmlformats.org/officeDocument/2006/relationships/hyperlink" Target="mailto:Tom.Moore@legis.iowa.gov" TargetMode="External"/><Relationship Id="rId57" Type="http://schemas.openxmlformats.org/officeDocument/2006/relationships/hyperlink" Target="mailto:Jon.Jacobsen@legis.iowa.gov" TargetMode="External"/><Relationship Id="rId56" Type="http://schemas.openxmlformats.org/officeDocument/2006/relationships/hyperlink" Target="https://ballotpedia.org/Jon_Jacobsen" TargetMode="External"/><Relationship Id="rId59" Type="http://schemas.openxmlformats.org/officeDocument/2006/relationships/hyperlink" Target="https://ballotpedia.org/David_Sieck" TargetMode="External"/><Relationship Id="rId58" Type="http://schemas.openxmlformats.org/officeDocument/2006/relationships/hyperlink" Target="https://ballotpedia.org/Iowa_House_of_Representatives_District_23" TargetMode="External"/><Relationship Id="rId107" Type="http://schemas.openxmlformats.org/officeDocument/2006/relationships/hyperlink" Target="https://ballotpedia.org/Iowa_House_of_Representatives_District_42" TargetMode="External"/><Relationship Id="rId228" Type="http://schemas.openxmlformats.org/officeDocument/2006/relationships/hyperlink" Target="https://ballotpedia.org/Iowa_House_of_Representatives_District_92" TargetMode="External"/><Relationship Id="rId349" Type="http://schemas.openxmlformats.org/officeDocument/2006/relationships/hyperlink" Target="https://ballotpedia.org/Iowa_State_Senate_District_38" TargetMode="External"/><Relationship Id="rId106" Type="http://schemas.openxmlformats.org/officeDocument/2006/relationships/hyperlink" Target="mailto:jo.oldson@legis.iowa.gov" TargetMode="External"/><Relationship Id="rId227" Type="http://schemas.openxmlformats.org/officeDocument/2006/relationships/hyperlink" Target="mailto:Gary.Carlson@legis.iowa.gov" TargetMode="External"/><Relationship Id="rId348" Type="http://schemas.openxmlformats.org/officeDocument/2006/relationships/hyperlink" Target="https://ballotpedia.org/Iowa_State_Senate_District_37" TargetMode="External"/><Relationship Id="rId105" Type="http://schemas.openxmlformats.org/officeDocument/2006/relationships/hyperlink" Target="https://ballotpedia.org/Jo_Oldson" TargetMode="External"/><Relationship Id="rId226" Type="http://schemas.openxmlformats.org/officeDocument/2006/relationships/hyperlink" Target="https://ballotpedia.org/Gary_Carlson" TargetMode="External"/><Relationship Id="rId347" Type="http://schemas.openxmlformats.org/officeDocument/2006/relationships/hyperlink" Target="mailto:jeff.edler@legis.iowa.gov" TargetMode="External"/><Relationship Id="rId104" Type="http://schemas.openxmlformats.org/officeDocument/2006/relationships/hyperlink" Target="https://ballotpedia.org/Iowa_House_of_Representatives_District_41" TargetMode="External"/><Relationship Id="rId225" Type="http://schemas.openxmlformats.org/officeDocument/2006/relationships/hyperlink" Target="https://ballotpedia.org/Iowa_House_of_Representatives_District_91" TargetMode="External"/><Relationship Id="rId346" Type="http://schemas.openxmlformats.org/officeDocument/2006/relationships/hyperlink" Target="https://ballotpedia.org/Jeff_Edler" TargetMode="External"/><Relationship Id="rId109" Type="http://schemas.openxmlformats.org/officeDocument/2006/relationships/hyperlink" Target="https://ballotpedia.org/Iowa_House_of_Representatives_District_44" TargetMode="External"/><Relationship Id="rId108" Type="http://schemas.openxmlformats.org/officeDocument/2006/relationships/hyperlink" Target="https://ballotpedia.org/Iowa_House_of_Representatives_District_43" TargetMode="External"/><Relationship Id="rId229" Type="http://schemas.openxmlformats.org/officeDocument/2006/relationships/hyperlink" Target="https://ballotpedia.org/Ross_C._Paustian" TargetMode="External"/><Relationship Id="rId220" Type="http://schemas.openxmlformats.org/officeDocument/2006/relationships/hyperlink" Target="https://ballotpedia.org/Monica_Kurth" TargetMode="External"/><Relationship Id="rId341" Type="http://schemas.openxmlformats.org/officeDocument/2006/relationships/hyperlink" Target="mailto:liz.mathis@legis.iowa.gov" TargetMode="External"/><Relationship Id="rId340" Type="http://schemas.openxmlformats.org/officeDocument/2006/relationships/hyperlink" Target="https://ballotpedia.org/Liz_Mathis" TargetMode="External"/><Relationship Id="rId103" Type="http://schemas.openxmlformats.org/officeDocument/2006/relationships/hyperlink" Target="mailto:john.forbes@legis.iowa.gov" TargetMode="External"/><Relationship Id="rId224" Type="http://schemas.openxmlformats.org/officeDocument/2006/relationships/hyperlink" Target="mailto:cindy.winckler@legis.iowa.gov" TargetMode="External"/><Relationship Id="rId345" Type="http://schemas.openxmlformats.org/officeDocument/2006/relationships/hyperlink" Target="https://ballotpedia.org/Iowa_State_Senate_District_36" TargetMode="External"/><Relationship Id="rId102" Type="http://schemas.openxmlformats.org/officeDocument/2006/relationships/hyperlink" Target="https://ballotpedia.org/John_Forbes" TargetMode="External"/><Relationship Id="rId223" Type="http://schemas.openxmlformats.org/officeDocument/2006/relationships/hyperlink" Target="https://ballotpedia.org/Cindy_Winckler" TargetMode="External"/><Relationship Id="rId344" Type="http://schemas.openxmlformats.org/officeDocument/2006/relationships/hyperlink" Target="mailto:wally.horn@legis.iowa.gov" TargetMode="External"/><Relationship Id="rId101" Type="http://schemas.openxmlformats.org/officeDocument/2006/relationships/hyperlink" Target="https://ballotpedia.org/Iowa_House_of_Representatives_District_40" TargetMode="External"/><Relationship Id="rId222" Type="http://schemas.openxmlformats.org/officeDocument/2006/relationships/hyperlink" Target="https://ballotpedia.org/Iowa_House_of_Representatives_District_90" TargetMode="External"/><Relationship Id="rId343" Type="http://schemas.openxmlformats.org/officeDocument/2006/relationships/hyperlink" Target="https://ballotpedia.org/Wally_Horn" TargetMode="External"/><Relationship Id="rId100" Type="http://schemas.openxmlformats.org/officeDocument/2006/relationships/hyperlink" Target="https://ballotpedia.org/Iowa_House_of_Representatives_District_39" TargetMode="External"/><Relationship Id="rId221" Type="http://schemas.openxmlformats.org/officeDocument/2006/relationships/hyperlink" Target="mailto:Monica.Kurth@legis.iowa.gov" TargetMode="External"/><Relationship Id="rId342" Type="http://schemas.openxmlformats.org/officeDocument/2006/relationships/hyperlink" Target="https://ballotpedia.org/Iowa_State_Senate_District_35" TargetMode="External"/><Relationship Id="rId217" Type="http://schemas.openxmlformats.org/officeDocument/2006/relationships/hyperlink" Target="https://ballotpedia.org/David_Kerr" TargetMode="External"/><Relationship Id="rId338" Type="http://schemas.openxmlformats.org/officeDocument/2006/relationships/hyperlink" Target="https://ballotpedia.org/Iowa_State_Senate_District_33" TargetMode="External"/><Relationship Id="rId216" Type="http://schemas.openxmlformats.org/officeDocument/2006/relationships/hyperlink" Target="https://ballotpedia.org/Iowa_House_of_Representatives_District_88" TargetMode="External"/><Relationship Id="rId337" Type="http://schemas.openxmlformats.org/officeDocument/2006/relationships/hyperlink" Target="mailto:craig.johnson@legis.iowa.gov" TargetMode="External"/><Relationship Id="rId215" Type="http://schemas.openxmlformats.org/officeDocument/2006/relationships/hyperlink" Target="mailto:dennis.cohoon@legis.iowa.gov" TargetMode="External"/><Relationship Id="rId336" Type="http://schemas.openxmlformats.org/officeDocument/2006/relationships/hyperlink" Target="https://ballotpedia.org/Craig_Johnson_(Iowa)" TargetMode="External"/><Relationship Id="rId214" Type="http://schemas.openxmlformats.org/officeDocument/2006/relationships/hyperlink" Target="https://ballotpedia.org/Dennis_Cohoon" TargetMode="External"/><Relationship Id="rId335" Type="http://schemas.openxmlformats.org/officeDocument/2006/relationships/hyperlink" Target="https://ballotpedia.org/Iowa_State_Senate_District_32" TargetMode="External"/><Relationship Id="rId219" Type="http://schemas.openxmlformats.org/officeDocument/2006/relationships/hyperlink" Target="https://ballotpedia.org/Iowa_House_of_Representatives_District_89" TargetMode="External"/><Relationship Id="rId218" Type="http://schemas.openxmlformats.org/officeDocument/2006/relationships/hyperlink" Target="mailto:David.Kerr@legis.iowa.gov" TargetMode="External"/><Relationship Id="rId339" Type="http://schemas.openxmlformats.org/officeDocument/2006/relationships/hyperlink" Target="https://ballotpedia.org/Iowa_State_Senate_District_34" TargetMode="External"/><Relationship Id="rId330" Type="http://schemas.openxmlformats.org/officeDocument/2006/relationships/hyperlink" Target="https://ballotpedia.org/Jeff_Danielson" TargetMode="External"/><Relationship Id="rId213" Type="http://schemas.openxmlformats.org/officeDocument/2006/relationships/hyperlink" Target="https://ballotpedia.org/Iowa_House_of_Representatives_District_87" TargetMode="External"/><Relationship Id="rId334" Type="http://schemas.openxmlformats.org/officeDocument/2006/relationships/hyperlink" Target="mailto:bill.dotzler@legis.iowa.gov" TargetMode="External"/><Relationship Id="rId212" Type="http://schemas.openxmlformats.org/officeDocument/2006/relationships/hyperlink" Target="mailto:mary.mascher@legis.iowa.gov" TargetMode="External"/><Relationship Id="rId333" Type="http://schemas.openxmlformats.org/officeDocument/2006/relationships/hyperlink" Target="https://ballotpedia.org/William_Dotzler" TargetMode="External"/><Relationship Id="rId211" Type="http://schemas.openxmlformats.org/officeDocument/2006/relationships/hyperlink" Target="https://ballotpedia.org/Mary_Mascher" TargetMode="External"/><Relationship Id="rId332" Type="http://schemas.openxmlformats.org/officeDocument/2006/relationships/hyperlink" Target="https://ballotpedia.org/Iowa_State_Senate_District_31" TargetMode="External"/><Relationship Id="rId210" Type="http://schemas.openxmlformats.org/officeDocument/2006/relationships/hyperlink" Target="https://ballotpedia.org/Iowa_House_of_Representatives_District_86" TargetMode="External"/><Relationship Id="rId331" Type="http://schemas.openxmlformats.org/officeDocument/2006/relationships/hyperlink" Target="mailto:jeffdanielson@gmail.com" TargetMode="External"/><Relationship Id="rId370" Type="http://schemas.openxmlformats.org/officeDocument/2006/relationships/hyperlink" Target="mailto:jim.lykam@legis.iowa.gov" TargetMode="External"/><Relationship Id="rId129" Type="http://schemas.openxmlformats.org/officeDocument/2006/relationships/hyperlink" Target="https://ballotpedia.org/Iowa_House_of_Representatives_District_52" TargetMode="External"/><Relationship Id="rId128" Type="http://schemas.openxmlformats.org/officeDocument/2006/relationships/hyperlink" Target="mailto:Jane.Bloomingdale@legis.iowa.gov" TargetMode="External"/><Relationship Id="rId249" Type="http://schemas.openxmlformats.org/officeDocument/2006/relationships/hyperlink" Target="https://ballotpedia.org/Iowa_House_of_Representatives_District_100" TargetMode="External"/><Relationship Id="rId127" Type="http://schemas.openxmlformats.org/officeDocument/2006/relationships/hyperlink" Target="https://ballotpedia.org/Jane_Bloomingdale" TargetMode="External"/><Relationship Id="rId248" Type="http://schemas.openxmlformats.org/officeDocument/2006/relationships/hyperlink" Target="https://ballotpedia.org/Iowa_House_of_Representatives_District_99" TargetMode="External"/><Relationship Id="rId369" Type="http://schemas.openxmlformats.org/officeDocument/2006/relationships/hyperlink" Target="https://ballotpedia.org/Jim_Lykam" TargetMode="External"/><Relationship Id="rId126" Type="http://schemas.openxmlformats.org/officeDocument/2006/relationships/hyperlink" Target="https://ballotpedia.org/Iowa_House_of_Representatives_District_51" TargetMode="External"/><Relationship Id="rId247" Type="http://schemas.openxmlformats.org/officeDocument/2006/relationships/hyperlink" Target="https://ballotpedia.org/Mary_Lynn_Wolfe" TargetMode="External"/><Relationship Id="rId368" Type="http://schemas.openxmlformats.org/officeDocument/2006/relationships/hyperlink" Target="https://ballotpedia.org/Iowa_State_Senate_District_45" TargetMode="External"/><Relationship Id="rId121" Type="http://schemas.openxmlformats.org/officeDocument/2006/relationships/hyperlink" Target="https://ballotpedia.org/Dave_Deyoe" TargetMode="External"/><Relationship Id="rId242" Type="http://schemas.openxmlformats.org/officeDocument/2006/relationships/hyperlink" Target="mailto:lee.hein@legis.iowa.gov" TargetMode="External"/><Relationship Id="rId363" Type="http://schemas.openxmlformats.org/officeDocument/2006/relationships/hyperlink" Target="https://ballotpedia.org/Joe_Bolkcom" TargetMode="External"/><Relationship Id="rId120" Type="http://schemas.openxmlformats.org/officeDocument/2006/relationships/hyperlink" Target="https://ballotpedia.org/Iowa_House_of_Representatives_District_49" TargetMode="External"/><Relationship Id="rId241" Type="http://schemas.openxmlformats.org/officeDocument/2006/relationships/hyperlink" Target="https://ballotpedia.org/Lee_Hein" TargetMode="External"/><Relationship Id="rId362" Type="http://schemas.openxmlformats.org/officeDocument/2006/relationships/hyperlink" Target="https://ballotpedia.org/Iowa_State_Senate_District_43" TargetMode="External"/><Relationship Id="rId240" Type="http://schemas.openxmlformats.org/officeDocument/2006/relationships/hyperlink" Target="https://ballotpedia.org/Iowa_House_of_Representatives_District_96" TargetMode="External"/><Relationship Id="rId361" Type="http://schemas.openxmlformats.org/officeDocument/2006/relationships/hyperlink" Target="mailto:rich.taylor@legis.iowa.gov" TargetMode="External"/><Relationship Id="rId360" Type="http://schemas.openxmlformats.org/officeDocument/2006/relationships/hyperlink" Target="https://ballotpedia.org/Rich_Taylor" TargetMode="External"/><Relationship Id="rId125" Type="http://schemas.openxmlformats.org/officeDocument/2006/relationships/hyperlink" Target="mailto:pat.grassley@legis.iowa.gov" TargetMode="External"/><Relationship Id="rId246" Type="http://schemas.openxmlformats.org/officeDocument/2006/relationships/hyperlink" Target="https://ballotpedia.org/Iowa_House_of_Representatives_District_98" TargetMode="External"/><Relationship Id="rId367" Type="http://schemas.openxmlformats.org/officeDocument/2006/relationships/hyperlink" Target="mailto:tom.greene@legis.iowa.gov" TargetMode="External"/><Relationship Id="rId124" Type="http://schemas.openxmlformats.org/officeDocument/2006/relationships/hyperlink" Target="https://ballotpedia.org/Pat_Grassley" TargetMode="External"/><Relationship Id="rId245" Type="http://schemas.openxmlformats.org/officeDocument/2006/relationships/hyperlink" Target="mailto:Norlin.Mommsen@legis.iowa.gov" TargetMode="External"/><Relationship Id="rId366" Type="http://schemas.openxmlformats.org/officeDocument/2006/relationships/hyperlink" Target="https://ballotpedia.org/Thomas_Greene_(Iowa)" TargetMode="External"/><Relationship Id="rId123" Type="http://schemas.openxmlformats.org/officeDocument/2006/relationships/hyperlink" Target="https://ballotpedia.org/Iowa_House_of_Representatives_District_50" TargetMode="External"/><Relationship Id="rId244" Type="http://schemas.openxmlformats.org/officeDocument/2006/relationships/hyperlink" Target="https://ballotpedia.org/Norlin_Mommsen" TargetMode="External"/><Relationship Id="rId365" Type="http://schemas.openxmlformats.org/officeDocument/2006/relationships/hyperlink" Target="https://ballotpedia.org/Iowa_State_Senate_District_44" TargetMode="External"/><Relationship Id="rId122" Type="http://schemas.openxmlformats.org/officeDocument/2006/relationships/hyperlink" Target="mailto:dave.deyoe@legis.iowa.gov" TargetMode="External"/><Relationship Id="rId243" Type="http://schemas.openxmlformats.org/officeDocument/2006/relationships/hyperlink" Target="https://ballotpedia.org/Iowa_House_of_Representatives_District_97" TargetMode="External"/><Relationship Id="rId364" Type="http://schemas.openxmlformats.org/officeDocument/2006/relationships/hyperlink" Target="mailto:joe.bolkcom@legis.iowa.gov" TargetMode="External"/><Relationship Id="rId95" Type="http://schemas.openxmlformats.org/officeDocument/2006/relationships/hyperlink" Target="mailto:marti.anderson@legis.iowa.gov" TargetMode="External"/><Relationship Id="rId94" Type="http://schemas.openxmlformats.org/officeDocument/2006/relationships/hyperlink" Target="https://ballotpedia.org/Marti_Anderson" TargetMode="External"/><Relationship Id="rId97" Type="http://schemas.openxmlformats.org/officeDocument/2006/relationships/hyperlink" Target="https://ballotpedia.org/John_Landon" TargetMode="External"/><Relationship Id="rId96" Type="http://schemas.openxmlformats.org/officeDocument/2006/relationships/hyperlink" Target="https://ballotpedia.org/Iowa_House_of_Representatives_District_37" TargetMode="External"/><Relationship Id="rId99" Type="http://schemas.openxmlformats.org/officeDocument/2006/relationships/hyperlink" Target="https://ballotpedia.org/Iowa_House_of_Representatives_District_38" TargetMode="External"/><Relationship Id="rId98" Type="http://schemas.openxmlformats.org/officeDocument/2006/relationships/hyperlink" Target="mailto:john.landon@legis.iowa.gov" TargetMode="External"/><Relationship Id="rId91" Type="http://schemas.openxmlformats.org/officeDocument/2006/relationships/hyperlink" Target="https://ballotpedia.org/Ako_Abdul-Samad" TargetMode="External"/><Relationship Id="rId90" Type="http://schemas.openxmlformats.org/officeDocument/2006/relationships/hyperlink" Target="https://ballotpedia.org/Iowa_House_of_Representatives_District_35" TargetMode="External"/><Relationship Id="rId93" Type="http://schemas.openxmlformats.org/officeDocument/2006/relationships/hyperlink" Target="https://ballotpedia.org/Iowa_House_of_Representatives_District_36" TargetMode="External"/><Relationship Id="rId92" Type="http://schemas.openxmlformats.org/officeDocument/2006/relationships/hyperlink" Target="mailto:ako.abdul-samad@legis.iowa.gov" TargetMode="External"/><Relationship Id="rId118" Type="http://schemas.openxmlformats.org/officeDocument/2006/relationships/hyperlink" Target="https://ballotpedia.org/Robert_Bacon,_Iowa" TargetMode="External"/><Relationship Id="rId239" Type="http://schemas.openxmlformats.org/officeDocument/2006/relationships/hyperlink" Target="mailto:Louie.zumbach@legis.iowa.gov" TargetMode="External"/><Relationship Id="rId117" Type="http://schemas.openxmlformats.org/officeDocument/2006/relationships/hyperlink" Target="https://ballotpedia.org/Iowa_House_of_Representatives_District_48" TargetMode="External"/><Relationship Id="rId238" Type="http://schemas.openxmlformats.org/officeDocument/2006/relationships/hyperlink" Target="https://ballotpedia.org/Louis_Zumbach" TargetMode="External"/><Relationship Id="rId359" Type="http://schemas.openxmlformats.org/officeDocument/2006/relationships/hyperlink" Target="https://ballotpedia.org/Iowa_State_Senate_District_42" TargetMode="External"/><Relationship Id="rId116" Type="http://schemas.openxmlformats.org/officeDocument/2006/relationships/hyperlink" Target="https://ballotpedia.org/Iowa_House_of_Representatives_District_47" TargetMode="External"/><Relationship Id="rId237" Type="http://schemas.openxmlformats.org/officeDocument/2006/relationships/hyperlink" Target="https://ballotpedia.org/Iowa_House_of_Representatives_District_95" TargetMode="External"/><Relationship Id="rId358" Type="http://schemas.openxmlformats.org/officeDocument/2006/relationships/hyperlink" Target="https://ballotpedia.org/Iowa_State_Senate_District_41" TargetMode="External"/><Relationship Id="rId115" Type="http://schemas.openxmlformats.org/officeDocument/2006/relationships/hyperlink" Target="mailto:lisa.heddens@legis.iowa.gov" TargetMode="External"/><Relationship Id="rId236" Type="http://schemas.openxmlformats.org/officeDocument/2006/relationships/hyperlink" Target="mailto:Gary.Mohr@legis.iowa.gov" TargetMode="External"/><Relationship Id="rId357" Type="http://schemas.openxmlformats.org/officeDocument/2006/relationships/hyperlink" Target="mailto:ken.rozenboom@legis.iowa.gov" TargetMode="External"/><Relationship Id="rId119" Type="http://schemas.openxmlformats.org/officeDocument/2006/relationships/hyperlink" Target="mailto:rob.bacon@legis.iowa.gov" TargetMode="External"/><Relationship Id="rId110" Type="http://schemas.openxmlformats.org/officeDocument/2006/relationships/hyperlink" Target="https://ballotpedia.org/Iowa_House_of_Representatives_District_45" TargetMode="External"/><Relationship Id="rId231" Type="http://schemas.openxmlformats.org/officeDocument/2006/relationships/hyperlink" Target="https://ballotpedia.org/Iowa_House_of_Representatives_District_93" TargetMode="External"/><Relationship Id="rId352" Type="http://schemas.openxmlformats.org/officeDocument/2006/relationships/hyperlink" Target="https://ballotpedia.org/Iowa_State_Senate_District_39" TargetMode="External"/><Relationship Id="rId230" Type="http://schemas.openxmlformats.org/officeDocument/2006/relationships/hyperlink" Target="mailto:Ross.Paustian@legis.iowa.gov" TargetMode="External"/><Relationship Id="rId351" Type="http://schemas.openxmlformats.org/officeDocument/2006/relationships/hyperlink" Target="mailto:tim.kapucian@legis.iowa.gov" TargetMode="External"/><Relationship Id="rId350" Type="http://schemas.openxmlformats.org/officeDocument/2006/relationships/hyperlink" Target="https://ballotpedia.org/Tim_Kapucian" TargetMode="External"/><Relationship Id="rId114" Type="http://schemas.openxmlformats.org/officeDocument/2006/relationships/hyperlink" Target="https://ballotpedia.org/Lisa_Heddens" TargetMode="External"/><Relationship Id="rId235" Type="http://schemas.openxmlformats.org/officeDocument/2006/relationships/hyperlink" Target="https://ballotpedia.org/Gary_Mohr" TargetMode="External"/><Relationship Id="rId356" Type="http://schemas.openxmlformats.org/officeDocument/2006/relationships/hyperlink" Target="https://ballotpedia.org/Ken_Rozenboom" TargetMode="External"/><Relationship Id="rId113" Type="http://schemas.openxmlformats.org/officeDocument/2006/relationships/hyperlink" Target="https://ballotpedia.org/Iowa_House_of_Representatives_District_46" TargetMode="External"/><Relationship Id="rId234" Type="http://schemas.openxmlformats.org/officeDocument/2006/relationships/hyperlink" Target="https://ballotpedia.org/Iowa_House_of_Representatives_District_94" TargetMode="External"/><Relationship Id="rId355" Type="http://schemas.openxmlformats.org/officeDocument/2006/relationships/hyperlink" Target="https://ballotpedia.org/Iowa_State_Senate_District_40" TargetMode="External"/><Relationship Id="rId112" Type="http://schemas.openxmlformats.org/officeDocument/2006/relationships/hyperlink" Target="mailto:beth.wessel-kroeschell@legis.iowa.gov" TargetMode="External"/><Relationship Id="rId233" Type="http://schemas.openxmlformats.org/officeDocument/2006/relationships/hyperlink" Target="mailto:phyllis.thede@legis.iowa.gov" TargetMode="External"/><Relationship Id="rId354" Type="http://schemas.openxmlformats.org/officeDocument/2006/relationships/hyperlink" Target="mailto:kevin.kinney@legis.iowa.gov" TargetMode="External"/><Relationship Id="rId111" Type="http://schemas.openxmlformats.org/officeDocument/2006/relationships/hyperlink" Target="https://ballotpedia.org/Beth_Wessel-Kroeschell" TargetMode="External"/><Relationship Id="rId232" Type="http://schemas.openxmlformats.org/officeDocument/2006/relationships/hyperlink" Target="https://ballotpedia.org/Phyllis_Thede" TargetMode="External"/><Relationship Id="rId353" Type="http://schemas.openxmlformats.org/officeDocument/2006/relationships/hyperlink" Target="https://ballotpedia.org/Kevin_Kinney" TargetMode="External"/><Relationship Id="rId305" Type="http://schemas.openxmlformats.org/officeDocument/2006/relationships/hyperlink" Target="mailto:brad.zaun@legis.iowa.gov" TargetMode="External"/><Relationship Id="rId304" Type="http://schemas.openxmlformats.org/officeDocument/2006/relationships/hyperlink" Target="https://ballotpedia.org/Brad_Zaun" TargetMode="External"/><Relationship Id="rId303" Type="http://schemas.openxmlformats.org/officeDocument/2006/relationships/hyperlink" Target="https://ballotpedia.org/Iowa_State_Senate_District_20" TargetMode="External"/><Relationship Id="rId302" Type="http://schemas.openxmlformats.org/officeDocument/2006/relationships/hyperlink" Target="mailto:jack.whitver@legis.iowa.gov" TargetMode="External"/><Relationship Id="rId309" Type="http://schemas.openxmlformats.org/officeDocument/2006/relationships/hyperlink" Target="mailto:charles.schneider@legis.iowa.gov" TargetMode="External"/><Relationship Id="rId308" Type="http://schemas.openxmlformats.org/officeDocument/2006/relationships/hyperlink" Target="https://ballotpedia.org/Charles_Schneider" TargetMode="External"/><Relationship Id="rId307" Type="http://schemas.openxmlformats.org/officeDocument/2006/relationships/hyperlink" Target="https://ballotpedia.org/Iowa_State_Senate_District_22" TargetMode="External"/><Relationship Id="rId306" Type="http://schemas.openxmlformats.org/officeDocument/2006/relationships/hyperlink" Target="https://ballotpedia.org/Iowa_State_Senate_District_21" TargetMode="External"/><Relationship Id="rId301" Type="http://schemas.openxmlformats.org/officeDocument/2006/relationships/hyperlink" Target="https://ballotpedia.org/Jack_Whitver" TargetMode="External"/><Relationship Id="rId300" Type="http://schemas.openxmlformats.org/officeDocument/2006/relationships/hyperlink" Target="https://ballotpedia.org/Iowa_State_Senate_District_19" TargetMode="External"/><Relationship Id="rId206" Type="http://schemas.openxmlformats.org/officeDocument/2006/relationships/hyperlink" Target="https://ballotpedia.org/Iowa_House_of_Representatives_District_84" TargetMode="External"/><Relationship Id="rId327" Type="http://schemas.openxmlformats.org/officeDocument/2006/relationships/hyperlink" Target="mailto:michael.breitbach@legis.iowa.gov" TargetMode="External"/><Relationship Id="rId205" Type="http://schemas.openxmlformats.org/officeDocument/2006/relationships/hyperlink" Target="mailto:jerry.kearns@legis.iowa.gov" TargetMode="External"/><Relationship Id="rId326" Type="http://schemas.openxmlformats.org/officeDocument/2006/relationships/hyperlink" Target="https://ballotpedia.org/Michael_Breitbach" TargetMode="External"/><Relationship Id="rId204" Type="http://schemas.openxmlformats.org/officeDocument/2006/relationships/hyperlink" Target="https://ballotpedia.org/Iowa_House_of_Representatives_District_83" TargetMode="External"/><Relationship Id="rId325" Type="http://schemas.openxmlformats.org/officeDocument/2006/relationships/hyperlink" Target="https://ballotpedia.org/Iowa_State_Senate_District_28" TargetMode="External"/><Relationship Id="rId203" Type="http://schemas.openxmlformats.org/officeDocument/2006/relationships/hyperlink" Target="https://ballotpedia.org/Iowa_House_of_Representatives_District_82" TargetMode="External"/><Relationship Id="rId324" Type="http://schemas.openxmlformats.org/officeDocument/2006/relationships/hyperlink" Target="mailto:amanda.ragan@legis.iowa.gov" TargetMode="External"/><Relationship Id="rId209" Type="http://schemas.openxmlformats.org/officeDocument/2006/relationships/hyperlink" Target="mailto:vicki.lensing@legis.iowa.gov" TargetMode="External"/><Relationship Id="rId208" Type="http://schemas.openxmlformats.org/officeDocument/2006/relationships/hyperlink" Target="https://ballotpedia.org/Vicki_Lensing" TargetMode="External"/><Relationship Id="rId329" Type="http://schemas.openxmlformats.org/officeDocument/2006/relationships/hyperlink" Target="https://ballotpedia.org/Iowa_State_Senate_District_30" TargetMode="External"/><Relationship Id="rId207" Type="http://schemas.openxmlformats.org/officeDocument/2006/relationships/hyperlink" Target="https://ballotpedia.org/Iowa_House_of_Representatives_District_85" TargetMode="External"/><Relationship Id="rId328" Type="http://schemas.openxmlformats.org/officeDocument/2006/relationships/hyperlink" Target="https://ballotpedia.org/Iowa_State_Senate_District_29" TargetMode="External"/><Relationship Id="rId202" Type="http://schemas.openxmlformats.org/officeDocument/2006/relationships/hyperlink" Target="mailto:mary.gaskill@legis.iowa.gov" TargetMode="External"/><Relationship Id="rId323" Type="http://schemas.openxmlformats.org/officeDocument/2006/relationships/hyperlink" Target="https://ballotpedia.org/Amanda_Ragan" TargetMode="External"/><Relationship Id="rId201" Type="http://schemas.openxmlformats.org/officeDocument/2006/relationships/hyperlink" Target="https://ballotpedia.org/Mary_Gaskill" TargetMode="External"/><Relationship Id="rId322" Type="http://schemas.openxmlformats.org/officeDocument/2006/relationships/hyperlink" Target="https://ballotpedia.org/Iowa_State_Senate_District_27" TargetMode="External"/><Relationship Id="rId200" Type="http://schemas.openxmlformats.org/officeDocument/2006/relationships/hyperlink" Target="https://ballotpedia.org/Iowa_House_of_Representatives_District_81" TargetMode="External"/><Relationship Id="rId321" Type="http://schemas.openxmlformats.org/officeDocument/2006/relationships/hyperlink" Target="mailto:waylon.brown@legis.iowa.gov" TargetMode="External"/><Relationship Id="rId320" Type="http://schemas.openxmlformats.org/officeDocument/2006/relationships/hyperlink" Target="https://ballotpedia.org/Waylon_Brown" TargetMode="External"/><Relationship Id="rId316" Type="http://schemas.openxmlformats.org/officeDocument/2006/relationships/hyperlink" Target="https://ballotpedia.org/Iowa_State_Senate_District_25" TargetMode="External"/><Relationship Id="rId315" Type="http://schemas.openxmlformats.org/officeDocument/2006/relationships/hyperlink" Target="mailto:jerry.behn@legis.iowa.gov" TargetMode="External"/><Relationship Id="rId314" Type="http://schemas.openxmlformats.org/officeDocument/2006/relationships/hyperlink" Target="https://ballotpedia.org/Jerry_Behn" TargetMode="External"/><Relationship Id="rId313" Type="http://schemas.openxmlformats.org/officeDocument/2006/relationships/hyperlink" Target="https://ballotpedia.org/Iowa_State_Senate_District_24" TargetMode="External"/><Relationship Id="rId319" Type="http://schemas.openxmlformats.org/officeDocument/2006/relationships/hyperlink" Target="https://ballotpedia.org/Iowa_State_Senate_District_26" TargetMode="External"/><Relationship Id="rId318" Type="http://schemas.openxmlformats.org/officeDocument/2006/relationships/hyperlink" Target="mailto:annette.sweeney@legis.iowa.gov" TargetMode="External"/><Relationship Id="rId317" Type="http://schemas.openxmlformats.org/officeDocument/2006/relationships/hyperlink" Target="https://ballotpedia.org/Annette_Sweeney" TargetMode="External"/><Relationship Id="rId312" Type="http://schemas.openxmlformats.org/officeDocument/2006/relationships/hyperlink" Target="mailto:herman.quirmbach@legis.iowa.gov" TargetMode="External"/><Relationship Id="rId311" Type="http://schemas.openxmlformats.org/officeDocument/2006/relationships/hyperlink" Target="https://ballotpedia.org/Herman_Quirmbach" TargetMode="External"/><Relationship Id="rId310" Type="http://schemas.openxmlformats.org/officeDocument/2006/relationships/hyperlink" Target="https://ballotpedia.org/Iowa_State_Senate_District_23"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en.wikipedia.org/wiki/Michael_Houser_(politician)" TargetMode="External"/><Relationship Id="rId2" Type="http://schemas.openxmlformats.org/officeDocument/2006/relationships/hyperlink" Target="https://en.wikipedia.org/w/index.php?title=Monica_Murnan&amp;action=edit&amp;redlink=1" TargetMode="External"/><Relationship Id="rId3" Type="http://schemas.openxmlformats.org/officeDocument/2006/relationships/hyperlink" Target="https://en.wikipedia.org/w/index.php?title=Trevor_Jacobs_(politician)&amp;action=edit&amp;redlink=1" TargetMode="External"/><Relationship Id="rId4" Type="http://schemas.openxmlformats.org/officeDocument/2006/relationships/hyperlink" Target="https://en.wikipedia.org/wiki/Jene_Vickrey" TargetMode="External"/><Relationship Id="rId9" Type="http://schemas.openxmlformats.org/officeDocument/2006/relationships/hyperlink" Target="https://en.wikipedia.org/wiki/Doug_Blex" TargetMode="External"/><Relationship Id="rId5" Type="http://schemas.openxmlformats.org/officeDocument/2006/relationships/hyperlink" Target="https://en.wikipedia.org/wiki/Richard_Proehl" TargetMode="External"/><Relationship Id="rId6" Type="http://schemas.openxmlformats.org/officeDocument/2006/relationships/hyperlink" Target="https://en.wikipedia.org/wiki/Kent_Thompson" TargetMode="External"/><Relationship Id="rId7" Type="http://schemas.openxmlformats.org/officeDocument/2006/relationships/hyperlink" Target="https://en.wikipedia.org/w/index.php?title=Eileen_Horn&amp;action=edit&amp;redlink=1" TargetMode="External"/><Relationship Id="rId8" Type="http://schemas.openxmlformats.org/officeDocument/2006/relationships/hyperlink" Target="https://en.wikipedia.org/wiki/Jim_Kelly_(Kansas_politician)" TargetMode="External"/><Relationship Id="rId132" Type="http://schemas.openxmlformats.org/officeDocument/2006/relationships/hyperlink" Target="https://en.wikipedia.org/wiki/Molly_Baumgardner" TargetMode="External"/><Relationship Id="rId131" Type="http://schemas.openxmlformats.org/officeDocument/2006/relationships/hyperlink" Target="https://en.wikipedia.org/wiki/Elaine_Bowers" TargetMode="External"/><Relationship Id="rId130" Type="http://schemas.openxmlformats.org/officeDocument/2006/relationships/hyperlink" Target="https://en.wikipedia.org/wiki/Richard_Wilborn" TargetMode="External"/><Relationship Id="rId136" Type="http://schemas.openxmlformats.org/officeDocument/2006/relationships/drawing" Target="../drawings/drawing17.xml"/><Relationship Id="rId135" Type="http://schemas.openxmlformats.org/officeDocument/2006/relationships/hyperlink" Target="https://en.wikipedia.org/wiki/Rick_Billinger" TargetMode="External"/><Relationship Id="rId134" Type="http://schemas.openxmlformats.org/officeDocument/2006/relationships/hyperlink" Target="https://en.wikipedia.org/wiki/John_Doll_(Kansas_politician)" TargetMode="External"/><Relationship Id="rId133" Type="http://schemas.openxmlformats.org/officeDocument/2006/relationships/hyperlink" Target="https://en.wikipedia.org/wiki/Bud_Estes" TargetMode="External"/><Relationship Id="rId40" Type="http://schemas.openxmlformats.org/officeDocument/2006/relationships/hyperlink" Target="https://en.wikipedia.org/wiki/Ken_Corbet" TargetMode="External"/><Relationship Id="rId42" Type="http://schemas.openxmlformats.org/officeDocument/2006/relationships/hyperlink" Target="https://en.wikipedia.org/wiki/Virgil_Weigel" TargetMode="External"/><Relationship Id="rId41" Type="http://schemas.openxmlformats.org/officeDocument/2006/relationships/hyperlink" Target="https://en.wikipedia.org/wiki/Annie_Kuether" TargetMode="External"/><Relationship Id="rId44" Type="http://schemas.openxmlformats.org/officeDocument/2006/relationships/hyperlink" Target="https://en.wikipedia.org/w/index.php?title=Blaine_Finch&amp;action=edit&amp;redlink=1" TargetMode="External"/><Relationship Id="rId43" Type="http://schemas.openxmlformats.org/officeDocument/2006/relationships/hyperlink" Target="https://en.wikipedia.org/wiki/John_Alcala" TargetMode="External"/><Relationship Id="rId46" Type="http://schemas.openxmlformats.org/officeDocument/2006/relationships/hyperlink" Target="https://en.wikipedia.org/w/index.php?title=Francis_Awerkamp&amp;action=edit&amp;redlink=1" TargetMode="External"/><Relationship Id="rId45" Type="http://schemas.openxmlformats.org/officeDocument/2006/relationships/hyperlink" Target="https://en.wikipedia.org/wiki/Mark_Schreiber" TargetMode="External"/><Relationship Id="rId48" Type="http://schemas.openxmlformats.org/officeDocument/2006/relationships/hyperlink" Target="https://en.wikipedia.org/wiki/John_Eplee" TargetMode="External"/><Relationship Id="rId47" Type="http://schemas.openxmlformats.org/officeDocument/2006/relationships/hyperlink" Target="https://en.wikipedia.org/wiki/Randy_Garber_(politician)" TargetMode="External"/><Relationship Id="rId49" Type="http://schemas.openxmlformats.org/officeDocument/2006/relationships/hyperlink" Target="https://en.wikipedia.org/wiki/Susie_Swanson" TargetMode="External"/><Relationship Id="rId31" Type="http://schemas.openxmlformats.org/officeDocument/2006/relationships/hyperlink" Target="https://en.wikipedia.org/wiki/Jim_Karleskint" TargetMode="External"/><Relationship Id="rId30" Type="http://schemas.openxmlformats.org/officeDocument/2006/relationships/hyperlink" Target="https://en.wikipedia.org/w/index.php?title=Jeff_Pittman&amp;action=edit&amp;redlink=1" TargetMode="External"/><Relationship Id="rId33" Type="http://schemas.openxmlformats.org/officeDocument/2006/relationships/hyperlink" Target="https://en.wikipedia.org/wiki/Barbara_Ballard" TargetMode="External"/><Relationship Id="rId32" Type="http://schemas.openxmlformats.org/officeDocument/2006/relationships/hyperlink" Target="https://en.wikipedia.org/w/index.php?title=William_Sutton_(Kansas_politician)&amp;action=edit&amp;redlink=1" TargetMode="External"/><Relationship Id="rId35" Type="http://schemas.openxmlformats.org/officeDocument/2006/relationships/hyperlink" Target="https://en.wikipedia.org/wiki/Ronald_Ellis_(Kansas_politician)" TargetMode="External"/><Relationship Id="rId34" Type="http://schemas.openxmlformats.org/officeDocument/2006/relationships/hyperlink" Target="https://en.wikipedia.org/wiki/Dennis_Highberger" TargetMode="External"/><Relationship Id="rId37" Type="http://schemas.openxmlformats.org/officeDocument/2006/relationships/hyperlink" Target="https://en.wikipedia.org/wiki/Ron_Highland" TargetMode="External"/><Relationship Id="rId36" Type="http://schemas.openxmlformats.org/officeDocument/2006/relationships/hyperlink" Target="https://en.wikipedia.org/w/index.php?title=Fred_Patton&amp;action=edit&amp;redlink=1" TargetMode="External"/><Relationship Id="rId39" Type="http://schemas.openxmlformats.org/officeDocument/2006/relationships/hyperlink" Target="https://en.wikipedia.org/w/index.php?title=Jim_Gartner&amp;action=edit&amp;redlink=1" TargetMode="External"/><Relationship Id="rId38" Type="http://schemas.openxmlformats.org/officeDocument/2006/relationships/hyperlink" Target="https://en.wikipedia.org/w/index.php?title=Brenda_Dietrich&amp;action=edit&amp;redlink=1" TargetMode="External"/><Relationship Id="rId20" Type="http://schemas.openxmlformats.org/officeDocument/2006/relationships/hyperlink" Target="https://en.wikipedia.org/w/index.php?title=Randy_Powell_(Kansas_politician)&amp;action=edit&amp;redlink=1" TargetMode="External"/><Relationship Id="rId22" Type="http://schemas.openxmlformats.org/officeDocument/2006/relationships/hyperlink" Target="https://en.wikipedia.org/wiki/Pam_Curtis" TargetMode="External"/><Relationship Id="rId21" Type="http://schemas.openxmlformats.org/officeDocument/2006/relationships/hyperlink" Target="https://en.wikipedia.org/wiki/Louis_Ruiz" TargetMode="External"/><Relationship Id="rId24" Type="http://schemas.openxmlformats.org/officeDocument/2006/relationships/hyperlink" Target="https://en.wikipedia.org/wiki/Valdenia_Winn" TargetMode="External"/><Relationship Id="rId23" Type="http://schemas.openxmlformats.org/officeDocument/2006/relationships/hyperlink" Target="https://en.wikipedia.org/wiki/Tom_Burroughs" TargetMode="External"/><Relationship Id="rId26" Type="http://schemas.openxmlformats.org/officeDocument/2006/relationships/hyperlink" Target="https://en.wikipedia.org/w/index.php?title=Kathy_Wolfe_Moore&amp;action=edit&amp;redlink=1" TargetMode="External"/><Relationship Id="rId25" Type="http://schemas.openxmlformats.org/officeDocument/2006/relationships/hyperlink" Target="https://en.wikipedia.org/wiki/Broderick_Henderson" TargetMode="External"/><Relationship Id="rId28" Type="http://schemas.openxmlformats.org/officeDocument/2006/relationships/hyperlink" Target="https://en.wikipedia.org/wiki/Willie_Dove" TargetMode="External"/><Relationship Id="rId27" Type="http://schemas.openxmlformats.org/officeDocument/2006/relationships/hyperlink" Target="https://en.wikipedia.org/wiki/Stan_Frownfelter" TargetMode="External"/><Relationship Id="rId29" Type="http://schemas.openxmlformats.org/officeDocument/2006/relationships/hyperlink" Target="https://en.wikipedia.org/wiki/Debbie_Deere" TargetMode="External"/><Relationship Id="rId11" Type="http://schemas.openxmlformats.org/officeDocument/2006/relationships/hyperlink" Target="https://en.wikipedia.org/w/index.php?title=Cindy_Holscher&amp;action=edit&amp;redlink=1" TargetMode="External"/><Relationship Id="rId10" Type="http://schemas.openxmlformats.org/officeDocument/2006/relationships/hyperlink" Target="https://en.wikipedia.org/wiki/Larry_Hibbard" TargetMode="External"/><Relationship Id="rId13" Type="http://schemas.openxmlformats.org/officeDocument/2006/relationships/hyperlink" Target="https://en.wikipedia.org/wiki/Cindy_Neighbor" TargetMode="External"/><Relationship Id="rId12" Type="http://schemas.openxmlformats.org/officeDocument/2006/relationships/hyperlink" Target="https://en.wikipedia.org/w/index.php?title=Tom_Cox_(Kansas_politician)&amp;action=edit&amp;redlink=1" TargetMode="External"/><Relationship Id="rId15" Type="http://schemas.openxmlformats.org/officeDocument/2006/relationships/hyperlink" Target="https://en.wikipedia.org/wiki/Jan_Kessinger" TargetMode="External"/><Relationship Id="rId14" Type="http://schemas.openxmlformats.org/officeDocument/2006/relationships/hyperlink" Target="https://en.wikipedia.org/wiki/Stephanie_Clayton" TargetMode="External"/><Relationship Id="rId17" Type="http://schemas.openxmlformats.org/officeDocument/2006/relationships/hyperlink" Target="https://en.wikipedia.org/wiki/Nancy_Lusk" TargetMode="External"/><Relationship Id="rId16" Type="http://schemas.openxmlformats.org/officeDocument/2006/relationships/hyperlink" Target="https://en.wikipedia.org/wiki/Jerry_Stogsdill" TargetMode="External"/><Relationship Id="rId19" Type="http://schemas.openxmlformats.org/officeDocument/2006/relationships/hyperlink" Target="https://en.wikipedia.org/w/index.php?title=Sean_Tarwater&amp;action=edit&amp;redlink=1" TargetMode="External"/><Relationship Id="rId18" Type="http://schemas.openxmlformats.org/officeDocument/2006/relationships/hyperlink" Target="https://en.wikipedia.org/w/index.php?title=Jarrod_Ousley&amp;action=edit&amp;redlink=1" TargetMode="External"/><Relationship Id="rId84" Type="http://schemas.openxmlformats.org/officeDocument/2006/relationships/hyperlink" Target="https://en.wikipedia.org/w/index.php?title=Steven_C._Johnson&amp;action=edit&amp;redlink=1" TargetMode="External"/><Relationship Id="rId83" Type="http://schemas.openxmlformats.org/officeDocument/2006/relationships/hyperlink" Target="https://en.wikipedia.org/w/index.php?title=Susan_Concannon&amp;action=edit&amp;redlink=1" TargetMode="External"/><Relationship Id="rId86" Type="http://schemas.openxmlformats.org/officeDocument/2006/relationships/hyperlink" Target="https://en.wikipedia.org/w/index.php?title=Ken_Rahjes&amp;action=edit&amp;redlink=1" TargetMode="External"/><Relationship Id="rId85" Type="http://schemas.openxmlformats.org/officeDocument/2006/relationships/hyperlink" Target="https://en.wikipedia.org/w/index.php?title=Troy_Waymaster&amp;action=edit&amp;redlink=1" TargetMode="External"/><Relationship Id="rId88" Type="http://schemas.openxmlformats.org/officeDocument/2006/relationships/hyperlink" Target="https://en.wikipedia.org/w/index.php?title=Greg_Lewis_(Kansas_politician)&amp;action=edit&amp;redlink=1" TargetMode="External"/><Relationship Id="rId87" Type="http://schemas.openxmlformats.org/officeDocument/2006/relationships/hyperlink" Target="https://en.wikipedia.org/w/index.php?title=Tory_Marie_Arnberger&amp;action=edit&amp;redlink=1" TargetMode="External"/><Relationship Id="rId89" Type="http://schemas.openxmlformats.org/officeDocument/2006/relationships/hyperlink" Target="https://en.wikipedia.org/w/index.php?title=Jack_Thimesch&amp;action=edit&amp;redlink=1" TargetMode="External"/><Relationship Id="rId80" Type="http://schemas.openxmlformats.org/officeDocument/2006/relationships/hyperlink" Target="https://en.wikipedia.org/wiki/Steven_Becker" TargetMode="External"/><Relationship Id="rId82" Type="http://schemas.openxmlformats.org/officeDocument/2006/relationships/hyperlink" Target="https://en.wikipedia.org/wiki/Clay_Aurand" TargetMode="External"/><Relationship Id="rId81" Type="http://schemas.openxmlformats.org/officeDocument/2006/relationships/hyperlink" Target="https://en.wikipedia.org/wiki/Brenda_Landwehr" TargetMode="External"/><Relationship Id="rId73" Type="http://schemas.openxmlformats.org/officeDocument/2006/relationships/hyperlink" Target="https://en.wikipedia.org/wiki/Tom_Sawyer_(Kansas_politician)" TargetMode="External"/><Relationship Id="rId72" Type="http://schemas.openxmlformats.org/officeDocument/2006/relationships/hyperlink" Target="https://en.wikipedia.org/wiki/Leo_Delperdang" TargetMode="External"/><Relationship Id="rId75" Type="http://schemas.openxmlformats.org/officeDocument/2006/relationships/hyperlink" Target="https://en.wikipedia.org/w/index.php?title=Susan_Humphries&amp;action=edit&amp;redlink=1" TargetMode="External"/><Relationship Id="rId74" Type="http://schemas.openxmlformats.org/officeDocument/2006/relationships/hyperlink" Target="https://en.wikipedia.org/w/index.php?title=Brandon_Whipple&amp;action=edit&amp;redlink=1" TargetMode="External"/><Relationship Id="rId77" Type="http://schemas.openxmlformats.org/officeDocument/2006/relationships/hyperlink" Target="https://en.wikipedia.org/wiki/Joe_Seiwert" TargetMode="External"/><Relationship Id="rId76" Type="http://schemas.openxmlformats.org/officeDocument/2006/relationships/hyperlink" Target="https://en.wikipedia.org/wiki/Daniel_Hawkins_(politician)" TargetMode="External"/><Relationship Id="rId79" Type="http://schemas.openxmlformats.org/officeDocument/2006/relationships/hyperlink" Target="https://en.wikipedia.org/wiki/Ponka-We_Victors" TargetMode="External"/><Relationship Id="rId78" Type="http://schemas.openxmlformats.org/officeDocument/2006/relationships/hyperlink" Target="https://en.wikipedia.org/w/index.php?title=Jason_Probst&amp;action=edit&amp;redlink=1" TargetMode="External"/><Relationship Id="rId71" Type="http://schemas.openxmlformats.org/officeDocument/2006/relationships/hyperlink" Target="https://en.wikipedia.org/wiki/John_Carmichael_(Kansas_politician)" TargetMode="External"/><Relationship Id="rId70" Type="http://schemas.openxmlformats.org/officeDocument/2006/relationships/hyperlink" Target="https://en.wikipedia.org/w/index.php?title=Emil_Bergquist&amp;action=edit&amp;redlink=1" TargetMode="External"/><Relationship Id="rId62" Type="http://schemas.openxmlformats.org/officeDocument/2006/relationships/hyperlink" Target="https://en.wikipedia.org/wiki/Blake_Carpenter" TargetMode="External"/><Relationship Id="rId61" Type="http://schemas.openxmlformats.org/officeDocument/2006/relationships/hyperlink" Target="https://en.wikipedia.org/w/index.php?title=Anita_Judd-Jenkins&amp;action=edit&amp;redlink=1" TargetMode="External"/><Relationship Id="rId64" Type="http://schemas.openxmlformats.org/officeDocument/2006/relationships/hyperlink" Target="https://en.wikipedia.org/wiki/Henry_Helgerson" TargetMode="External"/><Relationship Id="rId63" Type="http://schemas.openxmlformats.org/officeDocument/2006/relationships/hyperlink" Target="https://en.wikipedia.org/w/index.php?title=Jesse_Burris&amp;action=edit&amp;redlink=1" TargetMode="External"/><Relationship Id="rId66" Type="http://schemas.openxmlformats.org/officeDocument/2006/relationships/hyperlink" Target="https://en.wikipedia.org/wiki/Jim_Ward_(Kansas_politician)" TargetMode="External"/><Relationship Id="rId65" Type="http://schemas.openxmlformats.org/officeDocument/2006/relationships/hyperlink" Target="https://en.wikipedia.org/wiki/Gail_Finney" TargetMode="External"/><Relationship Id="rId68" Type="http://schemas.openxmlformats.org/officeDocument/2006/relationships/hyperlink" Target="https://en.wikipedia.org/wiki/KC_Ohaebosim" TargetMode="External"/><Relationship Id="rId67" Type="http://schemas.openxmlformats.org/officeDocument/2006/relationships/hyperlink" Target="https://en.wikipedia.org/wiki/Roger_Elliott" TargetMode="External"/><Relationship Id="rId60" Type="http://schemas.openxmlformats.org/officeDocument/2006/relationships/hyperlink" Target="https://en.wikipedia.org/w/index.php?title=Kristey_Williams&amp;action=edit&amp;redlink=1" TargetMode="External"/><Relationship Id="rId69" Type="http://schemas.openxmlformats.org/officeDocument/2006/relationships/hyperlink" Target="https://en.wikipedia.org/wiki/Steve_Huebert" TargetMode="External"/><Relationship Id="rId51" Type="http://schemas.openxmlformats.org/officeDocument/2006/relationships/hyperlink" Target="https://en.wikipedia.org/wiki/Sydney_Carlin" TargetMode="External"/><Relationship Id="rId50" Type="http://schemas.openxmlformats.org/officeDocument/2006/relationships/hyperlink" Target="https://en.wikipedia.org/wiki/Lonnie_Clark" TargetMode="External"/><Relationship Id="rId53" Type="http://schemas.openxmlformats.org/officeDocument/2006/relationships/hyperlink" Target="https://en.wikipedia.org/w/index.php?title=Dave_Baker_(Kansas_politician)&amp;action=edit&amp;redlink=1" TargetMode="External"/><Relationship Id="rId52" Type="http://schemas.openxmlformats.org/officeDocument/2006/relationships/hyperlink" Target="https://en.wikipedia.org/wiki/Tom_Phillips_(Kansas_politician)" TargetMode="External"/><Relationship Id="rId55" Type="http://schemas.openxmlformats.org/officeDocument/2006/relationships/hyperlink" Target="https://en.wikipedia.org/wiki/Diana_Dierks" TargetMode="External"/><Relationship Id="rId54" Type="http://schemas.openxmlformats.org/officeDocument/2006/relationships/hyperlink" Target="https://en.wikipedia.org/wiki/John_Barker_(Kansas_politician)" TargetMode="External"/><Relationship Id="rId57" Type="http://schemas.openxmlformats.org/officeDocument/2006/relationships/hyperlink" Target="https://en.wikipedia.org/wiki/Don_Schroeder" TargetMode="External"/><Relationship Id="rId56" Type="http://schemas.openxmlformats.org/officeDocument/2006/relationships/hyperlink" Target="https://en.wikipedia.org/wiki/Les_Mason" TargetMode="External"/><Relationship Id="rId59" Type="http://schemas.openxmlformats.org/officeDocument/2006/relationships/hyperlink" Target="https://en.wikipedia.org/w/index.php?title=Eric_Smith_(Kansas_politician)&amp;action=edit&amp;redlink=1" TargetMode="External"/><Relationship Id="rId58" Type="http://schemas.openxmlformats.org/officeDocument/2006/relationships/hyperlink" Target="https://en.wikipedia.org/wiki/Mary_Good" TargetMode="External"/><Relationship Id="rId107" Type="http://schemas.openxmlformats.org/officeDocument/2006/relationships/hyperlink" Target="https://en.wikipedia.org/wiki/Jim_Denning" TargetMode="External"/><Relationship Id="rId106" Type="http://schemas.openxmlformats.org/officeDocument/2006/relationships/hyperlink" Target="https://en.wikipedia.org/wiki/Barbara_Bollier" TargetMode="External"/><Relationship Id="rId105" Type="http://schemas.openxmlformats.org/officeDocument/2006/relationships/hyperlink" Target="https://en.wikipedia.org/wiki/Pat_Pettey" TargetMode="External"/><Relationship Id="rId104" Type="http://schemas.openxmlformats.org/officeDocument/2006/relationships/hyperlink" Target="https://en.wikipedia.org/wiki/Steve_Fitzgerald" TargetMode="External"/><Relationship Id="rId109" Type="http://schemas.openxmlformats.org/officeDocument/2006/relationships/hyperlink" Target="https://en.wikipedia.org/wiki/Mary_Pilcher-Cook" TargetMode="External"/><Relationship Id="rId108" Type="http://schemas.openxmlformats.org/officeDocument/2006/relationships/hyperlink" Target="https://en.wikipedia.org/wiki/Julia_Lynn" TargetMode="External"/><Relationship Id="rId103" Type="http://schemas.openxmlformats.org/officeDocument/2006/relationships/hyperlink" Target="https://en.wikipedia.org/wiki/David_Haley" TargetMode="External"/><Relationship Id="rId102" Type="http://schemas.openxmlformats.org/officeDocument/2006/relationships/hyperlink" Target="https://en.wikipedia.org/wiki/Tom_Holland_(politician)" TargetMode="External"/><Relationship Id="rId101" Type="http://schemas.openxmlformats.org/officeDocument/2006/relationships/hyperlink" Target="https://en.wikipedia.org/wiki/Marci_Francisco" TargetMode="External"/><Relationship Id="rId100" Type="http://schemas.openxmlformats.org/officeDocument/2006/relationships/hyperlink" Target="https://en.wikipedia.org/wiki/Dennis_Pyle" TargetMode="External"/><Relationship Id="rId129" Type="http://schemas.openxmlformats.org/officeDocument/2006/relationships/hyperlink" Target="https://en.wikipedia.org/w/index.php?title=Ed_Berger&amp;action=edit&amp;redlink=1" TargetMode="External"/><Relationship Id="rId128" Type="http://schemas.openxmlformats.org/officeDocument/2006/relationships/hyperlink" Target="https://en.wikipedia.org/w/index.php?title=Larry_Alley&amp;action=edit&amp;redlink=1" TargetMode="External"/><Relationship Id="rId127" Type="http://schemas.openxmlformats.org/officeDocument/2006/relationships/hyperlink" Target="https://en.wikipedia.org/wiki/Carolyn_McGinn" TargetMode="External"/><Relationship Id="rId126" Type="http://schemas.openxmlformats.org/officeDocument/2006/relationships/hyperlink" Target="https://en.wikipedia.org/wiki/Susan_Wagle" TargetMode="External"/><Relationship Id="rId121" Type="http://schemas.openxmlformats.org/officeDocument/2006/relationships/hyperlink" Target="https://en.wikipedia.org/w/index.php?title=Randall_Hardy&amp;action=edit&amp;redlink=1" TargetMode="External"/><Relationship Id="rId120" Type="http://schemas.openxmlformats.org/officeDocument/2006/relationships/hyperlink" Target="https://en.wikipedia.org/wiki/Robert_S._Olson" TargetMode="External"/><Relationship Id="rId125" Type="http://schemas.openxmlformats.org/officeDocument/2006/relationships/hyperlink" Target="https://en.wikipedia.org/wiki/Oletha_Faust-Goudeau" TargetMode="External"/><Relationship Id="rId124" Type="http://schemas.openxmlformats.org/officeDocument/2006/relationships/hyperlink" Target="https://en.wikipedia.org/wiki/Mike_Petersen_(politician)" TargetMode="External"/><Relationship Id="rId123" Type="http://schemas.openxmlformats.org/officeDocument/2006/relationships/hyperlink" Target="https://en.wikipedia.org/wiki/Gene_Suellentrop" TargetMode="External"/><Relationship Id="rId122" Type="http://schemas.openxmlformats.org/officeDocument/2006/relationships/hyperlink" Target="https://en.wikipedia.org/wiki/Dan_Kerschen" TargetMode="External"/><Relationship Id="rId95" Type="http://schemas.openxmlformats.org/officeDocument/2006/relationships/hyperlink" Target="https://en.wikipedia.org/wiki/Adam_Smith_(disambiguation)" TargetMode="External"/><Relationship Id="rId94" Type="http://schemas.openxmlformats.org/officeDocument/2006/relationships/hyperlink" Target="https://en.wikipedia.org/w/index.php?title=Bradley_Ralph&amp;action=edit&amp;redlink=1" TargetMode="External"/><Relationship Id="rId97" Type="http://schemas.openxmlformats.org/officeDocument/2006/relationships/hyperlink" Target="https://en.wikipedia.org/w/index.php?title=Russell_Jennings&amp;action=edit&amp;redlink=1" TargetMode="External"/><Relationship Id="rId96" Type="http://schemas.openxmlformats.org/officeDocument/2006/relationships/hyperlink" Target="https://en.wikipedia.org/wiki/John_Resman" TargetMode="External"/><Relationship Id="rId99" Type="http://schemas.openxmlformats.org/officeDocument/2006/relationships/hyperlink" Target="https://en.wikipedia.org/wiki/Shannon_Francis" TargetMode="External"/><Relationship Id="rId98" Type="http://schemas.openxmlformats.org/officeDocument/2006/relationships/hyperlink" Target="https://en.wikipedia.org/wiki/John_Wheeler_(Kansas_politician)" TargetMode="External"/><Relationship Id="rId91" Type="http://schemas.openxmlformats.org/officeDocument/2006/relationships/hyperlink" Target="https://en.wikipedia.org/wiki/Kyle_Hoffman" TargetMode="External"/><Relationship Id="rId90" Type="http://schemas.openxmlformats.org/officeDocument/2006/relationships/hyperlink" Target="https://en.wikipedia.org/wiki/Boyd_Orr_(politician)" TargetMode="External"/><Relationship Id="rId93" Type="http://schemas.openxmlformats.org/officeDocument/2006/relationships/hyperlink" Target="https://en.wikipedia.org/wiki/Don_Hineman" TargetMode="External"/><Relationship Id="rId92" Type="http://schemas.openxmlformats.org/officeDocument/2006/relationships/hyperlink" Target="https://en.wikipedia.org/wiki/Leonard_Mastroni" TargetMode="External"/><Relationship Id="rId118" Type="http://schemas.openxmlformats.org/officeDocument/2006/relationships/hyperlink" Target="https://en.wikipedia.org/w/index.php?title=Dinah_Sykes&amp;action=edit&amp;redlink=1" TargetMode="External"/><Relationship Id="rId117" Type="http://schemas.openxmlformats.org/officeDocument/2006/relationships/hyperlink" Target="https://en.wikipedia.org/wiki/Anthony_Hensley" TargetMode="External"/><Relationship Id="rId116" Type="http://schemas.openxmlformats.org/officeDocument/2006/relationships/hyperlink" Target="https://en.wikipedia.org/wiki/Jeff_Longbine" TargetMode="External"/><Relationship Id="rId115" Type="http://schemas.openxmlformats.org/officeDocument/2006/relationships/hyperlink" Target="https://en.wikipedia.org/wiki/Ty_Masterson" TargetMode="External"/><Relationship Id="rId119" Type="http://schemas.openxmlformats.org/officeDocument/2006/relationships/hyperlink" Target="https://en.wikipedia.org/wiki/Tom_Hawk" TargetMode="External"/><Relationship Id="rId110" Type="http://schemas.openxmlformats.org/officeDocument/2006/relationships/hyperlink" Target="https://en.wikipedia.org/w/index.php?title=John_Skubal&amp;action=edit&amp;redlink=1" TargetMode="External"/><Relationship Id="rId114" Type="http://schemas.openxmlformats.org/officeDocument/2006/relationships/hyperlink" Target="https://en.wikipedia.org/w/index.php?title=Dan_Goddard&amp;action=edit&amp;redlink=1" TargetMode="External"/><Relationship Id="rId113" Type="http://schemas.openxmlformats.org/officeDocument/2006/relationships/hyperlink" Target="https://en.wikipedia.org/w/index.php?title=Bruce_Givens&amp;action=edit&amp;redlink=1" TargetMode="External"/><Relationship Id="rId112" Type="http://schemas.openxmlformats.org/officeDocument/2006/relationships/hyperlink" Target="https://en.wikipedia.org/w/index.php?title=Richard_Hilderbrand&amp;action=edit&amp;redlink=1" TargetMode="External"/><Relationship Id="rId111" Type="http://schemas.openxmlformats.org/officeDocument/2006/relationships/hyperlink" Target="https://en.wikipedia.org/wiki/Caryn_Tyson" TargetMode="External"/></Relationships>
</file>

<file path=xl/worksheets/_rels/sheet18.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en.wikipedia.org/wiki/Steven_Rudy" TargetMode="External"/><Relationship Id="rId3" Type="http://schemas.openxmlformats.org/officeDocument/2006/relationships/hyperlink" Target="https://en.wikipedia.org/wiki/Suzanne_Miles" TargetMode="External"/><Relationship Id="rId4" Type="http://schemas.openxmlformats.org/officeDocument/2006/relationships/hyperlink" Target="https://en.wikipedia.org/wiki/Jim_Gooch_(politician)" TargetMode="External"/><Relationship Id="rId9" Type="http://schemas.openxmlformats.org/officeDocument/2006/relationships/hyperlink" Target="https://en.wikipedia.org/wiki/John_%22Bam%22_Carney" TargetMode="External"/><Relationship Id="rId5" Type="http://schemas.openxmlformats.org/officeDocument/2006/relationships/hyperlink" Target="https://en.wikipedia.org/wiki/Melinda_Gibbons_Prunty" TargetMode="External"/><Relationship Id="rId6" Type="http://schemas.openxmlformats.org/officeDocument/2006/relationships/hyperlink" Target="https://en.wikipedia.org/wiki/Jim_DuPlessis" TargetMode="External"/><Relationship Id="rId7" Type="http://schemas.openxmlformats.org/officeDocument/2006/relationships/hyperlink" Target="https://en.wikipedia.org/wiki/Tom_Burch" TargetMode="External"/><Relationship Id="rId8" Type="http://schemas.openxmlformats.org/officeDocument/2006/relationships/hyperlink" Target="https://en.wikipedia.org/wiki/Attica_Scott" TargetMode="External"/><Relationship Id="rId11" Type="http://schemas.openxmlformats.org/officeDocument/2006/relationships/hyperlink" Target="https://en.wikipedia.org/wiki/Ruth_Ann_Palumbo" TargetMode="External"/><Relationship Id="rId10" Type="http://schemas.openxmlformats.org/officeDocument/2006/relationships/hyperlink" Target="https://en.wikipedia.org/wiki/Ken_Upchurch" TargetMode="External"/><Relationship Id="rId13" Type="http://schemas.openxmlformats.org/officeDocument/2006/relationships/hyperlink" Target="https://en.wikipedia.org/w/index.php?title=Chris_Fugate&amp;action=edit&amp;redlink=1" TargetMode="External"/><Relationship Id="rId12" Type="http://schemas.openxmlformats.org/officeDocument/2006/relationships/hyperlink" Target="https://en.wikipedia.org/w/index.php?title=Regina_Huff&amp;action=edit&amp;redlink=1" TargetMode="External"/><Relationship Id="rId15" Type="http://schemas.openxmlformats.org/officeDocument/2006/relationships/hyperlink" Target="https://en.wikipedia.org/wiki/Ray_Jones_(Kentucky_politician)" TargetMode="External"/><Relationship Id="rId14" Type="http://schemas.openxmlformats.org/officeDocument/2006/relationships/hyperlink" Target="https://en.wikipedia.org/wiki/Robert_Stivers" TargetMode="External"/><Relationship Id="rId17" Type="http://schemas.openxmlformats.org/officeDocument/2006/relationships/vmlDrawing" Target="../drawings/vmlDrawing2.vml"/><Relationship Id="rId16"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90" Type="http://schemas.openxmlformats.org/officeDocument/2006/relationships/hyperlink" Target="https://en.wikipedia.org/wiki/Page_Cortez" TargetMode="External"/><Relationship Id="rId194" Type="http://schemas.openxmlformats.org/officeDocument/2006/relationships/hyperlink" Target="https://en.wikipedia.org/wiki/Dan_Morrish" TargetMode="External"/><Relationship Id="rId193" Type="http://schemas.openxmlformats.org/officeDocument/2006/relationships/hyperlink" Target="https://en.wikipedia.org/wiki/Lafayette,_Louisiana" TargetMode="External"/><Relationship Id="rId192" Type="http://schemas.openxmlformats.org/officeDocument/2006/relationships/hyperlink" Target="https://en.wikipedia.org/wiki/Gerald_Boudreaux" TargetMode="External"/><Relationship Id="rId191" Type="http://schemas.openxmlformats.org/officeDocument/2006/relationships/hyperlink" Target="https://en.wikipedia.org/wiki/Lafayette,_Louisiana" TargetMode="External"/><Relationship Id="rId187" Type="http://schemas.openxmlformats.org/officeDocument/2006/relationships/hyperlink" Target="https://en.wikipedia.org/wiki/Franklin,_Louisiana" TargetMode="External"/><Relationship Id="rId186" Type="http://schemas.openxmlformats.org/officeDocument/2006/relationships/hyperlink" Target="https://en.wikipedia.org/wiki/Bret_Allain" TargetMode="External"/><Relationship Id="rId185" Type="http://schemas.openxmlformats.org/officeDocument/2006/relationships/hyperlink" Target="https://en.wikipedia.org/wiki/Houma,_Louisiana" TargetMode="External"/><Relationship Id="rId184" Type="http://schemas.openxmlformats.org/officeDocument/2006/relationships/hyperlink" Target="https://en.wikipedia.org/wiki/Norby_Chabert" TargetMode="External"/><Relationship Id="rId189" Type="http://schemas.openxmlformats.org/officeDocument/2006/relationships/hyperlink" Target="https://en.wikipedia.org/wiki/New_Iberia,_Louisiana" TargetMode="External"/><Relationship Id="rId188" Type="http://schemas.openxmlformats.org/officeDocument/2006/relationships/hyperlink" Target="https://en.wikipedia.org/wiki/Fred_Mills_(Louisiana_politician)" TargetMode="External"/><Relationship Id="rId183" Type="http://schemas.openxmlformats.org/officeDocument/2006/relationships/hyperlink" Target="https://en.wikipedia.org/wiki/Norco,_Louisiana" TargetMode="External"/><Relationship Id="rId182" Type="http://schemas.openxmlformats.org/officeDocument/2006/relationships/hyperlink" Target="https://en.wikipedia.org/wiki/Gary_Smith,_Jr." TargetMode="External"/><Relationship Id="rId181" Type="http://schemas.openxmlformats.org/officeDocument/2006/relationships/hyperlink" Target="https://en.wikipedia.org/wiki/Prairieville,_Louisiana" TargetMode="External"/><Relationship Id="rId180" Type="http://schemas.openxmlformats.org/officeDocument/2006/relationships/hyperlink" Target="https://en.wikipedia.org/wiki/Eddie_J._Lambert" TargetMode="External"/><Relationship Id="rId176" Type="http://schemas.openxmlformats.org/officeDocument/2006/relationships/hyperlink" Target="https://en.wikipedia.org/wiki/Regina_Barrow" TargetMode="External"/><Relationship Id="rId175" Type="http://schemas.openxmlformats.org/officeDocument/2006/relationships/hyperlink" Target="https://en.wikipedia.org/wiki/Yvonne_Dorsey-Colomb" TargetMode="External"/><Relationship Id="rId174" Type="http://schemas.openxmlformats.org/officeDocument/2006/relationships/hyperlink" Target="https://en.wikipedia.org/wiki/Livingston,_Louisiana" TargetMode="External"/><Relationship Id="rId173" Type="http://schemas.openxmlformats.org/officeDocument/2006/relationships/hyperlink" Target="https://en.wikipedia.org/wiki/Dale_M._Erdey" TargetMode="External"/><Relationship Id="rId179" Type="http://schemas.openxmlformats.org/officeDocument/2006/relationships/hyperlink" Target="https://en.wikipedia.org/wiki/Port_Allen,_Louisiana" TargetMode="External"/><Relationship Id="rId178" Type="http://schemas.openxmlformats.org/officeDocument/2006/relationships/hyperlink" Target="https://en.wikipedia.org/wiki/Rick_Ward,_III" TargetMode="External"/><Relationship Id="rId177" Type="http://schemas.openxmlformats.org/officeDocument/2006/relationships/hyperlink" Target="https://en.wikipedia.org/wiki/Dan_Claitor" TargetMode="External"/><Relationship Id="rId198" Type="http://schemas.openxmlformats.org/officeDocument/2006/relationships/hyperlink" Target="https://en.wikipedia.org/wiki/Lake_Charles,_Louisiana" TargetMode="External"/><Relationship Id="rId197" Type="http://schemas.openxmlformats.org/officeDocument/2006/relationships/hyperlink" Target="https://en.wikipedia.org/wiki/Ronnie_Johns_(Louisiana_politician)" TargetMode="External"/><Relationship Id="rId196" Type="http://schemas.openxmlformats.org/officeDocument/2006/relationships/hyperlink" Target="https://en.wikipedia.org/wiki/Kaplan,_Louisiana" TargetMode="External"/><Relationship Id="rId195" Type="http://schemas.openxmlformats.org/officeDocument/2006/relationships/hyperlink" Target="https://en.wikipedia.org/wiki/Jennings,_Louisiana" TargetMode="External"/><Relationship Id="rId199" Type="http://schemas.openxmlformats.org/officeDocument/2006/relationships/hyperlink" Target="https://en.wikipedia.org/wiki/Eric_LaFleur" TargetMode="External"/><Relationship Id="rId150" Type="http://schemas.openxmlformats.org/officeDocument/2006/relationships/hyperlink" Target="https://en.wikipedia.org/wiki/Baton_Rouge,_Louisiana" TargetMode="External"/><Relationship Id="rId1" Type="http://schemas.openxmlformats.org/officeDocument/2006/relationships/hyperlink" Target="https://en.wikipedia.org/wiki/Jim_Morris_(Louisiana_politician)" TargetMode="External"/><Relationship Id="rId2" Type="http://schemas.openxmlformats.org/officeDocument/2006/relationships/hyperlink" Target="https://en.wikipedia.org/wiki/Samuel_Jenkins_Jr." TargetMode="External"/><Relationship Id="rId3" Type="http://schemas.openxmlformats.org/officeDocument/2006/relationships/hyperlink" Target="https://en.wikipedia.org/wiki/Barbara_Norton" TargetMode="External"/><Relationship Id="rId149" Type="http://schemas.openxmlformats.org/officeDocument/2006/relationships/hyperlink" Target="http://senate.la.gov/Finance/default.asp" TargetMode="External"/><Relationship Id="rId4" Type="http://schemas.openxmlformats.org/officeDocument/2006/relationships/hyperlink" Target="https://en.wikipedia.org/wiki/Cedric_Glover" TargetMode="External"/><Relationship Id="rId148" Type="http://schemas.openxmlformats.org/officeDocument/2006/relationships/hyperlink" Target="http://senate.la.gov/Education/default.asp" TargetMode="External"/><Relationship Id="rId9" Type="http://schemas.openxmlformats.org/officeDocument/2006/relationships/hyperlink" Target="https://en.wikipedia.org/wiki/Dodie_Horton" TargetMode="External"/><Relationship Id="rId143" Type="http://schemas.openxmlformats.org/officeDocument/2006/relationships/hyperlink" Target="http://senate.la.gov/Local&amp;Municipal/default.asp" TargetMode="External"/><Relationship Id="rId142" Type="http://schemas.openxmlformats.org/officeDocument/2006/relationships/hyperlink" Target="http://senate.la.gov/Senate&amp;Government/default.asp" TargetMode="External"/><Relationship Id="rId141" Type="http://schemas.openxmlformats.org/officeDocument/2006/relationships/hyperlink" Target="http://senate.la.gov/JudiciaryB/default.asp" TargetMode="External"/><Relationship Id="rId140" Type="http://schemas.openxmlformats.org/officeDocument/2006/relationships/hyperlink" Target="https://en.wikipedia.org/wiki/Karen_Carter_Peterson" TargetMode="External"/><Relationship Id="rId5" Type="http://schemas.openxmlformats.org/officeDocument/2006/relationships/hyperlink" Target="https://en.wikipedia.org/wiki/Alan_Seabaugh" TargetMode="External"/><Relationship Id="rId147" Type="http://schemas.openxmlformats.org/officeDocument/2006/relationships/hyperlink" Target="http://senate.la.gov/Commerce/default.asp" TargetMode="External"/><Relationship Id="rId6" Type="http://schemas.openxmlformats.org/officeDocument/2006/relationships/hyperlink" Target="https://en.wikipedia.org/wiki/Thomas_G._Carmody" TargetMode="External"/><Relationship Id="rId146" Type="http://schemas.openxmlformats.org/officeDocument/2006/relationships/hyperlink" Target="http://senate.la.gov/JudiciaryC/default.asp" TargetMode="External"/><Relationship Id="rId7" Type="http://schemas.openxmlformats.org/officeDocument/2006/relationships/hyperlink" Target="https://en.wikipedia.org/wiki/Larry_Bagley" TargetMode="External"/><Relationship Id="rId145" Type="http://schemas.openxmlformats.org/officeDocument/2006/relationships/hyperlink" Target="https://en.wikipedia.org/wiki/Bodi_White" TargetMode="External"/><Relationship Id="rId8" Type="http://schemas.openxmlformats.org/officeDocument/2006/relationships/hyperlink" Target="https://en.wikipedia.org/wiki/Raymond_Crews" TargetMode="External"/><Relationship Id="rId144" Type="http://schemas.openxmlformats.org/officeDocument/2006/relationships/hyperlink" Target="http://senate.la.gov/Revenue&amp;Fiscal/default.asp" TargetMode="External"/><Relationship Id="rId139" Type="http://schemas.openxmlformats.org/officeDocument/2006/relationships/hyperlink" Target="http://senate.la.gov/Labor&amp;Industrial/default.asp" TargetMode="External"/><Relationship Id="rId138" Type="http://schemas.openxmlformats.org/officeDocument/2006/relationships/hyperlink" Target="http://senate.la.gov/Finance/default.asp" TargetMode="External"/><Relationship Id="rId137" Type="http://schemas.openxmlformats.org/officeDocument/2006/relationships/hyperlink" Target="http://senate.la.gov/Senate&amp;Government/default.asp" TargetMode="External"/><Relationship Id="rId132" Type="http://schemas.openxmlformats.org/officeDocument/2006/relationships/hyperlink" Target="http://senate.la.gov/Labor&amp;Industrial/default.asp" TargetMode="External"/><Relationship Id="rId131" Type="http://schemas.openxmlformats.org/officeDocument/2006/relationships/hyperlink" Target="http://senate.la.gov/Revenue&amp;Fiscal/default.asp" TargetMode="External"/><Relationship Id="rId130" Type="http://schemas.openxmlformats.org/officeDocument/2006/relationships/hyperlink" Target="http://senate.la.gov/JudiciaryB/default.asp" TargetMode="External"/><Relationship Id="rId136" Type="http://schemas.openxmlformats.org/officeDocument/2006/relationships/hyperlink" Target="http://senate.la.gov/JudiciaryA/default.asp" TargetMode="External"/><Relationship Id="rId135" Type="http://schemas.openxmlformats.org/officeDocument/2006/relationships/hyperlink" Target="https://en.wikipedia.org/wiki/Wesley_T._Bishop" TargetMode="External"/><Relationship Id="rId134" Type="http://schemas.openxmlformats.org/officeDocument/2006/relationships/hyperlink" Target="https://en.wikipedia.org/wiki/New_Orleans" TargetMode="External"/><Relationship Id="rId133" Type="http://schemas.openxmlformats.org/officeDocument/2006/relationships/hyperlink" Target="http://senate.la.gov/Senate&amp;Government/default.asp" TargetMode="External"/><Relationship Id="rId172" Type="http://schemas.openxmlformats.org/officeDocument/2006/relationships/hyperlink" Target="https://en.wikipedia.org/wiki/Franklinton,_Louisiana" TargetMode="External"/><Relationship Id="rId171" Type="http://schemas.openxmlformats.org/officeDocument/2006/relationships/hyperlink" Target="https://en.wikipedia.org/wiki/Beth_Mizell" TargetMode="External"/><Relationship Id="rId170" Type="http://schemas.openxmlformats.org/officeDocument/2006/relationships/hyperlink" Target="https://en.wikipedia.org/wiki/Mandeville,_Louisiana" TargetMode="External"/><Relationship Id="rId165" Type="http://schemas.openxmlformats.org/officeDocument/2006/relationships/hyperlink" Target="http://senate.la.gov/JudiciaryA/default.asp" TargetMode="External"/><Relationship Id="rId164" Type="http://schemas.openxmlformats.org/officeDocument/2006/relationships/hyperlink" Target="https://en.wikipedia.org/wiki/Daniel_Martiny" TargetMode="External"/><Relationship Id="rId163" Type="http://schemas.openxmlformats.org/officeDocument/2006/relationships/hyperlink" Target="http://senate.la.gov/Commerce/default.asp" TargetMode="External"/><Relationship Id="rId162" Type="http://schemas.openxmlformats.org/officeDocument/2006/relationships/hyperlink" Target="http://senate.la.gov/Education/default.asp" TargetMode="External"/><Relationship Id="rId169" Type="http://schemas.openxmlformats.org/officeDocument/2006/relationships/hyperlink" Target="https://en.wikipedia.org/wiki/Jack_Donahue_(Louisiana_politician)" TargetMode="External"/><Relationship Id="rId168" Type="http://schemas.openxmlformats.org/officeDocument/2006/relationships/hyperlink" Target="http://senate.la.gov/Executive/default.asp" TargetMode="External"/><Relationship Id="rId167" Type="http://schemas.openxmlformats.org/officeDocument/2006/relationships/hyperlink" Target="http://senate.la.gov/Local&amp;Municipal/default.asp" TargetMode="External"/><Relationship Id="rId166" Type="http://schemas.openxmlformats.org/officeDocument/2006/relationships/hyperlink" Target="http://senate.la.gov/Commerce/default.asp" TargetMode="External"/><Relationship Id="rId161" Type="http://schemas.openxmlformats.org/officeDocument/2006/relationships/hyperlink" Target="http://senate.la.gov/Finance/default.asp" TargetMode="External"/><Relationship Id="rId160" Type="http://schemas.openxmlformats.org/officeDocument/2006/relationships/hyperlink" Target="http://senate.la.gov/Environment/default.asp" TargetMode="External"/><Relationship Id="rId159" Type="http://schemas.openxmlformats.org/officeDocument/2006/relationships/hyperlink" Target="https://en.wikipedia.org/wiki/Conrad_Appel" TargetMode="External"/><Relationship Id="rId154" Type="http://schemas.openxmlformats.org/officeDocument/2006/relationships/hyperlink" Target="http://senate.la.gov/Revenue&amp;Fiscal/default.asp" TargetMode="External"/><Relationship Id="rId153" Type="http://schemas.openxmlformats.org/officeDocument/2006/relationships/hyperlink" Target="http://senate.la.gov/Labor&amp;Industrial/default.asp" TargetMode="External"/><Relationship Id="rId152" Type="http://schemas.openxmlformats.org/officeDocument/2006/relationships/hyperlink" Target="http://senate.la.gov/JudiciaryC/default.asp" TargetMode="External"/><Relationship Id="rId151" Type="http://schemas.openxmlformats.org/officeDocument/2006/relationships/hyperlink" Target="https://en.wikipedia.org/wiki/Troy_Carter_(New_Orleans)" TargetMode="External"/><Relationship Id="rId158" Type="http://schemas.openxmlformats.org/officeDocument/2006/relationships/hyperlink" Target="https://en.wikipedia.org/wiki/Westwego,_Louisiana" TargetMode="External"/><Relationship Id="rId157" Type="http://schemas.openxmlformats.org/officeDocument/2006/relationships/hyperlink" Target="http://senate.la.gov/Executive/default.asp" TargetMode="External"/><Relationship Id="rId156" Type="http://schemas.openxmlformats.org/officeDocument/2006/relationships/hyperlink" Target="https://en.wikipedia.org/wiki/John_Alario" TargetMode="External"/><Relationship Id="rId155" Type="http://schemas.openxmlformats.org/officeDocument/2006/relationships/hyperlink" Target="http://senate.la.gov/Senate&amp;Government/default.asp" TargetMode="External"/><Relationship Id="rId40" Type="http://schemas.openxmlformats.org/officeDocument/2006/relationships/hyperlink" Target="https://en.wikipedia.org/wiki/Dorothy_Sue_Hill" TargetMode="External"/><Relationship Id="rId42" Type="http://schemas.openxmlformats.org/officeDocument/2006/relationships/hyperlink" Target="https://en.wikipedia.org/wiki/Stephen_Dwight" TargetMode="External"/><Relationship Id="rId41" Type="http://schemas.openxmlformats.org/officeDocument/2006/relationships/hyperlink" Target="https://en.wikipedia.org/wiki/A._B._Franklin" TargetMode="External"/><Relationship Id="rId44" Type="http://schemas.openxmlformats.org/officeDocument/2006/relationships/hyperlink" Target="https://en.wikipedia.org/wiki/John_E._Guinn" TargetMode="External"/><Relationship Id="rId43" Type="http://schemas.openxmlformats.org/officeDocument/2006/relationships/hyperlink" Target="https://en.wikipedia.org/wiki/Mark_Abraham" TargetMode="External"/><Relationship Id="rId46" Type="http://schemas.openxmlformats.org/officeDocument/2006/relationships/hyperlink" Target="https://en.wikipedia.org/wiki/Bernard_LeBas" TargetMode="External"/><Relationship Id="rId45" Type="http://schemas.openxmlformats.org/officeDocument/2006/relationships/hyperlink" Target="https://en.wikipedia.org/wiki/Jefferson_Davis_Parish,_Louisiana" TargetMode="External"/><Relationship Id="rId48" Type="http://schemas.openxmlformats.org/officeDocument/2006/relationships/hyperlink" Target="https://en.wikipedia.org/wiki/Dustin_Miller" TargetMode="External"/><Relationship Id="rId47" Type="http://schemas.openxmlformats.org/officeDocument/2006/relationships/hyperlink" Target="https://en.wikipedia.org/wiki/Julie_Emerson" TargetMode="External"/><Relationship Id="rId49" Type="http://schemas.openxmlformats.org/officeDocument/2006/relationships/hyperlink" Target="https://en.wikipedia.org/wiki/Phillip_DeVillier" TargetMode="External"/><Relationship Id="rId31" Type="http://schemas.openxmlformats.org/officeDocument/2006/relationships/hyperlink" Target="https://en.wikipedia.org/wiki/Jeff_Hall_(politician)" TargetMode="External"/><Relationship Id="rId30" Type="http://schemas.openxmlformats.org/officeDocument/2006/relationships/hyperlink" Target="https://en.wikipedia.org/wiki/Rapides_Parish,_Louisiana" TargetMode="External"/><Relationship Id="rId33" Type="http://schemas.openxmlformats.org/officeDocument/2006/relationships/hyperlink" Target="https://en.wikipedia.org/wiki/Robert_Johnson_(Louisiana_politician)" TargetMode="External"/><Relationship Id="rId32" Type="http://schemas.openxmlformats.org/officeDocument/2006/relationships/hyperlink" Target="https://en.wikipedia.org/wiki/Chris_Hazel" TargetMode="External"/><Relationship Id="rId35" Type="http://schemas.openxmlformats.org/officeDocument/2006/relationships/hyperlink" Target="https://en.wikipedia.org/wiki/Edmond_Jordan" TargetMode="External"/><Relationship Id="rId34" Type="http://schemas.openxmlformats.org/officeDocument/2006/relationships/hyperlink" Target="https://en.wikipedia.org/wiki/Avoyelles_Parish,_Louisiana" TargetMode="External"/><Relationship Id="rId37" Type="http://schemas.openxmlformats.org/officeDocument/2006/relationships/hyperlink" Target="https://en.wikipedia.org/wiki/James_Armes" TargetMode="External"/><Relationship Id="rId36" Type="http://schemas.openxmlformats.org/officeDocument/2006/relationships/hyperlink" Target="https://en.wikipedia.org/wiki/East_Baton_Rouge_Parish,_Louisiana" TargetMode="External"/><Relationship Id="rId39" Type="http://schemas.openxmlformats.org/officeDocument/2006/relationships/hyperlink" Target="https://en.wikipedia.org/wiki/Nancy_Landry" TargetMode="External"/><Relationship Id="rId38" Type="http://schemas.openxmlformats.org/officeDocument/2006/relationships/hyperlink" Target="https://en.wikipedia.org/wiki/Beauregard_Parish,_Louisiana" TargetMode="External"/><Relationship Id="rId20" Type="http://schemas.openxmlformats.org/officeDocument/2006/relationships/hyperlink" Target="https://en.wikipedia.org/wiki/Major_Thibaut" TargetMode="External"/><Relationship Id="rId22" Type="http://schemas.openxmlformats.org/officeDocument/2006/relationships/hyperlink" Target="https://en.wikipedia.org/wiki/Steve_Pylant" TargetMode="External"/><Relationship Id="rId21" Type="http://schemas.openxmlformats.org/officeDocument/2006/relationships/hyperlink" Target="https://en.wikipedia.org/wiki/Charles_%22Bubba%22_Chaney" TargetMode="External"/><Relationship Id="rId24" Type="http://schemas.openxmlformats.org/officeDocument/2006/relationships/hyperlink" Target="https://en.wikipedia.org/wiki/Concordia_Parish,_Louisiana" TargetMode="External"/><Relationship Id="rId23" Type="http://schemas.openxmlformats.org/officeDocument/2006/relationships/hyperlink" Target="https://en.wikipedia.org/wiki/Andy_Anders" TargetMode="External"/><Relationship Id="rId26" Type="http://schemas.openxmlformats.org/officeDocument/2006/relationships/hyperlink" Target="https://en.wikipedia.org/wiki/Kenny_Ray_Cox" TargetMode="External"/><Relationship Id="rId25" Type="http://schemas.openxmlformats.org/officeDocument/2006/relationships/hyperlink" Target="https://en.wikipedia.org/wiki/Terry_Brown_(Louisiana_politician)" TargetMode="External"/><Relationship Id="rId28" Type="http://schemas.openxmlformats.org/officeDocument/2006/relationships/hyperlink" Target="https://en.wikipedia.org/wiki/Vernon_Parish,_Louisiana" TargetMode="External"/><Relationship Id="rId27" Type="http://schemas.openxmlformats.org/officeDocument/2006/relationships/hyperlink" Target="https://en.wikipedia.org/wiki/Frank_A._Howard" TargetMode="External"/><Relationship Id="rId29" Type="http://schemas.openxmlformats.org/officeDocument/2006/relationships/hyperlink" Target="https://en.wikipedia.org/wiki/Lance_Harris" TargetMode="External"/><Relationship Id="rId11" Type="http://schemas.openxmlformats.org/officeDocument/2006/relationships/hyperlink" Target="https://en.wikipedia.org/wiki/Webster_Parish,_Louisiana" TargetMode="External"/><Relationship Id="rId10" Type="http://schemas.openxmlformats.org/officeDocument/2006/relationships/hyperlink" Target="https://en.wikipedia.org/wiki/Gene_Reynolds_(politician)" TargetMode="External"/><Relationship Id="rId13" Type="http://schemas.openxmlformats.org/officeDocument/2006/relationships/hyperlink" Target="https://en.wikipedia.org/wiki/Union_Parish,_Louisiana" TargetMode="External"/><Relationship Id="rId12" Type="http://schemas.openxmlformats.org/officeDocument/2006/relationships/hyperlink" Target="https://en.wikipedia.org/wiki/Rob_Shadoin" TargetMode="External"/><Relationship Id="rId15" Type="http://schemas.openxmlformats.org/officeDocument/2006/relationships/hyperlink" Target="https://en.wikipedia.org/wiki/Jay_Morris" TargetMode="External"/><Relationship Id="rId14" Type="http://schemas.openxmlformats.org/officeDocument/2006/relationships/hyperlink" Target="https://en.wikipedia.org/wiki/Jack_McFarland_(Louisiana_politician)" TargetMode="External"/><Relationship Id="rId17" Type="http://schemas.openxmlformats.org/officeDocument/2006/relationships/hyperlink" Target="https://en.wikipedia.org/wiki/Frank_A._Hoffmann" TargetMode="External"/><Relationship Id="rId16" Type="http://schemas.openxmlformats.org/officeDocument/2006/relationships/hyperlink" Target="https://en.wikipedia.org/wiki/Morehouse_Parish,_Louisiana" TargetMode="External"/><Relationship Id="rId19" Type="http://schemas.openxmlformats.org/officeDocument/2006/relationships/hyperlink" Target="https://en.wikipedia.org/wiki/Marcus_Hunter" TargetMode="External"/><Relationship Id="rId18" Type="http://schemas.openxmlformats.org/officeDocument/2006/relationships/hyperlink" Target="https://en.wikipedia.org/wiki/Katrina_Jackson" TargetMode="External"/><Relationship Id="rId84" Type="http://schemas.openxmlformats.org/officeDocument/2006/relationships/hyperlink" Target="https://en.wikipedia.org/wiki/Robby_Carter" TargetMode="External"/><Relationship Id="rId83" Type="http://schemas.openxmlformats.org/officeDocument/2006/relationships/hyperlink" Target="https://en.wikipedia.org/wiki/J._Rogers_Pope" TargetMode="External"/><Relationship Id="rId86" Type="http://schemas.openxmlformats.org/officeDocument/2006/relationships/hyperlink" Target="https://en.wikipedia.org/wiki/Scott_Simon_(politician)" TargetMode="External"/><Relationship Id="rId85" Type="http://schemas.openxmlformats.org/officeDocument/2006/relationships/hyperlink" Target="https://en.wikipedia.org/wiki/Steve_Pugh_(Louisiana_politician)" TargetMode="External"/><Relationship Id="rId88" Type="http://schemas.openxmlformats.org/officeDocument/2006/relationships/hyperlink" Target="https://en.wikipedia.org/wiki/Kevin_Pearson_(politician)" TargetMode="External"/><Relationship Id="rId87" Type="http://schemas.openxmlformats.org/officeDocument/2006/relationships/hyperlink" Target="https://en.wikipedia.org/wiki/Malinda_Brumfield_White" TargetMode="External"/><Relationship Id="rId89" Type="http://schemas.openxmlformats.org/officeDocument/2006/relationships/hyperlink" Target="https://en.wikipedia.org/wiki/Kirk_Talbot" TargetMode="External"/><Relationship Id="rId80" Type="http://schemas.openxmlformats.org/officeDocument/2006/relationships/hyperlink" Target="https://en.wikipedia.org/wiki/Patricia_Haynes_Smith" TargetMode="External"/><Relationship Id="rId82" Type="http://schemas.openxmlformats.org/officeDocument/2006/relationships/hyperlink" Target="https://en.wikipedia.org/wiki/Franklin_Foil" TargetMode="External"/><Relationship Id="rId81" Type="http://schemas.openxmlformats.org/officeDocument/2006/relationships/hyperlink" Target="https://en.wikipedia.org/wiki/Steve_Carter_(Louisiana_politician)" TargetMode="External"/><Relationship Id="rId73" Type="http://schemas.openxmlformats.org/officeDocument/2006/relationships/hyperlink" Target="https://en.wikipedia.org/wiki/Assumption_Parish,_Louisiana" TargetMode="External"/><Relationship Id="rId72" Type="http://schemas.openxmlformats.org/officeDocument/2006/relationships/hyperlink" Target="https://en.wikipedia.org/wiki/Chad_Brown_(politician)" TargetMode="External"/><Relationship Id="rId75" Type="http://schemas.openxmlformats.org/officeDocument/2006/relationships/hyperlink" Target="https://en.wikipedia.org/wiki/East_Feliciana_Parish,_Louisiana" TargetMode="External"/><Relationship Id="rId74" Type="http://schemas.openxmlformats.org/officeDocument/2006/relationships/hyperlink" Target="https://en.wikipedia.org/wiki/Kenny_Havard" TargetMode="External"/><Relationship Id="rId77" Type="http://schemas.openxmlformats.org/officeDocument/2006/relationships/hyperlink" Target="https://en.wikipedia.org/wiki/Valarie_Hodges" TargetMode="External"/><Relationship Id="rId76" Type="http://schemas.openxmlformats.org/officeDocument/2006/relationships/hyperlink" Target="https://en.wikipedia.org/w/index.php?title=Barbara_West_Carpenter&amp;action=edit&amp;redlink=1" TargetMode="External"/><Relationship Id="rId79" Type="http://schemas.openxmlformats.org/officeDocument/2006/relationships/hyperlink" Target="https://en.wikipedia.org/wiki/Barry_Ivey" TargetMode="External"/><Relationship Id="rId78" Type="http://schemas.openxmlformats.org/officeDocument/2006/relationships/hyperlink" Target="https://en.wikipedia.org/wiki/Livingston_Parish,_Louisiana" TargetMode="External"/><Relationship Id="rId71" Type="http://schemas.openxmlformats.org/officeDocument/2006/relationships/hyperlink" Target="https://en.wikipedia.org/wiki/Tony_Bacala" TargetMode="External"/><Relationship Id="rId70" Type="http://schemas.openxmlformats.org/officeDocument/2006/relationships/hyperlink" Target="https://en.wikipedia.org/wiki/Randal_Gaines" TargetMode="External"/><Relationship Id="rId62" Type="http://schemas.openxmlformats.org/officeDocument/2006/relationships/hyperlink" Target="https://en.wikipedia.org/wiki/St._Mary_Parish,_Louisiana" TargetMode="External"/><Relationship Id="rId61" Type="http://schemas.openxmlformats.org/officeDocument/2006/relationships/hyperlink" Target="https://en.wikipedia.org/wiki/Sam_Jones_(Louisiana_politician)" TargetMode="External"/><Relationship Id="rId64" Type="http://schemas.openxmlformats.org/officeDocument/2006/relationships/hyperlink" Target="https://en.wikipedia.org/wiki/Jerome_Zeringue" TargetMode="External"/><Relationship Id="rId63" Type="http://schemas.openxmlformats.org/officeDocument/2006/relationships/hyperlink" Target="https://en.wikipedia.org/w/index.php?title=Beryl_Amedee&amp;action=edit&amp;redlink=1" TargetMode="External"/><Relationship Id="rId66" Type="http://schemas.openxmlformats.org/officeDocument/2006/relationships/hyperlink" Target="https://en.wikipedia.org/wiki/Jerry_%22Truck%22_Gisclair" TargetMode="External"/><Relationship Id="rId65" Type="http://schemas.openxmlformats.org/officeDocument/2006/relationships/hyperlink" Target="https://en.wikipedia.org/w/index.php?title=Tanner_Magee&amp;action=edit&amp;redlink=1" TargetMode="External"/><Relationship Id="rId68" Type="http://schemas.openxmlformats.org/officeDocument/2006/relationships/hyperlink" Target="https://en.wikipedia.org/wiki/Dee_Richard" TargetMode="External"/><Relationship Id="rId67" Type="http://schemas.openxmlformats.org/officeDocument/2006/relationships/hyperlink" Target="https://en.wikipedia.org/wiki/Jefferson_Parish,_Louisiana" TargetMode="External"/><Relationship Id="rId60" Type="http://schemas.openxmlformats.org/officeDocument/2006/relationships/hyperlink" Target="https://en.wikipedia.org/wiki/Blake_Miguez" TargetMode="External"/><Relationship Id="rId69" Type="http://schemas.openxmlformats.org/officeDocument/2006/relationships/hyperlink" Target="https://en.wikipedia.org/wiki/Gregory_A._Miller" TargetMode="External"/><Relationship Id="rId51" Type="http://schemas.openxmlformats.org/officeDocument/2006/relationships/hyperlink" Target="https://en.wikipedia.org/w/index.php?title=John_Stefanski&amp;action=edit&amp;redlink=1" TargetMode="External"/><Relationship Id="rId50" Type="http://schemas.openxmlformats.org/officeDocument/2006/relationships/hyperlink" Target="https://en.wikipedia.org/wiki/Acadia_Parish,_Louisiana" TargetMode="External"/><Relationship Id="rId53" Type="http://schemas.openxmlformats.org/officeDocument/2006/relationships/hyperlink" Target="https://en.wikipedia.org/wiki/Vincent_Pierre" TargetMode="External"/><Relationship Id="rId52" Type="http://schemas.openxmlformats.org/officeDocument/2006/relationships/hyperlink" Target="https://en.wikipedia.org/wiki/Stuart_Bishop" TargetMode="External"/><Relationship Id="rId55" Type="http://schemas.openxmlformats.org/officeDocument/2006/relationships/hyperlink" Target="https://en.wikipedia.org/wiki/Mike_%22Pete%22_Huval" TargetMode="External"/><Relationship Id="rId54" Type="http://schemas.openxmlformats.org/officeDocument/2006/relationships/hyperlink" Target="https://en.wikipedia.org/wiki/Jean-Paul_Coussan" TargetMode="External"/><Relationship Id="rId57" Type="http://schemas.openxmlformats.org/officeDocument/2006/relationships/hyperlink" Target="https://en.wikipedia.org/wiki/Cameron_Parish,_Louisiana" TargetMode="External"/><Relationship Id="rId56" Type="http://schemas.openxmlformats.org/officeDocument/2006/relationships/hyperlink" Target="https://en.wikipedia.org/wiki/Bob_Hensgens" TargetMode="External"/><Relationship Id="rId59" Type="http://schemas.openxmlformats.org/officeDocument/2006/relationships/hyperlink" Target="https://en.wikipedia.org/wiki/Iberia_Parish,_Louisiana" TargetMode="External"/><Relationship Id="rId58" Type="http://schemas.openxmlformats.org/officeDocument/2006/relationships/hyperlink" Target="https://en.wikipedia.org/wiki/Taylor_Barras" TargetMode="External"/><Relationship Id="rId107" Type="http://schemas.openxmlformats.org/officeDocument/2006/relationships/hyperlink" Target="https://en.wikipedia.org/wiki/Joseph_Bouie_Jr." TargetMode="External"/><Relationship Id="rId106" Type="http://schemas.openxmlformats.org/officeDocument/2006/relationships/hyperlink" Target="https://en.wikipedia.org/wiki/Terry_Landry" TargetMode="External"/><Relationship Id="rId105" Type="http://schemas.openxmlformats.org/officeDocument/2006/relationships/hyperlink" Target="https://en.wikipedia.org/wiki/Sherman_Q._Mack" TargetMode="External"/><Relationship Id="rId104" Type="http://schemas.openxmlformats.org/officeDocument/2006/relationships/hyperlink" Target="https://en.wikipedia.org/wiki/Stephanie_Hilferty" TargetMode="External"/><Relationship Id="rId109" Type="http://schemas.openxmlformats.org/officeDocument/2006/relationships/hyperlink" Target="https://en.wikipedia.org/w/index.php?title=Jimmy_Harris_(Louisiana_politician)&amp;action=edit&amp;redlink=1" TargetMode="External"/><Relationship Id="rId108" Type="http://schemas.openxmlformats.org/officeDocument/2006/relationships/hyperlink" Target="https://en.wikipedia.org/wiki/Neil_Abramson" TargetMode="External"/><Relationship Id="rId220" Type="http://schemas.openxmlformats.org/officeDocument/2006/relationships/hyperlink" Target="https://en.wikipedia.org/wiki/Keithville,_Louisiana" TargetMode="External"/><Relationship Id="rId103" Type="http://schemas.openxmlformats.org/officeDocument/2006/relationships/hyperlink" Target="https://en.wikipedia.org/w/index.php?title=Royce_Duplessis&amp;action=edit&amp;redlink=1" TargetMode="External"/><Relationship Id="rId224" Type="http://schemas.openxmlformats.org/officeDocument/2006/relationships/drawing" Target="../drawings/drawing19.xml"/><Relationship Id="rId102" Type="http://schemas.openxmlformats.org/officeDocument/2006/relationships/hyperlink" Target="https://en.wikipedia.org/w/index.php?title=Joseph_Stagni&amp;action=edit&amp;redlink=1" TargetMode="External"/><Relationship Id="rId223" Type="http://schemas.openxmlformats.org/officeDocument/2006/relationships/hyperlink" Target="https://en.wikipedia.org/wiki/John_Bel_Edwards" TargetMode="External"/><Relationship Id="rId101" Type="http://schemas.openxmlformats.org/officeDocument/2006/relationships/hyperlink" Target="https://en.wikipedia.org/wiki/Orleans_Parish,_Louisiana" TargetMode="External"/><Relationship Id="rId222" Type="http://schemas.openxmlformats.org/officeDocument/2006/relationships/hyperlink" Target="https://en.wikipedia.org/wiki/Shreveport,_Louisiana" TargetMode="External"/><Relationship Id="rId100" Type="http://schemas.openxmlformats.org/officeDocument/2006/relationships/hyperlink" Target="https://en.wikipedia.org/wiki/Walt_Leger_III" TargetMode="External"/><Relationship Id="rId221" Type="http://schemas.openxmlformats.org/officeDocument/2006/relationships/hyperlink" Target="https://en.wikipedia.org/wiki/Gregory_Tarver" TargetMode="External"/><Relationship Id="rId217" Type="http://schemas.openxmlformats.org/officeDocument/2006/relationships/hyperlink" Target="https://en.wikipedia.org/wiki/Barrow_Peacock" TargetMode="External"/><Relationship Id="rId216" Type="http://schemas.openxmlformats.org/officeDocument/2006/relationships/hyperlink" Target="https://en.wikipedia.org/wiki/Bossier_City,_Louisiana" TargetMode="External"/><Relationship Id="rId215" Type="http://schemas.openxmlformats.org/officeDocument/2006/relationships/hyperlink" Target="https://en.wikipedia.org/wiki/Ryan_Gatti" TargetMode="External"/><Relationship Id="rId214" Type="http://schemas.openxmlformats.org/officeDocument/2006/relationships/hyperlink" Target="https://en.wikipedia.org/wiki/Jonesboro,_Louisiana" TargetMode="External"/><Relationship Id="rId219" Type="http://schemas.openxmlformats.org/officeDocument/2006/relationships/hyperlink" Target="https://en.wikipedia.org/w/index.php?title=John_Milkovich&amp;action=edit&amp;redlink=1" TargetMode="External"/><Relationship Id="rId218" Type="http://schemas.openxmlformats.org/officeDocument/2006/relationships/hyperlink" Target="https://en.wikipedia.org/wiki/Bossier_City,_Louisiana" TargetMode="External"/><Relationship Id="rId213" Type="http://schemas.openxmlformats.org/officeDocument/2006/relationships/hyperlink" Target="https://en.wikipedia.org/wiki/James_R._Fannin" TargetMode="External"/><Relationship Id="rId212" Type="http://schemas.openxmlformats.org/officeDocument/2006/relationships/hyperlink" Target="https://en.wikipedia.org/wiki/Delhi,_Louisiana" TargetMode="External"/><Relationship Id="rId211" Type="http://schemas.openxmlformats.org/officeDocument/2006/relationships/hyperlink" Target="https://en.wikipedia.org/wiki/Francis_C._Thompson" TargetMode="External"/><Relationship Id="rId210" Type="http://schemas.openxmlformats.org/officeDocument/2006/relationships/hyperlink" Target="https://en.wikipedia.org/wiki/West_Monroe,_Louisiana" TargetMode="External"/><Relationship Id="rId129" Type="http://schemas.openxmlformats.org/officeDocument/2006/relationships/hyperlink" Target="https://en.wikipedia.org/wiki/Jean-Paul_Morrell" TargetMode="External"/><Relationship Id="rId128" Type="http://schemas.openxmlformats.org/officeDocument/2006/relationships/hyperlink" Target="https://en.wikipedia.org/wiki/Gonzales,_Louisiana" TargetMode="External"/><Relationship Id="rId127" Type="http://schemas.openxmlformats.org/officeDocument/2006/relationships/hyperlink" Target="https://en.wikipedia.org/wiki/Special_election" TargetMode="External"/><Relationship Id="rId126" Type="http://schemas.openxmlformats.org/officeDocument/2006/relationships/hyperlink" Target="http://senate.la.gov/Transportation/default.asp" TargetMode="External"/><Relationship Id="rId121" Type="http://schemas.openxmlformats.org/officeDocument/2006/relationships/hyperlink" Target="https://en.wikipedia.org/wiki/Slidell,_Louisiana" TargetMode="External"/><Relationship Id="rId120" Type="http://schemas.openxmlformats.org/officeDocument/2006/relationships/hyperlink" Target="http://senate.la.gov/Women&amp;Children/default.asp" TargetMode="External"/><Relationship Id="rId125" Type="http://schemas.openxmlformats.org/officeDocument/2006/relationships/hyperlink" Target="http://senate.la.gov/Environment/default.asp" TargetMode="External"/><Relationship Id="rId124" Type="http://schemas.openxmlformats.org/officeDocument/2006/relationships/hyperlink" Target="http://senate.la.gov/Commerce/default.asp" TargetMode="External"/><Relationship Id="rId123" Type="http://schemas.openxmlformats.org/officeDocument/2006/relationships/hyperlink" Target="http://senate.la.gov/Retirement/default.asp" TargetMode="External"/><Relationship Id="rId122" Type="http://schemas.openxmlformats.org/officeDocument/2006/relationships/hyperlink" Target="https://en.wikipedia.org/wiki/Ed_Price_(Louisiana_politician)" TargetMode="External"/><Relationship Id="rId95" Type="http://schemas.openxmlformats.org/officeDocument/2006/relationships/hyperlink" Target="https://en.wikipedia.org/wiki/Patrick_Connick" TargetMode="External"/><Relationship Id="rId94" Type="http://schemas.openxmlformats.org/officeDocument/2006/relationships/hyperlink" Target="https://en.wikipedia.org/wiki/Robert_Billiot" TargetMode="External"/><Relationship Id="rId97" Type="http://schemas.openxmlformats.org/officeDocument/2006/relationships/hyperlink" Target="https://en.wikipedia.org/wiki/Rodney_Lyons" TargetMode="External"/><Relationship Id="rId96" Type="http://schemas.openxmlformats.org/officeDocument/2006/relationships/hyperlink" Target="https://en.wikipedia.org/w/index.php?title=Joseph_Marino_(Louisiana_politician)&amp;action=edit&amp;redlink=1" TargetMode="External"/><Relationship Id="rId99" Type="http://schemas.openxmlformats.org/officeDocument/2006/relationships/hyperlink" Target="https://en.wikipedia.org/wiki/Reid_Falconer" TargetMode="External"/><Relationship Id="rId98" Type="http://schemas.openxmlformats.org/officeDocument/2006/relationships/hyperlink" Target="https://en.wikipedia.org/wiki/Johnny_Berthelot" TargetMode="External"/><Relationship Id="rId91" Type="http://schemas.openxmlformats.org/officeDocument/2006/relationships/hyperlink" Target="https://en.wikipedia.org/w/index.php?title=Polly_Thomas&amp;action=edit&amp;redlink=1" TargetMode="External"/><Relationship Id="rId90" Type="http://schemas.openxmlformats.org/officeDocument/2006/relationships/hyperlink" Target="https://en.wikipedia.org/wiki/Julie_Stokes" TargetMode="External"/><Relationship Id="rId93" Type="http://schemas.openxmlformats.org/officeDocument/2006/relationships/hyperlink" Target="https://en.wikipedia.org/wiki/Cameron_Henry" TargetMode="External"/><Relationship Id="rId92" Type="http://schemas.openxmlformats.org/officeDocument/2006/relationships/hyperlink" Target="https://en.wikipedia.org/wiki/Clay_Schexnayder" TargetMode="External"/><Relationship Id="rId118" Type="http://schemas.openxmlformats.org/officeDocument/2006/relationships/hyperlink" Target="http://senate.la.gov/Finance/default.asp" TargetMode="External"/><Relationship Id="rId117" Type="http://schemas.openxmlformats.org/officeDocument/2006/relationships/hyperlink" Target="http://senate.la.gov/Transportation/default.asp" TargetMode="External"/><Relationship Id="rId116" Type="http://schemas.openxmlformats.org/officeDocument/2006/relationships/hyperlink" Target="https://en.wikipedia.org/wiki/Sharon_Hewitt" TargetMode="External"/><Relationship Id="rId115" Type="http://schemas.openxmlformats.org/officeDocument/2006/relationships/hyperlink" Target="https://en.wikipedia.org/wiki/Chris_Leopold" TargetMode="External"/><Relationship Id="rId119" Type="http://schemas.openxmlformats.org/officeDocument/2006/relationships/hyperlink" Target="http://senate.la.gov/Environment/default.asp" TargetMode="External"/><Relationship Id="rId110" Type="http://schemas.openxmlformats.org/officeDocument/2006/relationships/hyperlink" Target="https://en.wikipedia.org/w/index.php?title=John_Bagneris&amp;action=edit&amp;redlink=1" TargetMode="External"/><Relationship Id="rId114" Type="http://schemas.openxmlformats.org/officeDocument/2006/relationships/hyperlink" Target="https://en.wikipedia.org/wiki/Paul_Hollis" TargetMode="External"/><Relationship Id="rId113" Type="http://schemas.openxmlformats.org/officeDocument/2006/relationships/hyperlink" Target="https://en.wikipedia.org/wiki/Ray_Garofalo" TargetMode="External"/><Relationship Id="rId112" Type="http://schemas.openxmlformats.org/officeDocument/2006/relationships/hyperlink" Target="https://en.wikipedia.org/wiki/Gary_Carter_Jr." TargetMode="External"/><Relationship Id="rId111" Type="http://schemas.openxmlformats.org/officeDocument/2006/relationships/hyperlink" Target="https://en.wikipedia.org/wiki/Edward_James_(Louisiana_politician)" TargetMode="External"/><Relationship Id="rId206" Type="http://schemas.openxmlformats.org/officeDocument/2006/relationships/hyperlink" Target="https://en.wikipedia.org/wiki/Winnfield,_Louisiana" TargetMode="External"/><Relationship Id="rId205" Type="http://schemas.openxmlformats.org/officeDocument/2006/relationships/hyperlink" Target="https://en.wikipedia.org/wiki/Gerald_Long" TargetMode="External"/><Relationship Id="rId204" Type="http://schemas.openxmlformats.org/officeDocument/2006/relationships/hyperlink" Target="https://en.wikipedia.org/wiki/Leesville,_Louisiana" TargetMode="External"/><Relationship Id="rId203" Type="http://schemas.openxmlformats.org/officeDocument/2006/relationships/hyperlink" Target="https://en.wikipedia.org/wiki/John_R._Smith_(Louisiana_politician)" TargetMode="External"/><Relationship Id="rId209" Type="http://schemas.openxmlformats.org/officeDocument/2006/relationships/hyperlink" Target="https://en.wikipedia.org/wiki/Mike_Walsworth" TargetMode="External"/><Relationship Id="rId208" Type="http://schemas.openxmlformats.org/officeDocument/2006/relationships/hyperlink" Target="https://en.wikipedia.org/wiki/Columbia,_Louisiana" TargetMode="External"/><Relationship Id="rId207" Type="http://schemas.openxmlformats.org/officeDocument/2006/relationships/hyperlink" Target="https://en.wikipedia.org/wiki/Neil_Riser" TargetMode="External"/><Relationship Id="rId202" Type="http://schemas.openxmlformats.org/officeDocument/2006/relationships/hyperlink" Target="https://en.wikipedia.org/wiki/Alexandria,_Louisiana" TargetMode="External"/><Relationship Id="rId201" Type="http://schemas.openxmlformats.org/officeDocument/2006/relationships/hyperlink" Target="https://en.wikipedia.org/wiki/Jay_Luneau" TargetMode="External"/><Relationship Id="rId200" Type="http://schemas.openxmlformats.org/officeDocument/2006/relationships/hyperlink" Target="https://en.wikipedia.org/wiki/Ville_Platte,_Louisiana" TargetMode="External"/></Relationships>
</file>

<file path=xl/worksheets/_rels/sheet20.xml.rels><?xml version="1.0" encoding="UTF-8" standalone="yes"?><Relationships xmlns="http://schemas.openxmlformats.org/package/2006/relationships"><Relationship Id="rId190" Type="http://schemas.openxmlformats.org/officeDocument/2006/relationships/hyperlink" Target="mailto:Holly.Stover@legislature.maine.gov" TargetMode="External"/><Relationship Id="rId194" Type="http://schemas.openxmlformats.org/officeDocument/2006/relationships/hyperlink" Target="https://en.wikipedia.org/wiki/Newcastle,_Maine" TargetMode="External"/><Relationship Id="rId193" Type="http://schemas.openxmlformats.org/officeDocument/2006/relationships/hyperlink" Target="mailto:Michael.Devin@legislature.maine.gov" TargetMode="External"/><Relationship Id="rId192" Type="http://schemas.openxmlformats.org/officeDocument/2006/relationships/hyperlink" Target="https://en.wikipedia.org/w/index.php?title=Michael_Devin&amp;action=edit&amp;redlink=1" TargetMode="External"/><Relationship Id="rId191" Type="http://schemas.openxmlformats.org/officeDocument/2006/relationships/hyperlink" Target="https://en.wikipedia.org/wiki/Boothbay_Harbor,_Maine" TargetMode="External"/><Relationship Id="rId187" Type="http://schemas.openxmlformats.org/officeDocument/2006/relationships/hyperlink" Target="mailto:Chloe.Maxmin@legislature.maine.gov" TargetMode="External"/><Relationship Id="rId186" Type="http://schemas.openxmlformats.org/officeDocument/2006/relationships/hyperlink" Target="https://en.wikipedia.org/wiki/Pittston,_Maine" TargetMode="External"/><Relationship Id="rId185" Type="http://schemas.openxmlformats.org/officeDocument/2006/relationships/hyperlink" Target="mailto:Jeff.Hanley@legislature.maine.gov" TargetMode="External"/><Relationship Id="rId184" Type="http://schemas.openxmlformats.org/officeDocument/2006/relationships/hyperlink" Target="https://en.wikipedia.org/w/index.php?title=Jeffery_Hanley&amp;action=edit&amp;redlink=1" TargetMode="External"/><Relationship Id="rId189" Type="http://schemas.openxmlformats.org/officeDocument/2006/relationships/hyperlink" Target="https://en.wikipedia.org/w/index.php?title=Holly_Stover&amp;action=edit&amp;redlink=1" TargetMode="External"/><Relationship Id="rId188" Type="http://schemas.openxmlformats.org/officeDocument/2006/relationships/hyperlink" Target="https://en.wikipedia.org/wiki/Chelsea,_Maine" TargetMode="External"/><Relationship Id="rId183" Type="http://schemas.openxmlformats.org/officeDocument/2006/relationships/hyperlink" Target="https://en.wikipedia.org/wiki/Augusta,_Maine" TargetMode="External"/><Relationship Id="rId182" Type="http://schemas.openxmlformats.org/officeDocument/2006/relationships/hyperlink" Target="mailto:Justin.Fecteau@legislature.maine.gov" TargetMode="External"/><Relationship Id="rId181" Type="http://schemas.openxmlformats.org/officeDocument/2006/relationships/hyperlink" Target="https://en.wikipedia.org/wiki/Augusta,_Maine" TargetMode="External"/><Relationship Id="rId180" Type="http://schemas.openxmlformats.org/officeDocument/2006/relationships/hyperlink" Target="mailto:Donna.Doore@legislature.maine.gov" TargetMode="External"/><Relationship Id="rId176" Type="http://schemas.openxmlformats.org/officeDocument/2006/relationships/hyperlink" Target="https://en.wikipedia.org/wiki/Charlotte_Warren" TargetMode="External"/><Relationship Id="rId297" Type="http://schemas.openxmlformats.org/officeDocument/2006/relationships/hyperlink" Target="mailto:Dick.Campbell@legislature.maine.gov" TargetMode="External"/><Relationship Id="rId175" Type="http://schemas.openxmlformats.org/officeDocument/2006/relationships/hyperlink" Target="https://en.wikipedia.org/wiki/Gardiner,_Maine" TargetMode="External"/><Relationship Id="rId296" Type="http://schemas.openxmlformats.org/officeDocument/2006/relationships/hyperlink" Target="https://en.wikipedia.org/w/index.php?title=Richard_Campbell_(politician)&amp;action=edit&amp;redlink=1" TargetMode="External"/><Relationship Id="rId174" Type="http://schemas.openxmlformats.org/officeDocument/2006/relationships/hyperlink" Target="https://en.wikipedia.org/w/index.php?title=Thom_Hartnett&amp;action=edit&amp;redlink=1" TargetMode="External"/><Relationship Id="rId295" Type="http://schemas.openxmlformats.org/officeDocument/2006/relationships/hyperlink" Target="https://en.wikipedia.org/wiki/Eddington,_Maine" TargetMode="External"/><Relationship Id="rId173" Type="http://schemas.openxmlformats.org/officeDocument/2006/relationships/hyperlink" Target="https://en.wikipedia.org/wiki/Monmouth,_Maine" TargetMode="External"/><Relationship Id="rId294" Type="http://schemas.openxmlformats.org/officeDocument/2006/relationships/hyperlink" Target="mailto:Peter.Lyford@legislature.maine.gov" TargetMode="External"/><Relationship Id="rId179" Type="http://schemas.openxmlformats.org/officeDocument/2006/relationships/hyperlink" Target="https://en.wikipedia.org/w/index.php?title=Donna_Doore&amp;action=edit&amp;redlink=1" TargetMode="External"/><Relationship Id="rId178" Type="http://schemas.openxmlformats.org/officeDocument/2006/relationships/hyperlink" Target="https://en.wikipedia.org/wiki/Hallowell,_Maine" TargetMode="External"/><Relationship Id="rId299" Type="http://schemas.openxmlformats.org/officeDocument/2006/relationships/hyperlink" Target="mailto:Sherman.Hutchins@legislature.maine.gov" TargetMode="External"/><Relationship Id="rId177" Type="http://schemas.openxmlformats.org/officeDocument/2006/relationships/hyperlink" Target="mailto:Charlotte.Warren@legislature.maine.gov" TargetMode="External"/><Relationship Id="rId298" Type="http://schemas.openxmlformats.org/officeDocument/2006/relationships/hyperlink" Target="https://en.wikipedia.org/wiki/Orrington,_Maine" TargetMode="External"/><Relationship Id="rId198" Type="http://schemas.openxmlformats.org/officeDocument/2006/relationships/hyperlink" Target="mailto:Ann.Matlack@legislature.maine.gov" TargetMode="External"/><Relationship Id="rId197" Type="http://schemas.openxmlformats.org/officeDocument/2006/relationships/hyperlink" Target="https://en.wikipedia.org/w/index.php?title=Ann_Higgins_Matlack&amp;action=edit&amp;redlink=1" TargetMode="External"/><Relationship Id="rId196" Type="http://schemas.openxmlformats.org/officeDocument/2006/relationships/hyperlink" Target="https://en.wikipedia.org/wiki/Waldoboro,_Maine" TargetMode="External"/><Relationship Id="rId195" Type="http://schemas.openxmlformats.org/officeDocument/2006/relationships/hyperlink" Target="mailto:Jeffrey.Evangelos@legislature.maine.gov" TargetMode="External"/><Relationship Id="rId199" Type="http://schemas.openxmlformats.org/officeDocument/2006/relationships/hyperlink" Target="https://en.wikipedia.org/wiki/South_Thomaston,_Maine" TargetMode="External"/><Relationship Id="rId150" Type="http://schemas.openxmlformats.org/officeDocument/2006/relationships/hyperlink" Target="mailto:Joshua.Morris@legislature.maine.gov" TargetMode="External"/><Relationship Id="rId271" Type="http://schemas.openxmlformats.org/officeDocument/2006/relationships/hyperlink" Target="https://en.wikipedia.org/wiki/Dover-Foxcroft,_Maine" TargetMode="External"/><Relationship Id="rId392" Type="http://schemas.openxmlformats.org/officeDocument/2006/relationships/hyperlink" Target="https://en.wikipedia.org/w/index.php?title=Lisa_Keim&amp;action=edit&amp;redlink=1" TargetMode="External"/><Relationship Id="rId270" Type="http://schemas.openxmlformats.org/officeDocument/2006/relationships/hyperlink" Target="mailto:Norman.Higgins@legislature.maine.gov" TargetMode="External"/><Relationship Id="rId391" Type="http://schemas.openxmlformats.org/officeDocument/2006/relationships/hyperlink" Target="https://en.wikipedia.org/wiki/Franklin_County,_Maine" TargetMode="External"/><Relationship Id="rId390" Type="http://schemas.openxmlformats.org/officeDocument/2006/relationships/hyperlink" Target="mailto:Russell.Black@legislature.maine.gov" TargetMode="External"/><Relationship Id="rId1" Type="http://schemas.openxmlformats.org/officeDocument/2006/relationships/hyperlink" Target="https://en.wikipedia.org/wiki/Deane_Rykerson" TargetMode="External"/><Relationship Id="rId2" Type="http://schemas.openxmlformats.org/officeDocument/2006/relationships/hyperlink" Target="https://en.wikipedia.org/wiki/Kittery,_Maine" TargetMode="External"/><Relationship Id="rId3" Type="http://schemas.openxmlformats.org/officeDocument/2006/relationships/hyperlink" Target="https://en.wikipedia.org/wiki/South_Berwick,_Maine" TargetMode="External"/><Relationship Id="rId149" Type="http://schemas.openxmlformats.org/officeDocument/2006/relationships/hyperlink" Target="https://en.wikipedia.org/wiki/Jay,_Maine" TargetMode="External"/><Relationship Id="rId4" Type="http://schemas.openxmlformats.org/officeDocument/2006/relationships/hyperlink" Target="https://en.wikipedia.org/wiki/Lydia_Blume" TargetMode="External"/><Relationship Id="rId148" Type="http://schemas.openxmlformats.org/officeDocument/2006/relationships/hyperlink" Target="mailto:Tina.Riley@legislature.maine.gov" TargetMode="External"/><Relationship Id="rId269" Type="http://schemas.openxmlformats.org/officeDocument/2006/relationships/hyperlink" Target="https://en.wikipedia.org/w/index.php?title=Norman_Higgins_(Maine_politician)&amp;action=edit&amp;redlink=1" TargetMode="External"/><Relationship Id="rId9" Type="http://schemas.openxmlformats.org/officeDocument/2006/relationships/hyperlink" Target="https://en.wikipedia.org/wiki/Berwick,_Maine" TargetMode="External"/><Relationship Id="rId143" Type="http://schemas.openxmlformats.org/officeDocument/2006/relationships/hyperlink" Target="mailto:Kathleen.Dillingham@legislature.maine.gov" TargetMode="External"/><Relationship Id="rId264" Type="http://schemas.openxmlformats.org/officeDocument/2006/relationships/hyperlink" Target="mailto:Chad.Grignon@legislature.maine.gov" TargetMode="External"/><Relationship Id="rId385" Type="http://schemas.openxmlformats.org/officeDocument/2006/relationships/hyperlink" Target="mailto:shenna.bellows@legislature.maine.gov" TargetMode="External"/><Relationship Id="rId142" Type="http://schemas.openxmlformats.org/officeDocument/2006/relationships/hyperlink" Target="https://en.wikipedia.org/w/index.php?title=Kathleen_Dillingham&amp;action=edit&amp;redlink=1" TargetMode="External"/><Relationship Id="rId263" Type="http://schemas.openxmlformats.org/officeDocument/2006/relationships/hyperlink" Target="https://en.wikipedia.org/w/index.php?title=Chad_Wayne_Grignon&amp;action=edit&amp;redlink=1" TargetMode="External"/><Relationship Id="rId384" Type="http://schemas.openxmlformats.org/officeDocument/2006/relationships/hyperlink" Target="https://en.wikipedia.org/wiki/Shenna_Bellows" TargetMode="External"/><Relationship Id="rId141" Type="http://schemas.openxmlformats.org/officeDocument/2006/relationships/hyperlink" Target="https://en.wikipedia.org/wiki/Norway,_Maine" TargetMode="External"/><Relationship Id="rId262" Type="http://schemas.openxmlformats.org/officeDocument/2006/relationships/hyperlink" Target="https://en.wikipedia.org/wiki/Bethel,_Maine" TargetMode="External"/><Relationship Id="rId383" Type="http://schemas.openxmlformats.org/officeDocument/2006/relationships/hyperlink" Target="https://en.wikipedia.org/wiki/Lincoln_County,_Maine" TargetMode="External"/><Relationship Id="rId140" Type="http://schemas.openxmlformats.org/officeDocument/2006/relationships/hyperlink" Target="mailto:Sawin.Millett@legislature.maine.gov" TargetMode="External"/><Relationship Id="rId261" Type="http://schemas.openxmlformats.org/officeDocument/2006/relationships/hyperlink" Target="mailto:Frances.Head@legislature.maine.gov" TargetMode="External"/><Relationship Id="rId382" Type="http://schemas.openxmlformats.org/officeDocument/2006/relationships/hyperlink" Target="mailto:Dana.Dow@legislature.maine.gov" TargetMode="External"/><Relationship Id="rId5" Type="http://schemas.openxmlformats.org/officeDocument/2006/relationships/hyperlink" Target="https://en.wikipedia.org/wiki/York,_Maine" TargetMode="External"/><Relationship Id="rId147" Type="http://schemas.openxmlformats.org/officeDocument/2006/relationships/hyperlink" Target="https://en.wikipedia.org/w/index.php?title=Christina_Riley&amp;action=edit&amp;redlink=1" TargetMode="External"/><Relationship Id="rId268" Type="http://schemas.openxmlformats.org/officeDocument/2006/relationships/hyperlink" Target="https://en.wikipedia.org/wiki/Guilford,_Maine" TargetMode="External"/><Relationship Id="rId389" Type="http://schemas.openxmlformats.org/officeDocument/2006/relationships/hyperlink" Target="mailto:Scott.Cyrway@legislature.maine.gov" TargetMode="External"/><Relationship Id="rId6" Type="http://schemas.openxmlformats.org/officeDocument/2006/relationships/hyperlink" Target="https://en.wikipedia.org/wiki/Patricia_Hymanson" TargetMode="External"/><Relationship Id="rId146" Type="http://schemas.openxmlformats.org/officeDocument/2006/relationships/hyperlink" Target="https://en.wikipedia.org/wiki/Paris,_Maine" TargetMode="External"/><Relationship Id="rId267" Type="http://schemas.openxmlformats.org/officeDocument/2006/relationships/hyperlink" Target="mailto:Paul.Stearns@legislature.maine.gov" TargetMode="External"/><Relationship Id="rId388" Type="http://schemas.openxmlformats.org/officeDocument/2006/relationships/hyperlink" Target="https://en.wikipedia.org/wiki/Scott_Cyrway" TargetMode="External"/><Relationship Id="rId7" Type="http://schemas.openxmlformats.org/officeDocument/2006/relationships/hyperlink" Target="https://en.wikipedia.org/wiki/York,_Maine" TargetMode="External"/><Relationship Id="rId145" Type="http://schemas.openxmlformats.org/officeDocument/2006/relationships/hyperlink" Target="mailto:John.Andrews@legislature.maine.gov" TargetMode="External"/><Relationship Id="rId266" Type="http://schemas.openxmlformats.org/officeDocument/2006/relationships/hyperlink" Target="https://en.wikipedia.org/w/index.php?title=Paul_Stearns&amp;action=edit&amp;redlink=1" TargetMode="External"/><Relationship Id="rId387" Type="http://schemas.openxmlformats.org/officeDocument/2006/relationships/hyperlink" Target="mailto:Matt.Pouliot@legislature.maine.gov" TargetMode="External"/><Relationship Id="rId8" Type="http://schemas.openxmlformats.org/officeDocument/2006/relationships/hyperlink" Target="https://en.wikipedia.org/wiki/Beth_O%27Connor" TargetMode="External"/><Relationship Id="rId144" Type="http://schemas.openxmlformats.org/officeDocument/2006/relationships/hyperlink" Target="https://en.wikipedia.org/wiki/Oxford,_Maine" TargetMode="External"/><Relationship Id="rId265" Type="http://schemas.openxmlformats.org/officeDocument/2006/relationships/hyperlink" Target="https://en.wikipedia.org/wiki/Athens,_Maine" TargetMode="External"/><Relationship Id="rId386" Type="http://schemas.openxmlformats.org/officeDocument/2006/relationships/hyperlink" Target="https://en.wikipedia.org/wiki/Kennebec_County,_Maine" TargetMode="External"/><Relationship Id="rId260" Type="http://schemas.openxmlformats.org/officeDocument/2006/relationships/hyperlink" Target="https://en.wikipedia.org/w/index.php?title=Frances_Head&amp;action=edit&amp;redlink=1" TargetMode="External"/><Relationship Id="rId381" Type="http://schemas.openxmlformats.org/officeDocument/2006/relationships/hyperlink" Target="http://legislature.maine.gov/District-13" TargetMode="External"/><Relationship Id="rId380" Type="http://schemas.openxmlformats.org/officeDocument/2006/relationships/hyperlink" Target="https://en.wikipedia.org/wiki/Dana_Dow" TargetMode="External"/><Relationship Id="rId139" Type="http://schemas.openxmlformats.org/officeDocument/2006/relationships/hyperlink" Target="https://en.wikipedia.org/wiki/Hiram,_Maine" TargetMode="External"/><Relationship Id="rId138" Type="http://schemas.openxmlformats.org/officeDocument/2006/relationships/hyperlink" Target="mailto:Nathan.Wadsworth@legislature.maine.gov" TargetMode="External"/><Relationship Id="rId259" Type="http://schemas.openxmlformats.org/officeDocument/2006/relationships/hyperlink" Target="https://en.wikipedia.org/wiki/Dixfield,_Maine" TargetMode="External"/><Relationship Id="rId137" Type="http://schemas.openxmlformats.org/officeDocument/2006/relationships/hyperlink" Target="https://en.wikipedia.org/w/index.php?title=Nathan_Wadsworth&amp;action=edit&amp;redlink=1" TargetMode="External"/><Relationship Id="rId258" Type="http://schemas.openxmlformats.org/officeDocument/2006/relationships/hyperlink" Target="mailto:Richard.Pickett@legislature.maine.gov" TargetMode="External"/><Relationship Id="rId379" Type="http://schemas.openxmlformats.org/officeDocument/2006/relationships/hyperlink" Target="https://en.wikipedia.org/wiki/Knox_County,_Maine" TargetMode="External"/><Relationship Id="rId132" Type="http://schemas.openxmlformats.org/officeDocument/2006/relationships/hyperlink" Target="mailto:Rich.Cebra@legislature.maine.gov" TargetMode="External"/><Relationship Id="rId253" Type="http://schemas.openxmlformats.org/officeDocument/2006/relationships/hyperlink" Target="mailto:Randall.Hall@legislature.maine.gov" TargetMode="External"/><Relationship Id="rId374" Type="http://schemas.openxmlformats.org/officeDocument/2006/relationships/hyperlink" Target="mailto:geoffrey.gratwick@legislature.maine.gov" TargetMode="External"/><Relationship Id="rId131" Type="http://schemas.openxmlformats.org/officeDocument/2006/relationships/hyperlink" Target="https://en.wikipedia.org/wiki/Richard_Cebra" TargetMode="External"/><Relationship Id="rId252" Type="http://schemas.openxmlformats.org/officeDocument/2006/relationships/hyperlink" Target="https://en.wikipedia.org/wiki/Farmington,_Maine" TargetMode="External"/><Relationship Id="rId373" Type="http://schemas.openxmlformats.org/officeDocument/2006/relationships/hyperlink" Target="https://en.wikipedia.org/wiki/Geoffrey_Gratwick" TargetMode="External"/><Relationship Id="rId130" Type="http://schemas.openxmlformats.org/officeDocument/2006/relationships/hyperlink" Target="https://en.wikipedia.org/wiki/Gray,_Maine" TargetMode="External"/><Relationship Id="rId251" Type="http://schemas.openxmlformats.org/officeDocument/2006/relationships/hyperlink" Target="mailto:H..Landry@legislature.maine.gov" TargetMode="External"/><Relationship Id="rId372" Type="http://schemas.openxmlformats.org/officeDocument/2006/relationships/hyperlink" Target="mailto:kimberley.rosen@legislature.maine.gov" TargetMode="External"/><Relationship Id="rId250" Type="http://schemas.openxmlformats.org/officeDocument/2006/relationships/hyperlink" Target="https://en.wikipedia.org/wiki/Weld,_Maine" TargetMode="External"/><Relationship Id="rId371" Type="http://schemas.openxmlformats.org/officeDocument/2006/relationships/hyperlink" Target="https://en.wikipedia.org/wiki/Kimberly_Rosen" TargetMode="External"/><Relationship Id="rId136" Type="http://schemas.openxmlformats.org/officeDocument/2006/relationships/hyperlink" Target="https://en.wikipedia.org/wiki/Bridgton,_Maine" TargetMode="External"/><Relationship Id="rId257" Type="http://schemas.openxmlformats.org/officeDocument/2006/relationships/hyperlink" Target="https://en.wikipedia.org/w/index.php?title=Richard_Pickett&amp;action=edit&amp;redlink=1" TargetMode="External"/><Relationship Id="rId378" Type="http://schemas.openxmlformats.org/officeDocument/2006/relationships/hyperlink" Target="mailto:David.Miramant@legislature.maine.gov" TargetMode="External"/><Relationship Id="rId135" Type="http://schemas.openxmlformats.org/officeDocument/2006/relationships/hyperlink" Target="mailto:Walter.Riseman@legislature.maine.gov" TargetMode="External"/><Relationship Id="rId256" Type="http://schemas.openxmlformats.org/officeDocument/2006/relationships/hyperlink" Target="https://en.wikipedia.org/wiki/Rumford,_Maine" TargetMode="External"/><Relationship Id="rId377" Type="http://schemas.openxmlformats.org/officeDocument/2006/relationships/hyperlink" Target="https://en.wikipedia.org/wiki/David_Miramant" TargetMode="External"/><Relationship Id="rId134" Type="http://schemas.openxmlformats.org/officeDocument/2006/relationships/hyperlink" Target="https://en.wikipedia.org/w/index.php?title=Walter_Riseman&amp;action=edit&amp;redlink=1" TargetMode="External"/><Relationship Id="rId255" Type="http://schemas.openxmlformats.org/officeDocument/2006/relationships/hyperlink" Target="mailto:Josanne.Dolloff@legislature.maine.gov" TargetMode="External"/><Relationship Id="rId376" Type="http://schemas.openxmlformats.org/officeDocument/2006/relationships/hyperlink" Target="https://en.wikipedia.org/wiki/Waldo_County,_Maine" TargetMode="External"/><Relationship Id="rId133" Type="http://schemas.openxmlformats.org/officeDocument/2006/relationships/hyperlink" Target="https://en.wikipedia.org/wiki/Naples,_Maine" TargetMode="External"/><Relationship Id="rId254" Type="http://schemas.openxmlformats.org/officeDocument/2006/relationships/hyperlink" Target="https://en.wikipedia.org/wiki/Wilton,_Maine" TargetMode="External"/><Relationship Id="rId375" Type="http://schemas.openxmlformats.org/officeDocument/2006/relationships/hyperlink" Target="https://en.wikipedia.org/wiki/Penobscot_County,_Maine" TargetMode="External"/><Relationship Id="rId172" Type="http://schemas.openxmlformats.org/officeDocument/2006/relationships/hyperlink" Target="mailto:Kent.Ackley@legislature.maine.gov" TargetMode="External"/><Relationship Id="rId293" Type="http://schemas.openxmlformats.org/officeDocument/2006/relationships/hyperlink" Target="https://en.wikipedia.org/w/index.php?title=Peter_Lyford&amp;action=edit&amp;redlink=1" TargetMode="External"/><Relationship Id="rId171" Type="http://schemas.openxmlformats.org/officeDocument/2006/relationships/hyperlink" Target="https://en.wikipedia.org/wiki/Maine_House_of_Representatives" TargetMode="External"/><Relationship Id="rId292" Type="http://schemas.openxmlformats.org/officeDocument/2006/relationships/hyperlink" Target="https://en.wikipedia.org/wiki/Brewer,_Maine" TargetMode="External"/><Relationship Id="rId170" Type="http://schemas.openxmlformats.org/officeDocument/2006/relationships/hyperlink" Target="https://en.wikipedia.org/w/index.php?title=Kent_Ackley&amp;action=edit&amp;redlink=1" TargetMode="External"/><Relationship Id="rId291" Type="http://schemas.openxmlformats.org/officeDocument/2006/relationships/hyperlink" Target="mailto:Arthur.Verow@legislature.maine.gov" TargetMode="External"/><Relationship Id="rId290" Type="http://schemas.openxmlformats.org/officeDocument/2006/relationships/hyperlink" Target="https://en.wikipedia.org/wiki/Bangor,_Maine" TargetMode="External"/><Relationship Id="rId165" Type="http://schemas.openxmlformats.org/officeDocument/2006/relationships/hyperlink" Target="mailto:Dick.Bradstreet@legislature.maine.gov" TargetMode="External"/><Relationship Id="rId286" Type="http://schemas.openxmlformats.org/officeDocument/2006/relationships/hyperlink" Target="mailto:John.Schneck@legislature.maine.gov" TargetMode="External"/><Relationship Id="rId164" Type="http://schemas.openxmlformats.org/officeDocument/2006/relationships/hyperlink" Target="https://en.wikipedia.org/w/index.php?title=Richard_T._Bradstreet&amp;action=edit&amp;redlink=1" TargetMode="External"/><Relationship Id="rId285" Type="http://schemas.openxmlformats.org/officeDocument/2006/relationships/hyperlink" Target="https://en.wikipedia.org/w/index.php?title=John_Schneck_(politician)&amp;action=edit&amp;redlink=1" TargetMode="External"/><Relationship Id="rId163" Type="http://schemas.openxmlformats.org/officeDocument/2006/relationships/hyperlink" Target="https://en.wikipedia.org/wiki/China,_Maine" TargetMode="External"/><Relationship Id="rId284" Type="http://schemas.openxmlformats.org/officeDocument/2006/relationships/hyperlink" Target="https://en.wikipedia.org/wiki/Bangor,_Maine" TargetMode="External"/><Relationship Id="rId162" Type="http://schemas.openxmlformats.org/officeDocument/2006/relationships/hyperlink" Target="mailto:Tim.Theriault@legislature.maine.gov" TargetMode="External"/><Relationship Id="rId283" Type="http://schemas.openxmlformats.org/officeDocument/2006/relationships/hyperlink" Target="mailto:Victoria.Kornfield@legislature.maine.gov" TargetMode="External"/><Relationship Id="rId169" Type="http://schemas.openxmlformats.org/officeDocument/2006/relationships/hyperlink" Target="https://en.wikipedia.org/wiki/Winthrop,_Maine" TargetMode="External"/><Relationship Id="rId168" Type="http://schemas.openxmlformats.org/officeDocument/2006/relationships/hyperlink" Target="mailto:Craig.Hickman@legislature.maine.gov" TargetMode="External"/><Relationship Id="rId289" Type="http://schemas.openxmlformats.org/officeDocument/2006/relationships/hyperlink" Target="mailto:Barbara.Cardone@legislature.maine.gov" TargetMode="External"/><Relationship Id="rId167" Type="http://schemas.openxmlformats.org/officeDocument/2006/relationships/hyperlink" Target="https://en.wikipedia.org/wiki/Craig_Hickman" TargetMode="External"/><Relationship Id="rId288" Type="http://schemas.openxmlformats.org/officeDocument/2006/relationships/hyperlink" Target="https://en.wikipedia.org/w/index.php?title=Barbara_A._Cardone&amp;action=edit&amp;redlink=1" TargetMode="External"/><Relationship Id="rId166" Type="http://schemas.openxmlformats.org/officeDocument/2006/relationships/hyperlink" Target="https://en.wikipedia.org/wiki/Vassalboro,_Maine" TargetMode="External"/><Relationship Id="rId287" Type="http://schemas.openxmlformats.org/officeDocument/2006/relationships/hyperlink" Target="https://en.wikipedia.org/wiki/Bangor,_Maine" TargetMode="External"/><Relationship Id="rId161" Type="http://schemas.openxmlformats.org/officeDocument/2006/relationships/hyperlink" Target="https://en.wikipedia.org/w/index.php?title=Timothy_Theriault&amp;action=edit&amp;redlink=1" TargetMode="External"/><Relationship Id="rId282" Type="http://schemas.openxmlformats.org/officeDocument/2006/relationships/hyperlink" Target="https://en.wikipedia.org/wiki/Victoria_Kornfield" TargetMode="External"/><Relationship Id="rId160" Type="http://schemas.openxmlformats.org/officeDocument/2006/relationships/hyperlink" Target="https://en.wikipedia.org/wiki/Winslow,_Maine" TargetMode="External"/><Relationship Id="rId281" Type="http://schemas.openxmlformats.org/officeDocument/2006/relationships/hyperlink" Target="https://en.wikipedia.org/wiki/Bangor,_Maine" TargetMode="External"/><Relationship Id="rId280" Type="http://schemas.openxmlformats.org/officeDocument/2006/relationships/hyperlink" Target="https://en.wikipedia.org/wiki/Orono,_Maine" TargetMode="External"/><Relationship Id="rId159" Type="http://schemas.openxmlformats.org/officeDocument/2006/relationships/hyperlink" Target="mailto:Catherine.Nadeau@legislature.maine.gov" TargetMode="External"/><Relationship Id="rId154" Type="http://schemas.openxmlformats.org/officeDocument/2006/relationships/hyperlink" Target="https://en.wikipedia.org/wiki/Belgrade,_Maine" TargetMode="External"/><Relationship Id="rId275" Type="http://schemas.openxmlformats.org/officeDocument/2006/relationships/hyperlink" Target="https://en.wikipedia.org/wiki/Michelle_Dunphy" TargetMode="External"/><Relationship Id="rId396" Type="http://schemas.openxmlformats.org/officeDocument/2006/relationships/hyperlink" Target="https://en.wikipedia.org/wiki/Androscoggin_County,_Maine" TargetMode="External"/><Relationship Id="rId153" Type="http://schemas.openxmlformats.org/officeDocument/2006/relationships/hyperlink" Target="mailto:Dennis.Keschl@legislature.maine.gov" TargetMode="External"/><Relationship Id="rId274" Type="http://schemas.openxmlformats.org/officeDocument/2006/relationships/hyperlink" Target="https://en.wikipedia.org/wiki/Hudson,_Maine" TargetMode="External"/><Relationship Id="rId395" Type="http://schemas.openxmlformats.org/officeDocument/2006/relationships/hyperlink" Target="mailto:James.Hamper@legislature.maine.gov" TargetMode="External"/><Relationship Id="rId152" Type="http://schemas.openxmlformats.org/officeDocument/2006/relationships/hyperlink" Target="https://en.wikipedia.org/w/index.php?title=Dennis_Keschl&amp;action=edit&amp;redlink=1" TargetMode="External"/><Relationship Id="rId273" Type="http://schemas.openxmlformats.org/officeDocument/2006/relationships/hyperlink" Target="mailto:Gary.Drinkwater@legislature.maine.gov" TargetMode="External"/><Relationship Id="rId394" Type="http://schemas.openxmlformats.org/officeDocument/2006/relationships/hyperlink" Target="https://en.wikipedia.org/wiki/James_Hamper" TargetMode="External"/><Relationship Id="rId151" Type="http://schemas.openxmlformats.org/officeDocument/2006/relationships/hyperlink" Target="https://en.wikipedia.org/wiki/Turner,_Maine" TargetMode="External"/><Relationship Id="rId272" Type="http://schemas.openxmlformats.org/officeDocument/2006/relationships/hyperlink" Target="https://en.wikipedia.org/w/index.php?title=Gary_Drinkwater&amp;action=edit&amp;redlink=1" TargetMode="External"/><Relationship Id="rId393" Type="http://schemas.openxmlformats.org/officeDocument/2006/relationships/hyperlink" Target="https://en.wikipedia.org/wiki/Oxford_County,_Maine" TargetMode="External"/><Relationship Id="rId158" Type="http://schemas.openxmlformats.org/officeDocument/2006/relationships/hyperlink" Target="https://en.wikipedia.org/w/index.php?title=Catherine_Nadeau&amp;action=edit&amp;redlink=1" TargetMode="External"/><Relationship Id="rId279" Type="http://schemas.openxmlformats.org/officeDocument/2006/relationships/hyperlink" Target="mailto:Ryan.Tipping@legislature.maine.gov" TargetMode="External"/><Relationship Id="rId157" Type="http://schemas.openxmlformats.org/officeDocument/2006/relationships/hyperlink" Target="https://en.wikipedia.org/wiki/Oakland,_Maine" TargetMode="External"/><Relationship Id="rId278" Type="http://schemas.openxmlformats.org/officeDocument/2006/relationships/hyperlink" Target="https://en.wikipedia.org/w/index.php?title=Ryan_Tipping-Spitz&amp;action=edit&amp;redlink=1" TargetMode="External"/><Relationship Id="rId399" Type="http://schemas.openxmlformats.org/officeDocument/2006/relationships/hyperlink" Target="mailto:Nathan.Libby@legislature.maine.gov" TargetMode="External"/><Relationship Id="rId156" Type="http://schemas.openxmlformats.org/officeDocument/2006/relationships/hyperlink" Target="mailto:Michael.Perkins@legislature.maine.gov" TargetMode="External"/><Relationship Id="rId277" Type="http://schemas.openxmlformats.org/officeDocument/2006/relationships/hyperlink" Target="https://en.wikipedia.org/wiki/Old_Town,_Maine" TargetMode="External"/><Relationship Id="rId398" Type="http://schemas.openxmlformats.org/officeDocument/2006/relationships/hyperlink" Target="http://legislature.maine.gov/District-21" TargetMode="External"/><Relationship Id="rId155" Type="http://schemas.openxmlformats.org/officeDocument/2006/relationships/hyperlink" Target="https://en.wikipedia.org/w/index.php?title=Michael_D._Perkins&amp;action=edit&amp;redlink=1" TargetMode="External"/><Relationship Id="rId276" Type="http://schemas.openxmlformats.org/officeDocument/2006/relationships/hyperlink" Target="mailto:Michelle.Dunphy@legislature.maine.gov" TargetMode="External"/><Relationship Id="rId397" Type="http://schemas.openxmlformats.org/officeDocument/2006/relationships/hyperlink" Target="https://en.wikipedia.org/wiki/Nate_Libby" TargetMode="External"/><Relationship Id="rId40" Type="http://schemas.openxmlformats.org/officeDocument/2006/relationships/hyperlink" Target="https://en.wikipedia.org/wiki/Windham,_Maine" TargetMode="External"/><Relationship Id="rId42" Type="http://schemas.openxmlformats.org/officeDocument/2006/relationships/hyperlink" Target="https://en.wikipedia.org/wiki/Gorham,_Maine" TargetMode="External"/><Relationship Id="rId41" Type="http://schemas.openxmlformats.org/officeDocument/2006/relationships/hyperlink" Target="https://en.wikipedia.org/w/index.php?title=Maureen_Fitzgerald_Terry&amp;action=edit&amp;redlink=1" TargetMode="External"/><Relationship Id="rId44" Type="http://schemas.openxmlformats.org/officeDocument/2006/relationships/hyperlink" Target="https://en.wikipedia.org/wiki/Gorham,_Maine" TargetMode="External"/><Relationship Id="rId43" Type="http://schemas.openxmlformats.org/officeDocument/2006/relationships/hyperlink" Target="https://en.wikipedia.org/wiki/Andrew_McLean_(American_politician)" TargetMode="External"/><Relationship Id="rId46" Type="http://schemas.openxmlformats.org/officeDocument/2006/relationships/hyperlink" Target="https://en.wikipedia.org/wiki/Scarborough,_Maine" TargetMode="External"/><Relationship Id="rId45" Type="http://schemas.openxmlformats.org/officeDocument/2006/relationships/hyperlink" Target="https://en.wikipedia.org/wiki/Scarborough,_Maine" TargetMode="External"/><Relationship Id="rId48" Type="http://schemas.openxmlformats.org/officeDocument/2006/relationships/hyperlink" Target="https://en.wikipedia.org/wiki/Lois_Galgay_Reckitt" TargetMode="External"/><Relationship Id="rId47" Type="http://schemas.openxmlformats.org/officeDocument/2006/relationships/hyperlink" Target="https://en.wikipedia.org/wiki/Cape_Elizabeth,_Maine" TargetMode="External"/><Relationship Id="rId49" Type="http://schemas.openxmlformats.org/officeDocument/2006/relationships/hyperlink" Target="https://en.wikipedia.org/wiki/South_Portland,_Maine" TargetMode="External"/><Relationship Id="rId31" Type="http://schemas.openxmlformats.org/officeDocument/2006/relationships/hyperlink" Target="https://en.wikipedia.org/wiki/Lebanon,_Maine" TargetMode="External"/><Relationship Id="rId30" Type="http://schemas.openxmlformats.org/officeDocument/2006/relationships/hyperlink" Target="https://en.wikipedia.org/wiki/Sanford,_Maine" TargetMode="External"/><Relationship Id="rId33" Type="http://schemas.openxmlformats.org/officeDocument/2006/relationships/hyperlink" Target="https://en.wikipedia.org/wiki/Alfred,_Maine" TargetMode="External"/><Relationship Id="rId32" Type="http://schemas.openxmlformats.org/officeDocument/2006/relationships/hyperlink" Target="https://en.wikipedia.org/w/index.php?title=Heidi_H._Sampson&amp;action=edit&amp;redlink=1" TargetMode="External"/><Relationship Id="rId35" Type="http://schemas.openxmlformats.org/officeDocument/2006/relationships/hyperlink" Target="https://en.wikipedia.org/w/index.php?title=Lester_Ordway&amp;action=edit&amp;redlink=1" TargetMode="External"/><Relationship Id="rId34" Type="http://schemas.openxmlformats.org/officeDocument/2006/relationships/hyperlink" Target="https://en.wikipedia.org/wiki/Limington,_Maine" TargetMode="External"/><Relationship Id="rId37" Type="http://schemas.openxmlformats.org/officeDocument/2006/relationships/hyperlink" Target="https://en.wikipedia.org/wiki/Mark_Bryant_(politician)" TargetMode="External"/><Relationship Id="rId36" Type="http://schemas.openxmlformats.org/officeDocument/2006/relationships/hyperlink" Target="https://en.wikipedia.org/wiki/Standish,_Maine" TargetMode="External"/><Relationship Id="rId39" Type="http://schemas.openxmlformats.org/officeDocument/2006/relationships/hyperlink" Target="https://en.wikipedia.org/w/index.php?title=Patrick_Corey&amp;action=edit&amp;redlink=1" TargetMode="External"/><Relationship Id="rId38" Type="http://schemas.openxmlformats.org/officeDocument/2006/relationships/hyperlink" Target="https://en.wikipedia.org/wiki/Windham,_Maine" TargetMode="External"/><Relationship Id="rId20" Type="http://schemas.openxmlformats.org/officeDocument/2006/relationships/hyperlink" Target="https://en.wikipedia.org/w/index.php?title=Donna_Bailey&amp;action=edit&amp;redlink=1" TargetMode="External"/><Relationship Id="rId22" Type="http://schemas.openxmlformats.org/officeDocument/2006/relationships/hyperlink" Target="https://en.wikipedia.org/w/index.php?title=Margaret_M._O%27Neil&amp;action=edit&amp;redlink=1" TargetMode="External"/><Relationship Id="rId21" Type="http://schemas.openxmlformats.org/officeDocument/2006/relationships/hyperlink" Target="https://en.wikipedia.org/wiki/Saco,_Maine" TargetMode="External"/><Relationship Id="rId24" Type="http://schemas.openxmlformats.org/officeDocument/2006/relationships/hyperlink" Target="https://en.wikipedia.org/wiki/Hollis,_Maine" TargetMode="External"/><Relationship Id="rId23" Type="http://schemas.openxmlformats.org/officeDocument/2006/relationships/hyperlink" Target="https://en.wikipedia.org/w/index.php?title=Donald_G._Marean&amp;action=edit&amp;redlink=1" TargetMode="External"/><Relationship Id="rId409" Type="http://schemas.openxmlformats.org/officeDocument/2006/relationships/hyperlink" Target="https://en.wikipedia.org/wiki/Maine_Senate" TargetMode="External"/><Relationship Id="rId404" Type="http://schemas.openxmlformats.org/officeDocument/2006/relationships/hyperlink" Target="https://en.wikipedia.org/wiki/Sagadahoc_County,_Maine" TargetMode="External"/><Relationship Id="rId403" Type="http://schemas.openxmlformats.org/officeDocument/2006/relationships/hyperlink" Target="mailto:Eloise.Vitelli@legislature.maine.gov" TargetMode="External"/><Relationship Id="rId402" Type="http://schemas.openxmlformats.org/officeDocument/2006/relationships/hyperlink" Target="http://legislature.maine.gov/District-23" TargetMode="External"/><Relationship Id="rId401" Type="http://schemas.openxmlformats.org/officeDocument/2006/relationships/hyperlink" Target="https://en.wikipedia.org/wiki/Eloise_Vitelli" TargetMode="External"/><Relationship Id="rId408" Type="http://schemas.openxmlformats.org/officeDocument/2006/relationships/hyperlink" Target="mailto:cathy.breen@legislature.maine.gov" TargetMode="External"/><Relationship Id="rId407" Type="http://schemas.openxmlformats.org/officeDocument/2006/relationships/hyperlink" Target="https://en.wikipedia.org/wiki/Cathy_Breen" TargetMode="External"/><Relationship Id="rId406" Type="http://schemas.openxmlformats.org/officeDocument/2006/relationships/hyperlink" Target="https://en.wikipedia.org/wiki/Cumberland_County,_Maine" TargetMode="External"/><Relationship Id="rId405" Type="http://schemas.openxmlformats.org/officeDocument/2006/relationships/hyperlink" Target="mailto:Brownie.Carson@legislature.maine.gov" TargetMode="External"/><Relationship Id="rId26" Type="http://schemas.openxmlformats.org/officeDocument/2006/relationships/hyperlink" Target="https://en.wikipedia.org/wiki/Waterboro,_Maine" TargetMode="External"/><Relationship Id="rId25" Type="http://schemas.openxmlformats.org/officeDocument/2006/relationships/hyperlink" Target="https://en.wikipedia.org/w/index.php?title=Dwayne_W._Prescott&amp;action=edit&amp;redlink=1" TargetMode="External"/><Relationship Id="rId28" Type="http://schemas.openxmlformats.org/officeDocument/2006/relationships/hyperlink" Target="https://en.wikipedia.org/wiki/Sanford,_Maine" TargetMode="External"/><Relationship Id="rId27" Type="http://schemas.openxmlformats.org/officeDocument/2006/relationships/hyperlink" Target="https://en.wikipedia.org/wiki/Anne-Marie_Mastraccio" TargetMode="External"/><Relationship Id="rId400" Type="http://schemas.openxmlformats.org/officeDocument/2006/relationships/hyperlink" Target="http://legislature.maine.gov/District-22" TargetMode="External"/><Relationship Id="rId29" Type="http://schemas.openxmlformats.org/officeDocument/2006/relationships/hyperlink" Target="https://en.wikipedia.org/w/index.php?title=Matthew_Harrington&amp;action=edit&amp;redlink=1" TargetMode="External"/><Relationship Id="rId11" Type="http://schemas.openxmlformats.org/officeDocument/2006/relationships/hyperlink" Target="https://en.wikipedia.org/wiki/Wells,_Maine" TargetMode="External"/><Relationship Id="rId10" Type="http://schemas.openxmlformats.org/officeDocument/2006/relationships/hyperlink" Target="https://en.wikipedia.org/wiki/South_Berwick,_Maine" TargetMode="External"/><Relationship Id="rId13" Type="http://schemas.openxmlformats.org/officeDocument/2006/relationships/hyperlink" Target="https://en.wikipedia.org/wiki/Kennebunk,_Maine" TargetMode="External"/><Relationship Id="rId12" Type="http://schemas.openxmlformats.org/officeDocument/2006/relationships/hyperlink" Target="https://en.wikipedia.org/w/index.php?title=Christopher_Babbidge&amp;action=edit&amp;redlink=1" TargetMode="External"/><Relationship Id="rId15" Type="http://schemas.openxmlformats.org/officeDocument/2006/relationships/hyperlink" Target="https://en.wikipedia.org/wiki/Arundel,_Maine" TargetMode="External"/><Relationship Id="rId14" Type="http://schemas.openxmlformats.org/officeDocument/2006/relationships/hyperlink" Target="https://en.wikipedia.org/wiki/Kennebunkport,_Maine" TargetMode="External"/><Relationship Id="rId17" Type="http://schemas.openxmlformats.org/officeDocument/2006/relationships/hyperlink" Target="https://en.wikipedia.org/wiki/Biddeford,_Maine" TargetMode="External"/><Relationship Id="rId16" Type="http://schemas.openxmlformats.org/officeDocument/2006/relationships/hyperlink" Target="https://en.wikipedia.org/wiki/Ryan_Fecteau" TargetMode="External"/><Relationship Id="rId19" Type="http://schemas.openxmlformats.org/officeDocument/2006/relationships/hyperlink" Target="https://en.wikipedia.org/wiki/Old_Orchard_Beach,_Maine" TargetMode="External"/><Relationship Id="rId18" Type="http://schemas.openxmlformats.org/officeDocument/2006/relationships/hyperlink" Target="https://en.wikipedia.org/wiki/Biddeford,_Maine" TargetMode="External"/><Relationship Id="rId84" Type="http://schemas.openxmlformats.org/officeDocument/2006/relationships/hyperlink" Target="https://en.wikipedia.org/wiki/Brunswick,_Maine" TargetMode="External"/><Relationship Id="rId83" Type="http://schemas.openxmlformats.org/officeDocument/2006/relationships/hyperlink" Target="mailto:Ralph.Tucker@legislature.maine.gov" TargetMode="External"/><Relationship Id="rId86" Type="http://schemas.openxmlformats.org/officeDocument/2006/relationships/hyperlink" Target="mailto:Jay.McCreight@legislature.maine.gov" TargetMode="External"/><Relationship Id="rId85" Type="http://schemas.openxmlformats.org/officeDocument/2006/relationships/hyperlink" Target="https://en.wikipedia.org/w/index.php?title=Joyce_McCreight&amp;action=edit&amp;redlink=1" TargetMode="External"/><Relationship Id="rId88" Type="http://schemas.openxmlformats.org/officeDocument/2006/relationships/hyperlink" Target="https://en.wikipedia.org/w/index.php?title=Jennifer_DeChant&amp;action=edit&amp;redlink=1" TargetMode="External"/><Relationship Id="rId87" Type="http://schemas.openxmlformats.org/officeDocument/2006/relationships/hyperlink" Target="https://en.wikipedia.org/wiki/Harpswell,_Maine" TargetMode="External"/><Relationship Id="rId89" Type="http://schemas.openxmlformats.org/officeDocument/2006/relationships/hyperlink" Target="mailto:Jennifer.DeChant@legislature.maine.gov" TargetMode="External"/><Relationship Id="rId80" Type="http://schemas.openxmlformats.org/officeDocument/2006/relationships/hyperlink" Target="mailto:Mattie.Daughtry@legislature.maine.gov" TargetMode="External"/><Relationship Id="rId82" Type="http://schemas.openxmlformats.org/officeDocument/2006/relationships/hyperlink" Target="https://en.wikipedia.org/w/index.php?title=Ralph_Tucker_(Maine_politician)&amp;action=edit&amp;redlink=1" TargetMode="External"/><Relationship Id="rId81" Type="http://schemas.openxmlformats.org/officeDocument/2006/relationships/hyperlink" Target="https://en.wikipedia.org/wiki/Brunswick,_Maine" TargetMode="External"/><Relationship Id="rId73" Type="http://schemas.openxmlformats.org/officeDocument/2006/relationships/hyperlink" Target="mailto:Braden.Sharpe@legislature.maine.gov" TargetMode="External"/><Relationship Id="rId72" Type="http://schemas.openxmlformats.org/officeDocument/2006/relationships/hyperlink" Target="https://en.wikipedia.org/w/index.php?title=Braden_Sharpe&amp;action=edit&amp;redlink=1" TargetMode="External"/><Relationship Id="rId75" Type="http://schemas.openxmlformats.org/officeDocument/2006/relationships/hyperlink" Target="https://en.wikipedia.org/wiki/Janice_Cooper" TargetMode="External"/><Relationship Id="rId74" Type="http://schemas.openxmlformats.org/officeDocument/2006/relationships/hyperlink" Target="https://en.wikipedia.org/wiki/Durham,_Maine" TargetMode="External"/><Relationship Id="rId77" Type="http://schemas.openxmlformats.org/officeDocument/2006/relationships/hyperlink" Target="https://en.wikipedia.org/wiki/Sara_Gideon" TargetMode="External"/><Relationship Id="rId76" Type="http://schemas.openxmlformats.org/officeDocument/2006/relationships/hyperlink" Target="https://en.wikipedia.org/wiki/Yarmouth,_Maine" TargetMode="External"/><Relationship Id="rId79" Type="http://schemas.openxmlformats.org/officeDocument/2006/relationships/hyperlink" Target="https://en.wikipedia.org/wiki/Mattie_Daughtry" TargetMode="External"/><Relationship Id="rId78" Type="http://schemas.openxmlformats.org/officeDocument/2006/relationships/hyperlink" Target="https://en.wikipedia.org/wiki/Freeport,_Maine" TargetMode="External"/><Relationship Id="rId71" Type="http://schemas.openxmlformats.org/officeDocument/2006/relationships/hyperlink" Target="https://en.wikipedia.org/wiki/Cumberland,_Maine" TargetMode="External"/><Relationship Id="rId70" Type="http://schemas.openxmlformats.org/officeDocument/2006/relationships/hyperlink" Target="https://en.wikipedia.org/w/index.php?title=Dale_J._Denno&amp;action=edit&amp;redlink=1" TargetMode="External"/><Relationship Id="rId62" Type="http://schemas.openxmlformats.org/officeDocument/2006/relationships/hyperlink" Target="https://en.wikipedia.org/wiki/Portland,_Maine" TargetMode="External"/><Relationship Id="rId61" Type="http://schemas.openxmlformats.org/officeDocument/2006/relationships/hyperlink" Target="https://en.wikipedia.org/w/index.php?title=Rachel_Talbot_Ross&amp;action=edit&amp;redlink=1" TargetMode="External"/><Relationship Id="rId64" Type="http://schemas.openxmlformats.org/officeDocument/2006/relationships/hyperlink" Target="https://en.wikipedia.org/wiki/Portland,_Maine" TargetMode="External"/><Relationship Id="rId63" Type="http://schemas.openxmlformats.org/officeDocument/2006/relationships/hyperlink" Target="https://en.wikipedia.org/w/index.php?title=Erik_Jorgensen_(politician)&amp;action=edit&amp;redlink=1" TargetMode="External"/><Relationship Id="rId66" Type="http://schemas.openxmlformats.org/officeDocument/2006/relationships/hyperlink" Target="https://en.wikipedia.org/wiki/Portland,_Maine" TargetMode="External"/><Relationship Id="rId65" Type="http://schemas.openxmlformats.org/officeDocument/2006/relationships/hyperlink" Target="https://en.wikipedia.org/w/index.php?title=Benjamin_Collings&amp;action=edit&amp;redlink=1" TargetMode="External"/><Relationship Id="rId68" Type="http://schemas.openxmlformats.org/officeDocument/2006/relationships/hyperlink" Target="https://en.wikipedia.org/wiki/Teresa_Pierce" TargetMode="External"/><Relationship Id="rId67" Type="http://schemas.openxmlformats.org/officeDocument/2006/relationships/hyperlink" Target="https://en.wikipedia.org/wiki/Portland,_Maine" TargetMode="External"/><Relationship Id="rId60" Type="http://schemas.openxmlformats.org/officeDocument/2006/relationships/hyperlink" Target="https://en.wikipedia.org/wiki/Portland,_Maine" TargetMode="External"/><Relationship Id="rId69" Type="http://schemas.openxmlformats.org/officeDocument/2006/relationships/hyperlink" Target="https://en.wikipedia.org/wiki/Falmouth,_Maine" TargetMode="External"/><Relationship Id="rId51" Type="http://schemas.openxmlformats.org/officeDocument/2006/relationships/hyperlink" Target="https://en.wikipedia.org/wiki/South_Portland,_Maine" TargetMode="External"/><Relationship Id="rId50" Type="http://schemas.openxmlformats.org/officeDocument/2006/relationships/hyperlink" Target="https://en.wikipedia.org/wiki/South_Portland,_Maine" TargetMode="External"/><Relationship Id="rId53" Type="http://schemas.openxmlformats.org/officeDocument/2006/relationships/hyperlink" Target="https://en.wikipedia.org/wiki/Westbrook,_Maine" TargetMode="External"/><Relationship Id="rId52" Type="http://schemas.openxmlformats.org/officeDocument/2006/relationships/hyperlink" Target="https://en.wikipedia.org/wiki/Andrew_Gattine" TargetMode="External"/><Relationship Id="rId55" Type="http://schemas.openxmlformats.org/officeDocument/2006/relationships/hyperlink" Target="https://en.wikipedia.org/wiki/Richard_Farnsworth_(politician)" TargetMode="External"/><Relationship Id="rId54" Type="http://schemas.openxmlformats.org/officeDocument/2006/relationships/hyperlink" Target="https://en.wikipedia.org/wiki/Portland,_Maine" TargetMode="External"/><Relationship Id="rId57" Type="http://schemas.openxmlformats.org/officeDocument/2006/relationships/hyperlink" Target="https://en.wikipedia.org/wiki/Matt_Moonen" TargetMode="External"/><Relationship Id="rId56" Type="http://schemas.openxmlformats.org/officeDocument/2006/relationships/hyperlink" Target="https://en.wikipedia.org/wiki/Portland,_Maine" TargetMode="External"/><Relationship Id="rId59" Type="http://schemas.openxmlformats.org/officeDocument/2006/relationships/hyperlink" Target="https://en.wikipedia.org/wiki/Michael_Sylvester_(politician)" TargetMode="External"/><Relationship Id="rId58" Type="http://schemas.openxmlformats.org/officeDocument/2006/relationships/hyperlink" Target="https://en.wikipedia.org/wiki/Portland,_Maine" TargetMode="External"/><Relationship Id="rId107" Type="http://schemas.openxmlformats.org/officeDocument/2006/relationships/hyperlink" Target="mailto:Margaret.Craven@legislature.maine.gov" TargetMode="External"/><Relationship Id="rId228" Type="http://schemas.openxmlformats.org/officeDocument/2006/relationships/hyperlink" Target="mailto:Steven.Foster@legislature.maine.gov" TargetMode="External"/><Relationship Id="rId349" Type="http://schemas.openxmlformats.org/officeDocument/2006/relationships/hyperlink" Target="https://en.wikipedia.org/w/index.php?title=Roland_Martin_(politician)&amp;action=edit&amp;redlink=1" TargetMode="External"/><Relationship Id="rId106" Type="http://schemas.openxmlformats.org/officeDocument/2006/relationships/hyperlink" Target="https://en.wikipedia.org/wiki/Lewiston,_Maine" TargetMode="External"/><Relationship Id="rId227" Type="http://schemas.openxmlformats.org/officeDocument/2006/relationships/hyperlink" Target="https://en.wikipedia.org/wiki/Carmel,_Maine" TargetMode="External"/><Relationship Id="rId348" Type="http://schemas.openxmlformats.org/officeDocument/2006/relationships/hyperlink" Target="https://en.wikipedia.org/wiki/Caribou,_Maine" TargetMode="External"/><Relationship Id="rId105" Type="http://schemas.openxmlformats.org/officeDocument/2006/relationships/hyperlink" Target="mailto:Jim.Handy@legislature.maine.gov" TargetMode="External"/><Relationship Id="rId226" Type="http://schemas.openxmlformats.org/officeDocument/2006/relationships/hyperlink" Target="mailto:Roger.Reed@legislature.maine.gov" TargetMode="External"/><Relationship Id="rId347" Type="http://schemas.openxmlformats.org/officeDocument/2006/relationships/hyperlink" Target="mailto:John.DeVeau@legislature.maine.gov" TargetMode="External"/><Relationship Id="rId104" Type="http://schemas.openxmlformats.org/officeDocument/2006/relationships/hyperlink" Target="https://en.wikipedia.org/wiki/James_R._Handy" TargetMode="External"/><Relationship Id="rId225" Type="http://schemas.openxmlformats.org/officeDocument/2006/relationships/hyperlink" Target="https://en.wikipedia.org/w/index.php?title=Roger_E._Reed&amp;action=edit&amp;redlink=1" TargetMode="External"/><Relationship Id="rId346" Type="http://schemas.openxmlformats.org/officeDocument/2006/relationships/hyperlink" Target="https://en.wikipedia.org/wiki/Fort_Fairfield,_Maine" TargetMode="External"/><Relationship Id="rId109" Type="http://schemas.openxmlformats.org/officeDocument/2006/relationships/hyperlink" Target="mailto:Kristen.Cloutier@legislature.maine.gov" TargetMode="External"/><Relationship Id="rId108" Type="http://schemas.openxmlformats.org/officeDocument/2006/relationships/hyperlink" Target="https://en.wikipedia.org/wiki/Lewiston,_Maine" TargetMode="External"/><Relationship Id="rId229" Type="http://schemas.openxmlformats.org/officeDocument/2006/relationships/hyperlink" Target="https://en.wikipedia.org/wiki/Dexter,_Maine" TargetMode="External"/><Relationship Id="rId220" Type="http://schemas.openxmlformats.org/officeDocument/2006/relationships/hyperlink" Target="https://en.wikipedia.org/w/index.php?title=David_G._Haggan&amp;action=edit&amp;redlink=1" TargetMode="External"/><Relationship Id="rId341" Type="http://schemas.openxmlformats.org/officeDocument/2006/relationships/hyperlink" Target="https://en.wikipedia.org/w/index.php?title=Harold_L._Stewart_III&amp;action=edit&amp;redlink=1" TargetMode="External"/><Relationship Id="rId340" Type="http://schemas.openxmlformats.org/officeDocument/2006/relationships/hyperlink" Target="https://en.wikipedia.org/wiki/Washburn,_Maine" TargetMode="External"/><Relationship Id="rId103" Type="http://schemas.openxmlformats.org/officeDocument/2006/relationships/hyperlink" Target="https://en.wikipedia.org/wiki/Greene,_Maine" TargetMode="External"/><Relationship Id="rId224" Type="http://schemas.openxmlformats.org/officeDocument/2006/relationships/hyperlink" Target="https://en.wikipedia.org/wiki/Glenburn,_Maine" TargetMode="External"/><Relationship Id="rId345" Type="http://schemas.openxmlformats.org/officeDocument/2006/relationships/hyperlink" Target="mailto:David.McCrea@legislature.maine.gov" TargetMode="External"/><Relationship Id="rId102" Type="http://schemas.openxmlformats.org/officeDocument/2006/relationships/hyperlink" Target="mailto:Thomas.Martin@legislature.maine.gov" TargetMode="External"/><Relationship Id="rId223" Type="http://schemas.openxmlformats.org/officeDocument/2006/relationships/hyperlink" Target="mailto:Abigail.Griffin@legislature.maine.gov" TargetMode="External"/><Relationship Id="rId344" Type="http://schemas.openxmlformats.org/officeDocument/2006/relationships/hyperlink" Target="https://en.wikipedia.org/w/index.php?title=David_Harold_McCrea&amp;action=edit&amp;redlink=1" TargetMode="External"/><Relationship Id="rId101" Type="http://schemas.openxmlformats.org/officeDocument/2006/relationships/hyperlink" Target="https://en.wikipedia.org/wiki/Lisbon,_Maine" TargetMode="External"/><Relationship Id="rId222" Type="http://schemas.openxmlformats.org/officeDocument/2006/relationships/hyperlink" Target="https://en.wikipedia.org/wiki/Hampden,_Maine" TargetMode="External"/><Relationship Id="rId343" Type="http://schemas.openxmlformats.org/officeDocument/2006/relationships/hyperlink" Target="https://en.wikipedia.org/wiki/Presque_Isle,_Maine" TargetMode="External"/><Relationship Id="rId100" Type="http://schemas.openxmlformats.org/officeDocument/2006/relationships/hyperlink" Target="mailto:Richard.Mason@legislature.maine.gov" TargetMode="External"/><Relationship Id="rId221" Type="http://schemas.openxmlformats.org/officeDocument/2006/relationships/hyperlink" Target="mailto:David.Haggan@legislature.maine.gov" TargetMode="External"/><Relationship Id="rId342" Type="http://schemas.openxmlformats.org/officeDocument/2006/relationships/hyperlink" Target="mailto:Trey.Stewart@legislature.maine.gov" TargetMode="External"/><Relationship Id="rId217" Type="http://schemas.openxmlformats.org/officeDocument/2006/relationships/hyperlink" Target="https://en.wikipedia.org/wiki/Knox,_Maine" TargetMode="External"/><Relationship Id="rId338" Type="http://schemas.openxmlformats.org/officeDocument/2006/relationships/hyperlink" Target="https://en.wikipedia.org/w/index.php?title=Dustin_White&amp;action=edit&amp;redlink=1" TargetMode="External"/><Relationship Id="rId216" Type="http://schemas.openxmlformats.org/officeDocument/2006/relationships/hyperlink" Target="mailto:MaryAnne.Kinney@legislature.maine.gov" TargetMode="External"/><Relationship Id="rId337" Type="http://schemas.openxmlformats.org/officeDocument/2006/relationships/hyperlink" Target="https://en.wikipedia.org/wiki/Monticello,_Maine" TargetMode="External"/><Relationship Id="rId215" Type="http://schemas.openxmlformats.org/officeDocument/2006/relationships/hyperlink" Target="https://en.wikipedia.org/w/index.php?title=MaryAnne_Kinney&amp;action=edit&amp;redlink=1" TargetMode="External"/><Relationship Id="rId336" Type="http://schemas.openxmlformats.org/officeDocument/2006/relationships/hyperlink" Target="mailto:Chris.Johansen@legislature.maine.gov" TargetMode="External"/><Relationship Id="rId214" Type="http://schemas.openxmlformats.org/officeDocument/2006/relationships/hyperlink" Target="https://en.wikipedia.org/wiki/Searsport,_Maine" TargetMode="External"/><Relationship Id="rId335" Type="http://schemas.openxmlformats.org/officeDocument/2006/relationships/hyperlink" Target="https://en.wikipedia.org/w/index.php?title=Chris_A._Johansen&amp;action=edit&amp;redlink=1" TargetMode="External"/><Relationship Id="rId219" Type="http://schemas.openxmlformats.org/officeDocument/2006/relationships/hyperlink" Target="https://en.wikipedia.org/wiki/Newport,_Maine" TargetMode="External"/><Relationship Id="rId218" Type="http://schemas.openxmlformats.org/officeDocument/2006/relationships/hyperlink" Target="mailto:Dan.Costain@legislature.maine.gov" TargetMode="External"/><Relationship Id="rId339" Type="http://schemas.openxmlformats.org/officeDocument/2006/relationships/hyperlink" Target="mailto:Dustin.White@legislature.maine.gov" TargetMode="External"/><Relationship Id="rId330" Type="http://schemas.openxmlformats.org/officeDocument/2006/relationships/hyperlink" Target="mailto:Stephen.Stanley@legislature.maine.gov" TargetMode="External"/><Relationship Id="rId213" Type="http://schemas.openxmlformats.org/officeDocument/2006/relationships/hyperlink" Target="mailto:Scott.Cuddy@legislature.maine.gov" TargetMode="External"/><Relationship Id="rId334" Type="http://schemas.openxmlformats.org/officeDocument/2006/relationships/hyperlink" Target="https://en.wikipedia.org/wiki/Hodgdon,_Maine" TargetMode="External"/><Relationship Id="rId212" Type="http://schemas.openxmlformats.org/officeDocument/2006/relationships/hyperlink" Target="https://en.wikipedia.org/w/index.php?title=Scott_W._Cuddy&amp;action=edit&amp;redlink=1" TargetMode="External"/><Relationship Id="rId333" Type="http://schemas.openxmlformats.org/officeDocument/2006/relationships/hyperlink" Target="mailto:Gregory.Swallow@legislature.maine.gov" TargetMode="External"/><Relationship Id="rId211" Type="http://schemas.openxmlformats.org/officeDocument/2006/relationships/hyperlink" Target="https://en.wikipedia.org/wiki/Belfast,_Maine" TargetMode="External"/><Relationship Id="rId332" Type="http://schemas.openxmlformats.org/officeDocument/2006/relationships/hyperlink" Target="https://en.wikipedia.org/w/index.php?title=Gregory_Swallow&amp;action=edit&amp;redlink=1" TargetMode="External"/><Relationship Id="rId210" Type="http://schemas.openxmlformats.org/officeDocument/2006/relationships/hyperlink" Target="mailto:Jan.Dodge@legislature.maine.gov" TargetMode="External"/><Relationship Id="rId331" Type="http://schemas.openxmlformats.org/officeDocument/2006/relationships/hyperlink" Target="https://en.wikipedia.org/wiki/Medway,_Maine" TargetMode="External"/><Relationship Id="rId370" Type="http://schemas.openxmlformats.org/officeDocument/2006/relationships/hyperlink" Target="https://en.wikipedia.org/wiki/Hancock_County,_Maine" TargetMode="External"/><Relationship Id="rId129" Type="http://schemas.openxmlformats.org/officeDocument/2006/relationships/hyperlink" Target="mailto:Sue.Austin@legislature.maine.gov" TargetMode="External"/><Relationship Id="rId128" Type="http://schemas.openxmlformats.org/officeDocument/2006/relationships/hyperlink" Target="https://en.wikipedia.org/wiki/Susan_Austin" TargetMode="External"/><Relationship Id="rId249" Type="http://schemas.openxmlformats.org/officeDocument/2006/relationships/hyperlink" Target="mailto:Thomas.Skolfield@legislature.maine.gov" TargetMode="External"/><Relationship Id="rId127" Type="http://schemas.openxmlformats.org/officeDocument/2006/relationships/hyperlink" Target="https://en.wikipedia.org/wiki/Raymond,_Maine" TargetMode="External"/><Relationship Id="rId248" Type="http://schemas.openxmlformats.org/officeDocument/2006/relationships/hyperlink" Target="https://en.wikipedia.org/w/index.php?title=Thomas_Skolfield&amp;action=edit&amp;redlink=1" TargetMode="External"/><Relationship Id="rId369" Type="http://schemas.openxmlformats.org/officeDocument/2006/relationships/hyperlink" Target="mailto:Louis.Luchini@legislature.maine.gov" TargetMode="External"/><Relationship Id="rId126" Type="http://schemas.openxmlformats.org/officeDocument/2006/relationships/hyperlink" Target="mailto:Jessica.Fay@legislature.maine.gov" TargetMode="External"/><Relationship Id="rId247" Type="http://schemas.openxmlformats.org/officeDocument/2006/relationships/hyperlink" Target="https://en.wikipedia.org/wiki/Norridgewock,_Maine" TargetMode="External"/><Relationship Id="rId368" Type="http://schemas.openxmlformats.org/officeDocument/2006/relationships/hyperlink" Target="https://en.wikipedia.org/wiki/Washington_County,_Maine" TargetMode="External"/><Relationship Id="rId121" Type="http://schemas.openxmlformats.org/officeDocument/2006/relationships/hyperlink" Target="mailto:Bettyann.Sheats@legislature.maine.gov" TargetMode="External"/><Relationship Id="rId242" Type="http://schemas.openxmlformats.org/officeDocument/2006/relationships/hyperlink" Target="https://en.wikipedia.org/wiki/Waterville,_Maine" TargetMode="External"/><Relationship Id="rId363" Type="http://schemas.openxmlformats.org/officeDocument/2006/relationships/hyperlink" Target="mailto:Paul.Davis@legislature.maine.gov" TargetMode="External"/><Relationship Id="rId120" Type="http://schemas.openxmlformats.org/officeDocument/2006/relationships/hyperlink" Target="https://en.wikipedia.org/w/index.php?title=Bettyann_Sheats&amp;action=edit&amp;redlink=1" TargetMode="External"/><Relationship Id="rId241" Type="http://schemas.openxmlformats.org/officeDocument/2006/relationships/hyperlink" Target="mailto:Bruce.White@legislature.maine.gov" TargetMode="External"/><Relationship Id="rId362" Type="http://schemas.openxmlformats.org/officeDocument/2006/relationships/hyperlink" Target="https://en.wikipedia.org/wiki/Paul_Davis_(Maine_politician)" TargetMode="External"/><Relationship Id="rId240" Type="http://schemas.openxmlformats.org/officeDocument/2006/relationships/hyperlink" Target="https://en.wikipedia.org/wiki/Fairfield,_Maine" TargetMode="External"/><Relationship Id="rId361" Type="http://schemas.openxmlformats.org/officeDocument/2006/relationships/hyperlink" Target="https://en.wikipedia.org/wiki/Somerset_County,_Maine" TargetMode="External"/><Relationship Id="rId360" Type="http://schemas.openxmlformats.org/officeDocument/2006/relationships/hyperlink" Target="mailto:Brad.Farrin@legislature.maine.gov" TargetMode="External"/><Relationship Id="rId125" Type="http://schemas.openxmlformats.org/officeDocument/2006/relationships/hyperlink" Target="https://en.wikipedia.org/w/index.php?title=Jessica_L._Fay&amp;action=edit&amp;redlink=1" TargetMode="External"/><Relationship Id="rId246" Type="http://schemas.openxmlformats.org/officeDocument/2006/relationships/hyperlink" Target="mailto:Philip.Curtis@legislature.maine.gov" TargetMode="External"/><Relationship Id="rId367" Type="http://schemas.openxmlformats.org/officeDocument/2006/relationships/hyperlink" Target="https://en.wikipedia.org/wiki/Penobscot_County,_Maine" TargetMode="External"/><Relationship Id="rId124" Type="http://schemas.openxmlformats.org/officeDocument/2006/relationships/hyperlink" Target="https://en.wikipedia.org/wiki/New_Gloucester,_Maine" TargetMode="External"/><Relationship Id="rId245" Type="http://schemas.openxmlformats.org/officeDocument/2006/relationships/hyperlink" Target="https://en.wikipedia.org/wiki/Waterville,_Maine" TargetMode="External"/><Relationship Id="rId366" Type="http://schemas.openxmlformats.org/officeDocument/2006/relationships/hyperlink" Target="mailto:James.Dill@legislature.maine.gov" TargetMode="External"/><Relationship Id="rId123" Type="http://schemas.openxmlformats.org/officeDocument/2006/relationships/hyperlink" Target="mailto:Amy.Arata@legislature.maine.gov" TargetMode="External"/><Relationship Id="rId244" Type="http://schemas.openxmlformats.org/officeDocument/2006/relationships/hyperlink" Target="mailto:Colleen.Madigan@legislature.maine.gov" TargetMode="External"/><Relationship Id="rId365" Type="http://schemas.openxmlformats.org/officeDocument/2006/relationships/hyperlink" Target="https://en.wikipedia.org/wiki/James_Dill_(politician)" TargetMode="External"/><Relationship Id="rId122" Type="http://schemas.openxmlformats.org/officeDocument/2006/relationships/hyperlink" Target="https://en.wikipedia.org/wiki/Auburn,_Maine" TargetMode="External"/><Relationship Id="rId243" Type="http://schemas.openxmlformats.org/officeDocument/2006/relationships/hyperlink" Target="https://en.wikipedia.org/wiki/Colleen_Madigan" TargetMode="External"/><Relationship Id="rId364" Type="http://schemas.openxmlformats.org/officeDocument/2006/relationships/hyperlink" Target="https://en.wikipedia.org/wiki/Piscataquis_County,_Maine" TargetMode="External"/><Relationship Id="rId95" Type="http://schemas.openxmlformats.org/officeDocument/2006/relationships/hyperlink" Target="https://en.wikipedia.org/wiki/Topsham,_Maine" TargetMode="External"/><Relationship Id="rId94" Type="http://schemas.openxmlformats.org/officeDocument/2006/relationships/hyperlink" Target="mailto:Denise.Tepler@legislature.maine.gov" TargetMode="External"/><Relationship Id="rId97" Type="http://schemas.openxmlformats.org/officeDocument/2006/relationships/hyperlink" Target="mailto:Seth.Berry@legislature.maine.gov" TargetMode="External"/><Relationship Id="rId96" Type="http://schemas.openxmlformats.org/officeDocument/2006/relationships/hyperlink" Target="https://en.wikipedia.org/wiki/Seth_Berry" TargetMode="External"/><Relationship Id="rId99" Type="http://schemas.openxmlformats.org/officeDocument/2006/relationships/hyperlink" Target="https://en.wikipedia.org/w/index.php?title=Rick_Mason&amp;action=edit&amp;redlink=1" TargetMode="External"/><Relationship Id="rId98" Type="http://schemas.openxmlformats.org/officeDocument/2006/relationships/hyperlink" Target="https://en.wikipedia.org/wiki/Bowdoinham,_Maine" TargetMode="External"/><Relationship Id="rId91" Type="http://schemas.openxmlformats.org/officeDocument/2006/relationships/hyperlink" Target="mailto:Allison.Hepler@legislature.maine.gov" TargetMode="External"/><Relationship Id="rId90" Type="http://schemas.openxmlformats.org/officeDocument/2006/relationships/hyperlink" Target="https://en.wikipedia.org/wiki/Bath,_Maine" TargetMode="External"/><Relationship Id="rId93" Type="http://schemas.openxmlformats.org/officeDocument/2006/relationships/hyperlink" Target="https://en.wikipedia.org/w/index.php?title=Denise_Tepler&amp;action=edit&amp;redlink=1" TargetMode="External"/><Relationship Id="rId92" Type="http://schemas.openxmlformats.org/officeDocument/2006/relationships/hyperlink" Target="https://en.wikipedia.org/wiki/Dresden,_Maine" TargetMode="External"/><Relationship Id="rId118" Type="http://schemas.openxmlformats.org/officeDocument/2006/relationships/hyperlink" Target="mailto:Bruce.Bickford@legislature.maine.gov" TargetMode="External"/><Relationship Id="rId239" Type="http://schemas.openxmlformats.org/officeDocument/2006/relationships/hyperlink" Target="mailto:Shelley.Rudnicki@legislature.maine.gov" TargetMode="External"/><Relationship Id="rId117" Type="http://schemas.openxmlformats.org/officeDocument/2006/relationships/hyperlink" Target="https://en.wikipedia.org/w/index.php?title=Bruce_Bickford_(politician)&amp;action=edit&amp;redlink=1" TargetMode="External"/><Relationship Id="rId238" Type="http://schemas.openxmlformats.org/officeDocument/2006/relationships/hyperlink" Target="https://en.wikipedia.org/wiki/Skowhegan,_Maine" TargetMode="External"/><Relationship Id="rId359" Type="http://schemas.openxmlformats.org/officeDocument/2006/relationships/hyperlink" Target="mailto:Mike.Carpenter@legislature.maine.gov" TargetMode="External"/><Relationship Id="rId116" Type="http://schemas.openxmlformats.org/officeDocument/2006/relationships/hyperlink" Target="https://en.wikipedia.org/wiki/Auburn,_Maine" TargetMode="External"/><Relationship Id="rId237" Type="http://schemas.openxmlformats.org/officeDocument/2006/relationships/hyperlink" Target="mailto:Betty.Austin@legislature.maine.gov" TargetMode="External"/><Relationship Id="rId358" Type="http://schemas.openxmlformats.org/officeDocument/2006/relationships/hyperlink" Target="https://en.wikipedia.org/wiki/Michael_E._Carpenter" TargetMode="External"/><Relationship Id="rId115" Type="http://schemas.openxmlformats.org/officeDocument/2006/relationships/hyperlink" Target="mailto:Gina.Melaragno@legislature.maine.gov" TargetMode="External"/><Relationship Id="rId236" Type="http://schemas.openxmlformats.org/officeDocument/2006/relationships/hyperlink" Target="https://en.wikipedia.org/w/index.php?title=Betty_A._Austin&amp;action=edit&amp;redlink=1" TargetMode="External"/><Relationship Id="rId357" Type="http://schemas.openxmlformats.org/officeDocument/2006/relationships/hyperlink" Target="https://en.wikipedia.org/wiki/Aroostook_County,_Maine" TargetMode="External"/><Relationship Id="rId119" Type="http://schemas.openxmlformats.org/officeDocument/2006/relationships/hyperlink" Target="https://en.wikipedia.org/wiki/Auburn,_Maine" TargetMode="External"/><Relationship Id="rId110" Type="http://schemas.openxmlformats.org/officeDocument/2006/relationships/hyperlink" Target="https://en.wikipedia.org/wiki/Lewiston,_Maine" TargetMode="External"/><Relationship Id="rId231" Type="http://schemas.openxmlformats.org/officeDocument/2006/relationships/hyperlink" Target="mailto:Joel.Stetkis@legislature.maine.gov" TargetMode="External"/><Relationship Id="rId352" Type="http://schemas.openxmlformats.org/officeDocument/2006/relationships/hyperlink" Target="https://en.wikipedia.org/wiki/John_L._Martin" TargetMode="External"/><Relationship Id="rId230" Type="http://schemas.openxmlformats.org/officeDocument/2006/relationships/hyperlink" Target="https://en.wikipedia.org/w/index.php?title=Joel_Stetkis&amp;action=edit&amp;redlink=1" TargetMode="External"/><Relationship Id="rId351" Type="http://schemas.openxmlformats.org/officeDocument/2006/relationships/hyperlink" Target="https://en.wikipedia.org/wiki/Sinclair,_Maine" TargetMode="External"/><Relationship Id="rId350" Type="http://schemas.openxmlformats.org/officeDocument/2006/relationships/hyperlink" Target="mailto:Danny.Martin@legislature.maine.gov" TargetMode="External"/><Relationship Id="rId114" Type="http://schemas.openxmlformats.org/officeDocument/2006/relationships/hyperlink" Target="https://en.wikipedia.org/w/index.php?title=Gina_Melaragno&amp;action=edit&amp;redlink=1" TargetMode="External"/><Relationship Id="rId235" Type="http://schemas.openxmlformats.org/officeDocument/2006/relationships/hyperlink" Target="https://en.wikipedia.org/wiki/Pittsfield,_Maine" TargetMode="External"/><Relationship Id="rId356" Type="http://schemas.openxmlformats.org/officeDocument/2006/relationships/hyperlink" Target="mailto:Troy.Jackson@legislature.maine.gov" TargetMode="External"/><Relationship Id="rId113" Type="http://schemas.openxmlformats.org/officeDocument/2006/relationships/hyperlink" Target="https://en.wikipedia.org/wiki/Lewiston,_Maine" TargetMode="External"/><Relationship Id="rId234" Type="http://schemas.openxmlformats.org/officeDocument/2006/relationships/hyperlink" Target="mailto:Scott.Strom@legislature.maine.gov" TargetMode="External"/><Relationship Id="rId355" Type="http://schemas.openxmlformats.org/officeDocument/2006/relationships/hyperlink" Target="https://en.wikipedia.org/wiki/Troy_Jackson_(politician)" TargetMode="External"/><Relationship Id="rId112" Type="http://schemas.openxmlformats.org/officeDocument/2006/relationships/hyperlink" Target="mailto:Heidi.Brooks@legislature.maine.gov" TargetMode="External"/><Relationship Id="rId233" Type="http://schemas.openxmlformats.org/officeDocument/2006/relationships/hyperlink" Target="https://en.wikipedia.org/w/index.php?title=Scott_Walter_Strom&amp;action=edit&amp;redlink=1" TargetMode="External"/><Relationship Id="rId354" Type="http://schemas.openxmlformats.org/officeDocument/2006/relationships/hyperlink" Target="https://en.wikipedia.org/wiki/Eagle_Lake,_Maine" TargetMode="External"/><Relationship Id="rId111" Type="http://schemas.openxmlformats.org/officeDocument/2006/relationships/hyperlink" Target="https://en.wikipedia.org/wiki/Heidi_Brooks" TargetMode="External"/><Relationship Id="rId232" Type="http://schemas.openxmlformats.org/officeDocument/2006/relationships/hyperlink" Target="https://en.wikipedia.org/wiki/Canaan,_Maine" TargetMode="External"/><Relationship Id="rId353" Type="http://schemas.openxmlformats.org/officeDocument/2006/relationships/hyperlink" Target="mailto:John.Martin@legislature.maine.gov" TargetMode="External"/><Relationship Id="rId305" Type="http://schemas.openxmlformats.org/officeDocument/2006/relationships/hyperlink" Target="mailto:Genevieve.McDonald@legislature.maine.gov" TargetMode="External"/><Relationship Id="rId304" Type="http://schemas.openxmlformats.org/officeDocument/2006/relationships/hyperlink" Target="https://en.wikipedia.org/wiki/Brooksville,_Maine" TargetMode="External"/><Relationship Id="rId303" Type="http://schemas.openxmlformats.org/officeDocument/2006/relationships/hyperlink" Target="mailto:Sarah.Pebworth@legislature.maine.gov" TargetMode="External"/><Relationship Id="rId302" Type="http://schemas.openxmlformats.org/officeDocument/2006/relationships/hyperlink" Target="https://en.wikipedia.org/wiki/Ellsworth,_Maine" TargetMode="External"/><Relationship Id="rId309" Type="http://schemas.openxmlformats.org/officeDocument/2006/relationships/hyperlink" Target="https://en.wikipedia.org/wiki/Bar_Harbor,_Maine" TargetMode="External"/><Relationship Id="rId308" Type="http://schemas.openxmlformats.org/officeDocument/2006/relationships/hyperlink" Target="mailto:Brian.Hubbell@legislature.maine.gov" TargetMode="External"/><Relationship Id="rId307" Type="http://schemas.openxmlformats.org/officeDocument/2006/relationships/hyperlink" Target="https://en.wikipedia.org/wiki/Brian_Hubbell" TargetMode="External"/><Relationship Id="rId306" Type="http://schemas.openxmlformats.org/officeDocument/2006/relationships/hyperlink" Target="https://en.wikipedia.org/wiki/Deer_Isle,_Maine" TargetMode="External"/><Relationship Id="rId301" Type="http://schemas.openxmlformats.org/officeDocument/2006/relationships/hyperlink" Target="mailto:Nicole.Grohoski@legislature.maine.gov" TargetMode="External"/><Relationship Id="rId422" Type="http://schemas.openxmlformats.org/officeDocument/2006/relationships/drawing" Target="../drawings/drawing20.xml"/><Relationship Id="rId300" Type="http://schemas.openxmlformats.org/officeDocument/2006/relationships/hyperlink" Target="https://en.wikipedia.org/wiki/Dedham,_Maine" TargetMode="External"/><Relationship Id="rId421" Type="http://schemas.openxmlformats.org/officeDocument/2006/relationships/hyperlink" Target="mailto:Mark.Lawrence@legislature.maine.gov" TargetMode="External"/><Relationship Id="rId420" Type="http://schemas.openxmlformats.org/officeDocument/2006/relationships/hyperlink" Target="https://en.wikipedia.org/wiki/David_Woodsome" TargetMode="External"/><Relationship Id="rId415" Type="http://schemas.openxmlformats.org/officeDocument/2006/relationships/hyperlink" Target="mailto:Rebecca.Millett@legislature.maine.gov" TargetMode="External"/><Relationship Id="rId414" Type="http://schemas.openxmlformats.org/officeDocument/2006/relationships/hyperlink" Target="https://en.wikipedia.org/wiki/Rebecca_Millett" TargetMode="External"/><Relationship Id="rId413" Type="http://schemas.openxmlformats.org/officeDocument/2006/relationships/hyperlink" Target="mailto:Ben.Chipman@legislature.maine.gov" TargetMode="External"/><Relationship Id="rId412" Type="http://schemas.openxmlformats.org/officeDocument/2006/relationships/hyperlink" Target="https://en.wikipedia.org/wiki/Ben_Chipman" TargetMode="External"/><Relationship Id="rId419" Type="http://schemas.openxmlformats.org/officeDocument/2006/relationships/hyperlink" Target="mailto:susan.deschambault@legislature.maine.gov" TargetMode="External"/><Relationship Id="rId418" Type="http://schemas.openxmlformats.org/officeDocument/2006/relationships/hyperlink" Target="https://en.wikipedia.org/wiki/Susan_Deschambault" TargetMode="External"/><Relationship Id="rId417" Type="http://schemas.openxmlformats.org/officeDocument/2006/relationships/hyperlink" Target="mailto:Justin.Chenette@legislature.maine.gov" TargetMode="External"/><Relationship Id="rId416" Type="http://schemas.openxmlformats.org/officeDocument/2006/relationships/hyperlink" Target="https://en.wikipedia.org/wiki/Justin_Chenette" TargetMode="External"/><Relationship Id="rId411" Type="http://schemas.openxmlformats.org/officeDocument/2006/relationships/hyperlink" Target="mailto:William.Diamond@legislature.maine.gov" TargetMode="External"/><Relationship Id="rId410" Type="http://schemas.openxmlformats.org/officeDocument/2006/relationships/hyperlink" Target="https://en.wikipedia.org/wiki/William_Diamond" TargetMode="External"/><Relationship Id="rId206" Type="http://schemas.openxmlformats.org/officeDocument/2006/relationships/hyperlink" Target="https://en.wikipedia.org/wiki/Warren,_Maine" TargetMode="External"/><Relationship Id="rId327" Type="http://schemas.openxmlformats.org/officeDocument/2006/relationships/hyperlink" Target="mailto:Sheldon.Hanington@legislature.maine.gov" TargetMode="External"/><Relationship Id="rId205" Type="http://schemas.openxmlformats.org/officeDocument/2006/relationships/hyperlink" Target="mailto:Bill.Pluecker@legislature.maine.gov" TargetMode="External"/><Relationship Id="rId326" Type="http://schemas.openxmlformats.org/officeDocument/2006/relationships/hyperlink" Target="https://en.wikipedia.org/w/index.php?title=Sheldon_Hanington&amp;action=edit&amp;redlink=1" TargetMode="External"/><Relationship Id="rId204" Type="http://schemas.openxmlformats.org/officeDocument/2006/relationships/hyperlink" Target="https://en.wikipedia.org/wiki/Rockport,_Maine" TargetMode="External"/><Relationship Id="rId325" Type="http://schemas.openxmlformats.org/officeDocument/2006/relationships/hyperlink" Target="https://en.wikipedia.org/wiki/Burlington,_Maine" TargetMode="External"/><Relationship Id="rId203" Type="http://schemas.openxmlformats.org/officeDocument/2006/relationships/hyperlink" Target="mailto:Victoria.Doudera@legislature.maine.gov" TargetMode="External"/><Relationship Id="rId324" Type="http://schemas.openxmlformats.org/officeDocument/2006/relationships/hyperlink" Target="mailto:Kathy.Javner@legislature.maine.gov" TargetMode="External"/><Relationship Id="rId209" Type="http://schemas.openxmlformats.org/officeDocument/2006/relationships/hyperlink" Target="https://en.wikipedia.org/wiki/Montville,_Maine" TargetMode="External"/><Relationship Id="rId208" Type="http://schemas.openxmlformats.org/officeDocument/2006/relationships/hyperlink" Target="mailto:StanleyPaige.Zeigler@legislature.maine.gov" TargetMode="External"/><Relationship Id="rId329" Type="http://schemas.openxmlformats.org/officeDocument/2006/relationships/hyperlink" Target="https://en.wikipedia.org/wiki/Stephen_Stanley" TargetMode="External"/><Relationship Id="rId207" Type="http://schemas.openxmlformats.org/officeDocument/2006/relationships/hyperlink" Target="https://en.wikipedia.org/w/index.php?title=Staney_Zeigler&amp;action=edit&amp;redlink=1" TargetMode="External"/><Relationship Id="rId328" Type="http://schemas.openxmlformats.org/officeDocument/2006/relationships/hyperlink" Target="https://en.wikipedia.org/wiki/Lincoln,_Maine" TargetMode="External"/><Relationship Id="rId202" Type="http://schemas.openxmlformats.org/officeDocument/2006/relationships/hyperlink" Target="https://en.wikipedia.org/wiki/Rockland,_Maine" TargetMode="External"/><Relationship Id="rId323" Type="http://schemas.openxmlformats.org/officeDocument/2006/relationships/hyperlink" Target="https://en.wikipedia.org/wiki/Calais,_Maine" TargetMode="External"/><Relationship Id="rId201" Type="http://schemas.openxmlformats.org/officeDocument/2006/relationships/hyperlink" Target="mailto:Pinny.Beebe-Center@legislature.maine.gov" TargetMode="External"/><Relationship Id="rId322" Type="http://schemas.openxmlformats.org/officeDocument/2006/relationships/hyperlink" Target="mailto:Anne.Perry@legislature.maine.gov" TargetMode="External"/><Relationship Id="rId200" Type="http://schemas.openxmlformats.org/officeDocument/2006/relationships/hyperlink" Target="https://en.wikipedia.org/w/index.php?title=Anne_Beebe-Center&amp;action=edit&amp;redlink=1" TargetMode="External"/><Relationship Id="rId321" Type="http://schemas.openxmlformats.org/officeDocument/2006/relationships/hyperlink" Target="https://en.wikipedia.org/w/index.php?title=Anne_C._Perry&amp;action=edit&amp;redlink=1" TargetMode="External"/><Relationship Id="rId320" Type="http://schemas.openxmlformats.org/officeDocument/2006/relationships/hyperlink" Target="https://en.wikipedia.org/wiki/East_Machias,_Maine" TargetMode="External"/><Relationship Id="rId316" Type="http://schemas.openxmlformats.org/officeDocument/2006/relationships/hyperlink" Target="mailto:Robert.Alley@legislature.maine.gov" TargetMode="External"/><Relationship Id="rId315" Type="http://schemas.openxmlformats.org/officeDocument/2006/relationships/hyperlink" Target="https://en.wikipedia.org/w/index.php?title=Robert_Alley&amp;action=edit&amp;redlink=1" TargetMode="External"/><Relationship Id="rId314" Type="http://schemas.openxmlformats.org/officeDocument/2006/relationships/hyperlink" Target="https://en.wikipedia.org/wiki/Amherst,_Maine" TargetMode="External"/><Relationship Id="rId313" Type="http://schemas.openxmlformats.org/officeDocument/2006/relationships/hyperlink" Target="mailto:Lawrence.Lockman@legislature.maine.gov" TargetMode="External"/><Relationship Id="rId319" Type="http://schemas.openxmlformats.org/officeDocument/2006/relationships/hyperlink" Target="mailto:Will.Tuell@legislature.maine.gov" TargetMode="External"/><Relationship Id="rId318" Type="http://schemas.openxmlformats.org/officeDocument/2006/relationships/hyperlink" Target="https://en.wikipedia.org/w/index.php?title=William_Tuell&amp;action=edit&amp;redlink=1" TargetMode="External"/><Relationship Id="rId317" Type="http://schemas.openxmlformats.org/officeDocument/2006/relationships/hyperlink" Target="https://en.wikipedia.org/wiki/Beals,_Maine" TargetMode="External"/><Relationship Id="rId312" Type="http://schemas.openxmlformats.org/officeDocument/2006/relationships/hyperlink" Target="https://en.wikipedia.org/wiki/Lawrence_Lockman" TargetMode="External"/><Relationship Id="rId311" Type="http://schemas.openxmlformats.org/officeDocument/2006/relationships/hyperlink" Target="https://en.wikipedia.org/wiki/Hancock,_Maine" TargetMode="External"/><Relationship Id="rId310" Type="http://schemas.openxmlformats.org/officeDocument/2006/relationships/hyperlink" Target="mailto:William.Faulkingham@legislature.maine.gov" TargetMode="External"/></Relationships>
</file>

<file path=xl/worksheets/_rels/sheet2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msa.maryland.gov/msa/mdmanual/06hse/html/msa14614.html" TargetMode="External"/><Relationship Id="rId3" Type="http://schemas.openxmlformats.org/officeDocument/2006/relationships/hyperlink" Target="https://msa.maryland.gov/msa/mdmanual/06hse/html/msa15352.html" TargetMode="External"/><Relationship Id="rId4" Type="http://schemas.openxmlformats.org/officeDocument/2006/relationships/hyperlink" Target="https://msa.maryland.gov/msa/mdmanual/06hse/html/msa15441.html" TargetMode="External"/><Relationship Id="rId9" Type="http://schemas.openxmlformats.org/officeDocument/2006/relationships/hyperlink" Target="https://en.wikipedia.org/wiki/Robert_Cassilly_(politician)" TargetMode="External"/><Relationship Id="rId5" Type="http://schemas.openxmlformats.org/officeDocument/2006/relationships/hyperlink" Target="https://msa.maryland.gov/msa/mdmanual/06hse/html/msa14893.html" TargetMode="External"/><Relationship Id="rId6" Type="http://schemas.openxmlformats.org/officeDocument/2006/relationships/hyperlink" Target="https://msa.maryland.gov/msa/mdmanual/06hse/html/msa17582.html" TargetMode="External"/><Relationship Id="rId7" Type="http://schemas.openxmlformats.org/officeDocument/2006/relationships/hyperlink" Target="https://msa.maryland.gov/msa/mdmanual/06hse/html/msa17085.html" TargetMode="External"/><Relationship Id="rId8" Type="http://schemas.openxmlformats.org/officeDocument/2006/relationships/hyperlink" Target="https://en.wikipedia.org/wiki/Edward_R._Reilly" TargetMode="External"/><Relationship Id="rId11" Type="http://schemas.openxmlformats.org/officeDocument/2006/relationships/hyperlink" Target="https://en.wikipedia.org/wiki/Nancy_J._King" TargetMode="External"/><Relationship Id="rId10" Type="http://schemas.openxmlformats.org/officeDocument/2006/relationships/hyperlink" Target="https://en.wikipedia.org/wiki/Adelaide_C._Eckardt" TargetMode="External"/><Relationship Id="rId13" Type="http://schemas.openxmlformats.org/officeDocument/2006/relationships/hyperlink" Target="https://en.wikipedia.org/wiki/Shirley_Nathan-Pulliam" TargetMode="External"/><Relationship Id="rId12" Type="http://schemas.openxmlformats.org/officeDocument/2006/relationships/hyperlink" Target="https://en.wikipedia.org/wiki/Jill_P._Carter" TargetMode="External"/><Relationship Id="rId15" Type="http://schemas.openxmlformats.org/officeDocument/2006/relationships/drawing" Target="../drawings/drawing21.xml"/><Relationship Id="rId14" Type="http://schemas.openxmlformats.org/officeDocument/2006/relationships/hyperlink" Target="https://en.wikipedia.org/wiki/Bill_Ferguson_(politician)" TargetMode="External"/><Relationship Id="rId16" Type="http://schemas.openxmlformats.org/officeDocument/2006/relationships/vmlDrawing" Target="../drawings/vmlDrawing3.vml"/></Relationships>
</file>

<file path=xl/worksheets/_rels/sheet22.xml.rels><?xml version="1.0" encoding="UTF-8" standalone="yes"?><Relationships xmlns="http://schemas.openxmlformats.org/package/2006/relationships"><Relationship Id="rId190" Type="http://schemas.openxmlformats.org/officeDocument/2006/relationships/hyperlink" Target="https://ballotpedia.org/Dean_Tran" TargetMode="External"/><Relationship Id="rId192" Type="http://schemas.openxmlformats.org/officeDocument/2006/relationships/drawing" Target="../drawings/drawing22.xml"/><Relationship Id="rId191" Type="http://schemas.openxmlformats.org/officeDocument/2006/relationships/hyperlink" Target="https://ballotpedia.org/Ryan_Fattman" TargetMode="External"/><Relationship Id="rId187" Type="http://schemas.openxmlformats.org/officeDocument/2006/relationships/hyperlink" Target="https://ballotpedia.org/Harriette_Chandler" TargetMode="External"/><Relationship Id="rId186" Type="http://schemas.openxmlformats.org/officeDocument/2006/relationships/hyperlink" Target="https://ballotpedia.org/William_Brownsberger" TargetMode="External"/><Relationship Id="rId185" Type="http://schemas.openxmlformats.org/officeDocument/2006/relationships/hyperlink" Target="https://ballotpedia.org/Joseph_Boncore" TargetMode="External"/><Relationship Id="rId184" Type="http://schemas.openxmlformats.org/officeDocument/2006/relationships/hyperlink" Target="https://ballotpedia.org/Sonia_Chang-Diaz" TargetMode="External"/><Relationship Id="rId189" Type="http://schemas.openxmlformats.org/officeDocument/2006/relationships/hyperlink" Target="https://ballotpedia.org/Anne_Gobi" TargetMode="External"/><Relationship Id="rId188" Type="http://schemas.openxmlformats.org/officeDocument/2006/relationships/hyperlink" Target="https://ballotpedia.org/Michael_O._Moore" TargetMode="External"/><Relationship Id="rId183" Type="http://schemas.openxmlformats.org/officeDocument/2006/relationships/hyperlink" Target="https://ballotpedia.org/Nick_Collins" TargetMode="External"/><Relationship Id="rId182" Type="http://schemas.openxmlformats.org/officeDocument/2006/relationships/hyperlink" Target="https://ballotpedia.org/Patrick_O%27Connor" TargetMode="External"/><Relationship Id="rId181" Type="http://schemas.openxmlformats.org/officeDocument/2006/relationships/hyperlink" Target="https://ballotpedia.org/Michael_Brady" TargetMode="External"/><Relationship Id="rId180" Type="http://schemas.openxmlformats.org/officeDocument/2006/relationships/hyperlink" Target="https://ballotpedia.org/Marc_Pacheco" TargetMode="External"/><Relationship Id="rId176" Type="http://schemas.openxmlformats.org/officeDocument/2006/relationships/hyperlink" Target="https://ballotpedia.org/Walter_Timilty" TargetMode="External"/><Relationship Id="rId175" Type="http://schemas.openxmlformats.org/officeDocument/2006/relationships/hyperlink" Target="https://ballotpedia.org/Richard_Ross_(Massachusetts)" TargetMode="External"/><Relationship Id="rId174" Type="http://schemas.openxmlformats.org/officeDocument/2006/relationships/hyperlink" Target="https://ballotpedia.org/James_Eldridge" TargetMode="External"/><Relationship Id="rId173" Type="http://schemas.openxmlformats.org/officeDocument/2006/relationships/hyperlink" Target="https://ballotpedia.org/Sal_DiDomenico" TargetMode="External"/><Relationship Id="rId179" Type="http://schemas.openxmlformats.org/officeDocument/2006/relationships/hyperlink" Target="https://ballotpedia.org/Vinny_deMacedo" TargetMode="External"/><Relationship Id="rId178" Type="http://schemas.openxmlformats.org/officeDocument/2006/relationships/hyperlink" Target="https://ballotpedia.org/Michael_Rush" TargetMode="External"/><Relationship Id="rId177" Type="http://schemas.openxmlformats.org/officeDocument/2006/relationships/hyperlink" Target="https://ballotpedia.org/John_Keenan_(State_Senate)" TargetMode="External"/><Relationship Id="rId150" Type="http://schemas.openxmlformats.org/officeDocument/2006/relationships/hyperlink" Target="https://ballotpedia.org/Mary_S._Keefe" TargetMode="External"/><Relationship Id="rId1" Type="http://schemas.openxmlformats.org/officeDocument/2006/relationships/hyperlink" Target="https://ballotpedia.org/William_L._Crocker,_Jr." TargetMode="External"/><Relationship Id="rId2" Type="http://schemas.openxmlformats.org/officeDocument/2006/relationships/hyperlink" Target="https://ballotpedia.org/David_Vieira" TargetMode="External"/><Relationship Id="rId3" Type="http://schemas.openxmlformats.org/officeDocument/2006/relationships/hyperlink" Target="https://ballotpedia.org/Sarah_Peake" TargetMode="External"/><Relationship Id="rId149" Type="http://schemas.openxmlformats.org/officeDocument/2006/relationships/hyperlink" Target="https://ballotpedia.org/James_O%27Day" TargetMode="External"/><Relationship Id="rId4" Type="http://schemas.openxmlformats.org/officeDocument/2006/relationships/hyperlink" Target="https://ballotpedia.org/Randy_Hunt" TargetMode="External"/><Relationship Id="rId148" Type="http://schemas.openxmlformats.org/officeDocument/2006/relationships/hyperlink" Target="https://ballotpedia.org/John_Mahoney_(Massachusetts)" TargetMode="External"/><Relationship Id="rId9" Type="http://schemas.openxmlformats.org/officeDocument/2006/relationships/hyperlink" Target="https://ballotpedia.org/William_Pignatelli" TargetMode="External"/><Relationship Id="rId143" Type="http://schemas.openxmlformats.org/officeDocument/2006/relationships/hyperlink" Target="https://ballotpedia.org/Kevin_Kuros" TargetMode="External"/><Relationship Id="rId142" Type="http://schemas.openxmlformats.org/officeDocument/2006/relationships/hyperlink" Target="https://ballotpedia.org/Paul_Frost" TargetMode="External"/><Relationship Id="rId141" Type="http://schemas.openxmlformats.org/officeDocument/2006/relationships/hyperlink" Target="https://ballotpedia.org/Peter_Durant" TargetMode="External"/><Relationship Id="rId140" Type="http://schemas.openxmlformats.org/officeDocument/2006/relationships/hyperlink" Target="https://ballotpedia.org/Donald_Berthiaume,_Jr." TargetMode="External"/><Relationship Id="rId5" Type="http://schemas.openxmlformats.org/officeDocument/2006/relationships/hyperlink" Target="https://ballotpedia.org/Dylan_A._Fernandes" TargetMode="External"/><Relationship Id="rId147" Type="http://schemas.openxmlformats.org/officeDocument/2006/relationships/hyperlink" Target="https://ballotpedia.org/Harold_Naughton,_Jr." TargetMode="External"/><Relationship Id="rId6" Type="http://schemas.openxmlformats.org/officeDocument/2006/relationships/hyperlink" Target="https://ballotpedia.org/John_Barrett_III" TargetMode="External"/><Relationship Id="rId146" Type="http://schemas.openxmlformats.org/officeDocument/2006/relationships/hyperlink" Target="https://ballotpedia.org/Hannah_Kane" TargetMode="External"/><Relationship Id="rId7" Type="http://schemas.openxmlformats.org/officeDocument/2006/relationships/hyperlink" Target="https://ballotpedia.org/Paul_Mark" TargetMode="External"/><Relationship Id="rId145" Type="http://schemas.openxmlformats.org/officeDocument/2006/relationships/hyperlink" Target="https://ballotpedia.org/Brian_W._Murray" TargetMode="External"/><Relationship Id="rId8" Type="http://schemas.openxmlformats.org/officeDocument/2006/relationships/hyperlink" Target="https://ballotpedia.org/Tricia_Farley-Bouvier" TargetMode="External"/><Relationship Id="rId144" Type="http://schemas.openxmlformats.org/officeDocument/2006/relationships/hyperlink" Target="https://ballotpedia.org/David_Muradian,_Jr." TargetMode="External"/><Relationship Id="rId139" Type="http://schemas.openxmlformats.org/officeDocument/2006/relationships/hyperlink" Target="https://ballotpedia.org/Natalie_Higgins" TargetMode="External"/><Relationship Id="rId138" Type="http://schemas.openxmlformats.org/officeDocument/2006/relationships/hyperlink" Target="https://ballotpedia.org/Stephan_Hay" TargetMode="External"/><Relationship Id="rId137" Type="http://schemas.openxmlformats.org/officeDocument/2006/relationships/hyperlink" Target="https://ballotpedia.org/Jonathan_Zlotnik" TargetMode="External"/><Relationship Id="rId132" Type="http://schemas.openxmlformats.org/officeDocument/2006/relationships/hyperlink" Target="https://ballotpedia.org/RoseLee_Vincent" TargetMode="External"/><Relationship Id="rId131" Type="http://schemas.openxmlformats.org/officeDocument/2006/relationships/hyperlink" Target="https://ballotpedia.org/Jeffrey_Sanchez" TargetMode="External"/><Relationship Id="rId130" Type="http://schemas.openxmlformats.org/officeDocument/2006/relationships/hyperlink" Target="https://ballotpedia.org/Angelo_Scaccia" TargetMode="External"/><Relationship Id="rId136" Type="http://schemas.openxmlformats.org/officeDocument/2006/relationships/hyperlink" Target="https://ballotpedia.org/Kimberly_Ferguson" TargetMode="External"/><Relationship Id="rId135" Type="http://schemas.openxmlformats.org/officeDocument/2006/relationships/hyperlink" Target="https://ballotpedia.org/Robert_DeLeo" TargetMode="External"/><Relationship Id="rId134" Type="http://schemas.openxmlformats.org/officeDocument/2006/relationships/hyperlink" Target="https://ballotpedia.org/Michael_Moran_(Massachusetts)" TargetMode="External"/><Relationship Id="rId133" Type="http://schemas.openxmlformats.org/officeDocument/2006/relationships/hyperlink" Target="https://ballotpedia.org/Kevin_Honan" TargetMode="External"/><Relationship Id="rId172" Type="http://schemas.openxmlformats.org/officeDocument/2006/relationships/hyperlink" Target="https://ballotpedia.org/Karen_Spilka" TargetMode="External"/><Relationship Id="rId171" Type="http://schemas.openxmlformats.org/officeDocument/2006/relationships/hyperlink" Target="https://ballotpedia.org/Cynthia_Stone_Creem" TargetMode="External"/><Relationship Id="rId170" Type="http://schemas.openxmlformats.org/officeDocument/2006/relationships/hyperlink" Target="https://ballotpedia.org/Jason_Lewis" TargetMode="External"/><Relationship Id="rId165" Type="http://schemas.openxmlformats.org/officeDocument/2006/relationships/hyperlink" Target="https://ballotpedia.org/Eric_Lesser" TargetMode="External"/><Relationship Id="rId164" Type="http://schemas.openxmlformats.org/officeDocument/2006/relationships/hyperlink" Target="https://ballotpedia.org/James_Welch" TargetMode="External"/><Relationship Id="rId163" Type="http://schemas.openxmlformats.org/officeDocument/2006/relationships/hyperlink" Target="https://ballotpedia.org/Barbara_L%27Italien" TargetMode="External"/><Relationship Id="rId162" Type="http://schemas.openxmlformats.org/officeDocument/2006/relationships/hyperlink" Target="https://ballotpedia.org/Bruce_Tarr" TargetMode="External"/><Relationship Id="rId169" Type="http://schemas.openxmlformats.org/officeDocument/2006/relationships/hyperlink" Target="https://ballotpedia.org/Cindy_Friedman" TargetMode="External"/><Relationship Id="rId168" Type="http://schemas.openxmlformats.org/officeDocument/2006/relationships/hyperlink" Target="https://ballotpedia.org/Mike_Barrett" TargetMode="External"/><Relationship Id="rId167" Type="http://schemas.openxmlformats.org/officeDocument/2006/relationships/hyperlink" Target="https://ballotpedia.org/Patricia_Jehlen" TargetMode="External"/><Relationship Id="rId166" Type="http://schemas.openxmlformats.org/officeDocument/2006/relationships/hyperlink" Target="https://ballotpedia.org/Donald_F._Humason,_Jr." TargetMode="External"/><Relationship Id="rId161" Type="http://schemas.openxmlformats.org/officeDocument/2006/relationships/hyperlink" Target="https://ballotpedia.org/Brendan_Crighton" TargetMode="External"/><Relationship Id="rId160" Type="http://schemas.openxmlformats.org/officeDocument/2006/relationships/hyperlink" Target="https://ballotpedia.org/Joan_Lovely" TargetMode="External"/><Relationship Id="rId159" Type="http://schemas.openxmlformats.org/officeDocument/2006/relationships/hyperlink" Target="https://ballotpedia.org/Kathleen_O%27Connor_Ives" TargetMode="External"/><Relationship Id="rId154" Type="http://schemas.openxmlformats.org/officeDocument/2006/relationships/hyperlink" Target="https://ballotpedia.org/Adam_G._Hinds" TargetMode="External"/><Relationship Id="rId153" Type="http://schemas.openxmlformats.org/officeDocument/2006/relationships/hyperlink" Target="https://ballotpedia.org/Joseph_McKenna_(Massachusetts)" TargetMode="External"/><Relationship Id="rId152" Type="http://schemas.openxmlformats.org/officeDocument/2006/relationships/hyperlink" Target="https://ballotpedia.org/Kate_Campanale" TargetMode="External"/><Relationship Id="rId151" Type="http://schemas.openxmlformats.org/officeDocument/2006/relationships/hyperlink" Target="https://ballotpedia.org/Daniel_M._Donahue" TargetMode="External"/><Relationship Id="rId158" Type="http://schemas.openxmlformats.org/officeDocument/2006/relationships/hyperlink" Target="https://ballotpedia.org/Julian_Andre_Cyr" TargetMode="External"/><Relationship Id="rId157" Type="http://schemas.openxmlformats.org/officeDocument/2006/relationships/hyperlink" Target="https://ballotpedia.org/Mark_Montigny" TargetMode="External"/><Relationship Id="rId156" Type="http://schemas.openxmlformats.org/officeDocument/2006/relationships/hyperlink" Target="https://ballotpedia.org/Michael_Rodrigues" TargetMode="External"/><Relationship Id="rId155" Type="http://schemas.openxmlformats.org/officeDocument/2006/relationships/hyperlink" Target="https://ballotpedia.org/Paul_Feeney" TargetMode="External"/><Relationship Id="rId40" Type="http://schemas.openxmlformats.org/officeDocument/2006/relationships/hyperlink" Target="https://ballotpedia.org/Stephen_Kulik" TargetMode="External"/><Relationship Id="rId42" Type="http://schemas.openxmlformats.org/officeDocument/2006/relationships/hyperlink" Target="https://ballotpedia.org/Todd_Smola" TargetMode="External"/><Relationship Id="rId41" Type="http://schemas.openxmlformats.org/officeDocument/2006/relationships/hyperlink" Target="https://ballotpedia.org/Susannah_Whipps" TargetMode="External"/><Relationship Id="rId44" Type="http://schemas.openxmlformats.org/officeDocument/2006/relationships/hyperlink" Target="https://ballotpedia.org/Nicholas_Boldyga" TargetMode="External"/><Relationship Id="rId43" Type="http://schemas.openxmlformats.org/officeDocument/2006/relationships/hyperlink" Target="https://ballotpedia.org/Brian_Ashe" TargetMode="External"/><Relationship Id="rId46" Type="http://schemas.openxmlformats.org/officeDocument/2006/relationships/hyperlink" Target="https://ballotpedia.org/Aaron_Vega" TargetMode="External"/><Relationship Id="rId45" Type="http://schemas.openxmlformats.org/officeDocument/2006/relationships/hyperlink" Target="https://ballotpedia.org/John_C._Velis" TargetMode="External"/><Relationship Id="rId48" Type="http://schemas.openxmlformats.org/officeDocument/2006/relationships/hyperlink" Target="https://ballotpedia.org/Thomas_Petrolati" TargetMode="External"/><Relationship Id="rId47" Type="http://schemas.openxmlformats.org/officeDocument/2006/relationships/hyperlink" Target="https://ballotpedia.org/Michael_Finn" TargetMode="External"/><Relationship Id="rId49" Type="http://schemas.openxmlformats.org/officeDocument/2006/relationships/hyperlink" Target="https://ballotpedia.org/Joseph_Wagner,_Massachusetts_Representative" TargetMode="External"/><Relationship Id="rId31" Type="http://schemas.openxmlformats.org/officeDocument/2006/relationships/hyperlink" Target="https://ballotpedia.org/Donald_Wong" TargetMode="External"/><Relationship Id="rId30" Type="http://schemas.openxmlformats.org/officeDocument/2006/relationships/hyperlink" Target="https://ballotpedia.org/Lori_Ehrlich" TargetMode="External"/><Relationship Id="rId33" Type="http://schemas.openxmlformats.org/officeDocument/2006/relationships/hyperlink" Target="https://ballotpedia.org/Thomas_Walsh_(Massachusetts)" TargetMode="External"/><Relationship Id="rId32" Type="http://schemas.openxmlformats.org/officeDocument/2006/relationships/hyperlink" Target="https://ballotpedia.org/Dan_Cahill_(Massachusetts)" TargetMode="External"/><Relationship Id="rId35" Type="http://schemas.openxmlformats.org/officeDocument/2006/relationships/hyperlink" Target="https://ballotpedia.org/Diana_DiZoglio" TargetMode="External"/><Relationship Id="rId34" Type="http://schemas.openxmlformats.org/officeDocument/2006/relationships/hyperlink" Target="https://ballotpedia.org/Theodore_Speliotis" TargetMode="External"/><Relationship Id="rId37" Type="http://schemas.openxmlformats.org/officeDocument/2006/relationships/hyperlink" Target="https://ballotpedia.org/Juana_B._Matias" TargetMode="External"/><Relationship Id="rId36" Type="http://schemas.openxmlformats.org/officeDocument/2006/relationships/hyperlink" Target="https://ballotpedia.org/Linda_Dean_Campbell" TargetMode="External"/><Relationship Id="rId39" Type="http://schemas.openxmlformats.org/officeDocument/2006/relationships/hyperlink" Target="https://ballotpedia.org/James_Lyons,_Jr." TargetMode="External"/><Relationship Id="rId38" Type="http://schemas.openxmlformats.org/officeDocument/2006/relationships/hyperlink" Target="https://ballotpedia.org/Frank_Moran" TargetMode="External"/><Relationship Id="rId20" Type="http://schemas.openxmlformats.org/officeDocument/2006/relationships/hyperlink" Target="https://ballotpedia.org/Keiko_Orrall" TargetMode="External"/><Relationship Id="rId22" Type="http://schemas.openxmlformats.org/officeDocument/2006/relationships/hyperlink" Target="https://ballotpedia.org/Elizabeth_Poirier" TargetMode="External"/><Relationship Id="rId21" Type="http://schemas.openxmlformats.org/officeDocument/2006/relationships/hyperlink" Target="https://ballotpedia.org/Antonio_Cabral" TargetMode="External"/><Relationship Id="rId24" Type="http://schemas.openxmlformats.org/officeDocument/2006/relationships/hyperlink" Target="https://ballotpedia.org/Leonard_Mirra" TargetMode="External"/><Relationship Id="rId23" Type="http://schemas.openxmlformats.org/officeDocument/2006/relationships/hyperlink" Target="https://ballotpedia.org/James_Kelcourse" TargetMode="External"/><Relationship Id="rId26" Type="http://schemas.openxmlformats.org/officeDocument/2006/relationships/hyperlink" Target="https://ballotpedia.org/Bradford_Hill" TargetMode="External"/><Relationship Id="rId25" Type="http://schemas.openxmlformats.org/officeDocument/2006/relationships/hyperlink" Target="https://ballotpedia.org/Andy_Vargas" TargetMode="External"/><Relationship Id="rId28" Type="http://schemas.openxmlformats.org/officeDocument/2006/relationships/hyperlink" Target="https://ballotpedia.org/Jerry_Parisella" TargetMode="External"/><Relationship Id="rId27" Type="http://schemas.openxmlformats.org/officeDocument/2006/relationships/hyperlink" Target="https://ballotpedia.org/Ann-Margaret_Ferrante" TargetMode="External"/><Relationship Id="rId29" Type="http://schemas.openxmlformats.org/officeDocument/2006/relationships/hyperlink" Target="https://ballotpedia.org/Paul_Tucker" TargetMode="External"/><Relationship Id="rId11" Type="http://schemas.openxmlformats.org/officeDocument/2006/relationships/hyperlink" Target="https://ballotpedia.org/Shaunna_O%27Connell" TargetMode="External"/><Relationship Id="rId10" Type="http://schemas.openxmlformats.org/officeDocument/2006/relationships/hyperlink" Target="https://ballotpedia.org/James_Hawkins_(Massachusetts)" TargetMode="External"/><Relationship Id="rId13" Type="http://schemas.openxmlformats.org/officeDocument/2006/relationships/hyperlink" Target="https://ballotpedia.org/Patricia_Haddad" TargetMode="External"/><Relationship Id="rId12" Type="http://schemas.openxmlformats.org/officeDocument/2006/relationships/hyperlink" Target="https://ballotpedia.org/Steven_Howitt" TargetMode="External"/><Relationship Id="rId15" Type="http://schemas.openxmlformats.org/officeDocument/2006/relationships/hyperlink" Target="https://ballotpedia.org/Alan_Silvia" TargetMode="External"/><Relationship Id="rId14" Type="http://schemas.openxmlformats.org/officeDocument/2006/relationships/hyperlink" Target="https://ballotpedia.org/Carole_A._Fiola" TargetMode="External"/><Relationship Id="rId17" Type="http://schemas.openxmlformats.org/officeDocument/2006/relationships/hyperlink" Target="https://ballotpedia.org/Christopher_Markey" TargetMode="External"/><Relationship Id="rId16" Type="http://schemas.openxmlformats.org/officeDocument/2006/relationships/hyperlink" Target="https://ballotpedia.org/Paul_Schmid_III" TargetMode="External"/><Relationship Id="rId19" Type="http://schemas.openxmlformats.org/officeDocument/2006/relationships/hyperlink" Target="https://ballotpedia.org/Robert_Koczera" TargetMode="External"/><Relationship Id="rId18" Type="http://schemas.openxmlformats.org/officeDocument/2006/relationships/hyperlink" Target="https://ballotpedia.org/William_Straus" TargetMode="External"/><Relationship Id="rId84" Type="http://schemas.openxmlformats.org/officeDocument/2006/relationships/hyperlink" Target="https://ballotpedia.org/James_Dwyer" TargetMode="External"/><Relationship Id="rId83" Type="http://schemas.openxmlformats.org/officeDocument/2006/relationships/hyperlink" Target="https://ballotpedia.org/Jonathan_Hecht" TargetMode="External"/><Relationship Id="rId86" Type="http://schemas.openxmlformats.org/officeDocument/2006/relationships/hyperlink" Target="https://ballotpedia.org/Paul_Brodeur" TargetMode="External"/><Relationship Id="rId85" Type="http://schemas.openxmlformats.org/officeDocument/2006/relationships/hyperlink" Target="https://ballotpedia.org/Michael_Day" TargetMode="External"/><Relationship Id="rId88" Type="http://schemas.openxmlformats.org/officeDocument/2006/relationships/hyperlink" Target="https://ballotpedia.org/Christine_Barber" TargetMode="External"/><Relationship Id="rId87" Type="http://schemas.openxmlformats.org/officeDocument/2006/relationships/hyperlink" Target="https://ballotpedia.org/Steven_Ultrino" TargetMode="External"/><Relationship Id="rId89" Type="http://schemas.openxmlformats.org/officeDocument/2006/relationships/hyperlink" Target="https://ballotpedia.org/Paul_Donato,_Sr." TargetMode="External"/><Relationship Id="rId80" Type="http://schemas.openxmlformats.org/officeDocument/2006/relationships/hyperlink" Target="https://ballotpedia.org/Mike_Connolly_(Massachusetts)" TargetMode="External"/><Relationship Id="rId82" Type="http://schemas.openxmlformats.org/officeDocument/2006/relationships/hyperlink" Target="https://ballotpedia.org/Joseph_McGonagle,_Jr." TargetMode="External"/><Relationship Id="rId81" Type="http://schemas.openxmlformats.org/officeDocument/2006/relationships/hyperlink" Target="https://ballotpedia.org/Denise_Provost" TargetMode="External"/><Relationship Id="rId73" Type="http://schemas.openxmlformats.org/officeDocument/2006/relationships/hyperlink" Target="https://ballotpedia.org/Rady_Mom" TargetMode="External"/><Relationship Id="rId72" Type="http://schemas.openxmlformats.org/officeDocument/2006/relationships/hyperlink" Target="https://ballotpedia.org/David_Nangle" TargetMode="External"/><Relationship Id="rId75" Type="http://schemas.openxmlformats.org/officeDocument/2006/relationships/hyperlink" Target="https://ballotpedia.org/Kenneth_I._Gordon" TargetMode="External"/><Relationship Id="rId74" Type="http://schemas.openxmlformats.org/officeDocument/2006/relationships/hyperlink" Target="https://ballotpedia.org/Bradley_Jones,_Jr." TargetMode="External"/><Relationship Id="rId77" Type="http://schemas.openxmlformats.org/officeDocument/2006/relationships/hyperlink" Target="https://ballotpedia.org/Sean_Garballey" TargetMode="External"/><Relationship Id="rId76" Type="http://schemas.openxmlformats.org/officeDocument/2006/relationships/hyperlink" Target="https://ballotpedia.org/Marc_Lombardo" TargetMode="External"/><Relationship Id="rId79" Type="http://schemas.openxmlformats.org/officeDocument/2006/relationships/hyperlink" Target="https://ballotpedia.org/Marjorie_Decker" TargetMode="External"/><Relationship Id="rId78" Type="http://schemas.openxmlformats.org/officeDocument/2006/relationships/hyperlink" Target="https://ballotpedia.org/David_M._Rogers" TargetMode="External"/><Relationship Id="rId71" Type="http://schemas.openxmlformats.org/officeDocument/2006/relationships/hyperlink" Target="https://ballotpedia.org/Thomas_Golden,_Jr." TargetMode="External"/><Relationship Id="rId70" Type="http://schemas.openxmlformats.org/officeDocument/2006/relationships/hyperlink" Target="https://ballotpedia.org/Jay_Kaufman" TargetMode="External"/><Relationship Id="rId62" Type="http://schemas.openxmlformats.org/officeDocument/2006/relationships/hyperlink" Target="https://ballotpedia.org/Jack_Patrick_Lewis" TargetMode="External"/><Relationship Id="rId61" Type="http://schemas.openxmlformats.org/officeDocument/2006/relationships/hyperlink" Target="https://ballotpedia.org/Chris_Walsh" TargetMode="External"/><Relationship Id="rId64" Type="http://schemas.openxmlformats.org/officeDocument/2006/relationships/hyperlink" Target="https://ballotpedia.org/Thomas_Stanley" TargetMode="External"/><Relationship Id="rId63" Type="http://schemas.openxmlformats.org/officeDocument/2006/relationships/hyperlink" Target="https://ballotpedia.org/Carolyn_Dykema" TargetMode="External"/><Relationship Id="rId66" Type="http://schemas.openxmlformats.org/officeDocument/2006/relationships/hyperlink" Target="https://ballotpedia.org/Kay_Khan" TargetMode="External"/><Relationship Id="rId65" Type="http://schemas.openxmlformats.org/officeDocument/2006/relationships/hyperlink" Target="https://ballotpedia.org/John_Lawn" TargetMode="External"/><Relationship Id="rId68" Type="http://schemas.openxmlformats.org/officeDocument/2006/relationships/hyperlink" Target="https://ballotpedia.org/Carmine_Lawrence_Gentile" TargetMode="External"/><Relationship Id="rId67" Type="http://schemas.openxmlformats.org/officeDocument/2006/relationships/hyperlink" Target="https://ballotpedia.org/Ruth_Balser" TargetMode="External"/><Relationship Id="rId60" Type="http://schemas.openxmlformats.org/officeDocument/2006/relationships/hyperlink" Target="https://ballotpedia.org/David_Linsky" TargetMode="External"/><Relationship Id="rId69" Type="http://schemas.openxmlformats.org/officeDocument/2006/relationships/hyperlink" Target="https://ballotpedia.org/Cory_Atkins" TargetMode="External"/><Relationship Id="rId51" Type="http://schemas.openxmlformats.org/officeDocument/2006/relationships/hyperlink" Target="https://ballotpedia.org/Carlos_Gonzalez_(Massachusetts)" TargetMode="External"/><Relationship Id="rId50" Type="http://schemas.openxmlformats.org/officeDocument/2006/relationships/hyperlink" Target="https://ballotpedia.org/Jose_Tosado" TargetMode="External"/><Relationship Id="rId53" Type="http://schemas.openxmlformats.org/officeDocument/2006/relationships/hyperlink" Target="https://ballotpedia.org/Angelo_Puppolo,_Jr." TargetMode="External"/><Relationship Id="rId52" Type="http://schemas.openxmlformats.org/officeDocument/2006/relationships/hyperlink" Target="https://ballotpedia.org/Bud_L._Williams" TargetMode="External"/><Relationship Id="rId55" Type="http://schemas.openxmlformats.org/officeDocument/2006/relationships/hyperlink" Target="https://ballotpedia.org/Solomon_Goldstein-Rose" TargetMode="External"/><Relationship Id="rId54" Type="http://schemas.openxmlformats.org/officeDocument/2006/relationships/hyperlink" Target="https://ballotpedia.org/John_Scibak" TargetMode="External"/><Relationship Id="rId57" Type="http://schemas.openxmlformats.org/officeDocument/2006/relationships/hyperlink" Target="https://ballotpedia.org/James_Arciero" TargetMode="External"/><Relationship Id="rId56" Type="http://schemas.openxmlformats.org/officeDocument/2006/relationships/hyperlink" Target="https://ballotpedia.org/Sheila_Harrington" TargetMode="External"/><Relationship Id="rId59" Type="http://schemas.openxmlformats.org/officeDocument/2006/relationships/hyperlink" Target="https://ballotpedia.org/Danielle_Gregoire" TargetMode="External"/><Relationship Id="rId58" Type="http://schemas.openxmlformats.org/officeDocument/2006/relationships/hyperlink" Target="https://ballotpedia.org/Kate_Hogan" TargetMode="External"/><Relationship Id="rId107" Type="http://schemas.openxmlformats.org/officeDocument/2006/relationships/hyperlink" Target="https://ballotpedia.org/Mathew_Muratore" TargetMode="External"/><Relationship Id="rId106" Type="http://schemas.openxmlformats.org/officeDocument/2006/relationships/hyperlink" Target="https://ballotpedia.org/Frank_Smizik" TargetMode="External"/><Relationship Id="rId105" Type="http://schemas.openxmlformats.org/officeDocument/2006/relationships/hyperlink" Target="https://ballotpedia.org/Alice_Peisch" TargetMode="External"/><Relationship Id="rId104" Type="http://schemas.openxmlformats.org/officeDocument/2006/relationships/hyperlink" Target="https://ballotpedia.org/Denise_Garlick" TargetMode="External"/><Relationship Id="rId109" Type="http://schemas.openxmlformats.org/officeDocument/2006/relationships/hyperlink" Target="https://ballotpedia.org/Joan_Meschino" TargetMode="External"/><Relationship Id="rId108" Type="http://schemas.openxmlformats.org/officeDocument/2006/relationships/hyperlink" Target="https://ballotpedia.org/Susan_Gifford" TargetMode="External"/><Relationship Id="rId103" Type="http://schemas.openxmlformats.org/officeDocument/2006/relationships/hyperlink" Target="https://ballotpedia.org/John_Rogers,_Massachusetts_Representative" TargetMode="External"/><Relationship Id="rId102" Type="http://schemas.openxmlformats.org/officeDocument/2006/relationships/hyperlink" Target="https://ballotpedia.org/Paul_McMurtry" TargetMode="External"/><Relationship Id="rId101" Type="http://schemas.openxmlformats.org/officeDocument/2006/relationships/hyperlink" Target="https://ballotpedia.org/Jeffrey_Roy" TargetMode="External"/><Relationship Id="rId100" Type="http://schemas.openxmlformats.org/officeDocument/2006/relationships/hyperlink" Target="https://ballotpedia.org/Shawn_C._Dooley" TargetMode="External"/><Relationship Id="rId129" Type="http://schemas.openxmlformats.org/officeDocument/2006/relationships/hyperlink" Target="https://ballotpedia.org/Daniel_J._Hunt" TargetMode="External"/><Relationship Id="rId128" Type="http://schemas.openxmlformats.org/officeDocument/2006/relationships/hyperlink" Target="https://ballotpedia.org/Dan_Cullinane" TargetMode="External"/><Relationship Id="rId127" Type="http://schemas.openxmlformats.org/officeDocument/2006/relationships/hyperlink" Target="https://ballotpedia.org/Elizabeth_Malia" TargetMode="External"/><Relationship Id="rId126" Type="http://schemas.openxmlformats.org/officeDocument/2006/relationships/hyperlink" Target="https://ballotpedia.org/Edward_Coppinger" TargetMode="External"/><Relationship Id="rId121" Type="http://schemas.openxmlformats.org/officeDocument/2006/relationships/hyperlink" Target="https://ballotpedia.org/Evandro_C._Carvalho" TargetMode="External"/><Relationship Id="rId120" Type="http://schemas.openxmlformats.org/officeDocument/2006/relationships/hyperlink" Target="https://ballotpedia.org/Aaron_Michlewitz" TargetMode="External"/><Relationship Id="rId125" Type="http://schemas.openxmlformats.org/officeDocument/2006/relationships/hyperlink" Target="https://ballotpedia.org/Byron_Rushing" TargetMode="External"/><Relationship Id="rId124" Type="http://schemas.openxmlformats.org/officeDocument/2006/relationships/hyperlink" Target="https://ballotpedia.org/Jay_Livingstone" TargetMode="External"/><Relationship Id="rId123" Type="http://schemas.openxmlformats.org/officeDocument/2006/relationships/hyperlink" Target="https://ballotpedia.org/Chynah_Tyler" TargetMode="External"/><Relationship Id="rId122" Type="http://schemas.openxmlformats.org/officeDocument/2006/relationships/hyperlink" Target="https://ballotpedia.org/Russell_Holmes" TargetMode="External"/><Relationship Id="rId95" Type="http://schemas.openxmlformats.org/officeDocument/2006/relationships/hyperlink" Target="https://ballotpedia.org/James_Murphy_(Massachusetts)" TargetMode="External"/><Relationship Id="rId94" Type="http://schemas.openxmlformats.org/officeDocument/2006/relationships/hyperlink" Target="https://ballotpedia.org/Ronald_Mariano" TargetMode="External"/><Relationship Id="rId97" Type="http://schemas.openxmlformats.org/officeDocument/2006/relationships/hyperlink" Target="https://ballotpedia.org/William_Galvin_(House_of_Representatives)" TargetMode="External"/><Relationship Id="rId96" Type="http://schemas.openxmlformats.org/officeDocument/2006/relationships/hyperlink" Target="https://ballotpedia.org/Mark_Cusack" TargetMode="External"/><Relationship Id="rId99" Type="http://schemas.openxmlformats.org/officeDocument/2006/relationships/hyperlink" Target="https://ballotpedia.org/Louis_Kafka" TargetMode="External"/><Relationship Id="rId98" Type="http://schemas.openxmlformats.org/officeDocument/2006/relationships/hyperlink" Target="https://ballotpedia.org/William_J._Driscoll,_Jr." TargetMode="External"/><Relationship Id="rId91" Type="http://schemas.openxmlformats.org/officeDocument/2006/relationships/hyperlink" Target="https://ballotpedia.org/Jennifer_Benson_(Massachusetts)" TargetMode="External"/><Relationship Id="rId90" Type="http://schemas.openxmlformats.org/officeDocument/2006/relationships/hyperlink" Target="https://ballotpedia.org/Colleen_Garry" TargetMode="External"/><Relationship Id="rId93" Type="http://schemas.openxmlformats.org/officeDocument/2006/relationships/hyperlink" Target="https://ballotpedia.org/Tackey_Chan" TargetMode="External"/><Relationship Id="rId92" Type="http://schemas.openxmlformats.org/officeDocument/2006/relationships/hyperlink" Target="https://ballotpedia.org/Bruce_Ayers" TargetMode="External"/><Relationship Id="rId118" Type="http://schemas.openxmlformats.org/officeDocument/2006/relationships/hyperlink" Target="https://ballotpedia.org/Adrian_Madaro" TargetMode="External"/><Relationship Id="rId117" Type="http://schemas.openxmlformats.org/officeDocument/2006/relationships/hyperlink" Target="https://ballotpedia.org/Claire_Cronin" TargetMode="External"/><Relationship Id="rId116" Type="http://schemas.openxmlformats.org/officeDocument/2006/relationships/hyperlink" Target="https://ballotpedia.org/Michelle_DuBois" TargetMode="External"/><Relationship Id="rId115" Type="http://schemas.openxmlformats.org/officeDocument/2006/relationships/hyperlink" Target="https://ballotpedia.org/Gerry_Cassidy" TargetMode="External"/><Relationship Id="rId119" Type="http://schemas.openxmlformats.org/officeDocument/2006/relationships/hyperlink" Target="https://ballotpedia.org/Daniel_Joseph_Ryan" TargetMode="External"/><Relationship Id="rId110" Type="http://schemas.openxmlformats.org/officeDocument/2006/relationships/hyperlink" Target="https://ballotpedia.org/James_Cantwell" TargetMode="External"/><Relationship Id="rId114" Type="http://schemas.openxmlformats.org/officeDocument/2006/relationships/hyperlink" Target="https://ballotpedia.org/Angelo_D%27Emilia" TargetMode="External"/><Relationship Id="rId113" Type="http://schemas.openxmlformats.org/officeDocument/2006/relationships/hyperlink" Target="https://ballotpedia.org/Geoff_Diehl" TargetMode="External"/><Relationship Id="rId112" Type="http://schemas.openxmlformats.org/officeDocument/2006/relationships/hyperlink" Target="https://ballotpedia.org/Josh_Cutler" TargetMode="External"/><Relationship Id="rId111" Type="http://schemas.openxmlformats.org/officeDocument/2006/relationships/hyperlink" Target="https://ballotpedia.org/David_DeCoste"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en.wikipedia.org/wiki/Michigan_House_of_Representatives,_District_1" TargetMode="External"/><Relationship Id="rId2" Type="http://schemas.openxmlformats.org/officeDocument/2006/relationships/hyperlink" Target="https://en.wikipedia.org/wiki/Tenisha_Yancey_(politician)" TargetMode="External"/><Relationship Id="rId3" Type="http://schemas.openxmlformats.org/officeDocument/2006/relationships/hyperlink" Target="https://en.wikipedia.org/wiki/Bettie_Cook_Scott" TargetMode="External"/><Relationship Id="rId4" Type="http://schemas.openxmlformats.org/officeDocument/2006/relationships/hyperlink" Target="https://en.wikipedia.org/wiki/Wendell_Byrd" TargetMode="External"/><Relationship Id="rId9" Type="http://schemas.openxmlformats.org/officeDocument/2006/relationships/hyperlink" Target="https://en.wikipedia.org/w/index.php?title=Darrin_Camilleri&amp;action=edit&amp;redlink=1" TargetMode="External"/><Relationship Id="rId5" Type="http://schemas.openxmlformats.org/officeDocument/2006/relationships/hyperlink" Target="https://en.wikipedia.org/wiki/Joe_Bellino" TargetMode="External"/><Relationship Id="rId6" Type="http://schemas.openxmlformats.org/officeDocument/2006/relationships/hyperlink" Target="https://en.wikipedia.org/wiki/Kevin_Hertel" TargetMode="External"/><Relationship Id="rId7" Type="http://schemas.openxmlformats.org/officeDocument/2006/relationships/hyperlink" Target="https://en.wikipedia.org/wiki/Kristy_Pagan" TargetMode="External"/><Relationship Id="rId8" Type="http://schemas.openxmlformats.org/officeDocument/2006/relationships/hyperlink" Target="https://en.wikipedia.org/wiki/John_Chirkun" TargetMode="External"/><Relationship Id="rId31" Type="http://schemas.openxmlformats.org/officeDocument/2006/relationships/hyperlink" Target="https://en.wikipedia.org/wiki/Jim_Ananich" TargetMode="External"/><Relationship Id="rId30" Type="http://schemas.openxmlformats.org/officeDocument/2006/relationships/hyperlink" Target="https://en.wikipedia.org/wiki/Sara_Cambensy" TargetMode="External"/><Relationship Id="rId33" Type="http://schemas.openxmlformats.org/officeDocument/2006/relationships/drawing" Target="../drawings/drawing23.xml"/><Relationship Id="rId32" Type="http://schemas.openxmlformats.org/officeDocument/2006/relationships/hyperlink" Target="https://en.wikipedia.org/wiki/Peter_MacGregor" TargetMode="External"/><Relationship Id="rId20" Type="http://schemas.openxmlformats.org/officeDocument/2006/relationships/hyperlink" Target="https://en.wikipedia.org/wiki/Brian_Elder" TargetMode="External"/><Relationship Id="rId22" Type="http://schemas.openxmlformats.org/officeDocument/2006/relationships/hyperlink" Target="https://en.wikipedia.org/w/index.php?title=Scott_VanSingel&amp;action=edit&amp;redlink=1" TargetMode="External"/><Relationship Id="rId21" Type="http://schemas.openxmlformats.org/officeDocument/2006/relationships/hyperlink" Target="https://en.wikipedia.org/wiki/Jason_Wentworth" TargetMode="External"/><Relationship Id="rId24" Type="http://schemas.openxmlformats.org/officeDocument/2006/relationships/hyperlink" Target="https://en.wikipedia.org/w/index.php?title=Daire_Rendon&amp;action=edit&amp;redlink=1" TargetMode="External"/><Relationship Id="rId23" Type="http://schemas.openxmlformats.org/officeDocument/2006/relationships/hyperlink" Target="https://en.wikipedia.org/w/index.php?title=Michele_Hoitenga&amp;action=edit&amp;redlink=1" TargetMode="External"/><Relationship Id="rId26" Type="http://schemas.openxmlformats.org/officeDocument/2006/relationships/hyperlink" Target="https://en.wikipedia.org/wiki/Triston_Cole" TargetMode="External"/><Relationship Id="rId25" Type="http://schemas.openxmlformats.org/officeDocument/2006/relationships/hyperlink" Target="https://en.wikipedia.org/wiki/Larry_C._Inman" TargetMode="External"/><Relationship Id="rId28" Type="http://schemas.openxmlformats.org/officeDocument/2006/relationships/hyperlink" Target="https://en.wikipedia.org/wiki/Lee_Chatfield" TargetMode="External"/><Relationship Id="rId27" Type="http://schemas.openxmlformats.org/officeDocument/2006/relationships/hyperlink" Target="https://en.wikipedia.org/w/index.php?title=Sue_Allor&amp;action=edit&amp;redlink=1" TargetMode="External"/><Relationship Id="rId29" Type="http://schemas.openxmlformats.org/officeDocument/2006/relationships/hyperlink" Target="https://en.wikipedia.org/w/index.php?title=Beau_LaFave&amp;action=edit&amp;redlink=1" TargetMode="External"/><Relationship Id="rId11" Type="http://schemas.openxmlformats.org/officeDocument/2006/relationships/hyperlink" Target="https://en.wikipedia.org/wiki/Robert_Wittenberg" TargetMode="External"/><Relationship Id="rId10" Type="http://schemas.openxmlformats.org/officeDocument/2006/relationships/hyperlink" Target="https://en.wikipedia.org/w/index.php?title=Steve_Marino_(politician)&amp;action=edit&amp;redlink=1" TargetMode="External"/><Relationship Id="rId13" Type="http://schemas.openxmlformats.org/officeDocument/2006/relationships/hyperlink" Target="https://en.wikipedia.org/wiki/Kathy_Crawford" TargetMode="External"/><Relationship Id="rId12" Type="http://schemas.openxmlformats.org/officeDocument/2006/relationships/hyperlink" Target="https://en.wikipedia.org/wiki/Christine_Greig" TargetMode="External"/><Relationship Id="rId15" Type="http://schemas.openxmlformats.org/officeDocument/2006/relationships/hyperlink" Target="https://en.wikipedia.org/wiki/Jon_Hoadley" TargetMode="External"/><Relationship Id="rId14" Type="http://schemas.openxmlformats.org/officeDocument/2006/relationships/hyperlink" Target="https://en.wikipedia.org/w/index.php?title=Henry_Vaupel&amp;action=edit&amp;redlink=1" TargetMode="External"/><Relationship Id="rId17" Type="http://schemas.openxmlformats.org/officeDocument/2006/relationships/hyperlink" Target="https://en.wikipedia.org/w/index.php?title=David_LaGrand&amp;action=edit&amp;redlink=1" TargetMode="External"/><Relationship Id="rId16" Type="http://schemas.openxmlformats.org/officeDocument/2006/relationships/hyperlink" Target="https://en.wikipedia.org/wiki/Julie_Alexander_(politician)" TargetMode="External"/><Relationship Id="rId19" Type="http://schemas.openxmlformats.org/officeDocument/2006/relationships/hyperlink" Target="https://en.wikipedia.org/w/index.php?title=Terry_Sabo&amp;action=edit&amp;redlink=1" TargetMode="External"/><Relationship Id="rId18" Type="http://schemas.openxmlformats.org/officeDocument/2006/relationships/hyperlink" Target="https://en.wikipedia.org/w/index.php?title=Mary_Whiteford&amp;action=edit&amp;redlink=1" TargetMode="External"/></Relationships>
</file>

<file path=xl/worksheets/_rels/sheet24.xml.rels><?xml version="1.0" encoding="UTF-8" standalone="yes"?><Relationships xmlns="http://schemas.openxmlformats.org/package/2006/relationships"><Relationship Id="rId175" Type="http://schemas.openxmlformats.org/officeDocument/2006/relationships/drawing" Target="../drawings/drawing24.xml"/><Relationship Id="rId174" Type="http://schemas.openxmlformats.org/officeDocument/2006/relationships/hyperlink" Target="https://en.wikipedia.org/wiki/Foung_Hawj" TargetMode="External"/><Relationship Id="rId173" Type="http://schemas.openxmlformats.org/officeDocument/2006/relationships/hyperlink" Target="https://en.wikipedia.org/wiki/John_Marty" TargetMode="External"/><Relationship Id="rId150" Type="http://schemas.openxmlformats.org/officeDocument/2006/relationships/hyperlink" Target="https://en.wikipedia.org/wiki/Chuck_Wiger" TargetMode="External"/><Relationship Id="rId1" Type="http://schemas.openxmlformats.org/officeDocument/2006/relationships/hyperlink" Target="https://en.wikipedia.org/wiki/Dan_Fabian" TargetMode="External"/><Relationship Id="rId2" Type="http://schemas.openxmlformats.org/officeDocument/2006/relationships/hyperlink" Target="https://en.wikipedia.org/wiki/Deb_Kiel" TargetMode="External"/><Relationship Id="rId3" Type="http://schemas.openxmlformats.org/officeDocument/2006/relationships/hyperlink" Target="https://en.wikipedia.org/wiki/Matt_Grossell" TargetMode="External"/><Relationship Id="rId149" Type="http://schemas.openxmlformats.org/officeDocument/2006/relationships/hyperlink" Target="https://en.wikipedia.org/wiki/Jason_Isaacson" TargetMode="External"/><Relationship Id="rId4" Type="http://schemas.openxmlformats.org/officeDocument/2006/relationships/hyperlink" Target="https://en.wikipedia.org/wiki/Steve_Green_(politician)" TargetMode="External"/><Relationship Id="rId148" Type="http://schemas.openxmlformats.org/officeDocument/2006/relationships/hyperlink" Target="https://en.wikipedia.org/wiki/Carolyn_Laine" TargetMode="External"/><Relationship Id="rId9" Type="http://schemas.openxmlformats.org/officeDocument/2006/relationships/hyperlink" Target="https://en.wikipedia.org/wiki/Matt_Bliss" TargetMode="External"/><Relationship Id="rId143" Type="http://schemas.openxmlformats.org/officeDocument/2006/relationships/hyperlink" Target="https://en.wikipedia.org/wiki/John_Hoffman_(politician)" TargetMode="External"/><Relationship Id="rId142" Type="http://schemas.openxmlformats.org/officeDocument/2006/relationships/hyperlink" Target="https://en.wikipedia.org/wiki/Jim_Abeler" TargetMode="External"/><Relationship Id="rId141" Type="http://schemas.openxmlformats.org/officeDocument/2006/relationships/hyperlink" Target="https://en.wikipedia.org/wiki/Warren_Limmer" TargetMode="External"/><Relationship Id="rId140" Type="http://schemas.openxmlformats.org/officeDocument/2006/relationships/hyperlink" Target="https://en.wikipedia.org/wiki/David_Osmek" TargetMode="External"/><Relationship Id="rId5" Type="http://schemas.openxmlformats.org/officeDocument/2006/relationships/hyperlink" Target="https://en.wikipedia.org/wiki/Rob_Ecklund" TargetMode="External"/><Relationship Id="rId147" Type="http://schemas.openxmlformats.org/officeDocument/2006/relationships/hyperlink" Target="https://en.wikipedia.org/wiki/Chris_Eaton_(politician)" TargetMode="External"/><Relationship Id="rId6" Type="http://schemas.openxmlformats.org/officeDocument/2006/relationships/hyperlink" Target="https://en.wikipedia.org/wiki/Mary_Murphy_(politician)" TargetMode="External"/><Relationship Id="rId146" Type="http://schemas.openxmlformats.org/officeDocument/2006/relationships/hyperlink" Target="https://en.wikipedia.org/wiki/Karin_Housley" TargetMode="External"/><Relationship Id="rId7" Type="http://schemas.openxmlformats.org/officeDocument/2006/relationships/hyperlink" Target="https://en.wikipedia.org/wiki/Ben_Lien" TargetMode="External"/><Relationship Id="rId145" Type="http://schemas.openxmlformats.org/officeDocument/2006/relationships/hyperlink" Target="https://en.wikipedia.org/wiki/Roger_Chamberlain" TargetMode="External"/><Relationship Id="rId8" Type="http://schemas.openxmlformats.org/officeDocument/2006/relationships/hyperlink" Target="https://en.wikipedia.org/wiki/Paul_Marquart" TargetMode="External"/><Relationship Id="rId144" Type="http://schemas.openxmlformats.org/officeDocument/2006/relationships/hyperlink" Target="https://en.wikipedia.org/wiki/Jerry_Newton_(politician)" TargetMode="External"/><Relationship Id="rId139" Type="http://schemas.openxmlformats.org/officeDocument/2006/relationships/hyperlink" Target="https://en.wikipedia.org/wiki/Mark_Koran" TargetMode="External"/><Relationship Id="rId138" Type="http://schemas.openxmlformats.org/officeDocument/2006/relationships/hyperlink" Target="https://en.wikipedia.org/wiki/Michelle_Benson" TargetMode="External"/><Relationship Id="rId137" Type="http://schemas.openxmlformats.org/officeDocument/2006/relationships/hyperlink" Target="https://en.wikipedia.org/wiki/Mary_Kiffmeyer" TargetMode="External"/><Relationship Id="rId132" Type="http://schemas.openxmlformats.org/officeDocument/2006/relationships/hyperlink" Target="https://en.wikipedia.org/wiki/Dave_Senjem" TargetMode="External"/><Relationship Id="rId131" Type="http://schemas.openxmlformats.org/officeDocument/2006/relationships/hyperlink" Target="https://en.wikipedia.org/wiki/John_Jasinski_(politician)" TargetMode="External"/><Relationship Id="rId130" Type="http://schemas.openxmlformats.org/officeDocument/2006/relationships/hyperlink" Target="https://en.wikipedia.org/wiki/Julie_Rosen" TargetMode="External"/><Relationship Id="rId136" Type="http://schemas.openxmlformats.org/officeDocument/2006/relationships/hyperlink" Target="https://en.wikipedia.org/wiki/Bruce_Anderson_(politician)" TargetMode="External"/><Relationship Id="rId135" Type="http://schemas.openxmlformats.org/officeDocument/2006/relationships/hyperlink" Target="https://en.wikipedia.org/wiki/Jeremy_Miller_(politician)" TargetMode="External"/><Relationship Id="rId134" Type="http://schemas.openxmlformats.org/officeDocument/2006/relationships/hyperlink" Target="https://en.wikipedia.org/wiki/Dan_Sparks" TargetMode="External"/><Relationship Id="rId133" Type="http://schemas.openxmlformats.org/officeDocument/2006/relationships/hyperlink" Target="https://en.wikipedia.org/wiki/Carla_Nelson" TargetMode="External"/><Relationship Id="rId172" Type="http://schemas.openxmlformats.org/officeDocument/2006/relationships/hyperlink" Target="https://en.wikipedia.org/wiki/Sandy_Pappas" TargetMode="External"/><Relationship Id="rId171" Type="http://schemas.openxmlformats.org/officeDocument/2006/relationships/hyperlink" Target="https://en.wikipedia.org/wiki/Dick_Cohen" TargetMode="External"/><Relationship Id="rId170" Type="http://schemas.openxmlformats.org/officeDocument/2006/relationships/hyperlink" Target="https://en.wikipedia.org/wiki/Patricia_Torres_Ray" TargetMode="External"/><Relationship Id="rId165" Type="http://schemas.openxmlformats.org/officeDocument/2006/relationships/hyperlink" Target="https://en.wikipedia.org/wiki/Matt_Little" TargetMode="External"/><Relationship Id="rId164" Type="http://schemas.openxmlformats.org/officeDocument/2006/relationships/hyperlink" Target="https://en.wikipedia.org/wiki/Greg_Clausen" TargetMode="External"/><Relationship Id="rId163" Type="http://schemas.openxmlformats.org/officeDocument/2006/relationships/hyperlink" Target="https://en.wikipedia.org/wiki/Dan_Hall_(politician)" TargetMode="External"/><Relationship Id="rId162" Type="http://schemas.openxmlformats.org/officeDocument/2006/relationships/hyperlink" Target="https://en.wikipedia.org/wiki/Eric_Pratt" TargetMode="External"/><Relationship Id="rId169" Type="http://schemas.openxmlformats.org/officeDocument/2006/relationships/hyperlink" Target="https://en.wikipedia.org/wiki/Jeff_Hayden" TargetMode="External"/><Relationship Id="rId168" Type="http://schemas.openxmlformats.org/officeDocument/2006/relationships/hyperlink" Target="https://en.wikipedia.org/wiki/Scott_Dibble_(politician)" TargetMode="External"/><Relationship Id="rId167" Type="http://schemas.openxmlformats.org/officeDocument/2006/relationships/hyperlink" Target="https://en.wikipedia.org/wiki/Kari_Dziedzic" TargetMode="External"/><Relationship Id="rId166" Type="http://schemas.openxmlformats.org/officeDocument/2006/relationships/hyperlink" Target="https://en.wikipedia.org/wiki/Bobby_Joe_Champion" TargetMode="External"/><Relationship Id="rId161" Type="http://schemas.openxmlformats.org/officeDocument/2006/relationships/hyperlink" Target="https://en.wikipedia.org/wiki/Karla_Bigham" TargetMode="External"/><Relationship Id="rId160" Type="http://schemas.openxmlformats.org/officeDocument/2006/relationships/hyperlink" Target="https://en.wikipedia.org/wiki/Susan_Kent_(politician)" TargetMode="External"/><Relationship Id="rId159" Type="http://schemas.openxmlformats.org/officeDocument/2006/relationships/hyperlink" Target="https://en.wikipedia.org/wiki/Matt_Klein" TargetMode="External"/><Relationship Id="rId154" Type="http://schemas.openxmlformats.org/officeDocument/2006/relationships/hyperlink" Target="https://en.wikipedia.org/wiki/Scott_Jensen_(Minnesota_politician)" TargetMode="External"/><Relationship Id="rId153" Type="http://schemas.openxmlformats.org/officeDocument/2006/relationships/hyperlink" Target="https://en.wikipedia.org/wiki/Ron_Latz" TargetMode="External"/><Relationship Id="rId152" Type="http://schemas.openxmlformats.org/officeDocument/2006/relationships/hyperlink" Target="https://en.wikipedia.org/wiki/Ann_Rest" TargetMode="External"/><Relationship Id="rId151" Type="http://schemas.openxmlformats.org/officeDocument/2006/relationships/hyperlink" Target="https://en.wikipedia.org/wiki/Paul_Anderson_(Minnesota_state_senator)" TargetMode="External"/><Relationship Id="rId158" Type="http://schemas.openxmlformats.org/officeDocument/2006/relationships/hyperlink" Target="https://en.wikipedia.org/wiki/Jim_Carlson_(Minnesota_politician)" TargetMode="External"/><Relationship Id="rId157" Type="http://schemas.openxmlformats.org/officeDocument/2006/relationships/hyperlink" Target="https://en.wikipedia.org/wiki/Melissa_Halvorson_Wiklund" TargetMode="External"/><Relationship Id="rId156" Type="http://schemas.openxmlformats.org/officeDocument/2006/relationships/hyperlink" Target="https://en.wikipedia.org/wiki/Melisa_Franzen" TargetMode="External"/><Relationship Id="rId155" Type="http://schemas.openxmlformats.org/officeDocument/2006/relationships/hyperlink" Target="https://en.wikipedia.org/wiki/Steve_Cwodzinski" TargetMode="External"/><Relationship Id="rId40" Type="http://schemas.openxmlformats.org/officeDocument/2006/relationships/hyperlink" Target="https://en.wikipedia.org/wiki/Jeremy_Munson" TargetMode="External"/><Relationship Id="rId42" Type="http://schemas.openxmlformats.org/officeDocument/2006/relationships/hyperlink" Target="https://en.wikipedia.org/wiki/Brian_Daniels_(politician)" TargetMode="External"/><Relationship Id="rId41" Type="http://schemas.openxmlformats.org/officeDocument/2006/relationships/hyperlink" Target="https://en.wikipedia.org/wiki/John_Petersburg" TargetMode="External"/><Relationship Id="rId44" Type="http://schemas.openxmlformats.org/officeDocument/2006/relationships/hyperlink" Target="https://en.wikipedia.org/wiki/Duane_Sauke" TargetMode="External"/><Relationship Id="rId43" Type="http://schemas.openxmlformats.org/officeDocument/2006/relationships/hyperlink" Target="https://en.wikipedia.org/wiki/Duane_Quam" TargetMode="External"/><Relationship Id="rId46" Type="http://schemas.openxmlformats.org/officeDocument/2006/relationships/hyperlink" Target="https://en.wikipedia.org/wiki/Nels_Pierson" TargetMode="External"/><Relationship Id="rId45" Type="http://schemas.openxmlformats.org/officeDocument/2006/relationships/hyperlink" Target="https://en.wikipedia.org/wiki/Tina_Liebling" TargetMode="External"/><Relationship Id="rId48" Type="http://schemas.openxmlformats.org/officeDocument/2006/relationships/hyperlink" Target="https://en.wikipedia.org/wiki/Jeanne_Poppe" TargetMode="External"/><Relationship Id="rId47" Type="http://schemas.openxmlformats.org/officeDocument/2006/relationships/hyperlink" Target="https://en.wikipedia.org/wiki/Peggy_Bennett" TargetMode="External"/><Relationship Id="rId49" Type="http://schemas.openxmlformats.org/officeDocument/2006/relationships/hyperlink" Target="https://en.wikipedia.org/wiki/Gene_Pelowski" TargetMode="External"/><Relationship Id="rId31" Type="http://schemas.openxmlformats.org/officeDocument/2006/relationships/hyperlink" Target="https://en.wikipedia.org/wiki/Dean_Urdahl" TargetMode="External"/><Relationship Id="rId30" Type="http://schemas.openxmlformats.org/officeDocument/2006/relationships/hyperlink" Target="https://en.wikipedia.org/wiki/Dave_Baker_(politician)" TargetMode="External"/><Relationship Id="rId33" Type="http://schemas.openxmlformats.org/officeDocument/2006/relationships/hyperlink" Target="https://en.wikipedia.org/wiki/Jack_Considine" TargetMode="External"/><Relationship Id="rId32" Type="http://schemas.openxmlformats.org/officeDocument/2006/relationships/hyperlink" Target="https://en.wikipedia.org/wiki/Glenn_Gruenhagen" TargetMode="External"/><Relationship Id="rId35" Type="http://schemas.openxmlformats.org/officeDocument/2006/relationships/hyperlink" Target="https://en.wikipedia.org/wiki/Barb_Haley" TargetMode="External"/><Relationship Id="rId34" Type="http://schemas.openxmlformats.org/officeDocument/2006/relationships/hyperlink" Target="https://en.wikipedia.org/wiki/Bob_Vogel_(politician)" TargetMode="External"/><Relationship Id="rId37" Type="http://schemas.openxmlformats.org/officeDocument/2006/relationships/hyperlink" Target="https://en.wikipedia.org/wiki/Joe_Schomacker" TargetMode="External"/><Relationship Id="rId36" Type="http://schemas.openxmlformats.org/officeDocument/2006/relationships/hyperlink" Target="https://en.wikipedia.org/wiki/Steve_Drazkowski" TargetMode="External"/><Relationship Id="rId39" Type="http://schemas.openxmlformats.org/officeDocument/2006/relationships/hyperlink" Target="https://en.wikipedia.org/wiki/Bob_Gunther" TargetMode="External"/><Relationship Id="rId38" Type="http://schemas.openxmlformats.org/officeDocument/2006/relationships/hyperlink" Target="https://en.wikipedia.org/wiki/Rod_Hamilton" TargetMode="External"/><Relationship Id="rId20" Type="http://schemas.openxmlformats.org/officeDocument/2006/relationships/hyperlink" Target="https://en.wikipedia.org/wiki/Mike_Sundin" TargetMode="External"/><Relationship Id="rId22" Type="http://schemas.openxmlformats.org/officeDocument/2006/relationships/hyperlink" Target="https://en.wikipedia.org/wiki/Jeff_Backer" TargetMode="External"/><Relationship Id="rId21" Type="http://schemas.openxmlformats.org/officeDocument/2006/relationships/hyperlink" Target="https://en.wikipedia.org/wiki/Jason_Rarick" TargetMode="External"/><Relationship Id="rId24" Type="http://schemas.openxmlformats.org/officeDocument/2006/relationships/hyperlink" Target="https://en.wikipedia.org/wiki/Tim_O%27Driscoll" TargetMode="External"/><Relationship Id="rId23" Type="http://schemas.openxmlformats.org/officeDocument/2006/relationships/hyperlink" Target="https://en.wikipedia.org/wiki/Paul_Anderson_(Minnesota_politician)" TargetMode="External"/><Relationship Id="rId26" Type="http://schemas.openxmlformats.org/officeDocument/2006/relationships/hyperlink" Target="https://en.wikipedia.org/wiki/Sondra_Erickson" TargetMode="External"/><Relationship Id="rId25" Type="http://schemas.openxmlformats.org/officeDocument/2006/relationships/hyperlink" Target="https://en.wikipedia.org/wiki/Tama_Theis" TargetMode="External"/><Relationship Id="rId28" Type="http://schemas.openxmlformats.org/officeDocument/2006/relationships/hyperlink" Target="https://en.wikipedia.org/wiki/Paul_Torkelson" TargetMode="External"/><Relationship Id="rId27" Type="http://schemas.openxmlformats.org/officeDocument/2006/relationships/hyperlink" Target="https://en.wikipedia.org/wiki/Chris_Swedzinski" TargetMode="External"/><Relationship Id="rId29" Type="http://schemas.openxmlformats.org/officeDocument/2006/relationships/hyperlink" Target="https://en.wikipedia.org/wiki/Tim_Miller_(politician)" TargetMode="External"/><Relationship Id="rId11" Type="http://schemas.openxmlformats.org/officeDocument/2006/relationships/hyperlink" Target="https://en.wikipedia.org/wiki/Julie_Sandstede" TargetMode="External"/><Relationship Id="rId10" Type="http://schemas.openxmlformats.org/officeDocument/2006/relationships/hyperlink" Target="https://en.wikipedia.org/wiki/Sandy_Layman" TargetMode="External"/><Relationship Id="rId13" Type="http://schemas.openxmlformats.org/officeDocument/2006/relationships/hyperlink" Target="https://en.wikipedia.org/wiki/Liz_Olson" TargetMode="External"/><Relationship Id="rId12" Type="http://schemas.openxmlformats.org/officeDocument/2006/relationships/hyperlink" Target="https://en.wikipedia.org/wiki/Jennifer_Schultz" TargetMode="External"/><Relationship Id="rId15" Type="http://schemas.openxmlformats.org/officeDocument/2006/relationships/hyperlink" Target="https://en.wikipedia.org/wiki/Mary_Franson" TargetMode="External"/><Relationship Id="rId14" Type="http://schemas.openxmlformats.org/officeDocument/2006/relationships/hyperlink" Target="https://en.wikipedia.org/wiki/Bud_Nornes" TargetMode="External"/><Relationship Id="rId17" Type="http://schemas.openxmlformats.org/officeDocument/2006/relationships/hyperlink" Target="https://en.wikipedia.org/wiki/Ron_Kresha" TargetMode="External"/><Relationship Id="rId16" Type="http://schemas.openxmlformats.org/officeDocument/2006/relationships/hyperlink" Target="https://en.wikipedia.org/wiki/John_Poston_(politician)" TargetMode="External"/><Relationship Id="rId19" Type="http://schemas.openxmlformats.org/officeDocument/2006/relationships/hyperlink" Target="https://en.wikipedia.org/wiki/Dale_Lueck" TargetMode="External"/><Relationship Id="rId18" Type="http://schemas.openxmlformats.org/officeDocument/2006/relationships/hyperlink" Target="https://en.wikipedia.org/wiki/Josh_Heintzeman" TargetMode="External"/><Relationship Id="rId84" Type="http://schemas.openxmlformats.org/officeDocument/2006/relationships/hyperlink" Target="https://en.wikipedia.org/wiki/Tony_Albright" TargetMode="External"/><Relationship Id="rId83" Type="http://schemas.openxmlformats.org/officeDocument/2006/relationships/hyperlink" Target="https://en.wikipedia.org/wiki/Tony_Jurgens" TargetMode="External"/><Relationship Id="rId86" Type="http://schemas.openxmlformats.org/officeDocument/2006/relationships/hyperlink" Target="https://en.wikipedia.org/wiki/Pat_Garofalo" TargetMode="External"/><Relationship Id="rId85" Type="http://schemas.openxmlformats.org/officeDocument/2006/relationships/hyperlink" Target="https://en.wikipedia.org/wiki/Jon_Koznick" TargetMode="External"/><Relationship Id="rId88" Type="http://schemas.openxmlformats.org/officeDocument/2006/relationships/hyperlink" Target="https://en.wikipedia.org/wiki/Raymond_Dehn" TargetMode="External"/><Relationship Id="rId87" Type="http://schemas.openxmlformats.org/officeDocument/2006/relationships/hyperlink" Target="https://en.wikipedia.org/wiki/Fue_Lee" TargetMode="External"/><Relationship Id="rId89" Type="http://schemas.openxmlformats.org/officeDocument/2006/relationships/hyperlink" Target="https://en.wikipedia.org/wiki/Diane_Loeffler" TargetMode="External"/><Relationship Id="rId80" Type="http://schemas.openxmlformats.org/officeDocument/2006/relationships/hyperlink" Target="https://en.wikipedia.org/wiki/Sandra_Masin" TargetMode="External"/><Relationship Id="rId82" Type="http://schemas.openxmlformats.org/officeDocument/2006/relationships/hyperlink" Target="https://en.wikipedia.org/wiki/Rick_Hansen_(Minnesota_politician)" TargetMode="External"/><Relationship Id="rId81" Type="http://schemas.openxmlformats.org/officeDocument/2006/relationships/hyperlink" Target="https://en.wikipedia.org/wiki/Laurie_Halverson" TargetMode="External"/><Relationship Id="rId73" Type="http://schemas.openxmlformats.org/officeDocument/2006/relationships/hyperlink" Target="https://en.wikipedia.org/wiki/Leon_Lillie" TargetMode="External"/><Relationship Id="rId72" Type="http://schemas.openxmlformats.org/officeDocument/2006/relationships/hyperlink" Target="https://en.wikipedia.org/wiki/Peter_Fischer_(politician)" TargetMode="External"/><Relationship Id="rId75" Type="http://schemas.openxmlformats.org/officeDocument/2006/relationships/hyperlink" Target="https://en.wikipedia.org/wiki/Mike_Freiberg" TargetMode="External"/><Relationship Id="rId74" Type="http://schemas.openxmlformats.org/officeDocument/2006/relationships/hyperlink" Target="https://en.wikipedia.org/wiki/Lyndon_Carlson" TargetMode="External"/><Relationship Id="rId77" Type="http://schemas.openxmlformats.org/officeDocument/2006/relationships/hyperlink" Target="https://en.wikipedia.org/wiki/Jim_Nash_(politician)" TargetMode="External"/><Relationship Id="rId76" Type="http://schemas.openxmlformats.org/officeDocument/2006/relationships/hyperlink" Target="https://en.wikipedia.org/wiki/Cheryl_Youakim" TargetMode="External"/><Relationship Id="rId79" Type="http://schemas.openxmlformats.org/officeDocument/2006/relationships/hyperlink" Target="https://en.wikipedia.org/wiki/Andrew_Carlson_(politician)" TargetMode="External"/><Relationship Id="rId78" Type="http://schemas.openxmlformats.org/officeDocument/2006/relationships/hyperlink" Target="https://en.wikipedia.org/wiki/Joe_Hoppe_(politician)" TargetMode="External"/><Relationship Id="rId71" Type="http://schemas.openxmlformats.org/officeDocument/2006/relationships/hyperlink" Target="https://en.wikipedia.org/wiki/Jamie_Becker-Finn" TargetMode="External"/><Relationship Id="rId70" Type="http://schemas.openxmlformats.org/officeDocument/2006/relationships/hyperlink" Target="https://en.wikipedia.org/wiki/Mary_Kunesh-Podein" TargetMode="External"/><Relationship Id="rId62" Type="http://schemas.openxmlformats.org/officeDocument/2006/relationships/hyperlink" Target="https://en.wikipedia.org/wiki/Melissa_Hortman" TargetMode="External"/><Relationship Id="rId61" Type="http://schemas.openxmlformats.org/officeDocument/2006/relationships/hyperlink" Target="https://en.wikipedia.org/wiki/Peggy_Scott_(politician)" TargetMode="External"/><Relationship Id="rId64" Type="http://schemas.openxmlformats.org/officeDocument/2006/relationships/hyperlink" Target="https://en.wikipedia.org/wiki/Nolan_West" TargetMode="External"/><Relationship Id="rId63" Type="http://schemas.openxmlformats.org/officeDocument/2006/relationships/hyperlink" Target="https://en.wikipedia.org/wiki/Erin_Koegel" TargetMode="External"/><Relationship Id="rId66" Type="http://schemas.openxmlformats.org/officeDocument/2006/relationships/hyperlink" Target="https://en.wikipedia.org/wiki/Bob_Dettmer" TargetMode="External"/><Relationship Id="rId65" Type="http://schemas.openxmlformats.org/officeDocument/2006/relationships/hyperlink" Target="https://en.wikipedia.org/wiki/Linda_Runbeck" TargetMode="External"/><Relationship Id="rId68" Type="http://schemas.openxmlformats.org/officeDocument/2006/relationships/hyperlink" Target="https://en.wikipedia.org/wiki/Mike_Nelson_(Minnesota_politician)" TargetMode="External"/><Relationship Id="rId67" Type="http://schemas.openxmlformats.org/officeDocument/2006/relationships/hyperlink" Target="https://en.wikipedia.org/wiki/Kathy_Lohmer" TargetMode="External"/><Relationship Id="rId60" Type="http://schemas.openxmlformats.org/officeDocument/2006/relationships/hyperlink" Target="https://en.wikipedia.org/wiki/Cindy_Pugh" TargetMode="External"/><Relationship Id="rId69" Type="http://schemas.openxmlformats.org/officeDocument/2006/relationships/hyperlink" Target="https://en.wikipedia.org/wiki/Connie_Bernardy" TargetMode="External"/><Relationship Id="rId51" Type="http://schemas.openxmlformats.org/officeDocument/2006/relationships/hyperlink" Target="https://en.wikipedia.org/wiki/Joe_McDonald_(politician)" TargetMode="External"/><Relationship Id="rId50" Type="http://schemas.openxmlformats.org/officeDocument/2006/relationships/hyperlink" Target="https://en.wikipedia.org/wiki/Greg_Davids" TargetMode="External"/><Relationship Id="rId53" Type="http://schemas.openxmlformats.org/officeDocument/2006/relationships/hyperlink" Target="https://en.wikipedia.org/wiki/Nick_Zerwas" TargetMode="External"/><Relationship Id="rId52" Type="http://schemas.openxmlformats.org/officeDocument/2006/relationships/hyperlink" Target="https://en.wikipedia.org/wiki/Marion_O%27Neill" TargetMode="External"/><Relationship Id="rId55" Type="http://schemas.openxmlformats.org/officeDocument/2006/relationships/hyperlink" Target="https://en.wikipedia.org/wiki/Kurt_Daudt" TargetMode="External"/><Relationship Id="rId54" Type="http://schemas.openxmlformats.org/officeDocument/2006/relationships/hyperlink" Target="https://en.wikipedia.org/wiki/Eric_Lucero" TargetMode="External"/><Relationship Id="rId57" Type="http://schemas.openxmlformats.org/officeDocument/2006/relationships/hyperlink" Target="https://en.wikipedia.org/wiki/Brian_Johnson_(politician)" TargetMode="External"/><Relationship Id="rId56" Type="http://schemas.openxmlformats.org/officeDocument/2006/relationships/hyperlink" Target="https://en.wikipedia.org/wiki/Cal_Bahr" TargetMode="External"/><Relationship Id="rId59" Type="http://schemas.openxmlformats.org/officeDocument/2006/relationships/hyperlink" Target="https://en.wikipedia.org/wiki/Jerry_Hertaus" TargetMode="External"/><Relationship Id="rId58" Type="http://schemas.openxmlformats.org/officeDocument/2006/relationships/hyperlink" Target="https://en.wikipedia.org/wiki/Anne_Neu" TargetMode="External"/><Relationship Id="rId107" Type="http://schemas.openxmlformats.org/officeDocument/2006/relationships/hyperlink" Target="https://en.wikipedia.org/wiki/Minnesota_Senate,_District_5" TargetMode="External"/><Relationship Id="rId106" Type="http://schemas.openxmlformats.org/officeDocument/2006/relationships/hyperlink" Target="https://en.wikipedia.org/wiki/Kent_Eken" TargetMode="External"/><Relationship Id="rId105" Type="http://schemas.openxmlformats.org/officeDocument/2006/relationships/hyperlink" Target="https://en.wikipedia.org/wiki/Minnesota_Senate,_District_4" TargetMode="External"/><Relationship Id="rId104" Type="http://schemas.openxmlformats.org/officeDocument/2006/relationships/hyperlink" Target="https://en.wikipedia.org/wiki/Tom_Bakk" TargetMode="External"/><Relationship Id="rId109" Type="http://schemas.openxmlformats.org/officeDocument/2006/relationships/hyperlink" Target="https://en.wikipedia.org/wiki/Minnesota_Senate,_District_6" TargetMode="External"/><Relationship Id="rId108" Type="http://schemas.openxmlformats.org/officeDocument/2006/relationships/hyperlink" Target="https://en.wikipedia.org/wiki/Justin_Eichorn" TargetMode="External"/><Relationship Id="rId103" Type="http://schemas.openxmlformats.org/officeDocument/2006/relationships/hyperlink" Target="https://en.wikipedia.org/wiki/Minnesota_Senate,_District_3" TargetMode="External"/><Relationship Id="rId102" Type="http://schemas.openxmlformats.org/officeDocument/2006/relationships/hyperlink" Target="https://en.wikipedia.org/wiki/Paul_Utke" TargetMode="External"/><Relationship Id="rId101" Type="http://schemas.openxmlformats.org/officeDocument/2006/relationships/hyperlink" Target="https://en.wikipedia.org/wiki/Minnesota_Senate,_District_2" TargetMode="External"/><Relationship Id="rId100" Type="http://schemas.openxmlformats.org/officeDocument/2006/relationships/hyperlink" Target="https://en.wikipedia.org/wiki/Mark_Johnson_(Minnesota_politician)" TargetMode="External"/><Relationship Id="rId129" Type="http://schemas.openxmlformats.org/officeDocument/2006/relationships/hyperlink" Target="https://en.wikipedia.org/wiki/Bill_Weber_(politician)" TargetMode="External"/><Relationship Id="rId128" Type="http://schemas.openxmlformats.org/officeDocument/2006/relationships/hyperlink" Target="https://en.wikipedia.org/wiki/Mike_Goggin" TargetMode="External"/><Relationship Id="rId127" Type="http://schemas.openxmlformats.org/officeDocument/2006/relationships/hyperlink" Target="https://en.wikipedia.org/wiki/Rich_Draheim" TargetMode="External"/><Relationship Id="rId126" Type="http://schemas.openxmlformats.org/officeDocument/2006/relationships/hyperlink" Target="https://en.wikipedia.org/wiki/Nick_Frentz" TargetMode="External"/><Relationship Id="rId121" Type="http://schemas.openxmlformats.org/officeDocument/2006/relationships/hyperlink" Target="https://en.wikipedia.org/wiki/Jerry_Relph" TargetMode="External"/><Relationship Id="rId120" Type="http://schemas.openxmlformats.org/officeDocument/2006/relationships/hyperlink" Target="https://en.wikipedia.org/wiki/Torrey_Westrom" TargetMode="External"/><Relationship Id="rId125" Type="http://schemas.openxmlformats.org/officeDocument/2006/relationships/hyperlink" Target="https://en.wikipedia.org/wiki/Scott_Newman_(politician)" TargetMode="External"/><Relationship Id="rId124" Type="http://schemas.openxmlformats.org/officeDocument/2006/relationships/hyperlink" Target="https://en.wikipedia.org/wiki/Andrew_Lang_(Minnesota_politician)" TargetMode="External"/><Relationship Id="rId123" Type="http://schemas.openxmlformats.org/officeDocument/2006/relationships/hyperlink" Target="https://en.wikipedia.org/wiki/Gary_Dahms" TargetMode="External"/><Relationship Id="rId122" Type="http://schemas.openxmlformats.org/officeDocument/2006/relationships/hyperlink" Target="https://en.wikipedia.org/wiki/Andrew_Mathews_(politician)" TargetMode="External"/><Relationship Id="rId95" Type="http://schemas.openxmlformats.org/officeDocument/2006/relationships/hyperlink" Target="https://en.wikipedia.org/wiki/Carlos_Mariani" TargetMode="External"/><Relationship Id="rId94" Type="http://schemas.openxmlformats.org/officeDocument/2006/relationships/hyperlink" Target="https://en.wikipedia.org/wiki/Rena_Moran" TargetMode="External"/><Relationship Id="rId97" Type="http://schemas.openxmlformats.org/officeDocument/2006/relationships/hyperlink" Target="https://en.wikipedia.org/wiki/John_Lesch" TargetMode="External"/><Relationship Id="rId96" Type="http://schemas.openxmlformats.org/officeDocument/2006/relationships/hyperlink" Target="https://en.wikipedia.org/wiki/Alice_Hausman" TargetMode="External"/><Relationship Id="rId99" Type="http://schemas.openxmlformats.org/officeDocument/2006/relationships/hyperlink" Target="https://en.wikipedia.org/wiki/Minnesota_Senate,_District_1" TargetMode="External"/><Relationship Id="rId98" Type="http://schemas.openxmlformats.org/officeDocument/2006/relationships/hyperlink" Target="https://en.wikipedia.org/wiki/Tim_Mahoney_(Minnesota_politician)" TargetMode="External"/><Relationship Id="rId91" Type="http://schemas.openxmlformats.org/officeDocument/2006/relationships/hyperlink" Target="https://en.wikipedia.org/wiki/Jim_Davnie" TargetMode="External"/><Relationship Id="rId90" Type="http://schemas.openxmlformats.org/officeDocument/2006/relationships/hyperlink" Target="https://en.wikipedia.org/wiki/Frank_Hornstein" TargetMode="External"/><Relationship Id="rId93" Type="http://schemas.openxmlformats.org/officeDocument/2006/relationships/hyperlink" Target="https://en.wikipedia.org/wiki/Dave_Pinto" TargetMode="External"/><Relationship Id="rId92" Type="http://schemas.openxmlformats.org/officeDocument/2006/relationships/hyperlink" Target="https://en.wikipedia.org/wiki/Jean_Wagenius" TargetMode="External"/><Relationship Id="rId118" Type="http://schemas.openxmlformats.org/officeDocument/2006/relationships/hyperlink" Target="https://en.wikipedia.org/wiki/Carrie_Ruud" TargetMode="External"/><Relationship Id="rId117" Type="http://schemas.openxmlformats.org/officeDocument/2006/relationships/hyperlink" Target="https://en.wikipedia.org/wiki/Minnesota_Senate,_District_10" TargetMode="External"/><Relationship Id="rId116" Type="http://schemas.openxmlformats.org/officeDocument/2006/relationships/hyperlink" Target="https://en.wikipedia.org/wiki/Paul_Gazelka" TargetMode="External"/><Relationship Id="rId115" Type="http://schemas.openxmlformats.org/officeDocument/2006/relationships/hyperlink" Target="https://en.wikipedia.org/wiki/Minnesota_Senate,_District_9" TargetMode="External"/><Relationship Id="rId119" Type="http://schemas.openxmlformats.org/officeDocument/2006/relationships/hyperlink" Target="https://en.wikipedia.org/wiki/Tony_Lourey" TargetMode="External"/><Relationship Id="rId110" Type="http://schemas.openxmlformats.org/officeDocument/2006/relationships/hyperlink" Target="https://en.wikipedia.org/wiki/David_Tomassoni" TargetMode="External"/><Relationship Id="rId114" Type="http://schemas.openxmlformats.org/officeDocument/2006/relationships/hyperlink" Target="https://en.wikipedia.org/wiki/Bill_Ingebrigtsen" TargetMode="External"/><Relationship Id="rId113" Type="http://schemas.openxmlformats.org/officeDocument/2006/relationships/hyperlink" Target="https://en.wikipedia.org/wiki/Minnesota_Senate,_District_8" TargetMode="External"/><Relationship Id="rId112" Type="http://schemas.openxmlformats.org/officeDocument/2006/relationships/hyperlink" Target="https://en.wikipedia.org/wiki/Erik_Simonson" TargetMode="External"/><Relationship Id="rId111" Type="http://schemas.openxmlformats.org/officeDocument/2006/relationships/hyperlink" Target="https://en.wikipedia.org/wiki/Minnesota_Senate,_District_7" TargetMode="External"/></Relationships>
</file>

<file path=xl/worksheets/_rels/sheet25.xml.rels><?xml version="1.0" encoding="UTF-8" standalone="yes"?><Relationships xmlns="http://schemas.openxmlformats.org/package/2006/relationships"><Relationship Id="rId150" Type="http://schemas.openxmlformats.org/officeDocument/2006/relationships/hyperlink" Target="https://en.wikipedia.org/wiki/Terry_C._Burton" TargetMode="External"/><Relationship Id="rId1" Type="http://schemas.openxmlformats.org/officeDocument/2006/relationships/hyperlink" Target="https://ballotpedia.org/Lester_Carpenter" TargetMode="External"/><Relationship Id="rId2" Type="http://schemas.openxmlformats.org/officeDocument/2006/relationships/hyperlink" Target="https://ballotpedia.org/Nick_Bain" TargetMode="External"/><Relationship Id="rId3" Type="http://schemas.openxmlformats.org/officeDocument/2006/relationships/hyperlink" Target="https://ballotpedia.org/William_Arnold" TargetMode="External"/><Relationship Id="rId149" Type="http://schemas.openxmlformats.org/officeDocument/2006/relationships/hyperlink" Target="https://en.wikipedia.org/wiki/Dean_Kirby" TargetMode="External"/><Relationship Id="rId4" Type="http://schemas.openxmlformats.org/officeDocument/2006/relationships/hyperlink" Target="https://ballotpedia.org/Jody_Steverson" TargetMode="External"/><Relationship Id="rId148" Type="http://schemas.openxmlformats.org/officeDocument/2006/relationships/hyperlink" Target="https://en.wikipedia.org/wiki/David_Blount" TargetMode="External"/><Relationship Id="rId9" Type="http://schemas.openxmlformats.org/officeDocument/2006/relationships/hyperlink" Target="https://ballotpedia.org/Cedric_Burnett" TargetMode="External"/><Relationship Id="rId143" Type="http://schemas.openxmlformats.org/officeDocument/2006/relationships/hyperlink" Target="https://en.wikipedia.org/wiki/Briggs_Hopson" TargetMode="External"/><Relationship Id="rId142" Type="http://schemas.openxmlformats.org/officeDocument/2006/relationships/hyperlink" Target="https://en.wikipedia.org/wiki/Eugene_S._Clarke" TargetMode="External"/><Relationship Id="rId141" Type="http://schemas.openxmlformats.org/officeDocument/2006/relationships/hyperlink" Target="https://en.wikipedia.org/w/index.php?title=Barbara_Blackmon&amp;action=edit&amp;redlink=1" TargetMode="External"/><Relationship Id="rId140" Type="http://schemas.openxmlformats.org/officeDocument/2006/relationships/hyperlink" Target="https://en.wikipedia.org/wiki/Josh_Harkins" TargetMode="External"/><Relationship Id="rId5" Type="http://schemas.openxmlformats.org/officeDocument/2006/relationships/hyperlink" Target="https://ballotpedia.org/John_Faulkner" TargetMode="External"/><Relationship Id="rId147" Type="http://schemas.openxmlformats.org/officeDocument/2006/relationships/hyperlink" Target="https://en.wikipedia.org/w/index.php?title=Sollie_Norwood&amp;action=edit&amp;redlink=1" TargetMode="External"/><Relationship Id="rId6" Type="http://schemas.openxmlformats.org/officeDocument/2006/relationships/hyperlink" Target="https://ballotpedia.org/Dana_Criswell" TargetMode="External"/><Relationship Id="rId146" Type="http://schemas.openxmlformats.org/officeDocument/2006/relationships/hyperlink" Target="https://en.wikipedia.org/wiki/Hillman_Terome_Frazier" TargetMode="External"/><Relationship Id="rId7" Type="http://schemas.openxmlformats.org/officeDocument/2006/relationships/hyperlink" Target="https://ballotpedia.org/Steve_Hopkins" TargetMode="External"/><Relationship Id="rId145" Type="http://schemas.openxmlformats.org/officeDocument/2006/relationships/hyperlink" Target="https://en.wikipedia.org/w/index.php?title=John_A._Horhn&amp;action=edit&amp;redlink=1" TargetMode="External"/><Relationship Id="rId8" Type="http://schemas.openxmlformats.org/officeDocument/2006/relationships/hyperlink" Target="https://ballotpedia.org/Trey_Lamar" TargetMode="External"/><Relationship Id="rId144" Type="http://schemas.openxmlformats.org/officeDocument/2006/relationships/hyperlink" Target="https://en.wikipedia.org/wiki/David_Lee_Jordan" TargetMode="External"/><Relationship Id="rId139" Type="http://schemas.openxmlformats.org/officeDocument/2006/relationships/hyperlink" Target="https://en.wikipedia.org/wiki/Kevin_Blackwell_(politician)" TargetMode="External"/><Relationship Id="rId138" Type="http://schemas.openxmlformats.org/officeDocument/2006/relationships/hyperlink" Target="https://en.wikipedia.org/wiki/Jenifer_Branning" TargetMode="External"/><Relationship Id="rId137" Type="http://schemas.openxmlformats.org/officeDocument/2006/relationships/hyperlink" Target="https://en.wikipedia.org/w/index.php?title=Charles_Younger&amp;action=edit&amp;redlink=1" TargetMode="External"/><Relationship Id="rId132" Type="http://schemas.openxmlformats.org/officeDocument/2006/relationships/hyperlink" Target="https://en.wikipedia.org/wiki/Derrick_Simmons" TargetMode="External"/><Relationship Id="rId131" Type="http://schemas.openxmlformats.org/officeDocument/2006/relationships/hyperlink" Target="https://en.wikipedia.org/w/index.php?title=Robert_L._Jackson&amp;action=edit&amp;redlink=1" TargetMode="External"/><Relationship Id="rId130" Type="http://schemas.openxmlformats.org/officeDocument/2006/relationships/hyperlink" Target="https://en.wikipedia.org/w/index.php?title=Neil_S._Whaley&amp;action=edit&amp;redlink=1" TargetMode="External"/><Relationship Id="rId136" Type="http://schemas.openxmlformats.org/officeDocument/2006/relationships/hyperlink" Target="https://en.wikipedia.org/w/index.php?title=Angela_Turner&amp;action=edit&amp;redlink=1" TargetMode="External"/><Relationship Id="rId135" Type="http://schemas.openxmlformats.org/officeDocument/2006/relationships/hyperlink" Target="https://en.wikipedia.org/wiki/Gary_Jackson_(politician)" TargetMode="External"/><Relationship Id="rId134" Type="http://schemas.openxmlformats.org/officeDocument/2006/relationships/hyperlink" Target="https://en.wikipedia.org/wiki/Lydia_Chassaniol" TargetMode="External"/><Relationship Id="rId133" Type="http://schemas.openxmlformats.org/officeDocument/2006/relationships/hyperlink" Target="https://en.wikipedia.org/wiki/Willie_Lee_Simmons" TargetMode="External"/><Relationship Id="rId172" Type="http://schemas.openxmlformats.org/officeDocument/2006/relationships/drawing" Target="../drawings/drawing25.xml"/><Relationship Id="rId171" Type="http://schemas.openxmlformats.org/officeDocument/2006/relationships/hyperlink" Target="https://en.wikipedia.org/wiki/Brice_Wiggins" TargetMode="External"/><Relationship Id="rId170" Type="http://schemas.openxmlformats.org/officeDocument/2006/relationships/hyperlink" Target="https://en.wikipedia.org/w/index.php?title=Michael_Watson_(Mississippi_politician)&amp;action=edit&amp;redlink=1" TargetMode="External"/><Relationship Id="rId165" Type="http://schemas.openxmlformats.org/officeDocument/2006/relationships/hyperlink" Target="https://en.wikipedia.org/wiki/Philip_Moran" TargetMode="External"/><Relationship Id="rId164" Type="http://schemas.openxmlformats.org/officeDocument/2006/relationships/hyperlink" Target="https://en.wikipedia.org/w/index.php?title=Billy_Hudson&amp;action=edit&amp;redlink=1" TargetMode="External"/><Relationship Id="rId163" Type="http://schemas.openxmlformats.org/officeDocument/2006/relationships/hyperlink" Target="https://en.wikipedia.org/wiki/John_A._Polk" TargetMode="External"/><Relationship Id="rId162" Type="http://schemas.openxmlformats.org/officeDocument/2006/relationships/hyperlink" Target="https://en.wikipedia.org/w/index.php?title=Dennis_DeBar&amp;action=edit&amp;redlink=1" TargetMode="External"/><Relationship Id="rId169" Type="http://schemas.openxmlformats.org/officeDocument/2006/relationships/hyperlink" Target="https://en.wikipedia.org/wiki/Tommy_Gollott" TargetMode="External"/><Relationship Id="rId168" Type="http://schemas.openxmlformats.org/officeDocument/2006/relationships/hyperlink" Target="https://en.wikipedia.org/wiki/Sean_Tindell" TargetMode="External"/><Relationship Id="rId167" Type="http://schemas.openxmlformats.org/officeDocument/2006/relationships/hyperlink" Target="https://en.wikipedia.org/wiki/Deborah_Jeanne_Dawkins" TargetMode="External"/><Relationship Id="rId166" Type="http://schemas.openxmlformats.org/officeDocument/2006/relationships/hyperlink" Target="https://en.wikipedia.org/w/index.php?title=Joseph_Seymour&amp;action=edit&amp;redlink=1" TargetMode="External"/><Relationship Id="rId161" Type="http://schemas.openxmlformats.org/officeDocument/2006/relationships/hyperlink" Target="https://en.wikipedia.org/wiki/Chris_McDaniel" TargetMode="External"/><Relationship Id="rId160" Type="http://schemas.openxmlformats.org/officeDocument/2006/relationships/hyperlink" Target="https://en.wikipedia.org/w/index.php?title=Joey_Fillingane&amp;action=edit&amp;redlink=1" TargetMode="External"/><Relationship Id="rId159" Type="http://schemas.openxmlformats.org/officeDocument/2006/relationships/hyperlink" Target="https://en.wikipedia.org/wiki/Angela_Burks_Hill" TargetMode="External"/><Relationship Id="rId154" Type="http://schemas.openxmlformats.org/officeDocument/2006/relationships/hyperlink" Target="https://en.wikipedia.org/w/index.php?title=Chris_Caughman&amp;action=edit&amp;redlink=1" TargetMode="External"/><Relationship Id="rId153" Type="http://schemas.openxmlformats.org/officeDocument/2006/relationships/hyperlink" Target="https://en.wikipedia.org/w/index.php?title=Juan_Barnett&amp;action=edit&amp;redlink=1" TargetMode="External"/><Relationship Id="rId152" Type="http://schemas.openxmlformats.org/officeDocument/2006/relationships/hyperlink" Target="https://en.wikipedia.org/wiki/Videt_Carmichael" TargetMode="External"/><Relationship Id="rId151" Type="http://schemas.openxmlformats.org/officeDocument/2006/relationships/hyperlink" Target="https://en.wikipedia.org/wiki/Sampson_Jackson" TargetMode="External"/><Relationship Id="rId158" Type="http://schemas.openxmlformats.org/officeDocument/2006/relationships/hyperlink" Target="https://en.wikipedia.org/wiki/Sally_Doty" TargetMode="External"/><Relationship Id="rId157" Type="http://schemas.openxmlformats.org/officeDocument/2006/relationships/hyperlink" Target="https://en.wikipedia.org/w/index.php?title=Tammy_Witherspoon&amp;action=edit&amp;redlink=1" TargetMode="External"/><Relationship Id="rId156" Type="http://schemas.openxmlformats.org/officeDocument/2006/relationships/hyperlink" Target="https://en.wikipedia.org/wiki/Bob_Dearing" TargetMode="External"/><Relationship Id="rId155" Type="http://schemas.openxmlformats.org/officeDocument/2006/relationships/hyperlink" Target="https://en.wikipedia.org/wiki/Albert_Butler" TargetMode="External"/><Relationship Id="rId40" Type="http://schemas.openxmlformats.org/officeDocument/2006/relationships/hyperlink" Target="https://ballotpedia.org/Ashley_Henley" TargetMode="External"/><Relationship Id="rId42" Type="http://schemas.openxmlformats.org/officeDocument/2006/relationships/hyperlink" Target="https://ballotpedia.org/Carl_L._Mickens" TargetMode="External"/><Relationship Id="rId41" Type="http://schemas.openxmlformats.org/officeDocument/2006/relationships/hyperlink" Target="https://ballotpedia.org/Kabir_Karriem" TargetMode="External"/><Relationship Id="rId44" Type="http://schemas.openxmlformats.org/officeDocument/2006/relationships/hyperlink" Target="https://ballotpedia.org/Michael_Evans_(Mississippi)" TargetMode="External"/><Relationship Id="rId43" Type="http://schemas.openxmlformats.org/officeDocument/2006/relationships/hyperlink" Target="https://ballotpedia.org/Rob_Roberson" TargetMode="External"/><Relationship Id="rId46" Type="http://schemas.openxmlformats.org/officeDocument/2006/relationships/hyperlink" Target="https://ballotpedia.org/Bryant_Clark" TargetMode="External"/><Relationship Id="rId45" Type="http://schemas.openxmlformats.org/officeDocument/2006/relationships/hyperlink" Target="https://ballotpedia.org/Karl_Oliver" TargetMode="External"/><Relationship Id="rId48" Type="http://schemas.openxmlformats.org/officeDocument/2006/relationships/hyperlink" Target="https://ballotpedia.org/Willie_Bailey" TargetMode="External"/><Relationship Id="rId47" Type="http://schemas.openxmlformats.org/officeDocument/2006/relationships/hyperlink" Target="https://ballotpedia.org/Jason_White_(Mississippi)" TargetMode="External"/><Relationship Id="rId49" Type="http://schemas.openxmlformats.org/officeDocument/2006/relationships/hyperlink" Target="https://ballotpedia.org/John_Hines,_Mississippi_Representative" TargetMode="External"/><Relationship Id="rId31" Type="http://schemas.openxmlformats.org/officeDocument/2006/relationships/hyperlink" Target="https://ballotpedia.org/Sara_Thomas" TargetMode="External"/><Relationship Id="rId30" Type="http://schemas.openxmlformats.org/officeDocument/2006/relationships/hyperlink" Target="https://ballotpedia.org/Tracey_Rosebud" TargetMode="External"/><Relationship Id="rId33" Type="http://schemas.openxmlformats.org/officeDocument/2006/relationships/hyperlink" Target="https://ballotpedia.org/Thomas_Reynolds,_II" TargetMode="External"/><Relationship Id="rId32" Type="http://schemas.openxmlformats.org/officeDocument/2006/relationships/hyperlink" Target="https://ballotpedia.org/Willie_Perkins,_Sr." TargetMode="External"/><Relationship Id="rId35" Type="http://schemas.openxmlformats.org/officeDocument/2006/relationships/hyperlink" Target="https://ballotpedia.org/Joey_Hood" TargetMode="External"/><Relationship Id="rId34" Type="http://schemas.openxmlformats.org/officeDocument/2006/relationships/hyperlink" Target="https://ballotpedia.org/Kevin_Horan_(Mississippi)" TargetMode="External"/><Relationship Id="rId37" Type="http://schemas.openxmlformats.org/officeDocument/2006/relationships/hyperlink" Target="https://ballotpedia.org/Gary_Chism" TargetMode="External"/><Relationship Id="rId36" Type="http://schemas.openxmlformats.org/officeDocument/2006/relationships/hyperlink" Target="https://ballotpedia.org/Karl_Gibbs" TargetMode="External"/><Relationship Id="rId39" Type="http://schemas.openxmlformats.org/officeDocument/2006/relationships/hyperlink" Target="https://ballotpedia.org/Jeff_Smith_(Mississippi)" TargetMode="External"/><Relationship Id="rId38" Type="http://schemas.openxmlformats.org/officeDocument/2006/relationships/hyperlink" Target="https://ballotpedia.org/Cheikh_Taylor" TargetMode="External"/><Relationship Id="rId20" Type="http://schemas.openxmlformats.org/officeDocument/2006/relationships/hyperlink" Target="https://ballotpedia.org/Chris_Brown_(Mississippi)" TargetMode="External"/><Relationship Id="rId22" Type="http://schemas.openxmlformats.org/officeDocument/2006/relationships/hyperlink" Target="https://ballotpedia.org/Preston_Sullivan" TargetMode="External"/><Relationship Id="rId21" Type="http://schemas.openxmlformats.org/officeDocument/2006/relationships/hyperlink" Target="https://ballotpedia.org/Donnie_Bell" TargetMode="External"/><Relationship Id="rId24" Type="http://schemas.openxmlformats.org/officeDocument/2006/relationships/hyperlink" Target="https://ballotpedia.org/Jeff_Hale" TargetMode="External"/><Relationship Id="rId23" Type="http://schemas.openxmlformats.org/officeDocument/2006/relationships/hyperlink" Target="https://ballotpedia.org/Charles_Jim_Beckett" TargetMode="External"/><Relationship Id="rId26" Type="http://schemas.openxmlformats.org/officeDocument/2006/relationships/hyperlink" Target="https://ballotpedia.org/Orlando_Paden" TargetMode="External"/><Relationship Id="rId25" Type="http://schemas.openxmlformats.org/officeDocument/2006/relationships/hyperlink" Target="https://ballotpedia.org/Dan_Eubanks" TargetMode="External"/><Relationship Id="rId28" Type="http://schemas.openxmlformats.org/officeDocument/2006/relationships/hyperlink" Target="https://ballotpedia.org/Robert_Foster" TargetMode="External"/><Relationship Id="rId27" Type="http://schemas.openxmlformats.org/officeDocument/2006/relationships/hyperlink" Target="https://ballotpedia.org/Kenneth_Walker_(Mississippi)" TargetMode="External"/><Relationship Id="rId29" Type="http://schemas.openxmlformats.org/officeDocument/2006/relationships/hyperlink" Target="https://ballotpedia.org/Abe_Marshall_Hudson_Jr." TargetMode="External"/><Relationship Id="rId11" Type="http://schemas.openxmlformats.org/officeDocument/2006/relationships/hyperlink" Target="https://ballotpedia.org/Lataisha_M._Jackson" TargetMode="External"/><Relationship Id="rId10" Type="http://schemas.openxmlformats.org/officeDocument/2006/relationships/hyperlink" Target="https://ballotpedia.org/Nolan_Mettetal" TargetMode="External"/><Relationship Id="rId13" Type="http://schemas.openxmlformats.org/officeDocument/2006/relationships/hyperlink" Target="https://ballotpedia.org/Steve_Massengill" TargetMode="External"/><Relationship Id="rId12" Type="http://schemas.openxmlformats.org/officeDocument/2006/relationships/hyperlink" Target="https://ballotpedia.org/J._P._Hughes,_Jr." TargetMode="External"/><Relationship Id="rId15" Type="http://schemas.openxmlformats.org/officeDocument/2006/relationships/hyperlink" Target="https://ballotpedia.org/Mac_Huddleston" TargetMode="External"/><Relationship Id="rId14" Type="http://schemas.openxmlformats.org/officeDocument/2006/relationships/hyperlink" Target="https://ballotpedia.org/Margaret_Rogers" TargetMode="External"/><Relationship Id="rId17" Type="http://schemas.openxmlformats.org/officeDocument/2006/relationships/hyperlink" Target="https://ballotpedia.org/Shane_Aguirre" TargetMode="External"/><Relationship Id="rId16" Type="http://schemas.openxmlformats.org/officeDocument/2006/relationships/hyperlink" Target="https://ballotpedia.org/Steve_Holland" TargetMode="External"/><Relationship Id="rId19" Type="http://schemas.openxmlformats.org/officeDocument/2006/relationships/hyperlink" Target="https://ballotpedia.org/Randy_Boyd_(Mississippi)" TargetMode="External"/><Relationship Id="rId18" Type="http://schemas.openxmlformats.org/officeDocument/2006/relationships/hyperlink" Target="https://ballotpedia.org/Jerry_Turner_(Mississippi)" TargetMode="External"/><Relationship Id="rId84" Type="http://schemas.openxmlformats.org/officeDocument/2006/relationships/hyperlink" Target="https://ballotpedia.org/America_Chuck_Middleton" TargetMode="External"/><Relationship Id="rId83" Type="http://schemas.openxmlformats.org/officeDocument/2006/relationships/hyperlink" Target="https://ballotpedia.org/William_Shirley" TargetMode="External"/><Relationship Id="rId86" Type="http://schemas.openxmlformats.org/officeDocument/2006/relationships/hyperlink" Target="https://ballotpedia.org/Chris_Johnson_(Mississippi)" TargetMode="External"/><Relationship Id="rId85" Type="http://schemas.openxmlformats.org/officeDocument/2006/relationships/hyperlink" Target="https://ballotpedia.org/Shane_Barnett" TargetMode="External"/><Relationship Id="rId88" Type="http://schemas.openxmlformats.org/officeDocument/2006/relationships/hyperlink" Target="https://ballotpedia.org/Donnie_Scoggin" TargetMode="External"/><Relationship Id="rId87" Type="http://schemas.openxmlformats.org/officeDocument/2006/relationships/hyperlink" Target="https://ballotpedia.org/Gary_Staples" TargetMode="External"/><Relationship Id="rId89" Type="http://schemas.openxmlformats.org/officeDocument/2006/relationships/hyperlink" Target="https://ballotpedia.org/Noah_L._Sanford" TargetMode="External"/><Relationship Id="rId80" Type="http://schemas.openxmlformats.org/officeDocument/2006/relationships/hyperlink" Target="https://ballotpedia.org/Stephen_Horne" TargetMode="External"/><Relationship Id="rId82" Type="http://schemas.openxmlformats.org/officeDocument/2006/relationships/hyperlink" Target="https://ballotpedia.org/Greg_Snowden" TargetMode="External"/><Relationship Id="rId81" Type="http://schemas.openxmlformats.org/officeDocument/2006/relationships/hyperlink" Target="https://ballotpedia.org/Charles_Young" TargetMode="External"/><Relationship Id="rId73" Type="http://schemas.openxmlformats.org/officeDocument/2006/relationships/hyperlink" Target="https://ballotpedia.org/Mark_Baker" TargetMode="External"/><Relationship Id="rId72" Type="http://schemas.openxmlformats.org/officeDocument/2006/relationships/hyperlink" Target="https://ballotpedia.org/Cory_Wilson" TargetMode="External"/><Relationship Id="rId75" Type="http://schemas.openxmlformats.org/officeDocument/2006/relationships/hyperlink" Target="https://ballotpedia.org/Gregory_Holloway,_Sr." TargetMode="External"/><Relationship Id="rId74" Type="http://schemas.openxmlformats.org/officeDocument/2006/relationships/hyperlink" Target="https://ballotpedia.org/Tom_Miles" TargetMode="External"/><Relationship Id="rId77" Type="http://schemas.openxmlformats.org/officeDocument/2006/relationships/hyperlink" Target="https://ballotpedia.org/Randy_Rushing" TargetMode="External"/><Relationship Id="rId76" Type="http://schemas.openxmlformats.org/officeDocument/2006/relationships/hyperlink" Target="https://ballotpedia.org/Price_Wallace" TargetMode="External"/><Relationship Id="rId79" Type="http://schemas.openxmlformats.org/officeDocument/2006/relationships/hyperlink" Target="https://ballotpedia.org/Omeria_Scott" TargetMode="External"/><Relationship Id="rId78" Type="http://schemas.openxmlformats.org/officeDocument/2006/relationships/hyperlink" Target="https://ballotpedia.org/Mark_Tullos" TargetMode="External"/><Relationship Id="rId71" Type="http://schemas.openxmlformats.org/officeDocument/2006/relationships/hyperlink" Target="https://ballotpedia.org/Debra_Gibbs" TargetMode="External"/><Relationship Id="rId70" Type="http://schemas.openxmlformats.org/officeDocument/2006/relationships/hyperlink" Target="https://ballotpedia.org/Adrienne_Wooten" TargetMode="External"/><Relationship Id="rId62" Type="http://schemas.openxmlformats.org/officeDocument/2006/relationships/hyperlink" Target="https://ballotpedia.org/Deborah_Butler_Dixon" TargetMode="External"/><Relationship Id="rId61" Type="http://schemas.openxmlformats.org/officeDocument/2006/relationships/hyperlink" Target="https://ballotpedia.org/Tom_Weathersby" TargetMode="External"/><Relationship Id="rId64" Type="http://schemas.openxmlformats.org/officeDocument/2006/relationships/hyperlink" Target="https://ballotpedia.org/Christopher_M._Bell" TargetMode="External"/><Relationship Id="rId63" Type="http://schemas.openxmlformats.org/officeDocument/2006/relationships/hyperlink" Target="https://ballotpedia.org/Bill_Denny" TargetMode="External"/><Relationship Id="rId66" Type="http://schemas.openxmlformats.org/officeDocument/2006/relationships/hyperlink" Target="https://ballotpedia.org/Earle_Banks" TargetMode="External"/><Relationship Id="rId65" Type="http://schemas.openxmlformats.org/officeDocument/2006/relationships/hyperlink" Target="https://ballotpedia.org/Jarvis_Dortch" TargetMode="External"/><Relationship Id="rId68" Type="http://schemas.openxmlformats.org/officeDocument/2006/relationships/hyperlink" Target="https://ballotpedia.org/Alyce_Clarke" TargetMode="External"/><Relationship Id="rId67" Type="http://schemas.openxmlformats.org/officeDocument/2006/relationships/hyperlink" Target="https://ballotpedia.org/Credell_Calhoun" TargetMode="External"/><Relationship Id="rId60" Type="http://schemas.openxmlformats.org/officeDocument/2006/relationships/hyperlink" Target="https://ballotpedia.org/Ray_Rogers" TargetMode="External"/><Relationship Id="rId69" Type="http://schemas.openxmlformats.org/officeDocument/2006/relationships/hyperlink" Target="https://ballotpedia.org/Kathy_Sykes" TargetMode="External"/><Relationship Id="rId51" Type="http://schemas.openxmlformats.org/officeDocument/2006/relationships/hyperlink" Target="https://ballotpedia.org/Bill_Kinkade" TargetMode="External"/><Relationship Id="rId50" Type="http://schemas.openxmlformats.org/officeDocument/2006/relationships/hyperlink" Target="https://ballotpedia.org/Rufus_Straughter" TargetMode="External"/><Relationship Id="rId53" Type="http://schemas.openxmlformats.org/officeDocument/2006/relationships/hyperlink" Target="https://ballotpedia.org/Kevin_Ford" TargetMode="External"/><Relationship Id="rId52" Type="http://schemas.openxmlformats.org/officeDocument/2006/relationships/hyperlink" Target="https://ballotpedia.org/Vince_Mangold" TargetMode="External"/><Relationship Id="rId55" Type="http://schemas.openxmlformats.org/officeDocument/2006/relationships/hyperlink" Target="https://ballotpedia.org/Philip_Gunn" TargetMode="External"/><Relationship Id="rId54" Type="http://schemas.openxmlformats.org/officeDocument/2006/relationships/hyperlink" Target="https://ballotpedia.org/Oscar_Denton" TargetMode="External"/><Relationship Id="rId57" Type="http://schemas.openxmlformats.org/officeDocument/2006/relationships/hyperlink" Target="https://ballotpedia.org/Joel_Bomgar" TargetMode="External"/><Relationship Id="rId56" Type="http://schemas.openxmlformats.org/officeDocument/2006/relationships/hyperlink" Target="https://ballotpedia.org/Edward_Blackmon,_Jr." TargetMode="External"/><Relationship Id="rId59" Type="http://schemas.openxmlformats.org/officeDocument/2006/relationships/hyperlink" Target="https://ballotpedia.org/Fred_Shanks" TargetMode="External"/><Relationship Id="rId58" Type="http://schemas.openxmlformats.org/officeDocument/2006/relationships/hyperlink" Target="https://ballotpedia.org/Brent_Powell" TargetMode="External"/><Relationship Id="rId107" Type="http://schemas.openxmlformats.org/officeDocument/2006/relationships/hyperlink" Target="https://ballotpedia.org/Stacey_Hobgood_Wilkes" TargetMode="External"/><Relationship Id="rId106" Type="http://schemas.openxmlformats.org/officeDocument/2006/relationships/hyperlink" Target="https://ballotpedia.org/Doug_McLeod" TargetMode="External"/><Relationship Id="rId105" Type="http://schemas.openxmlformats.org/officeDocument/2006/relationships/hyperlink" Target="https://ballotpedia.org/John_Glen_Corley" TargetMode="External"/><Relationship Id="rId104" Type="http://schemas.openxmlformats.org/officeDocument/2006/relationships/hyperlink" Target="https://ballotpedia.org/Roun_McNeal" TargetMode="External"/><Relationship Id="rId109" Type="http://schemas.openxmlformats.org/officeDocument/2006/relationships/hyperlink" Target="https://ballotpedia.org/Jeramey_Anderson" TargetMode="External"/><Relationship Id="rId108" Type="http://schemas.openxmlformats.org/officeDocument/2006/relationships/hyperlink" Target="https://ballotpedia.org/Manly_Barton" TargetMode="External"/><Relationship Id="rId103" Type="http://schemas.openxmlformats.org/officeDocument/2006/relationships/hyperlink" Target="https://ballotpedia.org/Larry_Byrd" TargetMode="External"/><Relationship Id="rId102" Type="http://schemas.openxmlformats.org/officeDocument/2006/relationships/hyperlink" Target="https://ballotpedia.org/Percy_Watson" TargetMode="External"/><Relationship Id="rId101" Type="http://schemas.openxmlformats.org/officeDocument/2006/relationships/hyperlink" Target="https://ballotpedia.org/Missy_Warren_McGee" TargetMode="External"/><Relationship Id="rId100" Type="http://schemas.openxmlformats.org/officeDocument/2006/relationships/hyperlink" Target="https://ballotpedia.org/Brad_Touchstone" TargetMode="External"/><Relationship Id="rId129" Type="http://schemas.openxmlformats.org/officeDocument/2006/relationships/hyperlink" Target="https://en.wikipedia.org/wiki/Gray_Tollison" TargetMode="External"/><Relationship Id="rId128" Type="http://schemas.openxmlformats.org/officeDocument/2006/relationships/hyperlink" Target="https://en.wikipedia.org/w/index.php?title=Russell_Jolly&amp;action=edit&amp;redlink=1" TargetMode="External"/><Relationship Id="rId127" Type="http://schemas.openxmlformats.org/officeDocument/2006/relationships/hyperlink" Target="https://en.wikipedia.org/wiki/Hob_Bryan" TargetMode="External"/><Relationship Id="rId126" Type="http://schemas.openxmlformats.org/officeDocument/2006/relationships/hyperlink" Target="https://en.wikipedia.org/wiki/Chad_McMahan" TargetMode="External"/><Relationship Id="rId121" Type="http://schemas.openxmlformats.org/officeDocument/2006/relationships/hyperlink" Target="https://en.wikipedia.org/wiki/Chris_Massey_(politician)" TargetMode="External"/><Relationship Id="rId120" Type="http://schemas.openxmlformats.org/officeDocument/2006/relationships/hyperlink" Target="https://ballotpedia.org/David_Baria" TargetMode="External"/><Relationship Id="rId125" Type="http://schemas.openxmlformats.org/officeDocument/2006/relationships/hyperlink" Target="https://en.wikipedia.org/wiki/J._P._Wilemon" TargetMode="External"/><Relationship Id="rId124" Type="http://schemas.openxmlformats.org/officeDocument/2006/relationships/hyperlink" Target="https://en.wikipedia.org/wiki/Rita_Potts_Parks" TargetMode="External"/><Relationship Id="rId123" Type="http://schemas.openxmlformats.org/officeDocument/2006/relationships/hyperlink" Target="https://en.wikipedia.org/wiki/Nickey_Browning" TargetMode="External"/><Relationship Id="rId122" Type="http://schemas.openxmlformats.org/officeDocument/2006/relationships/hyperlink" Target="https://en.wikipedia.org/wiki/David_Parker_(Mississippi_politician)" TargetMode="External"/><Relationship Id="rId95" Type="http://schemas.openxmlformats.org/officeDocument/2006/relationships/hyperlink" Target="https://ballotpedia.org/Angela_Cockerham" TargetMode="External"/><Relationship Id="rId94" Type="http://schemas.openxmlformats.org/officeDocument/2006/relationships/hyperlink" Target="https://ballotpedia.org/Patricia_H._Willis" TargetMode="External"/><Relationship Id="rId97" Type="http://schemas.openxmlformats.org/officeDocument/2006/relationships/hyperlink" Target="https://ballotpedia.org/David_Myers,_Mississippi_Representative" TargetMode="External"/><Relationship Id="rId96" Type="http://schemas.openxmlformats.org/officeDocument/2006/relationships/hyperlink" Target="https://ballotpedia.org/Sam_Mims,_V" TargetMode="External"/><Relationship Id="rId99" Type="http://schemas.openxmlformats.org/officeDocument/2006/relationships/hyperlink" Target="https://ballotpedia.org/Ken_Morgan" TargetMode="External"/><Relationship Id="rId98" Type="http://schemas.openxmlformats.org/officeDocument/2006/relationships/hyperlink" Target="https://ballotpedia.org/Bill_Pigott" TargetMode="External"/><Relationship Id="rId91" Type="http://schemas.openxmlformats.org/officeDocument/2006/relationships/hyperlink" Target="https://ballotpedia.org/Becky_Currie" TargetMode="External"/><Relationship Id="rId90" Type="http://schemas.openxmlformats.org/officeDocument/2006/relationships/hyperlink" Target="https://ballotpedia.org/Bob_Evans" TargetMode="External"/><Relationship Id="rId93" Type="http://schemas.openxmlformats.org/officeDocument/2006/relationships/hyperlink" Target="https://ballotpedia.org/Robert_Johnson,_III" TargetMode="External"/><Relationship Id="rId92" Type="http://schemas.openxmlformats.org/officeDocument/2006/relationships/hyperlink" Target="https://ballotpedia.org/Timmy_Ladner" TargetMode="External"/><Relationship Id="rId118" Type="http://schemas.openxmlformats.org/officeDocument/2006/relationships/hyperlink" Target="https://ballotpedia.org/Richard_Bennett_(Mississippi)" TargetMode="External"/><Relationship Id="rId117" Type="http://schemas.openxmlformats.org/officeDocument/2006/relationships/hyperlink" Target="https://ballotpedia.org/Sonya_Williams-Barnes" TargetMode="External"/><Relationship Id="rId116" Type="http://schemas.openxmlformats.org/officeDocument/2006/relationships/hyperlink" Target="https://ballotpedia.org/Greg_Haney" TargetMode="External"/><Relationship Id="rId115" Type="http://schemas.openxmlformats.org/officeDocument/2006/relationships/hyperlink" Target="https://ballotpedia.org/Scott_DeLano" TargetMode="External"/><Relationship Id="rId119" Type="http://schemas.openxmlformats.org/officeDocument/2006/relationships/hyperlink" Target="https://ballotpedia.org/Carolyn_Crawford" TargetMode="External"/><Relationship Id="rId110" Type="http://schemas.openxmlformats.org/officeDocument/2006/relationships/hyperlink" Target="https://ballotpedia.org/Charles_Busby" TargetMode="External"/><Relationship Id="rId114" Type="http://schemas.openxmlformats.org/officeDocument/2006/relationships/hyperlink" Target="https://ballotpedia.org/Casey_Eure" TargetMode="External"/><Relationship Id="rId113" Type="http://schemas.openxmlformats.org/officeDocument/2006/relationships/hyperlink" Target="https://ballotpedia.org/Randall_Patterson" TargetMode="External"/><Relationship Id="rId112" Type="http://schemas.openxmlformats.org/officeDocument/2006/relationships/hyperlink" Target="https://ballotpedia.org/Jeffrey_S._Guice" TargetMode="External"/><Relationship Id="rId111" Type="http://schemas.openxmlformats.org/officeDocument/2006/relationships/hyperlink" Target="https://ballotpedia.org/John_Read"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en.wikipedia.org/wiki/Allen_Andrews_(politician)" TargetMode="External"/><Relationship Id="rId2" Type="http://schemas.openxmlformats.org/officeDocument/2006/relationships/hyperlink" Target="https://en.wikipedia.org/wiki/J._Eggleston" TargetMode="External"/><Relationship Id="rId3" Type="http://schemas.openxmlformats.org/officeDocument/2006/relationships/hyperlink" Target="https://en.wikipedia.org/wiki/Tim_Remole" TargetMode="External"/><Relationship Id="rId4" Type="http://schemas.openxmlformats.org/officeDocument/2006/relationships/hyperlink" Target="https://en.wikipedia.org/w/index.php?title=Rusty_Black&amp;action=edit&amp;redlink=1" TargetMode="External"/><Relationship Id="rId9" Type="http://schemas.openxmlformats.org/officeDocument/2006/relationships/hyperlink" Target="https://en.wikipedia.org/w/index.php?title=Mark_Ellebracht&amp;action=edit&amp;redlink=1" TargetMode="External"/><Relationship Id="rId5" Type="http://schemas.openxmlformats.org/officeDocument/2006/relationships/hyperlink" Target="https://en.wikipedia.org/wiki/Jim_Neely" TargetMode="External"/><Relationship Id="rId6" Type="http://schemas.openxmlformats.org/officeDocument/2006/relationships/hyperlink" Target="https://en.wikipedia.org/wiki/Kenneth_Wilson_(politician)" TargetMode="External"/><Relationship Id="rId7" Type="http://schemas.openxmlformats.org/officeDocument/2006/relationships/hyperlink" Target="https://en.wikipedia.org/wiki/Jon_Carpenter" TargetMode="External"/><Relationship Id="rId8" Type="http://schemas.openxmlformats.org/officeDocument/2006/relationships/hyperlink" Target="https://en.wikipedia.org/wiki/Noel_Shull" TargetMode="External"/><Relationship Id="rId139" Type="http://schemas.openxmlformats.org/officeDocument/2006/relationships/drawing" Target="../drawings/drawing26.xml"/><Relationship Id="rId138" Type="http://schemas.openxmlformats.org/officeDocument/2006/relationships/hyperlink" Target="https://governor.mo.gov/contact-us" TargetMode="External"/><Relationship Id="rId137" Type="http://schemas.openxmlformats.org/officeDocument/2006/relationships/hyperlink" Target="https://en.wikipedia.org/wiki/Mike_Cunningham_(politician)" TargetMode="External"/><Relationship Id="rId132" Type="http://schemas.openxmlformats.org/officeDocument/2006/relationships/hyperlink" Target="https://en.wikipedia.org/wiki/Sandy_Crawford" TargetMode="External"/><Relationship Id="rId131" Type="http://schemas.openxmlformats.org/officeDocument/2006/relationships/hyperlink" Target="https://www.senate.mo.gov/D27WebApps/Contact.aspx" TargetMode="External"/><Relationship Id="rId130" Type="http://schemas.openxmlformats.org/officeDocument/2006/relationships/hyperlink" Target="https://en.wikipedia.org/wiki/Wayne_Wallingford" TargetMode="External"/><Relationship Id="rId136" Type="http://schemas.openxmlformats.org/officeDocument/2006/relationships/hyperlink" Target="https://www.senate.mo.gov/D31WebApps/Contact.aspx" TargetMode="External"/><Relationship Id="rId135" Type="http://schemas.openxmlformats.org/officeDocument/2006/relationships/hyperlink" Target="https://en.wikipedia.org/wiki/Ed_Emery_(Missouri)" TargetMode="External"/><Relationship Id="rId134" Type="http://schemas.openxmlformats.org/officeDocument/2006/relationships/hyperlink" Target="https://www.senate.mo.gov/D29WebApps/Webmail.aspx" TargetMode="External"/><Relationship Id="rId133" Type="http://schemas.openxmlformats.org/officeDocument/2006/relationships/hyperlink" Target="https://en.wikipedia.org/wiki/David_Sater" TargetMode="External"/><Relationship Id="rId40" Type="http://schemas.openxmlformats.org/officeDocument/2006/relationships/hyperlink" Target="https://en.wikipedia.org/wiki/Tom_Hannegan" TargetMode="External"/><Relationship Id="rId42" Type="http://schemas.openxmlformats.org/officeDocument/2006/relationships/hyperlink" Target="https://en.wikipedia.org/w/index.php?title=Alan_Green_(American_politician)&amp;action=edit&amp;redlink=1" TargetMode="External"/><Relationship Id="rId41" Type="http://schemas.openxmlformats.org/officeDocument/2006/relationships/hyperlink" Target="https://en.wikipedia.org/wiki/Tommie_Pierson_Jr." TargetMode="External"/><Relationship Id="rId44" Type="http://schemas.openxmlformats.org/officeDocument/2006/relationships/hyperlink" Target="https://en.wikipedia.org/wiki/Cora_Faith_Walker" TargetMode="External"/><Relationship Id="rId43" Type="http://schemas.openxmlformats.org/officeDocument/2006/relationships/hyperlink" Target="https://en.wikipedia.org/w/index.php?title=Gretchen_Bangert&amp;action=edit&amp;redlink=1" TargetMode="External"/><Relationship Id="rId46" Type="http://schemas.openxmlformats.org/officeDocument/2006/relationships/hyperlink" Target="https://en.wikipedia.org/w/index.php?title=Steven_Roberts_II&amp;action=edit&amp;redlink=1" TargetMode="External"/><Relationship Id="rId45" Type="http://schemas.openxmlformats.org/officeDocument/2006/relationships/hyperlink" Target="https://en.wikipedia.org/w/index.php?title=Alan_Gray_(politician)&amp;action=edit&amp;redlink=1" TargetMode="External"/><Relationship Id="rId48" Type="http://schemas.openxmlformats.org/officeDocument/2006/relationships/hyperlink" Target="https://en.wikipedia.org/w/index.php?title=Peter_Merideth&amp;action=edit&amp;redlink=1" TargetMode="External"/><Relationship Id="rId47" Type="http://schemas.openxmlformats.org/officeDocument/2006/relationships/hyperlink" Target="https://en.wikipedia.org/wiki/Bruce_Franks_Jr." TargetMode="External"/><Relationship Id="rId49" Type="http://schemas.openxmlformats.org/officeDocument/2006/relationships/hyperlink" Target="https://en.wikipedia.org/w/index.php?title=Donna_Baringer&amp;action=edit&amp;redlink=1" TargetMode="External"/><Relationship Id="rId31" Type="http://schemas.openxmlformats.org/officeDocument/2006/relationships/hyperlink" Target="https://en.wikipedia.org/wiki/Travis_Fitzwater" TargetMode="External"/><Relationship Id="rId30" Type="http://schemas.openxmlformats.org/officeDocument/2006/relationships/hyperlink" Target="https://en.wikipedia.org/wiki/Dave_Muntzel" TargetMode="External"/><Relationship Id="rId33" Type="http://schemas.openxmlformats.org/officeDocument/2006/relationships/hyperlink" Target="https://en.wikipedia.org/wiki/Dean_Dohrman" TargetMode="External"/><Relationship Id="rId32" Type="http://schemas.openxmlformats.org/officeDocument/2006/relationships/hyperlink" Target="https://en.wikipedia.org/w/index.php?title=Sara_Walsh_(representative)&amp;action=edit&amp;redlink=1" TargetMode="External"/><Relationship Id="rId35" Type="http://schemas.openxmlformats.org/officeDocument/2006/relationships/hyperlink" Target="https://en.wikipedia.org/w/index.php?title=Dan_Houx&amp;action=edit&amp;redlink=1" TargetMode="External"/><Relationship Id="rId34" Type="http://schemas.openxmlformats.org/officeDocument/2006/relationships/hyperlink" Target="https://en.wikipedia.org/wiki/Glen_Kolkmeyer" TargetMode="External"/><Relationship Id="rId37" Type="http://schemas.openxmlformats.org/officeDocument/2006/relationships/hyperlink" Target="https://en.wikipedia.org/wiki/David_Wood_(politician)" TargetMode="External"/><Relationship Id="rId36" Type="http://schemas.openxmlformats.org/officeDocument/2006/relationships/hyperlink" Target="https://en.wikipedia.org/w/index.php?title=Jack_Bondon&amp;action=edit&amp;redlink=1" TargetMode="External"/><Relationship Id="rId39" Type="http://schemas.openxmlformats.org/officeDocument/2006/relationships/hyperlink" Target="https://en.wikipedia.org/wiki/Bryan_Spencer" TargetMode="External"/><Relationship Id="rId38" Type="http://schemas.openxmlformats.org/officeDocument/2006/relationships/hyperlink" Target="https://en.wikipedia.org/wiki/Tom_Hurst_(politician)" TargetMode="External"/><Relationship Id="rId20" Type="http://schemas.openxmlformats.org/officeDocument/2006/relationships/hyperlink" Target="https://en.wikipedia.org/wiki/Rebecca_Roeber" TargetMode="External"/><Relationship Id="rId22" Type="http://schemas.openxmlformats.org/officeDocument/2006/relationships/hyperlink" Target="https://en.wikipedia.org/wiki/Joe_Runions" TargetMode="External"/><Relationship Id="rId21" Type="http://schemas.openxmlformats.org/officeDocument/2006/relationships/hyperlink" Target="https://en.wikipedia.org/w/index.php?title=DaRon_McGee&amp;action=edit&amp;redlink=1" TargetMode="External"/><Relationship Id="rId24" Type="http://schemas.openxmlformats.org/officeDocument/2006/relationships/hyperlink" Target="https://en.wikipedia.org/wiki/Jim_Hansen_(Missouri_politician)" TargetMode="External"/><Relationship Id="rId23" Type="http://schemas.openxmlformats.org/officeDocument/2006/relationships/hyperlink" Target="https://en.wikipedia.org/w/index.php?title=Peggy_McGaugh&amp;action=edit&amp;redlink=1" TargetMode="External"/><Relationship Id="rId26" Type="http://schemas.openxmlformats.org/officeDocument/2006/relationships/hyperlink" Target="https://en.wikipedia.org/w/index.php?title=Cheri_Toalson_Reisch&amp;action=edit&amp;redlink=1" TargetMode="External"/><Relationship Id="rId25" Type="http://schemas.openxmlformats.org/officeDocument/2006/relationships/hyperlink" Target="https://en.wikipedia.org/wiki/Randy_Pietzman" TargetMode="External"/><Relationship Id="rId28" Type="http://schemas.openxmlformats.org/officeDocument/2006/relationships/hyperlink" Target="https://en.wikipedia.org/wiki/Martha_Stevens" TargetMode="External"/><Relationship Id="rId27" Type="http://schemas.openxmlformats.org/officeDocument/2006/relationships/hyperlink" Target="https://en.wikipedia.org/w/index.php?title=Kip_Kendrick&amp;action=edit&amp;redlink=1" TargetMode="External"/><Relationship Id="rId29" Type="http://schemas.openxmlformats.org/officeDocument/2006/relationships/hyperlink" Target="https://en.wikipedia.org/wiki/Chuck_Basye" TargetMode="External"/><Relationship Id="rId11" Type="http://schemas.openxmlformats.org/officeDocument/2006/relationships/hyperlink" Target="https://en.wikipedia.org/wiki/Bill_Kidd_(American_politician)" TargetMode="External"/><Relationship Id="rId10" Type="http://schemas.openxmlformats.org/officeDocument/2006/relationships/hyperlink" Target="https://en.wikipedia.org/wiki/Ingrid_Burnett" TargetMode="External"/><Relationship Id="rId13" Type="http://schemas.openxmlformats.org/officeDocument/2006/relationships/hyperlink" Target="https://en.wikipedia.org/wiki/Judy_Morgan" TargetMode="External"/><Relationship Id="rId12" Type="http://schemas.openxmlformats.org/officeDocument/2006/relationships/hyperlink" Target="https://en.wikipedia.org/w/index.php?title=Brandon_Ellington&amp;action=edit&amp;redlink=1" TargetMode="External"/><Relationship Id="rId15" Type="http://schemas.openxmlformats.org/officeDocument/2006/relationships/hyperlink" Target="https://en.wikipedia.org/w/index.php?title=Richard_Brown_(Missouri_politician)&amp;action=edit&amp;redlink=1" TargetMode="External"/><Relationship Id="rId14" Type="http://schemas.openxmlformats.org/officeDocument/2006/relationships/hyperlink" Target="https://en.wikipedia.org/wiki/Greg_Razer" TargetMode="External"/><Relationship Id="rId17" Type="http://schemas.openxmlformats.org/officeDocument/2006/relationships/hyperlink" Target="https://en.wikipedia.org/wiki/Rory_Rowland" TargetMode="External"/><Relationship Id="rId16" Type="http://schemas.openxmlformats.org/officeDocument/2006/relationships/hyperlink" Target="https://en.wikipedia.org/w/index.php?title=Jerome_Barnes&amp;action=edit&amp;redlink=1" TargetMode="External"/><Relationship Id="rId19" Type="http://schemas.openxmlformats.org/officeDocument/2006/relationships/hyperlink" Target="https://en.wikipedia.org/wiki/Donna_Pfautsch" TargetMode="External"/><Relationship Id="rId18" Type="http://schemas.openxmlformats.org/officeDocument/2006/relationships/hyperlink" Target="https://en.wikipedia.org/w/index.php?title=Dan_Stacy&amp;action=edit&amp;redlink=1" TargetMode="External"/><Relationship Id="rId84" Type="http://schemas.openxmlformats.org/officeDocument/2006/relationships/hyperlink" Target="https://en.wikipedia.org/wiki/Elijah_Haahr" TargetMode="External"/><Relationship Id="rId83" Type="http://schemas.openxmlformats.org/officeDocument/2006/relationships/hyperlink" Target="https://en.wikipedia.org/w/index.php?title=Curtis_Trent&amp;action=edit&amp;redlink=1" TargetMode="External"/><Relationship Id="rId86" Type="http://schemas.openxmlformats.org/officeDocument/2006/relationships/hyperlink" Target="https://en.wikipedia.org/wiki/Lynn_Morris" TargetMode="External"/><Relationship Id="rId85" Type="http://schemas.openxmlformats.org/officeDocument/2006/relationships/hyperlink" Target="https://en.wikipedia.org/w/index.php?title=Jered_Taylor&amp;action=edit&amp;redlink=1" TargetMode="External"/><Relationship Id="rId88" Type="http://schemas.openxmlformats.org/officeDocument/2006/relationships/hyperlink" Target="https://en.wikipedia.org/wiki/Robert_Ross_(politician)" TargetMode="External"/><Relationship Id="rId87" Type="http://schemas.openxmlformats.org/officeDocument/2006/relationships/hyperlink" Target="https://en.wikipedia.org/w/index.php?title=Hannah_Kelly&amp;action=edit&amp;redlink=1" TargetMode="External"/><Relationship Id="rId89" Type="http://schemas.openxmlformats.org/officeDocument/2006/relationships/hyperlink" Target="https://en.wikipedia.org/wiki/Jeff_Pogue" TargetMode="External"/><Relationship Id="rId80" Type="http://schemas.openxmlformats.org/officeDocument/2006/relationships/hyperlink" Target="https://en.wikipedia.org/wiki/Jeffrey_Messenger" TargetMode="External"/><Relationship Id="rId82" Type="http://schemas.openxmlformats.org/officeDocument/2006/relationships/hyperlink" Target="https://en.wikipedia.org/wiki/Crystal_Quade" TargetMode="External"/><Relationship Id="rId81" Type="http://schemas.openxmlformats.org/officeDocument/2006/relationships/hyperlink" Target="https://en.wikipedia.org/w/index.php?title=Sonya_Anderson&amp;action=edit&amp;redlink=1" TargetMode="External"/><Relationship Id="rId73" Type="http://schemas.openxmlformats.org/officeDocument/2006/relationships/hyperlink" Target="https://en.wikipedia.org/w/index.php?title=Nate_Tate&amp;action=edit&amp;redlink=1" TargetMode="External"/><Relationship Id="rId72" Type="http://schemas.openxmlformats.org/officeDocument/2006/relationships/hyperlink" Target="https://en.wikipedia.org/w/index.php?title=Mike_Henderson_(politician)&amp;action=edit&amp;redlink=1" TargetMode="External"/><Relationship Id="rId75" Type="http://schemas.openxmlformats.org/officeDocument/2006/relationships/hyperlink" Target="https://en.wikipedia.org/w/index.php?title=Rocky_Miller&amp;action=edit&amp;redlink=1" TargetMode="External"/><Relationship Id="rId74" Type="http://schemas.openxmlformats.org/officeDocument/2006/relationships/hyperlink" Target="https://en.wikipedia.org/w/index.php?title=Jason_Chipman&amp;action=edit&amp;redlink=1" TargetMode="External"/><Relationship Id="rId77" Type="http://schemas.openxmlformats.org/officeDocument/2006/relationships/hyperlink" Target="https://en.wikipedia.org/w/index.php?title=Patrica_Pike&amp;action=edit&amp;redlink=1" TargetMode="External"/><Relationship Id="rId76" Type="http://schemas.openxmlformats.org/officeDocument/2006/relationships/hyperlink" Target="https://en.wikipedia.org/wiki/Warren_Love" TargetMode="External"/><Relationship Id="rId79" Type="http://schemas.openxmlformats.org/officeDocument/2006/relationships/hyperlink" Target="https://en.wikipedia.org/w/index.php?title=Jeff_Knight_(politician)&amp;action=edit&amp;redlink=1" TargetMode="External"/><Relationship Id="rId78" Type="http://schemas.openxmlformats.org/officeDocument/2006/relationships/hyperlink" Target="https://en.wikipedia.org/wiki/Mike_Stephens" TargetMode="External"/><Relationship Id="rId71" Type="http://schemas.openxmlformats.org/officeDocument/2006/relationships/hyperlink" Target="https://en.wikipedia.org/wiki/Elaine_Gannon" TargetMode="External"/><Relationship Id="rId70" Type="http://schemas.openxmlformats.org/officeDocument/2006/relationships/hyperlink" Target="https://en.wikipedia.org/w/index.php?title=Becky_Ruth&amp;action=edit&amp;redlink=1" TargetMode="External"/><Relationship Id="rId62" Type="http://schemas.openxmlformats.org/officeDocument/2006/relationships/hyperlink" Target="https://en.wikipedia.org/wiki/John_Wiemann" TargetMode="External"/><Relationship Id="rId61" Type="http://schemas.openxmlformats.org/officeDocument/2006/relationships/hyperlink" Target="https://en.wikipedia.org/w/index.php?title=Bruce_DeGroot&amp;action=edit&amp;redlink=1" TargetMode="External"/><Relationship Id="rId64" Type="http://schemas.openxmlformats.org/officeDocument/2006/relationships/hyperlink" Target="https://en.wikipedia.org/wiki/Chrissy_Sommer" TargetMode="External"/><Relationship Id="rId63" Type="http://schemas.openxmlformats.org/officeDocument/2006/relationships/hyperlink" Target="https://en.wikipedia.org/wiki/Phil_Christofanelli" TargetMode="External"/><Relationship Id="rId66" Type="http://schemas.openxmlformats.org/officeDocument/2006/relationships/hyperlink" Target="https://en.wikipedia.org/wiki/Justin_Hill_(politician)" TargetMode="External"/><Relationship Id="rId65" Type="http://schemas.openxmlformats.org/officeDocument/2006/relationships/hyperlink" Target="https://en.wikipedia.org/wiki/Nick_Schroer" TargetMode="External"/><Relationship Id="rId68" Type="http://schemas.openxmlformats.org/officeDocument/2006/relationships/hyperlink" Target="https://en.wikipedia.org/wiki/Rob_Vescovo" TargetMode="External"/><Relationship Id="rId67" Type="http://schemas.openxmlformats.org/officeDocument/2006/relationships/hyperlink" Target="https://en.wikipedia.org/w/index.php?title=Shane_Roden&amp;action=edit&amp;redlink=1" TargetMode="External"/><Relationship Id="rId60" Type="http://schemas.openxmlformats.org/officeDocument/2006/relationships/hyperlink" Target="https://en.wikipedia.org/wiki/Derek_Grier" TargetMode="External"/><Relationship Id="rId69" Type="http://schemas.openxmlformats.org/officeDocument/2006/relationships/hyperlink" Target="https://en.wikipedia.org/wiki/Dan_Shaul" TargetMode="External"/><Relationship Id="rId51" Type="http://schemas.openxmlformats.org/officeDocument/2006/relationships/hyperlink" Target="https://en.wikipedia.org/w/index.php?title=Tracy_McCreery&amp;action=edit&amp;redlink=1" TargetMode="External"/><Relationship Id="rId50" Type="http://schemas.openxmlformats.org/officeDocument/2006/relationships/hyperlink" Target="https://en.wikipedia.org/w/index.php?title=Gina_Mitten&amp;action=edit&amp;redlink=1" TargetMode="External"/><Relationship Id="rId53" Type="http://schemas.openxmlformats.org/officeDocument/2006/relationships/hyperlink" Target="https://en.wikipedia.org/wiki/Deb_Lavender" TargetMode="External"/><Relationship Id="rId52" Type="http://schemas.openxmlformats.org/officeDocument/2006/relationships/hyperlink" Target="https://en.wikipedia.org/w/index.php?title=Dean_Plocher&amp;action=edit&amp;redlink=1" TargetMode="External"/><Relationship Id="rId55" Type="http://schemas.openxmlformats.org/officeDocument/2006/relationships/hyperlink" Target="https://en.wikipedia.org/w/index.php?title=Doug_Beck_(politician)&amp;action=edit&amp;redlink=1" TargetMode="External"/><Relationship Id="rId54" Type="http://schemas.openxmlformats.org/officeDocument/2006/relationships/hyperlink" Target="https://en.wikipedia.org/w/index.php?title=Sarah_Unsicker&amp;action=edit&amp;redlink=1" TargetMode="External"/><Relationship Id="rId57" Type="http://schemas.openxmlformats.org/officeDocument/2006/relationships/hyperlink" Target="https://en.wikipedia.org/w/index.php?title=David_Gregory_(politician)&amp;action=edit&amp;redlink=1" TargetMode="External"/><Relationship Id="rId56" Type="http://schemas.openxmlformats.org/officeDocument/2006/relationships/hyperlink" Target="https://en.wikipedia.org/wiki/Bob_Burns_(Missouri_politician)" TargetMode="External"/><Relationship Id="rId59" Type="http://schemas.openxmlformats.org/officeDocument/2006/relationships/hyperlink" Target="https://en.wikipedia.org/w/index.php?title=Jean_Evans&amp;action=edit&amp;redlink=1" TargetMode="External"/><Relationship Id="rId58" Type="http://schemas.openxmlformats.org/officeDocument/2006/relationships/hyperlink" Target="mailto:MaryElizabeth.Coleman@house.mo.gov" TargetMode="External"/><Relationship Id="rId107" Type="http://schemas.openxmlformats.org/officeDocument/2006/relationships/hyperlink" Target="https://www.senate.mo.gov/D09WebApps/Contact.aspx" TargetMode="External"/><Relationship Id="rId106" Type="http://schemas.openxmlformats.org/officeDocument/2006/relationships/hyperlink" Target="https://en.wikipedia.org/wiki/Kiki_Curls" TargetMode="External"/><Relationship Id="rId105" Type="http://schemas.openxmlformats.org/officeDocument/2006/relationships/hyperlink" Target="https://en.wikipedia.org/wiki/Mike_Cierpiot" TargetMode="External"/><Relationship Id="rId104" Type="http://schemas.openxmlformats.org/officeDocument/2006/relationships/hyperlink" Target="https://en.wikipedia.org/wiki/Jason_R._Holsman" TargetMode="External"/><Relationship Id="rId109" Type="http://schemas.openxmlformats.org/officeDocument/2006/relationships/hyperlink" Target="https://www.senate.mo.gov/D10WebApps/Contact.aspx" TargetMode="External"/><Relationship Id="rId108" Type="http://schemas.openxmlformats.org/officeDocument/2006/relationships/hyperlink" Target="https://en.wikipedia.org/wiki/Jeanie_Riddle" TargetMode="External"/><Relationship Id="rId103" Type="http://schemas.openxmlformats.org/officeDocument/2006/relationships/hyperlink" Target="https://en.wikipedia.org/wiki/Jamilah_Nasheed" TargetMode="External"/><Relationship Id="rId102" Type="http://schemas.openxmlformats.org/officeDocument/2006/relationships/hyperlink" Target="https://en.wikipedia.org/wiki/Gary_Romine" TargetMode="External"/><Relationship Id="rId101" Type="http://schemas.openxmlformats.org/officeDocument/2006/relationships/hyperlink" Target="https://en.wikipedia.org/wiki/Bob_Onder" TargetMode="External"/><Relationship Id="rId100" Type="http://schemas.openxmlformats.org/officeDocument/2006/relationships/hyperlink" Target="https://en.wikipedia.org/wiki/Scott_Sifton" TargetMode="External"/><Relationship Id="rId129" Type="http://schemas.openxmlformats.org/officeDocument/2006/relationships/hyperlink" Target="https://www.senate.mo.gov/D26WebApps/Contact.aspx" TargetMode="External"/><Relationship Id="rId128" Type="http://schemas.openxmlformats.org/officeDocument/2006/relationships/hyperlink" Target="https://en.wikipedia.org/wiki/Dave_Schatz" TargetMode="External"/><Relationship Id="rId127" Type="http://schemas.openxmlformats.org/officeDocument/2006/relationships/hyperlink" Target="https://www.senate.mo.gov/D25WebApps/Contact.aspx" TargetMode="External"/><Relationship Id="rId126" Type="http://schemas.openxmlformats.org/officeDocument/2006/relationships/hyperlink" Target="https://en.wikipedia.org/wiki/Doug_Libla" TargetMode="External"/><Relationship Id="rId121" Type="http://schemas.openxmlformats.org/officeDocument/2006/relationships/hyperlink" Target="https://www.senate.mo.gov/D21WebApps/contact.aspx" TargetMode="External"/><Relationship Id="rId120" Type="http://schemas.openxmlformats.org/officeDocument/2006/relationships/hyperlink" Target="https://en.wikipedia.org/wiki/Denny_Hoskins" TargetMode="External"/><Relationship Id="rId125" Type="http://schemas.openxmlformats.org/officeDocument/2006/relationships/hyperlink" Target="https://en.wikipedia.org/wiki/Missouri%27s_25th_Senate_district" TargetMode="External"/><Relationship Id="rId124" Type="http://schemas.openxmlformats.org/officeDocument/2006/relationships/hyperlink" Target="https://en.wikipedia.org/wiki/Jill_Schupp" TargetMode="External"/><Relationship Id="rId123" Type="http://schemas.openxmlformats.org/officeDocument/2006/relationships/hyperlink" Target="https://en.wikipedia.org/wiki/Bill_Eigel" TargetMode="External"/><Relationship Id="rId122" Type="http://schemas.openxmlformats.org/officeDocument/2006/relationships/hyperlink" Target="https://en.wikipedia.org/wiki/Paul_Wieland" TargetMode="External"/><Relationship Id="rId95" Type="http://schemas.openxmlformats.org/officeDocument/2006/relationships/hyperlink" Target="https://en.wikipedia.org/w/index.php?title=Andrew_McDaniel&amp;action=edit&amp;redlink=1" TargetMode="External"/><Relationship Id="rId94" Type="http://schemas.openxmlformats.org/officeDocument/2006/relationships/hyperlink" Target="https://en.wikipedia.org/w/index.php?title=Don_Rone&amp;action=edit&amp;redlink=1" TargetMode="External"/><Relationship Id="rId97" Type="http://schemas.openxmlformats.org/officeDocument/2006/relationships/hyperlink" Target="https://en.wikipedia.org/w/index.php?title=Jeffery_Justus&amp;action=edit&amp;redlink=1" TargetMode="External"/><Relationship Id="rId96" Type="http://schemas.openxmlformats.org/officeDocument/2006/relationships/hyperlink" Target="https://en.wikipedia.org/w/index.php?title=Herman_Morse&amp;action=edit&amp;redlink=1" TargetMode="External"/><Relationship Id="rId99" Type="http://schemas.openxmlformats.org/officeDocument/2006/relationships/hyperlink" Target="https://en.wikipedia.org/w/index.php?title=Cody_Smith&amp;action=edit&amp;redlink=1" TargetMode="External"/><Relationship Id="rId98" Type="http://schemas.openxmlformats.org/officeDocument/2006/relationships/hyperlink" Target="https://en.wikipedia.org/wiki/Mike_Moon" TargetMode="External"/><Relationship Id="rId91" Type="http://schemas.openxmlformats.org/officeDocument/2006/relationships/hyperlink" Target="https://en.wikipedia.org/w/index.php?title=Rick_Francis&amp;action=edit&amp;redlink=1" TargetMode="External"/><Relationship Id="rId90" Type="http://schemas.openxmlformats.org/officeDocument/2006/relationships/hyperlink" Target="https://en.wikipedia.org/w/index.php?title=Chris_Dinkins&amp;action=edit&amp;redlink=1" TargetMode="External"/><Relationship Id="rId93" Type="http://schemas.openxmlformats.org/officeDocument/2006/relationships/hyperlink" Target="https://en.wikipedia.org/wiki/Holly_Rehder" TargetMode="External"/><Relationship Id="rId92" Type="http://schemas.openxmlformats.org/officeDocument/2006/relationships/hyperlink" Target="https://en.wikipedia.org/wiki/Kathryn_Swan" TargetMode="External"/><Relationship Id="rId118" Type="http://schemas.openxmlformats.org/officeDocument/2006/relationships/hyperlink" Target="https://en.wikipedia.org/wiki/Caleb_Rowden" TargetMode="External"/><Relationship Id="rId117" Type="http://schemas.openxmlformats.org/officeDocument/2006/relationships/hyperlink" Target="https://en.wikipedia.org/wiki/Lauren_Arthur" TargetMode="External"/><Relationship Id="rId116" Type="http://schemas.openxmlformats.org/officeDocument/2006/relationships/hyperlink" Target="https://www.senate.mo.gov/D15WebApps/Contact.aspx" TargetMode="External"/><Relationship Id="rId115" Type="http://schemas.openxmlformats.org/officeDocument/2006/relationships/hyperlink" Target="https://en.wikipedia.org/wiki/Andrew_Koenig_(politician)" TargetMode="External"/><Relationship Id="rId119" Type="http://schemas.openxmlformats.org/officeDocument/2006/relationships/hyperlink" Target="https://www.senate.mo.gov/D19WebApps/Contact.aspx" TargetMode="External"/><Relationship Id="rId110" Type="http://schemas.openxmlformats.org/officeDocument/2006/relationships/hyperlink" Target="https://en.wikipedia.org/wiki/John_Rizzo_(politician)" TargetMode="External"/><Relationship Id="rId114" Type="http://schemas.openxmlformats.org/officeDocument/2006/relationships/hyperlink" Target="https://www.senate.mo.gov/D13WebApps/Contact.aspx" TargetMode="External"/><Relationship Id="rId113" Type="http://schemas.openxmlformats.org/officeDocument/2006/relationships/hyperlink" Target="https://en.wikipedia.org/wiki/Gina_Walsh" TargetMode="External"/><Relationship Id="rId112" Type="http://schemas.openxmlformats.org/officeDocument/2006/relationships/hyperlink" Target="https://www.senate.mo.gov/D12WebApps/Contact.aspx" TargetMode="External"/><Relationship Id="rId111" Type="http://schemas.openxmlformats.org/officeDocument/2006/relationships/hyperlink" Target="https://en.wikipedia.org/wiki/Dan_Hegeman" TargetMode="External"/></Relationships>
</file>

<file path=xl/worksheets/_rels/sheet2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7.xml"/><Relationship Id="rId3" Type="http://schemas.openxmlformats.org/officeDocument/2006/relationships/vmlDrawing" Target="../drawings/vmlDrawing4.vml"/></Relationships>
</file>

<file path=xl/worksheets/_rels/sheet28.xml.rels><?xml version="1.0" encoding="UTF-8" standalone="yes"?><Relationships xmlns="http://schemas.openxmlformats.org/package/2006/relationships"><Relationship Id="rId1" Type="http://schemas.openxmlformats.org/officeDocument/2006/relationships/hyperlink" Target="https://en.wikipedia.org/wiki/Dan_Watermeier" TargetMode="External"/><Relationship Id="rId2" Type="http://schemas.openxmlformats.org/officeDocument/2006/relationships/hyperlink" Target="https://en.wikipedia.org/wiki/Robert_Clements_(Nebraska_politician)" TargetMode="External"/><Relationship Id="rId3" Type="http://schemas.openxmlformats.org/officeDocument/2006/relationships/hyperlink" Target="https://en.wikipedia.org/wiki/Carol_Blood" TargetMode="External"/><Relationship Id="rId4" Type="http://schemas.openxmlformats.org/officeDocument/2006/relationships/hyperlink" Target="https://en.wikipedia.org/wiki/Robert_Hilkemann" TargetMode="External"/><Relationship Id="rId9" Type="http://schemas.openxmlformats.org/officeDocument/2006/relationships/hyperlink" Target="https://en.wikipedia.org/w/index.php?title=Justin_Wayne_(Nebraska_Politician)&amp;action=edit&amp;redlink=1" TargetMode="External"/><Relationship Id="rId5" Type="http://schemas.openxmlformats.org/officeDocument/2006/relationships/hyperlink" Target="https://en.wikipedia.org/w/index.php?title=Mike_McDonnell&amp;action=edit&amp;redlink=1" TargetMode="External"/><Relationship Id="rId6" Type="http://schemas.openxmlformats.org/officeDocument/2006/relationships/hyperlink" Target="https://en.wikipedia.org/wiki/Tony_Vargas" TargetMode="External"/><Relationship Id="rId7" Type="http://schemas.openxmlformats.org/officeDocument/2006/relationships/hyperlink" Target="https://en.wikipedia.org/wiki/Sara_Howard" TargetMode="External"/><Relationship Id="rId8" Type="http://schemas.openxmlformats.org/officeDocument/2006/relationships/hyperlink" Target="https://en.wikipedia.org/wiki/Ernie_Chambers" TargetMode="External"/><Relationship Id="rId31" Type="http://schemas.openxmlformats.org/officeDocument/2006/relationships/hyperlink" Target="https://en.wikipedia.org/w/index.php?title=Tom_Brewer_(Nebraska_Politician)&amp;action=edit&amp;redlink=1" TargetMode="External"/><Relationship Id="rId30" Type="http://schemas.openxmlformats.org/officeDocument/2006/relationships/hyperlink" Target="https://en.wikipedia.org/wiki/Mike_Groene" TargetMode="External"/><Relationship Id="rId33" Type="http://schemas.openxmlformats.org/officeDocument/2006/relationships/hyperlink" Target="https://en.wikipedia.org/wiki/Sue_Crawford" TargetMode="External"/><Relationship Id="rId32" Type="http://schemas.openxmlformats.org/officeDocument/2006/relationships/hyperlink" Target="https://en.wikipedia.org/wiki/Dan_Hughes_(Nebraska_politician)" TargetMode="External"/><Relationship Id="rId35" Type="http://schemas.openxmlformats.org/officeDocument/2006/relationships/hyperlink" Target="https://en.wikipedia.org/w/index.php?title=Steve_Erdman&amp;action=edit&amp;redlink=1" TargetMode="External"/><Relationship Id="rId34" Type="http://schemas.openxmlformats.org/officeDocument/2006/relationships/hyperlink" Target="https://en.wikipedia.org/wiki/Adam_Morfeld" TargetMode="External"/><Relationship Id="rId37" Type="http://schemas.openxmlformats.org/officeDocument/2006/relationships/hyperlink" Target="https://en.wikipedia.org/wiki/John_Murante" TargetMode="External"/><Relationship Id="rId36" Type="http://schemas.openxmlformats.org/officeDocument/2006/relationships/hyperlink" Target="https://en.wikipedia.org/wiki/John_Stinner" TargetMode="External"/><Relationship Id="rId38" Type="http://schemas.openxmlformats.org/officeDocument/2006/relationships/drawing" Target="../drawings/drawing28.xml"/><Relationship Id="rId20" Type="http://schemas.openxmlformats.org/officeDocument/2006/relationships/hyperlink" Target="https://en.wikipedia.org/w/index.php?title=Anna_Wishart&amp;action=edit&amp;redlink=1" TargetMode="External"/><Relationship Id="rId22" Type="http://schemas.openxmlformats.org/officeDocument/2006/relationships/hyperlink" Target="https://en.wikipedia.org/wiki/Kate_Bolz" TargetMode="External"/><Relationship Id="rId21" Type="http://schemas.openxmlformats.org/officeDocument/2006/relationships/hyperlink" Target="https://en.wikipedia.org/wiki/Patty_Pansing_Brooks" TargetMode="External"/><Relationship Id="rId24" Type="http://schemas.openxmlformats.org/officeDocument/2006/relationships/hyperlink" Target="https://en.wikipedia.org/w/index.php?title=Steve_Halloran&amp;action=edit&amp;redlink=1" TargetMode="External"/><Relationship Id="rId23" Type="http://schemas.openxmlformats.org/officeDocument/2006/relationships/hyperlink" Target="https://en.wikipedia.org/wiki/Rick_Kolowski" TargetMode="External"/><Relationship Id="rId26" Type="http://schemas.openxmlformats.org/officeDocument/2006/relationships/hyperlink" Target="https://en.wikipedia.org/w/index.php?title=Dan_Quick&amp;action=edit&amp;redlink=1" TargetMode="External"/><Relationship Id="rId25" Type="http://schemas.openxmlformats.org/officeDocument/2006/relationships/hyperlink" Target="https://en.wikipedia.org/wiki/Curt_Friesen" TargetMode="External"/><Relationship Id="rId28" Type="http://schemas.openxmlformats.org/officeDocument/2006/relationships/hyperlink" Target="https://en.wikipedia.org/w/index.php?title=John_Lowe_(Nebraska_Politician)&amp;action=edit&amp;redlink=1" TargetMode="External"/><Relationship Id="rId27" Type="http://schemas.openxmlformats.org/officeDocument/2006/relationships/hyperlink" Target="https://en.wikipedia.org/wiki/Matt_Williams_(Nebraska_politician)" TargetMode="External"/><Relationship Id="rId29" Type="http://schemas.openxmlformats.org/officeDocument/2006/relationships/hyperlink" Target="https://en.wikipedia.org/w/index.php?title=Tom_Briese&amp;action=edit&amp;redlink=1" TargetMode="External"/><Relationship Id="rId11" Type="http://schemas.openxmlformats.org/officeDocument/2006/relationships/hyperlink" Target="https://en.wikipedia.org/w/index.php?title=Joni_Albrecht&amp;action=edit&amp;redlink=1" TargetMode="External"/><Relationship Id="rId10" Type="http://schemas.openxmlformats.org/officeDocument/2006/relationships/hyperlink" Target="https://en.wikipedia.org/wiki/Lynne_Walz" TargetMode="External"/><Relationship Id="rId13" Type="http://schemas.openxmlformats.org/officeDocument/2006/relationships/hyperlink" Target="https://en.wikipedia.org/wiki/Jim_Scheer" TargetMode="External"/><Relationship Id="rId12" Type="http://schemas.openxmlformats.org/officeDocument/2006/relationships/hyperlink" Target="https://en.wikipedia.org/wiki/Brett_Lindstrom" TargetMode="External"/><Relationship Id="rId15" Type="http://schemas.openxmlformats.org/officeDocument/2006/relationships/hyperlink" Target="https://en.wikipedia.org/w/index.php?title=Mike_Hilgers&amp;action=edit&amp;redlink=1" TargetMode="External"/><Relationship Id="rId14" Type="http://schemas.openxmlformats.org/officeDocument/2006/relationships/hyperlink" Target="https://en.wikipedia.org/wiki/John_S._McCollister" TargetMode="External"/><Relationship Id="rId17" Type="http://schemas.openxmlformats.org/officeDocument/2006/relationships/hyperlink" Target="https://en.wikipedia.org/wiki/Mark_Kolterman" TargetMode="External"/><Relationship Id="rId16" Type="http://schemas.openxmlformats.org/officeDocument/2006/relationships/hyperlink" Target="https://en.wikipedia.org/w/index.php?title=Bruce_Bostelman&amp;action=edit&amp;redlink=1" TargetMode="External"/><Relationship Id="rId19" Type="http://schemas.openxmlformats.org/officeDocument/2006/relationships/hyperlink" Target="https://en.wikipedia.org/wiki/Matt_Hansen_(Nebraska_politician)" TargetMode="External"/><Relationship Id="rId18" Type="http://schemas.openxmlformats.org/officeDocument/2006/relationships/hyperlink" Target="https://en.wikipedia.org/wiki/Suzanne_Geist"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en.wikipedia.org/wiki/Daniele_Monroe-Moreno" TargetMode="External"/><Relationship Id="rId2" Type="http://schemas.openxmlformats.org/officeDocument/2006/relationships/hyperlink" Target="https://en.wikipedia.org/wiki/North_Las_Vegas,_Nevada" TargetMode="External"/><Relationship Id="rId3" Type="http://schemas.openxmlformats.org/officeDocument/2006/relationships/hyperlink" Target="https://en.wikipedia.org/wiki/John_Hambrick_(politician)" TargetMode="External"/><Relationship Id="rId4" Type="http://schemas.openxmlformats.org/officeDocument/2006/relationships/hyperlink" Target="https://en.wikipedia.org/wiki/Las_Vegas,_Nevada" TargetMode="External"/><Relationship Id="rId9" Type="http://schemas.openxmlformats.org/officeDocument/2006/relationships/hyperlink" Target="https://en.wikipedia.org/wiki/Jason_Frierson" TargetMode="External"/><Relationship Id="rId5" Type="http://schemas.openxmlformats.org/officeDocument/2006/relationships/hyperlink" Target="https://en.wikipedia.org/wiki/Las_Vegas,_Nevada" TargetMode="External"/><Relationship Id="rId6" Type="http://schemas.openxmlformats.org/officeDocument/2006/relationships/hyperlink" Target="https://en.wikipedia.org/wiki/Brittney_Miller" TargetMode="External"/><Relationship Id="rId7" Type="http://schemas.openxmlformats.org/officeDocument/2006/relationships/hyperlink" Target="https://en.wikipedia.org/wiki/William_McCurdy" TargetMode="External"/><Relationship Id="rId8" Type="http://schemas.openxmlformats.org/officeDocument/2006/relationships/hyperlink" Target="https://en.wikipedia.org/wiki/Dina_Neal" TargetMode="External"/><Relationship Id="rId40" Type="http://schemas.openxmlformats.org/officeDocument/2006/relationships/hyperlink" Target="https://en.wikipedia.org/wiki/John_Ellison_(politician)" TargetMode="External"/><Relationship Id="rId42" Type="http://schemas.openxmlformats.org/officeDocument/2006/relationships/hyperlink" Target="https://en.wikipedia.org/wiki/Shannon_Bilbray-Axelrod" TargetMode="External"/><Relationship Id="rId41" Type="http://schemas.openxmlformats.org/officeDocument/2006/relationships/hyperlink" Target="https://en.wikipedia.org/wiki/Elko,_Nevada" TargetMode="External"/><Relationship Id="rId44" Type="http://schemas.openxmlformats.org/officeDocument/2006/relationships/hyperlink" Target="https://en.wikipedia.org/wiki/Robin_L._Titus" TargetMode="External"/><Relationship Id="rId43" Type="http://schemas.openxmlformats.org/officeDocument/2006/relationships/hyperlink" Target="https://en.wikipedia.org/wiki/Pahrump,_Nevada" TargetMode="External"/><Relationship Id="rId46" Type="http://schemas.openxmlformats.org/officeDocument/2006/relationships/hyperlink" Target="https://en.wikipedia.org/wiki/Jim_Wheeler" TargetMode="External"/><Relationship Id="rId45" Type="http://schemas.openxmlformats.org/officeDocument/2006/relationships/hyperlink" Target="https://en.wikipedia.org/wiki/Wellington,_Nevada" TargetMode="External"/><Relationship Id="rId48" Type="http://schemas.openxmlformats.org/officeDocument/2006/relationships/hyperlink" Target="https://en.wikipedia.org/wiki/Al_Kramer" TargetMode="External"/><Relationship Id="rId47" Type="http://schemas.openxmlformats.org/officeDocument/2006/relationships/hyperlink" Target="https://en.wikipedia.org/wiki/Minden,_Nevada" TargetMode="External"/><Relationship Id="rId49" Type="http://schemas.openxmlformats.org/officeDocument/2006/relationships/hyperlink" Target="https://en.wikipedia.org/wiki/Carson_City,_Nevada" TargetMode="External"/><Relationship Id="rId31" Type="http://schemas.openxmlformats.org/officeDocument/2006/relationships/hyperlink" Target="https://en.wikipedia.org/wiki/Teresa_Benitez-Thompson" TargetMode="External"/><Relationship Id="rId30" Type="http://schemas.openxmlformats.org/officeDocument/2006/relationships/hyperlink" Target="https://en.wikipedia.org/wiki/Lisa_Krasner" TargetMode="External"/><Relationship Id="rId33" Type="http://schemas.openxmlformats.org/officeDocument/2006/relationships/hyperlink" Target="https://en.wikipedia.org/wiki/Edgar_Flores_(politician)" TargetMode="External"/><Relationship Id="rId32" Type="http://schemas.openxmlformats.org/officeDocument/2006/relationships/hyperlink" Target="https://en.wikipedia.org/wiki/Reno,_Nevada" TargetMode="External"/><Relationship Id="rId35" Type="http://schemas.openxmlformats.org/officeDocument/2006/relationships/hyperlink" Target="https://en.wikipedia.org/wiki/Lesley_Cohen" TargetMode="External"/><Relationship Id="rId34" Type="http://schemas.openxmlformats.org/officeDocument/2006/relationships/hyperlink" Target="https://en.wikipedia.org/wiki/Las_Vegas,_Nevada" TargetMode="External"/><Relationship Id="rId37" Type="http://schemas.openxmlformats.org/officeDocument/2006/relationships/hyperlink" Target="https://en.wikipedia.org/wiki/Sparks,_Nevada" TargetMode="External"/><Relationship Id="rId36" Type="http://schemas.openxmlformats.org/officeDocument/2006/relationships/hyperlink" Target="https://en.wikipedia.org/wiki/Michael_Sprinkle" TargetMode="External"/><Relationship Id="rId39" Type="http://schemas.openxmlformats.org/officeDocument/2006/relationships/hyperlink" Target="https://en.wikipedia.org/wiki/Sparks,_Nevada" TargetMode="External"/><Relationship Id="rId38" Type="http://schemas.openxmlformats.org/officeDocument/2006/relationships/hyperlink" Target="https://en.wikipedia.org/wiki/Skip_Daly" TargetMode="External"/><Relationship Id="rId20" Type="http://schemas.openxmlformats.org/officeDocument/2006/relationships/hyperlink" Target="https://en.wikipedia.org/wiki/Richard_Carrillo" TargetMode="External"/><Relationship Id="rId22" Type="http://schemas.openxmlformats.org/officeDocument/2006/relationships/hyperlink" Target="https://en.wikipedia.org/wiki/Chris_Edwards_(Nevada_politician)" TargetMode="External"/><Relationship Id="rId21" Type="http://schemas.openxmlformats.org/officeDocument/2006/relationships/hyperlink" Target="https://en.wikipedia.org/wiki/Whitney,_Nevada" TargetMode="External"/><Relationship Id="rId24" Type="http://schemas.openxmlformats.org/officeDocument/2006/relationships/hyperlink" Target="https://en.wikipedia.org/wiki/Ellen_Spiegel" TargetMode="External"/><Relationship Id="rId23" Type="http://schemas.openxmlformats.org/officeDocument/2006/relationships/hyperlink" Target="https://en.wikipedia.org/wiki/Sunrise_Manor,_Nevada" TargetMode="External"/><Relationship Id="rId26" Type="http://schemas.openxmlformats.org/officeDocument/2006/relationships/hyperlink" Target="https://en.wikipedia.org/wiki/Ozzie_Fumo" TargetMode="External"/><Relationship Id="rId25" Type="http://schemas.openxmlformats.org/officeDocument/2006/relationships/hyperlink" Target="https://en.wikipedia.org/wiki/Henderson,_Nevada" TargetMode="External"/><Relationship Id="rId28" Type="http://schemas.openxmlformats.org/officeDocument/2006/relationships/hyperlink" Target="https://en.wikipedia.org/wiki/Reno,_Nevada" TargetMode="External"/><Relationship Id="rId27" Type="http://schemas.openxmlformats.org/officeDocument/2006/relationships/hyperlink" Target="https://en.wikipedia.org/wiki/Henderson,_Nevada" TargetMode="External"/><Relationship Id="rId29" Type="http://schemas.openxmlformats.org/officeDocument/2006/relationships/hyperlink" Target="https://en.wikipedia.org/wiki/Jill_Tolles" TargetMode="External"/><Relationship Id="rId11" Type="http://schemas.openxmlformats.org/officeDocument/2006/relationships/hyperlink" Target="https://en.wikipedia.org/wiki/North_Las_Vegas,_Nevada" TargetMode="External"/><Relationship Id="rId10" Type="http://schemas.openxmlformats.org/officeDocument/2006/relationships/hyperlink" Target="https://en.wikipedia.org/wiki/Steve_Yeager_(politician)" TargetMode="External"/><Relationship Id="rId13" Type="http://schemas.openxmlformats.org/officeDocument/2006/relationships/hyperlink" Target="https://en.wikipedia.org/wiki/Maggie_Carlton" TargetMode="External"/><Relationship Id="rId12" Type="http://schemas.openxmlformats.org/officeDocument/2006/relationships/hyperlink" Target="https://en.wikipedia.org/wiki/Sunrise_Manor,_Nevada" TargetMode="External"/><Relationship Id="rId15" Type="http://schemas.openxmlformats.org/officeDocument/2006/relationships/hyperlink" Target="https://en.wikipedia.org/wiki/Winchester,_Nevada" TargetMode="External"/><Relationship Id="rId14" Type="http://schemas.openxmlformats.org/officeDocument/2006/relationships/hyperlink" Target="https://en.wikipedia.org/wiki/Sunrise_Manor,_Nevada" TargetMode="External"/><Relationship Id="rId17" Type="http://schemas.openxmlformats.org/officeDocument/2006/relationships/hyperlink" Target="https://en.wikipedia.org/wiki/Las_Vegas" TargetMode="External"/><Relationship Id="rId16" Type="http://schemas.openxmlformats.org/officeDocument/2006/relationships/hyperlink" Target="https://en.wikipedia.org/wiki/Heidi_Swank" TargetMode="External"/><Relationship Id="rId19" Type="http://schemas.openxmlformats.org/officeDocument/2006/relationships/hyperlink" Target="https://en.wikipedia.org/wiki/North_Las_Vegas,_Nevada" TargetMode="External"/><Relationship Id="rId18" Type="http://schemas.openxmlformats.org/officeDocument/2006/relationships/hyperlink" Target="https://en.wikipedia.org/wiki/Tyrone_Thompson_(politician)" TargetMode="External"/><Relationship Id="rId84" Type="http://schemas.openxmlformats.org/officeDocument/2006/relationships/hyperlink" Target="https://en.wikipedia.org/wiki/Eureka,_Nevada" TargetMode="External"/><Relationship Id="rId83" Type="http://schemas.openxmlformats.org/officeDocument/2006/relationships/hyperlink" Target="https://en.wikipedia.org/wiki/Pete_Goicoechea" TargetMode="External"/><Relationship Id="rId86" Type="http://schemas.openxmlformats.org/officeDocument/2006/relationships/drawing" Target="../drawings/drawing29.xml"/><Relationship Id="rId85" Type="http://schemas.openxmlformats.org/officeDocument/2006/relationships/hyperlink" Target="https://en.wikipedia.org/wiki/Las_Vegas" TargetMode="External"/><Relationship Id="rId80" Type="http://schemas.openxmlformats.org/officeDocument/2006/relationships/hyperlink" Target="https://en.wikipedia.org/wiki/Minden,_Nevada" TargetMode="External"/><Relationship Id="rId82" Type="http://schemas.openxmlformats.org/officeDocument/2006/relationships/hyperlink" Target="https://en.wikipedia.org/wiki/Las_Vegas" TargetMode="External"/><Relationship Id="rId81" Type="http://schemas.openxmlformats.org/officeDocument/2006/relationships/hyperlink" Target="https://en.wikipedia.org/wiki/Scott_Hammond_(politician)" TargetMode="External"/><Relationship Id="rId73" Type="http://schemas.openxmlformats.org/officeDocument/2006/relationships/hyperlink" Target="https://en.wikipedia.org/wiki/Sparks,_Nevada" TargetMode="External"/><Relationship Id="rId72" Type="http://schemas.openxmlformats.org/officeDocument/2006/relationships/hyperlink" Target="https://en.wikipedia.org/wiki/Julia_Ratti" TargetMode="External"/><Relationship Id="rId75" Type="http://schemas.openxmlformats.org/officeDocument/2006/relationships/hyperlink" Target="https://en.wikipedia.org/wiki/Heidi_Gansert" TargetMode="External"/><Relationship Id="rId74" Type="http://schemas.openxmlformats.org/officeDocument/2006/relationships/hyperlink" Target="https://en.wikipedia.org/wiki/Sparks,_Nevada" TargetMode="External"/><Relationship Id="rId77" Type="http://schemas.openxmlformats.org/officeDocument/2006/relationships/hyperlink" Target="https://en.wikipedia.org/wiki/Ben_Kieckhefer" TargetMode="External"/><Relationship Id="rId76" Type="http://schemas.openxmlformats.org/officeDocument/2006/relationships/hyperlink" Target="https://en.wikipedia.org/wiki/Reno,_Nevada" TargetMode="External"/><Relationship Id="rId79" Type="http://schemas.openxmlformats.org/officeDocument/2006/relationships/hyperlink" Target="https://en.wikipedia.org/wiki/James_Settelmeyer" TargetMode="External"/><Relationship Id="rId78" Type="http://schemas.openxmlformats.org/officeDocument/2006/relationships/hyperlink" Target="https://en.wikipedia.org/wiki/Reno" TargetMode="External"/><Relationship Id="rId71" Type="http://schemas.openxmlformats.org/officeDocument/2006/relationships/hyperlink" Target="https://en.wikipedia.org/wiki/Boulder_City,_Nevada" TargetMode="External"/><Relationship Id="rId70" Type="http://schemas.openxmlformats.org/officeDocument/2006/relationships/hyperlink" Target="https://en.wikipedia.org/wiki/Joe_Hardy_(politician)" TargetMode="External"/><Relationship Id="rId62" Type="http://schemas.openxmlformats.org/officeDocument/2006/relationships/hyperlink" Target="https://en.wikipedia.org/wiki/Henderson,_Nevada" TargetMode="External"/><Relationship Id="rId61" Type="http://schemas.openxmlformats.org/officeDocument/2006/relationships/hyperlink" Target="https://en.wikipedia.org/wiki/Joyce_Woodhouse" TargetMode="External"/><Relationship Id="rId64" Type="http://schemas.openxmlformats.org/officeDocument/2006/relationships/hyperlink" Target="https://en.wikipedia.org/wiki/Las_Vegas" TargetMode="External"/><Relationship Id="rId63" Type="http://schemas.openxmlformats.org/officeDocument/2006/relationships/hyperlink" Target="https://en.wikipedia.org/wiki/Nicole_Cannizzaro" TargetMode="External"/><Relationship Id="rId66" Type="http://schemas.openxmlformats.org/officeDocument/2006/relationships/hyperlink" Target="https://en.wikipedia.org/wiki/Las_Vegas" TargetMode="External"/><Relationship Id="rId65" Type="http://schemas.openxmlformats.org/officeDocument/2006/relationships/hyperlink" Target="https://en.wikipedia.org/wiki/David_Parks_(politician)" TargetMode="External"/><Relationship Id="rId68" Type="http://schemas.openxmlformats.org/officeDocument/2006/relationships/hyperlink" Target="https://en.wikipedia.org/wiki/Yvanna_Cancela" TargetMode="External"/><Relationship Id="rId67" Type="http://schemas.openxmlformats.org/officeDocument/2006/relationships/hyperlink" Target="https://en.wikipedia.org/wiki/Las_Vegas" TargetMode="External"/><Relationship Id="rId60" Type="http://schemas.openxmlformats.org/officeDocument/2006/relationships/hyperlink" Target="https://en.wikipedia.org/wiki/North_Las_Vegas" TargetMode="External"/><Relationship Id="rId69" Type="http://schemas.openxmlformats.org/officeDocument/2006/relationships/hyperlink" Target="https://en.wikipedia.org/wiki/Las_Vegas" TargetMode="External"/><Relationship Id="rId51" Type="http://schemas.openxmlformats.org/officeDocument/2006/relationships/hyperlink" Target="https://en.wikipedia.org/wiki/Spring_Valley,_Nevada" TargetMode="External"/><Relationship Id="rId50" Type="http://schemas.openxmlformats.org/officeDocument/2006/relationships/hyperlink" Target="https://en.wikipedia.org/wiki/Sandra_Jauregui" TargetMode="External"/><Relationship Id="rId53" Type="http://schemas.openxmlformats.org/officeDocument/2006/relationships/hyperlink" Target="https://en.wikipedia.org/wiki/Pat_Spearman" TargetMode="External"/><Relationship Id="rId52" Type="http://schemas.openxmlformats.org/officeDocument/2006/relationships/hyperlink" Target="https://en.wikipedia.org/wiki/Nevada_Senate,_District_1" TargetMode="External"/><Relationship Id="rId55" Type="http://schemas.openxmlformats.org/officeDocument/2006/relationships/hyperlink" Target="https://en.wikipedia.org/wiki/Nevada_Senate,_District_2" TargetMode="External"/><Relationship Id="rId54" Type="http://schemas.openxmlformats.org/officeDocument/2006/relationships/hyperlink" Target="https://en.wikipedia.org/wiki/North_Las_Vegas,_Nevada" TargetMode="External"/><Relationship Id="rId57" Type="http://schemas.openxmlformats.org/officeDocument/2006/relationships/hyperlink" Target="https://en.wikipedia.org/wiki/Las_Vegas,_Nevada" TargetMode="External"/><Relationship Id="rId56" Type="http://schemas.openxmlformats.org/officeDocument/2006/relationships/hyperlink" Target="https://en.wikipedia.org/wiki/Mo_Denis" TargetMode="External"/><Relationship Id="rId59" Type="http://schemas.openxmlformats.org/officeDocument/2006/relationships/hyperlink" Target="https://en.wikipedia.org/wiki/Kelvin_Atkinson" TargetMode="External"/><Relationship Id="rId58" Type="http://schemas.openxmlformats.org/officeDocument/2006/relationships/hyperlink" Target="https://en.wikipedia.org/wiki/Las_Vegas"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en.wikipedia.org/wiki/Jeff_Woodburn" TargetMode="External"/><Relationship Id="rId2" Type="http://schemas.openxmlformats.org/officeDocument/2006/relationships/hyperlink" Target="https://en.wikipedia.org/wiki/Bob_Giuda" TargetMode="External"/><Relationship Id="rId3" Type="http://schemas.openxmlformats.org/officeDocument/2006/relationships/hyperlink" Target="https://en.wikipedia.org/wiki/Jeb_Bradley" TargetMode="External"/><Relationship Id="rId4" Type="http://schemas.openxmlformats.org/officeDocument/2006/relationships/hyperlink" Target="https://en.wikipedia.org/wiki/New_Hampshire%27s_4th_State_Senate_District" TargetMode="External"/><Relationship Id="rId9" Type="http://schemas.openxmlformats.org/officeDocument/2006/relationships/hyperlink" Target="https://en.wikipedia.org/wiki/Kevin_Avard" TargetMode="External"/><Relationship Id="rId5" Type="http://schemas.openxmlformats.org/officeDocument/2006/relationships/hyperlink" Target="https://en.wikipedia.org/wiki/New_Hampshire%27s_5th_State_Senate_District" TargetMode="External"/><Relationship Id="rId6" Type="http://schemas.openxmlformats.org/officeDocument/2006/relationships/hyperlink" Target="https://en.wikipedia.org/wiki/Harold_F._French" TargetMode="External"/><Relationship Id="rId7" Type="http://schemas.openxmlformats.org/officeDocument/2006/relationships/hyperlink" Target="https://en.wikipedia.org/wiki/Andy_Sanborn" TargetMode="External"/><Relationship Id="rId8" Type="http://schemas.openxmlformats.org/officeDocument/2006/relationships/hyperlink" Target="https://en.wikipedia.org/wiki/Jay_Kahn" TargetMode="External"/><Relationship Id="rId20" Type="http://schemas.openxmlformats.org/officeDocument/2006/relationships/drawing" Target="../drawings/drawing30.xml"/><Relationship Id="rId11" Type="http://schemas.openxmlformats.org/officeDocument/2006/relationships/hyperlink" Target="https://en.wikipedia.org/wiki/Sharon_Carson" TargetMode="External"/><Relationship Id="rId10" Type="http://schemas.openxmlformats.org/officeDocument/2006/relationships/hyperlink" Target="https://en.wikipedia.org/wiki/Bette_Lasky" TargetMode="External"/><Relationship Id="rId13" Type="http://schemas.openxmlformats.org/officeDocument/2006/relationships/hyperlink" Target="https://en.wikipedia.org/wiki/Donna_Soucy" TargetMode="External"/><Relationship Id="rId12" Type="http://schemas.openxmlformats.org/officeDocument/2006/relationships/hyperlink" Target="https://en.wikipedia.org/wiki/Dan_Feltes" TargetMode="External"/><Relationship Id="rId15" Type="http://schemas.openxmlformats.org/officeDocument/2006/relationships/hyperlink" Target="https://en.wikipedia.org/wiki/Martha_Fuller_Clark" TargetMode="External"/><Relationship Id="rId14" Type="http://schemas.openxmlformats.org/officeDocument/2006/relationships/hyperlink" Target="https://en.wikipedia.org/wiki/Lou_D%27Allesandro" TargetMode="External"/><Relationship Id="rId17" Type="http://schemas.openxmlformats.org/officeDocument/2006/relationships/hyperlink" Target="https://en.wikipedia.org/wiki/New_Hampshire%27s_23rd_State_Senate_District" TargetMode="External"/><Relationship Id="rId16" Type="http://schemas.openxmlformats.org/officeDocument/2006/relationships/hyperlink" Target="https://en.wikipedia.org/wiki/Chuck_Morse" TargetMode="External"/><Relationship Id="rId19" Type="http://schemas.openxmlformats.org/officeDocument/2006/relationships/hyperlink" Target="https://en.wikipedia.org/wiki/Daniel_Innis" TargetMode="External"/><Relationship Id="rId18" Type="http://schemas.openxmlformats.org/officeDocument/2006/relationships/hyperlink" Target="https://en.wikipedia.org/wiki/Bill_Gannon_(New_Hampshire_politician)"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en.wikipedia.org/wiki/Rod_Montoya" TargetMode="External"/><Relationship Id="rId3" Type="http://schemas.openxmlformats.org/officeDocument/2006/relationships/hyperlink" Target="https://en.wikipedia.org/wiki/James_Strickler" TargetMode="External"/><Relationship Id="rId4" Type="http://schemas.openxmlformats.org/officeDocument/2006/relationships/hyperlink" Target="https://en.wikipedia.org/wiki/Paul_Bandy" TargetMode="External"/><Relationship Id="rId9" Type="http://schemas.openxmlformats.org/officeDocument/2006/relationships/hyperlink" Target="https://en.wikipedia.org/wiki/Alonzo_Baldonado" TargetMode="External"/><Relationship Id="rId5" Type="http://schemas.openxmlformats.org/officeDocument/2006/relationships/hyperlink" Target="https://en.wikipedia.org/wiki/Sharon_Clahchischilliage" TargetMode="External"/><Relationship Id="rId6" Type="http://schemas.openxmlformats.org/officeDocument/2006/relationships/hyperlink" Target="https://en.wikipedia.org/wiki/Doreen_Wonda_Johnson" TargetMode="External"/><Relationship Id="rId7" Type="http://schemas.openxmlformats.org/officeDocument/2006/relationships/hyperlink" Target="https://en.wikipedia.org/wiki/Eliseo_Alcon" TargetMode="External"/><Relationship Id="rId8" Type="http://schemas.openxmlformats.org/officeDocument/2006/relationships/hyperlink" Target="https://en.wikipedia.org/wiki/Kelly_Fajardo" TargetMode="External"/><Relationship Id="rId40" Type="http://schemas.openxmlformats.org/officeDocument/2006/relationships/hyperlink" Target="https://en.wikipedia.org/wiki/Bob_Wooley" TargetMode="External"/><Relationship Id="rId42" Type="http://schemas.openxmlformats.org/officeDocument/2006/relationships/hyperlink" Target="https://en.wikipedia.org/wiki/Monica_Youngblood" TargetMode="External"/><Relationship Id="rId41" Type="http://schemas.openxmlformats.org/officeDocument/2006/relationships/hyperlink" Target="https://en.wikipedia.org/wiki/Dennis_Roch" TargetMode="External"/><Relationship Id="rId44" Type="http://schemas.openxmlformats.org/officeDocument/2006/relationships/hyperlink" Target="https://en.wikipedia.org/wiki/John_Pinto" TargetMode="External"/><Relationship Id="rId43" Type="http://schemas.openxmlformats.org/officeDocument/2006/relationships/hyperlink" Target="https://en.wikipedia.org/wiki/Steven_Neville" TargetMode="External"/><Relationship Id="rId46" Type="http://schemas.openxmlformats.org/officeDocument/2006/relationships/hyperlink" Target="https://en.wikipedia.org/wiki/Richard_Martinez_(politician)" TargetMode="External"/><Relationship Id="rId45" Type="http://schemas.openxmlformats.org/officeDocument/2006/relationships/hyperlink" Target="https://en.wikipedia.org/wiki/George_Mu%C3%B1oz_(politician)" TargetMode="External"/><Relationship Id="rId48" Type="http://schemas.openxmlformats.org/officeDocument/2006/relationships/hyperlink" Target="https://en.wikipedia.org/wiki/Pat_Woods_(politician)" TargetMode="External"/><Relationship Id="rId47" Type="http://schemas.openxmlformats.org/officeDocument/2006/relationships/hyperlink" Target="https://en.wikipedia.org/wiki/Carlos_Cisneros" TargetMode="External"/><Relationship Id="rId49" Type="http://schemas.openxmlformats.org/officeDocument/2006/relationships/hyperlink" Target="https://en.wikipedia.org/wiki/Pete_Campos" TargetMode="External"/><Relationship Id="rId31" Type="http://schemas.openxmlformats.org/officeDocument/2006/relationships/hyperlink" Target="https://en.wikipedia.org/wiki/Yvette_Herrell" TargetMode="External"/><Relationship Id="rId30" Type="http://schemas.openxmlformats.org/officeDocument/2006/relationships/hyperlink" Target="https://en.wikipedia.org/wiki/Brian_Egolf" TargetMode="External"/><Relationship Id="rId33" Type="http://schemas.openxmlformats.org/officeDocument/2006/relationships/hyperlink" Target="https://en.wikipedia.org/wiki/Cathrynn_Brown" TargetMode="External"/><Relationship Id="rId32" Type="http://schemas.openxmlformats.org/officeDocument/2006/relationships/hyperlink" Target="https://en.wikipedia.org/wiki/Doreen_Gallegos" TargetMode="External"/><Relationship Id="rId35" Type="http://schemas.openxmlformats.org/officeDocument/2006/relationships/hyperlink" Target="https://en.wikipedia.org/wiki/Jason_Harper" TargetMode="External"/><Relationship Id="rId34" Type="http://schemas.openxmlformats.org/officeDocument/2006/relationships/hyperlink" Target="https://en.wikipedia.org/wiki/Zachary_Cook" TargetMode="External"/><Relationship Id="rId37" Type="http://schemas.openxmlformats.org/officeDocument/2006/relationships/hyperlink" Target="https://en.wikipedia.org/wiki/Tim_Lewis_(politician)" TargetMode="External"/><Relationship Id="rId36" Type="http://schemas.openxmlformats.org/officeDocument/2006/relationships/hyperlink" Target="https://en.wikipedia.org/wiki/Candy_Ezzell" TargetMode="External"/><Relationship Id="rId39" Type="http://schemas.openxmlformats.org/officeDocument/2006/relationships/hyperlink" Target="https://en.wikipedia.org/wiki/George_Dodge" TargetMode="External"/><Relationship Id="rId38" Type="http://schemas.openxmlformats.org/officeDocument/2006/relationships/hyperlink" Target="https://en.wikipedia.org/wiki/David_Gallegos" TargetMode="External"/><Relationship Id="rId20" Type="http://schemas.openxmlformats.org/officeDocument/2006/relationships/hyperlink" Target="https://en.wikipedia.org/wiki/Jimmie_Hall_(politician)" TargetMode="External"/><Relationship Id="rId22" Type="http://schemas.openxmlformats.org/officeDocument/2006/relationships/hyperlink" Target="https://en.wikipedia.org/wiki/Nathan_Small" TargetMode="External"/><Relationship Id="rId21" Type="http://schemas.openxmlformats.org/officeDocument/2006/relationships/hyperlink" Target="https://en.wikipedia.org/wiki/Nate_Gentry" TargetMode="External"/><Relationship Id="rId24" Type="http://schemas.openxmlformats.org/officeDocument/2006/relationships/hyperlink" Target="https://en.wikipedia.org/wiki/Debbie_Rodella" TargetMode="External"/><Relationship Id="rId23" Type="http://schemas.openxmlformats.org/officeDocument/2006/relationships/hyperlink" Target="https://en.wikipedia.org/wiki/Nick_L._Salazar" TargetMode="External"/><Relationship Id="rId26" Type="http://schemas.openxmlformats.org/officeDocument/2006/relationships/hyperlink" Target="https://en.wikipedia.org/wiki/Stephanie_Garcia_Richard" TargetMode="External"/><Relationship Id="rId25" Type="http://schemas.openxmlformats.org/officeDocument/2006/relationships/hyperlink" Target="https://en.wikipedia.org/wiki/Roberto_Gonzales" TargetMode="External"/><Relationship Id="rId28" Type="http://schemas.openxmlformats.org/officeDocument/2006/relationships/hyperlink" Target="https://en.wikipedia.org/wiki/Jim_Trujillo" TargetMode="External"/><Relationship Id="rId27" Type="http://schemas.openxmlformats.org/officeDocument/2006/relationships/hyperlink" Target="https://en.wikipedia.org/wiki/Jane_Powdrell-Culbert" TargetMode="External"/><Relationship Id="rId29" Type="http://schemas.openxmlformats.org/officeDocument/2006/relationships/hyperlink" Target="https://en.wikipedia.org/wiki/Carl_Trujillo" TargetMode="External"/><Relationship Id="rId11" Type="http://schemas.openxmlformats.org/officeDocument/2006/relationships/hyperlink" Target="https://en.wikipedia.org/wiki/Miguel_Garcia_(politician)" TargetMode="External"/><Relationship Id="rId10" Type="http://schemas.openxmlformats.org/officeDocument/2006/relationships/hyperlink" Target="https://en.wikipedia.org/wiki/Patricia_Lundstrom" TargetMode="External"/><Relationship Id="rId13" Type="http://schemas.openxmlformats.org/officeDocument/2006/relationships/hyperlink" Target="https://en.wikipedia.org/wiki/Moe_Maestas" TargetMode="External"/><Relationship Id="rId12" Type="http://schemas.openxmlformats.org/officeDocument/2006/relationships/hyperlink" Target="https://en.wikipedia.org/wiki/Sarah_Maestas_Barnes" TargetMode="External"/><Relationship Id="rId15" Type="http://schemas.openxmlformats.org/officeDocument/2006/relationships/hyperlink" Target="https://en.wikipedia.org/wiki/Sheryl_Williams_Stapleton" TargetMode="External"/><Relationship Id="rId14" Type="http://schemas.openxmlformats.org/officeDocument/2006/relationships/hyperlink" Target="https://en.wikipedia.org/wiki/Gail_Chasey" TargetMode="External"/><Relationship Id="rId17" Type="http://schemas.openxmlformats.org/officeDocument/2006/relationships/hyperlink" Target="https://en.wikipedia.org/wiki/Elizabeth_Thomson" TargetMode="External"/><Relationship Id="rId16" Type="http://schemas.openxmlformats.org/officeDocument/2006/relationships/hyperlink" Target="https://en.wikipedia.org/wiki/New_Mexico_House_of_Representatives" TargetMode="External"/><Relationship Id="rId19" Type="http://schemas.openxmlformats.org/officeDocument/2006/relationships/hyperlink" Target="https://en.wikipedia.org/wiki/Georgene_Louis" TargetMode="External"/><Relationship Id="rId18" Type="http://schemas.openxmlformats.org/officeDocument/2006/relationships/hyperlink" Target="https://en.wikipedia.org/wiki/Christine_Trujillo" TargetMode="External"/><Relationship Id="rId84" Type="http://schemas.openxmlformats.org/officeDocument/2006/relationships/drawing" Target="../drawings/drawing32.xml"/><Relationship Id="rId83" Type="http://schemas.openxmlformats.org/officeDocument/2006/relationships/hyperlink" Target="https://en.wikipedia.org/wiki/Gay_Kernan" TargetMode="External"/><Relationship Id="rId85" Type="http://schemas.openxmlformats.org/officeDocument/2006/relationships/vmlDrawing" Target="../drawings/vmlDrawing5.vml"/><Relationship Id="rId80" Type="http://schemas.openxmlformats.org/officeDocument/2006/relationships/hyperlink" Target="https://en.wikipedia.org/wiki/Elizabeth_Stefanics" TargetMode="External"/><Relationship Id="rId82" Type="http://schemas.openxmlformats.org/officeDocument/2006/relationships/hyperlink" Target="https://en.wikipedia.org/wiki/Carroll_Leavell" TargetMode="External"/><Relationship Id="rId81" Type="http://schemas.openxmlformats.org/officeDocument/2006/relationships/hyperlink" Target="https://en.wikipedia.org/wiki/Craig_Brandt" TargetMode="External"/><Relationship Id="rId73" Type="http://schemas.openxmlformats.org/officeDocument/2006/relationships/hyperlink" Target="https://en.wikipedia.org/wiki/Cliff_Pirtle" TargetMode="External"/><Relationship Id="rId72" Type="http://schemas.openxmlformats.org/officeDocument/2006/relationships/hyperlink" Target="https://en.wikipedia.org/wiki/Joseph_Cervantes" TargetMode="External"/><Relationship Id="rId75" Type="http://schemas.openxmlformats.org/officeDocument/2006/relationships/hyperlink" Target="https://en.wikipedia.org/wiki/Ron_Griggs" TargetMode="External"/><Relationship Id="rId74" Type="http://schemas.openxmlformats.org/officeDocument/2006/relationships/hyperlink" Target="https://en.wikipedia.org/wiki/William_Burt_(politician)" TargetMode="External"/><Relationship Id="rId77" Type="http://schemas.openxmlformats.org/officeDocument/2006/relationships/hyperlink" Target="https://en.wikipedia.org/wiki/Jeff_Steinborn" TargetMode="External"/><Relationship Id="rId76" Type="http://schemas.openxmlformats.org/officeDocument/2006/relationships/hyperlink" Target="https://en.wikipedia.org/wiki/John_Arthur_Smith" TargetMode="External"/><Relationship Id="rId79" Type="http://schemas.openxmlformats.org/officeDocument/2006/relationships/hyperlink" Target="https://en.wikipedia.org/wiki/Mary_Kay_Papen" TargetMode="External"/><Relationship Id="rId78" Type="http://schemas.openxmlformats.org/officeDocument/2006/relationships/hyperlink" Target="https://en.wikipedia.org/wiki/William_Soules" TargetMode="External"/><Relationship Id="rId71" Type="http://schemas.openxmlformats.org/officeDocument/2006/relationships/hyperlink" Target="https://en.wikipedia.org/wiki/Clemente_Sanchez_(politician)" TargetMode="External"/><Relationship Id="rId70" Type="http://schemas.openxmlformats.org/officeDocument/2006/relationships/hyperlink" Target="https://en.wikipedia.org/w/index.php?title=Gregory_Baca&amp;action=edit&amp;redlink=1" TargetMode="External"/><Relationship Id="rId62" Type="http://schemas.openxmlformats.org/officeDocument/2006/relationships/hyperlink" Target="https://en.wikipedia.org/wiki/Mark_Moores" TargetMode="External"/><Relationship Id="rId61" Type="http://schemas.openxmlformats.org/officeDocument/2006/relationships/hyperlink" Target="https://en.wikipedia.org/wiki/William_Payne_(New_Mexico_politician)" TargetMode="External"/><Relationship Id="rId64" Type="http://schemas.openxmlformats.org/officeDocument/2006/relationships/hyperlink" Target="https://en.wikipedia.org/wiki/Sander_Rue" TargetMode="External"/><Relationship Id="rId63" Type="http://schemas.openxmlformats.org/officeDocument/2006/relationships/hyperlink" Target="https://en.wikipedia.org/wiki/Benny_Shendo" TargetMode="External"/><Relationship Id="rId66" Type="http://schemas.openxmlformats.org/officeDocument/2006/relationships/hyperlink" Target="https://en.wikipedia.org/wiki/Peter_Wirth_(politician)" TargetMode="External"/><Relationship Id="rId65" Type="http://schemas.openxmlformats.org/officeDocument/2006/relationships/hyperlink" Target="https://en.wikipedia.org/wiki/Nancy_Rodriguez" TargetMode="External"/><Relationship Id="rId68" Type="http://schemas.openxmlformats.org/officeDocument/2006/relationships/hyperlink" Target="https://en.wikipedia.org/wiki/Stuart_Ingle" TargetMode="External"/><Relationship Id="rId67" Type="http://schemas.openxmlformats.org/officeDocument/2006/relationships/hyperlink" Target="https://en.wikipedia.org/wiki/Jacob_Candelaria" TargetMode="External"/><Relationship Id="rId60" Type="http://schemas.openxmlformats.org/officeDocument/2006/relationships/hyperlink" Target="https://en.wikipedia.org/w/index.php?title=James_P._White&amp;action=edit&amp;redlink=1" TargetMode="External"/><Relationship Id="rId69" Type="http://schemas.openxmlformats.org/officeDocument/2006/relationships/hyperlink" Target="https://en.wikipedia.org/wiki/Howie_Morales" TargetMode="External"/><Relationship Id="rId51" Type="http://schemas.openxmlformats.org/officeDocument/2006/relationships/hyperlink" Target="https://en.wikipedia.org/w/index.php?title=Candace_Gould&amp;action=edit&amp;redlink=1" TargetMode="External"/><Relationship Id="rId50" Type="http://schemas.openxmlformats.org/officeDocument/2006/relationships/hyperlink" Target="https://en.wikipedia.org/wiki/John_Sapien" TargetMode="External"/><Relationship Id="rId53" Type="http://schemas.openxmlformats.org/officeDocument/2006/relationships/hyperlink" Target="https://en.wikipedia.org/wiki/Jerry_Ortiz_y_Pino" TargetMode="External"/><Relationship Id="rId52" Type="http://schemas.openxmlformats.org/officeDocument/2006/relationships/hyperlink" Target="https://en.wikipedia.org/wiki/Linda_M._Lopez" TargetMode="External"/><Relationship Id="rId55" Type="http://schemas.openxmlformats.org/officeDocument/2006/relationships/hyperlink" Target="https://en.wikipedia.org/wiki/Michael_Padilla" TargetMode="External"/><Relationship Id="rId54" Type="http://schemas.openxmlformats.org/officeDocument/2006/relationships/hyperlink" Target="https://en.wikipedia.org/wiki/Bill_O%27Neill_(New_Mexico_politician)" TargetMode="External"/><Relationship Id="rId57" Type="http://schemas.openxmlformats.org/officeDocument/2006/relationships/hyperlink" Target="https://en.wikipedia.org/wiki/Cisco_McSorley" TargetMode="External"/><Relationship Id="rId56" Type="http://schemas.openxmlformats.org/officeDocument/2006/relationships/hyperlink" Target="https://en.wikipedia.org/wiki/Daniel_Ivey-Soto" TargetMode="External"/><Relationship Id="rId59" Type="http://schemas.openxmlformats.org/officeDocument/2006/relationships/hyperlink" Target="https://en.wikipedia.org/w/index.php?title=Bill_Tallman&amp;action=edit&amp;redlink=1" TargetMode="External"/><Relationship Id="rId58" Type="http://schemas.openxmlformats.org/officeDocument/2006/relationships/hyperlink" Target="https://en.wikipedia.org/wiki/Mimi_Stewart" TargetMode="External"/></Relationships>
</file>

<file path=xl/worksheets/_rels/sheet33.xml.rels><?xml version="1.0" encoding="UTF-8" standalone="yes"?><Relationships xmlns="http://schemas.openxmlformats.org/package/2006/relationships"><Relationship Id="rId190" Type="http://schemas.openxmlformats.org/officeDocument/2006/relationships/hyperlink" Target="https://en.wikipedia.org/w/index.php?title=Christopher_Tague&amp;action=edit&amp;redlink=1" TargetMode="External"/><Relationship Id="rId194" Type="http://schemas.openxmlformats.org/officeDocument/2006/relationships/hyperlink" Target="http://www.assembly.state.ny.us/mem/?ad=105&amp;sh=map" TargetMode="External"/><Relationship Id="rId193" Type="http://schemas.openxmlformats.org/officeDocument/2006/relationships/hyperlink" Target="http://www.assembly.state.ny.us/mem/?ad=104&amp;sh=map" TargetMode="External"/><Relationship Id="rId192" Type="http://schemas.openxmlformats.org/officeDocument/2006/relationships/hyperlink" Target="https://en.wikipedia.org/wiki/Kevin_Cahill" TargetMode="External"/><Relationship Id="rId191" Type="http://schemas.openxmlformats.org/officeDocument/2006/relationships/hyperlink" Target="http://www.assembly.state.ny.us/mem/?ad=103&amp;sh=map" TargetMode="External"/><Relationship Id="rId187" Type="http://schemas.openxmlformats.org/officeDocument/2006/relationships/hyperlink" Target="http://www.assembly.state.ny.us/mem/?ad=101&amp;sh=map" TargetMode="External"/><Relationship Id="rId186" Type="http://schemas.openxmlformats.org/officeDocument/2006/relationships/hyperlink" Target="https://en.wikipedia.org/wiki/Aileen_Gunther" TargetMode="External"/><Relationship Id="rId185" Type="http://schemas.openxmlformats.org/officeDocument/2006/relationships/hyperlink" Target="http://www.assembly.state.ny.us/mem/?ad=100&amp;sh=map" TargetMode="External"/><Relationship Id="rId184" Type="http://schemas.openxmlformats.org/officeDocument/2006/relationships/hyperlink" Target="http://www.assembly.state.ny.us/mem/?ad=99&amp;sh=map" TargetMode="External"/><Relationship Id="rId189" Type="http://schemas.openxmlformats.org/officeDocument/2006/relationships/hyperlink" Target="http://www.assembly.state.ny.us/mem/?ad=102&amp;sh=map" TargetMode="External"/><Relationship Id="rId188" Type="http://schemas.openxmlformats.org/officeDocument/2006/relationships/hyperlink" Target="https://en.wikipedia.org/wiki/Brian_Miller_(New_York_politician)" TargetMode="External"/><Relationship Id="rId183" Type="http://schemas.openxmlformats.org/officeDocument/2006/relationships/hyperlink" Target="https://en.wikipedia.org/wiki/Karl_A._Brabenec" TargetMode="External"/><Relationship Id="rId182" Type="http://schemas.openxmlformats.org/officeDocument/2006/relationships/hyperlink" Target="http://www.assembly.state.ny.us/mem/?ad=98&amp;sh=map" TargetMode="External"/><Relationship Id="rId181" Type="http://schemas.openxmlformats.org/officeDocument/2006/relationships/hyperlink" Target="https://en.wikipedia.org/wiki/Ellen_Jaffee" TargetMode="External"/><Relationship Id="rId180" Type="http://schemas.openxmlformats.org/officeDocument/2006/relationships/hyperlink" Target="http://www.assembly.state.ny.us/mem/?ad=97&amp;sh=map" TargetMode="External"/><Relationship Id="rId176" Type="http://schemas.openxmlformats.org/officeDocument/2006/relationships/hyperlink" Target="http://www.assembly.state.ny.us/mem/?ad=95&amp;sh=map" TargetMode="External"/><Relationship Id="rId297" Type="http://schemas.openxmlformats.org/officeDocument/2006/relationships/hyperlink" Target="http://www.nysenate.gov/district/14" TargetMode="External"/><Relationship Id="rId175" Type="http://schemas.openxmlformats.org/officeDocument/2006/relationships/hyperlink" Target="https://en.wikipedia.org/wiki/Kevin_Byrne_(New_York_politician)" TargetMode="External"/><Relationship Id="rId296" Type="http://schemas.openxmlformats.org/officeDocument/2006/relationships/hyperlink" Target="http://www.nysenate.gov/district/13" TargetMode="External"/><Relationship Id="rId174" Type="http://schemas.openxmlformats.org/officeDocument/2006/relationships/hyperlink" Target="http://www.assembly.state.ny.us/mem/?ad=94&amp;sh=map" TargetMode="External"/><Relationship Id="rId295" Type="http://schemas.openxmlformats.org/officeDocument/2006/relationships/hyperlink" Target="https://en.wikipedia.org/wiki/Michael_N._Gianaris" TargetMode="External"/><Relationship Id="rId173" Type="http://schemas.openxmlformats.org/officeDocument/2006/relationships/hyperlink" Target="https://en.wikipedia.org/wiki/David_Buchwald" TargetMode="External"/><Relationship Id="rId294" Type="http://schemas.openxmlformats.org/officeDocument/2006/relationships/hyperlink" Target="http://www.nysenate.gov/district/12" TargetMode="External"/><Relationship Id="rId179" Type="http://schemas.openxmlformats.org/officeDocument/2006/relationships/hyperlink" Target="https://en.wikipedia.org/wiki/Kenneth_Zebrowski,_Jr." TargetMode="External"/><Relationship Id="rId178" Type="http://schemas.openxmlformats.org/officeDocument/2006/relationships/hyperlink" Target="http://www.assembly.state.ny.us/mem/?ad=96&amp;sh=map" TargetMode="External"/><Relationship Id="rId299" Type="http://schemas.openxmlformats.org/officeDocument/2006/relationships/hyperlink" Target="http://www.nysenate.gov/district/15" TargetMode="External"/><Relationship Id="rId177" Type="http://schemas.openxmlformats.org/officeDocument/2006/relationships/hyperlink" Target="https://en.wikipedia.org/wiki/Sandy_Galef" TargetMode="External"/><Relationship Id="rId298" Type="http://schemas.openxmlformats.org/officeDocument/2006/relationships/hyperlink" Target="https://en.wikipedia.org/wiki/Leroy_Comrie" TargetMode="External"/><Relationship Id="rId198" Type="http://schemas.openxmlformats.org/officeDocument/2006/relationships/hyperlink" Target="http://www.assembly.state.ny.us/mem/?ad=107&amp;sh=map" TargetMode="External"/><Relationship Id="rId197" Type="http://schemas.openxmlformats.org/officeDocument/2006/relationships/hyperlink" Target="https://en.wikipedia.org/wiki/Didi_Barrett" TargetMode="External"/><Relationship Id="rId196" Type="http://schemas.openxmlformats.org/officeDocument/2006/relationships/hyperlink" Target="http://www.assembly.state.ny.us/mem/?ad=106&amp;sh=map" TargetMode="External"/><Relationship Id="rId195" Type="http://schemas.openxmlformats.org/officeDocument/2006/relationships/hyperlink" Target="https://en.wikipedia.org/wiki/Kieran_Lalor" TargetMode="External"/><Relationship Id="rId199" Type="http://schemas.openxmlformats.org/officeDocument/2006/relationships/hyperlink" Target="https://en.wikipedia.org/w/index.php?title=Jacob_Ashby&amp;action=edit&amp;redlink=1" TargetMode="External"/><Relationship Id="rId150" Type="http://schemas.openxmlformats.org/officeDocument/2006/relationships/hyperlink" Target="https://en.wikipedia.org/w/index.php?title=Nathalia_Fernandez&amp;action=edit&amp;redlink=1" TargetMode="External"/><Relationship Id="rId271" Type="http://schemas.openxmlformats.org/officeDocument/2006/relationships/hyperlink" Target="http://www.assembly.state.ny.us/mem/?ad=148&amp;sh=map" TargetMode="External"/><Relationship Id="rId270" Type="http://schemas.openxmlformats.org/officeDocument/2006/relationships/hyperlink" Target="https://en.wikipedia.org/wiki/David_DiPietro" TargetMode="External"/><Relationship Id="rId1" Type="http://schemas.openxmlformats.org/officeDocument/2006/relationships/hyperlink" Target="http://www.assembly.state.ny.us/mem/?ad=1&amp;sh=map" TargetMode="External"/><Relationship Id="rId2" Type="http://schemas.openxmlformats.org/officeDocument/2006/relationships/hyperlink" Target="https://en.wikipedia.org/wiki/Fred_Thiele" TargetMode="External"/><Relationship Id="rId3" Type="http://schemas.openxmlformats.org/officeDocument/2006/relationships/hyperlink" Target="http://www.assembly.state.ny.us/mem/?ad=2&amp;sh=map" TargetMode="External"/><Relationship Id="rId149" Type="http://schemas.openxmlformats.org/officeDocument/2006/relationships/hyperlink" Target="http://www.assembly.state.ny.us/mem/?ad=80&amp;sh=map" TargetMode="External"/><Relationship Id="rId4" Type="http://schemas.openxmlformats.org/officeDocument/2006/relationships/hyperlink" Target="https://en.wikipedia.org/wiki/Anthony_Palumbo" TargetMode="External"/><Relationship Id="rId148" Type="http://schemas.openxmlformats.org/officeDocument/2006/relationships/hyperlink" Target="https://en.wikipedia.org/wiki/Michael_Blake_(politician)" TargetMode="External"/><Relationship Id="rId269" Type="http://schemas.openxmlformats.org/officeDocument/2006/relationships/hyperlink" Target="http://www.assembly.state.ny.us/mem/?ad=147&amp;sh=map" TargetMode="External"/><Relationship Id="rId9" Type="http://schemas.openxmlformats.org/officeDocument/2006/relationships/hyperlink" Target="https://en.wikipedia.org/wiki/Douglas_M._Smith" TargetMode="External"/><Relationship Id="rId143" Type="http://schemas.openxmlformats.org/officeDocument/2006/relationships/hyperlink" Target="http://www.assembly.state.ny.us/mem/?ad=77&amp;sh=map" TargetMode="External"/><Relationship Id="rId264" Type="http://schemas.openxmlformats.org/officeDocument/2006/relationships/hyperlink" Target="http://www.assembly.state.ny.us/mem/?ad=144&amp;sh=map" TargetMode="External"/><Relationship Id="rId385" Type="http://schemas.openxmlformats.org/officeDocument/2006/relationships/hyperlink" Target="http://www.nysenate.gov/district/63" TargetMode="External"/><Relationship Id="rId142" Type="http://schemas.openxmlformats.org/officeDocument/2006/relationships/hyperlink" Target="https://en.wikipedia.org/wiki/Rebecca_Seawright" TargetMode="External"/><Relationship Id="rId263" Type="http://schemas.openxmlformats.org/officeDocument/2006/relationships/hyperlink" Target="https://en.wikipedia.org/wiki/Monica_P._Wallace" TargetMode="External"/><Relationship Id="rId384" Type="http://schemas.openxmlformats.org/officeDocument/2006/relationships/hyperlink" Target="https://en.wikipedia.org/wiki/Robert_G._Ortt" TargetMode="External"/><Relationship Id="rId141" Type="http://schemas.openxmlformats.org/officeDocument/2006/relationships/hyperlink" Target="http://www.assembly.state.ny.us/mem/?ad=76&amp;sh=map" TargetMode="External"/><Relationship Id="rId262" Type="http://schemas.openxmlformats.org/officeDocument/2006/relationships/hyperlink" Target="http://www.assembly.state.ny.us/mem/?ad=143&amp;sh=map" TargetMode="External"/><Relationship Id="rId383" Type="http://schemas.openxmlformats.org/officeDocument/2006/relationships/hyperlink" Target="http://www.nysenate.gov/district/62" TargetMode="External"/><Relationship Id="rId140" Type="http://schemas.openxmlformats.org/officeDocument/2006/relationships/hyperlink" Target="https://en.wikipedia.org/wiki/Richard_Gottfried" TargetMode="External"/><Relationship Id="rId261" Type="http://schemas.openxmlformats.org/officeDocument/2006/relationships/hyperlink" Target="http://www.assembly.state.ny.us/mem/?ad=142&amp;sh=map" TargetMode="External"/><Relationship Id="rId382" Type="http://schemas.openxmlformats.org/officeDocument/2006/relationships/hyperlink" Target="https://en.wikipedia.org/wiki/Michael_H._Ranzenhofer" TargetMode="External"/><Relationship Id="rId5" Type="http://schemas.openxmlformats.org/officeDocument/2006/relationships/hyperlink" Target="http://www.assembly.state.ny.us/mem/?ad=3&amp;sh=map" TargetMode="External"/><Relationship Id="rId147" Type="http://schemas.openxmlformats.org/officeDocument/2006/relationships/hyperlink" Target="http://www.assembly.state.ny.us/mem/?ad=79&amp;sh=map" TargetMode="External"/><Relationship Id="rId268" Type="http://schemas.openxmlformats.org/officeDocument/2006/relationships/hyperlink" Target="http://www.assembly.state.ny.us/mem/?ad=146&amp;sh=map" TargetMode="External"/><Relationship Id="rId6" Type="http://schemas.openxmlformats.org/officeDocument/2006/relationships/hyperlink" Target="http://www.assembly.state.ny.us/mem/?ad=4&amp;sh=map" TargetMode="External"/><Relationship Id="rId146" Type="http://schemas.openxmlformats.org/officeDocument/2006/relationships/hyperlink" Target="https://en.wikipedia.org/wiki/Jose_Rivera_(politician)" TargetMode="External"/><Relationship Id="rId267" Type="http://schemas.openxmlformats.org/officeDocument/2006/relationships/hyperlink" Target="https://en.wikipedia.org/wiki/Angelo_Morinello" TargetMode="External"/><Relationship Id="rId7" Type="http://schemas.openxmlformats.org/officeDocument/2006/relationships/hyperlink" Target="https://en.wikipedia.org/wiki/Steven_Englebright" TargetMode="External"/><Relationship Id="rId145" Type="http://schemas.openxmlformats.org/officeDocument/2006/relationships/hyperlink" Target="http://www.assembly.state.ny.us/mem/?ad=78&amp;sh=map" TargetMode="External"/><Relationship Id="rId266" Type="http://schemas.openxmlformats.org/officeDocument/2006/relationships/hyperlink" Target="http://www.assembly.state.ny.us/mem/?ad=145&amp;sh=map" TargetMode="External"/><Relationship Id="rId387" Type="http://schemas.openxmlformats.org/officeDocument/2006/relationships/drawing" Target="../drawings/drawing33.xml"/><Relationship Id="rId8" Type="http://schemas.openxmlformats.org/officeDocument/2006/relationships/hyperlink" Target="http://www.assembly.state.ny.us/mem/?ad=5&amp;sh=map" TargetMode="External"/><Relationship Id="rId144" Type="http://schemas.openxmlformats.org/officeDocument/2006/relationships/hyperlink" Target="https://en.wikipedia.org/wiki/Latoya_Joyner" TargetMode="External"/><Relationship Id="rId265" Type="http://schemas.openxmlformats.org/officeDocument/2006/relationships/hyperlink" Target="https://en.wikipedia.org/wiki/Michael_Norris_(New_York_politician)" TargetMode="External"/><Relationship Id="rId386" Type="http://schemas.openxmlformats.org/officeDocument/2006/relationships/hyperlink" Target="https://en.wikipedia.org/wiki/Timothy_M._Kennedy_(politician)" TargetMode="External"/><Relationship Id="rId260" Type="http://schemas.openxmlformats.org/officeDocument/2006/relationships/hyperlink" Target="https://en.wikipedia.org/wiki/Crystal_Peoples" TargetMode="External"/><Relationship Id="rId381" Type="http://schemas.openxmlformats.org/officeDocument/2006/relationships/hyperlink" Target="http://www.nysenate.gov/district/61" TargetMode="External"/><Relationship Id="rId380" Type="http://schemas.openxmlformats.org/officeDocument/2006/relationships/hyperlink" Target="https://en.wikipedia.org/wiki/Chris_Jacobs_(politician)" TargetMode="External"/><Relationship Id="rId139" Type="http://schemas.openxmlformats.org/officeDocument/2006/relationships/hyperlink" Target="http://www.assembly.state.ny.us/mem/?ad=75&amp;sh=map" TargetMode="External"/><Relationship Id="rId138" Type="http://schemas.openxmlformats.org/officeDocument/2006/relationships/hyperlink" Target="https://en.wikipedia.org/w/index.php?title=Harvey_Epstein&amp;action=edit&amp;redlink=1" TargetMode="External"/><Relationship Id="rId259" Type="http://schemas.openxmlformats.org/officeDocument/2006/relationships/hyperlink" Target="http://www.assembly.state.ny.us/mem/?ad=141&amp;sh=map" TargetMode="External"/><Relationship Id="rId137" Type="http://schemas.openxmlformats.org/officeDocument/2006/relationships/hyperlink" Target="http://www.assembly.state.ny.us/mem/?ad=74&amp;sh=map" TargetMode="External"/><Relationship Id="rId258" Type="http://schemas.openxmlformats.org/officeDocument/2006/relationships/hyperlink" Target="https://en.wikipedia.org/wiki/Robin_Schimminger" TargetMode="External"/><Relationship Id="rId379" Type="http://schemas.openxmlformats.org/officeDocument/2006/relationships/hyperlink" Target="http://www.nysenate.gov/district/60" TargetMode="External"/><Relationship Id="rId132" Type="http://schemas.openxmlformats.org/officeDocument/2006/relationships/hyperlink" Target="https://en.wikipedia.org/wiki/Al_Taylor_(politician)" TargetMode="External"/><Relationship Id="rId253" Type="http://schemas.openxmlformats.org/officeDocument/2006/relationships/hyperlink" Target="http://www.assembly.state.ny.us/mem/?ad=138&amp;sh=map" TargetMode="External"/><Relationship Id="rId374" Type="http://schemas.openxmlformats.org/officeDocument/2006/relationships/hyperlink" Target="https://en.wikipedia.org/wiki/Catharine_Young" TargetMode="External"/><Relationship Id="rId131" Type="http://schemas.openxmlformats.org/officeDocument/2006/relationships/hyperlink" Target="http://www.assembly.state.ny.us/mem/?ad=71&amp;sh=map" TargetMode="External"/><Relationship Id="rId252" Type="http://schemas.openxmlformats.org/officeDocument/2006/relationships/hyperlink" Target="https://en.wikipedia.org/wiki/David_Gantt" TargetMode="External"/><Relationship Id="rId373" Type="http://schemas.openxmlformats.org/officeDocument/2006/relationships/hyperlink" Target="http://www.nysenate.gov/district/57" TargetMode="External"/><Relationship Id="rId130" Type="http://schemas.openxmlformats.org/officeDocument/2006/relationships/hyperlink" Target="https://en.wikipedia.org/wiki/Inez_Dickens" TargetMode="External"/><Relationship Id="rId251" Type="http://schemas.openxmlformats.org/officeDocument/2006/relationships/hyperlink" Target="http://www.assembly.state.ny.us/mem/?ad=137&amp;sh=map" TargetMode="External"/><Relationship Id="rId372" Type="http://schemas.openxmlformats.org/officeDocument/2006/relationships/hyperlink" Target="https://en.wikipedia.org/wiki/Joseph_Robach" TargetMode="External"/><Relationship Id="rId250" Type="http://schemas.openxmlformats.org/officeDocument/2006/relationships/hyperlink" Target="http://www.assembly.state.ny.us/mem/?ad=136&amp;sh=map" TargetMode="External"/><Relationship Id="rId371" Type="http://schemas.openxmlformats.org/officeDocument/2006/relationships/hyperlink" Target="http://www.nysenate.gov/district/56" TargetMode="External"/><Relationship Id="rId136" Type="http://schemas.openxmlformats.org/officeDocument/2006/relationships/hyperlink" Target="https://en.wikipedia.org/wiki/Dan_Quart" TargetMode="External"/><Relationship Id="rId257" Type="http://schemas.openxmlformats.org/officeDocument/2006/relationships/hyperlink" Target="http://www.assembly.state.ny.us/mem/?ad=140&amp;sh=map" TargetMode="External"/><Relationship Id="rId378" Type="http://schemas.openxmlformats.org/officeDocument/2006/relationships/hyperlink" Target="https://en.wikipedia.org/wiki/Patrick_Gallivan" TargetMode="External"/><Relationship Id="rId135" Type="http://schemas.openxmlformats.org/officeDocument/2006/relationships/hyperlink" Target="http://www.assembly.state.ny.us/mem/?ad=73&amp;sh=map" TargetMode="External"/><Relationship Id="rId256" Type="http://schemas.openxmlformats.org/officeDocument/2006/relationships/hyperlink" Target="https://en.wikipedia.org/wiki/Stephen_Hawley" TargetMode="External"/><Relationship Id="rId377" Type="http://schemas.openxmlformats.org/officeDocument/2006/relationships/hyperlink" Target="http://www.nysenate.gov/district/59" TargetMode="External"/><Relationship Id="rId134" Type="http://schemas.openxmlformats.org/officeDocument/2006/relationships/hyperlink" Target="https://en.wikipedia.org/wiki/Carmen_De_La_Rosa" TargetMode="External"/><Relationship Id="rId255" Type="http://schemas.openxmlformats.org/officeDocument/2006/relationships/hyperlink" Target="http://www.assembly.state.ny.us/mem/?ad=139&amp;sh=map" TargetMode="External"/><Relationship Id="rId376" Type="http://schemas.openxmlformats.org/officeDocument/2006/relationships/hyperlink" Target="https://en.wikipedia.org/wiki/Tom_O%27Mara" TargetMode="External"/><Relationship Id="rId133" Type="http://schemas.openxmlformats.org/officeDocument/2006/relationships/hyperlink" Target="http://www.assembly.state.ny.us/mem/?ad=72&amp;sh=map" TargetMode="External"/><Relationship Id="rId254" Type="http://schemas.openxmlformats.org/officeDocument/2006/relationships/hyperlink" Target="https://en.wikipedia.org/wiki/Harry_Bronson" TargetMode="External"/><Relationship Id="rId375" Type="http://schemas.openxmlformats.org/officeDocument/2006/relationships/hyperlink" Target="http://www.nysenate.gov/district/58" TargetMode="External"/><Relationship Id="rId172" Type="http://schemas.openxmlformats.org/officeDocument/2006/relationships/hyperlink" Target="http://www.assembly.state.ny.us/mem/?ad=93&amp;sh=map" TargetMode="External"/><Relationship Id="rId293" Type="http://schemas.openxmlformats.org/officeDocument/2006/relationships/hyperlink" Target="http://www.nysenate.gov/district/11" TargetMode="External"/><Relationship Id="rId171" Type="http://schemas.openxmlformats.org/officeDocument/2006/relationships/hyperlink" Target="https://en.wikipedia.org/wiki/Tom_Abinanti" TargetMode="External"/><Relationship Id="rId292" Type="http://schemas.openxmlformats.org/officeDocument/2006/relationships/hyperlink" Target="https://en.wikipedia.org/wiki/James_Sanders,_Jr." TargetMode="External"/><Relationship Id="rId170" Type="http://schemas.openxmlformats.org/officeDocument/2006/relationships/hyperlink" Target="http://www.assembly.state.ny.us/mem/?ad=92&amp;sh=map" TargetMode="External"/><Relationship Id="rId291" Type="http://schemas.openxmlformats.org/officeDocument/2006/relationships/hyperlink" Target="http://www.nysenate.gov/district/10" TargetMode="External"/><Relationship Id="rId290" Type="http://schemas.openxmlformats.org/officeDocument/2006/relationships/hyperlink" Target="https://en.wikipedia.org/wiki/Todd_Kaminsky" TargetMode="External"/><Relationship Id="rId165" Type="http://schemas.openxmlformats.org/officeDocument/2006/relationships/hyperlink" Target="https://en.wikipedia.org/wiki/Amy_Paulin" TargetMode="External"/><Relationship Id="rId286" Type="http://schemas.openxmlformats.org/officeDocument/2006/relationships/hyperlink" Target="http://www.nysenate.gov/district/07" TargetMode="External"/><Relationship Id="rId164" Type="http://schemas.openxmlformats.org/officeDocument/2006/relationships/hyperlink" Target="http://www.assembly.state.ny.us/mem/?ad=88&amp;sh=map" TargetMode="External"/><Relationship Id="rId285" Type="http://schemas.openxmlformats.org/officeDocument/2006/relationships/hyperlink" Target="http://www.nysenate.gov/district/06" TargetMode="External"/><Relationship Id="rId163" Type="http://schemas.openxmlformats.org/officeDocument/2006/relationships/hyperlink" Target="http://www.assembly.state.ny.us/mem/?ad=87&amp;sh=map" TargetMode="External"/><Relationship Id="rId284" Type="http://schemas.openxmlformats.org/officeDocument/2006/relationships/hyperlink" Target="https://en.wikipedia.org/wiki/New_York%27s_5th_State_Senate_district" TargetMode="External"/><Relationship Id="rId162" Type="http://schemas.openxmlformats.org/officeDocument/2006/relationships/hyperlink" Target="https://en.wikipedia.org/wiki/Victor_M._Pichardo" TargetMode="External"/><Relationship Id="rId283" Type="http://schemas.openxmlformats.org/officeDocument/2006/relationships/hyperlink" Target="https://en.wikipedia.org/wiki/Phil_Boyle" TargetMode="External"/><Relationship Id="rId169" Type="http://schemas.openxmlformats.org/officeDocument/2006/relationships/hyperlink" Target="https://en.wikipedia.org/wiki/Steven_Otis" TargetMode="External"/><Relationship Id="rId168" Type="http://schemas.openxmlformats.org/officeDocument/2006/relationships/hyperlink" Target="http://www.assembly.state.ny.us/mem/?ad=91&amp;sh=map" TargetMode="External"/><Relationship Id="rId289" Type="http://schemas.openxmlformats.org/officeDocument/2006/relationships/hyperlink" Target="http://www.nysenate.gov/district/09" TargetMode="External"/><Relationship Id="rId167" Type="http://schemas.openxmlformats.org/officeDocument/2006/relationships/hyperlink" Target="http://www.assembly.state.ny.us/mem/?ad=90&amp;sh=map" TargetMode="External"/><Relationship Id="rId288" Type="http://schemas.openxmlformats.org/officeDocument/2006/relationships/hyperlink" Target="https://en.wikipedia.org/wiki/John_Brooks_(politician)" TargetMode="External"/><Relationship Id="rId166" Type="http://schemas.openxmlformats.org/officeDocument/2006/relationships/hyperlink" Target="http://www.assembly.state.ny.us/mem/?ad=89&amp;sh=map" TargetMode="External"/><Relationship Id="rId287" Type="http://schemas.openxmlformats.org/officeDocument/2006/relationships/hyperlink" Target="http://www.nysenate.gov/district/08" TargetMode="External"/><Relationship Id="rId161" Type="http://schemas.openxmlformats.org/officeDocument/2006/relationships/hyperlink" Target="http://www.assembly.state.ny.us/mem/?ad=86&amp;sh=map" TargetMode="External"/><Relationship Id="rId282" Type="http://schemas.openxmlformats.org/officeDocument/2006/relationships/hyperlink" Target="https://en.wikipedia.org/wiki/New_York%27s_4th_State_Senate_district" TargetMode="External"/><Relationship Id="rId160" Type="http://schemas.openxmlformats.org/officeDocument/2006/relationships/hyperlink" Target="https://en.wikipedia.org/wiki/Marcos_Crespo" TargetMode="External"/><Relationship Id="rId281" Type="http://schemas.openxmlformats.org/officeDocument/2006/relationships/hyperlink" Target="https://en.wikipedia.org/wiki/New_York%27s_3rd_State_Senate_district" TargetMode="External"/><Relationship Id="rId280" Type="http://schemas.openxmlformats.org/officeDocument/2006/relationships/hyperlink" Target="https://en.wikipedia.org/wiki/John_J._Flanagan" TargetMode="External"/><Relationship Id="rId159" Type="http://schemas.openxmlformats.org/officeDocument/2006/relationships/hyperlink" Target="http://www.assembly.state.ny.us/mem/?ad=85&amp;sh=map" TargetMode="External"/><Relationship Id="rId154" Type="http://schemas.openxmlformats.org/officeDocument/2006/relationships/hyperlink" Target="https://en.wikipedia.org/wiki/Michael_Benedetto" TargetMode="External"/><Relationship Id="rId275" Type="http://schemas.openxmlformats.org/officeDocument/2006/relationships/hyperlink" Target="http://www.assembly.state.ny.us/mem/?ad=150&amp;sh=map" TargetMode="External"/><Relationship Id="rId153" Type="http://schemas.openxmlformats.org/officeDocument/2006/relationships/hyperlink" Target="http://www.assembly.state.ny.us/mem/?ad=82&amp;sh=map" TargetMode="External"/><Relationship Id="rId274" Type="http://schemas.openxmlformats.org/officeDocument/2006/relationships/hyperlink" Target="https://en.wikipedia.org/wiki/Sean_Ryan_(American_politician)" TargetMode="External"/><Relationship Id="rId152" Type="http://schemas.openxmlformats.org/officeDocument/2006/relationships/hyperlink" Target="https://en.wikipedia.org/wiki/Jeffrey_Dinowitz" TargetMode="External"/><Relationship Id="rId273" Type="http://schemas.openxmlformats.org/officeDocument/2006/relationships/hyperlink" Target="http://www.assembly.state.ny.us/mem/?ad=149&amp;sh=map" TargetMode="External"/><Relationship Id="rId151" Type="http://schemas.openxmlformats.org/officeDocument/2006/relationships/hyperlink" Target="http://www.assembly.state.ny.us/mem/?ad=81&amp;sh=map" TargetMode="External"/><Relationship Id="rId272" Type="http://schemas.openxmlformats.org/officeDocument/2006/relationships/hyperlink" Target="https://en.wikipedia.org/wiki/Joseph_Giglio" TargetMode="External"/><Relationship Id="rId158" Type="http://schemas.openxmlformats.org/officeDocument/2006/relationships/hyperlink" Target="https://en.wikipedia.org/wiki/Carmen_E._Arroyo" TargetMode="External"/><Relationship Id="rId279" Type="http://schemas.openxmlformats.org/officeDocument/2006/relationships/hyperlink" Target="https://en.wikipedia.org/wiki/New_York%27s_2nd_State_Senate_district" TargetMode="External"/><Relationship Id="rId157" Type="http://schemas.openxmlformats.org/officeDocument/2006/relationships/hyperlink" Target="http://www.assembly.state.ny.us/mem/?ad=84&amp;sh=map" TargetMode="External"/><Relationship Id="rId278" Type="http://schemas.openxmlformats.org/officeDocument/2006/relationships/hyperlink" Target="https://en.wikipedia.org/wiki/Kenneth_P._LaValle" TargetMode="External"/><Relationship Id="rId156" Type="http://schemas.openxmlformats.org/officeDocument/2006/relationships/hyperlink" Target="https://en.wikipedia.org/wiki/Carl_Heastie" TargetMode="External"/><Relationship Id="rId277" Type="http://schemas.openxmlformats.org/officeDocument/2006/relationships/hyperlink" Target="https://en.wikipedia.org/wiki/New_York%27s_1st_State_Senate_district" TargetMode="External"/><Relationship Id="rId155" Type="http://schemas.openxmlformats.org/officeDocument/2006/relationships/hyperlink" Target="http://www.assembly.state.ny.us/mem/?ad=83&amp;sh=map" TargetMode="External"/><Relationship Id="rId276" Type="http://schemas.openxmlformats.org/officeDocument/2006/relationships/hyperlink" Target="https://en.wikipedia.org/wiki/Andy_Goodell" TargetMode="External"/><Relationship Id="rId40" Type="http://schemas.openxmlformats.org/officeDocument/2006/relationships/hyperlink" Target="https://en.wikipedia.org/wiki/Michaelle_C._Solages" TargetMode="External"/><Relationship Id="rId42" Type="http://schemas.openxmlformats.org/officeDocument/2006/relationships/hyperlink" Target="https://en.wikipedia.org/wiki/Stacey_Pheffer_Amato" TargetMode="External"/><Relationship Id="rId41" Type="http://schemas.openxmlformats.org/officeDocument/2006/relationships/hyperlink" Target="http://www.assembly.state.ny.us/mem/?ad=23&amp;sh=map" TargetMode="External"/><Relationship Id="rId44" Type="http://schemas.openxmlformats.org/officeDocument/2006/relationships/hyperlink" Target="https://en.wikipedia.org/wiki/David_Weprin" TargetMode="External"/><Relationship Id="rId43" Type="http://schemas.openxmlformats.org/officeDocument/2006/relationships/hyperlink" Target="http://www.assembly.state.ny.us/mem/?ad=24&amp;sh=map" TargetMode="External"/><Relationship Id="rId46" Type="http://schemas.openxmlformats.org/officeDocument/2006/relationships/hyperlink" Target="https://en.wikipedia.org/wiki/Nily_Rozic" TargetMode="External"/><Relationship Id="rId45" Type="http://schemas.openxmlformats.org/officeDocument/2006/relationships/hyperlink" Target="http://www.assembly.state.ny.us/mem/?ad=25&amp;sh=map" TargetMode="External"/><Relationship Id="rId48" Type="http://schemas.openxmlformats.org/officeDocument/2006/relationships/hyperlink" Target="https://en.wikipedia.org/wiki/Edward_Braunstein" TargetMode="External"/><Relationship Id="rId47" Type="http://schemas.openxmlformats.org/officeDocument/2006/relationships/hyperlink" Target="http://www.assembly.state.ny.us/mem/?ad=26&amp;sh=map" TargetMode="External"/><Relationship Id="rId49" Type="http://schemas.openxmlformats.org/officeDocument/2006/relationships/hyperlink" Target="http://www.assembly.state.ny.us/mem/?ad=27&amp;sh=map" TargetMode="External"/><Relationship Id="rId31" Type="http://schemas.openxmlformats.org/officeDocument/2006/relationships/hyperlink" Target="http://www.assembly.state.ny.us/mem/?ad=17&amp;sh=map" TargetMode="External"/><Relationship Id="rId30" Type="http://schemas.openxmlformats.org/officeDocument/2006/relationships/hyperlink" Target="https://en.wikipedia.org/wiki/Anthony_D%27Urso" TargetMode="External"/><Relationship Id="rId33" Type="http://schemas.openxmlformats.org/officeDocument/2006/relationships/hyperlink" Target="http://www.assembly.state.ny.us/mem/?ad=18&amp;sh=map" TargetMode="External"/><Relationship Id="rId32" Type="http://schemas.openxmlformats.org/officeDocument/2006/relationships/hyperlink" Target="https://en.wikipedia.org/w/index.php?title=John_Mikulin&amp;action=edit&amp;redlink=1" TargetMode="External"/><Relationship Id="rId35" Type="http://schemas.openxmlformats.org/officeDocument/2006/relationships/hyperlink" Target="https://en.wikipedia.org/wiki/Ed_Ra" TargetMode="External"/><Relationship Id="rId34" Type="http://schemas.openxmlformats.org/officeDocument/2006/relationships/hyperlink" Target="http://www.assembly.state.ny.us/mem/?ad=19&amp;sh=map" TargetMode="External"/><Relationship Id="rId37" Type="http://schemas.openxmlformats.org/officeDocument/2006/relationships/hyperlink" Target="https://en.wikipedia.org/wiki/Melissa_Miller_(politician)" TargetMode="External"/><Relationship Id="rId36" Type="http://schemas.openxmlformats.org/officeDocument/2006/relationships/hyperlink" Target="http://www.assembly.state.ny.us/mem/?ad=20&amp;sh=map" TargetMode="External"/><Relationship Id="rId39" Type="http://schemas.openxmlformats.org/officeDocument/2006/relationships/hyperlink" Target="http://www.assembly.state.ny.us/mem/?ad=22&amp;sh=map" TargetMode="External"/><Relationship Id="rId38" Type="http://schemas.openxmlformats.org/officeDocument/2006/relationships/hyperlink" Target="http://www.assembly.state.ny.us/mem/?ad=21&amp;sh=map" TargetMode="External"/><Relationship Id="rId20" Type="http://schemas.openxmlformats.org/officeDocument/2006/relationships/hyperlink" Target="https://en.wikipedia.org/wiki/Kimberly_Jean-Pierre_(New_York_politician)" TargetMode="External"/><Relationship Id="rId22" Type="http://schemas.openxmlformats.org/officeDocument/2006/relationships/hyperlink" Target="https://en.wikipedia.org/wiki/Andrew_Raia" TargetMode="External"/><Relationship Id="rId21" Type="http://schemas.openxmlformats.org/officeDocument/2006/relationships/hyperlink" Target="http://www.assembly.state.ny.us/mem/?ad=12&amp;sh=map" TargetMode="External"/><Relationship Id="rId24" Type="http://schemas.openxmlformats.org/officeDocument/2006/relationships/hyperlink" Target="https://en.wikipedia.org/wiki/Charles_Lavine" TargetMode="External"/><Relationship Id="rId23" Type="http://schemas.openxmlformats.org/officeDocument/2006/relationships/hyperlink" Target="http://www.assembly.state.ny.us/mem/?ad=13&amp;sh=map" TargetMode="External"/><Relationship Id="rId26" Type="http://schemas.openxmlformats.org/officeDocument/2006/relationships/hyperlink" Target="https://en.wikipedia.org/wiki/David_McDonough" TargetMode="External"/><Relationship Id="rId25" Type="http://schemas.openxmlformats.org/officeDocument/2006/relationships/hyperlink" Target="http://www.assembly.state.ny.us/mem/?ad=14&amp;sh=map" TargetMode="External"/><Relationship Id="rId28" Type="http://schemas.openxmlformats.org/officeDocument/2006/relationships/hyperlink" Target="https://en.wikipedia.org/wiki/Michael_Montesano" TargetMode="External"/><Relationship Id="rId27" Type="http://schemas.openxmlformats.org/officeDocument/2006/relationships/hyperlink" Target="http://www.assembly.state.ny.us/mem/?ad=15&amp;sh=map" TargetMode="External"/><Relationship Id="rId29" Type="http://schemas.openxmlformats.org/officeDocument/2006/relationships/hyperlink" Target="http://www.assembly.state.ny.us/mem/?ad=16&amp;sh=map" TargetMode="External"/><Relationship Id="rId11" Type="http://schemas.openxmlformats.org/officeDocument/2006/relationships/hyperlink" Target="https://en.wikipedia.org/wiki/Philip_Ramos" TargetMode="External"/><Relationship Id="rId10" Type="http://schemas.openxmlformats.org/officeDocument/2006/relationships/hyperlink" Target="http://www.assembly.state.ny.us/mem/?ad=6&amp;sh=map" TargetMode="External"/><Relationship Id="rId13" Type="http://schemas.openxmlformats.org/officeDocument/2006/relationships/hyperlink" Target="https://en.wikipedia.org/wiki/Andrew_Garbarino" TargetMode="External"/><Relationship Id="rId12" Type="http://schemas.openxmlformats.org/officeDocument/2006/relationships/hyperlink" Target="http://www.assembly.state.ny.us/mem/?ad=7&amp;sh=map" TargetMode="External"/><Relationship Id="rId15" Type="http://schemas.openxmlformats.org/officeDocument/2006/relationships/hyperlink" Target="https://en.wikipedia.org/wiki/Michael_J._Fitzpatrick" TargetMode="External"/><Relationship Id="rId14" Type="http://schemas.openxmlformats.org/officeDocument/2006/relationships/hyperlink" Target="http://www.assembly.state.ny.us/mem/?ad=8&amp;sh=map" TargetMode="External"/><Relationship Id="rId17" Type="http://schemas.openxmlformats.org/officeDocument/2006/relationships/hyperlink" Target="http://www.assembly.state.ny.us/mem/?ad=10&amp;sh=map" TargetMode="External"/><Relationship Id="rId16" Type="http://schemas.openxmlformats.org/officeDocument/2006/relationships/hyperlink" Target="http://www.assembly.state.ny.us/mem/?ad=9&amp;sh=map" TargetMode="External"/><Relationship Id="rId19" Type="http://schemas.openxmlformats.org/officeDocument/2006/relationships/hyperlink" Target="http://www.assembly.state.ny.us/mem/?ad=11&amp;sh=map" TargetMode="External"/><Relationship Id="rId18" Type="http://schemas.openxmlformats.org/officeDocument/2006/relationships/hyperlink" Target="https://en.wikipedia.org/wiki/Steve_Stern_(politician)" TargetMode="External"/><Relationship Id="rId84" Type="http://schemas.openxmlformats.org/officeDocument/2006/relationships/hyperlink" Target="https://en.wikipedia.org/wiki/Robert_Carroll_(American_politician)" TargetMode="External"/><Relationship Id="rId83" Type="http://schemas.openxmlformats.org/officeDocument/2006/relationships/hyperlink" Target="http://www.assembly.state.ny.us/mem/?ad=44&amp;sh=map" TargetMode="External"/><Relationship Id="rId86" Type="http://schemas.openxmlformats.org/officeDocument/2006/relationships/hyperlink" Target="https://en.wikipedia.org/wiki/Steven_Cymbrowitz" TargetMode="External"/><Relationship Id="rId85" Type="http://schemas.openxmlformats.org/officeDocument/2006/relationships/hyperlink" Target="http://www.assembly.state.ny.us/mem/?ad=45&amp;sh=map" TargetMode="External"/><Relationship Id="rId88" Type="http://schemas.openxmlformats.org/officeDocument/2006/relationships/hyperlink" Target="http://www.assembly.state.ny.us/mem/?ad=47&amp;sh=map" TargetMode="External"/><Relationship Id="rId87" Type="http://schemas.openxmlformats.org/officeDocument/2006/relationships/hyperlink" Target="http://www.assembly.state.ny.us/mem/?ad=46&amp;sh=map" TargetMode="External"/><Relationship Id="rId89" Type="http://schemas.openxmlformats.org/officeDocument/2006/relationships/hyperlink" Target="https://en.wikipedia.org/wiki/William_Colton" TargetMode="External"/><Relationship Id="rId80" Type="http://schemas.openxmlformats.org/officeDocument/2006/relationships/hyperlink" Target="http://www.assembly.state.ny.us/mem/?ad=43&amp;sh=map" TargetMode="External"/><Relationship Id="rId82" Type="http://schemas.openxmlformats.org/officeDocument/2006/relationships/hyperlink" Target="https://en.wikipedia.org/wiki/New_York_State_Assembly" TargetMode="External"/><Relationship Id="rId81" Type="http://schemas.openxmlformats.org/officeDocument/2006/relationships/hyperlink" Target="https://en.wikipedia.org/wiki/Diana_Richardson" TargetMode="External"/><Relationship Id="rId73" Type="http://schemas.openxmlformats.org/officeDocument/2006/relationships/hyperlink" Target="http://www.assembly.state.ny.us/mem/?ad=39&amp;sh=map" TargetMode="External"/><Relationship Id="rId72" Type="http://schemas.openxmlformats.org/officeDocument/2006/relationships/hyperlink" Target="https://en.wikipedia.org/wiki/Michael_G._Miller" TargetMode="External"/><Relationship Id="rId75" Type="http://schemas.openxmlformats.org/officeDocument/2006/relationships/hyperlink" Target="https://en.wikipedia.org/wiki/Ron_Kim_(politician)" TargetMode="External"/><Relationship Id="rId74" Type="http://schemas.openxmlformats.org/officeDocument/2006/relationships/hyperlink" Target="http://www.assembly.state.ny.us/mem/?ad=40&amp;sh=map" TargetMode="External"/><Relationship Id="rId77" Type="http://schemas.openxmlformats.org/officeDocument/2006/relationships/hyperlink" Target="https://en.wikipedia.org/wiki/Helene_Weinstein" TargetMode="External"/><Relationship Id="rId76" Type="http://schemas.openxmlformats.org/officeDocument/2006/relationships/hyperlink" Target="http://www.assembly.state.ny.us/mem/?ad=41&amp;sh=map" TargetMode="External"/><Relationship Id="rId79" Type="http://schemas.openxmlformats.org/officeDocument/2006/relationships/hyperlink" Target="https://en.wikipedia.org/wiki/Rodneyse_Bichotte" TargetMode="External"/><Relationship Id="rId78" Type="http://schemas.openxmlformats.org/officeDocument/2006/relationships/hyperlink" Target="http://www.assembly.state.ny.us/mem/?ad=42&amp;sh=map" TargetMode="External"/><Relationship Id="rId71" Type="http://schemas.openxmlformats.org/officeDocument/2006/relationships/hyperlink" Target="http://www.assembly.state.ny.us/mem/?ad=38&amp;sh=map" TargetMode="External"/><Relationship Id="rId70" Type="http://schemas.openxmlformats.org/officeDocument/2006/relationships/hyperlink" Target="https://en.wikipedia.org/wiki/Catherine_Nolan" TargetMode="External"/><Relationship Id="rId62" Type="http://schemas.openxmlformats.org/officeDocument/2006/relationships/hyperlink" Target="https://en.wikipedia.org/wiki/Clyde_Vanel" TargetMode="External"/><Relationship Id="rId61" Type="http://schemas.openxmlformats.org/officeDocument/2006/relationships/hyperlink" Target="http://www.assembly.state.ny.us/mem/?ad=33&amp;sh=map" TargetMode="External"/><Relationship Id="rId64" Type="http://schemas.openxmlformats.org/officeDocument/2006/relationships/hyperlink" Target="https://en.wikipedia.org/wiki/Michael_DenDekker" TargetMode="External"/><Relationship Id="rId63" Type="http://schemas.openxmlformats.org/officeDocument/2006/relationships/hyperlink" Target="http://www.assembly.state.ny.us/mem/?ad=34&amp;sh=map" TargetMode="External"/><Relationship Id="rId66" Type="http://schemas.openxmlformats.org/officeDocument/2006/relationships/hyperlink" Target="https://en.wikipedia.org/wiki/Jeffrion_Aubry" TargetMode="External"/><Relationship Id="rId65" Type="http://schemas.openxmlformats.org/officeDocument/2006/relationships/hyperlink" Target="http://www.assembly.state.ny.us/mem/?ad=35&amp;sh=map" TargetMode="External"/><Relationship Id="rId68" Type="http://schemas.openxmlformats.org/officeDocument/2006/relationships/hyperlink" Target="https://en.wikipedia.org/wiki/Aravella_Simotas" TargetMode="External"/><Relationship Id="rId67" Type="http://schemas.openxmlformats.org/officeDocument/2006/relationships/hyperlink" Target="http://www.assembly.state.ny.us/mem/?ad=36&amp;sh=map" TargetMode="External"/><Relationship Id="rId60" Type="http://schemas.openxmlformats.org/officeDocument/2006/relationships/hyperlink" Target="https://en.wikipedia.org/wiki/Vivian_Cook" TargetMode="External"/><Relationship Id="rId69" Type="http://schemas.openxmlformats.org/officeDocument/2006/relationships/hyperlink" Target="http://www.assembly.state.ny.us/mem/?ad=37&amp;sh=map" TargetMode="External"/><Relationship Id="rId51" Type="http://schemas.openxmlformats.org/officeDocument/2006/relationships/hyperlink" Target="http://www.assembly.state.ny.us/mem/?ad=28&amp;sh=map" TargetMode="External"/><Relationship Id="rId50" Type="http://schemas.openxmlformats.org/officeDocument/2006/relationships/hyperlink" Target="https://en.wikipedia.org/wiki/Daniel_Rosenthal_(politician)" TargetMode="External"/><Relationship Id="rId53" Type="http://schemas.openxmlformats.org/officeDocument/2006/relationships/hyperlink" Target="http://www.assembly.state.ny.us/mem/?ad=29&amp;sh=map" TargetMode="External"/><Relationship Id="rId52" Type="http://schemas.openxmlformats.org/officeDocument/2006/relationships/hyperlink" Target="https://en.wikipedia.org/wiki/Andrew_Hevesi" TargetMode="External"/><Relationship Id="rId55" Type="http://schemas.openxmlformats.org/officeDocument/2006/relationships/hyperlink" Target="http://www.assembly.state.ny.us/mem/?ad=30&amp;sh=map" TargetMode="External"/><Relationship Id="rId54" Type="http://schemas.openxmlformats.org/officeDocument/2006/relationships/hyperlink" Target="https://en.wikipedia.org/wiki/Alicia_Hyndman" TargetMode="External"/><Relationship Id="rId57" Type="http://schemas.openxmlformats.org/officeDocument/2006/relationships/hyperlink" Target="http://www.assembly.state.ny.us/mem/?ad=31&amp;sh=map" TargetMode="External"/><Relationship Id="rId56" Type="http://schemas.openxmlformats.org/officeDocument/2006/relationships/hyperlink" Target="https://en.wikipedia.org/wiki/Brian_Barnwell" TargetMode="External"/><Relationship Id="rId59" Type="http://schemas.openxmlformats.org/officeDocument/2006/relationships/hyperlink" Target="http://www.assembly.state.ny.us/mem/?ad=32&amp;sh=map" TargetMode="External"/><Relationship Id="rId58" Type="http://schemas.openxmlformats.org/officeDocument/2006/relationships/hyperlink" Target="https://en.wikipedia.org/wiki/Michele_Titus" TargetMode="External"/><Relationship Id="rId107" Type="http://schemas.openxmlformats.org/officeDocument/2006/relationships/hyperlink" Target="https://en.wikipedia.org/wiki/Walter_Mosley_(politician)" TargetMode="External"/><Relationship Id="rId228" Type="http://schemas.openxmlformats.org/officeDocument/2006/relationships/hyperlink" Target="http://www.assembly.state.ny.us/mem/?ad=124&amp;sh=map" TargetMode="External"/><Relationship Id="rId349" Type="http://schemas.openxmlformats.org/officeDocument/2006/relationships/hyperlink" Target="http://www.nysenate.gov/district/44" TargetMode="External"/><Relationship Id="rId106" Type="http://schemas.openxmlformats.org/officeDocument/2006/relationships/hyperlink" Target="http://www.assembly.state.ny.us/mem/?ad=57&amp;sh=map" TargetMode="External"/><Relationship Id="rId227" Type="http://schemas.openxmlformats.org/officeDocument/2006/relationships/hyperlink" Target="https://en.wikipedia.org/wiki/Donna_Lupardo" TargetMode="External"/><Relationship Id="rId348" Type="http://schemas.openxmlformats.org/officeDocument/2006/relationships/hyperlink" Target="http://www.nysenate.gov/district/43" TargetMode="External"/><Relationship Id="rId105" Type="http://schemas.openxmlformats.org/officeDocument/2006/relationships/hyperlink" Target="https://en.wikipedia.org/wiki/Tremaine_Wright" TargetMode="External"/><Relationship Id="rId226" Type="http://schemas.openxmlformats.org/officeDocument/2006/relationships/hyperlink" Target="http://www.assembly.state.ny.us/mem/?ad=123&amp;sh=map" TargetMode="External"/><Relationship Id="rId347" Type="http://schemas.openxmlformats.org/officeDocument/2006/relationships/hyperlink" Target="http://www.nysenate.gov/district/42" TargetMode="External"/><Relationship Id="rId104" Type="http://schemas.openxmlformats.org/officeDocument/2006/relationships/hyperlink" Target="http://www.assembly.state.ny.us/mem/?ad=56&amp;sh=map" TargetMode="External"/><Relationship Id="rId225" Type="http://schemas.openxmlformats.org/officeDocument/2006/relationships/hyperlink" Target="https://en.wikipedia.org/wiki/Clifford_Crouch" TargetMode="External"/><Relationship Id="rId346" Type="http://schemas.openxmlformats.org/officeDocument/2006/relationships/hyperlink" Target="https://en.wikipedia.org/wiki/Sue_Serino" TargetMode="External"/><Relationship Id="rId109" Type="http://schemas.openxmlformats.org/officeDocument/2006/relationships/hyperlink" Target="http://www.assembly.state.ny.us/mem/?ad=59&amp;sh=map" TargetMode="External"/><Relationship Id="rId108" Type="http://schemas.openxmlformats.org/officeDocument/2006/relationships/hyperlink" Target="http://www.assembly.state.ny.us/mem/?ad=58&amp;sh=map" TargetMode="External"/><Relationship Id="rId229" Type="http://schemas.openxmlformats.org/officeDocument/2006/relationships/hyperlink" Target="https://en.wikipedia.org/wiki/Christopher_Friend" TargetMode="External"/><Relationship Id="rId220" Type="http://schemas.openxmlformats.org/officeDocument/2006/relationships/hyperlink" Target="http://www.assembly.state.ny.us/mem/?ad=119&amp;sh=map" TargetMode="External"/><Relationship Id="rId341" Type="http://schemas.openxmlformats.org/officeDocument/2006/relationships/hyperlink" Target="http://www.nysenate.gov/district/39" TargetMode="External"/><Relationship Id="rId340" Type="http://schemas.openxmlformats.org/officeDocument/2006/relationships/hyperlink" Target="http://www.nysenate.gov/district/38" TargetMode="External"/><Relationship Id="rId103" Type="http://schemas.openxmlformats.org/officeDocument/2006/relationships/hyperlink" Target="https://en.wikipedia.org/wiki/Latrice_Walker" TargetMode="External"/><Relationship Id="rId224" Type="http://schemas.openxmlformats.org/officeDocument/2006/relationships/hyperlink" Target="http://www.assembly.state.ny.us/mem/?ad=122&amp;sh=map" TargetMode="External"/><Relationship Id="rId345" Type="http://schemas.openxmlformats.org/officeDocument/2006/relationships/hyperlink" Target="https://en.wikipedia.org/wiki/New_York%27s_41st_State_Senate_district" TargetMode="External"/><Relationship Id="rId102" Type="http://schemas.openxmlformats.org/officeDocument/2006/relationships/hyperlink" Target="http://www.assembly.state.ny.us/mem/?ad=55&amp;sh=map" TargetMode="External"/><Relationship Id="rId223" Type="http://schemas.openxmlformats.org/officeDocument/2006/relationships/hyperlink" Target="http://www.assembly.state.ny.us/mem/?ad=121&amp;sh=map" TargetMode="External"/><Relationship Id="rId344" Type="http://schemas.openxmlformats.org/officeDocument/2006/relationships/hyperlink" Target="https://en.wikipedia.org/wiki/Terrence_P._Murphy" TargetMode="External"/><Relationship Id="rId101" Type="http://schemas.openxmlformats.org/officeDocument/2006/relationships/hyperlink" Target="https://en.wikipedia.org/wiki/Erik_Dilan" TargetMode="External"/><Relationship Id="rId222" Type="http://schemas.openxmlformats.org/officeDocument/2006/relationships/hyperlink" Target="https://en.wikipedia.org/wiki/William_Barclay_(New_York_politician)" TargetMode="External"/><Relationship Id="rId343" Type="http://schemas.openxmlformats.org/officeDocument/2006/relationships/hyperlink" Target="http://www.nysenate.gov/district/40" TargetMode="External"/><Relationship Id="rId100" Type="http://schemas.openxmlformats.org/officeDocument/2006/relationships/hyperlink" Target="http://www.assembly.state.ny.us/mem/?ad=54&amp;sh=map" TargetMode="External"/><Relationship Id="rId221" Type="http://schemas.openxmlformats.org/officeDocument/2006/relationships/hyperlink" Target="http://www.assembly.state.ny.us/mem/?ad=120&amp;sh=map" TargetMode="External"/><Relationship Id="rId342" Type="http://schemas.openxmlformats.org/officeDocument/2006/relationships/hyperlink" Target="https://en.wikipedia.org/wiki/William_J._Larkin,_Jr." TargetMode="External"/><Relationship Id="rId217" Type="http://schemas.openxmlformats.org/officeDocument/2006/relationships/hyperlink" Target="http://www.assembly.state.ny.us/mem/?ad=117&amp;sh=map" TargetMode="External"/><Relationship Id="rId338" Type="http://schemas.openxmlformats.org/officeDocument/2006/relationships/hyperlink" Target="http://www.nysenate.gov/district/37" TargetMode="External"/><Relationship Id="rId216" Type="http://schemas.openxmlformats.org/officeDocument/2006/relationships/hyperlink" Target="http://www.assembly.state.ny.us/mem/?ad=116&amp;sh=map" TargetMode="External"/><Relationship Id="rId337" Type="http://schemas.openxmlformats.org/officeDocument/2006/relationships/hyperlink" Target="https://en.wikipedia.org/wiki/Jamaal_Bailey" TargetMode="External"/><Relationship Id="rId215" Type="http://schemas.openxmlformats.org/officeDocument/2006/relationships/hyperlink" Target="https://en.wikipedia.org/wiki/Billy_Jones_(New_York_politician)" TargetMode="External"/><Relationship Id="rId336" Type="http://schemas.openxmlformats.org/officeDocument/2006/relationships/hyperlink" Target="http://www.nysenate.gov/district/36" TargetMode="External"/><Relationship Id="rId214" Type="http://schemas.openxmlformats.org/officeDocument/2006/relationships/hyperlink" Target="http://www.assembly.state.ny.us/mem/?ad=115&amp;sh=map" TargetMode="External"/><Relationship Id="rId335" Type="http://schemas.openxmlformats.org/officeDocument/2006/relationships/hyperlink" Target="https://en.wikipedia.org/wiki/Andrea_Stewart-Cousins" TargetMode="External"/><Relationship Id="rId219" Type="http://schemas.openxmlformats.org/officeDocument/2006/relationships/hyperlink" Target="http://www.assembly.state.ny.us/mem/?ad=118&amp;sh=map" TargetMode="External"/><Relationship Id="rId218" Type="http://schemas.openxmlformats.org/officeDocument/2006/relationships/hyperlink" Target="https://en.wikipedia.org/wiki/Ken_Blankenbush" TargetMode="External"/><Relationship Id="rId339" Type="http://schemas.openxmlformats.org/officeDocument/2006/relationships/hyperlink" Target="https://en.wikipedia.org/wiki/Shelley_Mayer" TargetMode="External"/><Relationship Id="rId330" Type="http://schemas.openxmlformats.org/officeDocument/2006/relationships/hyperlink" Target="https://en.wikipedia.org/wiki/Luis_R._Sep%C3%BAlveda" TargetMode="External"/><Relationship Id="rId213" Type="http://schemas.openxmlformats.org/officeDocument/2006/relationships/hyperlink" Target="https://en.wikipedia.org/wiki/Dan_Stec" TargetMode="External"/><Relationship Id="rId334" Type="http://schemas.openxmlformats.org/officeDocument/2006/relationships/hyperlink" Target="http://www.nysenate.gov/district/35" TargetMode="External"/><Relationship Id="rId212" Type="http://schemas.openxmlformats.org/officeDocument/2006/relationships/hyperlink" Target="http://www.assembly.state.ny.us/mem/?ad=114&amp;sh=map" TargetMode="External"/><Relationship Id="rId333" Type="http://schemas.openxmlformats.org/officeDocument/2006/relationships/hyperlink" Target="http://www.nysenate.gov/district/34" TargetMode="External"/><Relationship Id="rId211" Type="http://schemas.openxmlformats.org/officeDocument/2006/relationships/hyperlink" Target="https://en.wikipedia.org/wiki/Carrie_Woerner" TargetMode="External"/><Relationship Id="rId332" Type="http://schemas.openxmlformats.org/officeDocument/2006/relationships/hyperlink" Target="https://en.wikipedia.org/wiki/Gustavo_Rivera_(politician)" TargetMode="External"/><Relationship Id="rId210" Type="http://schemas.openxmlformats.org/officeDocument/2006/relationships/hyperlink" Target="http://www.assembly.state.ny.us/mem/?ad=113&amp;sh=map" TargetMode="External"/><Relationship Id="rId331" Type="http://schemas.openxmlformats.org/officeDocument/2006/relationships/hyperlink" Target="http://www.nysenate.gov/district/33" TargetMode="External"/><Relationship Id="rId370" Type="http://schemas.openxmlformats.org/officeDocument/2006/relationships/hyperlink" Target="https://en.wikipedia.org/wiki/Richard_Funke" TargetMode="External"/><Relationship Id="rId129" Type="http://schemas.openxmlformats.org/officeDocument/2006/relationships/hyperlink" Target="http://www.assembly.state.ny.us/mem/?ad=70&amp;sh=map" TargetMode="External"/><Relationship Id="rId128" Type="http://schemas.openxmlformats.org/officeDocument/2006/relationships/hyperlink" Target="https://en.wikipedia.org/wiki/Daniel_J._O%27Donnell" TargetMode="External"/><Relationship Id="rId249" Type="http://schemas.openxmlformats.org/officeDocument/2006/relationships/hyperlink" Target="https://en.wikipedia.org/wiki/Mark_C._Johns" TargetMode="External"/><Relationship Id="rId127" Type="http://schemas.openxmlformats.org/officeDocument/2006/relationships/hyperlink" Target="http://www.assembly.state.ny.us/mem/?ad=69&amp;sh=map" TargetMode="External"/><Relationship Id="rId248" Type="http://schemas.openxmlformats.org/officeDocument/2006/relationships/hyperlink" Target="http://www.assembly.state.ny.us/mem/?ad=135&amp;sh=map" TargetMode="External"/><Relationship Id="rId369" Type="http://schemas.openxmlformats.org/officeDocument/2006/relationships/hyperlink" Target="http://www.nysenate.gov/district/55" TargetMode="External"/><Relationship Id="rId126" Type="http://schemas.openxmlformats.org/officeDocument/2006/relationships/hyperlink" Target="https://en.wikipedia.org/wiki/Robert_J._Rodriguez" TargetMode="External"/><Relationship Id="rId247" Type="http://schemas.openxmlformats.org/officeDocument/2006/relationships/hyperlink" Target="https://en.wikipedia.org/wiki/Peter_Lawrence_(politician)" TargetMode="External"/><Relationship Id="rId368" Type="http://schemas.openxmlformats.org/officeDocument/2006/relationships/hyperlink" Target="https://en.wikipedia.org/wiki/Pam_Helming" TargetMode="External"/><Relationship Id="rId121" Type="http://schemas.openxmlformats.org/officeDocument/2006/relationships/hyperlink" Target="http://www.assembly.state.ny.us/mem/?ad=66&amp;sh=map" TargetMode="External"/><Relationship Id="rId242" Type="http://schemas.openxmlformats.org/officeDocument/2006/relationships/hyperlink" Target="https://en.wikipedia.org/wiki/Brian_Kolb" TargetMode="External"/><Relationship Id="rId363" Type="http://schemas.openxmlformats.org/officeDocument/2006/relationships/hyperlink" Target="https://en.wikipedia.org/wiki/James_L._Seward_(New_York)" TargetMode="External"/><Relationship Id="rId120" Type="http://schemas.openxmlformats.org/officeDocument/2006/relationships/hyperlink" Target="https://en.wikipedia.org/wiki/Yuh-Line_Niou" TargetMode="External"/><Relationship Id="rId241" Type="http://schemas.openxmlformats.org/officeDocument/2006/relationships/hyperlink" Target="http://www.assembly.state.ny.us/mem/?ad=131&amp;sh=map" TargetMode="External"/><Relationship Id="rId362" Type="http://schemas.openxmlformats.org/officeDocument/2006/relationships/hyperlink" Target="http://www.nysenate.gov/district/51" TargetMode="External"/><Relationship Id="rId240" Type="http://schemas.openxmlformats.org/officeDocument/2006/relationships/hyperlink" Target="http://www.assembly.state.ny.us/mem/?ad=130&amp;sh=map" TargetMode="External"/><Relationship Id="rId361" Type="http://schemas.openxmlformats.org/officeDocument/2006/relationships/hyperlink" Target="http://www.nysenate.gov/district/50" TargetMode="External"/><Relationship Id="rId360" Type="http://schemas.openxmlformats.org/officeDocument/2006/relationships/hyperlink" Target="https://en.wikipedia.org/wiki/Jim_Tedisco" TargetMode="External"/><Relationship Id="rId125" Type="http://schemas.openxmlformats.org/officeDocument/2006/relationships/hyperlink" Target="http://www.assembly.state.ny.us/mem/?ad=68&amp;sh=map" TargetMode="External"/><Relationship Id="rId246" Type="http://schemas.openxmlformats.org/officeDocument/2006/relationships/hyperlink" Target="http://www.assembly.state.ny.us/mem/?ad=134&amp;sh=map" TargetMode="External"/><Relationship Id="rId367" Type="http://schemas.openxmlformats.org/officeDocument/2006/relationships/hyperlink" Target="http://www.nysenate.gov/district/54" TargetMode="External"/><Relationship Id="rId124" Type="http://schemas.openxmlformats.org/officeDocument/2006/relationships/hyperlink" Target="https://en.wikipedia.org/wiki/Linda_Rosenthal" TargetMode="External"/><Relationship Id="rId245" Type="http://schemas.openxmlformats.org/officeDocument/2006/relationships/hyperlink" Target="http://www.assembly.state.ny.us/mem/?ad=133&amp;sh=map" TargetMode="External"/><Relationship Id="rId366" Type="http://schemas.openxmlformats.org/officeDocument/2006/relationships/hyperlink" Target="http://www.nysenate.gov/district/53" TargetMode="External"/><Relationship Id="rId123" Type="http://schemas.openxmlformats.org/officeDocument/2006/relationships/hyperlink" Target="http://www.assembly.state.ny.us/mem/?ad=67&amp;sh=map" TargetMode="External"/><Relationship Id="rId244" Type="http://schemas.openxmlformats.org/officeDocument/2006/relationships/hyperlink" Target="https://en.wikipedia.org/wiki/Phil_Palmesano" TargetMode="External"/><Relationship Id="rId365" Type="http://schemas.openxmlformats.org/officeDocument/2006/relationships/hyperlink" Target="https://en.wikipedia.org/wiki/Fred_Akshar" TargetMode="External"/><Relationship Id="rId122" Type="http://schemas.openxmlformats.org/officeDocument/2006/relationships/hyperlink" Target="https://en.wikipedia.org/wiki/Deborah_Glick" TargetMode="External"/><Relationship Id="rId243" Type="http://schemas.openxmlformats.org/officeDocument/2006/relationships/hyperlink" Target="http://www.assembly.state.ny.us/mem/?ad=132&amp;sh=map" TargetMode="External"/><Relationship Id="rId364" Type="http://schemas.openxmlformats.org/officeDocument/2006/relationships/hyperlink" Target="http://www.nysenate.gov/district/52" TargetMode="External"/><Relationship Id="rId95" Type="http://schemas.openxmlformats.org/officeDocument/2006/relationships/hyperlink" Target="http://www.assembly.state.ny.us/mem/?ad=51&amp;sh=map" TargetMode="External"/><Relationship Id="rId94" Type="http://schemas.openxmlformats.org/officeDocument/2006/relationships/hyperlink" Target="https://en.wikipedia.org/wiki/Joseph_Lentol" TargetMode="External"/><Relationship Id="rId97" Type="http://schemas.openxmlformats.org/officeDocument/2006/relationships/hyperlink" Target="http://www.assembly.state.ny.us/mem/?ad=52&amp;sh=map" TargetMode="External"/><Relationship Id="rId96" Type="http://schemas.openxmlformats.org/officeDocument/2006/relationships/hyperlink" Target="https://en.wikipedia.org/wiki/F%C3%A9lix_Ortiz" TargetMode="External"/><Relationship Id="rId99" Type="http://schemas.openxmlformats.org/officeDocument/2006/relationships/hyperlink" Target="https://en.wikipedia.org/wiki/Maritza_Davila" TargetMode="External"/><Relationship Id="rId98" Type="http://schemas.openxmlformats.org/officeDocument/2006/relationships/hyperlink" Target="http://www.assembly.state.ny.us/mem/?ad=53&amp;sh=map" TargetMode="External"/><Relationship Id="rId91" Type="http://schemas.openxmlformats.org/officeDocument/2006/relationships/hyperlink" Target="http://www.assembly.state.ny.us/mem/?ad=49&amp;sh=map" TargetMode="External"/><Relationship Id="rId90" Type="http://schemas.openxmlformats.org/officeDocument/2006/relationships/hyperlink" Target="http://www.assembly.state.ny.us/mem/?ad=48&amp;sh=map" TargetMode="External"/><Relationship Id="rId93" Type="http://schemas.openxmlformats.org/officeDocument/2006/relationships/hyperlink" Target="http://www.assembly.state.ny.us/mem/?ad=50&amp;sh=map" TargetMode="External"/><Relationship Id="rId92" Type="http://schemas.openxmlformats.org/officeDocument/2006/relationships/hyperlink" Target="https://en.wikipedia.org/wiki/Peter_Abbate" TargetMode="External"/><Relationship Id="rId118" Type="http://schemas.openxmlformats.org/officeDocument/2006/relationships/hyperlink" Target="https://en.wikipedia.org/wiki/Nicole_Malliotakis" TargetMode="External"/><Relationship Id="rId239" Type="http://schemas.openxmlformats.org/officeDocument/2006/relationships/hyperlink" Target="https://en.wikipedia.org/wiki/William_Magnarelli" TargetMode="External"/><Relationship Id="rId117" Type="http://schemas.openxmlformats.org/officeDocument/2006/relationships/hyperlink" Target="http://www.assembly.state.ny.us/mem/?ad=64&amp;sh=map" TargetMode="External"/><Relationship Id="rId238" Type="http://schemas.openxmlformats.org/officeDocument/2006/relationships/hyperlink" Target="http://www.assembly.state.ny.us/mem/?ad=129&amp;sh=map" TargetMode="External"/><Relationship Id="rId359" Type="http://schemas.openxmlformats.org/officeDocument/2006/relationships/hyperlink" Target="http://www.nysenate.gov/district/49" TargetMode="External"/><Relationship Id="rId116" Type="http://schemas.openxmlformats.org/officeDocument/2006/relationships/hyperlink" Target="https://en.wikipedia.org/wiki/Michael_Cusick" TargetMode="External"/><Relationship Id="rId237" Type="http://schemas.openxmlformats.org/officeDocument/2006/relationships/hyperlink" Target="https://en.wikipedia.org/wiki/Pamela_Hunter" TargetMode="External"/><Relationship Id="rId358" Type="http://schemas.openxmlformats.org/officeDocument/2006/relationships/hyperlink" Target="https://en.wikipedia.org/wiki/Patty_Ritchie" TargetMode="External"/><Relationship Id="rId115" Type="http://schemas.openxmlformats.org/officeDocument/2006/relationships/hyperlink" Target="http://www.assembly.state.ny.us/mem/?ad=63&amp;sh=map" TargetMode="External"/><Relationship Id="rId236" Type="http://schemas.openxmlformats.org/officeDocument/2006/relationships/hyperlink" Target="http://www.assembly.state.ny.us/mem/?ad=128&amp;sh=map" TargetMode="External"/><Relationship Id="rId357" Type="http://schemas.openxmlformats.org/officeDocument/2006/relationships/hyperlink" Target="http://www.nysenate.gov/district/48" TargetMode="External"/><Relationship Id="rId119" Type="http://schemas.openxmlformats.org/officeDocument/2006/relationships/hyperlink" Target="http://www.assembly.state.ny.us/mem/?ad=65&amp;sh=map" TargetMode="External"/><Relationship Id="rId110" Type="http://schemas.openxmlformats.org/officeDocument/2006/relationships/hyperlink" Target="https://en.wikipedia.org/wiki/Jaime_Williams_(legislator)" TargetMode="External"/><Relationship Id="rId231" Type="http://schemas.openxmlformats.org/officeDocument/2006/relationships/hyperlink" Target="https://en.wikipedia.org/wiki/Barbara_Lifton" TargetMode="External"/><Relationship Id="rId352" Type="http://schemas.openxmlformats.org/officeDocument/2006/relationships/hyperlink" Target="https://en.wikipedia.org/wiki/Betty_Little" TargetMode="External"/><Relationship Id="rId230" Type="http://schemas.openxmlformats.org/officeDocument/2006/relationships/hyperlink" Target="http://www.assembly.state.ny.us/mem/?ad=125&amp;sh=map" TargetMode="External"/><Relationship Id="rId351" Type="http://schemas.openxmlformats.org/officeDocument/2006/relationships/hyperlink" Target="http://www.nysenate.gov/district/45" TargetMode="External"/><Relationship Id="rId350" Type="http://schemas.openxmlformats.org/officeDocument/2006/relationships/hyperlink" Target="https://en.wikipedia.org/wiki/Neil_Breslin" TargetMode="External"/><Relationship Id="rId114" Type="http://schemas.openxmlformats.org/officeDocument/2006/relationships/hyperlink" Target="http://www.assembly.state.ny.us/mem/?ad=62&amp;sh=map" TargetMode="External"/><Relationship Id="rId235" Type="http://schemas.openxmlformats.org/officeDocument/2006/relationships/hyperlink" Target="https://en.wikipedia.org/wiki/Albert_A._Stirpe,_Jr." TargetMode="External"/><Relationship Id="rId356" Type="http://schemas.openxmlformats.org/officeDocument/2006/relationships/hyperlink" Target="https://en.wikipedia.org/wiki/Joseph_Griffo" TargetMode="External"/><Relationship Id="rId113" Type="http://schemas.openxmlformats.org/officeDocument/2006/relationships/hyperlink" Target="http://www.assembly.state.ny.us/mem/?ad=61&amp;sh=map" TargetMode="External"/><Relationship Id="rId234" Type="http://schemas.openxmlformats.org/officeDocument/2006/relationships/hyperlink" Target="http://www.assembly.state.ny.us/mem/?ad=127&amp;sh=map" TargetMode="External"/><Relationship Id="rId355" Type="http://schemas.openxmlformats.org/officeDocument/2006/relationships/hyperlink" Target="http://www.nysenate.gov/district/47" TargetMode="External"/><Relationship Id="rId112" Type="http://schemas.openxmlformats.org/officeDocument/2006/relationships/hyperlink" Target="https://en.wikipedia.org/wiki/Charles_Barron" TargetMode="External"/><Relationship Id="rId233" Type="http://schemas.openxmlformats.org/officeDocument/2006/relationships/hyperlink" Target="https://en.wikipedia.org/wiki/Gary_Finch" TargetMode="External"/><Relationship Id="rId354" Type="http://schemas.openxmlformats.org/officeDocument/2006/relationships/hyperlink" Target="https://en.wikipedia.org/wiki/George_A._Amedore,_Jr." TargetMode="External"/><Relationship Id="rId111" Type="http://schemas.openxmlformats.org/officeDocument/2006/relationships/hyperlink" Target="http://www.assembly.state.ny.us/mem/?ad=60&amp;sh=map" TargetMode="External"/><Relationship Id="rId232" Type="http://schemas.openxmlformats.org/officeDocument/2006/relationships/hyperlink" Target="http://www.assembly.state.ny.us/mem/?ad=126&amp;sh=map" TargetMode="External"/><Relationship Id="rId353" Type="http://schemas.openxmlformats.org/officeDocument/2006/relationships/hyperlink" Target="http://www.nysenate.gov/district/46" TargetMode="External"/><Relationship Id="rId305" Type="http://schemas.openxmlformats.org/officeDocument/2006/relationships/hyperlink" Target="http://www.nysenate.gov/district/18" TargetMode="External"/><Relationship Id="rId304" Type="http://schemas.openxmlformats.org/officeDocument/2006/relationships/hyperlink" Target="https://en.wikipedia.org/wiki/Simcha_Felder" TargetMode="External"/><Relationship Id="rId303" Type="http://schemas.openxmlformats.org/officeDocument/2006/relationships/hyperlink" Target="http://www.nysenate.gov/district/17" TargetMode="External"/><Relationship Id="rId302" Type="http://schemas.openxmlformats.org/officeDocument/2006/relationships/hyperlink" Target="https://en.wikipedia.org/wiki/Toby_Ann_Stavisky" TargetMode="External"/><Relationship Id="rId309" Type="http://schemas.openxmlformats.org/officeDocument/2006/relationships/hyperlink" Target="http://www.nysenate.gov/district/21" TargetMode="External"/><Relationship Id="rId308" Type="http://schemas.openxmlformats.org/officeDocument/2006/relationships/hyperlink" Target="http://www.nysenate.gov/district/20" TargetMode="External"/><Relationship Id="rId307" Type="http://schemas.openxmlformats.org/officeDocument/2006/relationships/hyperlink" Target="https://en.wikipedia.org/wiki/Roxanne_Persaud" TargetMode="External"/><Relationship Id="rId306" Type="http://schemas.openxmlformats.org/officeDocument/2006/relationships/hyperlink" Target="https://www.nysenate.gov/district/19" TargetMode="External"/><Relationship Id="rId301" Type="http://schemas.openxmlformats.org/officeDocument/2006/relationships/hyperlink" Target="http://www.nysenate.gov/district/16" TargetMode="External"/><Relationship Id="rId300" Type="http://schemas.openxmlformats.org/officeDocument/2006/relationships/hyperlink" Target="https://en.wikipedia.org/wiki/Joseph_Addabbo,_Jr." TargetMode="External"/><Relationship Id="rId206" Type="http://schemas.openxmlformats.org/officeDocument/2006/relationships/hyperlink" Target="http://www.assembly.state.ny.us/mem/?ad=111&amp;sh=map" TargetMode="External"/><Relationship Id="rId327" Type="http://schemas.openxmlformats.org/officeDocument/2006/relationships/hyperlink" Target="https://en.wikipedia.org/wiki/Brian_Benjamin" TargetMode="External"/><Relationship Id="rId205" Type="http://schemas.openxmlformats.org/officeDocument/2006/relationships/hyperlink" Target="https://en.wikipedia.org/wiki/Phillip_Steck" TargetMode="External"/><Relationship Id="rId326" Type="http://schemas.openxmlformats.org/officeDocument/2006/relationships/hyperlink" Target="http://www.nysenate.gov/district/30" TargetMode="External"/><Relationship Id="rId204" Type="http://schemas.openxmlformats.org/officeDocument/2006/relationships/hyperlink" Target="http://www.assembly.state.ny.us/mem/?ad=110&amp;sh=map" TargetMode="External"/><Relationship Id="rId325" Type="http://schemas.openxmlformats.org/officeDocument/2006/relationships/hyperlink" Target="https://en.wikipedia.org/wiki/Jose_M._Serrano" TargetMode="External"/><Relationship Id="rId203" Type="http://schemas.openxmlformats.org/officeDocument/2006/relationships/hyperlink" Target="https://en.wikipedia.org/wiki/Patricia_Fahy" TargetMode="External"/><Relationship Id="rId324" Type="http://schemas.openxmlformats.org/officeDocument/2006/relationships/hyperlink" Target="http://www.nysenate.gov/district/29" TargetMode="External"/><Relationship Id="rId209" Type="http://schemas.openxmlformats.org/officeDocument/2006/relationships/hyperlink" Target="https://en.wikipedia.org/wiki/Mary_Beth_Walsh" TargetMode="External"/><Relationship Id="rId208" Type="http://schemas.openxmlformats.org/officeDocument/2006/relationships/hyperlink" Target="http://www.assembly.state.ny.us/mem/?ad=112&amp;sh=map" TargetMode="External"/><Relationship Id="rId329" Type="http://schemas.openxmlformats.org/officeDocument/2006/relationships/hyperlink" Target="http://www.nysenate.gov/district/32" TargetMode="External"/><Relationship Id="rId207" Type="http://schemas.openxmlformats.org/officeDocument/2006/relationships/hyperlink" Target="https://en.wikipedia.org/wiki/Angelo_Santabarbara" TargetMode="External"/><Relationship Id="rId328" Type="http://schemas.openxmlformats.org/officeDocument/2006/relationships/hyperlink" Target="http://www.nysenate.gov/district/31" TargetMode="External"/><Relationship Id="rId202" Type="http://schemas.openxmlformats.org/officeDocument/2006/relationships/hyperlink" Target="http://www.assembly.state.ny.us/mem/?ad=109&amp;sh=map" TargetMode="External"/><Relationship Id="rId323" Type="http://schemas.openxmlformats.org/officeDocument/2006/relationships/hyperlink" Target="https://en.wikipedia.org/wiki/Liz_Krueger" TargetMode="External"/><Relationship Id="rId201" Type="http://schemas.openxmlformats.org/officeDocument/2006/relationships/hyperlink" Target="https://en.wikipedia.org/wiki/John_T._McDonald_III" TargetMode="External"/><Relationship Id="rId322" Type="http://schemas.openxmlformats.org/officeDocument/2006/relationships/hyperlink" Target="http://www.nysenate.gov/district/28" TargetMode="External"/><Relationship Id="rId200" Type="http://schemas.openxmlformats.org/officeDocument/2006/relationships/hyperlink" Target="http://www.assembly.state.ny.us/mem/?ad=108&amp;sh=map" TargetMode="External"/><Relationship Id="rId321" Type="http://schemas.openxmlformats.org/officeDocument/2006/relationships/hyperlink" Target="https://en.wikipedia.org/wiki/Brad_Hoylman" TargetMode="External"/><Relationship Id="rId320" Type="http://schemas.openxmlformats.org/officeDocument/2006/relationships/hyperlink" Target="http://www.nysenate.gov/district/27" TargetMode="External"/><Relationship Id="rId316" Type="http://schemas.openxmlformats.org/officeDocument/2006/relationships/hyperlink" Target="http://www.nysenate.gov/district/25" TargetMode="External"/><Relationship Id="rId315" Type="http://schemas.openxmlformats.org/officeDocument/2006/relationships/hyperlink" Target="https://en.wikipedia.org/wiki/Andrew_J._Lanza" TargetMode="External"/><Relationship Id="rId314" Type="http://schemas.openxmlformats.org/officeDocument/2006/relationships/hyperlink" Target="http://www.nysenate.gov/district/24" TargetMode="External"/><Relationship Id="rId313" Type="http://schemas.openxmlformats.org/officeDocument/2006/relationships/hyperlink" Target="https://en.wikipedia.org/wiki/Diane_Savino" TargetMode="External"/><Relationship Id="rId319" Type="http://schemas.openxmlformats.org/officeDocument/2006/relationships/hyperlink" Target="https://en.wikipedia.org/wiki/Brian_P._Kavanagh" TargetMode="External"/><Relationship Id="rId318" Type="http://schemas.openxmlformats.org/officeDocument/2006/relationships/hyperlink" Target="http://www.nysenate.gov/district/26" TargetMode="External"/><Relationship Id="rId317" Type="http://schemas.openxmlformats.org/officeDocument/2006/relationships/hyperlink" Target="https://en.wikipedia.org/wiki/Velmanette_Montgomery" TargetMode="External"/><Relationship Id="rId312" Type="http://schemas.openxmlformats.org/officeDocument/2006/relationships/hyperlink" Target="http://www.nysenate.gov/district/23" TargetMode="External"/><Relationship Id="rId311" Type="http://schemas.openxmlformats.org/officeDocument/2006/relationships/hyperlink" Target="http://www.nysenate.gov/district/22" TargetMode="External"/><Relationship Id="rId310" Type="http://schemas.openxmlformats.org/officeDocument/2006/relationships/hyperlink" Target="https://en.wikipedia.org/wiki/Kevin_S._Parker"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en.wikipedia.org/wiki/Larry_Yarborough" TargetMode="External"/><Relationship Id="rId2" Type="http://schemas.openxmlformats.org/officeDocument/2006/relationships/hyperlink" Target="https://en.wikipedia.org/wiki/Michael_Speciale" TargetMode="External"/><Relationship Id="rId3" Type="http://schemas.openxmlformats.org/officeDocument/2006/relationships/hyperlink" Target="https://en.wikipedia.org/wiki/Jimmy_Dixon_(North_Carolina_politician)" TargetMode="External"/><Relationship Id="rId4" Type="http://schemas.openxmlformats.org/officeDocument/2006/relationships/hyperlink" Target="https://en.wikipedia.org/wiki/Greg_Murphy_(politician)" TargetMode="External"/><Relationship Id="rId9" Type="http://schemas.openxmlformats.org/officeDocument/2006/relationships/hyperlink" Target="https://en.wikipedia.org/wiki/Frank_Iler" TargetMode="External"/><Relationship Id="rId5" Type="http://schemas.openxmlformats.org/officeDocument/2006/relationships/hyperlink" Target="https://en.wikipedia.org/wiki/John_R._Bell,_IV" TargetMode="External"/><Relationship Id="rId6" Type="http://schemas.openxmlformats.org/officeDocument/2006/relationships/hyperlink" Target="https://en.wikipedia.org/wiki/Pat_McElraft" TargetMode="External"/><Relationship Id="rId7" Type="http://schemas.openxmlformats.org/officeDocument/2006/relationships/hyperlink" Target="https://en.wikipedia.org/wiki/George_Cleveland_(politician)" TargetMode="External"/><Relationship Id="rId8" Type="http://schemas.openxmlformats.org/officeDocument/2006/relationships/hyperlink" Target="https://en.wikipedia.org/wiki/Phil_Shepard" TargetMode="External"/><Relationship Id="rId40" Type="http://schemas.openxmlformats.org/officeDocument/2006/relationships/hyperlink" Target="https://en.wikipedia.org/wiki/Larry_Pittman" TargetMode="External"/><Relationship Id="rId42" Type="http://schemas.openxmlformats.org/officeDocument/2006/relationships/hyperlink" Target="https://en.wikipedia.org/wiki/Hugh_Blackwell" TargetMode="External"/><Relationship Id="rId41" Type="http://schemas.openxmlformats.org/officeDocument/2006/relationships/hyperlink" Target="https://en.wikipedia.org/wiki/Linda_P._Johnson" TargetMode="External"/><Relationship Id="rId44" Type="http://schemas.openxmlformats.org/officeDocument/2006/relationships/hyperlink" Target="https://en.wikipedia.org/wiki/John_A._Fraley" TargetMode="External"/><Relationship Id="rId43" Type="http://schemas.openxmlformats.org/officeDocument/2006/relationships/hyperlink" Target="https://en.wikipedia.org/wiki/Mitchell_S._Setzer" TargetMode="External"/><Relationship Id="rId46" Type="http://schemas.openxmlformats.org/officeDocument/2006/relationships/hyperlink" Target="https://en.wikipedia.org/wiki/Becky_Carney" TargetMode="External"/><Relationship Id="rId45" Type="http://schemas.openxmlformats.org/officeDocument/2006/relationships/hyperlink" Target="https://en.wikipedia.org/wiki/Jay_Adams_(politician)" TargetMode="External"/><Relationship Id="rId48" Type="http://schemas.openxmlformats.org/officeDocument/2006/relationships/hyperlink" Target="https://en.wikipedia.org/wiki/Kelly_Alexander" TargetMode="External"/><Relationship Id="rId47" Type="http://schemas.openxmlformats.org/officeDocument/2006/relationships/hyperlink" Target="https://en.wikipedia.org/wiki/Carla_Cunningham" TargetMode="External"/><Relationship Id="rId49" Type="http://schemas.openxmlformats.org/officeDocument/2006/relationships/hyperlink" Target="https://en.wikipedia.org/wiki/John_Torbett" TargetMode="External"/><Relationship Id="rId31" Type="http://schemas.openxmlformats.org/officeDocument/2006/relationships/hyperlink" Target="https://en.wikipedia.org/wiki/Ken_Goodman_(politician)" TargetMode="External"/><Relationship Id="rId30" Type="http://schemas.openxmlformats.org/officeDocument/2006/relationships/hyperlink" Target="https://en.wikipedia.org/wiki/Dennis_Riddell" TargetMode="External"/><Relationship Id="rId33" Type="http://schemas.openxmlformats.org/officeDocument/2006/relationships/hyperlink" Target="https://en.wikipedia.org/wiki/Pat_Hurley" TargetMode="External"/><Relationship Id="rId32" Type="http://schemas.openxmlformats.org/officeDocument/2006/relationships/hyperlink" Target="https://en.wikipedia.org/wiki/Dean_Arp" TargetMode="External"/><Relationship Id="rId35" Type="http://schemas.openxmlformats.org/officeDocument/2006/relationships/hyperlink" Target="https://en.wikipedia.org/wiki/Lee_Zachary" TargetMode="External"/><Relationship Id="rId34" Type="http://schemas.openxmlformats.org/officeDocument/2006/relationships/hyperlink" Target="https://en.wikipedia.org/wiki/North_Carolina_House_of_Representatives" TargetMode="External"/><Relationship Id="rId37" Type="http://schemas.openxmlformats.org/officeDocument/2006/relationships/hyperlink" Target="https://en.wikipedia.org/wiki/Carl_Ford_(politician)" TargetMode="External"/><Relationship Id="rId36" Type="http://schemas.openxmlformats.org/officeDocument/2006/relationships/hyperlink" Target="https://en.wikipedia.org/wiki/Donny_Lambeth" TargetMode="External"/><Relationship Id="rId39" Type="http://schemas.openxmlformats.org/officeDocument/2006/relationships/hyperlink" Target="https://en.wikipedia.org/wiki/Allen_McNeill" TargetMode="External"/><Relationship Id="rId38" Type="http://schemas.openxmlformats.org/officeDocument/2006/relationships/hyperlink" Target="https://en.wikipedia.org/wiki/Harry_J._Warren" TargetMode="External"/><Relationship Id="rId20" Type="http://schemas.openxmlformats.org/officeDocument/2006/relationships/hyperlink" Target="https://en.wikipedia.org/wiki/William_O._Richardson" TargetMode="External"/><Relationship Id="rId22" Type="http://schemas.openxmlformats.org/officeDocument/2006/relationships/hyperlink" Target="https://en.wikipedia.org/wiki/Garland_E._Pierce" TargetMode="External"/><Relationship Id="rId21" Type="http://schemas.openxmlformats.org/officeDocument/2006/relationships/hyperlink" Target="https://en.wikipedia.org/wiki/Charles_Graham_(American_politician)" TargetMode="External"/><Relationship Id="rId24" Type="http://schemas.openxmlformats.org/officeDocument/2006/relationships/hyperlink" Target="https://en.wikipedia.org/wiki/James_L._Boles,_Jr." TargetMode="External"/><Relationship Id="rId23" Type="http://schemas.openxmlformats.org/officeDocument/2006/relationships/hyperlink" Target="https://en.wikipedia.org/wiki/Graig_R._Meyer" TargetMode="External"/><Relationship Id="rId26" Type="http://schemas.openxmlformats.org/officeDocument/2006/relationships/hyperlink" Target="https://en.wikipedia.org/wiki/Mark_Brody" TargetMode="External"/><Relationship Id="rId25" Type="http://schemas.openxmlformats.org/officeDocument/2006/relationships/hyperlink" Target="https://en.wikipedia.org/wiki/David_R._Lewis" TargetMode="External"/><Relationship Id="rId28" Type="http://schemas.openxmlformats.org/officeDocument/2006/relationships/hyperlink" Target="https://en.wikipedia.org/wiki/John_Faircloth" TargetMode="External"/><Relationship Id="rId27" Type="http://schemas.openxmlformats.org/officeDocument/2006/relationships/hyperlink" Target="https://en.wikipedia.org/wiki/Verla_Insko" TargetMode="External"/><Relationship Id="rId29" Type="http://schemas.openxmlformats.org/officeDocument/2006/relationships/hyperlink" Target="https://en.wikipedia.org/wiki/John_M._Blust" TargetMode="External"/><Relationship Id="rId11" Type="http://schemas.openxmlformats.org/officeDocument/2006/relationships/hyperlink" Target="https://en.wikipedia.org/wiki/Shelly_Willingham" TargetMode="External"/><Relationship Id="rId10" Type="http://schemas.openxmlformats.org/officeDocument/2006/relationships/hyperlink" Target="https://en.wikipedia.org/wiki/William_Brisson" TargetMode="External"/><Relationship Id="rId13" Type="http://schemas.openxmlformats.org/officeDocument/2006/relationships/hyperlink" Target="https://en.wikipedia.org/wiki/Michael_H._Wray" TargetMode="External"/><Relationship Id="rId12" Type="http://schemas.openxmlformats.org/officeDocument/2006/relationships/hyperlink" Target="https://en.wikipedia.org/wiki/Jean_Farmer-Butterfield" TargetMode="External"/><Relationship Id="rId15" Type="http://schemas.openxmlformats.org/officeDocument/2006/relationships/hyperlink" Target="https://en.wikipedia.org/wiki/Grier_Martin" TargetMode="External"/><Relationship Id="rId14" Type="http://schemas.openxmlformats.org/officeDocument/2006/relationships/hyperlink" Target="https://en.wikipedia.org/wiki/Rosa_Gill" TargetMode="External"/><Relationship Id="rId17" Type="http://schemas.openxmlformats.org/officeDocument/2006/relationships/hyperlink" Target="https://en.wikipedia.org/wiki/Joe_John" TargetMode="External"/><Relationship Id="rId16" Type="http://schemas.openxmlformats.org/officeDocument/2006/relationships/hyperlink" Target="https://en.wikipedia.org/wiki/Darren_Jackson_(North_Carolina_politician)" TargetMode="External"/><Relationship Id="rId19" Type="http://schemas.openxmlformats.org/officeDocument/2006/relationships/hyperlink" Target="https://en.wikipedia.org/wiki/Elmer_Floyd" TargetMode="External"/><Relationship Id="rId18" Type="http://schemas.openxmlformats.org/officeDocument/2006/relationships/hyperlink" Target="https://en.wikipedia.org/wiki/Marvin_W._Lucas" TargetMode="External"/><Relationship Id="rId84" Type="http://schemas.openxmlformats.org/officeDocument/2006/relationships/drawing" Target="../drawings/drawing34.xml"/><Relationship Id="rId83" Type="http://schemas.openxmlformats.org/officeDocument/2006/relationships/hyperlink" Target="https://en.wikipedia.org/wiki/Jim_Davis_(North_Carolina_politician)" TargetMode="External"/><Relationship Id="rId80" Type="http://schemas.openxmlformats.org/officeDocument/2006/relationships/hyperlink" Target="https://en.wikipedia.org/wiki/Ralph_Hise" TargetMode="External"/><Relationship Id="rId82" Type="http://schemas.openxmlformats.org/officeDocument/2006/relationships/hyperlink" Target="https://en.wikipedia.org/wiki/Terry_Van_Duyn" TargetMode="External"/><Relationship Id="rId81" Type="http://schemas.openxmlformats.org/officeDocument/2006/relationships/hyperlink" Target="https://en.wikipedia.org/wiki/Chuck_Edwards" TargetMode="External"/><Relationship Id="rId73" Type="http://schemas.openxmlformats.org/officeDocument/2006/relationships/hyperlink" Target="https://en.wikipedia.org/wiki/Jeff_Jackson_(politician)" TargetMode="External"/><Relationship Id="rId72" Type="http://schemas.openxmlformats.org/officeDocument/2006/relationships/hyperlink" Target="https://en.wikipedia.org/w/index.php?title=Paul_Newton_(politician)&amp;action=edit&amp;redlink=1" TargetMode="External"/><Relationship Id="rId75" Type="http://schemas.openxmlformats.org/officeDocument/2006/relationships/hyperlink" Target="https://en.wikipedia.org/wiki/Joyce_Waddell" TargetMode="External"/><Relationship Id="rId74" Type="http://schemas.openxmlformats.org/officeDocument/2006/relationships/hyperlink" Target="https://en.wikipedia.org/wiki/Dan_Bishop" TargetMode="External"/><Relationship Id="rId77" Type="http://schemas.openxmlformats.org/officeDocument/2006/relationships/hyperlink" Target="https://en.wikipedia.org/wiki/Kathy_Harrington" TargetMode="External"/><Relationship Id="rId76" Type="http://schemas.openxmlformats.org/officeDocument/2006/relationships/hyperlink" Target="https://en.wikipedia.org/wiki/Andy_Wells_(North_Carolina_politician)" TargetMode="External"/><Relationship Id="rId79" Type="http://schemas.openxmlformats.org/officeDocument/2006/relationships/hyperlink" Target="https://en.wikipedia.org/wiki/Warren_Daniel" TargetMode="External"/><Relationship Id="rId78" Type="http://schemas.openxmlformats.org/officeDocument/2006/relationships/hyperlink" Target="https://en.wikipedia.org/w/index.php?title=Deanna_Ballard&amp;action=edit&amp;redlink=1" TargetMode="External"/><Relationship Id="rId71" Type="http://schemas.openxmlformats.org/officeDocument/2006/relationships/hyperlink" Target="https://en.wikipedia.org/wiki/Joyce_Krawiec" TargetMode="External"/><Relationship Id="rId70" Type="http://schemas.openxmlformats.org/officeDocument/2006/relationships/hyperlink" Target="https://en.wikipedia.org/wiki/Gladys_A._Robinson" TargetMode="External"/><Relationship Id="rId62" Type="http://schemas.openxmlformats.org/officeDocument/2006/relationships/hyperlink" Target="https://en.wikipedia.org/wiki/Brent_Jackson_(politician)" TargetMode="External"/><Relationship Id="rId61" Type="http://schemas.openxmlformats.org/officeDocument/2006/relationships/hyperlink" Target="https://en.wikipedia.org/wiki/Bill_Rabon" TargetMode="External"/><Relationship Id="rId64" Type="http://schemas.openxmlformats.org/officeDocument/2006/relationships/hyperlink" Target="https://en.wikipedia.org/wiki/Dan_Blue" TargetMode="External"/><Relationship Id="rId63" Type="http://schemas.openxmlformats.org/officeDocument/2006/relationships/hyperlink" Target="https://en.wikipedia.org/wiki/Rick_Horner" TargetMode="External"/><Relationship Id="rId66" Type="http://schemas.openxmlformats.org/officeDocument/2006/relationships/hyperlink" Target="https://en.wikipedia.org/wiki/Mike_Woodard_(politician)" TargetMode="External"/><Relationship Id="rId65" Type="http://schemas.openxmlformats.org/officeDocument/2006/relationships/hyperlink" Target="https://en.wikipedia.org/wiki/Ben_Clark_(politician)" TargetMode="External"/><Relationship Id="rId68" Type="http://schemas.openxmlformats.org/officeDocument/2006/relationships/hyperlink" Target="https://en.wikipedia.org/wiki/Rick_Gunn" TargetMode="External"/><Relationship Id="rId67" Type="http://schemas.openxmlformats.org/officeDocument/2006/relationships/hyperlink" Target="https://en.wikipedia.org/wiki/Valerie_P._Foushee" TargetMode="External"/><Relationship Id="rId60" Type="http://schemas.openxmlformats.org/officeDocument/2006/relationships/hyperlink" Target="https://en.wikipedia.org/wiki/Harry_Brown_(American_politician)" TargetMode="External"/><Relationship Id="rId69" Type="http://schemas.openxmlformats.org/officeDocument/2006/relationships/hyperlink" Target="https://en.wikipedia.org/wiki/Tom_McInnis_(North_Carolina_politician)" TargetMode="External"/><Relationship Id="rId51" Type="http://schemas.openxmlformats.org/officeDocument/2006/relationships/hyperlink" Target="https://en.wikipedia.org/wiki/Kelly_Hastings" TargetMode="External"/><Relationship Id="rId50" Type="http://schemas.openxmlformats.org/officeDocument/2006/relationships/hyperlink" Target="https://en.wikipedia.org/wiki/Dana_Bumgardner" TargetMode="External"/><Relationship Id="rId53" Type="http://schemas.openxmlformats.org/officeDocument/2006/relationships/hyperlink" Target="https://en.wikipedia.org/wiki/Susan_C._Fisher" TargetMode="External"/><Relationship Id="rId52" Type="http://schemas.openxmlformats.org/officeDocument/2006/relationships/hyperlink" Target="https://en.wikipedia.org/wiki/Tim_Moore_(North_Carolina_politician)" TargetMode="External"/><Relationship Id="rId55" Type="http://schemas.openxmlformats.org/officeDocument/2006/relationships/hyperlink" Target="https://en.wikipedia.org/wiki/Chuck_McGrady" TargetMode="External"/><Relationship Id="rId54" Type="http://schemas.openxmlformats.org/officeDocument/2006/relationships/hyperlink" Target="https://en.wikipedia.org/wiki/John_Ager" TargetMode="External"/><Relationship Id="rId57" Type="http://schemas.openxmlformats.org/officeDocument/2006/relationships/hyperlink" Target="https://en.wikipedia.org/wiki/Norman_W._Sanderson" TargetMode="External"/><Relationship Id="rId56" Type="http://schemas.openxmlformats.org/officeDocument/2006/relationships/hyperlink" Target="https://en.wikipedia.org/wiki/Michele_D._Presnell" TargetMode="External"/><Relationship Id="rId59" Type="http://schemas.openxmlformats.org/officeDocument/2006/relationships/hyperlink" Target="https://en.wikipedia.org/wiki/Donald_G._Davis" TargetMode="External"/><Relationship Id="rId58" Type="http://schemas.openxmlformats.org/officeDocument/2006/relationships/hyperlink" Target="https://en.wikipedia.org/wiki/Erica_D._Smith"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en.wikipedia.org/wiki/Patrick_Hatlestad" TargetMode="External"/><Relationship Id="rId2" Type="http://schemas.openxmlformats.org/officeDocument/2006/relationships/hyperlink" Target="https://en.wikipedia.org/wiki/Donald_Longmuir" TargetMode="External"/><Relationship Id="rId3" Type="http://schemas.openxmlformats.org/officeDocument/2006/relationships/hyperlink" Target="https://en.wikipedia.org/wiki/Dick_Anderson_(politician)" TargetMode="External"/><Relationship Id="rId4" Type="http://schemas.openxmlformats.org/officeDocument/2006/relationships/hyperlink" Target="https://en.wikipedia.org/wiki/Rick_Becker" TargetMode="External"/><Relationship Id="rId9" Type="http://schemas.openxmlformats.org/officeDocument/2006/relationships/hyperlink" Target="https://en.wikipedia.org/wiki/Chuck_Damschen" TargetMode="External"/><Relationship Id="rId5" Type="http://schemas.openxmlformats.org/officeDocument/2006/relationships/hyperlink" Target="https://en.wikipedia.org/wiki/Jeff_Delzer" TargetMode="External"/><Relationship Id="rId6" Type="http://schemas.openxmlformats.org/officeDocument/2006/relationships/hyperlink" Target="https://en.wikipedia.org/wiki/Vernon_R._Laning" TargetMode="External"/><Relationship Id="rId7" Type="http://schemas.openxmlformats.org/officeDocument/2006/relationships/hyperlink" Target="https://en.wikipedia.org/wiki/Tracy_Boe" TargetMode="External"/><Relationship Id="rId8" Type="http://schemas.openxmlformats.org/officeDocument/2006/relationships/hyperlink" Target="https://en.wikipedia.org/wiki/Marvin_Nelson" TargetMode="External"/><Relationship Id="rId40" Type="http://schemas.openxmlformats.org/officeDocument/2006/relationships/hyperlink" Target="https://en.wikipedia.org/wiki/Bob_Martinson" TargetMode="External"/><Relationship Id="rId42" Type="http://schemas.openxmlformats.org/officeDocument/2006/relationships/hyperlink" Target="https://en.wikipedia.org/wiki/Mike_Lefor" TargetMode="External"/><Relationship Id="rId41" Type="http://schemas.openxmlformats.org/officeDocument/2006/relationships/hyperlink" Target="https://en.wikipedia.org/wiki/Mike_Schatz_(politician)" TargetMode="External"/><Relationship Id="rId44" Type="http://schemas.openxmlformats.org/officeDocument/2006/relationships/hyperlink" Target="https://en.wikipedia.org/wiki/Larry_Bellew" TargetMode="External"/><Relationship Id="rId43" Type="http://schemas.openxmlformats.org/officeDocument/2006/relationships/hyperlink" Target="https://en.wikipedia.org/wiki/Vicky_Steiner" TargetMode="External"/><Relationship Id="rId46" Type="http://schemas.openxmlformats.org/officeDocument/2006/relationships/hyperlink" Target="https://en.wikipedia.org/wiki/Keith_Kempenich" TargetMode="External"/><Relationship Id="rId45" Type="http://schemas.openxmlformats.org/officeDocument/2006/relationships/hyperlink" Target="https://en.wikipedia.org/wiki/Dan_Ruby" TargetMode="External"/><Relationship Id="rId48" Type="http://schemas.openxmlformats.org/officeDocument/2006/relationships/hyperlink" Target="https://en.wikipedia.org/wiki/Joshua_Boschee" TargetMode="External"/><Relationship Id="rId47" Type="http://schemas.openxmlformats.org/officeDocument/2006/relationships/hyperlink" Target="https://en.wikipedia.org/wiki/Jake_Blum" TargetMode="External"/><Relationship Id="rId49" Type="http://schemas.openxmlformats.org/officeDocument/2006/relationships/hyperlink" Target="https://en.wikipedia.org/wiki/Tom_Kading" TargetMode="External"/><Relationship Id="rId31" Type="http://schemas.openxmlformats.org/officeDocument/2006/relationships/hyperlink" Target="https://en.wikipedia.org/wiki/Chet_Pollert" TargetMode="External"/><Relationship Id="rId30" Type="http://schemas.openxmlformats.org/officeDocument/2006/relationships/hyperlink" Target="https://en.wikipedia.org/wiki/Craig_Headland" TargetMode="External"/><Relationship Id="rId33" Type="http://schemas.openxmlformats.org/officeDocument/2006/relationships/hyperlink" Target="https://en.wikipedia.org/wiki/Karen_Rohr" TargetMode="External"/><Relationship Id="rId32" Type="http://schemas.openxmlformats.org/officeDocument/2006/relationships/hyperlink" Target="https://en.wikipedia.org/wiki/Mike_Nathe" TargetMode="External"/><Relationship Id="rId35" Type="http://schemas.openxmlformats.org/officeDocument/2006/relationships/hyperlink" Target="https://en.wikipedia.org/wiki/Lisa_Meier" TargetMode="External"/><Relationship Id="rId34" Type="http://schemas.openxmlformats.org/officeDocument/2006/relationships/hyperlink" Target="https://en.wikipedia.org/wiki/James_Schmidt" TargetMode="External"/><Relationship Id="rId37" Type="http://schemas.openxmlformats.org/officeDocument/2006/relationships/hyperlink" Target="https://en.wikipedia.org/wiki/Todd_Porter_(politician)" TargetMode="External"/><Relationship Id="rId36" Type="http://schemas.openxmlformats.org/officeDocument/2006/relationships/hyperlink" Target="https://en.wikipedia.org/wiki/Gary_Kreidt" TargetMode="External"/><Relationship Id="rId39" Type="http://schemas.openxmlformats.org/officeDocument/2006/relationships/hyperlink" Target="https://en.wikipedia.org/wiki/Karen_Karls" TargetMode="External"/><Relationship Id="rId38" Type="http://schemas.openxmlformats.org/officeDocument/2006/relationships/hyperlink" Target="https://en.wikipedia.org/wiki/Nathan_Toman" TargetMode="External"/><Relationship Id="rId20" Type="http://schemas.openxmlformats.org/officeDocument/2006/relationships/hyperlink" Target="https://en.wikipedia.org/wiki/Gary_Paur" TargetMode="External"/><Relationship Id="rId22" Type="http://schemas.openxmlformats.org/officeDocument/2006/relationships/hyperlink" Target="https://en.wikipedia.org/wiki/Richard_Holman" TargetMode="External"/><Relationship Id="rId21" Type="http://schemas.openxmlformats.org/officeDocument/2006/relationships/hyperlink" Target="https://en.wikipedia.org/wiki/Wayne_Trottier" TargetMode="External"/><Relationship Id="rId24" Type="http://schemas.openxmlformats.org/officeDocument/2006/relationships/hyperlink" Target="https://en.wikipedia.org/wiki/Bill_Devlin" TargetMode="External"/><Relationship Id="rId23" Type="http://schemas.openxmlformats.org/officeDocument/2006/relationships/hyperlink" Target="https://en.wikipedia.org/wiki/Mary_Schneider_(politician)" TargetMode="External"/><Relationship Id="rId26" Type="http://schemas.openxmlformats.org/officeDocument/2006/relationships/hyperlink" Target="https://en.wikipedia.org/wiki/Dwight_Kiefert" TargetMode="External"/><Relationship Id="rId25" Type="http://schemas.openxmlformats.org/officeDocument/2006/relationships/hyperlink" Target="https://en.wikipedia.org/wiki/Don_Vigesaa" TargetMode="External"/><Relationship Id="rId28" Type="http://schemas.openxmlformats.org/officeDocument/2006/relationships/hyperlink" Target="https://en.wikipedia.org/wiki/Sebastian_Ertelt" TargetMode="External"/><Relationship Id="rId27" Type="http://schemas.openxmlformats.org/officeDocument/2006/relationships/hyperlink" Target="https://en.wikipedia.org/wiki/Alisa_Mitskog" TargetMode="External"/><Relationship Id="rId29" Type="http://schemas.openxmlformats.org/officeDocument/2006/relationships/hyperlink" Target="https://en.wikipedia.org/wiki/Michael_Don_Brandenburg" TargetMode="External"/><Relationship Id="rId11" Type="http://schemas.openxmlformats.org/officeDocument/2006/relationships/hyperlink" Target="https://en.wikipedia.org/wiki/Gretchen_Dobervich" TargetMode="External"/><Relationship Id="rId10" Type="http://schemas.openxmlformats.org/officeDocument/2006/relationships/hyperlink" Target="https://en.wikipedia.org/wiki/David_Monson_(North_Dakota_politician)" TargetMode="External"/><Relationship Id="rId13" Type="http://schemas.openxmlformats.org/officeDocument/2006/relationships/hyperlink" Target="https://en.wikipedia.org/wiki/Kim_Koppelman" TargetMode="External"/><Relationship Id="rId12" Type="http://schemas.openxmlformats.org/officeDocument/2006/relationships/hyperlink" Target="https://en.wikipedia.org/wiki/Ron_Guggisberg" TargetMode="External"/><Relationship Id="rId15" Type="http://schemas.openxmlformats.org/officeDocument/2006/relationships/hyperlink" Target="https://en.wikipedia.org/wiki/Robin_Weisz" TargetMode="External"/><Relationship Id="rId14" Type="http://schemas.openxmlformats.org/officeDocument/2006/relationships/hyperlink" Target="https://en.wikipedia.org/wiki/Jon_Nelson_(politician)" TargetMode="External"/><Relationship Id="rId17" Type="http://schemas.openxmlformats.org/officeDocument/2006/relationships/hyperlink" Target="https://en.wikipedia.org/wiki/Mark_Owens" TargetMode="External"/><Relationship Id="rId16" Type="http://schemas.openxmlformats.org/officeDocument/2006/relationships/hyperlink" Target="https://en.wikipedia.org/wiki/Dennis_Johnson_(North_Dakota_politician)" TargetMode="External"/><Relationship Id="rId19" Type="http://schemas.openxmlformats.org/officeDocument/2006/relationships/hyperlink" Target="https://en.wikipedia.org/wiki/Corey_Mock" TargetMode="External"/><Relationship Id="rId18" Type="http://schemas.openxmlformats.org/officeDocument/2006/relationships/hyperlink" Target="https://en.wikipedia.org/wiki/Mark_Sanford_(North_Dakota_politician)" TargetMode="External"/><Relationship Id="rId80" Type="http://schemas.openxmlformats.org/officeDocument/2006/relationships/hyperlink" Target="https://en.wikipedia.org/wiki/Karen_Krebsbach" TargetMode="External"/><Relationship Id="rId82" Type="http://schemas.openxmlformats.org/officeDocument/2006/relationships/drawing" Target="../drawings/drawing35.xml"/><Relationship Id="rId81" Type="http://schemas.openxmlformats.org/officeDocument/2006/relationships/hyperlink" Target="https://en.wikipedia.org/wiki/Ronald_Sorvaag" TargetMode="External"/><Relationship Id="rId73" Type="http://schemas.openxmlformats.org/officeDocument/2006/relationships/hyperlink" Target="https://en.wikipedia.org/wiki/Dick_Dever" TargetMode="External"/><Relationship Id="rId72" Type="http://schemas.openxmlformats.org/officeDocument/2006/relationships/hyperlink" Target="https://en.wikipedia.org/wiki/Donald_Schaible" TargetMode="External"/><Relationship Id="rId75" Type="http://schemas.openxmlformats.org/officeDocument/2006/relationships/hyperlink" Target="https://en.wikipedia.org/wiki/Dwight_Cook" TargetMode="External"/><Relationship Id="rId74" Type="http://schemas.openxmlformats.org/officeDocument/2006/relationships/hyperlink" Target="https://en.wikipedia.org/wiki/Jessica_Unruh" TargetMode="External"/><Relationship Id="rId77" Type="http://schemas.openxmlformats.org/officeDocument/2006/relationships/hyperlink" Target="https://en.wikipedia.org/wiki/Kelly_Armstrong" TargetMode="External"/><Relationship Id="rId76" Type="http://schemas.openxmlformats.org/officeDocument/2006/relationships/hyperlink" Target="https://en.wikipedia.org/wiki/Erin_Oban" TargetMode="External"/><Relationship Id="rId79" Type="http://schemas.openxmlformats.org/officeDocument/2006/relationships/hyperlink" Target="https://en.wikipedia.org/wiki/David_Hogue" TargetMode="External"/><Relationship Id="rId78" Type="http://schemas.openxmlformats.org/officeDocument/2006/relationships/hyperlink" Target="https://en.wikipedia.org/wiki/Rich_Wardner" TargetMode="External"/><Relationship Id="rId71" Type="http://schemas.openxmlformats.org/officeDocument/2006/relationships/hyperlink" Target="https://en.wikipedia.org/wiki/Terry_Wanzek" TargetMode="External"/><Relationship Id="rId70" Type="http://schemas.openxmlformats.org/officeDocument/2006/relationships/hyperlink" Target="https://en.wikipedia.org/wiki/Robert_Erbele" TargetMode="External"/><Relationship Id="rId62" Type="http://schemas.openxmlformats.org/officeDocument/2006/relationships/hyperlink" Target="https://en.wikipedia.org/wiki/Judy_Lee" TargetMode="External"/><Relationship Id="rId61" Type="http://schemas.openxmlformats.org/officeDocument/2006/relationships/hyperlink" Target="https://en.wikipedia.org/wiki/John_Grabinger" TargetMode="External"/><Relationship Id="rId64" Type="http://schemas.openxmlformats.org/officeDocument/2006/relationships/hyperlink" Target="https://en.wikipedia.org/wiki/Ray_Holmberg" TargetMode="External"/><Relationship Id="rId63" Type="http://schemas.openxmlformats.org/officeDocument/2006/relationships/hyperlink" Target="https://en.wikipedia.org/wiki/Jerry_Klein" TargetMode="External"/><Relationship Id="rId66" Type="http://schemas.openxmlformats.org/officeDocument/2006/relationships/hyperlink" Target="https://en.wikipedia.org/wiki/Joan_Heckaman" TargetMode="External"/><Relationship Id="rId65" Type="http://schemas.openxmlformats.org/officeDocument/2006/relationships/hyperlink" Target="https://en.wikipedia.org/wiki/Gary_Lee_(politician)" TargetMode="External"/><Relationship Id="rId68" Type="http://schemas.openxmlformats.org/officeDocument/2006/relationships/hyperlink" Target="https://en.wikipedia.org/wiki/Larry_Luick" TargetMode="External"/><Relationship Id="rId67" Type="http://schemas.openxmlformats.org/officeDocument/2006/relationships/hyperlink" Target="https://en.wikipedia.org/wiki/Larry_Robinson_(politician)" TargetMode="External"/><Relationship Id="rId60" Type="http://schemas.openxmlformats.org/officeDocument/2006/relationships/hyperlink" Target="https://en.wikipedia.org/wiki/Tim_Mathern" TargetMode="External"/><Relationship Id="rId69" Type="http://schemas.openxmlformats.org/officeDocument/2006/relationships/hyperlink" Target="https://en.wikipedia.org/wiki/Jim_Dotzenrod" TargetMode="External"/><Relationship Id="rId51" Type="http://schemas.openxmlformats.org/officeDocument/2006/relationships/hyperlink" Target="https://en.wikipedia.org/wiki/George_Keiser" TargetMode="External"/><Relationship Id="rId50" Type="http://schemas.openxmlformats.org/officeDocument/2006/relationships/hyperlink" Target="https://en.wikipedia.org/wiki/James_Kasper" TargetMode="External"/><Relationship Id="rId53" Type="http://schemas.openxmlformats.org/officeDocument/2006/relationships/hyperlink" Target="https://en.wikipedia.org/wiki/David_Rust" TargetMode="External"/><Relationship Id="rId52" Type="http://schemas.openxmlformats.org/officeDocument/2006/relationships/hyperlink" Target="https://en.wikipedia.org/wiki/Lawrence_Klemin" TargetMode="External"/><Relationship Id="rId55" Type="http://schemas.openxmlformats.org/officeDocument/2006/relationships/hyperlink" Target="https://en.wikipedia.org/wiki/Randy_Burckhard" TargetMode="External"/><Relationship Id="rId54" Type="http://schemas.openxmlformats.org/officeDocument/2006/relationships/hyperlink" Target="https://en.wikipedia.org/wiki/Oley_Larsen" TargetMode="External"/><Relationship Id="rId57" Type="http://schemas.openxmlformats.org/officeDocument/2006/relationships/hyperlink" Target="https://en.wikipedia.org/wiki/Howard_C._Anderson,_Jr." TargetMode="External"/><Relationship Id="rId56" Type="http://schemas.openxmlformats.org/officeDocument/2006/relationships/hyperlink" Target="https://en.wikipedia.org/wiki/Nicole_Poolman" TargetMode="External"/><Relationship Id="rId59" Type="http://schemas.openxmlformats.org/officeDocument/2006/relationships/hyperlink" Target="https://en.wikipedia.org/wiki/Janne_Myrdal" TargetMode="External"/><Relationship Id="rId58" Type="http://schemas.openxmlformats.org/officeDocument/2006/relationships/hyperlink" Target="https://en.wikipedia.org/wiki/Richard_Marcellais"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en.wikipedia.org/wiki/Scott_Wiggam" TargetMode="External"/><Relationship Id="rId2" Type="http://schemas.openxmlformats.org/officeDocument/2006/relationships/hyperlink" Target="https://en.wikipedia.org/wiki/Mark_Romanchuk" TargetMode="External"/><Relationship Id="rId3" Type="http://schemas.openxmlformats.org/officeDocument/2006/relationships/hyperlink" Target="https://en.wikipedia.org/wiki/Theresa_Gavarone" TargetMode="External"/><Relationship Id="rId4" Type="http://schemas.openxmlformats.org/officeDocument/2006/relationships/hyperlink" Target="https://en.wikipedia.org/wiki/Robert_Cupp" TargetMode="External"/><Relationship Id="rId9" Type="http://schemas.openxmlformats.org/officeDocument/2006/relationships/hyperlink" Target="https://en.wikipedia.org/wiki/Stephanie_Howse" TargetMode="External"/><Relationship Id="rId5" Type="http://schemas.openxmlformats.org/officeDocument/2006/relationships/hyperlink" Target="https://en.wikipedia.org/wiki/Tim_Ginter" TargetMode="External"/><Relationship Id="rId6" Type="http://schemas.openxmlformats.org/officeDocument/2006/relationships/hyperlink" Target="https://en.wikipedia.org/wiki/Tom_Patton" TargetMode="External"/><Relationship Id="rId7" Type="http://schemas.openxmlformats.org/officeDocument/2006/relationships/hyperlink" Target="https://en.wikipedia.org/wiki/Kent_Smith_(politician)" TargetMode="External"/><Relationship Id="rId8" Type="http://schemas.openxmlformats.org/officeDocument/2006/relationships/hyperlink" Target="https://en.wikipedia.org/wiki/Janine_Boyd" TargetMode="External"/><Relationship Id="rId40" Type="http://schemas.openxmlformats.org/officeDocument/2006/relationships/hyperlink" Target="https://en.wikipedia.org/wiki/Glenn_Holmes" TargetMode="External"/><Relationship Id="rId42" Type="http://schemas.openxmlformats.org/officeDocument/2006/relationships/hyperlink" Target="https://en.wikipedia.org/wiki/John_Becker_(politician)" TargetMode="External"/><Relationship Id="rId41" Type="http://schemas.openxmlformats.org/officeDocument/2006/relationships/hyperlink" Target="https://en.wikipedia.org/wiki/Michael_O%27Brien_(U.S._politician)" TargetMode="External"/><Relationship Id="rId44" Type="http://schemas.openxmlformats.org/officeDocument/2006/relationships/hyperlink" Target="https://en.wikipedia.org/wiki/Rick_Carfagna" TargetMode="External"/><Relationship Id="rId43" Type="http://schemas.openxmlformats.org/officeDocument/2006/relationships/hyperlink" Target="https://en.wikipedia.org/wiki/Doug_Green_(Ohio_politician)" TargetMode="External"/><Relationship Id="rId46" Type="http://schemas.openxmlformats.org/officeDocument/2006/relationships/hyperlink" Target="https://en.wikipedia.org/wiki/Darrell_Kick" TargetMode="External"/><Relationship Id="rId45" Type="http://schemas.openxmlformats.org/officeDocument/2006/relationships/hyperlink" Target="https://en.wikipedia.org/wiki/Steve_Hambley" TargetMode="External"/><Relationship Id="rId48" Type="http://schemas.openxmlformats.org/officeDocument/2006/relationships/hyperlink" Target="https://en.wikipedia.org/wiki/Larry_Householder" TargetMode="External"/><Relationship Id="rId47" Type="http://schemas.openxmlformats.org/officeDocument/2006/relationships/hyperlink" Target="https://en.wikipedia.org/wiki/Scott_Ryan_(Ohio_politician)" TargetMode="External"/><Relationship Id="rId49" Type="http://schemas.openxmlformats.org/officeDocument/2006/relationships/hyperlink" Target="https://en.wikipedia.org/wiki/Rick_Perales" TargetMode="External"/><Relationship Id="rId31" Type="http://schemas.openxmlformats.org/officeDocument/2006/relationships/hyperlink" Target="https://en.wikipedia.org/wiki/Derek_Merrin" TargetMode="External"/><Relationship Id="rId30" Type="http://schemas.openxmlformats.org/officeDocument/2006/relationships/hyperlink" Target="https://en.wikipedia.org/wiki/Michael_Sheehy" TargetMode="External"/><Relationship Id="rId33" Type="http://schemas.openxmlformats.org/officeDocument/2006/relationships/hyperlink" Target="https://en.wikipedia.org/wiki/George_Lang_(Ohio_politician)" TargetMode="External"/><Relationship Id="rId32" Type="http://schemas.openxmlformats.org/officeDocument/2006/relationships/hyperlink" Target="https://en.wikipedia.org/wiki/Tom_West_(Ohio_politician)" TargetMode="External"/><Relationship Id="rId35" Type="http://schemas.openxmlformats.org/officeDocument/2006/relationships/hyperlink" Target="https://en.wikipedia.org/wiki/Paul_Zeltwanger" TargetMode="External"/><Relationship Id="rId34" Type="http://schemas.openxmlformats.org/officeDocument/2006/relationships/hyperlink" Target="https://en.wikipedia.org/wiki/Candice_Keller" TargetMode="External"/><Relationship Id="rId37" Type="http://schemas.openxmlformats.org/officeDocument/2006/relationships/hyperlink" Target="https://en.wikipedia.org/wiki/Michele_Lepore-Hagan" TargetMode="External"/><Relationship Id="rId36" Type="http://schemas.openxmlformats.org/officeDocument/2006/relationships/hyperlink" Target="https://en.wikipedia.org/wiki/Dick_Stein" TargetMode="External"/><Relationship Id="rId39" Type="http://schemas.openxmlformats.org/officeDocument/2006/relationships/hyperlink" Target="https://en.wikipedia.org/wiki/Scott_Lipps_(politician)" TargetMode="External"/><Relationship Id="rId38" Type="http://schemas.openxmlformats.org/officeDocument/2006/relationships/hyperlink" Target="https://en.wikipedia.org/wiki/John_Rogers_(Ohio_politician)" TargetMode="External"/><Relationship Id="rId20" Type="http://schemas.openxmlformats.org/officeDocument/2006/relationships/hyperlink" Target="https://en.wikipedia.org/wiki/Bill_Seitz" TargetMode="External"/><Relationship Id="rId22" Type="http://schemas.openxmlformats.org/officeDocument/2006/relationships/hyperlink" Target="https://en.wikipedia.org/wiki/Catherine_Ingram" TargetMode="External"/><Relationship Id="rId21" Type="http://schemas.openxmlformats.org/officeDocument/2006/relationships/hyperlink" Target="https://en.wikipedia.org/wiki/Brigid_Kelly" TargetMode="External"/><Relationship Id="rId24" Type="http://schemas.openxmlformats.org/officeDocument/2006/relationships/hyperlink" Target="https://en.wikipedia.org/wiki/Tavia_Galonski" TargetMode="External"/><Relationship Id="rId23" Type="http://schemas.openxmlformats.org/officeDocument/2006/relationships/hyperlink" Target="https://en.wikipedia.org/wiki/Emilia_Sykes" TargetMode="External"/><Relationship Id="rId26" Type="http://schemas.openxmlformats.org/officeDocument/2006/relationships/hyperlink" Target="https://en.wikipedia.org/wiki/Fred_Strahorn" TargetMode="External"/><Relationship Id="rId25" Type="http://schemas.openxmlformats.org/officeDocument/2006/relationships/hyperlink" Target="https://en.wikipedia.org/wiki/Anthony_DeVitis" TargetMode="External"/><Relationship Id="rId28" Type="http://schemas.openxmlformats.org/officeDocument/2006/relationships/hyperlink" Target="https://en.wikipedia.org/wiki/Niraj_Antani" TargetMode="External"/><Relationship Id="rId27" Type="http://schemas.openxmlformats.org/officeDocument/2006/relationships/hyperlink" Target="https://en.wikipedia.org/wiki/Jim_Butler_(Ohio_politician)" TargetMode="External"/><Relationship Id="rId29" Type="http://schemas.openxmlformats.org/officeDocument/2006/relationships/hyperlink" Target="https://en.wikipedia.org/wiki/Jeff_Rezabek" TargetMode="External"/><Relationship Id="rId11" Type="http://schemas.openxmlformats.org/officeDocument/2006/relationships/hyperlink" Target="https://en.wikipedia.org/wiki/Adam_Miller_(Ohio_politician)" TargetMode="External"/><Relationship Id="rId10" Type="http://schemas.openxmlformats.org/officeDocument/2006/relationships/hyperlink" Target="https://en.wikipedia.org/wiki/David_Greenspan_(politician)" TargetMode="External"/><Relationship Id="rId13" Type="http://schemas.openxmlformats.org/officeDocument/2006/relationships/hyperlink" Target="https://en.wikipedia.org/wiki/Richard_Brown_(Ohio_politician)" TargetMode="External"/><Relationship Id="rId12" Type="http://schemas.openxmlformats.org/officeDocument/2006/relationships/hyperlink" Target="https://en.wikipedia.org/wiki/Kristin_Boggs" TargetMode="External"/><Relationship Id="rId15" Type="http://schemas.openxmlformats.org/officeDocument/2006/relationships/hyperlink" Target="https://en.wikipedia.org/wiki/Laura_Lanese" TargetMode="External"/><Relationship Id="rId14" Type="http://schemas.openxmlformats.org/officeDocument/2006/relationships/hyperlink" Target="https://en.wikipedia.org/wiki/David_J._Leland" TargetMode="External"/><Relationship Id="rId17" Type="http://schemas.openxmlformats.org/officeDocument/2006/relationships/hyperlink" Target="https://en.wikipedia.org/wiki/Tom_Brinkman" TargetMode="External"/><Relationship Id="rId16" Type="http://schemas.openxmlformats.org/officeDocument/2006/relationships/hyperlink" Target="https://en.wikipedia.org/wiki/Bernadine_Kent" TargetMode="External"/><Relationship Id="rId19" Type="http://schemas.openxmlformats.org/officeDocument/2006/relationships/hyperlink" Target="https://en.wikipedia.org/wiki/Louis_Blessing" TargetMode="External"/><Relationship Id="rId18" Type="http://schemas.openxmlformats.org/officeDocument/2006/relationships/hyperlink" Target="https://en.wikipedia.org/wiki/Jonathan_Dever" TargetMode="External"/><Relationship Id="rId84" Type="http://schemas.openxmlformats.org/officeDocument/2006/relationships/hyperlink" Target="https://en.wikipedia.org/wiki/Bob_Hackett" TargetMode="External"/><Relationship Id="rId83" Type="http://schemas.openxmlformats.org/officeDocument/2006/relationships/hyperlink" Target="https://en.wikipedia.org/wiki/Ohio%27s_10th_senatorial_district" TargetMode="External"/><Relationship Id="rId86" Type="http://schemas.openxmlformats.org/officeDocument/2006/relationships/hyperlink" Target="https://en.wikipedia.org/wiki/Ohio%27s_12th_senatorial_district" TargetMode="External"/><Relationship Id="rId85" Type="http://schemas.openxmlformats.org/officeDocument/2006/relationships/hyperlink" Target="https://en.wikipedia.org/wiki/Ohio%27s_11th_senatorial_district" TargetMode="External"/><Relationship Id="rId88" Type="http://schemas.openxmlformats.org/officeDocument/2006/relationships/hyperlink" Target="https://en.wikipedia.org/wiki/Ohio%27s_13th_senatorial_district" TargetMode="External"/><Relationship Id="rId87" Type="http://schemas.openxmlformats.org/officeDocument/2006/relationships/hyperlink" Target="https://en.wikipedia.org/wiki/Matt_Huffman" TargetMode="External"/><Relationship Id="rId89" Type="http://schemas.openxmlformats.org/officeDocument/2006/relationships/hyperlink" Target="https://en.wikipedia.org/wiki/Ohio%27s_14th_senatorial_district" TargetMode="External"/><Relationship Id="rId80" Type="http://schemas.openxmlformats.org/officeDocument/2006/relationships/hyperlink" Target="https://en.wikipedia.org/wiki/Louis_Terhar" TargetMode="External"/><Relationship Id="rId82" Type="http://schemas.openxmlformats.org/officeDocument/2006/relationships/hyperlink" Target="https://en.wikipedia.org/wiki/Cecil_Thomas_(politician)" TargetMode="External"/><Relationship Id="rId81" Type="http://schemas.openxmlformats.org/officeDocument/2006/relationships/hyperlink" Target="https://en.wikipedia.org/wiki/Ohio%27s_9th_senatorial_district" TargetMode="External"/><Relationship Id="rId73" Type="http://schemas.openxmlformats.org/officeDocument/2006/relationships/hyperlink" Target="https://en.wikipedia.org/wiki/Bill_Coley" TargetMode="External"/><Relationship Id="rId72" Type="http://schemas.openxmlformats.org/officeDocument/2006/relationships/hyperlink" Target="https://en.wikipedia.org/wiki/Ohio%27s_4th_senatorial_district" TargetMode="External"/><Relationship Id="rId75" Type="http://schemas.openxmlformats.org/officeDocument/2006/relationships/hyperlink" Target="https://en.wikipedia.org/wiki/Ohio%27s_6th_senatorial_district" TargetMode="External"/><Relationship Id="rId74" Type="http://schemas.openxmlformats.org/officeDocument/2006/relationships/hyperlink" Target="https://en.wikipedia.org/wiki/Ohio%27s_5th_senatorial_district" TargetMode="External"/><Relationship Id="rId77" Type="http://schemas.openxmlformats.org/officeDocument/2006/relationships/hyperlink" Target="https://en.wikipedia.org/wiki/Ohio%27s_7th_senatorial_district" TargetMode="External"/><Relationship Id="rId76" Type="http://schemas.openxmlformats.org/officeDocument/2006/relationships/hyperlink" Target="https://en.wikipedia.org/wiki/Peggy_Lehner" TargetMode="External"/><Relationship Id="rId79" Type="http://schemas.openxmlformats.org/officeDocument/2006/relationships/hyperlink" Target="https://en.wikipedia.org/wiki/Ohio%27s_8th_senatorial_district" TargetMode="External"/><Relationship Id="rId78" Type="http://schemas.openxmlformats.org/officeDocument/2006/relationships/hyperlink" Target="https://en.wikipedia.org/wiki/Steve_Wilson_(Ohio_politician)" TargetMode="External"/><Relationship Id="rId71" Type="http://schemas.openxmlformats.org/officeDocument/2006/relationships/hyperlink" Target="https://en.wikipedia.org/wiki/Ohio%27s_3rd_senatorial_district" TargetMode="External"/><Relationship Id="rId70" Type="http://schemas.openxmlformats.org/officeDocument/2006/relationships/hyperlink" Target="https://en.wikipedia.org/wiki/Randy_Gardner_(Ohio_politician)" TargetMode="External"/><Relationship Id="rId62" Type="http://schemas.openxmlformats.org/officeDocument/2006/relationships/hyperlink" Target="https://en.wikipedia.org/wiki/Ryan_Smith_(Ohio_politician)" TargetMode="External"/><Relationship Id="rId61" Type="http://schemas.openxmlformats.org/officeDocument/2006/relationships/hyperlink" Target="https://en.wikipedia.org/wiki/Gary_Scherer" TargetMode="External"/><Relationship Id="rId64" Type="http://schemas.openxmlformats.org/officeDocument/2006/relationships/hyperlink" Target="https://en.wikipedia.org/wiki/Jack_Cera" TargetMode="External"/><Relationship Id="rId63" Type="http://schemas.openxmlformats.org/officeDocument/2006/relationships/hyperlink" Target="https://en.wikipedia.org/wiki/Jay_Edwards_(politician)" TargetMode="External"/><Relationship Id="rId66" Type="http://schemas.openxmlformats.org/officeDocument/2006/relationships/hyperlink" Target="https://en.wikipedia.org/wiki/John_Patterson_(Ohio_state_representative)" TargetMode="External"/><Relationship Id="rId65" Type="http://schemas.openxmlformats.org/officeDocument/2006/relationships/hyperlink" Target="https://en.wikipedia.org/wiki/Brian_Hill_(Ohio_politician)" TargetMode="External"/><Relationship Id="rId68" Type="http://schemas.openxmlformats.org/officeDocument/2006/relationships/hyperlink" Target="https://en.wikipedia.org/wiki/Rob_McColley" TargetMode="External"/><Relationship Id="rId67" Type="http://schemas.openxmlformats.org/officeDocument/2006/relationships/hyperlink" Target="https://en.wikipedia.org/wiki/Ohio%27s_1st_senatorial_district" TargetMode="External"/><Relationship Id="rId60" Type="http://schemas.openxmlformats.org/officeDocument/2006/relationships/hyperlink" Target="https://en.wikipedia.org/wiki/Steve_Arndt" TargetMode="External"/><Relationship Id="rId69" Type="http://schemas.openxmlformats.org/officeDocument/2006/relationships/hyperlink" Target="https://en.wikipedia.org/wiki/Ohio%27s_2nd_senatorial_district" TargetMode="External"/><Relationship Id="rId51" Type="http://schemas.openxmlformats.org/officeDocument/2006/relationships/hyperlink" Target="https://en.wikipedia.org/wiki/Sarah_LaTourette" TargetMode="External"/><Relationship Id="rId50" Type="http://schemas.openxmlformats.org/officeDocument/2006/relationships/hyperlink" Target="https://en.wikipedia.org/wiki/Bill_Dean_(legislator)" TargetMode="External"/><Relationship Id="rId53" Type="http://schemas.openxmlformats.org/officeDocument/2006/relationships/hyperlink" Target="https://en.wikipedia.org/wiki/Ron_Hood" TargetMode="External"/><Relationship Id="rId52" Type="http://schemas.openxmlformats.org/officeDocument/2006/relationships/hyperlink" Target="https://en.wikipedia.org/wiki/Tim_Schaffer" TargetMode="External"/><Relationship Id="rId55" Type="http://schemas.openxmlformats.org/officeDocument/2006/relationships/hyperlink" Target="https://en.wikipedia.org/wiki/Jim_Hoops" TargetMode="External"/><Relationship Id="rId54" Type="http://schemas.openxmlformats.org/officeDocument/2006/relationships/hyperlink" Target="https://en.wikipedia.org/wiki/Kyle_Koehler" TargetMode="External"/><Relationship Id="rId57" Type="http://schemas.openxmlformats.org/officeDocument/2006/relationships/hyperlink" Target="https://en.wikipedia.org/wiki/Nino_Vitale" TargetMode="External"/><Relationship Id="rId56" Type="http://schemas.openxmlformats.org/officeDocument/2006/relationships/hyperlink" Target="https://en.wikipedia.org/wiki/Craig_Riedel" TargetMode="External"/><Relationship Id="rId59" Type="http://schemas.openxmlformats.org/officeDocument/2006/relationships/hyperlink" Target="https://en.wikipedia.org/wiki/Bill_Reineke" TargetMode="External"/><Relationship Id="rId58" Type="http://schemas.openxmlformats.org/officeDocument/2006/relationships/hyperlink" Target="https://en.wikipedia.org/w/index.php?title=Riordan_McClain&amp;action=edit&amp;redlink=1" TargetMode="External"/><Relationship Id="rId107" Type="http://schemas.openxmlformats.org/officeDocument/2006/relationships/hyperlink" Target="https://en.wikipedia.org/wiki/Matt_Dolan" TargetMode="External"/><Relationship Id="rId106" Type="http://schemas.openxmlformats.org/officeDocument/2006/relationships/hyperlink" Target="https://en.wikipedia.org/wiki/Ohio%27s_24th_senatorial_district" TargetMode="External"/><Relationship Id="rId105" Type="http://schemas.openxmlformats.org/officeDocument/2006/relationships/hyperlink" Target="https://en.wikipedia.org/wiki/Ohio%27s_23rd_senatorial_district" TargetMode="External"/><Relationship Id="rId104" Type="http://schemas.openxmlformats.org/officeDocument/2006/relationships/hyperlink" Target="https://en.wikipedia.org/wiki/Larry_Obhof" TargetMode="External"/><Relationship Id="rId109" Type="http://schemas.openxmlformats.org/officeDocument/2006/relationships/hyperlink" Target="https://en.wikipedia.org/wiki/Kenny_Yuko" TargetMode="External"/><Relationship Id="rId108" Type="http://schemas.openxmlformats.org/officeDocument/2006/relationships/hyperlink" Target="https://en.wikipedia.org/wiki/Ohio%27s_25th_senatorial_district" TargetMode="External"/><Relationship Id="rId103" Type="http://schemas.openxmlformats.org/officeDocument/2006/relationships/hyperlink" Target="https://en.wikipedia.org/wiki/Ohio%27s_22nd_senatorial_district" TargetMode="External"/><Relationship Id="rId102" Type="http://schemas.openxmlformats.org/officeDocument/2006/relationships/hyperlink" Target="https://en.wikipedia.org/wiki/Sandra_Williams" TargetMode="External"/><Relationship Id="rId101" Type="http://schemas.openxmlformats.org/officeDocument/2006/relationships/hyperlink" Target="https://en.wikipedia.org/wiki/Ohio%27s_21st_senatorial_district" TargetMode="External"/><Relationship Id="rId100" Type="http://schemas.openxmlformats.org/officeDocument/2006/relationships/hyperlink" Target="https://en.wikipedia.org/wiki/Troy_Balderson" TargetMode="External"/><Relationship Id="rId121" Type="http://schemas.openxmlformats.org/officeDocument/2006/relationships/hyperlink" Target="https://en.wikipedia.org/wiki/Sean_O%27Brien_(Ohio_politician)" TargetMode="External"/><Relationship Id="rId120" Type="http://schemas.openxmlformats.org/officeDocument/2006/relationships/hyperlink" Target="https://en.wikipedia.org/wiki/Ohio%27s_32nd_senatorial_district" TargetMode="External"/><Relationship Id="rId123" Type="http://schemas.openxmlformats.org/officeDocument/2006/relationships/drawing" Target="../drawings/drawing36.xml"/><Relationship Id="rId122" Type="http://schemas.openxmlformats.org/officeDocument/2006/relationships/hyperlink" Target="https://en.wikipedia.org/wiki/Ohio%27s_33rd_senatorial_district" TargetMode="External"/><Relationship Id="rId95" Type="http://schemas.openxmlformats.org/officeDocument/2006/relationships/hyperlink" Target="https://en.wikipedia.org/wiki/Bob_Peterson_(Ohio_politician)" TargetMode="External"/><Relationship Id="rId94" Type="http://schemas.openxmlformats.org/officeDocument/2006/relationships/hyperlink" Target="https://en.wikipedia.org/wiki/Ohio%27s_17th_senatorial_district" TargetMode="External"/><Relationship Id="rId97" Type="http://schemas.openxmlformats.org/officeDocument/2006/relationships/hyperlink" Target="https://en.wikipedia.org/wiki/John_Eklund" TargetMode="External"/><Relationship Id="rId96" Type="http://schemas.openxmlformats.org/officeDocument/2006/relationships/hyperlink" Target="https://en.wikipedia.org/wiki/Ohio%27s_18th_senatorial_district" TargetMode="External"/><Relationship Id="rId99" Type="http://schemas.openxmlformats.org/officeDocument/2006/relationships/hyperlink" Target="https://en.wikipedia.org/wiki/Ohio%27s_20th_senatorial_district" TargetMode="External"/><Relationship Id="rId98" Type="http://schemas.openxmlformats.org/officeDocument/2006/relationships/hyperlink" Target="https://en.wikipedia.org/wiki/Ohio%27s_19th_senatorial_district" TargetMode="External"/><Relationship Id="rId91" Type="http://schemas.openxmlformats.org/officeDocument/2006/relationships/hyperlink" Target="https://en.wikipedia.org/wiki/Ohio%27s_15th_senatorial_district" TargetMode="External"/><Relationship Id="rId90" Type="http://schemas.openxmlformats.org/officeDocument/2006/relationships/hyperlink" Target="https://en.wikipedia.org/wiki/Joe_Uecker" TargetMode="External"/><Relationship Id="rId93" Type="http://schemas.openxmlformats.org/officeDocument/2006/relationships/hyperlink" Target="https://en.wikipedia.org/wiki/Stephanie_Kunze" TargetMode="External"/><Relationship Id="rId92" Type="http://schemas.openxmlformats.org/officeDocument/2006/relationships/hyperlink" Target="https://en.wikipedia.org/wiki/Ohio%27s_16th_senatorial_district" TargetMode="External"/><Relationship Id="rId118" Type="http://schemas.openxmlformats.org/officeDocument/2006/relationships/hyperlink" Target="https://en.wikipedia.org/wiki/Ohio%27s_31st_senatorial_district" TargetMode="External"/><Relationship Id="rId117" Type="http://schemas.openxmlformats.org/officeDocument/2006/relationships/hyperlink" Target="https://en.wikipedia.org/wiki/Frank_Hoagland" TargetMode="External"/><Relationship Id="rId116" Type="http://schemas.openxmlformats.org/officeDocument/2006/relationships/hyperlink" Target="https://en.wikipedia.org/wiki/Ohio%27s_30th_senatorial_district" TargetMode="External"/><Relationship Id="rId115" Type="http://schemas.openxmlformats.org/officeDocument/2006/relationships/hyperlink" Target="https://en.wikipedia.org/wiki/Ohio%27s_29th_senatorial_district" TargetMode="External"/><Relationship Id="rId119" Type="http://schemas.openxmlformats.org/officeDocument/2006/relationships/hyperlink" Target="https://en.wikipedia.org/wiki/Jay_Hottinger" TargetMode="External"/><Relationship Id="rId110" Type="http://schemas.openxmlformats.org/officeDocument/2006/relationships/hyperlink" Target="https://en.wikipedia.org/wiki/Ohio%27s_26th_senatorial_district" TargetMode="External"/><Relationship Id="rId114" Type="http://schemas.openxmlformats.org/officeDocument/2006/relationships/hyperlink" Target="https://en.wikipedia.org/wiki/Vernon_Sykes" TargetMode="External"/><Relationship Id="rId113" Type="http://schemas.openxmlformats.org/officeDocument/2006/relationships/hyperlink" Target="https://en.wikipedia.org/wiki/Ohio%27s_28th_senatorial_district" TargetMode="External"/><Relationship Id="rId112" Type="http://schemas.openxmlformats.org/officeDocument/2006/relationships/hyperlink" Target="https://en.wikipedia.org/wiki/Ohio%27s_27th_senatorial_district" TargetMode="External"/><Relationship Id="rId111" Type="http://schemas.openxmlformats.org/officeDocument/2006/relationships/hyperlink" Target="https://en.wikipedia.org/wiki/David_Burke_(politician)"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en.wikipedia.org/wiki/Johnny_Tadlock" TargetMode="External"/><Relationship Id="rId2" Type="http://schemas.openxmlformats.org/officeDocument/2006/relationships/hyperlink" Target="https://en.wikipedia.org/wiki/Ben_Loring" TargetMode="External"/><Relationship Id="rId3" Type="http://schemas.openxmlformats.org/officeDocument/2006/relationships/hyperlink" Target="https://en.wikipedia.org/wiki/Justin_Humphrey" TargetMode="External"/><Relationship Id="rId4" Type="http://schemas.openxmlformats.org/officeDocument/2006/relationships/hyperlink" Target="https://en.wikipedia.org/wiki/Emily_Virgin" TargetMode="External"/><Relationship Id="rId9" Type="http://schemas.openxmlformats.org/officeDocument/2006/relationships/hyperlink" Target="https://en.wikipedia.org/wiki/Ron_Sharp" TargetMode="External"/><Relationship Id="rId5" Type="http://schemas.openxmlformats.org/officeDocument/2006/relationships/hyperlink" Target="https://en.wikipedia.org/wiki/Mickey_Dollens" TargetMode="External"/><Relationship Id="rId6" Type="http://schemas.openxmlformats.org/officeDocument/2006/relationships/hyperlink" Target="https://en.wikipedia.org/wiki/Lewis_H._Moore" TargetMode="External"/><Relationship Id="rId7" Type="http://schemas.openxmlformats.org/officeDocument/2006/relationships/hyperlink" Target="https://en.wikipedia.org/wiki/Mark_Allen_(politician)" TargetMode="External"/><Relationship Id="rId8" Type="http://schemas.openxmlformats.org/officeDocument/2006/relationships/hyperlink" Target="https://en.wikipedia.org/wiki/Rob_Standridge" TargetMode="External"/><Relationship Id="rId11" Type="http://schemas.openxmlformats.org/officeDocument/2006/relationships/hyperlink" Target="https://en.wikipedia.org/wiki/Kay_Floyd" TargetMode="External"/><Relationship Id="rId10" Type="http://schemas.openxmlformats.org/officeDocument/2006/relationships/hyperlink" Target="https://en.wikipedia.org/wiki/Nathan_Dahm" TargetMode="External"/><Relationship Id="rId12"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50" Type="http://schemas.openxmlformats.org/officeDocument/2006/relationships/hyperlink" Target="https://ballotpedia.org/Oregon_State_Senate_District_22" TargetMode="External"/><Relationship Id="rId1" Type="http://schemas.openxmlformats.org/officeDocument/2006/relationships/hyperlink" Target="https://ballotpedia.org/Oregon_House_of_Representatives_District_1" TargetMode="External"/><Relationship Id="rId2" Type="http://schemas.openxmlformats.org/officeDocument/2006/relationships/hyperlink" Target="https://ballotpedia.org/David_Smith_(Oregon)" TargetMode="External"/><Relationship Id="rId3" Type="http://schemas.openxmlformats.org/officeDocument/2006/relationships/hyperlink" Target="https://ballotpedia.org/Oregon_House_of_Representatives_District_2" TargetMode="External"/><Relationship Id="rId149" Type="http://schemas.openxmlformats.org/officeDocument/2006/relationships/hyperlink" Target="https://ballotpedia.org/Kathleen_Taylor_(Oregon)" TargetMode="External"/><Relationship Id="rId4" Type="http://schemas.openxmlformats.org/officeDocument/2006/relationships/hyperlink" Target="https://ballotpedia.org/Gary_Leif" TargetMode="External"/><Relationship Id="rId148" Type="http://schemas.openxmlformats.org/officeDocument/2006/relationships/hyperlink" Target="https://ballotpedia.org/Oregon_State_Senate_District_21" TargetMode="External"/><Relationship Id="rId9" Type="http://schemas.openxmlformats.org/officeDocument/2006/relationships/hyperlink" Target="https://ballotpedia.org/Oregon_House_of_Representatives_District_5" TargetMode="External"/><Relationship Id="rId143" Type="http://schemas.openxmlformats.org/officeDocument/2006/relationships/hyperlink" Target="https://ballotpedia.org/Ginny_Burdick" TargetMode="External"/><Relationship Id="rId142" Type="http://schemas.openxmlformats.org/officeDocument/2006/relationships/hyperlink" Target="https://ballotpedia.org/Oregon_State_Senate_District_18" TargetMode="External"/><Relationship Id="rId141" Type="http://schemas.openxmlformats.org/officeDocument/2006/relationships/hyperlink" Target="https://ballotpedia.org/Elizabeth_Steiner_Hayward" TargetMode="External"/><Relationship Id="rId140" Type="http://schemas.openxmlformats.org/officeDocument/2006/relationships/hyperlink" Target="https://ballotpedia.org/Oregon_State_Senate_District_17" TargetMode="External"/><Relationship Id="rId5" Type="http://schemas.openxmlformats.org/officeDocument/2006/relationships/hyperlink" Target="https://ballotpedia.org/Oregon_House_of_Representatives_District_3" TargetMode="External"/><Relationship Id="rId147" Type="http://schemas.openxmlformats.org/officeDocument/2006/relationships/hyperlink" Target="https://ballotpedia.org/Alan_Olsen" TargetMode="External"/><Relationship Id="rId6" Type="http://schemas.openxmlformats.org/officeDocument/2006/relationships/hyperlink" Target="https://ballotpedia.org/Carl_Wilson" TargetMode="External"/><Relationship Id="rId146" Type="http://schemas.openxmlformats.org/officeDocument/2006/relationships/hyperlink" Target="https://ballotpedia.org/Oregon_State_Senate_District_20" TargetMode="External"/><Relationship Id="rId7" Type="http://schemas.openxmlformats.org/officeDocument/2006/relationships/hyperlink" Target="https://ballotpedia.org/Oregon_House_of_Representatives_District_4" TargetMode="External"/><Relationship Id="rId145" Type="http://schemas.openxmlformats.org/officeDocument/2006/relationships/hyperlink" Target="https://ballotpedia.org/Rob_Wagner" TargetMode="External"/><Relationship Id="rId8" Type="http://schemas.openxmlformats.org/officeDocument/2006/relationships/hyperlink" Target="https://ballotpedia.org/Duane_Stark" TargetMode="External"/><Relationship Id="rId144" Type="http://schemas.openxmlformats.org/officeDocument/2006/relationships/hyperlink" Target="https://ballotpedia.org/Oregon_State_Senate_District_19" TargetMode="External"/><Relationship Id="rId139" Type="http://schemas.openxmlformats.org/officeDocument/2006/relationships/hyperlink" Target="https://ballotpedia.org/Betsy_Johnson" TargetMode="External"/><Relationship Id="rId138" Type="http://schemas.openxmlformats.org/officeDocument/2006/relationships/hyperlink" Target="https://ballotpedia.org/Oregon_State_Senate_District_16" TargetMode="External"/><Relationship Id="rId137" Type="http://schemas.openxmlformats.org/officeDocument/2006/relationships/hyperlink" Target="https://ballotpedia.org/Chuck_Riley" TargetMode="External"/><Relationship Id="rId132" Type="http://schemas.openxmlformats.org/officeDocument/2006/relationships/hyperlink" Target="https://ballotpedia.org/Oregon_State_Senate_District_13" TargetMode="External"/><Relationship Id="rId131" Type="http://schemas.openxmlformats.org/officeDocument/2006/relationships/hyperlink" Target="https://ballotpedia.org/Brian_Boquist" TargetMode="External"/><Relationship Id="rId130" Type="http://schemas.openxmlformats.org/officeDocument/2006/relationships/hyperlink" Target="https://ballotpedia.org/Oregon_State_Senate_District_12" TargetMode="External"/><Relationship Id="rId136" Type="http://schemas.openxmlformats.org/officeDocument/2006/relationships/hyperlink" Target="https://ballotpedia.org/Oregon_State_Senate_District_15" TargetMode="External"/><Relationship Id="rId135" Type="http://schemas.openxmlformats.org/officeDocument/2006/relationships/hyperlink" Target="https://ballotpedia.org/Mark_Hass" TargetMode="External"/><Relationship Id="rId134" Type="http://schemas.openxmlformats.org/officeDocument/2006/relationships/hyperlink" Target="https://ballotpedia.org/Oregon_State_Senate_District_14" TargetMode="External"/><Relationship Id="rId133" Type="http://schemas.openxmlformats.org/officeDocument/2006/relationships/hyperlink" Target="https://ballotpedia.org/Kim_Thatcher" TargetMode="External"/><Relationship Id="rId165" Type="http://schemas.openxmlformats.org/officeDocument/2006/relationships/hyperlink" Target="https://ballotpedia.org/Bill_Hansell" TargetMode="External"/><Relationship Id="rId164" Type="http://schemas.openxmlformats.org/officeDocument/2006/relationships/hyperlink" Target="https://ballotpedia.org/Oregon_State_Senate_District_29" TargetMode="External"/><Relationship Id="rId163" Type="http://schemas.openxmlformats.org/officeDocument/2006/relationships/hyperlink" Target="https://ballotpedia.org/Dennis_Linthicum" TargetMode="External"/><Relationship Id="rId162" Type="http://schemas.openxmlformats.org/officeDocument/2006/relationships/hyperlink" Target="https://ballotpedia.org/Oregon_State_Senate_District_28" TargetMode="External"/><Relationship Id="rId168" Type="http://schemas.openxmlformats.org/officeDocument/2006/relationships/drawing" Target="../drawings/drawing38.xml"/><Relationship Id="rId167" Type="http://schemas.openxmlformats.org/officeDocument/2006/relationships/hyperlink" Target="https://ballotpedia.org/Cliff_Bentz" TargetMode="External"/><Relationship Id="rId166" Type="http://schemas.openxmlformats.org/officeDocument/2006/relationships/hyperlink" Target="https://ballotpedia.org/Oregon_State_Senate_District_30" TargetMode="External"/><Relationship Id="rId161" Type="http://schemas.openxmlformats.org/officeDocument/2006/relationships/hyperlink" Target="https://ballotpedia.org/Tim_Knopp" TargetMode="External"/><Relationship Id="rId160" Type="http://schemas.openxmlformats.org/officeDocument/2006/relationships/hyperlink" Target="https://ballotpedia.org/Oregon_State_Senate_District_27" TargetMode="External"/><Relationship Id="rId159" Type="http://schemas.openxmlformats.org/officeDocument/2006/relationships/hyperlink" Target="https://ballotpedia.org/Chuck_Thomsen" TargetMode="External"/><Relationship Id="rId154" Type="http://schemas.openxmlformats.org/officeDocument/2006/relationships/hyperlink" Target="https://ballotpedia.org/Oregon_State_Senate_District_24" TargetMode="External"/><Relationship Id="rId153" Type="http://schemas.openxmlformats.org/officeDocument/2006/relationships/hyperlink" Target="https://ballotpedia.org/Michael_Dembrow" TargetMode="External"/><Relationship Id="rId152" Type="http://schemas.openxmlformats.org/officeDocument/2006/relationships/hyperlink" Target="https://ballotpedia.org/Oregon_State_Senate_District_23" TargetMode="External"/><Relationship Id="rId151" Type="http://schemas.openxmlformats.org/officeDocument/2006/relationships/hyperlink" Target="https://ballotpedia.org/Lew_Frederick" TargetMode="External"/><Relationship Id="rId158" Type="http://schemas.openxmlformats.org/officeDocument/2006/relationships/hyperlink" Target="https://ballotpedia.org/Oregon_State_Senate_District_26" TargetMode="External"/><Relationship Id="rId157" Type="http://schemas.openxmlformats.org/officeDocument/2006/relationships/hyperlink" Target="https://ballotpedia.org/Laurie_Monnes_Anderson" TargetMode="External"/><Relationship Id="rId156" Type="http://schemas.openxmlformats.org/officeDocument/2006/relationships/hyperlink" Target="https://ballotpedia.org/Oregon_State_Senate_District_25" TargetMode="External"/><Relationship Id="rId155" Type="http://schemas.openxmlformats.org/officeDocument/2006/relationships/hyperlink" Target="https://ballotpedia.org/Rod_Monroe" TargetMode="External"/><Relationship Id="rId40" Type="http://schemas.openxmlformats.org/officeDocument/2006/relationships/hyperlink" Target="https://ballotpedia.org/Oregon_House_of_Representatives_District_22" TargetMode="External"/><Relationship Id="rId42" Type="http://schemas.openxmlformats.org/officeDocument/2006/relationships/hyperlink" Target="https://ballotpedia.org/Oregon_House_of_Representatives_District_23" TargetMode="External"/><Relationship Id="rId41" Type="http://schemas.openxmlformats.org/officeDocument/2006/relationships/hyperlink" Target="https://ballotpedia.org/Teresa_Alonso_Leon" TargetMode="External"/><Relationship Id="rId44" Type="http://schemas.openxmlformats.org/officeDocument/2006/relationships/hyperlink" Target="https://ballotpedia.org/Oregon_House_of_Representatives_District_24" TargetMode="External"/><Relationship Id="rId43" Type="http://schemas.openxmlformats.org/officeDocument/2006/relationships/hyperlink" Target="https://ballotpedia.org/Mike_Nearman" TargetMode="External"/><Relationship Id="rId46" Type="http://schemas.openxmlformats.org/officeDocument/2006/relationships/hyperlink" Target="https://ballotpedia.org/Oregon_House_of_Representatives_District_25" TargetMode="External"/><Relationship Id="rId45" Type="http://schemas.openxmlformats.org/officeDocument/2006/relationships/hyperlink" Target="https://ballotpedia.org/Ron_Noble" TargetMode="External"/><Relationship Id="rId48" Type="http://schemas.openxmlformats.org/officeDocument/2006/relationships/hyperlink" Target="https://ballotpedia.org/Oregon_House_of_Representatives_District_26" TargetMode="External"/><Relationship Id="rId47" Type="http://schemas.openxmlformats.org/officeDocument/2006/relationships/hyperlink" Target="https://ballotpedia.org/Bill_Post" TargetMode="External"/><Relationship Id="rId49" Type="http://schemas.openxmlformats.org/officeDocument/2006/relationships/hyperlink" Target="https://ballotpedia.org/Oregon_House_of_Representatives_District_27" TargetMode="External"/><Relationship Id="rId31" Type="http://schemas.openxmlformats.org/officeDocument/2006/relationships/hyperlink" Target="https://ballotpedia.org/Sherrie_Sprenger" TargetMode="External"/><Relationship Id="rId30" Type="http://schemas.openxmlformats.org/officeDocument/2006/relationships/hyperlink" Target="https://ballotpedia.org/Oregon_House_of_Representatives_District_17" TargetMode="External"/><Relationship Id="rId33" Type="http://schemas.openxmlformats.org/officeDocument/2006/relationships/hyperlink" Target="https://ballotpedia.org/Rick_Lewis_(Oregon)" TargetMode="External"/><Relationship Id="rId32" Type="http://schemas.openxmlformats.org/officeDocument/2006/relationships/hyperlink" Target="https://ballotpedia.org/Oregon_House_of_Representatives_District_18" TargetMode="External"/><Relationship Id="rId35" Type="http://schemas.openxmlformats.org/officeDocument/2006/relationships/hyperlink" Target="https://ballotpedia.org/Denyc_Boles" TargetMode="External"/><Relationship Id="rId34" Type="http://schemas.openxmlformats.org/officeDocument/2006/relationships/hyperlink" Target="https://ballotpedia.org/Oregon_House_of_Representatives_District_19" TargetMode="External"/><Relationship Id="rId37" Type="http://schemas.openxmlformats.org/officeDocument/2006/relationships/hyperlink" Target="https://ballotpedia.org/Paul_Evans_(Oregon)" TargetMode="External"/><Relationship Id="rId36" Type="http://schemas.openxmlformats.org/officeDocument/2006/relationships/hyperlink" Target="https://ballotpedia.org/Oregon_House_of_Representatives_District_20" TargetMode="External"/><Relationship Id="rId39" Type="http://schemas.openxmlformats.org/officeDocument/2006/relationships/hyperlink" Target="https://ballotpedia.org/Brian_Clem" TargetMode="External"/><Relationship Id="rId38" Type="http://schemas.openxmlformats.org/officeDocument/2006/relationships/hyperlink" Target="https://ballotpedia.org/Oregon_House_of_Representatives_District_21" TargetMode="External"/><Relationship Id="rId20" Type="http://schemas.openxmlformats.org/officeDocument/2006/relationships/hyperlink" Target="https://ballotpedia.org/Oregon_House_of_Representatives_District_11" TargetMode="External"/><Relationship Id="rId22" Type="http://schemas.openxmlformats.org/officeDocument/2006/relationships/hyperlink" Target="https://ballotpedia.org/John_Lively" TargetMode="External"/><Relationship Id="rId21" Type="http://schemas.openxmlformats.org/officeDocument/2006/relationships/hyperlink" Target="https://ballotpedia.org/Oregon_House_of_Representatives_District_12" TargetMode="External"/><Relationship Id="rId24" Type="http://schemas.openxmlformats.org/officeDocument/2006/relationships/hyperlink" Target="https://ballotpedia.org/Nancy_Nathanson" TargetMode="External"/><Relationship Id="rId23" Type="http://schemas.openxmlformats.org/officeDocument/2006/relationships/hyperlink" Target="https://ballotpedia.org/Oregon_House_of_Representatives_District_13" TargetMode="External"/><Relationship Id="rId26" Type="http://schemas.openxmlformats.org/officeDocument/2006/relationships/hyperlink" Target="https://ballotpedia.org/Julie_Fahey" TargetMode="External"/><Relationship Id="rId25" Type="http://schemas.openxmlformats.org/officeDocument/2006/relationships/hyperlink" Target="https://ballotpedia.org/Oregon_House_of_Representatives_District_14" TargetMode="External"/><Relationship Id="rId28" Type="http://schemas.openxmlformats.org/officeDocument/2006/relationships/hyperlink" Target="https://ballotpedia.org/Oregon_House_of_Representatives_District_16" TargetMode="External"/><Relationship Id="rId27" Type="http://schemas.openxmlformats.org/officeDocument/2006/relationships/hyperlink" Target="https://ballotpedia.org/Oregon_House_of_Representatives_District_15" TargetMode="External"/><Relationship Id="rId29" Type="http://schemas.openxmlformats.org/officeDocument/2006/relationships/hyperlink" Target="https://ballotpedia.org/Dan_Rayfield" TargetMode="External"/><Relationship Id="rId11" Type="http://schemas.openxmlformats.org/officeDocument/2006/relationships/hyperlink" Target="https://ballotpedia.org/Oregon_House_of_Representatives_District_6" TargetMode="External"/><Relationship Id="rId10" Type="http://schemas.openxmlformats.org/officeDocument/2006/relationships/hyperlink" Target="https://ballotpedia.org/Pam_Marsh" TargetMode="External"/><Relationship Id="rId13" Type="http://schemas.openxmlformats.org/officeDocument/2006/relationships/hyperlink" Target="https://ballotpedia.org/Cedric_Hayden" TargetMode="External"/><Relationship Id="rId12" Type="http://schemas.openxmlformats.org/officeDocument/2006/relationships/hyperlink" Target="https://ballotpedia.org/Oregon_House_of_Representatives_District_7" TargetMode="External"/><Relationship Id="rId15" Type="http://schemas.openxmlformats.org/officeDocument/2006/relationships/hyperlink" Target="https://ballotpedia.org/Paul_Holvey" TargetMode="External"/><Relationship Id="rId14" Type="http://schemas.openxmlformats.org/officeDocument/2006/relationships/hyperlink" Target="https://ballotpedia.org/Oregon_House_of_Representatives_District_8" TargetMode="External"/><Relationship Id="rId17" Type="http://schemas.openxmlformats.org/officeDocument/2006/relationships/hyperlink" Target="https://ballotpedia.org/Caddy_McKeown" TargetMode="External"/><Relationship Id="rId16" Type="http://schemas.openxmlformats.org/officeDocument/2006/relationships/hyperlink" Target="https://ballotpedia.org/Oregon_House_of_Representatives_District_9" TargetMode="External"/><Relationship Id="rId19" Type="http://schemas.openxmlformats.org/officeDocument/2006/relationships/hyperlink" Target="https://ballotpedia.org/David_Gomberg" TargetMode="External"/><Relationship Id="rId18" Type="http://schemas.openxmlformats.org/officeDocument/2006/relationships/hyperlink" Target="https://ballotpedia.org/Oregon_House_of_Representatives_District_10" TargetMode="External"/><Relationship Id="rId84" Type="http://schemas.openxmlformats.org/officeDocument/2006/relationships/hyperlink" Target="https://ballotpedia.org/Oregon_House_of_Representatives_District_46" TargetMode="External"/><Relationship Id="rId83" Type="http://schemas.openxmlformats.org/officeDocument/2006/relationships/hyperlink" Target="https://ballotpedia.org/Barbara_Smith_Warner" TargetMode="External"/><Relationship Id="rId86" Type="http://schemas.openxmlformats.org/officeDocument/2006/relationships/hyperlink" Target="https://ballotpedia.org/Oregon_House_of_Representatives_District_47" TargetMode="External"/><Relationship Id="rId85" Type="http://schemas.openxmlformats.org/officeDocument/2006/relationships/hyperlink" Target="https://ballotpedia.org/Alissa_Keny-Guyer" TargetMode="External"/><Relationship Id="rId88" Type="http://schemas.openxmlformats.org/officeDocument/2006/relationships/hyperlink" Target="https://ballotpedia.org/Oregon_House_of_Representatives_District_48" TargetMode="External"/><Relationship Id="rId87" Type="http://schemas.openxmlformats.org/officeDocument/2006/relationships/hyperlink" Target="https://ballotpedia.org/Diego_Hernandez" TargetMode="External"/><Relationship Id="rId89" Type="http://schemas.openxmlformats.org/officeDocument/2006/relationships/hyperlink" Target="https://ballotpedia.org/Jeff_Reardon" TargetMode="External"/><Relationship Id="rId80" Type="http://schemas.openxmlformats.org/officeDocument/2006/relationships/hyperlink" Target="https://ballotpedia.org/Oregon_House_of_Representatives_District_44" TargetMode="External"/><Relationship Id="rId82" Type="http://schemas.openxmlformats.org/officeDocument/2006/relationships/hyperlink" Target="https://ballotpedia.org/Oregon_House_of_Representatives_District_45" TargetMode="External"/><Relationship Id="rId81" Type="http://schemas.openxmlformats.org/officeDocument/2006/relationships/hyperlink" Target="https://ballotpedia.org/Tina_Kotek" TargetMode="External"/><Relationship Id="rId73" Type="http://schemas.openxmlformats.org/officeDocument/2006/relationships/hyperlink" Target="https://ballotpedia.org/Mark_Meek" TargetMode="External"/><Relationship Id="rId72" Type="http://schemas.openxmlformats.org/officeDocument/2006/relationships/hyperlink" Target="https://ballotpedia.org/Oregon_House_of_Representatives_District_40" TargetMode="External"/><Relationship Id="rId75" Type="http://schemas.openxmlformats.org/officeDocument/2006/relationships/hyperlink" Target="https://ballotpedia.org/Karin_Power" TargetMode="External"/><Relationship Id="rId74" Type="http://schemas.openxmlformats.org/officeDocument/2006/relationships/hyperlink" Target="https://ballotpedia.org/Oregon_House_of_Representatives_District_41" TargetMode="External"/><Relationship Id="rId77" Type="http://schemas.openxmlformats.org/officeDocument/2006/relationships/hyperlink" Target="https://ballotpedia.org/Rob_Nosse" TargetMode="External"/><Relationship Id="rId76" Type="http://schemas.openxmlformats.org/officeDocument/2006/relationships/hyperlink" Target="https://ballotpedia.org/Oregon_House_of_Representatives_District_42" TargetMode="External"/><Relationship Id="rId79" Type="http://schemas.openxmlformats.org/officeDocument/2006/relationships/hyperlink" Target="https://ballotpedia.org/Tawna_Sanchez" TargetMode="External"/><Relationship Id="rId78" Type="http://schemas.openxmlformats.org/officeDocument/2006/relationships/hyperlink" Target="https://ballotpedia.org/Oregon_House_of_Representatives_District_43" TargetMode="External"/><Relationship Id="rId71" Type="http://schemas.openxmlformats.org/officeDocument/2006/relationships/hyperlink" Target="https://ballotpedia.org/Oregon_House_of_Representatives_District_39" TargetMode="External"/><Relationship Id="rId70" Type="http://schemas.openxmlformats.org/officeDocument/2006/relationships/hyperlink" Target="https://ballotpedia.org/Andrea_Salinas" TargetMode="External"/><Relationship Id="rId62" Type="http://schemas.openxmlformats.org/officeDocument/2006/relationships/hyperlink" Target="https://ballotpedia.org/Oregon_House_of_Representatives_District_34" TargetMode="External"/><Relationship Id="rId61" Type="http://schemas.openxmlformats.org/officeDocument/2006/relationships/hyperlink" Target="https://ballotpedia.org/Mitch_Greenlick" TargetMode="External"/><Relationship Id="rId64" Type="http://schemas.openxmlformats.org/officeDocument/2006/relationships/hyperlink" Target="https://ballotpedia.org/Oregon_House_of_Representatives_District_35" TargetMode="External"/><Relationship Id="rId63" Type="http://schemas.openxmlformats.org/officeDocument/2006/relationships/hyperlink" Target="https://ballotpedia.org/Ken_Helm" TargetMode="External"/><Relationship Id="rId66" Type="http://schemas.openxmlformats.org/officeDocument/2006/relationships/hyperlink" Target="https://ballotpedia.org/Oregon_House_of_Representatives_District_36" TargetMode="External"/><Relationship Id="rId65" Type="http://schemas.openxmlformats.org/officeDocument/2006/relationships/hyperlink" Target="https://ballotpedia.org/Margaret_Doherty" TargetMode="External"/><Relationship Id="rId68" Type="http://schemas.openxmlformats.org/officeDocument/2006/relationships/hyperlink" Target="https://ballotpedia.org/Oregon_House_of_Representatives_District_37" TargetMode="External"/><Relationship Id="rId67" Type="http://schemas.openxmlformats.org/officeDocument/2006/relationships/hyperlink" Target="https://ballotpedia.org/Jennifer_Williamson" TargetMode="External"/><Relationship Id="rId60" Type="http://schemas.openxmlformats.org/officeDocument/2006/relationships/hyperlink" Target="https://ballotpedia.org/Oregon_House_of_Representatives_District_33" TargetMode="External"/><Relationship Id="rId69" Type="http://schemas.openxmlformats.org/officeDocument/2006/relationships/hyperlink" Target="https://ballotpedia.org/Oregon_House_of_Representatives_District_38" TargetMode="External"/><Relationship Id="rId51" Type="http://schemas.openxmlformats.org/officeDocument/2006/relationships/hyperlink" Target="https://ballotpedia.org/Oregon_House_of_Representatives_District_28" TargetMode="External"/><Relationship Id="rId50" Type="http://schemas.openxmlformats.org/officeDocument/2006/relationships/hyperlink" Target="https://ballotpedia.org/Sheri_Malstrom" TargetMode="External"/><Relationship Id="rId53" Type="http://schemas.openxmlformats.org/officeDocument/2006/relationships/hyperlink" Target="https://ballotpedia.org/Oregon_House_of_Representatives_District_29" TargetMode="External"/><Relationship Id="rId52" Type="http://schemas.openxmlformats.org/officeDocument/2006/relationships/hyperlink" Target="https://ballotpedia.org/Jeff_Barker" TargetMode="External"/><Relationship Id="rId55" Type="http://schemas.openxmlformats.org/officeDocument/2006/relationships/hyperlink" Target="https://ballotpedia.org/Oregon_House_of_Representatives_District_30" TargetMode="External"/><Relationship Id="rId54" Type="http://schemas.openxmlformats.org/officeDocument/2006/relationships/hyperlink" Target="https://ballotpedia.org/Susan_McLain" TargetMode="External"/><Relationship Id="rId57" Type="http://schemas.openxmlformats.org/officeDocument/2006/relationships/hyperlink" Target="https://ballotpedia.org/Oregon_House_of_Representatives_District_31" TargetMode="External"/><Relationship Id="rId56" Type="http://schemas.openxmlformats.org/officeDocument/2006/relationships/hyperlink" Target="https://ballotpedia.org/Janeen_Sollman" TargetMode="External"/><Relationship Id="rId59" Type="http://schemas.openxmlformats.org/officeDocument/2006/relationships/hyperlink" Target="https://ballotpedia.org/Oregon_House_of_Representatives_District_32" TargetMode="External"/><Relationship Id="rId58" Type="http://schemas.openxmlformats.org/officeDocument/2006/relationships/hyperlink" Target="https://ballotpedia.org/Bradley_Witt" TargetMode="External"/><Relationship Id="rId107" Type="http://schemas.openxmlformats.org/officeDocument/2006/relationships/hyperlink" Target="https://ballotpedia.org/Daniel_Bonham" TargetMode="External"/><Relationship Id="rId106" Type="http://schemas.openxmlformats.org/officeDocument/2006/relationships/hyperlink" Target="https://ballotpedia.org/Oregon_House_of_Representatives_District_59" TargetMode="External"/><Relationship Id="rId105" Type="http://schemas.openxmlformats.org/officeDocument/2006/relationships/hyperlink" Target="https://ballotpedia.org/Greg_Barreto" TargetMode="External"/><Relationship Id="rId104" Type="http://schemas.openxmlformats.org/officeDocument/2006/relationships/hyperlink" Target="https://ballotpedia.org/Oregon_House_of_Representatives_District_58" TargetMode="External"/><Relationship Id="rId109" Type="http://schemas.openxmlformats.org/officeDocument/2006/relationships/hyperlink" Target="https://ballotpedia.org/Lynn_Findley" TargetMode="External"/><Relationship Id="rId108" Type="http://schemas.openxmlformats.org/officeDocument/2006/relationships/hyperlink" Target="https://ballotpedia.org/Oregon_House_of_Representatives_District_60" TargetMode="External"/><Relationship Id="rId103" Type="http://schemas.openxmlformats.org/officeDocument/2006/relationships/hyperlink" Target="https://ballotpedia.org/Greg_Smith_(Oregon)" TargetMode="External"/><Relationship Id="rId102" Type="http://schemas.openxmlformats.org/officeDocument/2006/relationships/hyperlink" Target="https://ballotpedia.org/Oregon_House_of_Representatives_District_57" TargetMode="External"/><Relationship Id="rId101" Type="http://schemas.openxmlformats.org/officeDocument/2006/relationships/hyperlink" Target="https://ballotpedia.org/Oregon_House_of_Representatives_District_56" TargetMode="External"/><Relationship Id="rId100" Type="http://schemas.openxmlformats.org/officeDocument/2006/relationships/hyperlink" Target="https://ballotpedia.org/Mike_McLane" TargetMode="External"/><Relationship Id="rId129" Type="http://schemas.openxmlformats.org/officeDocument/2006/relationships/hyperlink" Target="https://ballotpedia.org/Peter_Courtney" TargetMode="External"/><Relationship Id="rId128" Type="http://schemas.openxmlformats.org/officeDocument/2006/relationships/hyperlink" Target="https://ballotpedia.org/Oregon_State_Senate_District_11" TargetMode="External"/><Relationship Id="rId127" Type="http://schemas.openxmlformats.org/officeDocument/2006/relationships/hyperlink" Target="https://ballotpedia.org/Jackie_Winters" TargetMode="External"/><Relationship Id="rId126" Type="http://schemas.openxmlformats.org/officeDocument/2006/relationships/hyperlink" Target="https://ballotpedia.org/Oregon_State_Senate_District_10" TargetMode="External"/><Relationship Id="rId121" Type="http://schemas.openxmlformats.org/officeDocument/2006/relationships/hyperlink" Target="https://ballotpedia.org/James_Manning_(Oregon)" TargetMode="External"/><Relationship Id="rId120" Type="http://schemas.openxmlformats.org/officeDocument/2006/relationships/hyperlink" Target="https://ballotpedia.org/Oregon_State_Senate_District_7" TargetMode="External"/><Relationship Id="rId125" Type="http://schemas.openxmlformats.org/officeDocument/2006/relationships/hyperlink" Target="https://ballotpedia.org/Fred_Girod" TargetMode="External"/><Relationship Id="rId124" Type="http://schemas.openxmlformats.org/officeDocument/2006/relationships/hyperlink" Target="https://ballotpedia.org/Oregon_State_Senate_District_9" TargetMode="External"/><Relationship Id="rId123" Type="http://schemas.openxmlformats.org/officeDocument/2006/relationships/hyperlink" Target="https://ballotpedia.org/Sara_Gelser" TargetMode="External"/><Relationship Id="rId122" Type="http://schemas.openxmlformats.org/officeDocument/2006/relationships/hyperlink" Target="https://ballotpedia.org/Oregon_State_Senate_District_8" TargetMode="External"/><Relationship Id="rId95" Type="http://schemas.openxmlformats.org/officeDocument/2006/relationships/hyperlink" Target="https://ballotpedia.org/Janelle_Bynum" TargetMode="External"/><Relationship Id="rId94" Type="http://schemas.openxmlformats.org/officeDocument/2006/relationships/hyperlink" Target="https://ballotpedia.org/Oregon_House_of_Representatives_District_51" TargetMode="External"/><Relationship Id="rId97" Type="http://schemas.openxmlformats.org/officeDocument/2006/relationships/hyperlink" Target="https://ballotpedia.org/Oregon_House_of_Representatives_District_53" TargetMode="External"/><Relationship Id="rId96" Type="http://schemas.openxmlformats.org/officeDocument/2006/relationships/hyperlink" Target="https://ballotpedia.org/Oregon_House_of_Representatives_District_52" TargetMode="External"/><Relationship Id="rId99" Type="http://schemas.openxmlformats.org/officeDocument/2006/relationships/hyperlink" Target="https://ballotpedia.org/Oregon_House_of_Representatives_District_55" TargetMode="External"/><Relationship Id="rId98" Type="http://schemas.openxmlformats.org/officeDocument/2006/relationships/hyperlink" Target="https://ballotpedia.org/Oregon_House_of_Representatives_District_54" TargetMode="External"/><Relationship Id="rId91" Type="http://schemas.openxmlformats.org/officeDocument/2006/relationships/hyperlink" Target="https://ballotpedia.org/Chris_Gorsek" TargetMode="External"/><Relationship Id="rId90" Type="http://schemas.openxmlformats.org/officeDocument/2006/relationships/hyperlink" Target="https://ballotpedia.org/Oregon_House_of_Representatives_District_49" TargetMode="External"/><Relationship Id="rId93" Type="http://schemas.openxmlformats.org/officeDocument/2006/relationships/hyperlink" Target="https://ballotpedia.org/Carla_Piluso" TargetMode="External"/><Relationship Id="rId92" Type="http://schemas.openxmlformats.org/officeDocument/2006/relationships/hyperlink" Target="https://ballotpedia.org/Oregon_House_of_Representatives_District_50" TargetMode="External"/><Relationship Id="rId118" Type="http://schemas.openxmlformats.org/officeDocument/2006/relationships/hyperlink" Target="https://ballotpedia.org/Oregon_State_Senate_District_6" TargetMode="External"/><Relationship Id="rId117" Type="http://schemas.openxmlformats.org/officeDocument/2006/relationships/hyperlink" Target="https://ballotpedia.org/Arnie_Roblan" TargetMode="External"/><Relationship Id="rId116" Type="http://schemas.openxmlformats.org/officeDocument/2006/relationships/hyperlink" Target="https://ballotpedia.org/Oregon_State_Senate_District_5" TargetMode="External"/><Relationship Id="rId115" Type="http://schemas.openxmlformats.org/officeDocument/2006/relationships/hyperlink" Target="https://ballotpedia.org/Floyd_Prozanski" TargetMode="External"/><Relationship Id="rId119" Type="http://schemas.openxmlformats.org/officeDocument/2006/relationships/hyperlink" Target="https://ballotpedia.org/Lee_Beyer" TargetMode="External"/><Relationship Id="rId110" Type="http://schemas.openxmlformats.org/officeDocument/2006/relationships/hyperlink" Target="https://ballotpedia.org/Dallas_Heard" TargetMode="External"/><Relationship Id="rId114" Type="http://schemas.openxmlformats.org/officeDocument/2006/relationships/hyperlink" Target="https://ballotpedia.org/Oregon_State_Senate_District_4" TargetMode="External"/><Relationship Id="rId113" Type="http://schemas.openxmlformats.org/officeDocument/2006/relationships/hyperlink" Target="https://ballotpedia.org/Oregon_State_Senate_District_3" TargetMode="External"/><Relationship Id="rId112" Type="http://schemas.openxmlformats.org/officeDocument/2006/relationships/hyperlink" Target="https://ballotpedia.org/Herman_Baertschiger,_Jr." TargetMode="External"/><Relationship Id="rId111" Type="http://schemas.openxmlformats.org/officeDocument/2006/relationships/hyperlink" Target="https://ballotpedia.org/Oregon_State_Senate_District_2"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en.wikipedia.org/wiki/Pennsylvania_Senate,_District_1" TargetMode="External"/><Relationship Id="rId2" Type="http://schemas.openxmlformats.org/officeDocument/2006/relationships/hyperlink" Target="https://en.wikipedia.org/wiki/Pennsylvania_Senate,_District_2" TargetMode="External"/><Relationship Id="rId3" Type="http://schemas.openxmlformats.org/officeDocument/2006/relationships/hyperlink" Target="https://en.wikipedia.org/wiki/Pennsylvania_Senate,_District_3" TargetMode="External"/><Relationship Id="rId4" Type="http://schemas.openxmlformats.org/officeDocument/2006/relationships/hyperlink" Target="mailto:info@senatorsharifstreet.com" TargetMode="External"/><Relationship Id="rId9" Type="http://schemas.openxmlformats.org/officeDocument/2006/relationships/hyperlink" Target="https://en.wikipedia.org/wiki/Pennsylvania_Senate,_District_8" TargetMode="External"/><Relationship Id="rId5" Type="http://schemas.openxmlformats.org/officeDocument/2006/relationships/hyperlink" Target="https://en.wikipedia.org/wiki/Pennsylvania_Senate,_District_4" TargetMode="External"/><Relationship Id="rId6" Type="http://schemas.openxmlformats.org/officeDocument/2006/relationships/hyperlink" Target="https://en.wikipedia.org/wiki/Pennsylvania_Senate,_District_5" TargetMode="External"/><Relationship Id="rId7" Type="http://schemas.openxmlformats.org/officeDocument/2006/relationships/hyperlink" Target="https://en.wikipedia.org/wiki/Pennsylvania_Senate,_District_6" TargetMode="External"/><Relationship Id="rId8" Type="http://schemas.openxmlformats.org/officeDocument/2006/relationships/hyperlink" Target="https://en.wikipedia.org/wiki/Pennsylvania_Senate,_District_7" TargetMode="External"/><Relationship Id="rId40" Type="http://schemas.openxmlformats.org/officeDocument/2006/relationships/hyperlink" Target="https://en.wikipedia.org/wiki/Pennsylvania_Senate,_District_36" TargetMode="External"/><Relationship Id="rId42" Type="http://schemas.openxmlformats.org/officeDocument/2006/relationships/hyperlink" Target="https://en.wikipedia.org/wiki/Pennsylvania_Senate,_District_38" TargetMode="External"/><Relationship Id="rId41" Type="http://schemas.openxmlformats.org/officeDocument/2006/relationships/hyperlink" Target="https://en.wikipedia.org/wiki/Pennsylvania_Senate,_District_37" TargetMode="External"/><Relationship Id="rId44" Type="http://schemas.openxmlformats.org/officeDocument/2006/relationships/hyperlink" Target="https://en.wikipedia.org/wiki/Pennsylvania_Senate,_District_40" TargetMode="External"/><Relationship Id="rId43" Type="http://schemas.openxmlformats.org/officeDocument/2006/relationships/hyperlink" Target="https://en.wikipedia.org/wiki/Pennsylvania_Senate,_District_39" TargetMode="External"/><Relationship Id="rId46" Type="http://schemas.openxmlformats.org/officeDocument/2006/relationships/hyperlink" Target="https://en.wikipedia.org/wiki/Pennsylvania_Senate,_District_42" TargetMode="External"/><Relationship Id="rId45" Type="http://schemas.openxmlformats.org/officeDocument/2006/relationships/hyperlink" Target="https://en.wikipedia.org/wiki/Pennsylvania_Senate,_District_41" TargetMode="External"/><Relationship Id="rId48" Type="http://schemas.openxmlformats.org/officeDocument/2006/relationships/hyperlink" Target="https://en.wikipedia.org/wiki/Pennsylvania_Senate,_District_44" TargetMode="External"/><Relationship Id="rId47" Type="http://schemas.openxmlformats.org/officeDocument/2006/relationships/hyperlink" Target="https://en.wikipedia.org/wiki/Pennsylvania_Senate,_District_43" TargetMode="External"/><Relationship Id="rId49" Type="http://schemas.openxmlformats.org/officeDocument/2006/relationships/hyperlink" Target="http://www.senatormuth.com/" TargetMode="External"/><Relationship Id="rId31" Type="http://schemas.openxmlformats.org/officeDocument/2006/relationships/hyperlink" Target="https://en.wikipedia.org/wiki/Pennsylvania_Senate,_District_28" TargetMode="External"/><Relationship Id="rId30" Type="http://schemas.openxmlformats.org/officeDocument/2006/relationships/hyperlink" Target="https://en.wikipedia.org/wiki/Pennsylvania_Senate,_District_27" TargetMode="External"/><Relationship Id="rId33" Type="http://schemas.openxmlformats.org/officeDocument/2006/relationships/hyperlink" Target="https://en.wikipedia.org/wiki/Pennsylvania_Senate,_District_29" TargetMode="External"/><Relationship Id="rId32" Type="http://schemas.openxmlformats.org/officeDocument/2006/relationships/hyperlink" Target="http://senatorkristin.com/contact-me/" TargetMode="External"/><Relationship Id="rId35" Type="http://schemas.openxmlformats.org/officeDocument/2006/relationships/hyperlink" Target="https://en.wikipedia.org/wiki/Pennsylvania_Senate,_District_31" TargetMode="External"/><Relationship Id="rId34" Type="http://schemas.openxmlformats.org/officeDocument/2006/relationships/hyperlink" Target="https://en.wikipedia.org/wiki/Pennsylvania_Senate,_District_30" TargetMode="External"/><Relationship Id="rId37" Type="http://schemas.openxmlformats.org/officeDocument/2006/relationships/hyperlink" Target="https://en.wikipedia.org/wiki/Pennsylvania_Senate,_District_33" TargetMode="External"/><Relationship Id="rId36" Type="http://schemas.openxmlformats.org/officeDocument/2006/relationships/hyperlink" Target="https://en.wikipedia.org/wiki/Pennsylvania_Senate,_District_32" TargetMode="External"/><Relationship Id="rId39" Type="http://schemas.openxmlformats.org/officeDocument/2006/relationships/hyperlink" Target="https://en.wikipedia.org/wiki/Pennsylvania_Senate,_District_35" TargetMode="External"/><Relationship Id="rId38" Type="http://schemas.openxmlformats.org/officeDocument/2006/relationships/hyperlink" Target="https://en.wikipedia.org/wiki/Pennsylvania_Senate,_District_34" TargetMode="External"/><Relationship Id="rId20" Type="http://schemas.openxmlformats.org/officeDocument/2006/relationships/hyperlink" Target="https://en.wikipedia.org/wiki/Pennsylvania_Senate,_District_18" TargetMode="External"/><Relationship Id="rId22" Type="http://schemas.openxmlformats.org/officeDocument/2006/relationships/hyperlink" Target="https://en.wikipedia.org/wiki/Pennsylvania_Senate,_District_20" TargetMode="External"/><Relationship Id="rId21" Type="http://schemas.openxmlformats.org/officeDocument/2006/relationships/hyperlink" Target="https://en.wikipedia.org/wiki/Pennsylvania_Senate,_District_19" TargetMode="External"/><Relationship Id="rId24" Type="http://schemas.openxmlformats.org/officeDocument/2006/relationships/hyperlink" Target="https://en.wikipedia.org/wiki/Pennsylvania_Senate,_District_22" TargetMode="External"/><Relationship Id="rId23" Type="http://schemas.openxmlformats.org/officeDocument/2006/relationships/hyperlink" Target="https://en.wikipedia.org/wiki/Pennsylvania_Senate,_District_21" TargetMode="External"/><Relationship Id="rId26" Type="http://schemas.openxmlformats.org/officeDocument/2006/relationships/hyperlink" Target="https://en.wikipedia.org/wiki/Pennsylvania_Senate,_District_24" TargetMode="External"/><Relationship Id="rId25" Type="http://schemas.openxmlformats.org/officeDocument/2006/relationships/hyperlink" Target="https://en.wikipedia.org/wiki/Pennsylvania_Senate,_District_23" TargetMode="External"/><Relationship Id="rId28" Type="http://schemas.openxmlformats.org/officeDocument/2006/relationships/hyperlink" Target="https://en.wikipedia.org/wiki/Pennsylvania_Senate,_District_26" TargetMode="External"/><Relationship Id="rId27" Type="http://schemas.openxmlformats.org/officeDocument/2006/relationships/hyperlink" Target="https://en.wikipedia.org/wiki/Pennsylvania_Senate,_District_25" TargetMode="External"/><Relationship Id="rId29" Type="http://schemas.openxmlformats.org/officeDocument/2006/relationships/hyperlink" Target="http://www.senatorkearney.com/" TargetMode="External"/><Relationship Id="rId11" Type="http://schemas.openxmlformats.org/officeDocument/2006/relationships/hyperlink" Target="https://en.wikipedia.org/wiki/Pennsylvania_Senate,_District_10" TargetMode="External"/><Relationship Id="rId10" Type="http://schemas.openxmlformats.org/officeDocument/2006/relationships/hyperlink" Target="https://en.wikipedia.org/wiki/Pennsylvania_Senate,_District_9" TargetMode="External"/><Relationship Id="rId13" Type="http://schemas.openxmlformats.org/officeDocument/2006/relationships/hyperlink" Target="https://en.wikipedia.org/wiki/Pennsylvania_Senate,_District_11" TargetMode="External"/><Relationship Id="rId12" Type="http://schemas.openxmlformats.org/officeDocument/2006/relationships/hyperlink" Target="http://www.senatorstevesantarsiero.com/" TargetMode="External"/><Relationship Id="rId15" Type="http://schemas.openxmlformats.org/officeDocument/2006/relationships/hyperlink" Target="https://en.wikipedia.org/wiki/Pennsylvania_Senate,_District_13" TargetMode="External"/><Relationship Id="rId14" Type="http://schemas.openxmlformats.org/officeDocument/2006/relationships/hyperlink" Target="https://en.wikipedia.org/wiki/Pennsylvania_Senate,_District_12" TargetMode="External"/><Relationship Id="rId17" Type="http://schemas.openxmlformats.org/officeDocument/2006/relationships/hyperlink" Target="https://en.wikipedia.org/wiki/Pennsylvania_Senate,_District_15" TargetMode="External"/><Relationship Id="rId16" Type="http://schemas.openxmlformats.org/officeDocument/2006/relationships/hyperlink" Target="https://en.wikipedia.org/wiki/Pennsylvania_Senate,_District_14" TargetMode="External"/><Relationship Id="rId19" Type="http://schemas.openxmlformats.org/officeDocument/2006/relationships/hyperlink" Target="https://en.wikipedia.org/wiki/Pennsylvania_Senate,_District_17" TargetMode="External"/><Relationship Id="rId18" Type="http://schemas.openxmlformats.org/officeDocument/2006/relationships/hyperlink" Target="https://en.wikipedia.org/wiki/Pennsylvania_Senate,_District_16" TargetMode="External"/><Relationship Id="rId51" Type="http://schemas.openxmlformats.org/officeDocument/2006/relationships/hyperlink" Target="https://en.wikipedia.org/wiki/Pennsylvania_Senate,_District_46" TargetMode="External"/><Relationship Id="rId50" Type="http://schemas.openxmlformats.org/officeDocument/2006/relationships/hyperlink" Target="https://en.wikipedia.org/wiki/Pennsylvania_Senate,_District_45" TargetMode="External"/><Relationship Id="rId53" Type="http://schemas.openxmlformats.org/officeDocument/2006/relationships/hyperlink" Target="https://en.wikipedia.org/wiki/Pennsylvania_Senate,_District_48" TargetMode="External"/><Relationship Id="rId52" Type="http://schemas.openxmlformats.org/officeDocument/2006/relationships/hyperlink" Target="https://en.wikipedia.org/wiki/Pennsylvania_Senate,_District_47" TargetMode="External"/><Relationship Id="rId55" Type="http://schemas.openxmlformats.org/officeDocument/2006/relationships/hyperlink" Target="https://en.wikipedia.org/wiki/Pennsylvania_Senate,_District_50" TargetMode="External"/><Relationship Id="rId54" Type="http://schemas.openxmlformats.org/officeDocument/2006/relationships/hyperlink" Target="https://en.wikipedia.org/wiki/Pennsylvania_Senate,_District_49" TargetMode="External"/><Relationship Id="rId56"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hyperlink" Target="https://en.wikipedia.org/wiki/Edith_Ajello" TargetMode="External"/><Relationship Id="rId2" Type="http://schemas.openxmlformats.org/officeDocument/2006/relationships/hyperlink" Target="https://en.wikipedia.org/wiki/Christopher_Blazejewski" TargetMode="External"/><Relationship Id="rId3" Type="http://schemas.openxmlformats.org/officeDocument/2006/relationships/hyperlink" Target="https://en.wikipedia.org/wiki/Moira_Walsh" TargetMode="External"/><Relationship Id="rId4" Type="http://schemas.openxmlformats.org/officeDocument/2006/relationships/hyperlink" Target="https://en.wikipedia.org/wiki/Marcia_Ranglin-Vassell" TargetMode="External"/><Relationship Id="rId9" Type="http://schemas.openxmlformats.org/officeDocument/2006/relationships/hyperlink" Target="https://en.wikipedia.org/wiki/Scott_Slater" TargetMode="External"/><Relationship Id="rId5" Type="http://schemas.openxmlformats.org/officeDocument/2006/relationships/hyperlink" Target="https://en.wikipedia.org/wiki/Raymond_Hull_(politician)" TargetMode="External"/><Relationship Id="rId6" Type="http://schemas.openxmlformats.org/officeDocument/2006/relationships/hyperlink" Target="https://en.wikipedia.org/w/index.php?title=Daniel_P._McKiernan&amp;action=edit&amp;redlink=1" TargetMode="External"/><Relationship Id="rId7" Type="http://schemas.openxmlformats.org/officeDocument/2006/relationships/hyperlink" Target="https://en.wikipedia.org/wiki/John_J._Lombardi" TargetMode="External"/><Relationship Id="rId8" Type="http://schemas.openxmlformats.org/officeDocument/2006/relationships/hyperlink" Target="https://en.wikipedia.org/wiki/Anastasia_P._Williams" TargetMode="External"/><Relationship Id="rId40" Type="http://schemas.openxmlformats.org/officeDocument/2006/relationships/hyperlink" Target="https://en.wikipedia.org/w/index.php?title=Alex_Marszalkowski&amp;action=edit&amp;redlink=1" TargetMode="External"/><Relationship Id="rId42" Type="http://schemas.openxmlformats.org/officeDocument/2006/relationships/hyperlink" Target="https://en.wikipedia.org/wiki/Arthur_Corvese" TargetMode="External"/><Relationship Id="rId41" Type="http://schemas.openxmlformats.org/officeDocument/2006/relationships/hyperlink" Target="https://en.wikipedia.org/wiki/William_O%27Brien_(Rhode_Island_politician)" TargetMode="External"/><Relationship Id="rId44" Type="http://schemas.openxmlformats.org/officeDocument/2006/relationships/hyperlink" Target="https://en.wikipedia.org/wiki/James_McLaughlin_(politician)" TargetMode="External"/><Relationship Id="rId43" Type="http://schemas.openxmlformats.org/officeDocument/2006/relationships/hyperlink" Target="https://en.wikipedia.org/wiki/Shelby_Maldonado" TargetMode="External"/><Relationship Id="rId46" Type="http://schemas.openxmlformats.org/officeDocument/2006/relationships/hyperlink" Target="https://en.wikipedia.org/w/index.php?title=Jean_Philippe_Barros&amp;action=edit&amp;redlink=1" TargetMode="External"/><Relationship Id="rId45" Type="http://schemas.openxmlformats.org/officeDocument/2006/relationships/hyperlink" Target="https://en.wikipedia.org/w/index.php?title=Carlos_E._Tobon&amp;action=edit&amp;redlink=1" TargetMode="External"/><Relationship Id="rId48" Type="http://schemas.openxmlformats.org/officeDocument/2006/relationships/hyperlink" Target="https://en.wikipedia.org/wiki/Mary_Messier" TargetMode="External"/><Relationship Id="rId47" Type="http://schemas.openxmlformats.org/officeDocument/2006/relationships/hyperlink" Target="https://en.wikipedia.org/wiki/Raymond_Johnston" TargetMode="External"/><Relationship Id="rId49" Type="http://schemas.openxmlformats.org/officeDocument/2006/relationships/hyperlink" Target="https://en.wikipedia.org/wiki/Katherine_Kazarian" TargetMode="External"/><Relationship Id="rId31" Type="http://schemas.openxmlformats.org/officeDocument/2006/relationships/hyperlink" Target="https://en.wikipedia.org/w/index.php?title=Robert_Quattrocchi&amp;action=edit&amp;redlink=1" TargetMode="External"/><Relationship Id="rId30" Type="http://schemas.openxmlformats.org/officeDocument/2006/relationships/hyperlink" Target="https://en.wikipedia.org/wiki/Michael_Chippendale" TargetMode="External"/><Relationship Id="rId33" Type="http://schemas.openxmlformats.org/officeDocument/2006/relationships/hyperlink" Target="https://en.wikipedia.org/wiki/Deborah_Fellela" TargetMode="External"/><Relationship Id="rId32" Type="http://schemas.openxmlformats.org/officeDocument/2006/relationships/hyperlink" Target="https://en.wikipedia.org/wiki/Stephen_Ucci" TargetMode="External"/><Relationship Id="rId35" Type="http://schemas.openxmlformats.org/officeDocument/2006/relationships/hyperlink" Target="https://en.wikipedia.org/wiki/Mia_Ackerman" TargetMode="External"/><Relationship Id="rId34" Type="http://schemas.openxmlformats.org/officeDocument/2006/relationships/hyperlink" Target="https://en.wikipedia.org/wiki/Gregory_Costantino" TargetMode="External"/><Relationship Id="rId37" Type="http://schemas.openxmlformats.org/officeDocument/2006/relationships/hyperlink" Target="https://en.wikipedia.org/wiki/Michael_Morin" TargetMode="External"/><Relationship Id="rId36" Type="http://schemas.openxmlformats.org/officeDocument/2006/relationships/hyperlink" Target="https://en.wikipedia.org/wiki/Brian_Newberry" TargetMode="External"/><Relationship Id="rId39" Type="http://schemas.openxmlformats.org/officeDocument/2006/relationships/hyperlink" Target="https://en.wikipedia.org/wiki/Robert_Phillips_(politician)" TargetMode="External"/><Relationship Id="rId38" Type="http://schemas.openxmlformats.org/officeDocument/2006/relationships/hyperlink" Target="https://en.wikipedia.org/wiki/Stephen_Casey" TargetMode="External"/><Relationship Id="rId20" Type="http://schemas.openxmlformats.org/officeDocument/2006/relationships/hyperlink" Target="https://en.wikipedia.org/w/index.php?title=Evan_Shanley&amp;action=edit&amp;redlink=1" TargetMode="External"/><Relationship Id="rId22" Type="http://schemas.openxmlformats.org/officeDocument/2006/relationships/hyperlink" Target="https://en.wikipedia.org/wiki/Robert_Craven" TargetMode="External"/><Relationship Id="rId21" Type="http://schemas.openxmlformats.org/officeDocument/2006/relationships/hyperlink" Target="https://en.wikipedia.org/wiki/Sherry_Roberts" TargetMode="External"/><Relationship Id="rId24" Type="http://schemas.openxmlformats.org/officeDocument/2006/relationships/hyperlink" Target="https://en.wikipedia.org/wiki/Teresa_Tanzi" TargetMode="External"/><Relationship Id="rId23" Type="http://schemas.openxmlformats.org/officeDocument/2006/relationships/hyperlink" Target="https://en.wikipedia.org/w/index.php?title=Carol_McEntee&amp;action=edit&amp;redlink=1" TargetMode="External"/><Relationship Id="rId26" Type="http://schemas.openxmlformats.org/officeDocument/2006/relationships/hyperlink" Target="https://en.wikipedia.org/wiki/Blake_Filippi" TargetMode="External"/><Relationship Id="rId25" Type="http://schemas.openxmlformats.org/officeDocument/2006/relationships/hyperlink" Target="https://en.wikipedia.org/w/index.php?title=Kathleen_A._Fogarty&amp;action=edit&amp;redlink=1" TargetMode="External"/><Relationship Id="rId28" Type="http://schemas.openxmlformats.org/officeDocument/2006/relationships/hyperlink" Target="https://en.wikipedia.org/wiki/Brian_Patrick_Kennedy" TargetMode="External"/><Relationship Id="rId27" Type="http://schemas.openxmlformats.org/officeDocument/2006/relationships/hyperlink" Target="https://en.wikipedia.org/wiki/Samuel_Azzinaro" TargetMode="External"/><Relationship Id="rId29" Type="http://schemas.openxmlformats.org/officeDocument/2006/relationships/hyperlink" Target="https://en.wikipedia.org/wiki/Justin_K_Price" TargetMode="External"/><Relationship Id="rId11" Type="http://schemas.openxmlformats.org/officeDocument/2006/relationships/hyperlink" Target="https://en.wikipedia.org/wiki/Joseph_Almeida" TargetMode="External"/><Relationship Id="rId10" Type="http://schemas.openxmlformats.org/officeDocument/2006/relationships/hyperlink" Target="https://en.wikipedia.org/wiki/Grace_Diaz" TargetMode="External"/><Relationship Id="rId13" Type="http://schemas.openxmlformats.org/officeDocument/2006/relationships/hyperlink" Target="https://en.wikipedia.org/wiki/Nicholas_Mattiello" TargetMode="External"/><Relationship Id="rId12" Type="http://schemas.openxmlformats.org/officeDocument/2006/relationships/hyperlink" Target="https://en.wikipedia.org/wiki/Charlene_Lima" TargetMode="External"/><Relationship Id="rId15" Type="http://schemas.openxmlformats.org/officeDocument/2006/relationships/hyperlink" Target="https://en.wikipedia.org/wiki/Arthur_Handy" TargetMode="External"/><Relationship Id="rId14" Type="http://schemas.openxmlformats.org/officeDocument/2006/relationships/hyperlink" Target="https://en.wikipedia.org/wiki/Robert_Jacquard" TargetMode="External"/><Relationship Id="rId17" Type="http://schemas.openxmlformats.org/officeDocument/2006/relationships/hyperlink" Target="https://en.wikipedia.org/wiki/David_Bennett_(Rhode_Island_politician)" TargetMode="External"/><Relationship Id="rId16" Type="http://schemas.openxmlformats.org/officeDocument/2006/relationships/hyperlink" Target="https://en.wikipedia.org/wiki/Joseph_McNamara_(Rhode_Island_politician)" TargetMode="External"/><Relationship Id="rId19" Type="http://schemas.openxmlformats.org/officeDocument/2006/relationships/hyperlink" Target="https://en.wikipedia.org/wiki/Joseph_J._Solomon,_Jr." TargetMode="External"/><Relationship Id="rId18" Type="http://schemas.openxmlformats.org/officeDocument/2006/relationships/hyperlink" Target="https://en.wikipedia.org/w/index.php?title=Camille_Vella_Wilkinson&amp;action=edit&amp;redlink=1" TargetMode="External"/><Relationship Id="rId84" Type="http://schemas.openxmlformats.org/officeDocument/2006/relationships/drawing" Target="../drawings/drawing40.xml"/><Relationship Id="rId83" Type="http://schemas.openxmlformats.org/officeDocument/2006/relationships/hyperlink" Target="https://langevin.house.gov/contact-me/email-me" TargetMode="External"/><Relationship Id="rId80" Type="http://schemas.openxmlformats.org/officeDocument/2006/relationships/hyperlink" Target="https://en.wikipedia.org/wiki/Dennis_Algiere" TargetMode="External"/><Relationship Id="rId82" Type="http://schemas.openxmlformats.org/officeDocument/2006/relationships/hyperlink" Target="https://cicilline.house.gov/contact-me/email-me" TargetMode="External"/><Relationship Id="rId81" Type="http://schemas.openxmlformats.org/officeDocument/2006/relationships/hyperlink" Target="http://www.governor.ri.gov/contact/" TargetMode="External"/><Relationship Id="rId73" Type="http://schemas.openxmlformats.org/officeDocument/2006/relationships/hyperlink" Target="https://en.wikipedia.org/wiki/Hanna_Gallo" TargetMode="External"/><Relationship Id="rId72" Type="http://schemas.openxmlformats.org/officeDocument/2006/relationships/hyperlink" Target="https://en.wikipedia.org/wiki/Frank_Lombardi" TargetMode="External"/><Relationship Id="rId75" Type="http://schemas.openxmlformats.org/officeDocument/2006/relationships/hyperlink" Target="https://en.wikipedia.org/wiki/Michael_McCaffrey" TargetMode="External"/><Relationship Id="rId74" Type="http://schemas.openxmlformats.org/officeDocument/2006/relationships/hyperlink" Target="https://en.wikipedia.org/wiki/Joshua_Miller_(politician)" TargetMode="External"/><Relationship Id="rId77" Type="http://schemas.openxmlformats.org/officeDocument/2006/relationships/hyperlink" Target="https://en.wikipedia.org/wiki/Leonidas_Raptakis" TargetMode="External"/><Relationship Id="rId76" Type="http://schemas.openxmlformats.org/officeDocument/2006/relationships/hyperlink" Target="https://en.wikipedia.org/w/index.php?title=Cynthia_Armour_Coyne&amp;action=edit&amp;redlink=1" TargetMode="External"/><Relationship Id="rId79" Type="http://schemas.openxmlformats.org/officeDocument/2006/relationships/hyperlink" Target="https://en.wikipedia.org/wiki/James_Sheehan_(Rhode_Island_politician)" TargetMode="External"/><Relationship Id="rId78" Type="http://schemas.openxmlformats.org/officeDocument/2006/relationships/hyperlink" Target="https://en.wikipedia.org/w/index.php?title=Elaine_J._Morgan&amp;action=edit&amp;redlink=1" TargetMode="External"/><Relationship Id="rId71" Type="http://schemas.openxmlformats.org/officeDocument/2006/relationships/hyperlink" Target="https://en.wikipedia.org/wiki/Frank_Lombardo" TargetMode="External"/><Relationship Id="rId70" Type="http://schemas.openxmlformats.org/officeDocument/2006/relationships/hyperlink" Target="https://en.wikipedia.org/wiki/Roger_Picard_(politician)" TargetMode="External"/><Relationship Id="rId62" Type="http://schemas.openxmlformats.org/officeDocument/2006/relationships/hyperlink" Target="https://en.wikipedia.org/w/index.php?title=James_Seveney&amp;action=edit&amp;redlink=1" TargetMode="External"/><Relationship Id="rId61" Type="http://schemas.openxmlformats.org/officeDocument/2006/relationships/hyperlink" Target="https://en.wikipedia.org/wiki/Walter_Felag" TargetMode="External"/><Relationship Id="rId64" Type="http://schemas.openxmlformats.org/officeDocument/2006/relationships/hyperlink" Target="https://en.wikipedia.org/w/index.php?title=Dawn_Euer&amp;action=edit&amp;redlink=1" TargetMode="External"/><Relationship Id="rId63" Type="http://schemas.openxmlformats.org/officeDocument/2006/relationships/hyperlink" Target="https://en.wikipedia.org/wiki/Louis_DiPalma" TargetMode="External"/><Relationship Id="rId66" Type="http://schemas.openxmlformats.org/officeDocument/2006/relationships/hyperlink" Target="https://en.wikipedia.org/wiki/Elizabeth_Crowley_(Rhode_Island_politician)" TargetMode="External"/><Relationship Id="rId65" Type="http://schemas.openxmlformats.org/officeDocument/2006/relationships/hyperlink" Target="https://en.wikipedia.org/wiki/Donna_Nesselbush" TargetMode="External"/><Relationship Id="rId68" Type="http://schemas.openxmlformats.org/officeDocument/2006/relationships/hyperlink" Target="https://en.wikipedia.org/wiki/William_Conley,_Jr." TargetMode="External"/><Relationship Id="rId67" Type="http://schemas.openxmlformats.org/officeDocument/2006/relationships/hyperlink" Target="https://en.wikipedia.org/w/index.php?title=Thomas_Paolino&amp;action=edit&amp;redlink=1" TargetMode="External"/><Relationship Id="rId60" Type="http://schemas.openxmlformats.org/officeDocument/2006/relationships/hyperlink" Target="https://en.wikipedia.org/wiki/Adam_Satchell" TargetMode="External"/><Relationship Id="rId69" Type="http://schemas.openxmlformats.org/officeDocument/2006/relationships/hyperlink" Target="https://en.wikipedia.org/wiki/Ryan_W._Pearson" TargetMode="External"/><Relationship Id="rId51" Type="http://schemas.openxmlformats.org/officeDocument/2006/relationships/hyperlink" Target="https://en.wikipedia.org/wiki/Deb_Ruggiero" TargetMode="External"/><Relationship Id="rId50" Type="http://schemas.openxmlformats.org/officeDocument/2006/relationships/hyperlink" Target="https://en.wikipedia.org/wiki/Marvin_Abney" TargetMode="External"/><Relationship Id="rId53" Type="http://schemas.openxmlformats.org/officeDocument/2006/relationships/hyperlink" Target="https://en.wikipedia.org/wiki/Maryellen_Goodwin" TargetMode="External"/><Relationship Id="rId52" Type="http://schemas.openxmlformats.org/officeDocument/2006/relationships/hyperlink" Target="https://en.wikipedia.org/wiki/Lauren_H._Carson" TargetMode="External"/><Relationship Id="rId55" Type="http://schemas.openxmlformats.org/officeDocument/2006/relationships/hyperlink" Target="https://en.wikipedia.org/wiki/Gayle_Goldin" TargetMode="External"/><Relationship Id="rId54" Type="http://schemas.openxmlformats.org/officeDocument/2006/relationships/hyperlink" Target="https://en.wikipedia.org/w/index.php?title=Ana_Quezada&amp;action=edit&amp;redlink=1" TargetMode="External"/><Relationship Id="rId57" Type="http://schemas.openxmlformats.org/officeDocument/2006/relationships/hyperlink" Target="https://en.wikipedia.org/wiki/Harold_Metts" TargetMode="External"/><Relationship Id="rId56" Type="http://schemas.openxmlformats.org/officeDocument/2006/relationships/hyperlink" Target="https://en.wikipedia.org/wiki/Dominick_J._Ruggerio" TargetMode="External"/><Relationship Id="rId59" Type="http://schemas.openxmlformats.org/officeDocument/2006/relationships/hyperlink" Target="https://en.wikipedia.org/wiki/Sandra_Cano" TargetMode="External"/><Relationship Id="rId58" Type="http://schemas.openxmlformats.org/officeDocument/2006/relationships/hyperlink" Target="https://en.wikipedia.org/wiki/Frank_Ciccone"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s://en.wikipedia.org/wiki/Gary_E._Clary" TargetMode="External"/><Relationship Id="rId2" Type="http://schemas.openxmlformats.org/officeDocument/2006/relationships/hyperlink" Target="https://en.wikipedia.org/wiki/Neal_Collins_(politician)" TargetMode="External"/><Relationship Id="rId3" Type="http://schemas.openxmlformats.org/officeDocument/2006/relationships/hyperlink" Target="https://en.wikipedia.org/wiki/Jay_West" TargetMode="External"/><Relationship Id="rId4" Type="http://schemas.openxmlformats.org/officeDocument/2006/relationships/hyperlink" Target="https://en.wikipedia.org/wiki/Dan_Hamilton_(politician)" TargetMode="External"/><Relationship Id="rId9" Type="http://schemas.openxmlformats.org/officeDocument/2006/relationships/hyperlink" Target="https://en.wikipedia.org/wiki/Josiah_Magnuson" TargetMode="External"/><Relationship Id="rId5" Type="http://schemas.openxmlformats.org/officeDocument/2006/relationships/hyperlink" Target="https://en.wikipedia.org/wiki/Jason_Elliott_(politician)" TargetMode="External"/><Relationship Id="rId6" Type="http://schemas.openxmlformats.org/officeDocument/2006/relationships/hyperlink" Target="https://en.wikipedia.org/wiki/Bruce_W._Bannister" TargetMode="External"/><Relationship Id="rId7" Type="http://schemas.openxmlformats.org/officeDocument/2006/relationships/hyperlink" Target="https://en.wikipedia.org/wiki/Garry_R._Smith" TargetMode="External"/><Relationship Id="rId8" Type="http://schemas.openxmlformats.org/officeDocument/2006/relationships/hyperlink" Target="https://en.wikipedia.org/wiki/Steve_R._Moss" TargetMode="External"/><Relationship Id="rId40" Type="http://schemas.openxmlformats.org/officeDocument/2006/relationships/hyperlink" Target="https://en.wikipedia.org/w/index.php?title=Floyd_Nicholson&amp;action=edit&amp;redlink=1" TargetMode="External"/><Relationship Id="rId42" Type="http://schemas.openxmlformats.org/officeDocument/2006/relationships/hyperlink" Target="https://en.wikipedia.org/w/index.php?title=Scott_Talley&amp;action=edit&amp;redlink=1" TargetMode="External"/><Relationship Id="rId41" Type="http://schemas.openxmlformats.org/officeDocument/2006/relationships/hyperlink" Target="https://en.wikipedia.org/wiki/Glenn_G._Reese" TargetMode="External"/><Relationship Id="rId44" Type="http://schemas.openxmlformats.org/officeDocument/2006/relationships/hyperlink" Target="https://en.wikipedia.org/wiki/Harvey_S._Peeler_Jr." TargetMode="External"/><Relationship Id="rId43" Type="http://schemas.openxmlformats.org/officeDocument/2006/relationships/hyperlink" Target="https://en.wikipedia.org/wiki/Shane_Martin" TargetMode="External"/><Relationship Id="rId46" Type="http://schemas.openxmlformats.org/officeDocument/2006/relationships/hyperlink" Target="https://en.wikipedia.org/wiki/Greg_Gregory" TargetMode="External"/><Relationship Id="rId45" Type="http://schemas.openxmlformats.org/officeDocument/2006/relationships/hyperlink" Target="https://en.wikipedia.org/w/index.php?title=Wes_Climer&amp;action=edit&amp;redlink=1" TargetMode="External"/><Relationship Id="rId48" Type="http://schemas.openxmlformats.org/officeDocument/2006/relationships/hyperlink" Target="https://en.wikipedia.org/wiki/Ronnie_W._Cromer" TargetMode="External"/><Relationship Id="rId47" Type="http://schemas.openxmlformats.org/officeDocument/2006/relationships/hyperlink" Target="https://en.wikipedia.org/w/index.php?title=Mike_Fanning_(politician)&amp;action=edit&amp;redlink=1" TargetMode="External"/><Relationship Id="rId49" Type="http://schemas.openxmlformats.org/officeDocument/2006/relationships/hyperlink" Target="https://en.wikipedia.org/wiki/John_L._Scott_Jr." TargetMode="External"/><Relationship Id="rId31" Type="http://schemas.openxmlformats.org/officeDocument/2006/relationships/hyperlink" Target="https://en.wikipedia.org/wiki/Thomas_C._Alexander" TargetMode="External"/><Relationship Id="rId30" Type="http://schemas.openxmlformats.org/officeDocument/2006/relationships/hyperlink" Target="https://en.wikipedia.org/wiki/Mike_Sottile" TargetMode="External"/><Relationship Id="rId33" Type="http://schemas.openxmlformats.org/officeDocument/2006/relationships/hyperlink" Target="https://en.wikipedia.org/w/index.php?title=Richard_Cash&amp;action=edit&amp;redlink=1" TargetMode="External"/><Relationship Id="rId32" Type="http://schemas.openxmlformats.org/officeDocument/2006/relationships/hyperlink" Target="https://en.wikipedia.org/w/index.php?title=Rex_Rice&amp;action=edit&amp;redlink=1" TargetMode="External"/><Relationship Id="rId35" Type="http://schemas.openxmlformats.org/officeDocument/2006/relationships/hyperlink" Target="https://en.wikipedia.org/w/index.php?title=Thomas_D._Corbin&amp;action=edit&amp;redlink=1" TargetMode="External"/><Relationship Id="rId34" Type="http://schemas.openxmlformats.org/officeDocument/2006/relationships/hyperlink" Target="https://en.wikipedia.org/wiki/Michael_Gambrell" TargetMode="External"/><Relationship Id="rId37" Type="http://schemas.openxmlformats.org/officeDocument/2006/relationships/hyperlink" Target="https://en.wikipedia.org/w/index.php?title=Karl_B._Allen&amp;action=edit&amp;redlink=1" TargetMode="External"/><Relationship Id="rId36" Type="http://schemas.openxmlformats.org/officeDocument/2006/relationships/hyperlink" Target="https://en.wikipedia.org/wiki/William_Timmons_(politician)" TargetMode="External"/><Relationship Id="rId39" Type="http://schemas.openxmlformats.org/officeDocument/2006/relationships/hyperlink" Target="https://en.wikipedia.org/wiki/Danny_Verdin" TargetMode="External"/><Relationship Id="rId38" Type="http://schemas.openxmlformats.org/officeDocument/2006/relationships/hyperlink" Target="https://en.wikipedia.org/w/index.php?title=Ross_Turner&amp;action=edit&amp;redlink=1" TargetMode="External"/><Relationship Id="rId20" Type="http://schemas.openxmlformats.org/officeDocument/2006/relationships/hyperlink" Target="http://www.wistv.com/story/37548929/sc-house-minority-leader-rutherford-enough-is-enough-wants-to-block-people-under-20-from-purchasing-an-ar-15/" TargetMode="External"/><Relationship Id="rId22" Type="http://schemas.openxmlformats.org/officeDocument/2006/relationships/hyperlink" Target="https://en.wikipedia.org/wiki/Beth_Bernstein" TargetMode="External"/><Relationship Id="rId21" Type="http://schemas.openxmlformats.org/officeDocument/2006/relationships/hyperlink" Target="https://en.wikipedia.org/wiki/Kirkman_Finlay,_III" TargetMode="External"/><Relationship Id="rId24" Type="http://schemas.openxmlformats.org/officeDocument/2006/relationships/hyperlink" Target="https://en.wikipedia.org/wiki/Micah_Caskey" TargetMode="External"/><Relationship Id="rId23" Type="http://schemas.openxmlformats.org/officeDocument/2006/relationships/hyperlink" Target="https://en.wikipedia.org/wiki/Chip_Huggins" TargetMode="External"/><Relationship Id="rId26" Type="http://schemas.openxmlformats.org/officeDocument/2006/relationships/hyperlink" Target="https://en.wikipedia.org/wiki/Russell_Ott" TargetMode="External"/><Relationship Id="rId25" Type="http://schemas.openxmlformats.org/officeDocument/2006/relationships/hyperlink" Target="https://en.wikipedia.org/wiki/Justin_Bamberg" TargetMode="External"/><Relationship Id="rId28" Type="http://schemas.openxmlformats.org/officeDocument/2006/relationships/hyperlink" Target="https://en.wikipedia.org/wiki/Alan_D._Clemmons" TargetMode="External"/><Relationship Id="rId27" Type="http://schemas.openxmlformats.org/officeDocument/2006/relationships/hyperlink" Target="https://en.wikipedia.org/wiki/Joseph_H._Jefferson" TargetMode="External"/><Relationship Id="rId29" Type="http://schemas.openxmlformats.org/officeDocument/2006/relationships/hyperlink" Target="https://en.wikipedia.org/wiki/Wendell_Gilliard" TargetMode="External"/><Relationship Id="rId11" Type="http://schemas.openxmlformats.org/officeDocument/2006/relationships/hyperlink" Target="https://en.wikipedia.org/wiki/Tommy_Pope_(politician)" TargetMode="External"/><Relationship Id="rId10" Type="http://schemas.openxmlformats.org/officeDocument/2006/relationships/hyperlink" Target="https://en.wikipedia.org/wiki/Mandy_Powers_Norrell" TargetMode="External"/><Relationship Id="rId13" Type="http://schemas.openxmlformats.org/officeDocument/2006/relationships/hyperlink" Target="https://en.wikipedia.org/wiki/Laurie_Funderburk" TargetMode="External"/><Relationship Id="rId12" Type="http://schemas.openxmlformats.org/officeDocument/2006/relationships/hyperlink" Target="https://en.wikipedia.org/wiki/John_King_(South_Carolina)" TargetMode="External"/><Relationship Id="rId15" Type="http://schemas.openxmlformats.org/officeDocument/2006/relationships/hyperlink" Target="https://en.wikipedia.org/w/index.php?title=Patricia_Henegan&amp;action=edit&amp;redlink=1" TargetMode="External"/><Relationship Id="rId14" Type="http://schemas.openxmlformats.org/officeDocument/2006/relationships/hyperlink" Target="https://en.wikipedia.org/w/index.php?title=Richie_Yow&amp;action=edit&amp;redlink=1" TargetMode="External"/><Relationship Id="rId17" Type="http://schemas.openxmlformats.org/officeDocument/2006/relationships/hyperlink" Target="https://en.wikipedia.org/wiki/Nathan_Ballentine" TargetMode="External"/><Relationship Id="rId16" Type="http://schemas.openxmlformats.org/officeDocument/2006/relationships/hyperlink" Target="https://en.wikipedia.org/wiki/Gilda_Cobb-Hunter" TargetMode="External"/><Relationship Id="rId19" Type="http://schemas.openxmlformats.org/officeDocument/2006/relationships/hyperlink" Target="https://en.wikipedia.org/wiki/Chris_Hart_(South_Carolina)" TargetMode="External"/><Relationship Id="rId18" Type="http://schemas.openxmlformats.org/officeDocument/2006/relationships/hyperlink" Target="https://en.wikipedia.org/wiki/James_E._Smith_Jr." TargetMode="External"/><Relationship Id="rId73" Type="http://schemas.openxmlformats.org/officeDocument/2006/relationships/hyperlink" Target="https://en.wikipedia.org/wiki/Tom_Davis_(South_Carolina_politician)" TargetMode="External"/><Relationship Id="rId72" Type="http://schemas.openxmlformats.org/officeDocument/2006/relationships/hyperlink" Target="https://en.wikipedia.org/wiki/Paul_G._Campbell_Jr." TargetMode="External"/><Relationship Id="rId74" Type="http://schemas.openxmlformats.org/officeDocument/2006/relationships/drawing" Target="../drawings/drawing41.xml"/><Relationship Id="rId71" Type="http://schemas.openxmlformats.org/officeDocument/2006/relationships/hyperlink" Target="https://en.wikipedia.org/wiki/George_E._Campsen_III" TargetMode="External"/><Relationship Id="rId70" Type="http://schemas.openxmlformats.org/officeDocument/2006/relationships/hyperlink" Target="https://en.wikipedia.org/wiki/Marlon_Kimpson" TargetMode="External"/><Relationship Id="rId62" Type="http://schemas.openxmlformats.org/officeDocument/2006/relationships/hyperlink" Target="https://en.wikipedia.org/w/index.php?title=Stephen_Goldfinch&amp;action=edit&amp;redlink=1" TargetMode="External"/><Relationship Id="rId61" Type="http://schemas.openxmlformats.org/officeDocument/2006/relationships/hyperlink" Target="https://en.wikipedia.org/wiki/Luke_A._Rankin" TargetMode="External"/><Relationship Id="rId64" Type="http://schemas.openxmlformats.org/officeDocument/2006/relationships/hyperlink" Target="https://en.wikipedia.org/w/index.php?title=Kevin_L._Johnson_(politician)&amp;action=edit&amp;redlink=1" TargetMode="External"/><Relationship Id="rId63" Type="http://schemas.openxmlformats.org/officeDocument/2006/relationships/hyperlink" Target="https://en.wikipedia.org/wiki/Thomas_McElveen" TargetMode="External"/><Relationship Id="rId66" Type="http://schemas.openxmlformats.org/officeDocument/2006/relationships/hyperlink" Target="https://en.wikipedia.org/w/index.php?title=Sean_Bennett_(politician)&amp;action=edit&amp;redlink=1" TargetMode="External"/><Relationship Id="rId65" Type="http://schemas.openxmlformats.org/officeDocument/2006/relationships/hyperlink" Target="https://en.wikipedia.org/wiki/Larry_Grooms" TargetMode="External"/><Relationship Id="rId68" Type="http://schemas.openxmlformats.org/officeDocument/2006/relationships/hyperlink" Target="https://en.wikipedia.org/wiki/Brad_Hutto" TargetMode="External"/><Relationship Id="rId67" Type="http://schemas.openxmlformats.org/officeDocument/2006/relationships/hyperlink" Target="https://en.wikipedia.org/wiki/John_W._Matthews_Jr." TargetMode="External"/><Relationship Id="rId60" Type="http://schemas.openxmlformats.org/officeDocument/2006/relationships/hyperlink" Target="https://en.wikipedia.org/w/index.php?title=Ronnie_A._Sabb&amp;action=edit&amp;redlink=1" TargetMode="External"/><Relationship Id="rId69" Type="http://schemas.openxmlformats.org/officeDocument/2006/relationships/hyperlink" Target="https://en.wikipedia.org/w/index.php?title=Sandy_Senn&amp;action=edit&amp;redlink=1" TargetMode="External"/><Relationship Id="rId51" Type="http://schemas.openxmlformats.org/officeDocument/2006/relationships/hyperlink" Target="https://en.wikipedia.org/wiki/Mia_McLeod" TargetMode="External"/><Relationship Id="rId50" Type="http://schemas.openxmlformats.org/officeDocument/2006/relationships/hyperlink" Target="https://en.wikipedia.org/wiki/Darrell_Jackson_(politician)" TargetMode="External"/><Relationship Id="rId53" Type="http://schemas.openxmlformats.org/officeDocument/2006/relationships/hyperlink" Target="https://en.wikipedia.org/w/index.php?title=Tom_Young_Jr.&amp;action=edit&amp;redlink=1" TargetMode="External"/><Relationship Id="rId52" Type="http://schemas.openxmlformats.org/officeDocument/2006/relationships/hyperlink" Target="https://en.wikipedia.org/wiki/Katrina_Shealy" TargetMode="External"/><Relationship Id="rId55" Type="http://schemas.openxmlformats.org/officeDocument/2006/relationships/hyperlink" Target="https://en.wikipedia.org/wiki/Vincent_Sheheen" TargetMode="External"/><Relationship Id="rId54" Type="http://schemas.openxmlformats.org/officeDocument/2006/relationships/hyperlink" Target="https://en.wikipedia.org/wiki/Nikki_G._Setzler" TargetMode="External"/><Relationship Id="rId57" Type="http://schemas.openxmlformats.org/officeDocument/2006/relationships/hyperlink" Target="https://en.wikipedia.org/wiki/Gerald_Malloy" TargetMode="External"/><Relationship Id="rId56" Type="http://schemas.openxmlformats.org/officeDocument/2006/relationships/hyperlink" Target="https://en.wikipedia.org/w/index.php?title=Greg_Hembree&amp;action=edit&amp;redlink=1" TargetMode="External"/><Relationship Id="rId59" Type="http://schemas.openxmlformats.org/officeDocument/2006/relationships/hyperlink" Target="https://en.wikipedia.org/wiki/Hugh_Leatherman" TargetMode="External"/><Relationship Id="rId58" Type="http://schemas.openxmlformats.org/officeDocument/2006/relationships/hyperlink" Target="https://en.wikipedia.org/wiki/Kent_M._Williams" TargetMode="External"/></Relationships>
</file>

<file path=xl/worksheets/_rels/sheet42.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42.xml"/><Relationship Id="rId3" Type="http://schemas.openxmlformats.org/officeDocument/2006/relationships/vmlDrawing" Target="../drawings/vmlDrawing6.vml"/></Relationships>
</file>

<file path=xl/worksheets/_rels/sheet43.xml.rels><?xml version="1.0" encoding="UTF-8" standalone="yes"?><Relationships xmlns="http://schemas.openxmlformats.org/package/2006/relationships"><Relationship Id="rId190" Type="http://schemas.openxmlformats.org/officeDocument/2006/relationships/hyperlink" Target="http://www.capitol.tn.gov/house/committees/ethics.html" TargetMode="External"/><Relationship Id="rId194" Type="http://schemas.openxmlformats.org/officeDocument/2006/relationships/hyperlink" Target="http://www.capitol.tn.gov/house/committees/gov-opps.html" TargetMode="External"/><Relationship Id="rId193" Type="http://schemas.openxmlformats.org/officeDocument/2006/relationships/hyperlink" Target="http://www.capitol.tn.gov/house/committees/health.html" TargetMode="External"/><Relationship Id="rId192" Type="http://schemas.openxmlformats.org/officeDocument/2006/relationships/hyperlink" Target="http://www.capitol.tn.gov/house/committees/sub-public-health.aspx" TargetMode="External"/><Relationship Id="rId191" Type="http://schemas.openxmlformats.org/officeDocument/2006/relationships/hyperlink" Target="https://en.wikipedia.org/wiki/Larry_Miller_(Tennessee_politician)" TargetMode="External"/><Relationship Id="rId187" Type="http://schemas.openxmlformats.org/officeDocument/2006/relationships/hyperlink" Target="http://www.capitol.tn.gov/house/committees/health.html" TargetMode="External"/><Relationship Id="rId186" Type="http://schemas.openxmlformats.org/officeDocument/2006/relationships/hyperlink" Target="http://www.capitol.tn.gov/house/committees/commerce.html" TargetMode="External"/><Relationship Id="rId185" Type="http://schemas.openxmlformats.org/officeDocument/2006/relationships/hyperlink" Target="http://www.capitol.tn.gov/house/committees/sub-civil-justice.aspx" TargetMode="External"/><Relationship Id="rId184" Type="http://schemas.openxmlformats.org/officeDocument/2006/relationships/hyperlink" Target="http://www.capitol.tn.gov/house/committees/judiciary.html" TargetMode="External"/><Relationship Id="rId189" Type="http://schemas.openxmlformats.org/officeDocument/2006/relationships/hyperlink" Target="http://www.capitol.tn.gov/house/committees/judiciary.html" TargetMode="External"/><Relationship Id="rId188" Type="http://schemas.openxmlformats.org/officeDocument/2006/relationships/hyperlink" Target="https://en.wikipedia.org/wiki/Karen_Camper" TargetMode="External"/><Relationship Id="rId183" Type="http://schemas.openxmlformats.org/officeDocument/2006/relationships/hyperlink" Target="https://en.wikipedia.org/wiki/Joe_Towns" TargetMode="External"/><Relationship Id="rId182" Type="http://schemas.openxmlformats.org/officeDocument/2006/relationships/hyperlink" Target="http://www.capitol.tn.gov/house/committees/calendar.html" TargetMode="External"/><Relationship Id="rId181" Type="http://schemas.openxmlformats.org/officeDocument/2006/relationships/hyperlink" Target="https://en.wikipedia.org/wiki/Mark_White_(Tennessee_politician)" TargetMode="External"/><Relationship Id="rId180" Type="http://schemas.openxmlformats.org/officeDocument/2006/relationships/hyperlink" Target="http://www.capitol.tn.gov/house/committees/sub-business.aspx" TargetMode="External"/><Relationship Id="rId176" Type="http://schemas.openxmlformats.org/officeDocument/2006/relationships/hyperlink" Target="https://en.wikipedia.org/wiki/Johnny_Shaw" TargetMode="External"/><Relationship Id="rId175" Type="http://schemas.openxmlformats.org/officeDocument/2006/relationships/hyperlink" Target="http://www.capitol.tn.gov/house/committees/calendar.html" TargetMode="External"/><Relationship Id="rId174" Type="http://schemas.openxmlformats.org/officeDocument/2006/relationships/hyperlink" Target="http://www.capitol.tn.gov/house/committees/gov-opps.html" TargetMode="External"/><Relationship Id="rId173" Type="http://schemas.openxmlformats.org/officeDocument/2006/relationships/hyperlink" Target="https://en.wikipedia.org/wiki/Curtis_Halford" TargetMode="External"/><Relationship Id="rId179" Type="http://schemas.openxmlformats.org/officeDocument/2006/relationships/hyperlink" Target="https://en.wikipedia.org/wiki/Debra_Moody" TargetMode="External"/><Relationship Id="rId178" Type="http://schemas.openxmlformats.org/officeDocument/2006/relationships/hyperlink" Target="http://www.capitol.tn.gov/house/committees/state-gov.html" TargetMode="External"/><Relationship Id="rId177" Type="http://schemas.openxmlformats.org/officeDocument/2006/relationships/hyperlink" Target="http://www.capitol.tn.gov/house/committees/sub-public-service.aspx" TargetMode="External"/><Relationship Id="rId198" Type="http://schemas.openxmlformats.org/officeDocument/2006/relationships/hyperlink" Target="http://www.capitol.tn.gov/house/committees/sub-safety-funding.aspx" TargetMode="External"/><Relationship Id="rId197" Type="http://schemas.openxmlformats.org/officeDocument/2006/relationships/hyperlink" Target="http://www.capitol.tn.gov/house/committees/ethics.html" TargetMode="External"/><Relationship Id="rId196" Type="http://schemas.openxmlformats.org/officeDocument/2006/relationships/hyperlink" Target="https://en.wikipedia.org/wiki/John_DeBerry" TargetMode="External"/><Relationship Id="rId195" Type="http://schemas.openxmlformats.org/officeDocument/2006/relationships/hyperlink" Target="http://www.capitol.tn.gov/house/committees/state-gov.html" TargetMode="External"/><Relationship Id="rId199" Type="http://schemas.openxmlformats.org/officeDocument/2006/relationships/hyperlink" Target="https://en.wikipedia.org/w/index.php?title=Rick_Tillis&amp;action=edit&amp;redlink=1" TargetMode="External"/><Relationship Id="rId150" Type="http://schemas.openxmlformats.org/officeDocument/2006/relationships/hyperlink" Target="https://en.wikipedia.org/w/index.php?title=Sabi_%22Doc%22_Kumar&amp;action=edit&amp;redlink=1" TargetMode="External"/><Relationship Id="rId1" Type="http://schemas.openxmlformats.org/officeDocument/2006/relationships/hyperlink" Target="https://en.wikipedia.org/w/index.php?title=John_Crawford_(Tennessee_politician)&amp;action=edit&amp;redlink=1" TargetMode="External"/><Relationship Id="rId2" Type="http://schemas.openxmlformats.org/officeDocument/2006/relationships/hyperlink" Target="http://www.capitol.tn.gov/house/committees/sub-elections-campaign.aspx" TargetMode="External"/><Relationship Id="rId3" Type="http://schemas.openxmlformats.org/officeDocument/2006/relationships/hyperlink" Target="http://www.capitol.tn.gov/house/committees/sub-cities-counties.aspx" TargetMode="External"/><Relationship Id="rId149" Type="http://schemas.openxmlformats.org/officeDocument/2006/relationships/hyperlink" Target="http://www.capitol.tn.gov/house/committees/sub-public-health.aspx" TargetMode="External"/><Relationship Id="rId4" Type="http://schemas.openxmlformats.org/officeDocument/2006/relationships/hyperlink" Target="http://www.capitol.tn.gov/house/committees/sub-prop-plan.aspx" TargetMode="External"/><Relationship Id="rId148" Type="http://schemas.openxmlformats.org/officeDocument/2006/relationships/hyperlink" Target="https://en.wikipedia.org/wiki/Sam_Whitson" TargetMode="External"/><Relationship Id="rId9" Type="http://schemas.openxmlformats.org/officeDocument/2006/relationships/hyperlink" Target="https://en.wikipedia.org/wiki/Timothy_Hill_(politician)" TargetMode="External"/><Relationship Id="rId143" Type="http://schemas.openxmlformats.org/officeDocument/2006/relationships/hyperlink" Target="http://www.capitol.tn.gov/house/committees/commerce.html" TargetMode="External"/><Relationship Id="rId142" Type="http://schemas.openxmlformats.org/officeDocument/2006/relationships/hyperlink" Target="https://en.wikipedia.org/wiki/Pat_Marsh" TargetMode="External"/><Relationship Id="rId141" Type="http://schemas.openxmlformats.org/officeDocument/2006/relationships/hyperlink" Target="http://www.capitol.tn.gov/house/committees/judiciary.html" TargetMode="External"/><Relationship Id="rId140" Type="http://schemas.openxmlformats.org/officeDocument/2006/relationships/hyperlink" Target="http://www.capitol.tn.gov/house/committees/health.html" TargetMode="External"/><Relationship Id="rId5" Type="http://schemas.openxmlformats.org/officeDocument/2006/relationships/hyperlink" Target="http://www.capitol.tn.gov/house/committees/calendar.html" TargetMode="External"/><Relationship Id="rId147" Type="http://schemas.openxmlformats.org/officeDocument/2006/relationships/hyperlink" Target="http://www.capitol.tn.gov/house/committees/sub-insurance-property.aspx" TargetMode="External"/><Relationship Id="rId6" Type="http://schemas.openxmlformats.org/officeDocument/2006/relationships/hyperlink" Target="https://en.wikipedia.org/wiki/Bud_Hulsey" TargetMode="External"/><Relationship Id="rId146" Type="http://schemas.openxmlformats.org/officeDocument/2006/relationships/hyperlink" Target="http://www.capitol.tn.gov/house/committees/calendar.html" TargetMode="External"/><Relationship Id="rId7" Type="http://schemas.openxmlformats.org/officeDocument/2006/relationships/hyperlink" Target="http://www.capitol.tn.gov/house/committees/judiciary.html" TargetMode="External"/><Relationship Id="rId145" Type="http://schemas.openxmlformats.org/officeDocument/2006/relationships/hyperlink" Target="https://en.wikipedia.org/wiki/Glen_Casada" TargetMode="External"/><Relationship Id="rId8" Type="http://schemas.openxmlformats.org/officeDocument/2006/relationships/hyperlink" Target="http://www.capitol.tn.gov/house/committees/state-gov.html" TargetMode="External"/><Relationship Id="rId144" Type="http://schemas.openxmlformats.org/officeDocument/2006/relationships/hyperlink" Target="http://www.capitol.tn.gov/joint/committees/fiscal-review/" TargetMode="External"/><Relationship Id="rId139" Type="http://schemas.openxmlformats.org/officeDocument/2006/relationships/hyperlink" Target="https://en.wikipedia.org/wiki/Darren_Jernigan" TargetMode="External"/><Relationship Id="rId138" Type="http://schemas.openxmlformats.org/officeDocument/2006/relationships/hyperlink" Target="http://www.capitol.tn.gov/house/committees/sub-child-fam.aspx" TargetMode="External"/><Relationship Id="rId137" Type="http://schemas.openxmlformats.org/officeDocument/2006/relationships/hyperlink" Target="http://www.capitol.tn.gov/house/committees/judiciary.html" TargetMode="External"/><Relationship Id="rId132" Type="http://schemas.openxmlformats.org/officeDocument/2006/relationships/hyperlink" Target="https://en.wikipedia.org/wiki/Susan_Lynn" TargetMode="External"/><Relationship Id="rId131" Type="http://schemas.openxmlformats.org/officeDocument/2006/relationships/hyperlink" Target="http://www.capitol.tn.gov/house/committees/local-gov.html" TargetMode="External"/><Relationship Id="rId130" Type="http://schemas.openxmlformats.org/officeDocument/2006/relationships/hyperlink" Target="http://www.capitol.tn.gov/house/committees/agriculture.html" TargetMode="External"/><Relationship Id="rId136" Type="http://schemas.openxmlformats.org/officeDocument/2006/relationships/hyperlink" Target="http://www.capitol.tn.gov/house/committees/sub-public-service.aspx" TargetMode="External"/><Relationship Id="rId135" Type="http://schemas.openxmlformats.org/officeDocument/2006/relationships/hyperlink" Target="http://www.capitol.tn.gov/house/committees/state-gov.html" TargetMode="External"/><Relationship Id="rId134" Type="http://schemas.openxmlformats.org/officeDocument/2006/relationships/hyperlink" Target="https://en.wikipedia.org/wiki/Harold_Love" TargetMode="External"/><Relationship Id="rId133" Type="http://schemas.openxmlformats.org/officeDocument/2006/relationships/hyperlink" Target="http://www.capitol.tn.gov/house/committees/rules.html" TargetMode="External"/><Relationship Id="rId172" Type="http://schemas.openxmlformats.org/officeDocument/2006/relationships/hyperlink" Target="http://www.capitol.tn.gov/house/committees/sub-child-fam.aspx" TargetMode="External"/><Relationship Id="rId171" Type="http://schemas.openxmlformats.org/officeDocument/2006/relationships/hyperlink" Target="http://www.capitol.tn.gov/house/committees/judiciary.html" TargetMode="External"/><Relationship Id="rId170" Type="http://schemas.openxmlformats.org/officeDocument/2006/relationships/hyperlink" Target="https://en.wikipedia.org/wiki/Mary_Littleton" TargetMode="External"/><Relationship Id="rId165" Type="http://schemas.openxmlformats.org/officeDocument/2006/relationships/hyperlink" Target="https://en.wikipedia.org/wiki/Andy_Holt_(Tennessee_politician)" TargetMode="External"/><Relationship Id="rId164" Type="http://schemas.openxmlformats.org/officeDocument/2006/relationships/hyperlink" Target="http://www.capitol.tn.gov/house/committees/judiciary.html" TargetMode="External"/><Relationship Id="rId163" Type="http://schemas.openxmlformats.org/officeDocument/2006/relationships/hyperlink" Target="http://www.capitol.tn.gov/house/committees/gov-opps.html" TargetMode="External"/><Relationship Id="rId162" Type="http://schemas.openxmlformats.org/officeDocument/2006/relationships/hyperlink" Target="https://en.wikipedia.org/w/index.php?title=Jay_Reedy&amp;action=edit&amp;redlink=1" TargetMode="External"/><Relationship Id="rId169" Type="http://schemas.openxmlformats.org/officeDocument/2006/relationships/hyperlink" Target="http://www.capitol.tn.gov/house/committees/state-gov.html" TargetMode="External"/><Relationship Id="rId168" Type="http://schemas.openxmlformats.org/officeDocument/2006/relationships/hyperlink" Target="http://www.capitol.tn.gov/house/committees/judiciary.html" TargetMode="External"/><Relationship Id="rId167" Type="http://schemas.openxmlformats.org/officeDocument/2006/relationships/hyperlink" Target="https://en.wikipedia.org/wiki/Bill_Sanderson" TargetMode="External"/><Relationship Id="rId166" Type="http://schemas.openxmlformats.org/officeDocument/2006/relationships/hyperlink" Target="http://www.capitol.tn.gov/house/committees/rules.html" TargetMode="External"/><Relationship Id="rId161" Type="http://schemas.openxmlformats.org/officeDocument/2006/relationships/hyperlink" Target="http://www.capitol.tn.gov/house/committees/state-gov.html" TargetMode="External"/><Relationship Id="rId160" Type="http://schemas.openxmlformats.org/officeDocument/2006/relationships/hyperlink" Target="http://www.capitol.tn.gov/house/committees/commerce.html" TargetMode="External"/><Relationship Id="rId159" Type="http://schemas.openxmlformats.org/officeDocument/2006/relationships/hyperlink" Target="http://www.capitol.tn.gov/house/committees/health.html" TargetMode="External"/><Relationship Id="rId154" Type="http://schemas.openxmlformats.org/officeDocument/2006/relationships/hyperlink" Target="https://en.wikipedia.org/wiki/Curtis_Johnson_(politician)" TargetMode="External"/><Relationship Id="rId153" Type="http://schemas.openxmlformats.org/officeDocument/2006/relationships/hyperlink" Target="http://www.capitol.tn.gov/house/committees/sub-educationadmin.aspx" TargetMode="External"/><Relationship Id="rId152" Type="http://schemas.openxmlformats.org/officeDocument/2006/relationships/hyperlink" Target="http://www.capitol.tn.gov/house/committees/sub-mental-health.aspx" TargetMode="External"/><Relationship Id="rId151" Type="http://schemas.openxmlformats.org/officeDocument/2006/relationships/hyperlink" Target="http://www.capitol.tn.gov/house/committees/health.html" TargetMode="External"/><Relationship Id="rId158" Type="http://schemas.openxmlformats.org/officeDocument/2006/relationships/hyperlink" Target="https://en.wikipedia.org/w/index.php?title=David_Byrd&amp;action=edit&amp;redlink=1" TargetMode="External"/><Relationship Id="rId157" Type="http://schemas.openxmlformats.org/officeDocument/2006/relationships/hyperlink" Target="http://www.capitol.tn.gov/house/committees/sub-criminal-justice.aspx" TargetMode="External"/><Relationship Id="rId156" Type="http://schemas.openxmlformats.org/officeDocument/2006/relationships/hyperlink" Target="http://www.capitol.tn.gov/house/committees/judiciary.html" TargetMode="External"/><Relationship Id="rId155" Type="http://schemas.openxmlformats.org/officeDocument/2006/relationships/hyperlink" Target="http://www.capitol.tn.gov/house/committees/judiciary.html" TargetMode="External"/><Relationship Id="rId40" Type="http://schemas.openxmlformats.org/officeDocument/2006/relationships/hyperlink" Target="http://www.capitol.tn.gov/house/committees/ethics.html" TargetMode="External"/><Relationship Id="rId42" Type="http://schemas.openxmlformats.org/officeDocument/2006/relationships/hyperlink" Target="http://www.capitol.tn.gov/house/committees/sub-educationcurriculum.aspx" TargetMode="External"/><Relationship Id="rId41" Type="http://schemas.openxmlformats.org/officeDocument/2006/relationships/hyperlink" Target="https://en.wikipedia.org/wiki/Bill_Dunn_(American_politician)" TargetMode="External"/><Relationship Id="rId44" Type="http://schemas.openxmlformats.org/officeDocument/2006/relationships/hyperlink" Target="https://en.wikipedia.org/wiki/Andrew_Farmer" TargetMode="External"/><Relationship Id="rId43" Type="http://schemas.openxmlformats.org/officeDocument/2006/relationships/hyperlink" Target="http://www.capitol.tn.gov/house/committees/transportation.html" TargetMode="External"/><Relationship Id="rId46" Type="http://schemas.openxmlformats.org/officeDocument/2006/relationships/hyperlink" Target="http://www.capitol.tn.gov/house/committees/judiciary.html" TargetMode="External"/><Relationship Id="rId45" Type="http://schemas.openxmlformats.org/officeDocument/2006/relationships/hyperlink" Target="http://www.capitol.tn.gov/house/committees/state-gov.html" TargetMode="External"/><Relationship Id="rId48" Type="http://schemas.openxmlformats.org/officeDocument/2006/relationships/hyperlink" Target="http://www.capitol.tn.gov/house/committees/judiciary.html" TargetMode="External"/><Relationship Id="rId47" Type="http://schemas.openxmlformats.org/officeDocument/2006/relationships/hyperlink" Target="https://en.wikipedia.org/w/index.php?title=Martin_Daniel&amp;action=edit&amp;redlink=1" TargetMode="External"/><Relationship Id="rId49" Type="http://schemas.openxmlformats.org/officeDocument/2006/relationships/hyperlink" Target="http://www.capitol.tn.gov/house/committees/calendar.html" TargetMode="External"/><Relationship Id="rId31" Type="http://schemas.openxmlformats.org/officeDocument/2006/relationships/hyperlink" Target="https://en.wikipedia.org/wiki/Jeremy_Faison" TargetMode="External"/><Relationship Id="rId30" Type="http://schemas.openxmlformats.org/officeDocument/2006/relationships/hyperlink" Target="http://www.capitol.tn.gov/house/committees/judiciary.html" TargetMode="External"/><Relationship Id="rId33" Type="http://schemas.openxmlformats.org/officeDocument/2006/relationships/hyperlink" Target="https://en.wikipedia.org/wiki/Dale_Carr" TargetMode="External"/><Relationship Id="rId32" Type="http://schemas.openxmlformats.org/officeDocument/2006/relationships/hyperlink" Target="http://www.capitol.tn.gov/house/committees/sub-prop-plan.aspx" TargetMode="External"/><Relationship Id="rId35" Type="http://schemas.openxmlformats.org/officeDocument/2006/relationships/hyperlink" Target="http://www.capitol.tn.gov/house/committees/local-gov.html" TargetMode="External"/><Relationship Id="rId34" Type="http://schemas.openxmlformats.org/officeDocument/2006/relationships/hyperlink" Target="http://www.capitol.tn.gov/house/committees/sub-safety-funding.aspx" TargetMode="External"/><Relationship Id="rId37" Type="http://schemas.openxmlformats.org/officeDocument/2006/relationships/hyperlink" Target="http://www.capitol.tn.gov/house/committees/calendar.html" TargetMode="External"/><Relationship Id="rId36" Type="http://schemas.openxmlformats.org/officeDocument/2006/relationships/hyperlink" Target="http://www.capitol.tn.gov/house/committees/rules.html" TargetMode="External"/><Relationship Id="rId39" Type="http://schemas.openxmlformats.org/officeDocument/2006/relationships/hyperlink" Target="http://www.capitol.tn.gov/house/committees/state-gov.html" TargetMode="External"/><Relationship Id="rId38" Type="http://schemas.openxmlformats.org/officeDocument/2006/relationships/hyperlink" Target="https://en.wikipedia.org/w/index.php?title=Roderick_Staples&amp;action=edit&amp;redlink=1" TargetMode="External"/><Relationship Id="rId20" Type="http://schemas.openxmlformats.org/officeDocument/2006/relationships/hyperlink" Target="https://en.wikipedia.org/wiki/Matthew_Hill" TargetMode="External"/><Relationship Id="rId22" Type="http://schemas.openxmlformats.org/officeDocument/2006/relationships/hyperlink" Target="http://www.capitol.tn.gov/house/committees/calendar.html" TargetMode="External"/><Relationship Id="rId21" Type="http://schemas.openxmlformats.org/officeDocument/2006/relationships/hyperlink" Target="http://www.capitol.tn.gov/house/committees/sub-public-health.aspx" TargetMode="External"/><Relationship Id="rId24" Type="http://schemas.openxmlformats.org/officeDocument/2006/relationships/hyperlink" Target="http://www.capitol.tn.gov/house/committees/local-gov.html" TargetMode="External"/><Relationship Id="rId23" Type="http://schemas.openxmlformats.org/officeDocument/2006/relationships/hyperlink" Target="http://www.capitol.tn.gov/house/committees/health.html" TargetMode="External"/><Relationship Id="rId26" Type="http://schemas.openxmlformats.org/officeDocument/2006/relationships/hyperlink" Target="https://en.wikipedia.org/w/index.php?title=Gary_Hicks&amp;action=edit&amp;redlink=1" TargetMode="External"/><Relationship Id="rId25" Type="http://schemas.openxmlformats.org/officeDocument/2006/relationships/hyperlink" Target="http://www.capitol.tn.gov/house/committees/sub-cities-counties.aspx" TargetMode="External"/><Relationship Id="rId28" Type="http://schemas.openxmlformats.org/officeDocument/2006/relationships/hyperlink" Target="http://www.capitol.tn.gov/house/committees/sub-public-service.aspx" TargetMode="External"/><Relationship Id="rId27" Type="http://schemas.openxmlformats.org/officeDocument/2006/relationships/hyperlink" Target="http://www.capitol.tn.gov/house/committees/state-gov.html" TargetMode="External"/><Relationship Id="rId29" Type="http://schemas.openxmlformats.org/officeDocument/2006/relationships/hyperlink" Target="http://www.capitol.tn.gov/house/committees/state-gov.html" TargetMode="External"/><Relationship Id="rId11" Type="http://schemas.openxmlformats.org/officeDocument/2006/relationships/hyperlink" Target="http://www.capitol.tn.gov/house/committees/calendar.html" TargetMode="External"/><Relationship Id="rId10" Type="http://schemas.openxmlformats.org/officeDocument/2006/relationships/hyperlink" Target="http://www.capitol.tn.gov/house/committees/sub-utilities.aspx" TargetMode="External"/><Relationship Id="rId13" Type="http://schemas.openxmlformats.org/officeDocument/2006/relationships/hyperlink" Target="http://www.capitol.tn.gov/house/committees/commerce.html" TargetMode="External"/><Relationship Id="rId12" Type="http://schemas.openxmlformats.org/officeDocument/2006/relationships/hyperlink" Target="https://en.wikipedia.org/wiki/John_Holsclaw,_Jr." TargetMode="External"/><Relationship Id="rId15" Type="http://schemas.openxmlformats.org/officeDocument/2006/relationships/hyperlink" Target="https://en.wikipedia.org/wiki/David_B._Hawk" TargetMode="External"/><Relationship Id="rId14" Type="http://schemas.openxmlformats.org/officeDocument/2006/relationships/hyperlink" Target="http://www.capitol.tn.gov/house/committees/consumer-hr.html" TargetMode="External"/><Relationship Id="rId17" Type="http://schemas.openxmlformats.org/officeDocument/2006/relationships/hyperlink" Target="http://www.capitol.tn.gov/house/committees/sub-public-service.aspx" TargetMode="External"/><Relationship Id="rId16" Type="http://schemas.openxmlformats.org/officeDocument/2006/relationships/hyperlink" Target="http://www.capitol.tn.gov/house/committees/state-gov.html" TargetMode="External"/><Relationship Id="rId19" Type="http://schemas.openxmlformats.org/officeDocument/2006/relationships/hyperlink" Target="http://www.capitol.tn.gov/house/committees/judiciary.html" TargetMode="External"/><Relationship Id="rId18" Type="http://schemas.openxmlformats.org/officeDocument/2006/relationships/hyperlink" Target="http://www.capitol.tn.gov/house/committees/sub-public-health.aspx" TargetMode="External"/><Relationship Id="rId84" Type="http://schemas.openxmlformats.org/officeDocument/2006/relationships/hyperlink" Target="http://www.capitol.tn.gov/house/committees/local-gov.html" TargetMode="External"/><Relationship Id="rId83" Type="http://schemas.openxmlformats.org/officeDocument/2006/relationships/hyperlink" Target="http://www.capitol.tn.gov/house/committees/education.html" TargetMode="External"/><Relationship Id="rId86" Type="http://schemas.openxmlformats.org/officeDocument/2006/relationships/hyperlink" Target="http://www.capitol.tn.gov/house/committees/sub-public-health.aspx" TargetMode="External"/><Relationship Id="rId85" Type="http://schemas.openxmlformats.org/officeDocument/2006/relationships/hyperlink" Target="https://en.wikipedia.org/w/index.php?title=Jerry_Sexton_(politician)&amp;action=edit&amp;redlink=1" TargetMode="External"/><Relationship Id="rId88" Type="http://schemas.openxmlformats.org/officeDocument/2006/relationships/hyperlink" Target="https://en.wikipedia.org/wiki/Dennis_Powers" TargetMode="External"/><Relationship Id="rId87" Type="http://schemas.openxmlformats.org/officeDocument/2006/relationships/hyperlink" Target="http://www.capitol.tn.gov/house/committees/health.html" TargetMode="External"/><Relationship Id="rId89" Type="http://schemas.openxmlformats.org/officeDocument/2006/relationships/hyperlink" Target="http://www.capitol.tn.gov/house/committees/sub-insurance-life.aspx" TargetMode="External"/><Relationship Id="rId80" Type="http://schemas.openxmlformats.org/officeDocument/2006/relationships/hyperlink" Target="http://www.capitol.tn.gov/house/committees/gov-opps.html" TargetMode="External"/><Relationship Id="rId82" Type="http://schemas.openxmlformats.org/officeDocument/2006/relationships/hyperlink" Target="http://www.capitol.tn.gov/house/committees/gov-opps.html" TargetMode="External"/><Relationship Id="rId81" Type="http://schemas.openxmlformats.org/officeDocument/2006/relationships/hyperlink" Target="https://en.wikipedia.org/wiki/John_Ragan" TargetMode="External"/><Relationship Id="rId73" Type="http://schemas.openxmlformats.org/officeDocument/2006/relationships/hyperlink" Target="http://www.capitol.tn.gov/house/committees/ethics.html" TargetMode="External"/><Relationship Id="rId72" Type="http://schemas.openxmlformats.org/officeDocument/2006/relationships/hyperlink" Target="http://www.capitol.tn.gov/house/committees/judiciary.html" TargetMode="External"/><Relationship Id="rId75" Type="http://schemas.openxmlformats.org/officeDocument/2006/relationships/hyperlink" Target="http://www.capitol.tn.gov/house/committees/local-gov.html" TargetMode="External"/><Relationship Id="rId74" Type="http://schemas.openxmlformats.org/officeDocument/2006/relationships/hyperlink" Target="http://www.capitol.tn.gov/house/committees/health.html" TargetMode="External"/><Relationship Id="rId77" Type="http://schemas.openxmlformats.org/officeDocument/2006/relationships/hyperlink" Target="http://www.capitol.tn.gov/house/committees/calendar.html" TargetMode="External"/><Relationship Id="rId76" Type="http://schemas.openxmlformats.org/officeDocument/2006/relationships/hyperlink" Target="https://en.wikipedia.org/wiki/Ron_Travis" TargetMode="External"/><Relationship Id="rId79" Type="http://schemas.openxmlformats.org/officeDocument/2006/relationships/hyperlink" Target="https://en.wikipedia.org/wiki/Kent_Calfee" TargetMode="External"/><Relationship Id="rId78" Type="http://schemas.openxmlformats.org/officeDocument/2006/relationships/hyperlink" Target="http://www.capitol.tn.gov/house/committees/local-gov.html" TargetMode="External"/><Relationship Id="rId71" Type="http://schemas.openxmlformats.org/officeDocument/2006/relationships/hyperlink" Target="https://en.wikipedia.org/wiki/Mike_Carter_(American_politician)" TargetMode="External"/><Relationship Id="rId70" Type="http://schemas.openxmlformats.org/officeDocument/2006/relationships/hyperlink" Target="http://www.capitol.tn.gov/house/committees/local-gov.html" TargetMode="External"/><Relationship Id="rId62" Type="http://schemas.openxmlformats.org/officeDocument/2006/relationships/hyperlink" Target="http://www.capitol.tn.gov/house/committees/sub-mental-health.aspx" TargetMode="External"/><Relationship Id="rId61" Type="http://schemas.openxmlformats.org/officeDocument/2006/relationships/hyperlink" Target="http://www.capitol.tn.gov/house/committees/health.html" TargetMode="External"/><Relationship Id="rId64" Type="http://schemas.openxmlformats.org/officeDocument/2006/relationships/hyperlink" Target="http://www.capitol.tn.gov/house/committees/ethics.html" TargetMode="External"/><Relationship Id="rId63" Type="http://schemas.openxmlformats.org/officeDocument/2006/relationships/hyperlink" Target="https://en.wikipedia.org/wiki/Cameron_Sexton" TargetMode="External"/><Relationship Id="rId66" Type="http://schemas.openxmlformats.org/officeDocument/2006/relationships/hyperlink" Target="http://www.capitol.tn.gov/house/committees/ethics.html" TargetMode="External"/><Relationship Id="rId65" Type="http://schemas.openxmlformats.org/officeDocument/2006/relationships/hyperlink" Target="http://www.capitol.tn.gov/house/committees/gov-opps.html" TargetMode="External"/><Relationship Id="rId68" Type="http://schemas.openxmlformats.org/officeDocument/2006/relationships/hyperlink" Target="https://en.wikipedia.org/w/index.php?title=Patsy_Hazlewood&amp;action=edit&amp;redlink=1" TargetMode="External"/><Relationship Id="rId67" Type="http://schemas.openxmlformats.org/officeDocument/2006/relationships/hyperlink" Target="http://www.capitol.tn.gov/house/committees/health.html" TargetMode="External"/><Relationship Id="rId60" Type="http://schemas.openxmlformats.org/officeDocument/2006/relationships/hyperlink" Target="http://www.capitol.tn.gov/house/committees/consumer-hr.html" TargetMode="External"/><Relationship Id="rId69" Type="http://schemas.openxmlformats.org/officeDocument/2006/relationships/hyperlink" Target="http://www.capitol.tn.gov/house/committees/commerce.html" TargetMode="External"/><Relationship Id="rId51" Type="http://schemas.openxmlformats.org/officeDocument/2006/relationships/hyperlink" Target="http://www.capitol.tn.gov/house/committees/local-gov.html" TargetMode="External"/><Relationship Id="rId50" Type="http://schemas.openxmlformats.org/officeDocument/2006/relationships/hyperlink" Target="http://www.capitol.tn.gov/house/committees/commerce.html" TargetMode="External"/><Relationship Id="rId53" Type="http://schemas.openxmlformats.org/officeDocument/2006/relationships/hyperlink" Target="http://www.capitol.tn.gov/house/committees/state-gov.html" TargetMode="External"/><Relationship Id="rId52" Type="http://schemas.openxmlformats.org/officeDocument/2006/relationships/hyperlink" Target="https://en.wikipedia.org/wiki/Bob_Ramsey_(politician)" TargetMode="External"/><Relationship Id="rId55" Type="http://schemas.openxmlformats.org/officeDocument/2006/relationships/hyperlink" Target="http://www.capitol.tn.gov/house/committees/sub-safety-funding.aspx" TargetMode="External"/><Relationship Id="rId54" Type="http://schemas.openxmlformats.org/officeDocument/2006/relationships/hyperlink" Target="http://www.capitol.tn.gov/house/committees/calendar.html" TargetMode="External"/><Relationship Id="rId57" Type="http://schemas.openxmlformats.org/officeDocument/2006/relationships/hyperlink" Target="http://www.capitol.tn.gov/house/committees/judiciary.html" TargetMode="External"/><Relationship Id="rId56" Type="http://schemas.openxmlformats.org/officeDocument/2006/relationships/hyperlink" Target="https://en.wikipedia.org/wiki/Dan_Howell_(politician)" TargetMode="External"/><Relationship Id="rId59" Type="http://schemas.openxmlformats.org/officeDocument/2006/relationships/hyperlink" Target="http://www.capitol.tn.gov/house/committees/sub-consumer.aspx" TargetMode="External"/><Relationship Id="rId58" Type="http://schemas.openxmlformats.org/officeDocument/2006/relationships/hyperlink" Target="http://www.capitol.tn.gov/house/committees/sub-civil-justice.aspx" TargetMode="External"/><Relationship Id="rId107" Type="http://schemas.openxmlformats.org/officeDocument/2006/relationships/hyperlink" Target="http://www.capitol.tn.gov/house/committees/ethics.html" TargetMode="External"/><Relationship Id="rId228" Type="http://schemas.openxmlformats.org/officeDocument/2006/relationships/hyperlink" Target="https://en.wikipedia.org/wiki/Mark_Pody" TargetMode="External"/><Relationship Id="rId106" Type="http://schemas.openxmlformats.org/officeDocument/2006/relationships/hyperlink" Target="http://www.capitol.tn.gov/house/committees/judiciary.html" TargetMode="External"/><Relationship Id="rId227" Type="http://schemas.openxmlformats.org/officeDocument/2006/relationships/hyperlink" Target="https://en.wikipedia.org/wiki/Janice_Bowling" TargetMode="External"/><Relationship Id="rId105" Type="http://schemas.openxmlformats.org/officeDocument/2006/relationships/hyperlink" Target="https://en.wikipedia.org/wiki/William_G._Lamberth" TargetMode="External"/><Relationship Id="rId226" Type="http://schemas.openxmlformats.org/officeDocument/2006/relationships/hyperlink" Target="https://en.wikipedia.org/wiki/Paul_Bailey_(politician)" TargetMode="External"/><Relationship Id="rId104" Type="http://schemas.openxmlformats.org/officeDocument/2006/relationships/hyperlink" Target="http://www.capitol.tn.gov/house/committees/judiciary.html" TargetMode="External"/><Relationship Id="rId225" Type="http://schemas.openxmlformats.org/officeDocument/2006/relationships/hyperlink" Target="https://en.wikipedia.org/wiki/Ken_Yager" TargetMode="External"/><Relationship Id="rId109" Type="http://schemas.openxmlformats.org/officeDocument/2006/relationships/hyperlink" Target="http://www.capitol.tn.gov/house/committees/sub-civil-justice.aspx" TargetMode="External"/><Relationship Id="rId108" Type="http://schemas.openxmlformats.org/officeDocument/2006/relationships/hyperlink" Target="http://www.capitol.tn.gov/house/committees/sub-criminal-justice.aspx" TargetMode="External"/><Relationship Id="rId229" Type="http://schemas.openxmlformats.org/officeDocument/2006/relationships/hyperlink" Target="https://en.wikipedia.org/wiki/Ferrell_Haile" TargetMode="External"/><Relationship Id="rId220" Type="http://schemas.openxmlformats.org/officeDocument/2006/relationships/hyperlink" Target="https://en.wikipedia.org/wiki/Richard_Briggs" TargetMode="External"/><Relationship Id="rId103" Type="http://schemas.openxmlformats.org/officeDocument/2006/relationships/hyperlink" Target="http://www.capitol.tn.gov/house/committees/gov-opps.html" TargetMode="External"/><Relationship Id="rId224" Type="http://schemas.openxmlformats.org/officeDocument/2006/relationships/hyperlink" Target="https://en.wikipedia.org/wiki/Bo_Watson" TargetMode="External"/><Relationship Id="rId102" Type="http://schemas.openxmlformats.org/officeDocument/2006/relationships/hyperlink" Target="https://en.wikipedia.org/wiki/Ryan_Williams_(politician)" TargetMode="External"/><Relationship Id="rId223" Type="http://schemas.openxmlformats.org/officeDocument/2006/relationships/hyperlink" Target="https://en.wikipedia.org/wiki/Todd_Gardenhire" TargetMode="External"/><Relationship Id="rId101" Type="http://schemas.openxmlformats.org/officeDocument/2006/relationships/hyperlink" Target="http://www.capitol.tn.gov/house/committees/ethics.html" TargetMode="External"/><Relationship Id="rId222" Type="http://schemas.openxmlformats.org/officeDocument/2006/relationships/hyperlink" Target="https://en.wikipedia.org/wiki/Mike_Bell_(politician)" TargetMode="External"/><Relationship Id="rId100" Type="http://schemas.openxmlformats.org/officeDocument/2006/relationships/hyperlink" Target="http://www.capitol.tn.gov/house/committees/calendar.html" TargetMode="External"/><Relationship Id="rId221" Type="http://schemas.openxmlformats.org/officeDocument/2006/relationships/hyperlink" Target="https://en.wikipedia.org/wiki/Frank_Niceley" TargetMode="External"/><Relationship Id="rId217" Type="http://schemas.openxmlformats.org/officeDocument/2006/relationships/hyperlink" Target="https://en.wikipedia.org/wiki/Jon_Lundberg" TargetMode="External"/><Relationship Id="rId216" Type="http://schemas.openxmlformats.org/officeDocument/2006/relationships/hyperlink" Target="https://en.wikipedia.org/wiki/Rusty_Crowe" TargetMode="External"/><Relationship Id="rId215" Type="http://schemas.openxmlformats.org/officeDocument/2006/relationships/hyperlink" Target="https://en.wikipedia.org/wiki/Art_Swann" TargetMode="External"/><Relationship Id="rId214" Type="http://schemas.openxmlformats.org/officeDocument/2006/relationships/hyperlink" Target="https://en.wikipedia.org/wiki/Steve_Southerland_(Tennessee)" TargetMode="External"/><Relationship Id="rId219" Type="http://schemas.openxmlformats.org/officeDocument/2006/relationships/hyperlink" Target="https://en.wikipedia.org/wiki/Becky_Duncan_Massey" TargetMode="External"/><Relationship Id="rId218" Type="http://schemas.openxmlformats.org/officeDocument/2006/relationships/hyperlink" Target="https://en.wikipedia.org/wiki/Randy_McNally" TargetMode="External"/><Relationship Id="rId213" Type="http://schemas.openxmlformats.org/officeDocument/2006/relationships/hyperlink" Target="http://www.capitol.tn.gov/house/committees/sub-mental-health.aspx" TargetMode="External"/><Relationship Id="rId212" Type="http://schemas.openxmlformats.org/officeDocument/2006/relationships/hyperlink" Target="http://www.capitol.tn.gov/house/committees/health.html" TargetMode="External"/><Relationship Id="rId211" Type="http://schemas.openxmlformats.org/officeDocument/2006/relationships/hyperlink" Target="http://www.capitol.tn.gov/house/committees/sub-criminal-justice.aspx" TargetMode="External"/><Relationship Id="rId210" Type="http://schemas.openxmlformats.org/officeDocument/2006/relationships/hyperlink" Target="http://www.capitol.tn.gov/house/committees/judiciary.html" TargetMode="External"/><Relationship Id="rId129" Type="http://schemas.openxmlformats.org/officeDocument/2006/relationships/hyperlink" Target="https://en.wikipedia.org/w/index.php?title=John_Ray_Clemmons&amp;action=edit&amp;redlink=1" TargetMode="External"/><Relationship Id="rId128" Type="http://schemas.openxmlformats.org/officeDocument/2006/relationships/hyperlink" Target="http://www.capitol.tn.gov/house/committees/health.html" TargetMode="External"/><Relationship Id="rId127" Type="http://schemas.openxmlformats.org/officeDocument/2006/relationships/hyperlink" Target="http://www.capitol.tn.gov/house/committees/sub-public-health.aspx" TargetMode="External"/><Relationship Id="rId126" Type="http://schemas.openxmlformats.org/officeDocument/2006/relationships/hyperlink" Target="http://www.capitol.tn.gov/house/committees/state-gov.html" TargetMode="External"/><Relationship Id="rId121" Type="http://schemas.openxmlformats.org/officeDocument/2006/relationships/hyperlink" Target="http://www.capitol.tn.gov/house/committees/judiciary.html" TargetMode="External"/><Relationship Id="rId242" Type="http://schemas.openxmlformats.org/officeDocument/2006/relationships/drawing" Target="../drawings/drawing43.xml"/><Relationship Id="rId120" Type="http://schemas.openxmlformats.org/officeDocument/2006/relationships/hyperlink" Target="https://en.wikipedia.org/wiki/Bill_Beck" TargetMode="External"/><Relationship Id="rId241" Type="http://schemas.openxmlformats.org/officeDocument/2006/relationships/hyperlink" Target="https://en.wikipedia.org/wiki/Mark_Norris_(judge)" TargetMode="External"/><Relationship Id="rId240" Type="http://schemas.openxmlformats.org/officeDocument/2006/relationships/hyperlink" Target="https://en.wikipedia.org/wiki/Brian_Kelsey" TargetMode="External"/><Relationship Id="rId125" Type="http://schemas.openxmlformats.org/officeDocument/2006/relationships/hyperlink" Target="https://en.wikipedia.org/wiki/Jason_Powell" TargetMode="External"/><Relationship Id="rId124" Type="http://schemas.openxmlformats.org/officeDocument/2006/relationships/hyperlink" Target="http://www.capitol.tn.gov/house/committees/gov-opps.html" TargetMode="External"/><Relationship Id="rId123" Type="http://schemas.openxmlformats.org/officeDocument/2006/relationships/hyperlink" Target="https://en.wikipedia.org/wiki/Mike_Stewart_(politician)" TargetMode="External"/><Relationship Id="rId122" Type="http://schemas.openxmlformats.org/officeDocument/2006/relationships/hyperlink" Target="http://www.capitol.tn.gov/house/committees/sub-civil-justice.aspx" TargetMode="External"/><Relationship Id="rId95" Type="http://schemas.openxmlformats.org/officeDocument/2006/relationships/hyperlink" Target="http://www.capitol.tn.gov/house/committees/sub-public-service.aspx" TargetMode="External"/><Relationship Id="rId94" Type="http://schemas.openxmlformats.org/officeDocument/2006/relationships/hyperlink" Target="http://www.capitol.tn.gov/house/committees/state-gov.html" TargetMode="External"/><Relationship Id="rId97" Type="http://schemas.openxmlformats.org/officeDocument/2006/relationships/hyperlink" Target="https://en.wikipedia.org/wiki/Terri_Lynn_Weaver" TargetMode="External"/><Relationship Id="rId96" Type="http://schemas.openxmlformats.org/officeDocument/2006/relationships/hyperlink" Target="http://www.capitol.tn.gov/house/committees/judiciary.html" TargetMode="External"/><Relationship Id="rId99" Type="http://schemas.openxmlformats.org/officeDocument/2006/relationships/hyperlink" Target="https://en.wikipedia.org/wiki/John_Windle" TargetMode="External"/><Relationship Id="rId98" Type="http://schemas.openxmlformats.org/officeDocument/2006/relationships/hyperlink" Target="http://www.capitol.tn.gov/house/committees/sub-safety-funding.aspx" TargetMode="External"/><Relationship Id="rId91" Type="http://schemas.openxmlformats.org/officeDocument/2006/relationships/hyperlink" Target="http://www.capitol.tn.gov/house/committees/sub-educationcurriculum.aspx" TargetMode="External"/><Relationship Id="rId90" Type="http://schemas.openxmlformats.org/officeDocument/2006/relationships/hyperlink" Target="http://www.capitol.tn.gov/house/committees/insurance.html" TargetMode="External"/><Relationship Id="rId93" Type="http://schemas.openxmlformats.org/officeDocument/2006/relationships/hyperlink" Target="https://en.wikipedia.org/wiki/Kelly_Keisling" TargetMode="External"/><Relationship Id="rId92" Type="http://schemas.openxmlformats.org/officeDocument/2006/relationships/hyperlink" Target="http://www.capitol.tn.gov/house/committees/sub-educationcurriculum.aspx" TargetMode="External"/><Relationship Id="rId118" Type="http://schemas.openxmlformats.org/officeDocument/2006/relationships/hyperlink" Target="https://en.wikipedia.org/wiki/Bo_Mitchell" TargetMode="External"/><Relationship Id="rId239" Type="http://schemas.openxmlformats.org/officeDocument/2006/relationships/hyperlink" Target="https://en.wikipedia.org/wiki/Sara_Kyle" TargetMode="External"/><Relationship Id="rId117" Type="http://schemas.openxmlformats.org/officeDocument/2006/relationships/hyperlink" Target="http://www.capitol.tn.gov/house/committees/insurance.html" TargetMode="External"/><Relationship Id="rId238" Type="http://schemas.openxmlformats.org/officeDocument/2006/relationships/hyperlink" Target="https://en.wikipedia.org/wiki/Joey_Hensley" TargetMode="External"/><Relationship Id="rId116" Type="http://schemas.openxmlformats.org/officeDocument/2006/relationships/hyperlink" Target="https://en.wikipedia.org/wiki/Mike_Sparks" TargetMode="External"/><Relationship Id="rId237" Type="http://schemas.openxmlformats.org/officeDocument/2006/relationships/hyperlink" Target="https://en.wikipedia.org/wiki/Ed_Jackson_(Tennessee_politician)" TargetMode="External"/><Relationship Id="rId115" Type="http://schemas.openxmlformats.org/officeDocument/2006/relationships/hyperlink" Target="http://www.capitol.tn.gov/house/committees/sub-public-health.aspx" TargetMode="External"/><Relationship Id="rId236" Type="http://schemas.openxmlformats.org/officeDocument/2006/relationships/hyperlink" Target="https://en.wikipedia.org/wiki/Dolores_Gresham" TargetMode="External"/><Relationship Id="rId119" Type="http://schemas.openxmlformats.org/officeDocument/2006/relationships/hyperlink" Target="http://www.capitol.tn.gov/house/committees/judiciary.html" TargetMode="External"/><Relationship Id="rId110" Type="http://schemas.openxmlformats.org/officeDocument/2006/relationships/hyperlink" Target="http://www.capitol.tn.gov/house/committees/calendar.html" TargetMode="External"/><Relationship Id="rId231" Type="http://schemas.openxmlformats.org/officeDocument/2006/relationships/hyperlink" Target="https://en.wikipedia.org/wiki/Jeff_Yarbro" TargetMode="External"/><Relationship Id="rId230" Type="http://schemas.openxmlformats.org/officeDocument/2006/relationships/hyperlink" Target="https://en.wikipedia.org/wiki/Steven_Dickerson" TargetMode="External"/><Relationship Id="rId114" Type="http://schemas.openxmlformats.org/officeDocument/2006/relationships/hyperlink" Target="https://en.wikipedia.org/w/index.php?title=Bryan_Terry&amp;action=edit&amp;redlink=1" TargetMode="External"/><Relationship Id="rId235" Type="http://schemas.openxmlformats.org/officeDocument/2006/relationships/hyperlink" Target="https://en.wikipedia.org/wiki/Kerry_Roberts" TargetMode="External"/><Relationship Id="rId113" Type="http://schemas.openxmlformats.org/officeDocument/2006/relationships/hyperlink" Target="http://www.capitol.tn.gov/house/committees/sub-public-service.aspx" TargetMode="External"/><Relationship Id="rId234" Type="http://schemas.openxmlformats.org/officeDocument/2006/relationships/hyperlink" Target="https://en.wikipedia.org/wiki/John_Stevens_(Tennessee)" TargetMode="External"/><Relationship Id="rId112" Type="http://schemas.openxmlformats.org/officeDocument/2006/relationships/hyperlink" Target="http://www.capitol.tn.gov/house/committees/state-gov.html" TargetMode="External"/><Relationship Id="rId233" Type="http://schemas.openxmlformats.org/officeDocument/2006/relationships/hyperlink" Target="https://en.wikipedia.org/wiki/Jack_Johnson_(American_politician)" TargetMode="External"/><Relationship Id="rId111" Type="http://schemas.openxmlformats.org/officeDocument/2006/relationships/hyperlink" Target="http://www.capitol.tn.gov/house/committees/sub-emp-affairs.aspx" TargetMode="External"/><Relationship Id="rId232" Type="http://schemas.openxmlformats.org/officeDocument/2006/relationships/hyperlink" Target="https://en.wikipedia.org/wiki/Mark_Green_(Tennessee_politician)" TargetMode="External"/><Relationship Id="rId206" Type="http://schemas.openxmlformats.org/officeDocument/2006/relationships/hyperlink" Target="http://www.capitol.tn.gov/house/committees/consumer-hr.html" TargetMode="External"/><Relationship Id="rId205" Type="http://schemas.openxmlformats.org/officeDocument/2006/relationships/hyperlink" Target="https://en.wikipedia.org/w/index.php?title=Dwayne_Thompson&amp;action=edit&amp;redlink=1" TargetMode="External"/><Relationship Id="rId204" Type="http://schemas.openxmlformats.org/officeDocument/2006/relationships/hyperlink" Target="http://www.capitol.tn.gov/house/committees/health.html" TargetMode="External"/><Relationship Id="rId203" Type="http://schemas.openxmlformats.org/officeDocument/2006/relationships/hyperlink" Target="http://www.capitol.tn.gov/house/committees/health.html" TargetMode="External"/><Relationship Id="rId209" Type="http://schemas.openxmlformats.org/officeDocument/2006/relationships/hyperlink" Target="https://en.wikipedia.org/wiki/Antonio_Parkinson" TargetMode="External"/><Relationship Id="rId208" Type="http://schemas.openxmlformats.org/officeDocument/2006/relationships/hyperlink" Target="http://www.capitol.tn.gov/house/committees/consumer-hr.html" TargetMode="External"/><Relationship Id="rId207" Type="http://schemas.openxmlformats.org/officeDocument/2006/relationships/hyperlink" Target="https://en.wikipedia.org/wiki/Jim_Coley" TargetMode="External"/><Relationship Id="rId202" Type="http://schemas.openxmlformats.org/officeDocument/2006/relationships/hyperlink" Target="http://www.capitol.tn.gov/house/committees/gov-opps.html" TargetMode="External"/><Relationship Id="rId201" Type="http://schemas.openxmlformats.org/officeDocument/2006/relationships/hyperlink" Target="http://www.capitol.tn.gov/house/committees/sub-elections-campaign.aspx" TargetMode="External"/><Relationship Id="rId200" Type="http://schemas.openxmlformats.org/officeDocument/2006/relationships/hyperlink" Target="http://www.capitol.tn.gov/house/committees/state-gov.html" TargetMode="External"/></Relationships>
</file>

<file path=xl/worksheets/_rels/sheet44.xml.rels><?xml version="1.0" encoding="UTF-8" standalone="yes"?><Relationships xmlns="http://schemas.openxmlformats.org/package/2006/relationships"><Relationship Id="rId190" Type="http://schemas.openxmlformats.org/officeDocument/2006/relationships/hyperlink" Target="https://en.wikipedia.org/wiki/Harold_Dutton_Jr." TargetMode="External"/><Relationship Id="rId194" Type="http://schemas.openxmlformats.org/officeDocument/2006/relationships/hyperlink" Target="https://en.wikipedia.org/wiki/Shawn_Thierry" TargetMode="External"/><Relationship Id="rId193" Type="http://schemas.openxmlformats.org/officeDocument/2006/relationships/hyperlink" Target="https://en.wikipedia.org/wiki/Carol_Alvarado" TargetMode="External"/><Relationship Id="rId192" Type="http://schemas.openxmlformats.org/officeDocument/2006/relationships/hyperlink" Target="https://en.wikipedia.org/wiki/Mary_Ann_Perez" TargetMode="External"/><Relationship Id="rId191" Type="http://schemas.openxmlformats.org/officeDocument/2006/relationships/hyperlink" Target="https://en.wikipedia.org/wiki/Ana_Hernandez" TargetMode="External"/><Relationship Id="rId187" Type="http://schemas.openxmlformats.org/officeDocument/2006/relationships/hyperlink" Target="https://en.wikipedia.org/wiki/Jarvis_Johnson" TargetMode="External"/><Relationship Id="rId186" Type="http://schemas.openxmlformats.org/officeDocument/2006/relationships/hyperlink" Target="https://en.wikipedia.org/wiki/Dwayne_Bohac" TargetMode="External"/><Relationship Id="rId185" Type="http://schemas.openxmlformats.org/officeDocument/2006/relationships/hyperlink" Target="https://en.wikipedia.org/wiki/Gene_Wu" TargetMode="External"/><Relationship Id="rId184" Type="http://schemas.openxmlformats.org/officeDocument/2006/relationships/hyperlink" Target="https://en.wikipedia.org/wiki/Sarah_Davis_(Texas_politician)" TargetMode="External"/><Relationship Id="rId189" Type="http://schemas.openxmlformats.org/officeDocument/2006/relationships/hyperlink" Target="https://en.wikipedia.org/wiki/Senfronia_Thompson" TargetMode="External"/><Relationship Id="rId188" Type="http://schemas.openxmlformats.org/officeDocument/2006/relationships/hyperlink" Target="https://en.wikipedia.org/wiki/Armando_Walle" TargetMode="External"/><Relationship Id="rId183" Type="http://schemas.openxmlformats.org/officeDocument/2006/relationships/hyperlink" Target="https://en.wikipedia.org/wiki/Jim_Murphy_(Texas_politician)" TargetMode="External"/><Relationship Id="rId182" Type="http://schemas.openxmlformats.org/officeDocument/2006/relationships/hyperlink" Target="https://en.wikipedia.org/wiki/Alma_Allen_(politician)" TargetMode="External"/><Relationship Id="rId181" Type="http://schemas.openxmlformats.org/officeDocument/2006/relationships/hyperlink" Target="https://en.wikipedia.org/wiki/Tom_Oliverson" TargetMode="External"/><Relationship Id="rId180" Type="http://schemas.openxmlformats.org/officeDocument/2006/relationships/hyperlink" Target="https://en.wikipedia.org/wiki/Dennis_Paul" TargetMode="External"/><Relationship Id="rId176" Type="http://schemas.openxmlformats.org/officeDocument/2006/relationships/hyperlink" Target="https://en.wikipedia.org/wiki/Diego_Bernal" TargetMode="External"/><Relationship Id="rId175" Type="http://schemas.openxmlformats.org/officeDocument/2006/relationships/hyperlink" Target="https://en.wikipedia.org/wiki/Lyle_Larson" TargetMode="External"/><Relationship Id="rId174" Type="http://schemas.openxmlformats.org/officeDocument/2006/relationships/hyperlink" Target="https://en.wikipedia.org/wiki/Barbara_Gervin-Hawkins" TargetMode="External"/><Relationship Id="rId173" Type="http://schemas.openxmlformats.org/officeDocument/2006/relationships/hyperlink" Target="https://en.wikipedia.org/wiki/Roland_Gutierrez_(politician)" TargetMode="External"/><Relationship Id="rId179" Type="http://schemas.openxmlformats.org/officeDocument/2006/relationships/hyperlink" Target="https://en.wikipedia.org/wiki/Briscoe_Cain" TargetMode="External"/><Relationship Id="rId178" Type="http://schemas.openxmlformats.org/officeDocument/2006/relationships/hyperlink" Target="https://en.wikipedia.org/wiki/Dan_Huberty" TargetMode="External"/><Relationship Id="rId177" Type="http://schemas.openxmlformats.org/officeDocument/2006/relationships/hyperlink" Target="https://en.wikipedia.org/wiki/Justin_Rodriguez" TargetMode="External"/><Relationship Id="rId198" Type="http://schemas.openxmlformats.org/officeDocument/2006/relationships/hyperlink" Target="https://en.wikipedia.org/wiki/Valoree_Swanson" TargetMode="External"/><Relationship Id="rId197" Type="http://schemas.openxmlformats.org/officeDocument/2006/relationships/hyperlink" Target="https://en.wikipedia.org/wiki/Hubert_Vo" TargetMode="External"/><Relationship Id="rId196" Type="http://schemas.openxmlformats.org/officeDocument/2006/relationships/hyperlink" Target="https://en.wikipedia.org/wiki/Jessica_Farrar" TargetMode="External"/><Relationship Id="rId195" Type="http://schemas.openxmlformats.org/officeDocument/2006/relationships/hyperlink" Target="https://en.wikipedia.org/wiki/Garnet_Coleman" TargetMode="External"/><Relationship Id="rId199" Type="http://schemas.openxmlformats.org/officeDocument/2006/relationships/hyperlink" Target="https://en.wikipedia.org/wiki/Texas_Senate,_District_1" TargetMode="External"/><Relationship Id="rId150" Type="http://schemas.openxmlformats.org/officeDocument/2006/relationships/hyperlink" Target="https://en.wikipedia.org/wiki/Phil_Stephenson_(Texas_politician)" TargetMode="External"/><Relationship Id="rId1" Type="http://schemas.openxmlformats.org/officeDocument/2006/relationships/hyperlink" Target="https://docs.google.com/document/d/1aeTf2zHg1ZnoGZdPc5w0DDhBd395dbx1ZUj8HlYTlMA/edit?usp=sharing" TargetMode="External"/><Relationship Id="rId2" Type="http://schemas.openxmlformats.org/officeDocument/2006/relationships/hyperlink" Target="https://en.wikipedia.org/wiki/Texas_House_of_Representatives,_District_1" TargetMode="External"/><Relationship Id="rId3" Type="http://schemas.openxmlformats.org/officeDocument/2006/relationships/hyperlink" Target="https://en.wikipedia.org/wiki/Gary_VanDeaver" TargetMode="External"/><Relationship Id="rId149" Type="http://schemas.openxmlformats.org/officeDocument/2006/relationships/hyperlink" Target="https://en.wikipedia.org/wiki/John_Frullo" TargetMode="External"/><Relationship Id="rId4" Type="http://schemas.openxmlformats.org/officeDocument/2006/relationships/hyperlink" Target="https://en.wikipedia.org/wiki/Texas_House_of_Representatives,_District_2" TargetMode="External"/><Relationship Id="rId148" Type="http://schemas.openxmlformats.org/officeDocument/2006/relationships/hyperlink" Target="https://en.wikipedia.org/wiki/Dustin_Burrows" TargetMode="External"/><Relationship Id="rId9" Type="http://schemas.openxmlformats.org/officeDocument/2006/relationships/hyperlink" Target="https://house.texas.gov/members/member-page/email/?district=4&amp;session=86" TargetMode="External"/><Relationship Id="rId143" Type="http://schemas.openxmlformats.org/officeDocument/2006/relationships/hyperlink" Target="https://en.wikipedia.org/wiki/Joe_Moody_(Texas)" TargetMode="External"/><Relationship Id="rId142" Type="http://schemas.openxmlformats.org/officeDocument/2006/relationships/hyperlink" Target="https://en.wikipedia.org/wiki/Evelina_Ortega" TargetMode="External"/><Relationship Id="rId141" Type="http://schemas.openxmlformats.org/officeDocument/2006/relationships/hyperlink" Target="https://en.wikipedia.org/wiki/Cesar_Blanco" TargetMode="External"/><Relationship Id="rId140" Type="http://schemas.openxmlformats.org/officeDocument/2006/relationships/hyperlink" Target="https://en.wikipedia.org/wiki/Mary_Gonz%C3%A1lez" TargetMode="External"/><Relationship Id="rId5" Type="http://schemas.openxmlformats.org/officeDocument/2006/relationships/hyperlink" Target="https://en.wikipedia.org/wiki/Dan_Flynn_(politician)" TargetMode="External"/><Relationship Id="rId147" Type="http://schemas.openxmlformats.org/officeDocument/2006/relationships/hyperlink" Target="https://en.wikipedia.org/wiki/Tom_Craddick" TargetMode="External"/><Relationship Id="rId6" Type="http://schemas.openxmlformats.org/officeDocument/2006/relationships/hyperlink" Target="https://en.wikipedia.org/wiki/Texas_House_of_Representatives,_District_3" TargetMode="External"/><Relationship Id="rId146" Type="http://schemas.openxmlformats.org/officeDocument/2006/relationships/hyperlink" Target="https://en.wikipedia.org/wiki/Brooks_Landgraf" TargetMode="External"/><Relationship Id="rId7" Type="http://schemas.openxmlformats.org/officeDocument/2006/relationships/hyperlink" Target="https://en.wikipedia.org/wiki/Cecil_Bell_Jr." TargetMode="External"/><Relationship Id="rId145" Type="http://schemas.openxmlformats.org/officeDocument/2006/relationships/hyperlink" Target="https://en.wikipedia.org/wiki/Tracy_King" TargetMode="External"/><Relationship Id="rId8" Type="http://schemas.openxmlformats.org/officeDocument/2006/relationships/hyperlink" Target="https://en.wikipedia.org/wiki/Texas_House_of_Representatives,_District_4" TargetMode="External"/><Relationship Id="rId144" Type="http://schemas.openxmlformats.org/officeDocument/2006/relationships/hyperlink" Target="https://en.wikipedia.org/wiki/Joe_Pickett" TargetMode="External"/><Relationship Id="rId139" Type="http://schemas.openxmlformats.org/officeDocument/2006/relationships/hyperlink" Target="https://en.wikipedia.org/wiki/Poncho_Nev%C3%A1rez" TargetMode="External"/><Relationship Id="rId138" Type="http://schemas.openxmlformats.org/officeDocument/2006/relationships/hyperlink" Target="https://en.wikipedia.org/w/index.php?title=Texas_House_of_Representatives,_District_74&amp;action=edit&amp;redlink=1" TargetMode="External"/><Relationship Id="rId259" Type="http://schemas.openxmlformats.org/officeDocument/2006/relationships/drawing" Target="../drawings/drawing44.xml"/><Relationship Id="rId137" Type="http://schemas.openxmlformats.org/officeDocument/2006/relationships/hyperlink" Target="https://en.wikipedia.org/wiki/Kyle_Biedermann" TargetMode="External"/><Relationship Id="rId258" Type="http://schemas.openxmlformats.org/officeDocument/2006/relationships/hyperlink" Target="https://www.texasattorneygeneral.gov/contact-us-online-form" TargetMode="External"/><Relationship Id="rId132" Type="http://schemas.openxmlformats.org/officeDocument/2006/relationships/hyperlink" Target="https://en.wikipedia.org/w/index.php?title=Texas_House_of_Representatives,_District_71&amp;action=edit&amp;redlink=1" TargetMode="External"/><Relationship Id="rId253" Type="http://schemas.openxmlformats.org/officeDocument/2006/relationships/hyperlink" Target="https://crenshaw.house.gov/contact/email-me" TargetMode="External"/><Relationship Id="rId131" Type="http://schemas.openxmlformats.org/officeDocument/2006/relationships/hyperlink" Target="https://en.wikipedia.org/wiki/Scott_Sanford" TargetMode="External"/><Relationship Id="rId252" Type="http://schemas.openxmlformats.org/officeDocument/2006/relationships/hyperlink" Target="https://gohmert.house.gov/contact/" TargetMode="External"/><Relationship Id="rId130" Type="http://schemas.openxmlformats.org/officeDocument/2006/relationships/hyperlink" Target="https://en.wikipedia.org/w/index.php?title=Texas_House_of_Representatives,_District_70&amp;action=edit&amp;redlink=1" TargetMode="External"/><Relationship Id="rId251" Type="http://schemas.openxmlformats.org/officeDocument/2006/relationships/hyperlink" Target="https://en.wikipedia.org/wiki/Kel_Seliger" TargetMode="External"/><Relationship Id="rId250" Type="http://schemas.openxmlformats.org/officeDocument/2006/relationships/hyperlink" Target="https://en.wikipedia.org/wiki/Texas_Senate,_District_31" TargetMode="External"/><Relationship Id="rId136" Type="http://schemas.openxmlformats.org/officeDocument/2006/relationships/hyperlink" Target="https://en.wikipedia.org/w/index.php?title=Texas_House_of_Representatives,_District_73&amp;action=edit&amp;redlink=1" TargetMode="External"/><Relationship Id="rId257" Type="http://schemas.openxmlformats.org/officeDocument/2006/relationships/hyperlink" Target="https://www.cruz.senate.gov/?p=form&amp;id=16" TargetMode="External"/><Relationship Id="rId135" Type="http://schemas.openxmlformats.org/officeDocument/2006/relationships/hyperlink" Target="https://en.wikipedia.org/wiki/Drew_Darby" TargetMode="External"/><Relationship Id="rId256" Type="http://schemas.openxmlformats.org/officeDocument/2006/relationships/hyperlink" Target="https://www.cornyn.senate.gov/contact" TargetMode="External"/><Relationship Id="rId134" Type="http://schemas.openxmlformats.org/officeDocument/2006/relationships/hyperlink" Target="https://en.wikipedia.org/w/index.php?title=Texas_House_of_Representatives,_District_72&amp;action=edit&amp;redlink=1" TargetMode="External"/><Relationship Id="rId255" Type="http://schemas.openxmlformats.org/officeDocument/2006/relationships/hyperlink" Target="https://ratcliffe.house.gov/contact/" TargetMode="External"/><Relationship Id="rId133" Type="http://schemas.openxmlformats.org/officeDocument/2006/relationships/hyperlink" Target="https://en.wikipedia.org/wiki/Stan_Lambert" TargetMode="External"/><Relationship Id="rId254" Type="http://schemas.openxmlformats.org/officeDocument/2006/relationships/hyperlink" Target="https://vantaylor.house.gov/contact/" TargetMode="External"/><Relationship Id="rId172" Type="http://schemas.openxmlformats.org/officeDocument/2006/relationships/hyperlink" Target="https://en.wikipedia.org/wiki/Philip_Cortez" TargetMode="External"/><Relationship Id="rId171" Type="http://schemas.openxmlformats.org/officeDocument/2006/relationships/hyperlink" Target="https://en.wikipedia.org/wiki/Angie_Chen_Button" TargetMode="External"/><Relationship Id="rId170" Type="http://schemas.openxmlformats.org/officeDocument/2006/relationships/hyperlink" Target="https://en.wikipedia.org/wiki/Yvonne_Davis" TargetMode="External"/><Relationship Id="rId165" Type="http://schemas.openxmlformats.org/officeDocument/2006/relationships/hyperlink" Target="https://en.wikipedia.org/wiki/Chris_Turner_(politician)" TargetMode="External"/><Relationship Id="rId164" Type="http://schemas.openxmlformats.org/officeDocument/2006/relationships/hyperlink" Target="https://en.wikipedia.org/wiki/Eric_Johnson_(Texas_politician)" TargetMode="External"/><Relationship Id="rId163" Type="http://schemas.openxmlformats.org/officeDocument/2006/relationships/hyperlink" Target="https://en.wikipedia.org/wiki/Charlie_Geren" TargetMode="External"/><Relationship Id="rId162" Type="http://schemas.openxmlformats.org/officeDocument/2006/relationships/hyperlink" Target="https://en.wikipedia.org/wiki/Giovanni_Capriglione" TargetMode="External"/><Relationship Id="rId169" Type="http://schemas.openxmlformats.org/officeDocument/2006/relationships/hyperlink" Target="https://en.wikipedia.org/wiki/Toni_Rose_(politician)" TargetMode="External"/><Relationship Id="rId168" Type="http://schemas.openxmlformats.org/officeDocument/2006/relationships/hyperlink" Target="https://en.wikipedia.org/wiki/Morgan_Meyer" TargetMode="External"/><Relationship Id="rId167" Type="http://schemas.openxmlformats.org/officeDocument/2006/relationships/hyperlink" Target="https://en.wikipedia.org/wiki/Victoria_Neave" TargetMode="External"/><Relationship Id="rId166" Type="http://schemas.openxmlformats.org/officeDocument/2006/relationships/hyperlink" Target="https://en.wikipedia.org/wiki/Rafael_Anchia" TargetMode="External"/><Relationship Id="rId161" Type="http://schemas.openxmlformats.org/officeDocument/2006/relationships/hyperlink" Target="https://en.wikipedia.org/wiki/Craig_Goldman" TargetMode="External"/><Relationship Id="rId160" Type="http://schemas.openxmlformats.org/officeDocument/2006/relationships/hyperlink" Target="https://en.wikipedia.org/wiki/Bill_Zedler" TargetMode="External"/><Relationship Id="rId159" Type="http://schemas.openxmlformats.org/officeDocument/2006/relationships/hyperlink" Target="https://en.wikipedia.org/wiki/Nicole_Collier" TargetMode="External"/><Relationship Id="rId154" Type="http://schemas.openxmlformats.org/officeDocument/2006/relationships/hyperlink" Target="https://en.wikipedia.org/wiki/Ramon_Romero_Jr." TargetMode="External"/><Relationship Id="rId153" Type="http://schemas.openxmlformats.org/officeDocument/2006/relationships/hyperlink" Target="https://en.wikipedia.org/wiki/Ken_King" TargetMode="External"/><Relationship Id="rId152" Type="http://schemas.openxmlformats.org/officeDocument/2006/relationships/hyperlink" Target="https://en.wikipedia.org/wiki/Four_Price" TargetMode="External"/><Relationship Id="rId151" Type="http://schemas.openxmlformats.org/officeDocument/2006/relationships/hyperlink" Target="https://en.wikipedia.org/wiki/John_T._Smithee" TargetMode="External"/><Relationship Id="rId158" Type="http://schemas.openxmlformats.org/officeDocument/2006/relationships/hyperlink" Target="https://en.wikipedia.org/wiki/Tony_Tinderholt" TargetMode="External"/><Relationship Id="rId157" Type="http://schemas.openxmlformats.org/officeDocument/2006/relationships/hyperlink" Target="https://en.wikipedia.org/wiki/Matt_Krause" TargetMode="External"/><Relationship Id="rId156" Type="http://schemas.openxmlformats.org/officeDocument/2006/relationships/hyperlink" Target="https://en.wikipedia.org/wiki/Jonathan_Stickland" TargetMode="External"/><Relationship Id="rId155" Type="http://schemas.openxmlformats.org/officeDocument/2006/relationships/hyperlink" Target="https://en.wikipedia.org/wiki/Stephanie_Klick" TargetMode="External"/><Relationship Id="rId40" Type="http://schemas.openxmlformats.org/officeDocument/2006/relationships/hyperlink" Target="https://en.wikipedia.org/w/index.php?title=Texas_House_of_Representatives,_District_21&amp;action=edit&amp;redlink=1" TargetMode="External"/><Relationship Id="rId42" Type="http://schemas.openxmlformats.org/officeDocument/2006/relationships/hyperlink" Target="https://en.wikipedia.org/w/index.php?title=Texas_House_of_Representatives,_District_22&amp;action=edit&amp;redlink=1" TargetMode="External"/><Relationship Id="rId41" Type="http://schemas.openxmlformats.org/officeDocument/2006/relationships/hyperlink" Target="https://en.wikipedia.org/wiki/Dade_Phelan" TargetMode="External"/><Relationship Id="rId44" Type="http://schemas.openxmlformats.org/officeDocument/2006/relationships/hyperlink" Target="https://en.wikipedia.org/w/index.php?title=Texas_House_of_Representatives,_District_23&amp;action=edit&amp;redlink=1" TargetMode="External"/><Relationship Id="rId43" Type="http://schemas.openxmlformats.org/officeDocument/2006/relationships/hyperlink" Target="https://en.wikipedia.org/wiki/Joe_Deshotel" TargetMode="External"/><Relationship Id="rId46" Type="http://schemas.openxmlformats.org/officeDocument/2006/relationships/hyperlink" Target="https://en.wikipedia.org/wiki/Greg_Bonnen" TargetMode="External"/><Relationship Id="rId45" Type="http://schemas.openxmlformats.org/officeDocument/2006/relationships/hyperlink" Target="https://en.wikipedia.org/w/index.php?title=Texas_House_of_Representatives,_District_24&amp;action=edit&amp;redlink=1" TargetMode="External"/><Relationship Id="rId48" Type="http://schemas.openxmlformats.org/officeDocument/2006/relationships/hyperlink" Target="https://en.wikipedia.org/wiki/Dennis_Bonnen" TargetMode="External"/><Relationship Id="rId47" Type="http://schemas.openxmlformats.org/officeDocument/2006/relationships/hyperlink" Target="https://en.wikipedia.org/w/index.php?title=Texas_House_of_Representatives,_District_25&amp;action=edit&amp;redlink=1" TargetMode="External"/><Relationship Id="rId49" Type="http://schemas.openxmlformats.org/officeDocument/2006/relationships/hyperlink" Target="https://en.wikipedia.org/w/index.php?title=Texas_House_of_Representatives,_District_26&amp;action=edit&amp;redlink=1" TargetMode="External"/><Relationship Id="rId31" Type="http://schemas.openxmlformats.org/officeDocument/2006/relationships/hyperlink" Target="https://en.wikipedia.org/wiki/Will_Metcalf" TargetMode="External"/><Relationship Id="rId30" Type="http://schemas.openxmlformats.org/officeDocument/2006/relationships/hyperlink" Target="https://en.wikipedia.org/w/index.php?title=Texas_House_of_Representatives,_District_16&amp;action=edit&amp;redlink=1" TargetMode="External"/><Relationship Id="rId33" Type="http://schemas.openxmlformats.org/officeDocument/2006/relationships/hyperlink" Target="https://en.wikipedia.org/wiki/John_Cyrier" TargetMode="External"/><Relationship Id="rId32" Type="http://schemas.openxmlformats.org/officeDocument/2006/relationships/hyperlink" Target="https://en.wikipedia.org/w/index.php?title=Texas_House_of_Representatives,_District_17&amp;action=edit&amp;redlink=1" TargetMode="External"/><Relationship Id="rId35" Type="http://schemas.openxmlformats.org/officeDocument/2006/relationships/hyperlink" Target="https://en.wikipedia.org/wiki/Ernest_Bailes" TargetMode="External"/><Relationship Id="rId34" Type="http://schemas.openxmlformats.org/officeDocument/2006/relationships/hyperlink" Target="https://en.wikipedia.org/w/index.php?title=Texas_House_of_Representatives,_District_18&amp;action=edit&amp;redlink=1" TargetMode="External"/><Relationship Id="rId37" Type="http://schemas.openxmlformats.org/officeDocument/2006/relationships/hyperlink" Target="https://en.wikipedia.org/wiki/James_White_(Texas_politician)" TargetMode="External"/><Relationship Id="rId36" Type="http://schemas.openxmlformats.org/officeDocument/2006/relationships/hyperlink" Target="https://en.wikipedia.org/w/index.php?title=Texas_House_of_Representatives,_District_19&amp;action=edit&amp;redlink=1" TargetMode="External"/><Relationship Id="rId39" Type="http://schemas.openxmlformats.org/officeDocument/2006/relationships/hyperlink" Target="https://en.wikipedia.org/wiki/Terry_Wilson_(politician)" TargetMode="External"/><Relationship Id="rId38" Type="http://schemas.openxmlformats.org/officeDocument/2006/relationships/hyperlink" Target="https://en.wikipedia.org/w/index.php?title=Texas_House_of_Representatives,_District_20&amp;action=edit&amp;redlink=1" TargetMode="External"/><Relationship Id="rId20" Type="http://schemas.openxmlformats.org/officeDocument/2006/relationships/hyperlink" Target="https://en.wikipedia.org/wiki/John_Wray_(politician)" TargetMode="External"/><Relationship Id="rId22" Type="http://schemas.openxmlformats.org/officeDocument/2006/relationships/hyperlink" Target="https://en.wikipedia.org/wiki/Travis_Clardy" TargetMode="External"/><Relationship Id="rId21" Type="http://schemas.openxmlformats.org/officeDocument/2006/relationships/hyperlink" Target="https://en.wikipedia.org/w/index.php?title=Texas_House_of_Representatives,_District_11&amp;action=edit&amp;redlink=1" TargetMode="External"/><Relationship Id="rId24" Type="http://schemas.openxmlformats.org/officeDocument/2006/relationships/hyperlink" Target="https://en.wikipedia.org/wiki/Kyle_Kacal" TargetMode="External"/><Relationship Id="rId23" Type="http://schemas.openxmlformats.org/officeDocument/2006/relationships/hyperlink" Target="https://en.wikipedia.org/w/index.php?title=Texas_House_of_Representatives,_District_12&amp;action=edit&amp;redlink=1" TargetMode="External"/><Relationship Id="rId26" Type="http://schemas.openxmlformats.org/officeDocument/2006/relationships/hyperlink" Target="https://en.wikipedia.org/w/index.php?title=Ben_Leman&amp;action=edit&amp;redlink=1" TargetMode="External"/><Relationship Id="rId25" Type="http://schemas.openxmlformats.org/officeDocument/2006/relationships/hyperlink" Target="https://en.wikipedia.org/w/index.php?title=Texas_House_of_Representatives,_District_13&amp;action=edit&amp;redlink=1" TargetMode="External"/><Relationship Id="rId28" Type="http://schemas.openxmlformats.org/officeDocument/2006/relationships/hyperlink" Target="https://en.wikipedia.org/wiki/John_N._Raney" TargetMode="External"/><Relationship Id="rId27" Type="http://schemas.openxmlformats.org/officeDocument/2006/relationships/hyperlink" Target="https://en.wikipedia.org/w/index.php?title=Texas_House_of_Representatives,_District_14&amp;action=edit&amp;redlink=1" TargetMode="External"/><Relationship Id="rId29" Type="http://schemas.openxmlformats.org/officeDocument/2006/relationships/hyperlink" Target="https://en.wikipedia.org/w/index.php?title=Texas_House_of_Representatives,_District_15&amp;action=edit&amp;redlink=1" TargetMode="External"/><Relationship Id="rId11" Type="http://schemas.openxmlformats.org/officeDocument/2006/relationships/hyperlink" Target="https://en.wikipedia.org/wiki/Cole_Hefner" TargetMode="External"/><Relationship Id="rId10" Type="http://schemas.openxmlformats.org/officeDocument/2006/relationships/hyperlink" Target="https://en.wikipedia.org/wiki/Texas_House_of_Representatives,_District_5" TargetMode="External"/><Relationship Id="rId13" Type="http://schemas.openxmlformats.org/officeDocument/2006/relationships/hyperlink" Target="https://en.wikipedia.org/wiki/Matt_Schaefer" TargetMode="External"/><Relationship Id="rId12" Type="http://schemas.openxmlformats.org/officeDocument/2006/relationships/hyperlink" Target="https://en.wikipedia.org/wiki/Texas_House_of_Representatives,_District_6" TargetMode="External"/><Relationship Id="rId15" Type="http://schemas.openxmlformats.org/officeDocument/2006/relationships/hyperlink" Target="https://en.wikipedia.org/wiki/Jay_Dean_(politician)" TargetMode="External"/><Relationship Id="rId14" Type="http://schemas.openxmlformats.org/officeDocument/2006/relationships/hyperlink" Target="https://en.wikipedia.org/w/index.php?title=Texas_House_of_Representatives,_District_7&amp;action=edit&amp;redlink=1" TargetMode="External"/><Relationship Id="rId17" Type="http://schemas.openxmlformats.org/officeDocument/2006/relationships/hyperlink" Target="https://en.wikipedia.org/w/index.php?title=Texas_House_of_Representatives,_District_9&amp;action=edit&amp;redlink=1" TargetMode="External"/><Relationship Id="rId16" Type="http://schemas.openxmlformats.org/officeDocument/2006/relationships/hyperlink" Target="https://en.wikipedia.org/w/index.php?title=Texas_House_of_Representatives,_District_8&amp;action=edit&amp;redlink=1" TargetMode="External"/><Relationship Id="rId19" Type="http://schemas.openxmlformats.org/officeDocument/2006/relationships/hyperlink" Target="https://en.wikipedia.org/w/index.php?title=Texas_House_of_Representatives,_District_10&amp;action=edit&amp;redlink=1" TargetMode="External"/><Relationship Id="rId18" Type="http://schemas.openxmlformats.org/officeDocument/2006/relationships/hyperlink" Target="https://en.wikipedia.org/wiki/Chris_Paddie" TargetMode="External"/><Relationship Id="rId84" Type="http://schemas.openxmlformats.org/officeDocument/2006/relationships/hyperlink" Target="https://en.wikipedia.org/wiki/J._M._Lozano" TargetMode="External"/><Relationship Id="rId83" Type="http://schemas.openxmlformats.org/officeDocument/2006/relationships/hyperlink" Target="https://en.wikipedia.org/w/index.php?title=Texas_House_of_Representatives,_District_43&amp;action=edit&amp;redlink=1" TargetMode="External"/><Relationship Id="rId86" Type="http://schemas.openxmlformats.org/officeDocument/2006/relationships/hyperlink" Target="https://en.wikipedia.org/wiki/John_Kuempel" TargetMode="External"/><Relationship Id="rId85" Type="http://schemas.openxmlformats.org/officeDocument/2006/relationships/hyperlink" Target="https://en.wikipedia.org/w/index.php?title=Texas_House_of_Representatives,_District_44&amp;action=edit&amp;redlink=1" TargetMode="External"/><Relationship Id="rId88" Type="http://schemas.openxmlformats.org/officeDocument/2006/relationships/hyperlink" Target="https://en.wikipedia.org/w/index.php?title=Texas_House_of_Representatives,_District_46&amp;action=edit&amp;redlink=1" TargetMode="External"/><Relationship Id="rId87" Type="http://schemas.openxmlformats.org/officeDocument/2006/relationships/hyperlink" Target="https://en.wikipedia.org/w/index.php?title=Texas_House_of_Representatives,_District_45&amp;action=edit&amp;redlink=1" TargetMode="External"/><Relationship Id="rId89" Type="http://schemas.openxmlformats.org/officeDocument/2006/relationships/hyperlink" Target="https://en.wikipedia.org/w/index.php?title=Texas_House_of_Representatives,_District_47&amp;action=edit&amp;redlink=1" TargetMode="External"/><Relationship Id="rId80" Type="http://schemas.openxmlformats.org/officeDocument/2006/relationships/hyperlink" Target="https://en.wikipedia.org/wiki/Robert_Guerra_(politician)" TargetMode="External"/><Relationship Id="rId82" Type="http://schemas.openxmlformats.org/officeDocument/2006/relationships/hyperlink" Target="https://en.wikipedia.org/wiki/Richard_Raymond_(Texas_politician)" TargetMode="External"/><Relationship Id="rId81" Type="http://schemas.openxmlformats.org/officeDocument/2006/relationships/hyperlink" Target="https://en.wikipedia.org/w/index.php?title=Texas_House_of_Representatives,_District_42&amp;action=edit&amp;redlink=1" TargetMode="External"/><Relationship Id="rId73" Type="http://schemas.openxmlformats.org/officeDocument/2006/relationships/hyperlink" Target="https://en.wikipedia.org/w/index.php?title=Texas_House_of_Representatives,_District_38&amp;action=edit&amp;redlink=1" TargetMode="External"/><Relationship Id="rId72" Type="http://schemas.openxmlformats.org/officeDocument/2006/relationships/hyperlink" Target="https://en.wikipedia.org/w/index.php?title=Texas_House_of_Representatives,_District_37&amp;action=edit&amp;redlink=1" TargetMode="External"/><Relationship Id="rId75" Type="http://schemas.openxmlformats.org/officeDocument/2006/relationships/hyperlink" Target="https://en.wikipedia.org/w/index.php?title=Texas_House_of_Representatives,_District_39&amp;action=edit&amp;redlink=1" TargetMode="External"/><Relationship Id="rId74" Type="http://schemas.openxmlformats.org/officeDocument/2006/relationships/hyperlink" Target="https://en.wikipedia.org/wiki/Eddie_Lucio_III" TargetMode="External"/><Relationship Id="rId77" Type="http://schemas.openxmlformats.org/officeDocument/2006/relationships/hyperlink" Target="https://en.wikipedia.org/w/index.php?title=Texas_House_of_Representatives,_District_40&amp;action=edit&amp;redlink=1" TargetMode="External"/><Relationship Id="rId76" Type="http://schemas.openxmlformats.org/officeDocument/2006/relationships/hyperlink" Target="https://en.wikipedia.org/wiki/Armando_Martinez_(Texas)" TargetMode="External"/><Relationship Id="rId79" Type="http://schemas.openxmlformats.org/officeDocument/2006/relationships/hyperlink" Target="https://en.wikipedia.org/w/index.php?title=Texas_House_of_Representatives,_District_41&amp;action=edit&amp;redlink=1" TargetMode="External"/><Relationship Id="rId78" Type="http://schemas.openxmlformats.org/officeDocument/2006/relationships/hyperlink" Target="https://en.wikipedia.org/wiki/Terry_Canales" TargetMode="External"/><Relationship Id="rId71" Type="http://schemas.openxmlformats.org/officeDocument/2006/relationships/hyperlink" Target="https://en.wikipedia.org/wiki/Sergio_Mu%C3%B1oz_(politician)" TargetMode="External"/><Relationship Id="rId70" Type="http://schemas.openxmlformats.org/officeDocument/2006/relationships/hyperlink" Target="https://en.wikipedia.org/w/index.php?title=Texas_House_of_Representatives,_District_36&amp;action=edit&amp;redlink=1" TargetMode="External"/><Relationship Id="rId62" Type="http://schemas.openxmlformats.org/officeDocument/2006/relationships/hyperlink" Target="https://en.wikipedia.org/w/index.php?title=Texas_House_of_Representatives,_District_32&amp;action=edit&amp;redlink=1" TargetMode="External"/><Relationship Id="rId61" Type="http://schemas.openxmlformats.org/officeDocument/2006/relationships/hyperlink" Target="https://en.wikipedia.org/wiki/Ryan_Guillen" TargetMode="External"/><Relationship Id="rId64" Type="http://schemas.openxmlformats.org/officeDocument/2006/relationships/hyperlink" Target="https://en.wikipedia.org/w/index.php?title=Texas_House_of_Representatives,_District_33&amp;action=edit&amp;redlink=1" TargetMode="External"/><Relationship Id="rId63" Type="http://schemas.openxmlformats.org/officeDocument/2006/relationships/hyperlink" Target="https://en.wikipedia.org/wiki/Todd_Ames_Hunter" TargetMode="External"/><Relationship Id="rId66" Type="http://schemas.openxmlformats.org/officeDocument/2006/relationships/hyperlink" Target="https://en.wikipedia.org/w/index.php?title=Texas_House_of_Representatives,_District_34&amp;action=edit&amp;redlink=1" TargetMode="External"/><Relationship Id="rId65" Type="http://schemas.openxmlformats.org/officeDocument/2006/relationships/hyperlink" Target="https://en.wikipedia.org/wiki/Justin_Holland_(politician)" TargetMode="External"/><Relationship Id="rId68" Type="http://schemas.openxmlformats.org/officeDocument/2006/relationships/hyperlink" Target="https://en.wikipedia.org/w/index.php?title=Texas_House_of_Representatives,_District_35&amp;action=edit&amp;redlink=1" TargetMode="External"/><Relationship Id="rId67" Type="http://schemas.openxmlformats.org/officeDocument/2006/relationships/hyperlink" Target="https://en.wikipedia.org/wiki/Abel_Herrero" TargetMode="External"/><Relationship Id="rId60" Type="http://schemas.openxmlformats.org/officeDocument/2006/relationships/hyperlink" Target="https://en.wikipedia.org/w/index.php?title=Texas_House_of_Representatives,_District_31&amp;action=edit&amp;redlink=1" TargetMode="External"/><Relationship Id="rId69" Type="http://schemas.openxmlformats.org/officeDocument/2006/relationships/hyperlink" Target="https://en.wikipedia.org/wiki/Oscar_Longoria" TargetMode="External"/><Relationship Id="rId51" Type="http://schemas.openxmlformats.org/officeDocument/2006/relationships/hyperlink" Target="https://en.wikipedia.org/w/index.php?title=Texas_House_of_Representatives,_District_27&amp;action=edit&amp;redlink=1" TargetMode="External"/><Relationship Id="rId50" Type="http://schemas.openxmlformats.org/officeDocument/2006/relationships/hyperlink" Target="https://en.wikipedia.org/wiki/Rick_Miller_(Texas_politician)" TargetMode="External"/><Relationship Id="rId53" Type="http://schemas.openxmlformats.org/officeDocument/2006/relationships/hyperlink" Target="https://en.wikipedia.org/w/index.php?title=Texas_House_of_Representatives,_District_28&amp;action=edit&amp;redlink=1" TargetMode="External"/><Relationship Id="rId52" Type="http://schemas.openxmlformats.org/officeDocument/2006/relationships/hyperlink" Target="https://en.wikipedia.org/wiki/Ron_Reynolds_(Texas_politician)" TargetMode="External"/><Relationship Id="rId55" Type="http://schemas.openxmlformats.org/officeDocument/2006/relationships/hyperlink" Target="https://house.texas.gov/members/member-page/email/?district=28&amp;session=86" TargetMode="External"/><Relationship Id="rId54" Type="http://schemas.openxmlformats.org/officeDocument/2006/relationships/hyperlink" Target="https://en.wikipedia.org/wiki/John_M._Zerwas" TargetMode="External"/><Relationship Id="rId57" Type="http://schemas.openxmlformats.org/officeDocument/2006/relationships/hyperlink" Target="https://en.wikipedia.org/wiki/Ed_Thompson_(Texas_politician)" TargetMode="External"/><Relationship Id="rId56" Type="http://schemas.openxmlformats.org/officeDocument/2006/relationships/hyperlink" Target="https://en.wikipedia.org/w/index.php?title=Texas_House_of_Representatives,_District_29&amp;action=edit&amp;redlink=1" TargetMode="External"/><Relationship Id="rId59" Type="http://schemas.openxmlformats.org/officeDocument/2006/relationships/hyperlink" Target="https://en.wikipedia.org/wiki/Geanie_Morrison" TargetMode="External"/><Relationship Id="rId58" Type="http://schemas.openxmlformats.org/officeDocument/2006/relationships/hyperlink" Target="https://en.wikipedia.org/w/index.php?title=Texas_House_of_Representatives,_District_30&amp;action=edit&amp;redlink=1" TargetMode="External"/><Relationship Id="rId107" Type="http://schemas.openxmlformats.org/officeDocument/2006/relationships/hyperlink" Target="https://en.wikipedia.org/wiki/Trent_Ashby" TargetMode="External"/><Relationship Id="rId228" Type="http://schemas.openxmlformats.org/officeDocument/2006/relationships/hyperlink" Target="https://en.wikipedia.org/wiki/Pete_Flores" TargetMode="External"/><Relationship Id="rId106" Type="http://schemas.openxmlformats.org/officeDocument/2006/relationships/hyperlink" Target="https://en.wikipedia.org/w/index.php?title=Texas_House_of_Representatives,_District_57&amp;action=edit&amp;redlink=1" TargetMode="External"/><Relationship Id="rId227" Type="http://schemas.openxmlformats.org/officeDocument/2006/relationships/hyperlink" Target="https://en.wikipedia.org/wiki/Lois_Kolkhorst" TargetMode="External"/><Relationship Id="rId105" Type="http://schemas.openxmlformats.org/officeDocument/2006/relationships/hyperlink" Target="https://en.wikipedia.org/wiki/Charles_Anderson_(Texas_politician)" TargetMode="External"/><Relationship Id="rId226" Type="http://schemas.openxmlformats.org/officeDocument/2006/relationships/hyperlink" Target="https://en.wikipedia.org/wiki/Texas_Senate,_District_18" TargetMode="External"/><Relationship Id="rId104" Type="http://schemas.openxmlformats.org/officeDocument/2006/relationships/hyperlink" Target="https://en.wikipedia.org/w/index.php?title=Texas_House_of_Representatives,_District_56&amp;action=edit&amp;redlink=1" TargetMode="External"/><Relationship Id="rId225" Type="http://schemas.openxmlformats.org/officeDocument/2006/relationships/hyperlink" Target="https://en.wikipedia.org/wiki/Joan_Huffman" TargetMode="External"/><Relationship Id="rId109" Type="http://schemas.openxmlformats.org/officeDocument/2006/relationships/hyperlink" Target="https://en.wikipedia.org/wiki/DeWayne_Burns" TargetMode="External"/><Relationship Id="rId108" Type="http://schemas.openxmlformats.org/officeDocument/2006/relationships/hyperlink" Target="https://en.wikipedia.org/w/index.php?title=Texas_House_of_Representatives,_District_58&amp;action=edit&amp;redlink=1" TargetMode="External"/><Relationship Id="rId229" Type="http://schemas.openxmlformats.org/officeDocument/2006/relationships/hyperlink" Target="https://senate.texas.gov/memberform.php?auth=O3ir9qa8yQp2AcWq3%2Fq4Mbvt7LUOL6N4H0dh7bAFlog6XzpfOuh2LcFda7IAjBUN0WJ6MmCckWyKh%2FtizTnjBzJt81LUz2oEOnw6fDqFqmwpCXA39ldpPiJkyYVJ&amp;lang=en" TargetMode="External"/><Relationship Id="rId220" Type="http://schemas.openxmlformats.org/officeDocument/2006/relationships/hyperlink" Target="https://en.wikipedia.org/wiki/Kirk_Watson" TargetMode="External"/><Relationship Id="rId103" Type="http://schemas.openxmlformats.org/officeDocument/2006/relationships/hyperlink" Target="https://en.wikipedia.org/wiki/Hugh_Shine" TargetMode="External"/><Relationship Id="rId224" Type="http://schemas.openxmlformats.org/officeDocument/2006/relationships/hyperlink" Target="https://en.wikipedia.org/wiki/Texas_Senate,_District_17" TargetMode="External"/><Relationship Id="rId102" Type="http://schemas.openxmlformats.org/officeDocument/2006/relationships/hyperlink" Target="https://en.wikipedia.org/w/index.php?title=Texas_House_of_Representatives,_District_55&amp;action=edit&amp;redlink=1" TargetMode="External"/><Relationship Id="rId223" Type="http://schemas.openxmlformats.org/officeDocument/2006/relationships/hyperlink" Target="https://en.wikipedia.org/wiki/Texas_Senate,_District_16" TargetMode="External"/><Relationship Id="rId101" Type="http://schemas.openxmlformats.org/officeDocument/2006/relationships/hyperlink" Target="https://en.wikipedia.org/w/index.php?title=Texas_House_of_Representatives,_District_54&amp;action=edit&amp;redlink=1" TargetMode="External"/><Relationship Id="rId222" Type="http://schemas.openxmlformats.org/officeDocument/2006/relationships/hyperlink" Target="https://en.wikipedia.org/wiki/John_Whitmire" TargetMode="External"/><Relationship Id="rId100" Type="http://schemas.openxmlformats.org/officeDocument/2006/relationships/hyperlink" Target="https://en.wikipedia.org/wiki/Andrew_Murr" TargetMode="External"/><Relationship Id="rId221" Type="http://schemas.openxmlformats.org/officeDocument/2006/relationships/hyperlink" Target="https://en.wikipedia.org/wiki/Texas_Senate,_District_15" TargetMode="External"/><Relationship Id="rId217" Type="http://schemas.openxmlformats.org/officeDocument/2006/relationships/hyperlink" Target="https://en.wikipedia.org/wiki/Texas_Senate,_District_12" TargetMode="External"/><Relationship Id="rId216" Type="http://schemas.openxmlformats.org/officeDocument/2006/relationships/hyperlink" Target="https://en.wikipedia.org/wiki/Texas_Senate,_District_11" TargetMode="External"/><Relationship Id="rId215" Type="http://schemas.openxmlformats.org/officeDocument/2006/relationships/hyperlink" Target="https://en.wikipedia.org/wiki/Texas_Senate,_District_10" TargetMode="External"/><Relationship Id="rId214" Type="http://schemas.openxmlformats.org/officeDocument/2006/relationships/hyperlink" Target="https://en.wikipedia.org/wiki/Texas_Senate,_District_9" TargetMode="External"/><Relationship Id="rId219" Type="http://schemas.openxmlformats.org/officeDocument/2006/relationships/hyperlink" Target="https://en.wikipedia.org/wiki/Texas_Senate,_District_14" TargetMode="External"/><Relationship Id="rId218" Type="http://schemas.openxmlformats.org/officeDocument/2006/relationships/hyperlink" Target="https://en.wikipedia.org/wiki/Texas_Senate,_District_13" TargetMode="External"/><Relationship Id="rId213" Type="http://schemas.openxmlformats.org/officeDocument/2006/relationships/hyperlink" Target="https://en.wikipedia.org/wiki/Texas_Senate,_District_8" TargetMode="External"/><Relationship Id="rId212" Type="http://schemas.openxmlformats.org/officeDocument/2006/relationships/hyperlink" Target="https://en.wikipedia.org/wiki/Paul_Bettencourt" TargetMode="External"/><Relationship Id="rId211" Type="http://schemas.openxmlformats.org/officeDocument/2006/relationships/hyperlink" Target="https://en.wikipedia.org/wiki/Texas_Senate,_District_7" TargetMode="External"/><Relationship Id="rId210" Type="http://schemas.openxmlformats.org/officeDocument/2006/relationships/hyperlink" Target="https://en.wikipedia.org/wiki/Sylvia_Garcia" TargetMode="External"/><Relationship Id="rId129" Type="http://schemas.openxmlformats.org/officeDocument/2006/relationships/hyperlink" Target="https://en.wikipedia.org/wiki/James_Frank" TargetMode="External"/><Relationship Id="rId128" Type="http://schemas.openxmlformats.org/officeDocument/2006/relationships/hyperlink" Target="https://en.wikipedia.org/w/index.php?title=Texas_House_of_Representatives,_District_69&amp;action=edit&amp;redlink=1" TargetMode="External"/><Relationship Id="rId249" Type="http://schemas.openxmlformats.org/officeDocument/2006/relationships/hyperlink" Target="https://en.wikipedia.org/wiki/Texas_Senate,_District_30" TargetMode="External"/><Relationship Id="rId127" Type="http://schemas.openxmlformats.org/officeDocument/2006/relationships/hyperlink" Target="https://en.wikipedia.org/wiki/Drew_Springer_Jr." TargetMode="External"/><Relationship Id="rId248" Type="http://schemas.openxmlformats.org/officeDocument/2006/relationships/hyperlink" Target="https://en.wikipedia.org/wiki/Jos%C3%A9_R._Rodr%C3%ADguez" TargetMode="External"/><Relationship Id="rId126" Type="http://schemas.openxmlformats.org/officeDocument/2006/relationships/hyperlink" Target="https://en.wikipedia.org/w/index.php?title=Texas_House_of_Representatives,_District_68&amp;action=edit&amp;redlink=1" TargetMode="External"/><Relationship Id="rId247" Type="http://schemas.openxmlformats.org/officeDocument/2006/relationships/hyperlink" Target="https://en.wikipedia.org/wiki/Texas_Senate,_District_29" TargetMode="External"/><Relationship Id="rId121" Type="http://schemas.openxmlformats.org/officeDocument/2006/relationships/hyperlink" Target="https://en.wikipedia.org/wiki/Texas_House_of_Representatives,_District_65" TargetMode="External"/><Relationship Id="rId242" Type="http://schemas.openxmlformats.org/officeDocument/2006/relationships/hyperlink" Target="https://en.wikipedia.org/wiki/Texas_Senate,_District_26" TargetMode="External"/><Relationship Id="rId120" Type="http://schemas.openxmlformats.org/officeDocument/2006/relationships/hyperlink" Target="https://en.wikipedia.org/wiki/Lynn_Stucky" TargetMode="External"/><Relationship Id="rId241" Type="http://schemas.openxmlformats.org/officeDocument/2006/relationships/hyperlink" Target="https://en.wikipedia.org/wiki/Donna_Campbell" TargetMode="External"/><Relationship Id="rId240" Type="http://schemas.openxmlformats.org/officeDocument/2006/relationships/hyperlink" Target="https://en.wikipedia.org/wiki/Texas_Senate,_District_25" TargetMode="External"/><Relationship Id="rId125" Type="http://schemas.openxmlformats.org/officeDocument/2006/relationships/hyperlink" Target="https://en.wikipedia.org/wiki/Jeff_Leach_(politician)" TargetMode="External"/><Relationship Id="rId246" Type="http://schemas.openxmlformats.org/officeDocument/2006/relationships/hyperlink" Target="https://en.wikipedia.org/wiki/Texas_Senate,_District_28" TargetMode="External"/><Relationship Id="rId124" Type="http://schemas.openxmlformats.org/officeDocument/2006/relationships/hyperlink" Target="https://en.wikipedia.org/w/index.php?title=Texas_House_of_Representatives,_District_67&amp;action=edit&amp;redlink=1" TargetMode="External"/><Relationship Id="rId245" Type="http://schemas.openxmlformats.org/officeDocument/2006/relationships/hyperlink" Target="https://en.wikipedia.org/wiki/Eddie_Lucio_Jr." TargetMode="External"/><Relationship Id="rId123" Type="http://schemas.openxmlformats.org/officeDocument/2006/relationships/hyperlink" Target="https://en.wikipedia.org/wiki/Matt_Shaheen" TargetMode="External"/><Relationship Id="rId244" Type="http://schemas.openxmlformats.org/officeDocument/2006/relationships/hyperlink" Target="https://en.wikipedia.org/wiki/Texas_Senate,_District_27" TargetMode="External"/><Relationship Id="rId122" Type="http://schemas.openxmlformats.org/officeDocument/2006/relationships/hyperlink" Target="https://en.wikipedia.org/w/index.php?title=Texas_House_of_Representatives,_District_66&amp;action=edit&amp;redlink=1" TargetMode="External"/><Relationship Id="rId243" Type="http://schemas.openxmlformats.org/officeDocument/2006/relationships/hyperlink" Target="https://en.wikipedia.org/wiki/Jose_Menendez" TargetMode="External"/><Relationship Id="rId95" Type="http://schemas.openxmlformats.org/officeDocument/2006/relationships/hyperlink" Target="https://en.wikipedia.org/wiki/Celia_Israel" TargetMode="External"/><Relationship Id="rId94" Type="http://schemas.openxmlformats.org/officeDocument/2006/relationships/hyperlink" Target="https://en.wikipedia.org/w/index.php?title=Texas_House_of_Representatives,_District_50&amp;action=edit&amp;redlink=1" TargetMode="External"/><Relationship Id="rId97" Type="http://schemas.openxmlformats.org/officeDocument/2006/relationships/hyperlink" Target="https://en.wikipedia.org/wiki/Eddie_Rodriguez_(Texas)" TargetMode="External"/><Relationship Id="rId96" Type="http://schemas.openxmlformats.org/officeDocument/2006/relationships/hyperlink" Target="https://en.wikipedia.org/w/index.php?title=Texas_House_of_Representatives,_District_51&amp;action=edit&amp;redlink=1" TargetMode="External"/><Relationship Id="rId99" Type="http://schemas.openxmlformats.org/officeDocument/2006/relationships/hyperlink" Target="https://en.wikipedia.org/w/index.php?title=Texas_House_of_Representatives,_District_53&amp;action=edit&amp;redlink=1" TargetMode="External"/><Relationship Id="rId98" Type="http://schemas.openxmlformats.org/officeDocument/2006/relationships/hyperlink" Target="https://en.wikipedia.org/w/index.php?title=Texas_House_of_Representatives,_District_52&amp;action=edit&amp;redlink=1" TargetMode="External"/><Relationship Id="rId91" Type="http://schemas.openxmlformats.org/officeDocument/2006/relationships/hyperlink" Target="https://en.wikipedia.org/wiki/Donna_Howard" TargetMode="External"/><Relationship Id="rId90" Type="http://schemas.openxmlformats.org/officeDocument/2006/relationships/hyperlink" Target="https://en.wikipedia.org/w/index.php?title=Texas_House_of_Representatives,_District_48&amp;action=edit&amp;redlink=1" TargetMode="External"/><Relationship Id="rId93" Type="http://schemas.openxmlformats.org/officeDocument/2006/relationships/hyperlink" Target="https://en.wikipedia.org/wiki/Gina_Hinojosa" TargetMode="External"/><Relationship Id="rId92" Type="http://schemas.openxmlformats.org/officeDocument/2006/relationships/hyperlink" Target="https://en.wikipedia.org/w/index.php?title=Texas_House_of_Representatives,_District_49&amp;action=edit&amp;redlink=1" TargetMode="External"/><Relationship Id="rId118" Type="http://schemas.openxmlformats.org/officeDocument/2006/relationships/hyperlink" Target="https://en.wikipedia.org/wiki/Tan_Parker" TargetMode="External"/><Relationship Id="rId239" Type="http://schemas.openxmlformats.org/officeDocument/2006/relationships/hyperlink" Target="https://senate.texas.gov/memberform.phpauth=uREy0z8cXWVNXj55LHbhKXbE6jOrYPIpexMWIfNrnEs6XzpfOq2KtF7tD6%2FVa4jdf6%2BmntdaqTwWba92SAheD%2FdouR9gAQUFOnw6fDqY83GGtjhmN015H5zs%2Fu3L&amp;lang=en" TargetMode="External"/><Relationship Id="rId117" Type="http://schemas.openxmlformats.org/officeDocument/2006/relationships/hyperlink" Target="https://en.wikipedia.org/wiki/Texas_House_of_Representatives,_District_63" TargetMode="External"/><Relationship Id="rId238" Type="http://schemas.openxmlformats.org/officeDocument/2006/relationships/hyperlink" Target="https://en.wikipedia.org/wiki/Dawn_Buckingham" TargetMode="External"/><Relationship Id="rId116" Type="http://schemas.openxmlformats.org/officeDocument/2006/relationships/hyperlink" Target="https://en.wikipedia.org/wiki/Texas_House_of_Representatives,_District_62" TargetMode="External"/><Relationship Id="rId237" Type="http://schemas.openxmlformats.org/officeDocument/2006/relationships/hyperlink" Target="https://senate.texas.gov/memberform.phpauth=%2BlyRwu0fG2yAJK9Pdr%2ByauAporFyUSKEmXLpOcN2kFY6XzpfOiemU6Gj0My%2F4HzcsB62yNRWoNVpJoNMJbGtDAa%2BjDhc06Q6fDp8OoJFmN0ThGV0VzjHQDV7UQ4%3D&amp;lang=en" TargetMode="External"/><Relationship Id="rId115" Type="http://schemas.openxmlformats.org/officeDocument/2006/relationships/hyperlink" Target="https://en.wikipedia.org/wiki/Phil_King_(Texas_politician)" TargetMode="External"/><Relationship Id="rId236" Type="http://schemas.openxmlformats.org/officeDocument/2006/relationships/hyperlink" Target="https://en.wikipedia.org/wiki/Royce_West" TargetMode="External"/><Relationship Id="rId119" Type="http://schemas.openxmlformats.org/officeDocument/2006/relationships/hyperlink" Target="https://en.wikipedia.org/wiki/Texas_House_of_Representatives,_District_64" TargetMode="External"/><Relationship Id="rId110" Type="http://schemas.openxmlformats.org/officeDocument/2006/relationships/hyperlink" Target="https://en.wikipedia.org/w/index.php?title=Texas_House_of_Representatives,_District_59&amp;action=edit&amp;redlink=1" TargetMode="External"/><Relationship Id="rId231" Type="http://schemas.openxmlformats.org/officeDocument/2006/relationships/hyperlink" Target="https://senate.texas.gov/memberform.php?auth=LnLybSptXsvDr5RfTh1PtTwrFBWbUdpN0VQUolG1qgs6XzpfOl6aKYu7UANU6kqZygSRWDTZkdiMYa9VSWO8qS3UGTKy5dKMOnw6fDqKOdg7tL9BbemsPOkokneY&amp;lang=en" TargetMode="External"/><Relationship Id="rId230" Type="http://schemas.openxmlformats.org/officeDocument/2006/relationships/hyperlink" Target="https://en.wikipedia.org/wiki/Juan_Hinojosa" TargetMode="External"/><Relationship Id="rId114" Type="http://schemas.openxmlformats.org/officeDocument/2006/relationships/hyperlink" Target="https://en.wikipedia.org/w/index.php?title=Texas_House_of_Representatives,_District_61&amp;action=edit&amp;redlink=1" TargetMode="External"/><Relationship Id="rId235" Type="http://schemas.openxmlformats.org/officeDocument/2006/relationships/hyperlink" Target="https://senate.texas.gov/memberform.php?auth=vA2ogkNPSG6qdL%2BJa0MFD%2FdvgQ%2FJOWeYz0delK%2Fc4qo6XzpfOimIHgNcBQnodG4bYSiCQLjm8UL8o6iaxLruaLQDO6nA%2F8IDOnw6fDo4DoNo4uOzDiqjR7lY0CIP&amp;lang=en" TargetMode="External"/><Relationship Id="rId113" Type="http://schemas.openxmlformats.org/officeDocument/2006/relationships/hyperlink" Target="https://en.wikipedia.org/wiki/Mike_Lang_(Texas_politician)" TargetMode="External"/><Relationship Id="rId234" Type="http://schemas.openxmlformats.org/officeDocument/2006/relationships/hyperlink" Target="https://en.wikipedia.org/wiki/Brian_Birdwell" TargetMode="External"/><Relationship Id="rId112" Type="http://schemas.openxmlformats.org/officeDocument/2006/relationships/hyperlink" Target="https://en.wikipedia.org/w/index.php?title=Texas_House_of_Representatives,_District_60&amp;action=edit&amp;redlink=1" TargetMode="External"/><Relationship Id="rId233" Type="http://schemas.openxmlformats.org/officeDocument/2006/relationships/hyperlink" Target="https://senate.texas.gov/memberform.php?auth=UPRK6GP107EPlq0O2PPN%2F6UB45hnSjWhs7CwGt4J2QU6XzpfOtuWlKVlJl9WdDTvIR0q6BulIZaXcIO0d5VK9EZ%2FMxk8g%2Fi7Onw6fDpt68fUs%2BOzqHpAX4vbrhXW&amp;lang=en" TargetMode="External"/><Relationship Id="rId111" Type="http://schemas.openxmlformats.org/officeDocument/2006/relationships/hyperlink" Target="https://en.wikipedia.org/wiki/J._D._Sheffield" TargetMode="External"/><Relationship Id="rId232" Type="http://schemas.openxmlformats.org/officeDocument/2006/relationships/hyperlink" Target="https://en.wikipedia.org/wiki/Judith_Zaffirini" TargetMode="External"/><Relationship Id="rId206" Type="http://schemas.openxmlformats.org/officeDocument/2006/relationships/hyperlink" Target="https://en.wikipedia.org/wiki/Brandon_Creighton" TargetMode="External"/><Relationship Id="rId205" Type="http://schemas.openxmlformats.org/officeDocument/2006/relationships/hyperlink" Target="https://en.wikipedia.org/wiki/Texas_Senate,_District_4" TargetMode="External"/><Relationship Id="rId204" Type="http://schemas.openxmlformats.org/officeDocument/2006/relationships/hyperlink" Target="https://en.wikipedia.org/wiki/Robert_Nichols_(politician)" TargetMode="External"/><Relationship Id="rId203" Type="http://schemas.openxmlformats.org/officeDocument/2006/relationships/hyperlink" Target="https://en.wikipedia.org/wiki/Texas_Senate,_District_3" TargetMode="External"/><Relationship Id="rId209" Type="http://schemas.openxmlformats.org/officeDocument/2006/relationships/hyperlink" Target="https://en.wikipedia.org/wiki/Texas_Senate,_District_6" TargetMode="External"/><Relationship Id="rId208" Type="http://schemas.openxmlformats.org/officeDocument/2006/relationships/hyperlink" Target="https://en.wikipedia.org/wiki/Charles_Schwertner" TargetMode="External"/><Relationship Id="rId207" Type="http://schemas.openxmlformats.org/officeDocument/2006/relationships/hyperlink" Target="https://en.wikipedia.org/wiki/Texas_Senate,_District_5" TargetMode="External"/><Relationship Id="rId202" Type="http://schemas.openxmlformats.org/officeDocument/2006/relationships/hyperlink" Target="https://en.wikipedia.org/wiki/Bob_Hall_(politician)" TargetMode="External"/><Relationship Id="rId201" Type="http://schemas.openxmlformats.org/officeDocument/2006/relationships/hyperlink" Target="https://en.wikipedia.org/wiki/Texas_Senate,_District_2" TargetMode="External"/><Relationship Id="rId200" Type="http://schemas.openxmlformats.org/officeDocument/2006/relationships/hyperlink" Target="https://en.wikipedia.org/wiki/Bryan_Hughes_(politician)" TargetMode="External"/></Relationships>
</file>

<file path=xl/worksheets/_rels/sheet45.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en.wikipedia.org/wiki/Jefferson_Moss" TargetMode="External"/><Relationship Id="rId3" Type="http://schemas.openxmlformats.org/officeDocument/2006/relationships/hyperlink" Target="https://en.wikipedia.org/w/index.php?title=Val_Potter&amp;action=edit&amp;redlink=1" TargetMode="External"/><Relationship Id="rId4" Type="http://schemas.openxmlformats.org/officeDocument/2006/relationships/hyperlink" Target="https://en.wikipedia.org/w/index.php?title=Cory_Maloy&amp;action=edit&amp;redlink=1" TargetMode="External"/><Relationship Id="rId9" Type="http://schemas.openxmlformats.org/officeDocument/2006/relationships/hyperlink" Target="https://en.wikipedia.org/wiki/Brad_Wilson_(politician)" TargetMode="External"/><Relationship Id="rId5" Type="http://schemas.openxmlformats.org/officeDocument/2006/relationships/hyperlink" Target="https://en.wikipedia.org/w/index.php?title=Kelly_Miles&amp;action=edit&amp;redlink=1" TargetMode="External"/><Relationship Id="rId6" Type="http://schemas.openxmlformats.org/officeDocument/2006/relationships/hyperlink" Target="https://en.wikipedia.org/wiki/Mike_Schultz_(politician)" TargetMode="External"/><Relationship Id="rId7" Type="http://schemas.openxmlformats.org/officeDocument/2006/relationships/hyperlink" Target="https://en.wikipedia.org/wiki/Paul_Ray" TargetMode="External"/><Relationship Id="rId8" Type="http://schemas.openxmlformats.org/officeDocument/2006/relationships/hyperlink" Target="https://en.wikipedia.org/w/index.php?title=Karianne_Lisonbee&amp;action=edit&amp;redlink=1" TargetMode="External"/><Relationship Id="rId40" Type="http://schemas.openxmlformats.org/officeDocument/2006/relationships/hyperlink" Target="https://en.wikipedia.org/wiki/Scott_Chew" TargetMode="External"/><Relationship Id="rId42" Type="http://schemas.openxmlformats.org/officeDocument/2006/relationships/hyperlink" Target="https://en.wikipedia.org/wiki/Derrin_Owens" TargetMode="External"/><Relationship Id="rId41" Type="http://schemas.openxmlformats.org/officeDocument/2006/relationships/hyperlink" Target="https://en.wikipedia.org/wiki/Kay_Christofferson" TargetMode="External"/><Relationship Id="rId44" Type="http://schemas.openxmlformats.org/officeDocument/2006/relationships/hyperlink" Target="https://en.wikipedia.org/wiki/Brad_Daw" TargetMode="External"/><Relationship Id="rId43" Type="http://schemas.openxmlformats.org/officeDocument/2006/relationships/hyperlink" Target="https://en.wikipedia.org/wiki/Val_Peterson_(Utah_politician)" TargetMode="External"/><Relationship Id="rId46" Type="http://schemas.openxmlformats.org/officeDocument/2006/relationships/hyperlink" Target="https://en.wikipedia.org/wiki/Norm_Thurston" TargetMode="External"/><Relationship Id="rId45" Type="http://schemas.openxmlformats.org/officeDocument/2006/relationships/hyperlink" Target="https://en.wikipedia.org/wiki/Keith_Grover" TargetMode="External"/><Relationship Id="rId48" Type="http://schemas.openxmlformats.org/officeDocument/2006/relationships/hyperlink" Target="https://en.wikipedia.org/wiki/Mike_McKell" TargetMode="External"/><Relationship Id="rId47" Type="http://schemas.openxmlformats.org/officeDocument/2006/relationships/hyperlink" Target="https://en.wikipedia.org/wiki/Francis_Gibson_(politician)" TargetMode="External"/><Relationship Id="rId49" Type="http://schemas.openxmlformats.org/officeDocument/2006/relationships/hyperlink" Target="https://en.wikipedia.org/wiki/Marc_Roberts_(politician)" TargetMode="External"/><Relationship Id="rId31" Type="http://schemas.openxmlformats.org/officeDocument/2006/relationships/hyperlink" Target="https://en.wikipedia.org/wiki/Steve_Eliason" TargetMode="External"/><Relationship Id="rId30" Type="http://schemas.openxmlformats.org/officeDocument/2006/relationships/hyperlink" Target="https://en.wikipedia.org/w/index.php?title=Cheryl_Acton&amp;action=edit&amp;redlink=1" TargetMode="External"/><Relationship Id="rId33" Type="http://schemas.openxmlformats.org/officeDocument/2006/relationships/hyperlink" Target="https://en.wikipedia.org/wiki/Ken_Ivory" TargetMode="External"/><Relationship Id="rId32" Type="http://schemas.openxmlformats.org/officeDocument/2006/relationships/hyperlink" Target="https://en.wikipedia.org/wiki/Marie_Poulson" TargetMode="External"/><Relationship Id="rId35" Type="http://schemas.openxmlformats.org/officeDocument/2006/relationships/hyperlink" Target="https://en.wikipedia.org/wiki/Robert_Spendlove" TargetMode="External"/><Relationship Id="rId34" Type="http://schemas.openxmlformats.org/officeDocument/2006/relationships/hyperlink" Target="https://en.wikipedia.org/wiki/Keven_Stratton" TargetMode="External"/><Relationship Id="rId37" Type="http://schemas.openxmlformats.org/officeDocument/2006/relationships/hyperlink" Target="https://en.wikipedia.org/wiki/John_Knotwell" TargetMode="External"/><Relationship Id="rId36" Type="http://schemas.openxmlformats.org/officeDocument/2006/relationships/hyperlink" Target="https://en.wikipedia.org/w/index.php?title=Susan_Pulsipher&amp;action=edit&amp;redlink=1" TargetMode="External"/><Relationship Id="rId39" Type="http://schemas.openxmlformats.org/officeDocument/2006/relationships/hyperlink" Target="https://en.wikipedia.org/w/index.php?title=Tim_Quinn_(American_politician)&amp;action=edit&amp;redlink=1" TargetMode="External"/><Relationship Id="rId38" Type="http://schemas.openxmlformats.org/officeDocument/2006/relationships/hyperlink" Target="https://en.wikipedia.org/w/index.php?title=Logan_Wilde&amp;action=edit&amp;redlink=1" TargetMode="External"/><Relationship Id="rId20" Type="http://schemas.openxmlformats.org/officeDocument/2006/relationships/hyperlink" Target="https://en.wikipedia.org/wiki/Michael_K._Winder" TargetMode="External"/><Relationship Id="rId22" Type="http://schemas.openxmlformats.org/officeDocument/2006/relationships/hyperlink" Target="https://en.wikipedia.org/wiki/Craig_Hall_(politician)" TargetMode="External"/><Relationship Id="rId21" Type="http://schemas.openxmlformats.org/officeDocument/2006/relationships/hyperlink" Target="https://en.wikipedia.org/w/index.php?title=Elizabeth_Weight&amp;action=edit&amp;redlink=1" TargetMode="External"/><Relationship Id="rId24" Type="http://schemas.openxmlformats.org/officeDocument/2006/relationships/hyperlink" Target="https://en.wikipedia.org/wiki/Mark_A._Wheatley" TargetMode="External"/><Relationship Id="rId23" Type="http://schemas.openxmlformats.org/officeDocument/2006/relationships/hyperlink" Target="https://en.wikipedia.org/w/index.php?title=Karen_Kwan_(politician)&amp;action=edit&amp;redlink=1" TargetMode="External"/><Relationship Id="rId26" Type="http://schemas.openxmlformats.org/officeDocument/2006/relationships/hyperlink" Target="https://en.wikipedia.org/wiki/Carol_Spackman_Moss" TargetMode="External"/><Relationship Id="rId25" Type="http://schemas.openxmlformats.org/officeDocument/2006/relationships/hyperlink" Target="https://en.wikipedia.org/wiki/Patrice_M._Arent" TargetMode="External"/><Relationship Id="rId28" Type="http://schemas.openxmlformats.org/officeDocument/2006/relationships/hyperlink" Target="https://en.wikipedia.org/wiki/James_Dunnigan_(politician)" TargetMode="External"/><Relationship Id="rId27" Type="http://schemas.openxmlformats.org/officeDocument/2006/relationships/hyperlink" Target="https://en.wikipedia.org/wiki/Eric_Hutchings" TargetMode="External"/><Relationship Id="rId29" Type="http://schemas.openxmlformats.org/officeDocument/2006/relationships/hyperlink" Target="https://en.wikipedia.org/wiki/Kim_Coleman" TargetMode="External"/><Relationship Id="rId11" Type="http://schemas.openxmlformats.org/officeDocument/2006/relationships/hyperlink" Target="https://en.wikipedia.org/wiki/Timothy_Hawkes_(politician)" TargetMode="External"/><Relationship Id="rId10" Type="http://schemas.openxmlformats.org/officeDocument/2006/relationships/hyperlink" Target="https://en.wikipedia.org/wiki/Stewart_Barlow" TargetMode="External"/><Relationship Id="rId13" Type="http://schemas.openxmlformats.org/officeDocument/2006/relationships/hyperlink" Target="https://en.wikipedia.org/wiki/Douglas_Sagers" TargetMode="External"/><Relationship Id="rId12" Type="http://schemas.openxmlformats.org/officeDocument/2006/relationships/hyperlink" Target="https://en.wikipedia.org/wiki/Raymond_Ward" TargetMode="External"/><Relationship Id="rId15" Type="http://schemas.openxmlformats.org/officeDocument/2006/relationships/hyperlink" Target="https://en.wikipedia.org/wiki/Sandra_Hollins" TargetMode="External"/><Relationship Id="rId14" Type="http://schemas.openxmlformats.org/officeDocument/2006/relationships/hyperlink" Target="https://en.wikipedia.org/wiki/Susan_Duckworth" TargetMode="External"/><Relationship Id="rId17" Type="http://schemas.openxmlformats.org/officeDocument/2006/relationships/hyperlink" Target="https://en.wikipedia.org/wiki/Angela_Romero" TargetMode="External"/><Relationship Id="rId16" Type="http://schemas.openxmlformats.org/officeDocument/2006/relationships/hyperlink" Target="https://en.wikipedia.org/wiki/Joel_Briscoe" TargetMode="External"/><Relationship Id="rId19" Type="http://schemas.openxmlformats.org/officeDocument/2006/relationships/hyperlink" Target="https://en.wikipedia.org/wiki/Lee_Perry_(politician)" TargetMode="External"/><Relationship Id="rId18" Type="http://schemas.openxmlformats.org/officeDocument/2006/relationships/hyperlink" Target="https://en.wikipedia.org/wiki/Brian_King_(politician)" TargetMode="External"/><Relationship Id="rId84" Type="http://schemas.openxmlformats.org/officeDocument/2006/relationships/hyperlink" Target="https://en.wikipedia.org/wiki/Ralph_Okerlund" TargetMode="External"/><Relationship Id="rId83" Type="http://schemas.openxmlformats.org/officeDocument/2006/relationships/hyperlink" Target="https://en.wikipedia.org/wiki/24th_Utah_Senate_District" TargetMode="External"/><Relationship Id="rId86" Type="http://schemas.openxmlformats.org/officeDocument/2006/relationships/hyperlink" Target="https://en.wikipedia.org/wiki/Lyle_W._Hillyard" TargetMode="External"/><Relationship Id="rId85" Type="http://schemas.openxmlformats.org/officeDocument/2006/relationships/hyperlink" Target="https://en.wikipedia.org/wiki/25th_Utah_Senate_District" TargetMode="External"/><Relationship Id="rId88" Type="http://schemas.openxmlformats.org/officeDocument/2006/relationships/hyperlink" Target="https://en.wikipedia.org/wiki/27th_Utah_Senate_District" TargetMode="External"/><Relationship Id="rId87" Type="http://schemas.openxmlformats.org/officeDocument/2006/relationships/hyperlink" Target="https://en.wikipedia.org/wiki/26th_Utah_Senate_District" TargetMode="External"/><Relationship Id="rId89" Type="http://schemas.openxmlformats.org/officeDocument/2006/relationships/hyperlink" Target="https://en.wikipedia.org/wiki/David_Hinkins" TargetMode="External"/><Relationship Id="rId80" Type="http://schemas.openxmlformats.org/officeDocument/2006/relationships/hyperlink" Target="https://en.wikipedia.org/wiki/22nd_Utah_Senate_District" TargetMode="External"/><Relationship Id="rId82" Type="http://schemas.openxmlformats.org/officeDocument/2006/relationships/hyperlink" Target="https://en.wikipedia.org/wiki/Todd_Weiler" TargetMode="External"/><Relationship Id="rId81" Type="http://schemas.openxmlformats.org/officeDocument/2006/relationships/hyperlink" Target="https://en.wikipedia.org/wiki/23rd_Utah_Senate_District" TargetMode="External"/><Relationship Id="rId73" Type="http://schemas.openxmlformats.org/officeDocument/2006/relationships/hyperlink" Target="https://en.wikipedia.org/wiki/16th_Utah_Senate_District" TargetMode="External"/><Relationship Id="rId72" Type="http://schemas.openxmlformats.org/officeDocument/2006/relationships/hyperlink" Target="https://en.wikipedia.org/wiki/Margaret_Dayton" TargetMode="External"/><Relationship Id="rId75" Type="http://schemas.openxmlformats.org/officeDocument/2006/relationships/hyperlink" Target="https://en.wikipedia.org/wiki/19th_Utah_Senate_District" TargetMode="External"/><Relationship Id="rId74" Type="http://schemas.openxmlformats.org/officeDocument/2006/relationships/hyperlink" Target="https://en.wikipedia.org/wiki/Curt_Bramble" TargetMode="External"/><Relationship Id="rId77" Type="http://schemas.openxmlformats.org/officeDocument/2006/relationships/hyperlink" Target="https://en.wikipedia.org/wiki/20th_Utah_Senate_District" TargetMode="External"/><Relationship Id="rId76" Type="http://schemas.openxmlformats.org/officeDocument/2006/relationships/hyperlink" Target="https://en.wikipedia.org/wiki/Allen_M._Christensen" TargetMode="External"/><Relationship Id="rId79" Type="http://schemas.openxmlformats.org/officeDocument/2006/relationships/hyperlink" Target="https://en.wikipedia.org/wiki/Jerry_Stevenson_(politician)" TargetMode="External"/><Relationship Id="rId78" Type="http://schemas.openxmlformats.org/officeDocument/2006/relationships/hyperlink" Target="https://en.wikipedia.org/wiki/21st_Utah_Senate_District" TargetMode="External"/><Relationship Id="rId71" Type="http://schemas.openxmlformats.org/officeDocument/2006/relationships/hyperlink" Target="https://en.wikipedia.org/wiki/15th_Utah_Senate_District" TargetMode="External"/><Relationship Id="rId70" Type="http://schemas.openxmlformats.org/officeDocument/2006/relationships/hyperlink" Target="https://en.wikipedia.org/wiki/Daniel_Hemmert" TargetMode="External"/><Relationship Id="rId62" Type="http://schemas.openxmlformats.org/officeDocument/2006/relationships/hyperlink" Target="https://en.wikipedia.org/wiki/5th_Utah_Senate_District" TargetMode="External"/><Relationship Id="rId61" Type="http://schemas.openxmlformats.org/officeDocument/2006/relationships/hyperlink" Target="https://en.wikipedia.org/wiki/Jani_Iwamoto" TargetMode="External"/><Relationship Id="rId64" Type="http://schemas.openxmlformats.org/officeDocument/2006/relationships/hyperlink" Target="https://en.wikipedia.org/wiki/Wayne_Harper" TargetMode="External"/><Relationship Id="rId63" Type="http://schemas.openxmlformats.org/officeDocument/2006/relationships/hyperlink" Target="https://en.wikipedia.org/wiki/Karen_Mayne" TargetMode="External"/><Relationship Id="rId66" Type="http://schemas.openxmlformats.org/officeDocument/2006/relationships/hyperlink" Target="https://en.wikipedia.org/wiki/Lincoln_Fillmore" TargetMode="External"/><Relationship Id="rId65" Type="http://schemas.openxmlformats.org/officeDocument/2006/relationships/hyperlink" Target="https://en.wikipedia.org/wiki/Deidre_Henderson" TargetMode="External"/><Relationship Id="rId68" Type="http://schemas.openxmlformats.org/officeDocument/2006/relationships/hyperlink" Target="https://en.wikipedia.org/wiki/Daniel_Thatcher" TargetMode="External"/><Relationship Id="rId67" Type="http://schemas.openxmlformats.org/officeDocument/2006/relationships/hyperlink" Target="https://en.wikipedia.org/wiki/12th_Utah_Senate_District" TargetMode="External"/><Relationship Id="rId60" Type="http://schemas.openxmlformats.org/officeDocument/2006/relationships/hyperlink" Target="https://en.wikipedia.org/wiki/4th_Utah_Senate_District" TargetMode="External"/><Relationship Id="rId69" Type="http://schemas.openxmlformats.org/officeDocument/2006/relationships/hyperlink" Target="https://en.wikipedia.org/wiki/Jake_Anderegg" TargetMode="External"/><Relationship Id="rId51" Type="http://schemas.openxmlformats.org/officeDocument/2006/relationships/hyperlink" Target="https://en.wikipedia.org/w/index.php?title=Christine_F._Watkins&amp;action=edit&amp;redlink=1" TargetMode="External"/><Relationship Id="rId50" Type="http://schemas.openxmlformats.org/officeDocument/2006/relationships/hyperlink" Target="https://en.wikipedia.org/wiki/Merrill_Nelson" TargetMode="External"/><Relationship Id="rId53" Type="http://schemas.openxmlformats.org/officeDocument/2006/relationships/hyperlink" Target="https://en.wikipedia.org/wiki/Bradley_Last" TargetMode="External"/><Relationship Id="rId52" Type="http://schemas.openxmlformats.org/officeDocument/2006/relationships/hyperlink" Target="https://en.wikipedia.org/w/index.php?title=Carl_Albrecht&amp;action=edit&amp;redlink=1" TargetMode="External"/><Relationship Id="rId55" Type="http://schemas.openxmlformats.org/officeDocument/2006/relationships/hyperlink" Target="https://en.wikipedia.org/wiki/1st_Utah_Senate_District" TargetMode="External"/><Relationship Id="rId54" Type="http://schemas.openxmlformats.org/officeDocument/2006/relationships/hyperlink" Target="https://en.wikipedia.org/w/index.php?title=Walt_Brooks&amp;action=edit&amp;redlink=1" TargetMode="External"/><Relationship Id="rId57" Type="http://schemas.openxmlformats.org/officeDocument/2006/relationships/hyperlink" Target="https://en.wikipedia.org/wiki/2nd_Utah_Senate_District" TargetMode="External"/><Relationship Id="rId56" Type="http://schemas.openxmlformats.org/officeDocument/2006/relationships/hyperlink" Target="https://en.wikipedia.org/wiki/Luz_Escamilla" TargetMode="External"/><Relationship Id="rId59" Type="http://schemas.openxmlformats.org/officeDocument/2006/relationships/hyperlink" Target="https://en.wikipedia.org/wiki/Gene_Davis_(politician)" TargetMode="External"/><Relationship Id="rId58" Type="http://schemas.openxmlformats.org/officeDocument/2006/relationships/hyperlink" Target="https://en.wikipedia.org/wiki/3rd_Utah_Senate_District" TargetMode="External"/><Relationship Id="rId95" Type="http://schemas.openxmlformats.org/officeDocument/2006/relationships/vmlDrawing" Target="../drawings/vmlDrawing7.vml"/><Relationship Id="rId94" Type="http://schemas.openxmlformats.org/officeDocument/2006/relationships/drawing" Target="../drawings/drawing45.xml"/><Relationship Id="rId91" Type="http://schemas.openxmlformats.org/officeDocument/2006/relationships/hyperlink" Target="https://en.wikipedia.org/wiki/Evan_Vickers" TargetMode="External"/><Relationship Id="rId90" Type="http://schemas.openxmlformats.org/officeDocument/2006/relationships/hyperlink" Target="https://en.wikipedia.org/wiki/28th_Utah_Senate_District" TargetMode="External"/><Relationship Id="rId93" Type="http://schemas.openxmlformats.org/officeDocument/2006/relationships/hyperlink" Target="https://en.wikipedia.org/wiki/Don_Ipson" TargetMode="External"/><Relationship Id="rId92" Type="http://schemas.openxmlformats.org/officeDocument/2006/relationships/hyperlink" Target="https://en.wikipedia.org/wiki/29th_Utah_Senate_District" TargetMode="External"/></Relationships>
</file>

<file path=xl/worksheets/_rels/sheet46.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hyperlink" Target="https://en.wikipedia.org/wiki/Amy_Sheldon" TargetMode="External"/><Relationship Id="rId3" Type="http://schemas.openxmlformats.org/officeDocument/2006/relationships/hyperlink" Target="https://en.wikipedia.org/wiki/Harvey_Smith_(American_politician)" TargetMode="External"/><Relationship Id="rId4" Type="http://schemas.openxmlformats.org/officeDocument/2006/relationships/hyperlink" Target="https://en.wikipedia.org/wiki/Mary_A._Morrissey" TargetMode="External"/><Relationship Id="rId9" Type="http://schemas.openxmlformats.org/officeDocument/2006/relationships/hyperlink" Target="https://en.wikipedia.org/wiki/Brian_K._Savage" TargetMode="External"/><Relationship Id="rId5" Type="http://schemas.openxmlformats.org/officeDocument/2006/relationships/hyperlink" Target="https://en.wikipedia.org/wiki/William_J._Lippert" TargetMode="External"/><Relationship Id="rId6" Type="http://schemas.openxmlformats.org/officeDocument/2006/relationships/hyperlink" Target="https://en.wikipedia.org/wiki/Johannah_Leddy_Donovan" TargetMode="External"/><Relationship Id="rId7" Type="http://schemas.openxmlformats.org/officeDocument/2006/relationships/hyperlink" Target="https://en.wikipedia.org/wiki/Carl_Rosenquist" TargetMode="External"/><Relationship Id="rId8" Type="http://schemas.openxmlformats.org/officeDocument/2006/relationships/hyperlink" Target="https://en.wikipedia.org/wiki/Eileen_Dickinson" TargetMode="External"/><Relationship Id="rId40" Type="http://schemas.openxmlformats.org/officeDocument/2006/relationships/hyperlink" Target="https://en.wikipedia.org/wiki/Ann_Cummings" TargetMode="External"/><Relationship Id="rId42" Type="http://schemas.openxmlformats.org/officeDocument/2006/relationships/hyperlink" Target="https://en.wikipedia.org/wiki/Windham_Vermont_Senate_District,_2002-2012" TargetMode="External"/><Relationship Id="rId41" Type="http://schemas.openxmlformats.org/officeDocument/2006/relationships/hyperlink" Target="https://en.wikipedia.org/wiki/Anthony_Pollina" TargetMode="External"/><Relationship Id="rId44" Type="http://schemas.openxmlformats.org/officeDocument/2006/relationships/hyperlink" Target="https://en.wikipedia.org/wiki/Jeanette_White" TargetMode="External"/><Relationship Id="rId43" Type="http://schemas.openxmlformats.org/officeDocument/2006/relationships/hyperlink" Target="https://en.wikipedia.org/wiki/Becca_Balint" TargetMode="External"/><Relationship Id="rId46" Type="http://schemas.openxmlformats.org/officeDocument/2006/relationships/drawing" Target="../drawings/drawing46.xml"/><Relationship Id="rId45" Type="http://schemas.openxmlformats.org/officeDocument/2006/relationships/hyperlink" Target="https://en.wikipedia.org/wiki/Windsor_Vermont_Senate_District,_2002-2012" TargetMode="External"/><Relationship Id="rId47" Type="http://schemas.openxmlformats.org/officeDocument/2006/relationships/vmlDrawing" Target="../drawings/vmlDrawing8.vml"/><Relationship Id="rId31" Type="http://schemas.openxmlformats.org/officeDocument/2006/relationships/hyperlink" Target="https://en.wikipedia.org/wiki/Randy_Brock" TargetMode="External"/><Relationship Id="rId30" Type="http://schemas.openxmlformats.org/officeDocument/2006/relationships/hyperlink" Target="https://en.wikipedia.org/wiki/Franklin_Vermont_Senate_District,_2002-2012" TargetMode="External"/><Relationship Id="rId33" Type="http://schemas.openxmlformats.org/officeDocument/2006/relationships/hyperlink" Target="https://en.wikipedia.org/wiki/Richard_Mazza" TargetMode="External"/><Relationship Id="rId32" Type="http://schemas.openxmlformats.org/officeDocument/2006/relationships/hyperlink" Target="https://en.wikipedia.org/wiki/Grand_Isle_Vermont_Senate_District,_2002-2012" TargetMode="External"/><Relationship Id="rId35" Type="http://schemas.openxmlformats.org/officeDocument/2006/relationships/hyperlink" Target="https://en.wikipedia.org/wiki/Orange_Vermont_Senate_District,_2002-2012" TargetMode="External"/><Relationship Id="rId34" Type="http://schemas.openxmlformats.org/officeDocument/2006/relationships/hyperlink" Target="https://en.wikipedia.org/wiki/Lamoille_Vermont_Senate_District,_2002-2012" TargetMode="External"/><Relationship Id="rId37" Type="http://schemas.openxmlformats.org/officeDocument/2006/relationships/hyperlink" Target="https://en.wikipedia.org/wiki/Rutland_Vermont_Senate_District,_2002-2012" TargetMode="External"/><Relationship Id="rId36" Type="http://schemas.openxmlformats.org/officeDocument/2006/relationships/hyperlink" Target="https://en.wikipedia.org/wiki/Mark_MacDonald_(Vermont_politician)" TargetMode="External"/><Relationship Id="rId39" Type="http://schemas.openxmlformats.org/officeDocument/2006/relationships/hyperlink" Target="https://en.wikipedia.org/wiki/Washington_Vermont_Senate_District,_2002-2012" TargetMode="External"/><Relationship Id="rId38" Type="http://schemas.openxmlformats.org/officeDocument/2006/relationships/hyperlink" Target="https://en.wikipedia.org/wiki/Margaret_Flory" TargetMode="External"/><Relationship Id="rId20" Type="http://schemas.openxmlformats.org/officeDocument/2006/relationships/hyperlink" Target="https://en.wikipedia.org/wiki/M._Jane_Kitchel" TargetMode="External"/><Relationship Id="rId22" Type="http://schemas.openxmlformats.org/officeDocument/2006/relationships/hyperlink" Target="https://en.wikipedia.org/wiki/Tim_Ashe" TargetMode="External"/><Relationship Id="rId21" Type="http://schemas.openxmlformats.org/officeDocument/2006/relationships/hyperlink" Target="https://en.wikipedia.org/wiki/Chittenden_Vermont_Senate_District,_2002%E2%80%932012" TargetMode="External"/><Relationship Id="rId24" Type="http://schemas.openxmlformats.org/officeDocument/2006/relationships/hyperlink" Target="https://en.wikipedia.org/wiki/Virginia_V._Lyons" TargetMode="External"/><Relationship Id="rId23" Type="http://schemas.openxmlformats.org/officeDocument/2006/relationships/hyperlink" Target="https://en.wikipedia.org/wiki/Philip_Baruth" TargetMode="External"/><Relationship Id="rId26" Type="http://schemas.openxmlformats.org/officeDocument/2006/relationships/hyperlink" Target="https://en.wikipedia.org/wiki/Michael_Sirotkin" TargetMode="External"/><Relationship Id="rId25" Type="http://schemas.openxmlformats.org/officeDocument/2006/relationships/hyperlink" Target="https://en.wikipedia.org/wiki/Christopher_Pearson_(Vermont_politician)" TargetMode="External"/><Relationship Id="rId28" Type="http://schemas.openxmlformats.org/officeDocument/2006/relationships/hyperlink" Target="https://en.wikipedia.org/wiki/John_S._Rodgers" TargetMode="External"/><Relationship Id="rId27" Type="http://schemas.openxmlformats.org/officeDocument/2006/relationships/hyperlink" Target="https://en.wikipedia.org/wiki/Essex-Orleans_Vermont_Senate_District,_2002-2012" TargetMode="External"/><Relationship Id="rId29" Type="http://schemas.openxmlformats.org/officeDocument/2006/relationships/hyperlink" Target="https://en.wikipedia.org/wiki/Robert_Starr" TargetMode="External"/><Relationship Id="rId11" Type="http://schemas.openxmlformats.org/officeDocument/2006/relationships/hyperlink" Target="https://en.wikipedia.org/wiki/Mary_Hooper" TargetMode="External"/><Relationship Id="rId10" Type="http://schemas.openxmlformats.org/officeDocument/2006/relationships/hyperlink" Target="https://en.wikipedia.org/wiki/Anne_Donahue" TargetMode="External"/><Relationship Id="rId13" Type="http://schemas.openxmlformats.org/officeDocument/2006/relationships/hyperlink" Target="https://en.wikipedia.org/wiki/Sandy_Haas" TargetMode="External"/><Relationship Id="rId12" Type="http://schemas.openxmlformats.org/officeDocument/2006/relationships/hyperlink" Target="https://en.wikipedia.org/wiki/Thomas_Bock_(politician)" TargetMode="External"/><Relationship Id="rId15" Type="http://schemas.openxmlformats.org/officeDocument/2006/relationships/hyperlink" Target="https://en.wikipedia.org/wiki/Bennington_Vermont_Senate_District,_2002-2012" TargetMode="External"/><Relationship Id="rId14" Type="http://schemas.openxmlformats.org/officeDocument/2006/relationships/hyperlink" Target="https://en.wikipedia.org/wiki/Addison_Vermont_Senate_District,_2002-2012" TargetMode="External"/><Relationship Id="rId17" Type="http://schemas.openxmlformats.org/officeDocument/2006/relationships/hyperlink" Target="https://en.wikipedia.org/wiki/Richard_W._Sears" TargetMode="External"/><Relationship Id="rId16" Type="http://schemas.openxmlformats.org/officeDocument/2006/relationships/hyperlink" Target="https://en.wikipedia.org/wiki/Brian_Campion_(politician)" TargetMode="External"/><Relationship Id="rId19" Type="http://schemas.openxmlformats.org/officeDocument/2006/relationships/hyperlink" Target="https://en.wikipedia.org/wiki/Joe_Benning" TargetMode="External"/><Relationship Id="rId18" Type="http://schemas.openxmlformats.org/officeDocument/2006/relationships/hyperlink" Target="https://en.wikipedia.org/wiki/Caledonia_Vermont_Senate_District,_2002-2012" TargetMode="External"/></Relationships>
</file>

<file path=xl/worksheets/_rels/sheet47.xml.rels><?xml version="1.0" encoding="UTF-8" standalone="yes"?><Relationships xmlns="http://schemas.openxmlformats.org/package/2006/relationships"><Relationship Id="rId190" Type="http://schemas.openxmlformats.org/officeDocument/2006/relationships/hyperlink" Target="https://en.wikipedia.org/wiki/Chris_Peace" TargetMode="External"/><Relationship Id="rId194" Type="http://schemas.openxmlformats.org/officeDocument/2006/relationships/hyperlink" Target="https://en.wikipedia.org/wiki/Margaret_Ransone" TargetMode="External"/><Relationship Id="rId193" Type="http://schemas.openxmlformats.org/officeDocument/2006/relationships/hyperlink" Target="https://en.wikipedia.org/wiki/Virginia%27s_99th_House_of_Delegates_district" TargetMode="External"/><Relationship Id="rId192" Type="http://schemas.openxmlformats.org/officeDocument/2006/relationships/hyperlink" Target="https://en.wikipedia.org/wiki/Keith_Hodges" TargetMode="External"/><Relationship Id="rId191" Type="http://schemas.openxmlformats.org/officeDocument/2006/relationships/hyperlink" Target="https://en.wikipedia.org/wiki/Virginia%27s_98th_House_of_Delegates_district" TargetMode="External"/><Relationship Id="rId187" Type="http://schemas.openxmlformats.org/officeDocument/2006/relationships/hyperlink" Target="https://en.wikipedia.org/wiki/Virginia%27s_96th_House_of_Delegates_district" TargetMode="External"/><Relationship Id="rId186" Type="http://schemas.openxmlformats.org/officeDocument/2006/relationships/hyperlink" Target="https://en.wikipedia.org/wiki/Marcia_Price" TargetMode="External"/><Relationship Id="rId185" Type="http://schemas.openxmlformats.org/officeDocument/2006/relationships/hyperlink" Target="https://en.wikipedia.org/wiki/Virginia%27s_95th_House_of_Delegates_district" TargetMode="External"/><Relationship Id="rId184" Type="http://schemas.openxmlformats.org/officeDocument/2006/relationships/hyperlink" Target="https://en.wikipedia.org/wiki/David_Yancey" TargetMode="External"/><Relationship Id="rId189" Type="http://schemas.openxmlformats.org/officeDocument/2006/relationships/hyperlink" Target="https://en.wikipedia.org/wiki/Virginia%27s_97th_House_of_Delegates_district" TargetMode="External"/><Relationship Id="rId188" Type="http://schemas.openxmlformats.org/officeDocument/2006/relationships/hyperlink" Target="https://en.wikipedia.org/wiki/Brenda_Pogge" TargetMode="External"/><Relationship Id="rId183" Type="http://schemas.openxmlformats.org/officeDocument/2006/relationships/hyperlink" Target="https://en.wikipedia.org/wiki/Virginia%27s_94th_House_of_Delegates_district" TargetMode="External"/><Relationship Id="rId182" Type="http://schemas.openxmlformats.org/officeDocument/2006/relationships/hyperlink" Target="https://en.wikipedia.org/wiki/Michael_P._Mullin" TargetMode="External"/><Relationship Id="rId181" Type="http://schemas.openxmlformats.org/officeDocument/2006/relationships/hyperlink" Target="https://en.wikipedia.org/wiki/Virginia%27s_93rd_House_of_Delegates_district" TargetMode="External"/><Relationship Id="rId180" Type="http://schemas.openxmlformats.org/officeDocument/2006/relationships/hyperlink" Target="https://en.wikipedia.org/wiki/Jeion_Ward" TargetMode="External"/><Relationship Id="rId176" Type="http://schemas.openxmlformats.org/officeDocument/2006/relationships/hyperlink" Target="https://en.wikipedia.org/wiki/Joe_Lindsey" TargetMode="External"/><Relationship Id="rId175" Type="http://schemas.openxmlformats.org/officeDocument/2006/relationships/hyperlink" Target="https://en.wikipedia.org/wiki/Virginia%27s_90th_House_of_Delegates_district" TargetMode="External"/><Relationship Id="rId174" Type="http://schemas.openxmlformats.org/officeDocument/2006/relationships/hyperlink" Target="https://en.wikipedia.org/wiki/Jay_Jones_(politician)" TargetMode="External"/><Relationship Id="rId173" Type="http://schemas.openxmlformats.org/officeDocument/2006/relationships/hyperlink" Target="https://en.wikipedia.org/wiki/Virginia%27s_89th_House_of_Delegates_district" TargetMode="External"/><Relationship Id="rId179" Type="http://schemas.openxmlformats.org/officeDocument/2006/relationships/hyperlink" Target="https://en.wikipedia.org/wiki/Virginia%27s_92nd_House_of_Delegates_district" TargetMode="External"/><Relationship Id="rId178" Type="http://schemas.openxmlformats.org/officeDocument/2006/relationships/hyperlink" Target="https://en.wikipedia.org/wiki/Gordon_Helsel" TargetMode="External"/><Relationship Id="rId177" Type="http://schemas.openxmlformats.org/officeDocument/2006/relationships/hyperlink" Target="https://en.wikipedia.org/wiki/Virginia%27s_91st_House_of_Delegates_district" TargetMode="External"/><Relationship Id="rId198" Type="http://schemas.openxmlformats.org/officeDocument/2006/relationships/hyperlink" Target="https://en.wikipedia.org/wiki/Monty_Mason" TargetMode="External"/><Relationship Id="rId197" Type="http://schemas.openxmlformats.org/officeDocument/2006/relationships/hyperlink" Target="https://en.wikipedia.org/wiki/Virginia%27s_1st_Senate_district" TargetMode="External"/><Relationship Id="rId196" Type="http://schemas.openxmlformats.org/officeDocument/2006/relationships/hyperlink" Target="https://en.wikipedia.org/wiki/Robert_Bloxom,_Jr." TargetMode="External"/><Relationship Id="rId195" Type="http://schemas.openxmlformats.org/officeDocument/2006/relationships/hyperlink" Target="https://en.wikipedia.org/wiki/Virginia%27s_100th_House_of_Delegates_district" TargetMode="External"/><Relationship Id="rId199" Type="http://schemas.openxmlformats.org/officeDocument/2006/relationships/hyperlink" Target="https://en.wikipedia.org/wiki/Virginia%27s_2nd_Senate_district" TargetMode="External"/><Relationship Id="rId150" Type="http://schemas.openxmlformats.org/officeDocument/2006/relationships/hyperlink" Target="https://en.wikipedia.org/wiki/Cliff_Hayes,_Jr." TargetMode="External"/><Relationship Id="rId271" Type="http://schemas.openxmlformats.org/officeDocument/2006/relationships/hyperlink" Target="https://en.wikipedia.org/wiki/Virginia%27s_38th_Senate_district" TargetMode="External"/><Relationship Id="rId270" Type="http://schemas.openxmlformats.org/officeDocument/2006/relationships/hyperlink" Target="https://en.wikipedia.org/wiki/David_W._Marsden" TargetMode="External"/><Relationship Id="rId1" Type="http://schemas.openxmlformats.org/officeDocument/2006/relationships/hyperlink" Target="https://en.wikipedia.org/wiki/Virginia%27s_1st_House_of_Delegates_district" TargetMode="External"/><Relationship Id="rId2" Type="http://schemas.openxmlformats.org/officeDocument/2006/relationships/hyperlink" Target="https://en.wikipedia.org/wiki/Terry_Kilgore" TargetMode="External"/><Relationship Id="rId3" Type="http://schemas.openxmlformats.org/officeDocument/2006/relationships/hyperlink" Target="http://lis.virginia.gov/191/mbr/MBR.HTM" TargetMode="External"/><Relationship Id="rId149" Type="http://schemas.openxmlformats.org/officeDocument/2006/relationships/hyperlink" Target="https://en.wikipedia.org/wiki/Virginia%27s_77th_House_of_Delegates_district" TargetMode="External"/><Relationship Id="rId4" Type="http://schemas.openxmlformats.org/officeDocument/2006/relationships/hyperlink" Target="https://en.wikipedia.org/wiki/Virginia%27s_2nd_House_of_Delegates_district" TargetMode="External"/><Relationship Id="rId148" Type="http://schemas.openxmlformats.org/officeDocument/2006/relationships/hyperlink" Target="https://en.wikipedia.org/wiki/Chris_Jones_(politician)" TargetMode="External"/><Relationship Id="rId269" Type="http://schemas.openxmlformats.org/officeDocument/2006/relationships/hyperlink" Target="https://en.wikipedia.org/wiki/Virginia%27s_37th_Senate_district" TargetMode="External"/><Relationship Id="rId9" Type="http://schemas.openxmlformats.org/officeDocument/2006/relationships/hyperlink" Target="https://en.wikipedia.org/wiki/Todd_Pillion" TargetMode="External"/><Relationship Id="rId143" Type="http://schemas.openxmlformats.org/officeDocument/2006/relationships/hyperlink" Target="https://en.wikipedia.org/wiki/Virginia%27s_74th_House_of_Delegates_district" TargetMode="External"/><Relationship Id="rId264" Type="http://schemas.openxmlformats.org/officeDocument/2006/relationships/hyperlink" Target="https://en.wikipedia.org/wiki/Chap_Petersen" TargetMode="External"/><Relationship Id="rId142" Type="http://schemas.openxmlformats.org/officeDocument/2006/relationships/hyperlink" Target="https://en.wikipedia.org/wiki/Debra_H._Rodman" TargetMode="External"/><Relationship Id="rId263" Type="http://schemas.openxmlformats.org/officeDocument/2006/relationships/hyperlink" Target="https://en.wikipedia.org/wiki/Virginia%27s_34th_Senate_district" TargetMode="External"/><Relationship Id="rId141" Type="http://schemas.openxmlformats.org/officeDocument/2006/relationships/hyperlink" Target="https://en.wikipedia.org/wiki/Virginia%27s_73rd_House_of_Delegates_district" TargetMode="External"/><Relationship Id="rId262" Type="http://schemas.openxmlformats.org/officeDocument/2006/relationships/hyperlink" Target="https://en.wikipedia.org/wiki/Jennifer_Wexton" TargetMode="External"/><Relationship Id="rId140" Type="http://schemas.openxmlformats.org/officeDocument/2006/relationships/hyperlink" Target="https://en.wikipedia.org/wiki/Schuyler_VanValkenburg" TargetMode="External"/><Relationship Id="rId261" Type="http://schemas.openxmlformats.org/officeDocument/2006/relationships/hyperlink" Target="https://en.wikipedia.org/wiki/Virginia%27s_33rd_Senate_district" TargetMode="External"/><Relationship Id="rId5" Type="http://schemas.openxmlformats.org/officeDocument/2006/relationships/hyperlink" Target="https://en.wikipedia.org/wiki/Jennifer_Carroll_Foy" TargetMode="External"/><Relationship Id="rId147" Type="http://schemas.openxmlformats.org/officeDocument/2006/relationships/hyperlink" Target="https://en.wikipedia.org/wiki/Virginia%27s_76th_House_of_Delegates_district" TargetMode="External"/><Relationship Id="rId268" Type="http://schemas.openxmlformats.org/officeDocument/2006/relationships/hyperlink" Target="https://en.wikipedia.org/wiki/Scott_Surovell" TargetMode="External"/><Relationship Id="rId6" Type="http://schemas.openxmlformats.org/officeDocument/2006/relationships/hyperlink" Target="https://en.wikipedia.org/wiki/Virginia%27s_3rd_House_of_Delegates_district" TargetMode="External"/><Relationship Id="rId146" Type="http://schemas.openxmlformats.org/officeDocument/2006/relationships/hyperlink" Target="https://en.wikipedia.org/wiki/Roslyn_Tyler" TargetMode="External"/><Relationship Id="rId267" Type="http://schemas.openxmlformats.org/officeDocument/2006/relationships/hyperlink" Target="https://en.wikipedia.org/wiki/Virginia%27s_36th_Senate_district" TargetMode="External"/><Relationship Id="rId7" Type="http://schemas.openxmlformats.org/officeDocument/2006/relationships/hyperlink" Target="https://en.wikipedia.org/wiki/Will_Morefield" TargetMode="External"/><Relationship Id="rId145" Type="http://schemas.openxmlformats.org/officeDocument/2006/relationships/hyperlink" Target="https://en.wikipedia.org/wiki/Virginia%27s_75th_House_of_Delegates_district" TargetMode="External"/><Relationship Id="rId266" Type="http://schemas.openxmlformats.org/officeDocument/2006/relationships/hyperlink" Target="https://en.wikipedia.org/wiki/Richard_L._Saslaw" TargetMode="External"/><Relationship Id="rId8" Type="http://schemas.openxmlformats.org/officeDocument/2006/relationships/hyperlink" Target="https://en.wikipedia.org/wiki/Virginia%27s_4th_House_of_Delegates_district" TargetMode="External"/><Relationship Id="rId144" Type="http://schemas.openxmlformats.org/officeDocument/2006/relationships/hyperlink" Target="https://en.wikipedia.org/wiki/Lamont_Bagby" TargetMode="External"/><Relationship Id="rId265" Type="http://schemas.openxmlformats.org/officeDocument/2006/relationships/hyperlink" Target="https://en.wikipedia.org/wiki/Virginia%27s_35th_Senate_district" TargetMode="External"/><Relationship Id="rId260" Type="http://schemas.openxmlformats.org/officeDocument/2006/relationships/hyperlink" Target="https://en.wikipedia.org/wiki/Janet_Howell" TargetMode="External"/><Relationship Id="rId139" Type="http://schemas.openxmlformats.org/officeDocument/2006/relationships/hyperlink" Target="https://en.wikipedia.org/wiki/Virginia%27s_72nd_House_of_Delegates_district" TargetMode="External"/><Relationship Id="rId138" Type="http://schemas.openxmlformats.org/officeDocument/2006/relationships/hyperlink" Target="https://en.wikipedia.org/wiki/Jeff_Bourne_(politician)" TargetMode="External"/><Relationship Id="rId259" Type="http://schemas.openxmlformats.org/officeDocument/2006/relationships/hyperlink" Target="https://en.wikipedia.org/wiki/Virginia%27s_32nd_Senate_district" TargetMode="External"/><Relationship Id="rId137" Type="http://schemas.openxmlformats.org/officeDocument/2006/relationships/hyperlink" Target="https://en.wikipedia.org/wiki/Virginia%27s_71st_House_of_Delegates_district" TargetMode="External"/><Relationship Id="rId258" Type="http://schemas.openxmlformats.org/officeDocument/2006/relationships/hyperlink" Target="https://en.wikipedia.org/wiki/Barbara_Favola" TargetMode="External"/><Relationship Id="rId132" Type="http://schemas.openxmlformats.org/officeDocument/2006/relationships/hyperlink" Target="https://en.wikipedia.org/wiki/Dawn_M._Adams" TargetMode="External"/><Relationship Id="rId253" Type="http://schemas.openxmlformats.org/officeDocument/2006/relationships/hyperlink" Target="https://en.wikipedia.org/wiki/Virginia%27s_29th_Senate_district" TargetMode="External"/><Relationship Id="rId131" Type="http://schemas.openxmlformats.org/officeDocument/2006/relationships/hyperlink" Target="https://en.wikipedia.org/wiki/Virginia%27s_68th_House_of_Delegates_district" TargetMode="External"/><Relationship Id="rId252" Type="http://schemas.openxmlformats.org/officeDocument/2006/relationships/hyperlink" Target="https://en.wikipedia.org/wiki/Richard_Stuart" TargetMode="External"/><Relationship Id="rId130" Type="http://schemas.openxmlformats.org/officeDocument/2006/relationships/hyperlink" Target="https://en.wikipedia.org/wiki/Karrie_Delaney" TargetMode="External"/><Relationship Id="rId251" Type="http://schemas.openxmlformats.org/officeDocument/2006/relationships/hyperlink" Target="https://en.wikipedia.org/wiki/Virginia%27s_28th_Senate_district" TargetMode="External"/><Relationship Id="rId250" Type="http://schemas.openxmlformats.org/officeDocument/2006/relationships/hyperlink" Target="https://en.wikipedia.org/wiki/Jill_Vogel" TargetMode="External"/><Relationship Id="rId136" Type="http://schemas.openxmlformats.org/officeDocument/2006/relationships/hyperlink" Target="https://en.wikipedia.org/wiki/Delores_McQuinn" TargetMode="External"/><Relationship Id="rId257" Type="http://schemas.openxmlformats.org/officeDocument/2006/relationships/hyperlink" Target="https://en.wikipedia.org/wiki/Virginia%27s_31st_Senate_district" TargetMode="External"/><Relationship Id="rId135" Type="http://schemas.openxmlformats.org/officeDocument/2006/relationships/hyperlink" Target="https://en.wikipedia.org/wiki/Virginia%27s_70th_House_of_Delegates_district" TargetMode="External"/><Relationship Id="rId256" Type="http://schemas.openxmlformats.org/officeDocument/2006/relationships/hyperlink" Target="https://en.wikipedia.org/wiki/Adam_Ebbin" TargetMode="External"/><Relationship Id="rId134" Type="http://schemas.openxmlformats.org/officeDocument/2006/relationships/hyperlink" Target="https://en.wikipedia.org/wiki/Betsy_B._Carr" TargetMode="External"/><Relationship Id="rId255" Type="http://schemas.openxmlformats.org/officeDocument/2006/relationships/hyperlink" Target="https://en.wikipedia.org/wiki/Virginia%27s_30th_Senate_district" TargetMode="External"/><Relationship Id="rId133" Type="http://schemas.openxmlformats.org/officeDocument/2006/relationships/hyperlink" Target="https://en.wikipedia.org/wiki/Virginia%27s_69th_House_of_Delegates_district" TargetMode="External"/><Relationship Id="rId254" Type="http://schemas.openxmlformats.org/officeDocument/2006/relationships/hyperlink" Target="https://en.wikipedia.org/wiki/Jeremy_McPike" TargetMode="External"/><Relationship Id="rId172" Type="http://schemas.openxmlformats.org/officeDocument/2006/relationships/hyperlink" Target="https://en.wikipedia.org/wiki/Mark_Cole_(politician)" TargetMode="External"/><Relationship Id="rId171" Type="http://schemas.openxmlformats.org/officeDocument/2006/relationships/hyperlink" Target="https://en.wikipedia.org/wiki/Virginia%27s_88th_House_of_Delegates_district" TargetMode="External"/><Relationship Id="rId170" Type="http://schemas.openxmlformats.org/officeDocument/2006/relationships/hyperlink" Target="https://en.wikipedia.org/wiki/John_Bell_(Virginia_politician)" TargetMode="External"/><Relationship Id="rId165" Type="http://schemas.openxmlformats.org/officeDocument/2006/relationships/hyperlink" Target="https://en.wikipedia.org/wiki/Virginia%27s_85th_House_of_Delegates_district" TargetMode="External"/><Relationship Id="rId164" Type="http://schemas.openxmlformats.org/officeDocument/2006/relationships/hyperlink" Target="https://en.wikipedia.org/wiki/Glenn_Davis_(politician)" TargetMode="External"/><Relationship Id="rId163" Type="http://schemas.openxmlformats.org/officeDocument/2006/relationships/hyperlink" Target="https://en.wikipedia.org/wiki/Virginia%27s_84th_House_of_Delegates_district" TargetMode="External"/><Relationship Id="rId162" Type="http://schemas.openxmlformats.org/officeDocument/2006/relationships/hyperlink" Target="https://en.wikipedia.org/wiki/Chris_Stolle" TargetMode="External"/><Relationship Id="rId169" Type="http://schemas.openxmlformats.org/officeDocument/2006/relationships/hyperlink" Target="https://en.wikipedia.org/wiki/Virginia%27s_87th_House_of_Delegates_district" TargetMode="External"/><Relationship Id="rId168" Type="http://schemas.openxmlformats.org/officeDocument/2006/relationships/hyperlink" Target="https://en.wikipedia.org/wiki/Jennifer_Boysko" TargetMode="External"/><Relationship Id="rId167" Type="http://schemas.openxmlformats.org/officeDocument/2006/relationships/hyperlink" Target="https://en.wikipedia.org/wiki/Virginia%27s_86th_House_of_Delegates_district" TargetMode="External"/><Relationship Id="rId166" Type="http://schemas.openxmlformats.org/officeDocument/2006/relationships/hyperlink" Target="https://en.wikipedia.org/wiki/Cheryl_Turpin" TargetMode="External"/><Relationship Id="rId161" Type="http://schemas.openxmlformats.org/officeDocument/2006/relationships/hyperlink" Target="https://en.wikipedia.org/wiki/Virginia%27s_83rd_House_of_Delegates_district" TargetMode="External"/><Relationship Id="rId160" Type="http://schemas.openxmlformats.org/officeDocument/2006/relationships/hyperlink" Target="https://en.wikipedia.org/wiki/Jason_Miyares" TargetMode="External"/><Relationship Id="rId159" Type="http://schemas.openxmlformats.org/officeDocument/2006/relationships/hyperlink" Target="https://en.wikipedia.org/wiki/Virginia%27s_82nd_House_of_Delegates_district" TargetMode="External"/><Relationship Id="rId154" Type="http://schemas.openxmlformats.org/officeDocument/2006/relationships/hyperlink" Target="https://en.wikipedia.org/wiki/Steve_Heretick" TargetMode="External"/><Relationship Id="rId275" Type="http://schemas.openxmlformats.org/officeDocument/2006/relationships/hyperlink" Target="https://en.wikipedia.org/wiki/Virginia%27s_40th_Senate_district" TargetMode="External"/><Relationship Id="rId153" Type="http://schemas.openxmlformats.org/officeDocument/2006/relationships/hyperlink" Target="https://en.wikipedia.org/wiki/Virginia%27s_79th_House_of_Delegates_district" TargetMode="External"/><Relationship Id="rId274" Type="http://schemas.openxmlformats.org/officeDocument/2006/relationships/hyperlink" Target="https://en.wikipedia.org/wiki/George_Barker_(Virginia_politician)" TargetMode="External"/><Relationship Id="rId152" Type="http://schemas.openxmlformats.org/officeDocument/2006/relationships/hyperlink" Target="https://en.wikipedia.org/wiki/Jay_Leftwich" TargetMode="External"/><Relationship Id="rId273" Type="http://schemas.openxmlformats.org/officeDocument/2006/relationships/hyperlink" Target="https://en.wikipedia.org/wiki/Virginia%27s_39th_Senate_district" TargetMode="External"/><Relationship Id="rId151" Type="http://schemas.openxmlformats.org/officeDocument/2006/relationships/hyperlink" Target="https://en.wikipedia.org/wiki/Virginia%27s_78th_House_of_Delegates_district" TargetMode="External"/><Relationship Id="rId272" Type="http://schemas.openxmlformats.org/officeDocument/2006/relationships/hyperlink" Target="https://en.wikipedia.org/wiki/Ben_Chafin" TargetMode="External"/><Relationship Id="rId158" Type="http://schemas.openxmlformats.org/officeDocument/2006/relationships/hyperlink" Target="https://en.wikipedia.org/wiki/Barry_Knight_(politician)" TargetMode="External"/><Relationship Id="rId157" Type="http://schemas.openxmlformats.org/officeDocument/2006/relationships/hyperlink" Target="https://en.wikipedia.org/wiki/Virginia%27s_81st_House_of_Delegates_district" TargetMode="External"/><Relationship Id="rId156" Type="http://schemas.openxmlformats.org/officeDocument/2006/relationships/hyperlink" Target="https://en.wikipedia.org/wiki/Matthew_James_(politician)" TargetMode="External"/><Relationship Id="rId155" Type="http://schemas.openxmlformats.org/officeDocument/2006/relationships/hyperlink" Target="https://en.wikipedia.org/wiki/Virginia%27s_80th_House_of_Delegates_district" TargetMode="External"/><Relationship Id="rId276" Type="http://schemas.openxmlformats.org/officeDocument/2006/relationships/drawing" Target="../drawings/drawing47.xml"/><Relationship Id="rId40" Type="http://schemas.openxmlformats.org/officeDocument/2006/relationships/hyperlink" Target="https://en.wikipedia.org/wiki/Virginia%27s_21st_House_of_Delegates_district" TargetMode="External"/><Relationship Id="rId42" Type="http://schemas.openxmlformats.org/officeDocument/2006/relationships/hyperlink" Target="https://en.wikipedia.org/wiki/Virginia%27s_22nd_House_of_Delegates_district" TargetMode="External"/><Relationship Id="rId41" Type="http://schemas.openxmlformats.org/officeDocument/2006/relationships/hyperlink" Target="https://en.wikipedia.org/wiki/Kelly_Fowler" TargetMode="External"/><Relationship Id="rId44" Type="http://schemas.openxmlformats.org/officeDocument/2006/relationships/hyperlink" Target="https://en.wikipedia.org/wiki/Virginia%27s_23rd_House_of_Delegates_district" TargetMode="External"/><Relationship Id="rId43" Type="http://schemas.openxmlformats.org/officeDocument/2006/relationships/hyperlink" Target="https://en.wikipedia.org/wiki/Kathy_Byron" TargetMode="External"/><Relationship Id="rId46" Type="http://schemas.openxmlformats.org/officeDocument/2006/relationships/hyperlink" Target="https://en.wikipedia.org/wiki/Virginia%27s_24th_House_of_Delegates_district" TargetMode="External"/><Relationship Id="rId45" Type="http://schemas.openxmlformats.org/officeDocument/2006/relationships/hyperlink" Target="https://en.wikipedia.org/wiki/T._Scott_Garrett" TargetMode="External"/><Relationship Id="rId48" Type="http://schemas.openxmlformats.org/officeDocument/2006/relationships/hyperlink" Target="https://en.wikipedia.org/wiki/Virginia%27s_25th_House_of_Delegates_district" TargetMode="External"/><Relationship Id="rId47" Type="http://schemas.openxmlformats.org/officeDocument/2006/relationships/hyperlink" Target="https://en.wikipedia.org/wiki/Ben_Cline" TargetMode="External"/><Relationship Id="rId49" Type="http://schemas.openxmlformats.org/officeDocument/2006/relationships/hyperlink" Target="https://en.wikipedia.org/wiki/Steve_Landes" TargetMode="External"/><Relationship Id="rId31" Type="http://schemas.openxmlformats.org/officeDocument/2006/relationships/hyperlink" Target="https://en.wikipedia.org/wiki/Les_Adams_(politician)" TargetMode="External"/><Relationship Id="rId30" Type="http://schemas.openxmlformats.org/officeDocument/2006/relationships/hyperlink" Target="https://en.wikipedia.org/wiki/Virginia%27s_16th_House_of_Delegates_district" TargetMode="External"/><Relationship Id="rId33" Type="http://schemas.openxmlformats.org/officeDocument/2006/relationships/hyperlink" Target="https://en.wikipedia.org/wiki/Chris_Head_(politician)" TargetMode="External"/><Relationship Id="rId32" Type="http://schemas.openxmlformats.org/officeDocument/2006/relationships/hyperlink" Target="https://en.wikipedia.org/wiki/Virginia%27s_17th_House_of_Delegates_district" TargetMode="External"/><Relationship Id="rId35" Type="http://schemas.openxmlformats.org/officeDocument/2006/relationships/hyperlink" Target="https://en.wikipedia.org/wiki/Michael_Webert" TargetMode="External"/><Relationship Id="rId34" Type="http://schemas.openxmlformats.org/officeDocument/2006/relationships/hyperlink" Target="https://en.wikipedia.org/wiki/Virginia%27s_18th_House_of_Delegates_district" TargetMode="External"/><Relationship Id="rId37" Type="http://schemas.openxmlformats.org/officeDocument/2006/relationships/hyperlink" Target="https://en.wikipedia.org/wiki/Terry_Austin_(politician)" TargetMode="External"/><Relationship Id="rId36" Type="http://schemas.openxmlformats.org/officeDocument/2006/relationships/hyperlink" Target="https://en.wikipedia.org/wiki/Virginia%27s_19th_House_of_Delegates_district" TargetMode="External"/><Relationship Id="rId39" Type="http://schemas.openxmlformats.org/officeDocument/2006/relationships/hyperlink" Target="https://en.wikipedia.org/wiki/Richard_Bell_(Virginia_politician)" TargetMode="External"/><Relationship Id="rId38" Type="http://schemas.openxmlformats.org/officeDocument/2006/relationships/hyperlink" Target="https://en.wikipedia.org/wiki/Virginia%27s_20th_House_of_Delegates_district" TargetMode="External"/><Relationship Id="rId20" Type="http://schemas.openxmlformats.org/officeDocument/2006/relationships/hyperlink" Target="https://en.wikipedia.org/wiki/Wendy_Gooditis" TargetMode="External"/><Relationship Id="rId22" Type="http://schemas.openxmlformats.org/officeDocument/2006/relationships/hyperlink" Target="https://en.wikipedia.org/wiki/Sam_Rasoul" TargetMode="External"/><Relationship Id="rId21" Type="http://schemas.openxmlformats.org/officeDocument/2006/relationships/hyperlink" Target="https://en.wikipedia.org/wiki/Virginia%27s_11th_House_of_Delegates_district" TargetMode="External"/><Relationship Id="rId24" Type="http://schemas.openxmlformats.org/officeDocument/2006/relationships/hyperlink" Target="https://en.wikipedia.org/wiki/Chris_Hurst_(Virginia_politician)" TargetMode="External"/><Relationship Id="rId23" Type="http://schemas.openxmlformats.org/officeDocument/2006/relationships/hyperlink" Target="https://en.wikipedia.org/wiki/Virginia%27s_12th_House_of_Delegates_district" TargetMode="External"/><Relationship Id="rId26" Type="http://schemas.openxmlformats.org/officeDocument/2006/relationships/hyperlink" Target="https://en.wikipedia.org/wiki/Danica_Roem" TargetMode="External"/><Relationship Id="rId25" Type="http://schemas.openxmlformats.org/officeDocument/2006/relationships/hyperlink" Target="https://en.wikipedia.org/wiki/Virginia%27s_13th_House_of_Delegates_district" TargetMode="External"/><Relationship Id="rId28" Type="http://schemas.openxmlformats.org/officeDocument/2006/relationships/hyperlink" Target="https://en.wikipedia.org/wiki/Danny_Marshall" TargetMode="External"/><Relationship Id="rId27" Type="http://schemas.openxmlformats.org/officeDocument/2006/relationships/hyperlink" Target="https://en.wikipedia.org/wiki/Virginia%27s_14th_House_of_Delegates_district" TargetMode="External"/><Relationship Id="rId29" Type="http://schemas.openxmlformats.org/officeDocument/2006/relationships/hyperlink" Target="https://en.wikipedia.org/wiki/Virginia%27s_15th_House_of_Delegates_district" TargetMode="External"/><Relationship Id="rId11" Type="http://schemas.openxmlformats.org/officeDocument/2006/relationships/hyperlink" Target="https://en.wikipedia.org/wiki/Israel_O%27Quinn" TargetMode="External"/><Relationship Id="rId10" Type="http://schemas.openxmlformats.org/officeDocument/2006/relationships/hyperlink" Target="https://en.wikipedia.org/wiki/Virginia%27s_5th_House_of_Delegates_district" TargetMode="External"/><Relationship Id="rId13" Type="http://schemas.openxmlformats.org/officeDocument/2006/relationships/hyperlink" Target="https://en.wikipedia.org/wiki/Jeff_Campbell_(politician)" TargetMode="External"/><Relationship Id="rId12" Type="http://schemas.openxmlformats.org/officeDocument/2006/relationships/hyperlink" Target="https://en.wikipedia.org/wiki/Virginia%27s_6th_House_of_Delegates_district" TargetMode="External"/><Relationship Id="rId15" Type="http://schemas.openxmlformats.org/officeDocument/2006/relationships/hyperlink" Target="https://en.wikipedia.org/wiki/Nick_Rush" TargetMode="External"/><Relationship Id="rId14" Type="http://schemas.openxmlformats.org/officeDocument/2006/relationships/hyperlink" Target="https://en.wikipedia.org/wiki/Virginia%27s_7th_House_of_Delegates_district" TargetMode="External"/><Relationship Id="rId17" Type="http://schemas.openxmlformats.org/officeDocument/2006/relationships/hyperlink" Target="https://en.wikipedia.org/wiki/Virginia%27s_9th_House_of_Delegates_district" TargetMode="External"/><Relationship Id="rId16" Type="http://schemas.openxmlformats.org/officeDocument/2006/relationships/hyperlink" Target="https://en.wikipedia.org/wiki/Virginia%27s_8th_House_of_Delegates_district" TargetMode="External"/><Relationship Id="rId19" Type="http://schemas.openxmlformats.org/officeDocument/2006/relationships/hyperlink" Target="https://en.wikipedia.org/wiki/Virginia%27s_10th_House_of_Delegates_district" TargetMode="External"/><Relationship Id="rId18" Type="http://schemas.openxmlformats.org/officeDocument/2006/relationships/hyperlink" Target="https://en.wikipedia.org/wiki/Charles_Poindexter" TargetMode="External"/><Relationship Id="rId84" Type="http://schemas.openxmlformats.org/officeDocument/2006/relationships/hyperlink" Target="https://en.wikipedia.org/wiki/Mark_D._Sickles" TargetMode="External"/><Relationship Id="rId83" Type="http://schemas.openxmlformats.org/officeDocument/2006/relationships/hyperlink" Target="https://en.wikipedia.org/wiki/Virginia%27s_43rd_House_of_Delegates_district" TargetMode="External"/><Relationship Id="rId86" Type="http://schemas.openxmlformats.org/officeDocument/2006/relationships/hyperlink" Target="https://en.wikipedia.org/wiki/Paul_Krizek" TargetMode="External"/><Relationship Id="rId85" Type="http://schemas.openxmlformats.org/officeDocument/2006/relationships/hyperlink" Target="https://en.wikipedia.org/wiki/Virginia%27s_44th_House_of_Delegates_district" TargetMode="External"/><Relationship Id="rId88" Type="http://schemas.openxmlformats.org/officeDocument/2006/relationships/hyperlink" Target="https://en.wikipedia.org/wiki/Mark_Levine_(journalist)" TargetMode="External"/><Relationship Id="rId87" Type="http://schemas.openxmlformats.org/officeDocument/2006/relationships/hyperlink" Target="https://en.wikipedia.org/wiki/Virginia%27s_45th_House_of_Delegates_district" TargetMode="External"/><Relationship Id="rId89" Type="http://schemas.openxmlformats.org/officeDocument/2006/relationships/hyperlink" Target="https://en.wikipedia.org/wiki/Virginia%27s_46th_House_of_Delegates_district" TargetMode="External"/><Relationship Id="rId80" Type="http://schemas.openxmlformats.org/officeDocument/2006/relationships/hyperlink" Target="https://en.wikipedia.org/wiki/Eileen_Filler-Corn" TargetMode="External"/><Relationship Id="rId82" Type="http://schemas.openxmlformats.org/officeDocument/2006/relationships/hyperlink" Target="https://en.wikipedia.org/wiki/Kathy_Tran" TargetMode="External"/><Relationship Id="rId81" Type="http://schemas.openxmlformats.org/officeDocument/2006/relationships/hyperlink" Target="https://en.wikipedia.org/wiki/Virginia%27s_42nd_House_of_Delegates_district" TargetMode="External"/><Relationship Id="rId73" Type="http://schemas.openxmlformats.org/officeDocument/2006/relationships/hyperlink" Target="https://en.wikipedia.org/wiki/David_Bulova" TargetMode="External"/><Relationship Id="rId72" Type="http://schemas.openxmlformats.org/officeDocument/2006/relationships/hyperlink" Target="https://en.wikipedia.org/wiki/Virginia%27s_37th_House_of_Delegates_district" TargetMode="External"/><Relationship Id="rId75" Type="http://schemas.openxmlformats.org/officeDocument/2006/relationships/hyperlink" Target="https://en.wikipedia.org/wiki/Kaye_Kory" TargetMode="External"/><Relationship Id="rId74" Type="http://schemas.openxmlformats.org/officeDocument/2006/relationships/hyperlink" Target="https://en.wikipedia.org/wiki/Virginia%27s_38th_House_of_Delegates_district" TargetMode="External"/><Relationship Id="rId77" Type="http://schemas.openxmlformats.org/officeDocument/2006/relationships/hyperlink" Target="https://en.wikipedia.org/wiki/Vivian_E._Watts" TargetMode="External"/><Relationship Id="rId76" Type="http://schemas.openxmlformats.org/officeDocument/2006/relationships/hyperlink" Target="https://en.wikipedia.org/wiki/Virginia%27s_39th_House_of_Delegates_district" TargetMode="External"/><Relationship Id="rId79" Type="http://schemas.openxmlformats.org/officeDocument/2006/relationships/hyperlink" Target="https://en.wikipedia.org/wiki/Virginia%27s_41st_House_of_Delegates_district" TargetMode="External"/><Relationship Id="rId78" Type="http://schemas.openxmlformats.org/officeDocument/2006/relationships/hyperlink" Target="https://en.wikipedia.org/wiki/Virginia%27s_40th_House_of_Delegates_district" TargetMode="External"/><Relationship Id="rId71" Type="http://schemas.openxmlformats.org/officeDocument/2006/relationships/hyperlink" Target="https://en.wikipedia.org/wiki/Kenneth_R._Plum" TargetMode="External"/><Relationship Id="rId70" Type="http://schemas.openxmlformats.org/officeDocument/2006/relationships/hyperlink" Target="https://en.wikipedia.org/wiki/Virginia%27s_36th_House_of_Delegates_district" TargetMode="External"/><Relationship Id="rId62" Type="http://schemas.openxmlformats.org/officeDocument/2006/relationships/hyperlink" Target="https://en.wikipedia.org/wiki/Virginia%27s_32nd_House_of_Delegates_district" TargetMode="External"/><Relationship Id="rId61" Type="http://schemas.openxmlformats.org/officeDocument/2006/relationships/hyperlink" Target="https://en.wikipedia.org/wiki/Elizabeth_Guzman" TargetMode="External"/><Relationship Id="rId64" Type="http://schemas.openxmlformats.org/officeDocument/2006/relationships/hyperlink" Target="https://en.wikipedia.org/wiki/Virginia%27s_33rd_House_of_Delegates_district" TargetMode="External"/><Relationship Id="rId63" Type="http://schemas.openxmlformats.org/officeDocument/2006/relationships/hyperlink" Target="https://en.wikipedia.org/wiki/David_A._Reid" TargetMode="External"/><Relationship Id="rId66" Type="http://schemas.openxmlformats.org/officeDocument/2006/relationships/hyperlink" Target="https://en.wikipedia.org/wiki/Virginia%27s_34th_House_of_Delegates_district" TargetMode="External"/><Relationship Id="rId65" Type="http://schemas.openxmlformats.org/officeDocument/2006/relationships/hyperlink" Target="https://en.wikipedia.org/wiki/Dave_LaRock" TargetMode="External"/><Relationship Id="rId68" Type="http://schemas.openxmlformats.org/officeDocument/2006/relationships/hyperlink" Target="https://en.wikipedia.org/wiki/Virginia%27s_35th_House_of_Delegates_district" TargetMode="External"/><Relationship Id="rId67" Type="http://schemas.openxmlformats.org/officeDocument/2006/relationships/hyperlink" Target="https://en.wikipedia.org/wiki/Kathleen_Murphy_(politician)" TargetMode="External"/><Relationship Id="rId60" Type="http://schemas.openxmlformats.org/officeDocument/2006/relationships/hyperlink" Target="https://en.wikipedia.org/wiki/Virginia%27s_31st_House_of_Delegates_district" TargetMode="External"/><Relationship Id="rId69" Type="http://schemas.openxmlformats.org/officeDocument/2006/relationships/hyperlink" Target="https://en.wikipedia.org/wiki/Mark_Keam" TargetMode="External"/><Relationship Id="rId51" Type="http://schemas.openxmlformats.org/officeDocument/2006/relationships/hyperlink" Target="https://en.wikipedia.org/wiki/Tony_Wilt" TargetMode="External"/><Relationship Id="rId50" Type="http://schemas.openxmlformats.org/officeDocument/2006/relationships/hyperlink" Target="https://en.wikipedia.org/wiki/Virginia%27s_26th_House_of_Delegates_district" TargetMode="External"/><Relationship Id="rId53" Type="http://schemas.openxmlformats.org/officeDocument/2006/relationships/hyperlink" Target="https://en.wikipedia.org/wiki/Roxann_Robinson" TargetMode="External"/><Relationship Id="rId52" Type="http://schemas.openxmlformats.org/officeDocument/2006/relationships/hyperlink" Target="https://en.wikipedia.org/wiki/Virginia%27s_27th_House_of_Delegates_district" TargetMode="External"/><Relationship Id="rId55" Type="http://schemas.openxmlformats.org/officeDocument/2006/relationships/hyperlink" Target="https://en.wikipedia.org/wiki/Bob_Thomas_(Virginia_politician)" TargetMode="External"/><Relationship Id="rId54" Type="http://schemas.openxmlformats.org/officeDocument/2006/relationships/hyperlink" Target="https://en.wikipedia.org/wiki/Virginia%27s_28th_House_of_Delegates_district" TargetMode="External"/><Relationship Id="rId57" Type="http://schemas.openxmlformats.org/officeDocument/2006/relationships/hyperlink" Target="https://en.wikipedia.org/wiki/Chris_Collins_(Virginia_politician)" TargetMode="External"/><Relationship Id="rId56" Type="http://schemas.openxmlformats.org/officeDocument/2006/relationships/hyperlink" Target="https://en.wikipedia.org/wiki/Virginia%27s_29th_House_of_Delegates_district" TargetMode="External"/><Relationship Id="rId59" Type="http://schemas.openxmlformats.org/officeDocument/2006/relationships/hyperlink" Target="https://en.wikipedia.org/wiki/Nicholas_Freitas" TargetMode="External"/><Relationship Id="rId58" Type="http://schemas.openxmlformats.org/officeDocument/2006/relationships/hyperlink" Target="https://en.wikipedia.org/wiki/Virginia%27s_30th_House_of_Delegates_district" TargetMode="External"/><Relationship Id="rId107" Type="http://schemas.openxmlformats.org/officeDocument/2006/relationships/hyperlink" Target="https://en.wikipedia.org/wiki/Buddy_Fowler" TargetMode="External"/><Relationship Id="rId228" Type="http://schemas.openxmlformats.org/officeDocument/2006/relationships/hyperlink" Target="https://en.wikipedia.org/wiki/Rosalyn_Dance" TargetMode="External"/><Relationship Id="rId106" Type="http://schemas.openxmlformats.org/officeDocument/2006/relationships/hyperlink" Target="https://en.wikipedia.org/wiki/Virginia%27s_55th_House_of_Delegates_district" TargetMode="External"/><Relationship Id="rId227" Type="http://schemas.openxmlformats.org/officeDocument/2006/relationships/hyperlink" Target="https://en.wikipedia.org/wiki/Virginia%27s_16th_Senate_district" TargetMode="External"/><Relationship Id="rId105" Type="http://schemas.openxmlformats.org/officeDocument/2006/relationships/hyperlink" Target="https://en.wikipedia.org/wiki/Bobby_Orrock" TargetMode="External"/><Relationship Id="rId226" Type="http://schemas.openxmlformats.org/officeDocument/2006/relationships/hyperlink" Target="https://en.wikipedia.org/wiki/Frank_Ruff" TargetMode="External"/><Relationship Id="rId104" Type="http://schemas.openxmlformats.org/officeDocument/2006/relationships/hyperlink" Target="https://en.wikipedia.org/wiki/Virginia%27s_54th_House_of_Delegates_district" TargetMode="External"/><Relationship Id="rId225" Type="http://schemas.openxmlformats.org/officeDocument/2006/relationships/hyperlink" Target="https://en.wikipedia.org/wiki/Virginia%27s_15th_Senate_district" TargetMode="External"/><Relationship Id="rId109" Type="http://schemas.openxmlformats.org/officeDocument/2006/relationships/hyperlink" Target="https://en.wikipedia.org/wiki/John_McGuire_III" TargetMode="External"/><Relationship Id="rId108" Type="http://schemas.openxmlformats.org/officeDocument/2006/relationships/hyperlink" Target="https://en.wikipedia.org/wiki/Virginia%27s_56th_House_of_Delegates_district" TargetMode="External"/><Relationship Id="rId229" Type="http://schemas.openxmlformats.org/officeDocument/2006/relationships/hyperlink" Target="https://en.wikipedia.org/wiki/Virginia%27s_17th_Senate_district" TargetMode="External"/><Relationship Id="rId220" Type="http://schemas.openxmlformats.org/officeDocument/2006/relationships/hyperlink" Target="https://en.wikipedia.org/wiki/Siobhan_Dunnavant" TargetMode="External"/><Relationship Id="rId103" Type="http://schemas.openxmlformats.org/officeDocument/2006/relationships/hyperlink" Target="https://en.wikipedia.org/wiki/Marcus_Simon" TargetMode="External"/><Relationship Id="rId224" Type="http://schemas.openxmlformats.org/officeDocument/2006/relationships/hyperlink" Target="https://en.wikipedia.org/wiki/John_Cosgrove_(Virginia)" TargetMode="External"/><Relationship Id="rId102" Type="http://schemas.openxmlformats.org/officeDocument/2006/relationships/hyperlink" Target="https://en.wikipedia.org/wiki/Virginia%27s_53rd_House_of_Delegates_district" TargetMode="External"/><Relationship Id="rId223" Type="http://schemas.openxmlformats.org/officeDocument/2006/relationships/hyperlink" Target="https://en.wikipedia.org/wiki/Virginia%27s_14th_Senate_district" TargetMode="External"/><Relationship Id="rId101" Type="http://schemas.openxmlformats.org/officeDocument/2006/relationships/hyperlink" Target="https://en.wikipedia.org/wiki/Luke_Torian" TargetMode="External"/><Relationship Id="rId222" Type="http://schemas.openxmlformats.org/officeDocument/2006/relationships/hyperlink" Target="https://en.wikipedia.org/wiki/Dick_Black_(politician)" TargetMode="External"/><Relationship Id="rId100" Type="http://schemas.openxmlformats.org/officeDocument/2006/relationships/hyperlink" Target="https://en.wikipedia.org/wiki/Virginia%27s_52nd_House_of_Delegates_district" TargetMode="External"/><Relationship Id="rId221" Type="http://schemas.openxmlformats.org/officeDocument/2006/relationships/hyperlink" Target="https://en.wikipedia.org/wiki/Virginia%27s_13th_Senate_district" TargetMode="External"/><Relationship Id="rId217" Type="http://schemas.openxmlformats.org/officeDocument/2006/relationships/hyperlink" Target="https://en.wikipedia.org/wiki/Virginia%27s_11th_Senate_district" TargetMode="External"/><Relationship Id="rId216" Type="http://schemas.openxmlformats.org/officeDocument/2006/relationships/hyperlink" Target="https://en.wikipedia.org/wiki/Glen_Sturtevant" TargetMode="External"/><Relationship Id="rId215" Type="http://schemas.openxmlformats.org/officeDocument/2006/relationships/hyperlink" Target="https://en.wikipedia.org/wiki/Virginia%27s_10th_Senate_district" TargetMode="External"/><Relationship Id="rId214" Type="http://schemas.openxmlformats.org/officeDocument/2006/relationships/hyperlink" Target="https://en.wikipedia.org/wiki/Jennifer_McClellan" TargetMode="External"/><Relationship Id="rId219" Type="http://schemas.openxmlformats.org/officeDocument/2006/relationships/hyperlink" Target="https://en.wikipedia.org/wiki/Virginia%27s_12th_Senate_district" TargetMode="External"/><Relationship Id="rId218" Type="http://schemas.openxmlformats.org/officeDocument/2006/relationships/hyperlink" Target="https://en.wikipedia.org/wiki/Amanda_Chase" TargetMode="External"/><Relationship Id="rId213" Type="http://schemas.openxmlformats.org/officeDocument/2006/relationships/hyperlink" Target="https://en.wikipedia.org/wiki/Virginia%27s_9th_Senate_district" TargetMode="External"/><Relationship Id="rId212" Type="http://schemas.openxmlformats.org/officeDocument/2006/relationships/hyperlink" Target="https://en.wikipedia.org/wiki/Bill_DeSteph" TargetMode="External"/><Relationship Id="rId211" Type="http://schemas.openxmlformats.org/officeDocument/2006/relationships/hyperlink" Target="https://en.wikipedia.org/wiki/Virginia%27s_8th_Senate_district" TargetMode="External"/><Relationship Id="rId210" Type="http://schemas.openxmlformats.org/officeDocument/2006/relationships/hyperlink" Target="https://en.wikipedia.org/wiki/Frank_Wagner" TargetMode="External"/><Relationship Id="rId129" Type="http://schemas.openxmlformats.org/officeDocument/2006/relationships/hyperlink" Target="https://en.wikipedia.org/wiki/Virginia%27s_67th_House_of_Delegates_district" TargetMode="External"/><Relationship Id="rId128" Type="http://schemas.openxmlformats.org/officeDocument/2006/relationships/hyperlink" Target="https://en.wikipedia.org/wiki/Virginia%27s_66th_House_of_Delegates_district" TargetMode="External"/><Relationship Id="rId249" Type="http://schemas.openxmlformats.org/officeDocument/2006/relationships/hyperlink" Target="https://en.wikipedia.org/wiki/Virginia%27s_27th_Senate_district" TargetMode="External"/><Relationship Id="rId127" Type="http://schemas.openxmlformats.org/officeDocument/2006/relationships/hyperlink" Target="https://en.wikipedia.org/wiki/Lee_Ware" TargetMode="External"/><Relationship Id="rId248" Type="http://schemas.openxmlformats.org/officeDocument/2006/relationships/hyperlink" Target="https://en.wikipedia.org/wiki/Mark_Obenshain" TargetMode="External"/><Relationship Id="rId126" Type="http://schemas.openxmlformats.org/officeDocument/2006/relationships/hyperlink" Target="https://en.wikipedia.org/wiki/Virginia%27s_65th_House_of_Delegates_district" TargetMode="External"/><Relationship Id="rId247" Type="http://schemas.openxmlformats.org/officeDocument/2006/relationships/hyperlink" Target="https://en.wikipedia.org/wiki/Virginia%27s_26th_Senate_district" TargetMode="External"/><Relationship Id="rId121" Type="http://schemas.openxmlformats.org/officeDocument/2006/relationships/hyperlink" Target="https://en.wikipedia.org/wiki/Riley_Ingram" TargetMode="External"/><Relationship Id="rId242" Type="http://schemas.openxmlformats.org/officeDocument/2006/relationships/hyperlink" Target="https://en.wikipedia.org/wiki/Stephen_Newman" TargetMode="External"/><Relationship Id="rId120" Type="http://schemas.openxmlformats.org/officeDocument/2006/relationships/hyperlink" Target="https://en.wikipedia.org/wiki/Virginia%27s_62nd_House_of_Delegates_district" TargetMode="External"/><Relationship Id="rId241" Type="http://schemas.openxmlformats.org/officeDocument/2006/relationships/hyperlink" Target="https://en.wikipedia.org/wiki/Virginia%27s_23rd_Senate_district" TargetMode="External"/><Relationship Id="rId240" Type="http://schemas.openxmlformats.org/officeDocument/2006/relationships/hyperlink" Target="https://en.wikipedia.org/wiki/Mark_Peake" TargetMode="External"/><Relationship Id="rId125" Type="http://schemas.openxmlformats.org/officeDocument/2006/relationships/hyperlink" Target="https://en.wikipedia.org/wiki/Emily_Brewer" TargetMode="External"/><Relationship Id="rId246" Type="http://schemas.openxmlformats.org/officeDocument/2006/relationships/hyperlink" Target="https://en.wikipedia.org/wiki/Creigh_Deeds" TargetMode="External"/><Relationship Id="rId124" Type="http://schemas.openxmlformats.org/officeDocument/2006/relationships/hyperlink" Target="https://en.wikipedia.org/wiki/Virginia%27s_64th_House_of_Delegates_district" TargetMode="External"/><Relationship Id="rId245" Type="http://schemas.openxmlformats.org/officeDocument/2006/relationships/hyperlink" Target="https://en.wikipedia.org/wiki/Virginia%27s_25th_Senate_district" TargetMode="External"/><Relationship Id="rId123" Type="http://schemas.openxmlformats.org/officeDocument/2006/relationships/hyperlink" Target="https://en.wikipedia.org/wiki/Lashrecse_Aird" TargetMode="External"/><Relationship Id="rId244" Type="http://schemas.openxmlformats.org/officeDocument/2006/relationships/hyperlink" Target="https://en.wikipedia.org/wiki/Emmett_Hanger" TargetMode="External"/><Relationship Id="rId122" Type="http://schemas.openxmlformats.org/officeDocument/2006/relationships/hyperlink" Target="https://en.wikipedia.org/wiki/Virginia%27s_63rd_House_of_Delegates_district" TargetMode="External"/><Relationship Id="rId243" Type="http://schemas.openxmlformats.org/officeDocument/2006/relationships/hyperlink" Target="https://en.wikipedia.org/wiki/Virginia%27s_24th_Senate_district" TargetMode="External"/><Relationship Id="rId95" Type="http://schemas.openxmlformats.org/officeDocument/2006/relationships/hyperlink" Target="https://en.wikipedia.org/wiki/Alfonso_H._Lopez" TargetMode="External"/><Relationship Id="rId94" Type="http://schemas.openxmlformats.org/officeDocument/2006/relationships/hyperlink" Target="https://en.wikipedia.org/wiki/Virginia%27s_49th_House_of_Delegates_district" TargetMode="External"/><Relationship Id="rId97" Type="http://schemas.openxmlformats.org/officeDocument/2006/relationships/hyperlink" Target="https://en.wikipedia.org/wiki/Lee_Carter_(politician)" TargetMode="External"/><Relationship Id="rId96" Type="http://schemas.openxmlformats.org/officeDocument/2006/relationships/hyperlink" Target="https://en.wikipedia.org/wiki/Virginia%27s_50th_House_of_Delegates_district" TargetMode="External"/><Relationship Id="rId99" Type="http://schemas.openxmlformats.org/officeDocument/2006/relationships/hyperlink" Target="https://en.wikipedia.org/wiki/Hala_Ayala" TargetMode="External"/><Relationship Id="rId98" Type="http://schemas.openxmlformats.org/officeDocument/2006/relationships/hyperlink" Target="https://en.wikipedia.org/wiki/Virginia%27s_51st_House_of_Delegates_district" TargetMode="External"/><Relationship Id="rId91" Type="http://schemas.openxmlformats.org/officeDocument/2006/relationships/hyperlink" Target="https://en.wikipedia.org/wiki/Patrick_A._Hope" TargetMode="External"/><Relationship Id="rId90" Type="http://schemas.openxmlformats.org/officeDocument/2006/relationships/hyperlink" Target="https://en.wikipedia.org/wiki/Virginia%27s_47th_House_of_Delegates_district" TargetMode="External"/><Relationship Id="rId93" Type="http://schemas.openxmlformats.org/officeDocument/2006/relationships/hyperlink" Target="https://en.wikipedia.org/wiki/Rip_Sullivan" TargetMode="External"/><Relationship Id="rId92" Type="http://schemas.openxmlformats.org/officeDocument/2006/relationships/hyperlink" Target="https://en.wikipedia.org/wiki/Virginia%27s_48th_House_of_Delegates_district" TargetMode="External"/><Relationship Id="rId118" Type="http://schemas.openxmlformats.org/officeDocument/2006/relationships/hyperlink" Target="https://en.wikipedia.org/wiki/Virginia%27s_61st_House_of_Delegates_district" TargetMode="External"/><Relationship Id="rId239" Type="http://schemas.openxmlformats.org/officeDocument/2006/relationships/hyperlink" Target="https://en.wikipedia.org/wiki/Virginia%27s_22nd_Senate_district" TargetMode="External"/><Relationship Id="rId117" Type="http://schemas.openxmlformats.org/officeDocument/2006/relationships/hyperlink" Target="https://en.wikipedia.org/wiki/James_E._Edmunds" TargetMode="External"/><Relationship Id="rId238" Type="http://schemas.openxmlformats.org/officeDocument/2006/relationships/hyperlink" Target="https://en.wikipedia.org/wiki/John_S._Edwards_(Virginia_politician)" TargetMode="External"/><Relationship Id="rId116" Type="http://schemas.openxmlformats.org/officeDocument/2006/relationships/hyperlink" Target="https://en.wikipedia.org/wiki/Virginia%27s_60th_House_of_Delegates_district" TargetMode="External"/><Relationship Id="rId237" Type="http://schemas.openxmlformats.org/officeDocument/2006/relationships/hyperlink" Target="https://en.wikipedia.org/wiki/Virginia%27s_21st_Senate_district" TargetMode="External"/><Relationship Id="rId115" Type="http://schemas.openxmlformats.org/officeDocument/2006/relationships/hyperlink" Target="https://en.wikipedia.org/wiki/Matt_Fariss" TargetMode="External"/><Relationship Id="rId236" Type="http://schemas.openxmlformats.org/officeDocument/2006/relationships/hyperlink" Target="https://en.wikipedia.org/wiki/Bill_Stanley_(politician)" TargetMode="External"/><Relationship Id="rId119" Type="http://schemas.openxmlformats.org/officeDocument/2006/relationships/hyperlink" Target="https://en.wikipedia.org/wiki/Thomas_C._Wright" TargetMode="External"/><Relationship Id="rId110" Type="http://schemas.openxmlformats.org/officeDocument/2006/relationships/hyperlink" Target="https://en.wikipedia.org/wiki/Virginia%27s_57th_House_of_Delegates_district" TargetMode="External"/><Relationship Id="rId231" Type="http://schemas.openxmlformats.org/officeDocument/2006/relationships/hyperlink" Target="https://en.wikipedia.org/wiki/Virginia%27s_18th_Senate_district" TargetMode="External"/><Relationship Id="rId230" Type="http://schemas.openxmlformats.org/officeDocument/2006/relationships/hyperlink" Target="https://en.wikipedia.org/wiki/Bryce_Reeves" TargetMode="External"/><Relationship Id="rId114" Type="http://schemas.openxmlformats.org/officeDocument/2006/relationships/hyperlink" Target="https://en.wikipedia.org/wiki/Virginia%27s_59th_House_of_Delegates_district" TargetMode="External"/><Relationship Id="rId235" Type="http://schemas.openxmlformats.org/officeDocument/2006/relationships/hyperlink" Target="https://en.wikipedia.org/wiki/Virginia%27s_20th_Senate_district" TargetMode="External"/><Relationship Id="rId113" Type="http://schemas.openxmlformats.org/officeDocument/2006/relationships/hyperlink" Target="https://en.wikipedia.org/wiki/Robert_B._Bell" TargetMode="External"/><Relationship Id="rId234" Type="http://schemas.openxmlformats.org/officeDocument/2006/relationships/hyperlink" Target="https://en.wikipedia.org/wiki/David_Suetterlein" TargetMode="External"/><Relationship Id="rId112" Type="http://schemas.openxmlformats.org/officeDocument/2006/relationships/hyperlink" Target="https://en.wikipedia.org/wiki/Virginia%27s_58th_House_of_Delegates_district" TargetMode="External"/><Relationship Id="rId233" Type="http://schemas.openxmlformats.org/officeDocument/2006/relationships/hyperlink" Target="https://en.wikipedia.org/wiki/Virginia%27s_19th_Senate_district" TargetMode="External"/><Relationship Id="rId111" Type="http://schemas.openxmlformats.org/officeDocument/2006/relationships/hyperlink" Target="https://en.wikipedia.org/wiki/David_Toscano" TargetMode="External"/><Relationship Id="rId232" Type="http://schemas.openxmlformats.org/officeDocument/2006/relationships/hyperlink" Target="https://en.wikipedia.org/wiki/Louise_Lucas" TargetMode="External"/><Relationship Id="rId206" Type="http://schemas.openxmlformats.org/officeDocument/2006/relationships/hyperlink" Target="https://en.wikipedia.org/wiki/Lionell_Spruill" TargetMode="External"/><Relationship Id="rId205" Type="http://schemas.openxmlformats.org/officeDocument/2006/relationships/hyperlink" Target="https://en.wikipedia.org/wiki/Virginia%27s_5th_Senate_district" TargetMode="External"/><Relationship Id="rId204" Type="http://schemas.openxmlformats.org/officeDocument/2006/relationships/hyperlink" Target="https://en.wikipedia.org/wiki/Ryan_McDougle" TargetMode="External"/><Relationship Id="rId203" Type="http://schemas.openxmlformats.org/officeDocument/2006/relationships/hyperlink" Target="https://en.wikipedia.org/wiki/Virginia%27s_4th_Senate_district" TargetMode="External"/><Relationship Id="rId209" Type="http://schemas.openxmlformats.org/officeDocument/2006/relationships/hyperlink" Target="https://en.wikipedia.org/wiki/Virginia%27s_7th_Senate_district" TargetMode="External"/><Relationship Id="rId208" Type="http://schemas.openxmlformats.org/officeDocument/2006/relationships/hyperlink" Target="https://en.wikipedia.org/wiki/Lynwood_Lewis" TargetMode="External"/><Relationship Id="rId207" Type="http://schemas.openxmlformats.org/officeDocument/2006/relationships/hyperlink" Target="https://en.wikipedia.org/wiki/Virginia%27s_6th_Senate_district" TargetMode="External"/><Relationship Id="rId202" Type="http://schemas.openxmlformats.org/officeDocument/2006/relationships/hyperlink" Target="https://en.wikipedia.org/wiki/Tommy_Norment" TargetMode="External"/><Relationship Id="rId201" Type="http://schemas.openxmlformats.org/officeDocument/2006/relationships/hyperlink" Target="https://en.wikipedia.org/wiki/Virginia%27s_3rd_Senate_district" TargetMode="External"/><Relationship Id="rId200" Type="http://schemas.openxmlformats.org/officeDocument/2006/relationships/hyperlink" Target="https://en.wikipedia.org/wiki/Mamie_Locke" TargetMode="External"/></Relationships>
</file>

<file path=xl/worksheets/_rels/sheet48.xml.rels><?xml version="1.0" encoding="UTF-8" standalone="yes"?><Relationships xmlns="http://schemas.openxmlformats.org/package/2006/relationships"><Relationship Id="rId190" Type="http://schemas.openxmlformats.org/officeDocument/2006/relationships/hyperlink" Target="https://en.wikipedia.org/wiki/Reuven_Carlyle" TargetMode="External"/><Relationship Id="rId194" Type="http://schemas.openxmlformats.org/officeDocument/2006/relationships/hyperlink" Target="https://en.wikipedia.org/wiki/John_McCoy_(American_politician)" TargetMode="External"/><Relationship Id="rId193" Type="http://schemas.openxmlformats.org/officeDocument/2006/relationships/hyperlink" Target="https://en.wikipedia.org/wiki/Washington%27s_38th_legislative_district" TargetMode="External"/><Relationship Id="rId192" Type="http://schemas.openxmlformats.org/officeDocument/2006/relationships/hyperlink" Target="https://en.wikipedia.org/wiki/Rebecca_Salda%C3%B1a" TargetMode="External"/><Relationship Id="rId191" Type="http://schemas.openxmlformats.org/officeDocument/2006/relationships/hyperlink" Target="https://en.wikipedia.org/wiki/Washington%27s_37th_legislative_district" TargetMode="External"/><Relationship Id="rId187" Type="http://schemas.openxmlformats.org/officeDocument/2006/relationships/hyperlink" Target="https://en.wikipedia.org/wiki/Washington%27s_35th_legislative_district" TargetMode="External"/><Relationship Id="rId186" Type="http://schemas.openxmlformats.org/officeDocument/2006/relationships/hyperlink" Target="https://en.wikipedia.org/wiki/Washington%27s_34th_legislative_district" TargetMode="External"/><Relationship Id="rId185" Type="http://schemas.openxmlformats.org/officeDocument/2006/relationships/hyperlink" Target="https://en.wikipedia.org/wiki/Karen_Keiser" TargetMode="External"/><Relationship Id="rId184" Type="http://schemas.openxmlformats.org/officeDocument/2006/relationships/hyperlink" Target="https://en.wikipedia.org/wiki/Washington%27s_33rd_legislative_district" TargetMode="External"/><Relationship Id="rId189" Type="http://schemas.openxmlformats.org/officeDocument/2006/relationships/hyperlink" Target="https://en.wikipedia.org/wiki/Washington%27s_36th_legislative_district" TargetMode="External"/><Relationship Id="rId188" Type="http://schemas.openxmlformats.org/officeDocument/2006/relationships/hyperlink" Target="https://en.wikipedia.org/wiki/Tim_Sheldon" TargetMode="External"/><Relationship Id="rId183" Type="http://schemas.openxmlformats.org/officeDocument/2006/relationships/hyperlink" Target="https://en.wikipedia.org/wiki/Washington%27s_32nd_legislative_district" TargetMode="External"/><Relationship Id="rId182" Type="http://schemas.openxmlformats.org/officeDocument/2006/relationships/hyperlink" Target="https://en.wikipedia.org/wiki/Washington%27s_31st_legislative_district" TargetMode="External"/><Relationship Id="rId181" Type="http://schemas.openxmlformats.org/officeDocument/2006/relationships/hyperlink" Target="https://en.wikipedia.org/wiki/Washington%27s_30th_legislative_district" TargetMode="External"/><Relationship Id="rId180" Type="http://schemas.openxmlformats.org/officeDocument/2006/relationships/hyperlink" Target="https://en.wikipedia.org/wiki/Steve_Conway_(politician)" TargetMode="External"/><Relationship Id="rId176" Type="http://schemas.openxmlformats.org/officeDocument/2006/relationships/hyperlink" Target="https://en.wikipedia.org/wiki/Jeannie_Darneille" TargetMode="External"/><Relationship Id="rId175" Type="http://schemas.openxmlformats.org/officeDocument/2006/relationships/hyperlink" Target="https://en.wikipedia.org/wiki/Washington%27s_27th_legislative_district" TargetMode="External"/><Relationship Id="rId174" Type="http://schemas.openxmlformats.org/officeDocument/2006/relationships/hyperlink" Target="https://en.wikipedia.org/wiki/Washington%27s_26th_legislative_district" TargetMode="External"/><Relationship Id="rId173" Type="http://schemas.openxmlformats.org/officeDocument/2006/relationships/hyperlink" Target="https://en.wikipedia.org/wiki/Hans_Zeiger" TargetMode="External"/><Relationship Id="rId179" Type="http://schemas.openxmlformats.org/officeDocument/2006/relationships/hyperlink" Target="https://en.wikipedia.org/wiki/Washington%27s_29th_legislative_district" TargetMode="External"/><Relationship Id="rId178" Type="http://schemas.openxmlformats.org/officeDocument/2006/relationships/hyperlink" Target="https://en.wikipedia.org/wiki/Steve_O%27Ban" TargetMode="External"/><Relationship Id="rId177" Type="http://schemas.openxmlformats.org/officeDocument/2006/relationships/hyperlink" Target="https://en.wikipedia.org/wiki/Washington%27s_28th_legislative_district" TargetMode="External"/><Relationship Id="rId198" Type="http://schemas.openxmlformats.org/officeDocument/2006/relationships/hyperlink" Target="https://en.wikipedia.org/wiki/Washington%27s_41st_legislative_district" TargetMode="External"/><Relationship Id="rId197" Type="http://schemas.openxmlformats.org/officeDocument/2006/relationships/hyperlink" Target="https://en.wikipedia.org/wiki/Kevin_Ranker" TargetMode="External"/><Relationship Id="rId196" Type="http://schemas.openxmlformats.org/officeDocument/2006/relationships/hyperlink" Target="https://en.wikipedia.org/wiki/Washington%27s_40th_legislative_district" TargetMode="External"/><Relationship Id="rId195" Type="http://schemas.openxmlformats.org/officeDocument/2006/relationships/hyperlink" Target="https://en.wikipedia.org/wiki/Washington%27s_39th_legislative_district" TargetMode="External"/><Relationship Id="rId199" Type="http://schemas.openxmlformats.org/officeDocument/2006/relationships/hyperlink" Target="https://en.wikipedia.org/wiki/Washington%27s_42nd_legislative_district" TargetMode="External"/><Relationship Id="rId150" Type="http://schemas.openxmlformats.org/officeDocument/2006/relationships/hyperlink" Target="https://en.wikipedia.org/wiki/Washington%27s_14th_legislative_district" TargetMode="External"/><Relationship Id="rId1" Type="http://schemas.openxmlformats.org/officeDocument/2006/relationships/hyperlink" Target="https://en.wikipedia.org/wiki/Washington%27s_1st_Legislative_District" TargetMode="External"/><Relationship Id="rId2" Type="http://schemas.openxmlformats.org/officeDocument/2006/relationships/hyperlink" Target="https://en.wikipedia.org/wiki/Derek_Stanford_(politician)" TargetMode="External"/><Relationship Id="rId3" Type="http://schemas.openxmlformats.org/officeDocument/2006/relationships/hyperlink" Target="https://en.wikipedia.org/wiki/Shelley_Kloba" TargetMode="External"/><Relationship Id="rId149" Type="http://schemas.openxmlformats.org/officeDocument/2006/relationships/hyperlink" Target="https://en.wikipedia.org/wiki/Judy_Warnick" TargetMode="External"/><Relationship Id="rId4" Type="http://schemas.openxmlformats.org/officeDocument/2006/relationships/hyperlink" Target="https://en.wikipedia.org/wiki/Washington%27s_2nd_Legislative_District" TargetMode="External"/><Relationship Id="rId148" Type="http://schemas.openxmlformats.org/officeDocument/2006/relationships/hyperlink" Target="https://en.wikipedia.org/wiki/Washington%27s_13th_legislative_district" TargetMode="External"/><Relationship Id="rId9" Type="http://schemas.openxmlformats.org/officeDocument/2006/relationships/hyperlink" Target="https://en.wikipedia.org/wiki/Timm_Ormsby" TargetMode="External"/><Relationship Id="rId143" Type="http://schemas.openxmlformats.org/officeDocument/2006/relationships/hyperlink" Target="https://en.wikipedia.org/wiki/Barbara_Bailey" TargetMode="External"/><Relationship Id="rId142" Type="http://schemas.openxmlformats.org/officeDocument/2006/relationships/hyperlink" Target="https://en.wikipedia.org/wiki/Washington%27s_10th_legislative_district" TargetMode="External"/><Relationship Id="rId141" Type="http://schemas.openxmlformats.org/officeDocument/2006/relationships/hyperlink" Target="https://en.wikipedia.org/wiki/Mark_Schoesler" TargetMode="External"/><Relationship Id="rId140" Type="http://schemas.openxmlformats.org/officeDocument/2006/relationships/hyperlink" Target="https://en.wikipedia.org/wiki/Washington%27s_9th_legislative_district" TargetMode="External"/><Relationship Id="rId5" Type="http://schemas.openxmlformats.org/officeDocument/2006/relationships/hyperlink" Target="https://en.wikipedia.org/wiki/Andrew_Barkis" TargetMode="External"/><Relationship Id="rId147" Type="http://schemas.openxmlformats.org/officeDocument/2006/relationships/hyperlink" Target="https://en.wikipedia.org/wiki/Brad_Hawkins_(politician)" TargetMode="External"/><Relationship Id="rId6" Type="http://schemas.openxmlformats.org/officeDocument/2006/relationships/hyperlink" Target="https://en.wikipedia.org/wiki/J.T._Wilcox" TargetMode="External"/><Relationship Id="rId146" Type="http://schemas.openxmlformats.org/officeDocument/2006/relationships/hyperlink" Target="https://en.wikipedia.org/wiki/Washington%27s_12th_legislative_district" TargetMode="External"/><Relationship Id="rId7" Type="http://schemas.openxmlformats.org/officeDocument/2006/relationships/hyperlink" Target="https://en.wikipedia.org/wiki/Washington%27s_3rd_Legislative_District" TargetMode="External"/><Relationship Id="rId145" Type="http://schemas.openxmlformats.org/officeDocument/2006/relationships/hyperlink" Target="https://en.wikipedia.org/wiki/Bob_Hasegawa" TargetMode="External"/><Relationship Id="rId8" Type="http://schemas.openxmlformats.org/officeDocument/2006/relationships/hyperlink" Target="https://en.wikipedia.org/wiki/Marcus_Riccelli" TargetMode="External"/><Relationship Id="rId144" Type="http://schemas.openxmlformats.org/officeDocument/2006/relationships/hyperlink" Target="https://en.wikipedia.org/wiki/Washington%27s_11th_legislative_district" TargetMode="External"/><Relationship Id="rId139" Type="http://schemas.openxmlformats.org/officeDocument/2006/relationships/hyperlink" Target="https://en.wikipedia.org/wiki/Sharon_Brown_(Washington_politician)" TargetMode="External"/><Relationship Id="rId138" Type="http://schemas.openxmlformats.org/officeDocument/2006/relationships/hyperlink" Target="https://en.wikipedia.org/wiki/Washington%27s_8th_legislative_district" TargetMode="External"/><Relationship Id="rId137" Type="http://schemas.openxmlformats.org/officeDocument/2006/relationships/hyperlink" Target="https://en.wikipedia.org/wiki/Shelly_Short" TargetMode="External"/><Relationship Id="rId132" Type="http://schemas.openxmlformats.org/officeDocument/2006/relationships/hyperlink" Target="https://en.wikipedia.org/wiki/Mike_Padden" TargetMode="External"/><Relationship Id="rId131" Type="http://schemas.openxmlformats.org/officeDocument/2006/relationships/hyperlink" Target="https://en.wikipedia.org/wiki/Washington%27s_4th_legislative_district" TargetMode="External"/><Relationship Id="rId130" Type="http://schemas.openxmlformats.org/officeDocument/2006/relationships/hyperlink" Target="https://en.wikipedia.org/wiki/Andy_Billig" TargetMode="External"/><Relationship Id="rId136" Type="http://schemas.openxmlformats.org/officeDocument/2006/relationships/hyperlink" Target="https://en.wikipedia.org/wiki/Washington%27s_7th_legislative_district" TargetMode="External"/><Relationship Id="rId135" Type="http://schemas.openxmlformats.org/officeDocument/2006/relationships/hyperlink" Target="https://en.wikipedia.org/wiki/Washington%27s_6th_legislative_district" TargetMode="External"/><Relationship Id="rId134" Type="http://schemas.openxmlformats.org/officeDocument/2006/relationships/hyperlink" Target="https://en.wikipedia.org/wiki/Mark_Mullet" TargetMode="External"/><Relationship Id="rId133" Type="http://schemas.openxmlformats.org/officeDocument/2006/relationships/hyperlink" Target="https://en.wikipedia.org/wiki/Washington%27s_5th_legislative_district" TargetMode="External"/><Relationship Id="rId172" Type="http://schemas.openxmlformats.org/officeDocument/2006/relationships/hyperlink" Target="https://en.wikipedia.org/wiki/Washington%27s_25th_legislative_district" TargetMode="External"/><Relationship Id="rId171" Type="http://schemas.openxmlformats.org/officeDocument/2006/relationships/hyperlink" Target="https://en.wikipedia.org/wiki/Kevin_Van_De_Wege" TargetMode="External"/><Relationship Id="rId170" Type="http://schemas.openxmlformats.org/officeDocument/2006/relationships/hyperlink" Target="https://en.wikipedia.org/wiki/Washington%27s_24th_legislative_district" TargetMode="External"/><Relationship Id="rId165" Type="http://schemas.openxmlformats.org/officeDocument/2006/relationships/hyperlink" Target="https://en.wikipedia.org/wiki/Marko_Liias" TargetMode="External"/><Relationship Id="rId164" Type="http://schemas.openxmlformats.org/officeDocument/2006/relationships/hyperlink" Target="https://en.wikipedia.org/wiki/Washington%27s_21st_legislative_district" TargetMode="External"/><Relationship Id="rId163" Type="http://schemas.openxmlformats.org/officeDocument/2006/relationships/hyperlink" Target="https://en.wikipedia.org/wiki/John_E._Braun" TargetMode="External"/><Relationship Id="rId162" Type="http://schemas.openxmlformats.org/officeDocument/2006/relationships/hyperlink" Target="https://en.wikipedia.org/wiki/Washington%27s_20th_legislative_district" TargetMode="External"/><Relationship Id="rId169" Type="http://schemas.openxmlformats.org/officeDocument/2006/relationships/hyperlink" Target="https://en.wikipedia.org/wiki/Christine_Rolfes" TargetMode="External"/><Relationship Id="rId168" Type="http://schemas.openxmlformats.org/officeDocument/2006/relationships/hyperlink" Target="https://en.wikipedia.org/wiki/Washington%27s_23rd_legislative_district" TargetMode="External"/><Relationship Id="rId167" Type="http://schemas.openxmlformats.org/officeDocument/2006/relationships/hyperlink" Target="https://en.wikipedia.org/wiki/Sam_Hunt_(Washington_politician)" TargetMode="External"/><Relationship Id="rId166" Type="http://schemas.openxmlformats.org/officeDocument/2006/relationships/hyperlink" Target="https://en.wikipedia.org/wiki/Washington%27s_22nd_legislative_district" TargetMode="External"/><Relationship Id="rId161" Type="http://schemas.openxmlformats.org/officeDocument/2006/relationships/hyperlink" Target="https://en.wikipedia.org/wiki/Dean_Takko" TargetMode="External"/><Relationship Id="rId160" Type="http://schemas.openxmlformats.org/officeDocument/2006/relationships/hyperlink" Target="https://en.wikipedia.org/wiki/Washington%27s_19th_legislative_district" TargetMode="External"/><Relationship Id="rId159" Type="http://schemas.openxmlformats.org/officeDocument/2006/relationships/hyperlink" Target="https://en.wikipedia.org/wiki/Ann_Rivers" TargetMode="External"/><Relationship Id="rId154" Type="http://schemas.openxmlformats.org/officeDocument/2006/relationships/hyperlink" Target="https://en.wikipedia.org/wiki/Washington%27s_16th_legislative_district" TargetMode="External"/><Relationship Id="rId153" Type="http://schemas.openxmlformats.org/officeDocument/2006/relationships/hyperlink" Target="https://en.wikipedia.org/wiki/Jim_Honeyford" TargetMode="External"/><Relationship Id="rId152" Type="http://schemas.openxmlformats.org/officeDocument/2006/relationships/hyperlink" Target="https://en.wikipedia.org/wiki/Washington%27s_15th_legislative_district" TargetMode="External"/><Relationship Id="rId151" Type="http://schemas.openxmlformats.org/officeDocument/2006/relationships/hyperlink" Target="https://en.wikipedia.org/wiki/Curtis_King_(politician)" TargetMode="External"/><Relationship Id="rId158" Type="http://schemas.openxmlformats.org/officeDocument/2006/relationships/hyperlink" Target="https://en.wikipedia.org/wiki/Washington%27s_18th_legislative_district" TargetMode="External"/><Relationship Id="rId157" Type="http://schemas.openxmlformats.org/officeDocument/2006/relationships/hyperlink" Target="https://en.wikipedia.org/wiki/Lynda_Wilson" TargetMode="External"/><Relationship Id="rId156" Type="http://schemas.openxmlformats.org/officeDocument/2006/relationships/hyperlink" Target="https://en.wikipedia.org/wiki/Washington%27s_17th_legislative_district" TargetMode="External"/><Relationship Id="rId155" Type="http://schemas.openxmlformats.org/officeDocument/2006/relationships/hyperlink" Target="https://en.wikipedia.org/wiki/Maureen_Walsh" TargetMode="External"/><Relationship Id="rId40" Type="http://schemas.openxmlformats.org/officeDocument/2006/relationships/hyperlink" Target="https://en.wikipedia.org/wiki/Washington%27s_17th_legislative_district" TargetMode="External"/><Relationship Id="rId42" Type="http://schemas.openxmlformats.org/officeDocument/2006/relationships/hyperlink" Target="https://en.wikipedia.org/wiki/Paul_Harris_(politician)" TargetMode="External"/><Relationship Id="rId41" Type="http://schemas.openxmlformats.org/officeDocument/2006/relationships/hyperlink" Target="https://en.wikipedia.org/w/index.php?title=Vicki_Kraft&amp;action=edit&amp;redlink=1" TargetMode="External"/><Relationship Id="rId44" Type="http://schemas.openxmlformats.org/officeDocument/2006/relationships/hyperlink" Target="https://en.wikipedia.org/wiki/Brandon_Vick" TargetMode="External"/><Relationship Id="rId43" Type="http://schemas.openxmlformats.org/officeDocument/2006/relationships/hyperlink" Target="https://en.wikipedia.org/wiki/Washington%27s_18th_legislative_district" TargetMode="External"/><Relationship Id="rId46" Type="http://schemas.openxmlformats.org/officeDocument/2006/relationships/hyperlink" Target="https://en.wikipedia.org/w/index.php?title=Jim_Walsh_(Washington_politician)&amp;action=edit&amp;redlink=1" TargetMode="External"/><Relationship Id="rId45" Type="http://schemas.openxmlformats.org/officeDocument/2006/relationships/hyperlink" Target="https://en.wikipedia.org/wiki/Washington%27s_19th_legislative_district" TargetMode="External"/><Relationship Id="rId48" Type="http://schemas.openxmlformats.org/officeDocument/2006/relationships/hyperlink" Target="https://en.wikipedia.org/wiki/Washington%27s_20th_legislative_district" TargetMode="External"/><Relationship Id="rId47" Type="http://schemas.openxmlformats.org/officeDocument/2006/relationships/hyperlink" Target="https://en.wikipedia.org/wiki/Brian_Blake" TargetMode="External"/><Relationship Id="rId49" Type="http://schemas.openxmlformats.org/officeDocument/2006/relationships/hyperlink" Target="https://en.wikipedia.org/wiki/Richard_DeBolt" TargetMode="External"/><Relationship Id="rId31" Type="http://schemas.openxmlformats.org/officeDocument/2006/relationships/hyperlink" Target="https://en.wikipedia.org/wiki/Washington%27s_13th_Legislative_District" TargetMode="External"/><Relationship Id="rId30" Type="http://schemas.openxmlformats.org/officeDocument/2006/relationships/hyperlink" Target="https://en.wikipedia.org/wiki/Mike_Steele_(Washington_politician)" TargetMode="External"/><Relationship Id="rId33" Type="http://schemas.openxmlformats.org/officeDocument/2006/relationships/hyperlink" Target="https://en.wikipedia.org/wiki/Matt_Manweller" TargetMode="External"/><Relationship Id="rId32" Type="http://schemas.openxmlformats.org/officeDocument/2006/relationships/hyperlink" Target="https://en.wikipedia.org/wiki/Tom_Dent" TargetMode="External"/><Relationship Id="rId35" Type="http://schemas.openxmlformats.org/officeDocument/2006/relationships/hyperlink" Target="https://en.wikipedia.org/wiki/Washington%27s_15th_legislative_district" TargetMode="External"/><Relationship Id="rId34" Type="http://schemas.openxmlformats.org/officeDocument/2006/relationships/hyperlink" Target="https://en.wikipedia.org/wiki/Washington%27s_14th_legislative_district" TargetMode="External"/><Relationship Id="rId37" Type="http://schemas.openxmlformats.org/officeDocument/2006/relationships/hyperlink" Target="https://en.wikipedia.org/wiki/David_Taylor_(Washington_politician)" TargetMode="External"/><Relationship Id="rId36" Type="http://schemas.openxmlformats.org/officeDocument/2006/relationships/hyperlink" Target="https://en.wikipedia.org/wiki/Bruce_Chandler" TargetMode="External"/><Relationship Id="rId39" Type="http://schemas.openxmlformats.org/officeDocument/2006/relationships/hyperlink" Target="https://en.wikipedia.org/w/index.php?title=Bill_Jenkin&amp;action=edit&amp;redlink=1" TargetMode="External"/><Relationship Id="rId38" Type="http://schemas.openxmlformats.org/officeDocument/2006/relationships/hyperlink" Target="https://en.wikipedia.org/wiki/Washington%27s_16th_legislative_district" TargetMode="External"/><Relationship Id="rId20" Type="http://schemas.openxmlformats.org/officeDocument/2006/relationships/hyperlink" Target="https://en.wikipedia.org/wiki/Brad_Klippert" TargetMode="External"/><Relationship Id="rId22" Type="http://schemas.openxmlformats.org/officeDocument/2006/relationships/hyperlink" Target="https://en.wikipedia.org/wiki/Mary_Dye" TargetMode="External"/><Relationship Id="rId21" Type="http://schemas.openxmlformats.org/officeDocument/2006/relationships/hyperlink" Target="https://en.wikipedia.org/wiki/Washington%27s_9th_Legislative_District" TargetMode="External"/><Relationship Id="rId24" Type="http://schemas.openxmlformats.org/officeDocument/2006/relationships/hyperlink" Target="https://en.wikipedia.org/wiki/Washington%27s_10th_Legislative_District" TargetMode="External"/><Relationship Id="rId23" Type="http://schemas.openxmlformats.org/officeDocument/2006/relationships/hyperlink" Target="https://en.wikipedia.org/wiki/Joe_Schmick" TargetMode="External"/><Relationship Id="rId26" Type="http://schemas.openxmlformats.org/officeDocument/2006/relationships/hyperlink" Target="https://en.wikipedia.org/wiki/Washington%27s_11th_Legislative_District" TargetMode="External"/><Relationship Id="rId25" Type="http://schemas.openxmlformats.org/officeDocument/2006/relationships/hyperlink" Target="https://en.wikipedia.org/wiki/Norma_Smith" TargetMode="External"/><Relationship Id="rId28" Type="http://schemas.openxmlformats.org/officeDocument/2006/relationships/hyperlink" Target="https://en.wikipedia.org/wiki/Steve_Bergquist" TargetMode="External"/><Relationship Id="rId27" Type="http://schemas.openxmlformats.org/officeDocument/2006/relationships/hyperlink" Target="https://en.wikipedia.org/wiki/Zack_Hudgins" TargetMode="External"/><Relationship Id="rId29" Type="http://schemas.openxmlformats.org/officeDocument/2006/relationships/hyperlink" Target="https://en.wikipedia.org/wiki/Washington%27s_12th_Legislative_District" TargetMode="External"/><Relationship Id="rId11" Type="http://schemas.openxmlformats.org/officeDocument/2006/relationships/hyperlink" Target="https://en.wikipedia.org/wiki/Bob_McCaslin,_Jr." TargetMode="External"/><Relationship Id="rId10" Type="http://schemas.openxmlformats.org/officeDocument/2006/relationships/hyperlink" Target="https://en.wikipedia.org/wiki/Washington%27s_4th_Legislative_District" TargetMode="External"/><Relationship Id="rId13" Type="http://schemas.openxmlformats.org/officeDocument/2006/relationships/hyperlink" Target="https://en.wikipedia.org/wiki/Washington%27s_5th_Legislative_District" TargetMode="External"/><Relationship Id="rId12" Type="http://schemas.openxmlformats.org/officeDocument/2006/relationships/hyperlink" Target="https://en.wikipedia.org/wiki/Matt_Shea" TargetMode="External"/><Relationship Id="rId15" Type="http://schemas.openxmlformats.org/officeDocument/2006/relationships/hyperlink" Target="https://en.wikipedia.org/wiki/Mike_Volz" TargetMode="External"/><Relationship Id="rId14" Type="http://schemas.openxmlformats.org/officeDocument/2006/relationships/hyperlink" Target="https://en.wikipedia.org/wiki/Washington%27s_6th_Legislative_District" TargetMode="External"/><Relationship Id="rId17" Type="http://schemas.openxmlformats.org/officeDocument/2006/relationships/hyperlink" Target="https://en.wikipedia.org/wiki/Jacquelin_Maycumber" TargetMode="External"/><Relationship Id="rId16" Type="http://schemas.openxmlformats.org/officeDocument/2006/relationships/hyperlink" Target="https://en.wikipedia.org/wiki/Washington%27s_7th_Legislative_District" TargetMode="External"/><Relationship Id="rId19" Type="http://schemas.openxmlformats.org/officeDocument/2006/relationships/hyperlink" Target="https://en.wikipedia.org/wiki/Washington%27s_8th_Legislative_District" TargetMode="External"/><Relationship Id="rId18" Type="http://schemas.openxmlformats.org/officeDocument/2006/relationships/hyperlink" Target="https://en.wikipedia.org/wiki/Joel_Kretz" TargetMode="External"/><Relationship Id="rId84" Type="http://schemas.openxmlformats.org/officeDocument/2006/relationships/hyperlink" Target="https://en.wikipedia.org/wiki/Mia_Gregerson" TargetMode="External"/><Relationship Id="rId83" Type="http://schemas.openxmlformats.org/officeDocument/2006/relationships/hyperlink" Target="https://en.wikipedia.org/wiki/Tina_Orwall" TargetMode="External"/><Relationship Id="rId86" Type="http://schemas.openxmlformats.org/officeDocument/2006/relationships/hyperlink" Target="https://en.wikipedia.org/wiki/Eileen_Cody" TargetMode="External"/><Relationship Id="rId85" Type="http://schemas.openxmlformats.org/officeDocument/2006/relationships/hyperlink" Target="https://en.wikipedia.org/wiki/Washington%27s_34th_legislative_district" TargetMode="External"/><Relationship Id="rId88" Type="http://schemas.openxmlformats.org/officeDocument/2006/relationships/hyperlink" Target="https://en.wikipedia.org/wiki/Washington%27s_35th_legislative_district" TargetMode="External"/><Relationship Id="rId87" Type="http://schemas.openxmlformats.org/officeDocument/2006/relationships/hyperlink" Target="https://en.wikipedia.org/wiki/Joe_Fitzgibbon" TargetMode="External"/><Relationship Id="rId89" Type="http://schemas.openxmlformats.org/officeDocument/2006/relationships/hyperlink" Target="https://en.wikipedia.org/wiki/Dan_Griffey" TargetMode="External"/><Relationship Id="rId80" Type="http://schemas.openxmlformats.org/officeDocument/2006/relationships/hyperlink" Target="https://en.wikipedia.org/wiki/Washington%27s_32nd_legislative_district" TargetMode="External"/><Relationship Id="rId82" Type="http://schemas.openxmlformats.org/officeDocument/2006/relationships/hyperlink" Target="https://en.wikipedia.org/wiki/Washington%27s_33rd_legislative_district" TargetMode="External"/><Relationship Id="rId81" Type="http://schemas.openxmlformats.org/officeDocument/2006/relationships/hyperlink" Target="https://en.wikipedia.org/wiki/Cindy_Ryu" TargetMode="External"/><Relationship Id="rId73" Type="http://schemas.openxmlformats.org/officeDocument/2006/relationships/hyperlink" Target="https://en.wikipedia.org/wiki/Steve_Kirby_(Washington_politician)" TargetMode="External"/><Relationship Id="rId72" Type="http://schemas.openxmlformats.org/officeDocument/2006/relationships/hyperlink" Target="https://en.wikipedia.org/wiki/Washington%27s_29th_legislative_district" TargetMode="External"/><Relationship Id="rId75" Type="http://schemas.openxmlformats.org/officeDocument/2006/relationships/hyperlink" Target="https://en.wikipedia.org/w/index.php?title=Mike_Pellicciotti&amp;action=edit&amp;redlink=1" TargetMode="External"/><Relationship Id="rId74" Type="http://schemas.openxmlformats.org/officeDocument/2006/relationships/hyperlink" Target="https://en.wikipedia.org/wiki/Washington%27s_30th_legislative_district" TargetMode="External"/><Relationship Id="rId77" Type="http://schemas.openxmlformats.org/officeDocument/2006/relationships/hyperlink" Target="https://en.wikipedia.org/wiki/Washington%27s_31st_legislative_district" TargetMode="External"/><Relationship Id="rId76" Type="http://schemas.openxmlformats.org/officeDocument/2006/relationships/hyperlink" Target="https://en.wikipedia.org/wiki/Kristine_Reeves" TargetMode="External"/><Relationship Id="rId79" Type="http://schemas.openxmlformats.org/officeDocument/2006/relationships/hyperlink" Target="https://en.wikipedia.org/wiki/Drew_Stokesbary" TargetMode="External"/><Relationship Id="rId78" Type="http://schemas.openxmlformats.org/officeDocument/2006/relationships/hyperlink" Target="https://en.wikipedia.org/w/index.php?title=Morgan_Irwin&amp;action=edit&amp;redlink=1" TargetMode="External"/><Relationship Id="rId71" Type="http://schemas.openxmlformats.org/officeDocument/2006/relationships/hyperlink" Target="https://en.wikipedia.org/wiki/Christine_Kilduff" TargetMode="External"/><Relationship Id="rId70" Type="http://schemas.openxmlformats.org/officeDocument/2006/relationships/hyperlink" Target="https://en.wikipedia.org/wiki/Washington%27s_28th_legislative_district" TargetMode="External"/><Relationship Id="rId62" Type="http://schemas.openxmlformats.org/officeDocument/2006/relationships/hyperlink" Target="https://en.wikipedia.org/wiki/Steve_Tharinger" TargetMode="External"/><Relationship Id="rId61" Type="http://schemas.openxmlformats.org/officeDocument/2006/relationships/hyperlink" Target="https://en.wikipedia.org/w/index.php?title=Mike_Chapman_(politician)&amp;action=edit&amp;redlink=1" TargetMode="External"/><Relationship Id="rId64" Type="http://schemas.openxmlformats.org/officeDocument/2006/relationships/hyperlink" Target="https://en.wikipedia.org/wiki/Washington%27s_26th_legislative_district" TargetMode="External"/><Relationship Id="rId63" Type="http://schemas.openxmlformats.org/officeDocument/2006/relationships/hyperlink" Target="https://en.wikipedia.org/wiki/Washington%27s_25th_legislative_district" TargetMode="External"/><Relationship Id="rId66" Type="http://schemas.openxmlformats.org/officeDocument/2006/relationships/hyperlink" Target="https://en.wikipedia.org/wiki/Michelle_Caldier" TargetMode="External"/><Relationship Id="rId65" Type="http://schemas.openxmlformats.org/officeDocument/2006/relationships/hyperlink" Target="https://en.wikipedia.org/wiki/Jesse_Young_(politician)" TargetMode="External"/><Relationship Id="rId68" Type="http://schemas.openxmlformats.org/officeDocument/2006/relationships/hyperlink" Target="https://en.wikipedia.org/wiki/Laurie_Jinkins" TargetMode="External"/><Relationship Id="rId67" Type="http://schemas.openxmlformats.org/officeDocument/2006/relationships/hyperlink" Target="https://en.wikipedia.org/wiki/Washington%27s_27th_legislative_district" TargetMode="External"/><Relationship Id="rId60" Type="http://schemas.openxmlformats.org/officeDocument/2006/relationships/hyperlink" Target="https://en.wikipedia.org/wiki/Washington%27s_24th_legislative_district" TargetMode="External"/><Relationship Id="rId69" Type="http://schemas.openxmlformats.org/officeDocument/2006/relationships/hyperlink" Target="https://en.wikipedia.org/wiki/Jake_Fey" TargetMode="External"/><Relationship Id="rId51" Type="http://schemas.openxmlformats.org/officeDocument/2006/relationships/hyperlink" Target="https://en.wikipedia.org/wiki/Washington%27s_21st_legislative_district" TargetMode="External"/><Relationship Id="rId50" Type="http://schemas.openxmlformats.org/officeDocument/2006/relationships/hyperlink" Target="https://en.wikipedia.org/wiki/Ed_Orcutt" TargetMode="External"/><Relationship Id="rId53" Type="http://schemas.openxmlformats.org/officeDocument/2006/relationships/hyperlink" Target="https://en.wikipedia.org/wiki/Lillian_Ortiz-Self" TargetMode="External"/><Relationship Id="rId52" Type="http://schemas.openxmlformats.org/officeDocument/2006/relationships/hyperlink" Target="https://en.wikipedia.org/wiki/Strom_Peterson" TargetMode="External"/><Relationship Id="rId55" Type="http://schemas.openxmlformats.org/officeDocument/2006/relationships/hyperlink" Target="https://en.wikipedia.org/w/index.php?title=Laurie_Dolan&amp;action=edit&amp;redlink=1" TargetMode="External"/><Relationship Id="rId54" Type="http://schemas.openxmlformats.org/officeDocument/2006/relationships/hyperlink" Target="https://en.wikipedia.org/wiki/Washington%27s_22nd_legislative_district" TargetMode="External"/><Relationship Id="rId57" Type="http://schemas.openxmlformats.org/officeDocument/2006/relationships/hyperlink" Target="https://en.wikipedia.org/wiki/Washington%27s_23rd_legislative_district" TargetMode="External"/><Relationship Id="rId56" Type="http://schemas.openxmlformats.org/officeDocument/2006/relationships/hyperlink" Target="https://en.wikipedia.org/w/index.php?title=Beth_Doglio&amp;action=edit&amp;redlink=1" TargetMode="External"/><Relationship Id="rId59" Type="http://schemas.openxmlformats.org/officeDocument/2006/relationships/hyperlink" Target="https://en.wikipedia.org/wiki/Drew_Hansen" TargetMode="External"/><Relationship Id="rId58" Type="http://schemas.openxmlformats.org/officeDocument/2006/relationships/hyperlink" Target="https://en.wikipedia.org/wiki/Sherry_Appleton" TargetMode="External"/><Relationship Id="rId107" Type="http://schemas.openxmlformats.org/officeDocument/2006/relationships/hyperlink" Target="https://en.wikipedia.org/wiki/Luanne_VanWerven" TargetMode="External"/><Relationship Id="rId106" Type="http://schemas.openxmlformats.org/officeDocument/2006/relationships/hyperlink" Target="https://en.wikipedia.org/wiki/Washington%27s_42nd_legislative_district" TargetMode="External"/><Relationship Id="rId105" Type="http://schemas.openxmlformats.org/officeDocument/2006/relationships/hyperlink" Target="https://en.wikipedia.org/wiki/Tana_Senn" TargetMode="External"/><Relationship Id="rId104" Type="http://schemas.openxmlformats.org/officeDocument/2006/relationships/hyperlink" Target="https://en.wikipedia.org/wiki/Washington%27s_41st_legislative_district" TargetMode="External"/><Relationship Id="rId109" Type="http://schemas.openxmlformats.org/officeDocument/2006/relationships/hyperlink" Target="https://en.wikipedia.org/wiki/Nicole_Macri" TargetMode="External"/><Relationship Id="rId108" Type="http://schemas.openxmlformats.org/officeDocument/2006/relationships/hyperlink" Target="https://en.wikipedia.org/wiki/Washington%27s_43rd_legislative_district" TargetMode="External"/><Relationship Id="rId103" Type="http://schemas.openxmlformats.org/officeDocument/2006/relationships/hyperlink" Target="https://en.wikipedia.org/wiki/Jeff_Morris_(Washington_politician)" TargetMode="External"/><Relationship Id="rId102" Type="http://schemas.openxmlformats.org/officeDocument/2006/relationships/hyperlink" Target="https://en.wikipedia.org/wiki/Washington%27s_40th_legislative_district" TargetMode="External"/><Relationship Id="rId101" Type="http://schemas.openxmlformats.org/officeDocument/2006/relationships/hyperlink" Target="https://en.wikipedia.org/wiki/Carolyn_Eslick" TargetMode="External"/><Relationship Id="rId100" Type="http://schemas.openxmlformats.org/officeDocument/2006/relationships/hyperlink" Target="https://en.wikipedia.org/wiki/Washington%27s_39th_legislative_district" TargetMode="External"/><Relationship Id="rId215" Type="http://schemas.openxmlformats.org/officeDocument/2006/relationships/drawing" Target="../drawings/drawing48.xml"/><Relationship Id="rId214" Type="http://schemas.openxmlformats.org/officeDocument/2006/relationships/hyperlink" Target="https://en.wikipedia.org/wiki/Annette_Cleveland" TargetMode="External"/><Relationship Id="rId213" Type="http://schemas.openxmlformats.org/officeDocument/2006/relationships/hyperlink" Target="https://en.wikipedia.org/wiki/Washington%27s_49th_legislative_district" TargetMode="External"/><Relationship Id="rId212" Type="http://schemas.openxmlformats.org/officeDocument/2006/relationships/hyperlink" Target="https://en.wikipedia.org/wiki/Patty_Kuderer" TargetMode="External"/><Relationship Id="rId211" Type="http://schemas.openxmlformats.org/officeDocument/2006/relationships/hyperlink" Target="https://en.wikipedia.org/wiki/Washington%27s_48th_legislative_district" TargetMode="External"/><Relationship Id="rId210" Type="http://schemas.openxmlformats.org/officeDocument/2006/relationships/hyperlink" Target="https://en.wikipedia.org/wiki/Joe_Fain" TargetMode="External"/><Relationship Id="rId129" Type="http://schemas.openxmlformats.org/officeDocument/2006/relationships/hyperlink" Target="https://en.wikipedia.org/wiki/Washington%27s_3rd_legislative_district" TargetMode="External"/><Relationship Id="rId128" Type="http://schemas.openxmlformats.org/officeDocument/2006/relationships/hyperlink" Target="https://en.wikipedia.org/wiki/Randi_Becker" TargetMode="External"/><Relationship Id="rId127" Type="http://schemas.openxmlformats.org/officeDocument/2006/relationships/hyperlink" Target="https://en.wikipedia.org/wiki/Washington%27s_2nd_legislative_district" TargetMode="External"/><Relationship Id="rId126" Type="http://schemas.openxmlformats.org/officeDocument/2006/relationships/hyperlink" Target="https://en.wikipedia.org/wiki/Washington%27s_1st_legislative_district" TargetMode="External"/><Relationship Id="rId121" Type="http://schemas.openxmlformats.org/officeDocument/2006/relationships/hyperlink" Target="https://en.wikipedia.org/wiki/Washington%27s_48th_legislative_district" TargetMode="External"/><Relationship Id="rId120" Type="http://schemas.openxmlformats.org/officeDocument/2006/relationships/hyperlink" Target="https://en.wikipedia.org/wiki/Pat_Sullivan_(politician)" TargetMode="External"/><Relationship Id="rId125" Type="http://schemas.openxmlformats.org/officeDocument/2006/relationships/hyperlink" Target="https://en.wikipedia.org/wiki/Monica_Stonier" TargetMode="External"/><Relationship Id="rId124" Type="http://schemas.openxmlformats.org/officeDocument/2006/relationships/hyperlink" Target="https://en.wikipedia.org/wiki/Sharon_Wylie" TargetMode="External"/><Relationship Id="rId123" Type="http://schemas.openxmlformats.org/officeDocument/2006/relationships/hyperlink" Target="https://en.wikipedia.org/wiki/Washington%27s_49th_legislative_district" TargetMode="External"/><Relationship Id="rId122" Type="http://schemas.openxmlformats.org/officeDocument/2006/relationships/hyperlink" Target="https://en.wikipedia.org/wiki/Vandana_Slatter" TargetMode="External"/><Relationship Id="rId95" Type="http://schemas.openxmlformats.org/officeDocument/2006/relationships/hyperlink" Target="https://en.wikipedia.org/wiki/Sharon_Tomiko_Santos" TargetMode="External"/><Relationship Id="rId94" Type="http://schemas.openxmlformats.org/officeDocument/2006/relationships/hyperlink" Target="https://en.wikipedia.org/wiki/Washington%27s_37th_legislative_district" TargetMode="External"/><Relationship Id="rId97" Type="http://schemas.openxmlformats.org/officeDocument/2006/relationships/hyperlink" Target="https://en.wikipedia.org/wiki/Washington%27s_38th_legislative_district" TargetMode="External"/><Relationship Id="rId96" Type="http://schemas.openxmlformats.org/officeDocument/2006/relationships/hyperlink" Target="https://en.wikipedia.org/wiki/Eric_Pettigrew" TargetMode="External"/><Relationship Id="rId99" Type="http://schemas.openxmlformats.org/officeDocument/2006/relationships/hyperlink" Target="https://en.wikipedia.org/wiki/Mike_Sells" TargetMode="External"/><Relationship Id="rId98" Type="http://schemas.openxmlformats.org/officeDocument/2006/relationships/hyperlink" Target="https://en.wikipedia.org/wiki/June_Robinson" TargetMode="External"/><Relationship Id="rId91" Type="http://schemas.openxmlformats.org/officeDocument/2006/relationships/hyperlink" Target="https://en.wikipedia.org/wiki/Washington%27s_36th_legislative_district" TargetMode="External"/><Relationship Id="rId90" Type="http://schemas.openxmlformats.org/officeDocument/2006/relationships/hyperlink" Target="https://en.wikipedia.org/wiki/Drew_C._MacEwen" TargetMode="External"/><Relationship Id="rId93" Type="http://schemas.openxmlformats.org/officeDocument/2006/relationships/hyperlink" Target="https://en.wikipedia.org/wiki/Gael_Tarleton" TargetMode="External"/><Relationship Id="rId92" Type="http://schemas.openxmlformats.org/officeDocument/2006/relationships/hyperlink" Target="https://en.wikipedia.org/wiki/Noel_Frame" TargetMode="External"/><Relationship Id="rId118" Type="http://schemas.openxmlformats.org/officeDocument/2006/relationships/hyperlink" Target="https://en.wikipedia.org/wiki/Javier_Valdez" TargetMode="External"/><Relationship Id="rId117" Type="http://schemas.openxmlformats.org/officeDocument/2006/relationships/hyperlink" Target="https://en.wikipedia.org/wiki/Gerry_Pollet" TargetMode="External"/><Relationship Id="rId116" Type="http://schemas.openxmlformats.org/officeDocument/2006/relationships/hyperlink" Target="https://en.wikipedia.org/wiki/Washington%27s_46th_legislative_district" TargetMode="External"/><Relationship Id="rId115" Type="http://schemas.openxmlformats.org/officeDocument/2006/relationships/hyperlink" Target="https://en.wikipedia.org/wiki/Larry_Springer" TargetMode="External"/><Relationship Id="rId119" Type="http://schemas.openxmlformats.org/officeDocument/2006/relationships/hyperlink" Target="https://en.wikipedia.org/wiki/Washington%27s_47th_legislative_district" TargetMode="External"/><Relationship Id="rId110" Type="http://schemas.openxmlformats.org/officeDocument/2006/relationships/hyperlink" Target="https://en.wikipedia.org/wiki/Frank_Chopp" TargetMode="External"/><Relationship Id="rId114" Type="http://schemas.openxmlformats.org/officeDocument/2006/relationships/hyperlink" Target="https://en.wikipedia.org/wiki/Roger_Goodman" TargetMode="External"/><Relationship Id="rId113" Type="http://schemas.openxmlformats.org/officeDocument/2006/relationships/hyperlink" Target="https://en.wikipedia.org/wiki/Washington%27s_45th_legislative_district" TargetMode="External"/><Relationship Id="rId112" Type="http://schemas.openxmlformats.org/officeDocument/2006/relationships/hyperlink" Target="https://en.wikipedia.org/wiki/John_Lovick_(politician)" TargetMode="External"/><Relationship Id="rId111" Type="http://schemas.openxmlformats.org/officeDocument/2006/relationships/hyperlink" Target="https://en.wikipedia.org/wiki/Washington%27s_44th_legislative_district" TargetMode="External"/><Relationship Id="rId206" Type="http://schemas.openxmlformats.org/officeDocument/2006/relationships/hyperlink" Target="https://en.wikipedia.org/wiki/Manka_Dhingra" TargetMode="External"/><Relationship Id="rId205" Type="http://schemas.openxmlformats.org/officeDocument/2006/relationships/hyperlink" Target="https://en.wikipedia.org/wiki/Washington%27s_45th_legislative_district" TargetMode="External"/><Relationship Id="rId204" Type="http://schemas.openxmlformats.org/officeDocument/2006/relationships/hyperlink" Target="https://en.wikipedia.org/wiki/Steve_Hobbs_(Washington_politician)" TargetMode="External"/><Relationship Id="rId203" Type="http://schemas.openxmlformats.org/officeDocument/2006/relationships/hyperlink" Target="https://en.wikipedia.org/wiki/Washington%27s_44th_legislative_district" TargetMode="External"/><Relationship Id="rId209" Type="http://schemas.openxmlformats.org/officeDocument/2006/relationships/hyperlink" Target="https://en.wikipedia.org/wiki/Washington%27s_47th_legislative_district" TargetMode="External"/><Relationship Id="rId208" Type="http://schemas.openxmlformats.org/officeDocument/2006/relationships/hyperlink" Target="https://en.wikipedia.org/wiki/David_Frockt" TargetMode="External"/><Relationship Id="rId207" Type="http://schemas.openxmlformats.org/officeDocument/2006/relationships/hyperlink" Target="https://en.wikipedia.org/wiki/Washington%27s_46th_legislative_district" TargetMode="External"/><Relationship Id="rId202" Type="http://schemas.openxmlformats.org/officeDocument/2006/relationships/hyperlink" Target="https://en.wikipedia.org/wiki/Jamie_Pedersen" TargetMode="External"/><Relationship Id="rId201" Type="http://schemas.openxmlformats.org/officeDocument/2006/relationships/hyperlink" Target="https://en.wikipedia.org/wiki/Washington%27s_43rd_legislative_district" TargetMode="External"/><Relationship Id="rId200" Type="http://schemas.openxmlformats.org/officeDocument/2006/relationships/hyperlink" Target="https://en.wikipedia.org/wiki/Doug_Ericksen"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s://en.wikipedia.org/wiki/Ryan_Weld" TargetMode="External"/><Relationship Id="rId2" Type="http://schemas.openxmlformats.org/officeDocument/2006/relationships/hyperlink" Target="https://en.wikipedia.org/wiki/Mike_Maroney" TargetMode="External"/><Relationship Id="rId3" Type="http://schemas.openxmlformats.org/officeDocument/2006/relationships/hyperlink" Target="https://en.wikipedia.org/wiki/Mike_Azinger" TargetMode="External"/><Relationship Id="rId4" Type="http://schemas.openxmlformats.org/officeDocument/2006/relationships/hyperlink" Target="https://en.wikipedia.org/wiki/Donna_J._Boley" TargetMode="External"/><Relationship Id="rId9" Type="http://schemas.openxmlformats.org/officeDocument/2006/relationships/hyperlink" Target="https://en.wikipedia.org/wiki/Ron_Stollings" TargetMode="External"/><Relationship Id="rId5" Type="http://schemas.openxmlformats.org/officeDocument/2006/relationships/hyperlink" Target="https://en.wikipedia.org/wiki/Mitch_Carmichael" TargetMode="External"/><Relationship Id="rId6" Type="http://schemas.openxmlformats.org/officeDocument/2006/relationships/hyperlink" Target="https://en.wikipedia.org/wiki/Robert_H._Plymale" TargetMode="External"/><Relationship Id="rId7" Type="http://schemas.openxmlformats.org/officeDocument/2006/relationships/hyperlink" Target="https://en.wikipedia.org/wiki/Mark_R._Maynard" TargetMode="External"/><Relationship Id="rId8" Type="http://schemas.openxmlformats.org/officeDocument/2006/relationships/hyperlink" Target="https://en.wikipedia.org/wiki/Chandler_Swope" TargetMode="External"/><Relationship Id="rId20" Type="http://schemas.openxmlformats.org/officeDocument/2006/relationships/hyperlink" Target="https://en.wikipedia.org/wiki/Randy_Smith_(politician)" TargetMode="External"/><Relationship Id="rId22" Type="http://schemas.openxmlformats.org/officeDocument/2006/relationships/hyperlink" Target="https://en.wikipedia.org/wiki/Craig_Blair" TargetMode="External"/><Relationship Id="rId21" Type="http://schemas.openxmlformats.org/officeDocument/2006/relationships/hyperlink" Target="https://en.wikipedia.org/wiki/Charles_S._Trump" TargetMode="External"/><Relationship Id="rId24" Type="http://schemas.openxmlformats.org/officeDocument/2006/relationships/hyperlink" Target="https://en.wikipedia.org/wiki/Patricia_Rucker" TargetMode="External"/><Relationship Id="rId23" Type="http://schemas.openxmlformats.org/officeDocument/2006/relationships/hyperlink" Target="https://en.wikipedia.org/wiki/John_Unger" TargetMode="External"/><Relationship Id="rId26" Type="http://schemas.openxmlformats.org/officeDocument/2006/relationships/hyperlink" Target="https://en.wikipedia.org/wiki/Corey_Palumbo" TargetMode="External"/><Relationship Id="rId25" Type="http://schemas.openxmlformats.org/officeDocument/2006/relationships/hyperlink" Target="https://en.wikipedia.org/wiki/Tom_Takubo" TargetMode="External"/><Relationship Id="rId27" Type="http://schemas.openxmlformats.org/officeDocument/2006/relationships/drawing" Target="../drawings/drawing49.xml"/><Relationship Id="rId11" Type="http://schemas.openxmlformats.org/officeDocument/2006/relationships/hyperlink" Target="https://en.wikipedia.org/wiki/Glenn_Jeffries" TargetMode="External"/><Relationship Id="rId10" Type="http://schemas.openxmlformats.org/officeDocument/2006/relationships/hyperlink" Target="https://en.wikipedia.org/wiki/Richard_Ojeda" TargetMode="External"/><Relationship Id="rId13" Type="http://schemas.openxmlformats.org/officeDocument/2006/relationships/hyperlink" Target="https://en.wikipedia.org/wiki/Kenny_Mann" TargetMode="External"/><Relationship Id="rId12" Type="http://schemas.openxmlformats.org/officeDocument/2006/relationships/hyperlink" Target="https://en.wikipedia.org/wiki/Sue_Cline" TargetMode="External"/><Relationship Id="rId15" Type="http://schemas.openxmlformats.org/officeDocument/2006/relationships/hyperlink" Target="https://en.wikipedia.org/wiki/Mike_Romano_(politician)" TargetMode="External"/><Relationship Id="rId14" Type="http://schemas.openxmlformats.org/officeDocument/2006/relationships/hyperlink" Target="https://en.wikipedia.org/wiki/Greg_Boso" TargetMode="External"/><Relationship Id="rId17" Type="http://schemas.openxmlformats.org/officeDocument/2006/relationships/hyperlink" Target="https://en.wikipedia.org/wiki/Bob_Beach" TargetMode="External"/><Relationship Id="rId16" Type="http://schemas.openxmlformats.org/officeDocument/2006/relationships/hyperlink" Target="https://en.wikipedia.org/wiki/Doug_Facemire" TargetMode="External"/><Relationship Id="rId19" Type="http://schemas.openxmlformats.org/officeDocument/2006/relationships/hyperlink" Target="https://en.wikipedia.org/wiki/David_Sypolt" TargetMode="External"/><Relationship Id="rId18" Type="http://schemas.openxmlformats.org/officeDocument/2006/relationships/hyperlink" Target="https://en.wikipedia.org/wiki/Roman_Prezioso"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s://en.wikipedia.org/wiki/Joel_Kitchens" TargetMode="External"/><Relationship Id="rId2" Type="http://schemas.openxmlformats.org/officeDocument/2006/relationships/hyperlink" Target="https://docs.legis.wisconsin.gov/2017/legislators/assembly" TargetMode="External"/><Relationship Id="rId3" Type="http://schemas.openxmlformats.org/officeDocument/2006/relationships/hyperlink" Target="https://en.wikipedia.org/wiki/Ron_Tusler" TargetMode="External"/><Relationship Id="rId4" Type="http://schemas.openxmlformats.org/officeDocument/2006/relationships/hyperlink" Target="https://en.wikipedia.org/wiki/David_Steffen" TargetMode="External"/><Relationship Id="rId148" Type="http://schemas.openxmlformats.org/officeDocument/2006/relationships/drawing" Target="../drawings/drawing50.xml"/><Relationship Id="rId9" Type="http://schemas.openxmlformats.org/officeDocument/2006/relationships/hyperlink" Target="https://en.wikipedia.org/wiki/David_Bowen_(Wisconsin)" TargetMode="External"/><Relationship Id="rId143" Type="http://schemas.openxmlformats.org/officeDocument/2006/relationships/hyperlink" Target="https://en.wikipedia.org/wiki/Wisconsin_Senate,_District_31" TargetMode="External"/><Relationship Id="rId142" Type="http://schemas.openxmlformats.org/officeDocument/2006/relationships/hyperlink" Target="https://en.wikipedia.org/wiki/Dave_Hansen" TargetMode="External"/><Relationship Id="rId141" Type="http://schemas.openxmlformats.org/officeDocument/2006/relationships/hyperlink" Target="https://en.wikipedia.org/wiki/Wisconsin_Senate,_District_30" TargetMode="External"/><Relationship Id="rId140" Type="http://schemas.openxmlformats.org/officeDocument/2006/relationships/hyperlink" Target="https://en.wikipedia.org/wiki/Jerry_Petrowski" TargetMode="External"/><Relationship Id="rId5" Type="http://schemas.openxmlformats.org/officeDocument/2006/relationships/hyperlink" Target="https://en.wikipedia.org/wiki/Jim_Steineke" TargetMode="External"/><Relationship Id="rId147" Type="http://schemas.openxmlformats.org/officeDocument/2006/relationships/hyperlink" Target="https://en.wikipedia.org/wiki/Chris_Kapenga" TargetMode="External"/><Relationship Id="rId6" Type="http://schemas.openxmlformats.org/officeDocument/2006/relationships/hyperlink" Target="https://en.wikipedia.org/wiki/Gary_Tauchen" TargetMode="External"/><Relationship Id="rId146" Type="http://schemas.openxmlformats.org/officeDocument/2006/relationships/hyperlink" Target="https://en.wikipedia.org/wiki/Wisconsin_Senate,_District_33" TargetMode="External"/><Relationship Id="rId7" Type="http://schemas.openxmlformats.org/officeDocument/2006/relationships/hyperlink" Target="https://en.wikipedia.org/wiki/Daniel_Riemer" TargetMode="External"/><Relationship Id="rId145" Type="http://schemas.openxmlformats.org/officeDocument/2006/relationships/hyperlink" Target="https://en.wikipedia.org/wiki/Jennifer_Shilling" TargetMode="External"/><Relationship Id="rId8" Type="http://schemas.openxmlformats.org/officeDocument/2006/relationships/hyperlink" Target="https://en.wikipedia.org/wiki/JoCasta_Zamarripa" TargetMode="External"/><Relationship Id="rId144" Type="http://schemas.openxmlformats.org/officeDocument/2006/relationships/hyperlink" Target="https://en.wikipedia.org/wiki/Wisconsin_Senate,_District_32" TargetMode="External"/><Relationship Id="rId139" Type="http://schemas.openxmlformats.org/officeDocument/2006/relationships/hyperlink" Target="https://en.wikipedia.org/wiki/Wisconsin_Senate,_District_29" TargetMode="External"/><Relationship Id="rId138" Type="http://schemas.openxmlformats.org/officeDocument/2006/relationships/hyperlink" Target="https://en.wikipedia.org/wiki/David_Craig_(Wisconsin_politician)" TargetMode="External"/><Relationship Id="rId137" Type="http://schemas.openxmlformats.org/officeDocument/2006/relationships/hyperlink" Target="https://en.wikipedia.org/wiki/Wisconsin_Senate,_District_28" TargetMode="External"/><Relationship Id="rId132" Type="http://schemas.openxmlformats.org/officeDocument/2006/relationships/hyperlink" Target="https://en.wikipedia.org/wiki/Janet_Bewley_(Wisconsin_politician)" TargetMode="External"/><Relationship Id="rId131" Type="http://schemas.openxmlformats.org/officeDocument/2006/relationships/hyperlink" Target="https://en.wikipedia.org/wiki/Wisconsin_Senate,_District_25" TargetMode="External"/><Relationship Id="rId130" Type="http://schemas.openxmlformats.org/officeDocument/2006/relationships/hyperlink" Target="https://en.wikipedia.org/wiki/Patrick_Testin" TargetMode="External"/><Relationship Id="rId136" Type="http://schemas.openxmlformats.org/officeDocument/2006/relationships/hyperlink" Target="https://en.wikipedia.org/wiki/Jon_Erpenbach" TargetMode="External"/><Relationship Id="rId135" Type="http://schemas.openxmlformats.org/officeDocument/2006/relationships/hyperlink" Target="https://en.wikipedia.org/wiki/Wisconsin_Senate,_District_27" TargetMode="External"/><Relationship Id="rId134" Type="http://schemas.openxmlformats.org/officeDocument/2006/relationships/hyperlink" Target="https://en.wikipedia.org/wiki/Fred_Risser" TargetMode="External"/><Relationship Id="rId133" Type="http://schemas.openxmlformats.org/officeDocument/2006/relationships/hyperlink" Target="https://en.wikipedia.org/wiki/Wisconsin_Senate,_District_26" TargetMode="External"/><Relationship Id="rId40" Type="http://schemas.openxmlformats.org/officeDocument/2006/relationships/hyperlink" Target="https://en.wikipedia.org/wiki/Gary_Hebl" TargetMode="External"/><Relationship Id="rId42" Type="http://schemas.openxmlformats.org/officeDocument/2006/relationships/hyperlink" Target="https://en.wikipedia.org/wiki/Melissa_Sargent_(legislator)" TargetMode="External"/><Relationship Id="rId41" Type="http://schemas.openxmlformats.org/officeDocument/2006/relationships/hyperlink" Target="https://en.wikipedia.org/wiki/Jimmy_P._Anderson" TargetMode="External"/><Relationship Id="rId44" Type="http://schemas.openxmlformats.org/officeDocument/2006/relationships/hyperlink" Target="https://en.wikipedia.org/wiki/Todd_Novak" TargetMode="External"/><Relationship Id="rId43" Type="http://schemas.openxmlformats.org/officeDocument/2006/relationships/hyperlink" Target="https://en.wikipedia.org/wiki/Travis_Tranel" TargetMode="External"/><Relationship Id="rId46" Type="http://schemas.openxmlformats.org/officeDocument/2006/relationships/hyperlink" Target="https://en.wikipedia.org/wiki/Michael_Schraa" TargetMode="External"/><Relationship Id="rId45" Type="http://schemas.openxmlformats.org/officeDocument/2006/relationships/hyperlink" Target="https://en.wikipedia.org/wiki/Jeremy_Thiesfeldt" TargetMode="External"/><Relationship Id="rId48" Type="http://schemas.openxmlformats.org/officeDocument/2006/relationships/hyperlink" Target="https://en.wikipedia.org/wiki/Mike_Rohrkaste" TargetMode="External"/><Relationship Id="rId47" Type="http://schemas.openxmlformats.org/officeDocument/2006/relationships/hyperlink" Target="https://en.wikipedia.org/wiki/Gordon_Hintz" TargetMode="External"/><Relationship Id="rId49" Type="http://schemas.openxmlformats.org/officeDocument/2006/relationships/hyperlink" Target="https://en.wikipedia.org/wiki/Dave_Murphy_(Wisconsin_politician)" TargetMode="External"/><Relationship Id="rId31" Type="http://schemas.openxmlformats.org/officeDocument/2006/relationships/hyperlink" Target="https://en.wikipedia.org/wiki/Jeffrey_Mursau" TargetMode="External"/><Relationship Id="rId30" Type="http://schemas.openxmlformats.org/officeDocument/2006/relationships/hyperlink" Target="https://en.wikipedia.org/wiki/Mary_Felzkowski" TargetMode="External"/><Relationship Id="rId33" Type="http://schemas.openxmlformats.org/officeDocument/2006/relationships/hyperlink" Target="https://en.wikipedia.org/wiki/Mark_Born" TargetMode="External"/><Relationship Id="rId32" Type="http://schemas.openxmlformats.org/officeDocument/2006/relationships/hyperlink" Target="https://en.wikipedia.org/wiki/John_Jagler" TargetMode="External"/><Relationship Id="rId35" Type="http://schemas.openxmlformats.org/officeDocument/2006/relationships/hyperlink" Target="https://en.wikipedia.org/wiki/Joan_Ballweg" TargetMode="External"/><Relationship Id="rId34" Type="http://schemas.openxmlformats.org/officeDocument/2006/relationships/hyperlink" Target="https://en.wikipedia.org/wiki/Kevin_David_Petersen" TargetMode="External"/><Relationship Id="rId37" Type="http://schemas.openxmlformats.org/officeDocument/2006/relationships/hyperlink" Target="https://en.wikipedia.org/wiki/Don_Vruwink" TargetMode="External"/><Relationship Id="rId36" Type="http://schemas.openxmlformats.org/officeDocument/2006/relationships/hyperlink" Target="https://en.wikipedia.org/wiki/Jon_Plumer" TargetMode="External"/><Relationship Id="rId39" Type="http://schemas.openxmlformats.org/officeDocument/2006/relationships/hyperlink" Target="https://en.wikipedia.org/wiki/Mark_Spreitzer" TargetMode="External"/><Relationship Id="rId38" Type="http://schemas.openxmlformats.org/officeDocument/2006/relationships/hyperlink" Target="https://en.wikipedia.org/wiki/Debra_Kolste" TargetMode="External"/><Relationship Id="rId20" Type="http://schemas.openxmlformats.org/officeDocument/2006/relationships/hyperlink" Target="https://en.wikipedia.org/wiki/Dan_Knodl" TargetMode="External"/><Relationship Id="rId22" Type="http://schemas.openxmlformats.org/officeDocument/2006/relationships/hyperlink" Target="https://en.wikipedia.org/wiki/Terry_Katsma" TargetMode="External"/><Relationship Id="rId21" Type="http://schemas.openxmlformats.org/officeDocument/2006/relationships/hyperlink" Target="https://en.wikipedia.org/wiki/Paul_Tittl" TargetMode="External"/><Relationship Id="rId24" Type="http://schemas.openxmlformats.org/officeDocument/2006/relationships/hyperlink" Target="https://en.wikipedia.org/wiki/Rob_Stafsholt" TargetMode="External"/><Relationship Id="rId23" Type="http://schemas.openxmlformats.org/officeDocument/2006/relationships/hyperlink" Target="https://en.wikipedia.org/wiki/Tyler_Vorpagel" TargetMode="External"/><Relationship Id="rId26" Type="http://schemas.openxmlformats.org/officeDocument/2006/relationships/hyperlink" Target="https://en.wikipedia.org/wiki/Amy_Loudenbeck" TargetMode="External"/><Relationship Id="rId25" Type="http://schemas.openxmlformats.org/officeDocument/2006/relationships/hyperlink" Target="https://en.wikipedia.org/wiki/Shannon_Zimmerman" TargetMode="External"/><Relationship Id="rId28" Type="http://schemas.openxmlformats.org/officeDocument/2006/relationships/hyperlink" Target="https://en.wikipedia.org/wiki/Cody_Horlacher" TargetMode="External"/><Relationship Id="rId27" Type="http://schemas.openxmlformats.org/officeDocument/2006/relationships/hyperlink" Target="https://en.wikipedia.org/wiki/Tyler_August" TargetMode="External"/><Relationship Id="rId29" Type="http://schemas.openxmlformats.org/officeDocument/2006/relationships/hyperlink" Target="https://en.wikipedia.org/wiki/Rob_Swearingen" TargetMode="External"/><Relationship Id="rId11" Type="http://schemas.openxmlformats.org/officeDocument/2006/relationships/hyperlink" Target="https://en.wikipedia.org/wiki/Rob_Hutton" TargetMode="External"/><Relationship Id="rId10" Type="http://schemas.openxmlformats.org/officeDocument/2006/relationships/hyperlink" Target="https://en.wikipedia.org/wiki/Jason_Fields" TargetMode="External"/><Relationship Id="rId13" Type="http://schemas.openxmlformats.org/officeDocument/2006/relationships/hyperlink" Target="https://en.wikipedia.org/wiki/David_Crowley_(Wisconsin_politician)" TargetMode="External"/><Relationship Id="rId12" Type="http://schemas.openxmlformats.org/officeDocument/2006/relationships/hyperlink" Target="https://en.wikipedia.org/wiki/Joe_Sanfelippo" TargetMode="External"/><Relationship Id="rId15" Type="http://schemas.openxmlformats.org/officeDocument/2006/relationships/hyperlink" Target="https://en.wikipedia.org/wiki/Jonathan_Brostoff" TargetMode="External"/><Relationship Id="rId14" Type="http://schemas.openxmlformats.org/officeDocument/2006/relationships/hyperlink" Target="https://en.wikipedia.org/wiki/Evan_Goyke" TargetMode="External"/><Relationship Id="rId17" Type="http://schemas.openxmlformats.org/officeDocument/2006/relationships/hyperlink" Target="https://en.wikipedia.org/wiki/Jessie_Rodriguez" TargetMode="External"/><Relationship Id="rId16" Type="http://schemas.openxmlformats.org/officeDocument/2006/relationships/hyperlink" Target="https://en.wikipedia.org/wiki/Christine_Sinicki" TargetMode="External"/><Relationship Id="rId19" Type="http://schemas.openxmlformats.org/officeDocument/2006/relationships/hyperlink" Target="https://en.wikipedia.org/wiki/Jim_Ott" TargetMode="External"/><Relationship Id="rId18" Type="http://schemas.openxmlformats.org/officeDocument/2006/relationships/hyperlink" Target="https://en.wikipedia.org/wiki/Janel_Brandtjen" TargetMode="External"/><Relationship Id="rId84" Type="http://schemas.openxmlformats.org/officeDocument/2006/relationships/hyperlink" Target="https://en.wikipedia.org/wiki/Cindi_Duchow" TargetMode="External"/><Relationship Id="rId83" Type="http://schemas.openxmlformats.org/officeDocument/2006/relationships/hyperlink" Target="https://en.wikipedia.org/wiki/Adam_Neylon" TargetMode="External"/><Relationship Id="rId86" Type="http://schemas.openxmlformats.org/officeDocument/2006/relationships/hyperlink" Target="https://docs.legis.wisconsin.gov/2017/legislators/senate" TargetMode="External"/><Relationship Id="rId85" Type="http://schemas.openxmlformats.org/officeDocument/2006/relationships/hyperlink" Target="https://en.wikipedia.org/wiki/Wisconsin_Senate,_District_1" TargetMode="External"/><Relationship Id="rId88" Type="http://schemas.openxmlformats.org/officeDocument/2006/relationships/hyperlink" Target="https://en.wikipedia.org/wiki/Robert_Cowles" TargetMode="External"/><Relationship Id="rId87" Type="http://schemas.openxmlformats.org/officeDocument/2006/relationships/hyperlink" Target="https://en.wikipedia.org/wiki/Wisconsin_Senate,_District_2" TargetMode="External"/><Relationship Id="rId89" Type="http://schemas.openxmlformats.org/officeDocument/2006/relationships/hyperlink" Target="http://www.wcasa.org/file_open.php?id=1301" TargetMode="External"/><Relationship Id="rId80" Type="http://schemas.openxmlformats.org/officeDocument/2006/relationships/hyperlink" Target="https://en.wikipedia.org/wiki/Steve_Doyle_(Wisconsin_politician)" TargetMode="External"/><Relationship Id="rId82" Type="http://schemas.openxmlformats.org/officeDocument/2006/relationships/hyperlink" Target="https://en.wikipedia.org/wiki/Scott_Allen_(legislator)" TargetMode="External"/><Relationship Id="rId81" Type="http://schemas.openxmlformats.org/officeDocument/2006/relationships/hyperlink" Target="https://en.wikipedia.org/wiki/Jill_Billings" TargetMode="External"/><Relationship Id="rId73" Type="http://schemas.openxmlformats.org/officeDocument/2006/relationships/hyperlink" Target="https://en.wikipedia.org/wiki/Patrick_Snyder" TargetMode="External"/><Relationship Id="rId72" Type="http://schemas.openxmlformats.org/officeDocument/2006/relationships/hyperlink" Target="https://en.wikipedia.org/wiki/Mike_Kuglitsch" TargetMode="External"/><Relationship Id="rId75" Type="http://schemas.openxmlformats.org/officeDocument/2006/relationships/hyperlink" Target="https://en.wikipedia.org/wiki/James_W._Edming" TargetMode="External"/><Relationship Id="rId74" Type="http://schemas.openxmlformats.org/officeDocument/2006/relationships/hyperlink" Target="https://en.wikipedia.org/wiki/John_Spiros" TargetMode="External"/><Relationship Id="rId77" Type="http://schemas.openxmlformats.org/officeDocument/2006/relationships/hyperlink" Target="https://en.wikipedia.org/wiki/John_Nygren" TargetMode="External"/><Relationship Id="rId76" Type="http://schemas.openxmlformats.org/officeDocument/2006/relationships/hyperlink" Target="https://en.wikipedia.org/wiki/John_Macco" TargetMode="External"/><Relationship Id="rId79" Type="http://schemas.openxmlformats.org/officeDocument/2006/relationships/hyperlink" Target="https://en.wikipedia.org/wiki/Warren_Petryk" TargetMode="External"/><Relationship Id="rId78" Type="http://schemas.openxmlformats.org/officeDocument/2006/relationships/hyperlink" Target="https://en.wikipedia.org/wiki/Treig_Pronschinske" TargetMode="External"/><Relationship Id="rId71" Type="http://schemas.openxmlformats.org/officeDocument/2006/relationships/hyperlink" Target="https://en.wikipedia.org/wiki/Chuck_Wichgers" TargetMode="External"/><Relationship Id="rId70" Type="http://schemas.openxmlformats.org/officeDocument/2006/relationships/hyperlink" Target="https://en.wikipedia.org/wiki/Ken_Skowronski" TargetMode="External"/><Relationship Id="rId62" Type="http://schemas.openxmlformats.org/officeDocument/2006/relationships/hyperlink" Target="https://en.wikipedia.org/wiki/Nick_Milroy" TargetMode="External"/><Relationship Id="rId61" Type="http://schemas.openxmlformats.org/officeDocument/2006/relationships/hyperlink" Target="https://en.wikipedia.org/wiki/Scott_Krug" TargetMode="External"/><Relationship Id="rId64" Type="http://schemas.openxmlformats.org/officeDocument/2006/relationships/hyperlink" Target="https://en.wikipedia.org/wiki/Romaine_Quinn" TargetMode="External"/><Relationship Id="rId63" Type="http://schemas.openxmlformats.org/officeDocument/2006/relationships/hyperlink" Target="https://en.wikipedia.org/wiki/Beth_Meyers" TargetMode="External"/><Relationship Id="rId66" Type="http://schemas.openxmlformats.org/officeDocument/2006/relationships/hyperlink" Target="https://en.wikipedia.org/wiki/Lisa_Subeck" TargetMode="External"/><Relationship Id="rId65" Type="http://schemas.openxmlformats.org/officeDocument/2006/relationships/hyperlink" Target="https://en.wikipedia.org/wiki/Chris_Taylor_(legislator)" TargetMode="External"/><Relationship Id="rId68" Type="http://schemas.openxmlformats.org/officeDocument/2006/relationships/hyperlink" Target="https://en.wikipedia.org/wiki/Sondy_Pope-Roberts" TargetMode="External"/><Relationship Id="rId67" Type="http://schemas.openxmlformats.org/officeDocument/2006/relationships/hyperlink" Target="https://en.wikipedia.org/wiki/Dianne_Hesselbein" TargetMode="External"/><Relationship Id="rId60" Type="http://schemas.openxmlformats.org/officeDocument/2006/relationships/hyperlink" Target="https://en.wikipedia.org/wiki/Katrina_Shankland" TargetMode="External"/><Relationship Id="rId69" Type="http://schemas.openxmlformats.org/officeDocument/2006/relationships/hyperlink" Target="https://en.wikipedia.org/wiki/Dave_Considine_(Wisconsin)" TargetMode="External"/><Relationship Id="rId51" Type="http://schemas.openxmlformats.org/officeDocument/2006/relationships/hyperlink" Target="https://en.wikipedia.org/wiki/Robert_Brooks_(Wisconsin_politician)" TargetMode="External"/><Relationship Id="rId50" Type="http://schemas.openxmlformats.org/officeDocument/2006/relationships/hyperlink" Target="https://en.wikipedia.org/wiki/Amanda_Stuck" TargetMode="External"/><Relationship Id="rId53" Type="http://schemas.openxmlformats.org/officeDocument/2006/relationships/hyperlink" Target="https://en.wikipedia.org/wiki/Robin_Vos" TargetMode="External"/><Relationship Id="rId52" Type="http://schemas.openxmlformats.org/officeDocument/2006/relationships/hyperlink" Target="https://en.wikipedia.org/wiki/Samantha_Kerkman" TargetMode="External"/><Relationship Id="rId55" Type="http://schemas.openxmlformats.org/officeDocument/2006/relationships/hyperlink" Target="https://en.wikipedia.org/wiki/Tod_Ohnstad" TargetMode="External"/><Relationship Id="rId54" Type="http://schemas.openxmlformats.org/officeDocument/2006/relationships/hyperlink" Target="https://en.wikipedia.org/wiki/Peter_Barca" TargetMode="External"/><Relationship Id="rId57" Type="http://schemas.openxmlformats.org/officeDocument/2006/relationships/hyperlink" Target="https://en.wikipedia.org/wiki/Rob_Summerfield" TargetMode="External"/><Relationship Id="rId56" Type="http://schemas.openxmlformats.org/officeDocument/2006/relationships/hyperlink" Target="https://en.wikipedia.org/wiki/Greta_Neubauer" TargetMode="External"/><Relationship Id="rId59" Type="http://schemas.openxmlformats.org/officeDocument/2006/relationships/hyperlink" Target="https://en.wikipedia.org/wiki/Nancy_L._VanderMeer" TargetMode="External"/><Relationship Id="rId58" Type="http://schemas.openxmlformats.org/officeDocument/2006/relationships/hyperlink" Target="https://en.wikipedia.org/wiki/Bob_Kulp" TargetMode="External"/><Relationship Id="rId107" Type="http://schemas.openxmlformats.org/officeDocument/2006/relationships/hyperlink" Target="https://en.wikipedia.org/wiki/Tom_Tiffany" TargetMode="External"/><Relationship Id="rId106" Type="http://schemas.openxmlformats.org/officeDocument/2006/relationships/hyperlink" Target="https://en.wikipedia.org/wiki/Wisconsin_Senate,_District_12" TargetMode="External"/><Relationship Id="rId105" Type="http://schemas.openxmlformats.org/officeDocument/2006/relationships/hyperlink" Target="https://en.wikipedia.org/wiki/Stephen_Nass" TargetMode="External"/><Relationship Id="rId104" Type="http://schemas.openxmlformats.org/officeDocument/2006/relationships/hyperlink" Target="https://en.wikipedia.org/wiki/Wisconsin_Senate,_District_11" TargetMode="External"/><Relationship Id="rId109" Type="http://schemas.openxmlformats.org/officeDocument/2006/relationships/hyperlink" Target="https://en.wikipedia.org/wiki/Scott_L._Fitzgerald" TargetMode="External"/><Relationship Id="rId108" Type="http://schemas.openxmlformats.org/officeDocument/2006/relationships/hyperlink" Target="https://en.wikipedia.org/wiki/Wisconsin_Senate,_District_13" TargetMode="External"/><Relationship Id="rId103" Type="http://schemas.openxmlformats.org/officeDocument/2006/relationships/hyperlink" Target="https://en.wikipedia.org/wiki/Patty_Schachtner" TargetMode="External"/><Relationship Id="rId102" Type="http://schemas.openxmlformats.org/officeDocument/2006/relationships/hyperlink" Target="https://en.wikipedia.org/wiki/Wisconsin_Senate,_District_10" TargetMode="External"/><Relationship Id="rId101" Type="http://schemas.openxmlformats.org/officeDocument/2006/relationships/hyperlink" Target="https://en.wikipedia.org/wiki/Devin_LeMahieu" TargetMode="External"/><Relationship Id="rId100" Type="http://schemas.openxmlformats.org/officeDocument/2006/relationships/hyperlink" Target="https://en.wikipedia.org/wiki/Wisconsin_Senate,_District_9" TargetMode="External"/><Relationship Id="rId129" Type="http://schemas.openxmlformats.org/officeDocument/2006/relationships/hyperlink" Target="https://en.wikipedia.org/wiki/Wisconsin_Senate,_District_24" TargetMode="External"/><Relationship Id="rId128" Type="http://schemas.openxmlformats.org/officeDocument/2006/relationships/hyperlink" Target="https://en.wikipedia.org/wiki/Wisconsin_Senate,_District_23" TargetMode="External"/><Relationship Id="rId127" Type="http://schemas.openxmlformats.org/officeDocument/2006/relationships/hyperlink" Target="https://en.wikipedia.org/wiki/Robert_Wirch" TargetMode="External"/><Relationship Id="rId126" Type="http://schemas.openxmlformats.org/officeDocument/2006/relationships/hyperlink" Target="https://en.wikipedia.org/wiki/Wisconsin_Senate,_District_22" TargetMode="External"/><Relationship Id="rId121" Type="http://schemas.openxmlformats.org/officeDocument/2006/relationships/hyperlink" Target="https://en.wikipedia.org/wiki/Roger_Roth" TargetMode="External"/><Relationship Id="rId120" Type="http://schemas.openxmlformats.org/officeDocument/2006/relationships/hyperlink" Target="https://en.wikipedia.org/wiki/Wisconsin_Senate,_District_19" TargetMode="External"/><Relationship Id="rId125" Type="http://schemas.openxmlformats.org/officeDocument/2006/relationships/hyperlink" Target="https://en.wikipedia.org/wiki/Van_H._Wanggaard" TargetMode="External"/><Relationship Id="rId124" Type="http://schemas.openxmlformats.org/officeDocument/2006/relationships/hyperlink" Target="https://en.wikipedia.org/wiki/Wisconsin_Senate,_District_21" TargetMode="External"/><Relationship Id="rId123" Type="http://schemas.openxmlformats.org/officeDocument/2006/relationships/hyperlink" Target="https://en.wikipedia.org/wiki/Duey_Stroebel" TargetMode="External"/><Relationship Id="rId122" Type="http://schemas.openxmlformats.org/officeDocument/2006/relationships/hyperlink" Target="https://en.wikipedia.org/wiki/Wisconsin_Senate,_District_20" TargetMode="External"/><Relationship Id="rId95" Type="http://schemas.openxmlformats.org/officeDocument/2006/relationships/hyperlink" Target="https://en.wikipedia.org/wiki/Wisconsin_Senate,_District_6" TargetMode="External"/><Relationship Id="rId94" Type="http://schemas.openxmlformats.org/officeDocument/2006/relationships/hyperlink" Target="https://en.wikipedia.org/wiki/Wisconsin_Senate,_District_5" TargetMode="External"/><Relationship Id="rId97" Type="http://schemas.openxmlformats.org/officeDocument/2006/relationships/hyperlink" Target="https://en.wikipedia.org/wiki/Chris_Larson" TargetMode="External"/><Relationship Id="rId96" Type="http://schemas.openxmlformats.org/officeDocument/2006/relationships/hyperlink" Target="https://en.wikipedia.org/wiki/Wisconsin_Senate,_District_7" TargetMode="External"/><Relationship Id="rId99" Type="http://schemas.openxmlformats.org/officeDocument/2006/relationships/hyperlink" Target="https://en.wikipedia.org/wiki/Alberta_Darling" TargetMode="External"/><Relationship Id="rId98" Type="http://schemas.openxmlformats.org/officeDocument/2006/relationships/hyperlink" Target="https://en.wikipedia.org/wiki/Wisconsin_Senate,_District_8" TargetMode="External"/><Relationship Id="rId91" Type="http://schemas.openxmlformats.org/officeDocument/2006/relationships/hyperlink" Target="https://en.wikipedia.org/wiki/Tim_Carpenter" TargetMode="External"/><Relationship Id="rId90" Type="http://schemas.openxmlformats.org/officeDocument/2006/relationships/hyperlink" Target="https://en.wikipedia.org/wiki/Wisconsin_Senate,_District_3" TargetMode="External"/><Relationship Id="rId93" Type="http://schemas.openxmlformats.org/officeDocument/2006/relationships/hyperlink" Target="https://en.wikipedia.org/wiki/Lena_Taylor" TargetMode="External"/><Relationship Id="rId92" Type="http://schemas.openxmlformats.org/officeDocument/2006/relationships/hyperlink" Target="https://en.wikipedia.org/wiki/Wisconsin_Senate,_District_4" TargetMode="External"/><Relationship Id="rId118" Type="http://schemas.openxmlformats.org/officeDocument/2006/relationships/hyperlink" Target="https://en.wikipedia.org/wiki/Wisconsin_Senate,_District_18" TargetMode="External"/><Relationship Id="rId117" Type="http://schemas.openxmlformats.org/officeDocument/2006/relationships/hyperlink" Target="https://en.wikipedia.org/wiki/Howard_Marklein" TargetMode="External"/><Relationship Id="rId116" Type="http://schemas.openxmlformats.org/officeDocument/2006/relationships/hyperlink" Target="https://en.wikipedia.org/wiki/Wisconsin_Senate,_District_17" TargetMode="External"/><Relationship Id="rId115" Type="http://schemas.openxmlformats.org/officeDocument/2006/relationships/hyperlink" Target="https://en.wikipedia.org/wiki/Mark_F._Miller" TargetMode="External"/><Relationship Id="rId119" Type="http://schemas.openxmlformats.org/officeDocument/2006/relationships/hyperlink" Target="https://en.wikipedia.org/wiki/Dan_Feyen" TargetMode="External"/><Relationship Id="rId110" Type="http://schemas.openxmlformats.org/officeDocument/2006/relationships/hyperlink" Target="https://en.wikipedia.org/wiki/Wisconsin_Senate,_District_14" TargetMode="External"/><Relationship Id="rId114" Type="http://schemas.openxmlformats.org/officeDocument/2006/relationships/hyperlink" Target="https://en.wikipedia.org/wiki/Wisconsin_Senate,_District_16" TargetMode="External"/><Relationship Id="rId113" Type="http://schemas.openxmlformats.org/officeDocument/2006/relationships/hyperlink" Target="https://en.wikipedia.org/wiki/Janis_Ringhand" TargetMode="External"/><Relationship Id="rId112" Type="http://schemas.openxmlformats.org/officeDocument/2006/relationships/hyperlink" Target="https://en.wikipedia.org/wiki/Wisconsin_Senate,_District_15" TargetMode="External"/><Relationship Id="rId111" Type="http://schemas.openxmlformats.org/officeDocument/2006/relationships/hyperlink" Target="https://en.wikipedia.org/wiki/Luther_Olsen"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s://en.wikipedia.org/wiki/Bill_Henderson_(Wyoming_politician)" TargetMode="External"/><Relationship Id="rId2" Type="http://schemas.openxmlformats.org/officeDocument/2006/relationships/hyperlink" Target="https://en.wikipedia.org/wiki/Jim_Blackburn_(politician)" TargetMode="External"/><Relationship Id="rId3" Type="http://schemas.openxmlformats.org/officeDocument/2006/relationships/hyperlink" Target="https://en.wikipedia.org/wiki/Dan_Zwonitzer" TargetMode="External"/><Relationship Id="rId4" Type="http://schemas.openxmlformats.org/officeDocument/2006/relationships/hyperlink" Target="https://en.wikipedia.org/wiki/Charles_Pelkey" TargetMode="External"/><Relationship Id="rId9" Type="http://schemas.openxmlformats.org/officeDocument/2006/relationships/hyperlink" Target="https://en.wikipedia.org/wiki/David_Northrup" TargetMode="External"/><Relationship Id="rId5" Type="http://schemas.openxmlformats.org/officeDocument/2006/relationships/hyperlink" Target="https://en.wikipedia.org/wiki/Bill_Haley_(Wyoming_politician)" TargetMode="External"/><Relationship Id="rId6" Type="http://schemas.openxmlformats.org/officeDocument/2006/relationships/hyperlink" Target="https://en.wikipedia.org/wiki/Jerry_Paxton" TargetMode="External"/><Relationship Id="rId7" Type="http://schemas.openxmlformats.org/officeDocument/2006/relationships/hyperlink" Target="https://en.wikipedia.org/wiki/Clark_Stith" TargetMode="External"/><Relationship Id="rId8" Type="http://schemas.openxmlformats.org/officeDocument/2006/relationships/hyperlink" Target="https://en.wikipedia.org/wiki/Garry_Piiparinen" TargetMode="External"/><Relationship Id="rId31" Type="http://schemas.openxmlformats.org/officeDocument/2006/relationships/hyperlink" Target="https://en.wikipedia.org/wiki/Dave_Kinskey" TargetMode="External"/><Relationship Id="rId30" Type="http://schemas.openxmlformats.org/officeDocument/2006/relationships/hyperlink" Target="https://en.wikipedia.org/wiki/Wyatt_Agar" TargetMode="External"/><Relationship Id="rId33" Type="http://schemas.openxmlformats.org/officeDocument/2006/relationships/hyperlink" Target="https://en.wikipedia.org/wiki/Michael_Von_Flatern" TargetMode="External"/><Relationship Id="rId32" Type="http://schemas.openxmlformats.org/officeDocument/2006/relationships/hyperlink" Target="https://en.wikipedia.org/wiki/Jeff_Wasserburger" TargetMode="External"/><Relationship Id="rId35" Type="http://schemas.openxmlformats.org/officeDocument/2006/relationships/hyperlink" Target="https://en.wikipedia.org/wiki/Eli_Bebout" TargetMode="External"/><Relationship Id="rId34" Type="http://schemas.openxmlformats.org/officeDocument/2006/relationships/hyperlink" Target="https://en.wikipedia.org/wiki/Cale_Case" TargetMode="External"/><Relationship Id="rId37" Type="http://schemas.openxmlformats.org/officeDocument/2006/relationships/hyperlink" Target="https://en.wikipedia.org/wiki/Drew_Perkins" TargetMode="External"/><Relationship Id="rId36" Type="http://schemas.openxmlformats.org/officeDocument/2006/relationships/hyperlink" Target="https://en.wikipedia.org/wiki/Bill_Landen" TargetMode="External"/><Relationship Id="rId39" Type="http://schemas.openxmlformats.org/officeDocument/2006/relationships/drawing" Target="../drawings/drawing51.xml"/><Relationship Id="rId38" Type="http://schemas.openxmlformats.org/officeDocument/2006/relationships/hyperlink" Target="https://en.wikipedia.org/wiki/Charles_Scott_(Wyoming_politician)" TargetMode="External"/><Relationship Id="rId20" Type="http://schemas.openxmlformats.org/officeDocument/2006/relationships/hyperlink" Target="https://en.wikipedia.org/wiki/Brian_Boner" TargetMode="External"/><Relationship Id="rId22" Type="http://schemas.openxmlformats.org/officeDocument/2006/relationships/hyperlink" Target="https://en.wikipedia.org/wiki/Anthony_Bouchard" TargetMode="External"/><Relationship Id="rId21" Type="http://schemas.openxmlformats.org/officeDocument/2006/relationships/hyperlink" Target="https://en.wikipedia.org/wiki/Tara_Nethercott" TargetMode="External"/><Relationship Id="rId24" Type="http://schemas.openxmlformats.org/officeDocument/2006/relationships/hyperlink" Target="https://en.wikipedia.org/wiki/Affie_Ellis" TargetMode="External"/><Relationship Id="rId23" Type="http://schemas.openxmlformats.org/officeDocument/2006/relationships/hyperlink" Target="https://en.wikipedia.org/wiki/Stephan_Pappas" TargetMode="External"/><Relationship Id="rId26" Type="http://schemas.openxmlformats.org/officeDocument/2006/relationships/hyperlink" Target="https://en.wikipedia.org/wiki/Glenn_Moniz" TargetMode="External"/><Relationship Id="rId25" Type="http://schemas.openxmlformats.org/officeDocument/2006/relationships/hyperlink" Target="https://en.wikipedia.org/wiki/Chris_Rothfuss" TargetMode="External"/><Relationship Id="rId28" Type="http://schemas.openxmlformats.org/officeDocument/2006/relationships/hyperlink" Target="https://en.wikipedia.org/wiki/Fred_Baldwin" TargetMode="External"/><Relationship Id="rId27" Type="http://schemas.openxmlformats.org/officeDocument/2006/relationships/hyperlink" Target="https://en.wikipedia.org/wiki/Larry_S._Hicks" TargetMode="External"/><Relationship Id="rId29" Type="http://schemas.openxmlformats.org/officeDocument/2006/relationships/hyperlink" Target="https://en.wikipedia.org/wiki/Hank_Coe" TargetMode="External"/><Relationship Id="rId11" Type="http://schemas.openxmlformats.org/officeDocument/2006/relationships/hyperlink" Target="https://en.wikipedia.org/wiki/Roy_Edwards" TargetMode="External"/><Relationship Id="rId10" Type="http://schemas.openxmlformats.org/officeDocument/2006/relationships/hyperlink" Target="https://en.wikipedia.org/wiki/William_Pownall" TargetMode="External"/><Relationship Id="rId13" Type="http://schemas.openxmlformats.org/officeDocument/2006/relationships/hyperlink" Target="https://en.wikipedia.org/wiki/David_Miller_(Wyoming_politician)" TargetMode="External"/><Relationship Id="rId12" Type="http://schemas.openxmlformats.org/officeDocument/2006/relationships/hyperlink" Target="https://en.wikipedia.org/wiki/Lloyd_Larsen" TargetMode="External"/><Relationship Id="rId15" Type="http://schemas.openxmlformats.org/officeDocument/2006/relationships/hyperlink" Target="https://en.wikipedia.org/wiki/Chuck_Gray" TargetMode="External"/><Relationship Id="rId14" Type="http://schemas.openxmlformats.org/officeDocument/2006/relationships/hyperlink" Target="https://en.wikipedia.org/wiki/Jerry_Obermueller" TargetMode="External"/><Relationship Id="rId17" Type="http://schemas.openxmlformats.org/officeDocument/2006/relationships/hyperlink" Target="https://en.wikipedia.org/wiki/Bunky_Loucks" TargetMode="External"/><Relationship Id="rId16" Type="http://schemas.openxmlformats.org/officeDocument/2006/relationships/hyperlink" Target="https://en.wikipedia.org/wiki/Pat_Sweeney" TargetMode="External"/><Relationship Id="rId19" Type="http://schemas.openxmlformats.org/officeDocument/2006/relationships/hyperlink" Target="https://en.wikipedia.org/wiki/Ogden_Driskill" TargetMode="External"/><Relationship Id="rId18" Type="http://schemas.openxmlformats.org/officeDocument/2006/relationships/hyperlink" Target="https://en.wikipedia.org/wiki/John_Freeman_(Wyoming_politician)"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https://house.texas.gov/members/member-page/email/?district=25" TargetMode="External"/><Relationship Id="rId2" Type="http://schemas.openxmlformats.org/officeDocument/2006/relationships/drawing" Target="../drawings/drawing5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5" max="6" width="24.0"/>
    <col customWidth="1" min="14" max="15" width="16.29"/>
    <col customWidth="1" min="16" max="16" width="28.14"/>
  </cols>
  <sheetData>
    <row r="1">
      <c r="B1" s="6" t="s">
        <v>10</v>
      </c>
      <c r="C1" s="6" t="s">
        <v>11</v>
      </c>
      <c r="D1" s="6" t="s">
        <v>12</v>
      </c>
      <c r="E1" s="8" t="s">
        <v>13</v>
      </c>
      <c r="F1" s="9" t="s">
        <v>15</v>
      </c>
      <c r="G1" s="12" t="s">
        <v>16</v>
      </c>
      <c r="H1" s="12" t="s">
        <v>17</v>
      </c>
      <c r="I1" s="12" t="s">
        <v>18</v>
      </c>
      <c r="J1" s="12" t="s">
        <v>19</v>
      </c>
      <c r="K1" s="14" t="s">
        <v>20</v>
      </c>
      <c r="N1" s="16" t="s">
        <v>21</v>
      </c>
      <c r="P1" s="14" t="s">
        <v>23</v>
      </c>
      <c r="Q1" s="14" t="s">
        <v>24</v>
      </c>
    </row>
    <row r="2">
      <c r="A2" s="14" t="s">
        <v>25</v>
      </c>
      <c r="B2" s="18"/>
      <c r="C2" s="6" t="s">
        <v>26</v>
      </c>
      <c r="D2" s="6" t="s">
        <v>26</v>
      </c>
      <c r="E2" s="22" t="str">
        <f>Alabama!G2</f>
        <v/>
      </c>
      <c r="F2" s="24"/>
      <c r="G2" s="29" t="str">
        <f t="shared" ref="G2:G51" si="2">if(isblank(E2),"",E2-today())</f>
        <v/>
      </c>
      <c r="H2" s="12" t="str">
        <f t="shared" ref="H2:H51" si="3">if(and(G2&gt;0,G2&lt;=14),A2,"")</f>
        <v/>
      </c>
      <c r="I2" s="32" t="str">
        <f t="shared" ref="I2:I51" si="4">if(and(G2&lt;32,G2&gt;14),A2,"")</f>
        <v/>
      </c>
      <c r="J2" t="str">
        <f t="shared" ref="J2:J51" si="5">if(G2&lt;0,A2,"")</f>
        <v/>
      </c>
      <c r="L2" t="str">
        <f>if($G$2&lt;0,"",$A$2)</f>
        <v>Alabama</v>
      </c>
      <c r="M2" t="str">
        <f t="shared" ref="M2:M51" si="6">if(L2="","",G2)</f>
        <v/>
      </c>
      <c r="N2" s="33" t="str">
        <f t="shared" ref="N2:O2" si="1">L$34</f>
        <v/>
      </c>
      <c r="O2" s="34" t="str">
        <f t="shared" si="1"/>
        <v/>
      </c>
    </row>
    <row r="3">
      <c r="A3" s="14" t="s">
        <v>46</v>
      </c>
      <c r="B3" s="18"/>
      <c r="C3" s="18"/>
      <c r="D3" s="6" t="s">
        <v>47</v>
      </c>
      <c r="E3" s="22" t="str">
        <f>Alaska!G2</f>
        <v/>
      </c>
      <c r="F3" s="24"/>
      <c r="G3" s="29" t="str">
        <f t="shared" si="2"/>
        <v/>
      </c>
      <c r="H3" s="12" t="str">
        <f t="shared" si="3"/>
        <v/>
      </c>
      <c r="I3" s="32" t="str">
        <f t="shared" si="4"/>
        <v/>
      </c>
      <c r="J3" t="str">
        <f t="shared" si="5"/>
        <v/>
      </c>
      <c r="L3" t="str">
        <f>if($G$3&lt;0,"",$A$3)</f>
        <v>Alaska</v>
      </c>
      <c r="M3" t="str">
        <f t="shared" si="6"/>
        <v/>
      </c>
      <c r="N3" s="33" t="str">
        <f t="shared" ref="N3:O3" si="7">L$19</f>
        <v/>
      </c>
      <c r="O3" s="34" t="str">
        <f t="shared" si="7"/>
        <v/>
      </c>
    </row>
    <row r="4">
      <c r="A4" s="14" t="s">
        <v>51</v>
      </c>
      <c r="B4" s="18"/>
      <c r="C4" s="6" t="s">
        <v>47</v>
      </c>
      <c r="D4" s="6" t="s">
        <v>47</v>
      </c>
      <c r="E4" s="22">
        <f>Arizona!G2</f>
        <v>43487</v>
      </c>
      <c r="F4" s="44" t="str">
        <f>HYPERLINK("https://www.azleg.gov/alispdfs/housedeadlines.pdf","1/14/2019")</f>
        <v>1/14/2019</v>
      </c>
      <c r="G4" s="29">
        <f t="shared" si="2"/>
        <v>-248</v>
      </c>
      <c r="H4" s="12" t="str">
        <f t="shared" si="3"/>
        <v/>
      </c>
      <c r="I4" s="32" t="str">
        <f t="shared" si="4"/>
        <v/>
      </c>
      <c r="J4" t="str">
        <f t="shared" si="5"/>
        <v>Arizona</v>
      </c>
      <c r="L4" t="str">
        <f>if($G$4&lt;0,"",$A$4)</f>
        <v/>
      </c>
      <c r="M4" t="str">
        <f t="shared" si="6"/>
        <v/>
      </c>
      <c r="N4" s="33" t="str">
        <f t="shared" ref="N4:O4" si="8">L$20</f>
        <v/>
      </c>
      <c r="O4" s="34" t="str">
        <f t="shared" si="8"/>
        <v/>
      </c>
    </row>
    <row r="5">
      <c r="A5" s="14" t="s">
        <v>56</v>
      </c>
      <c r="B5" s="18"/>
      <c r="C5" s="49">
        <v>43467.0</v>
      </c>
      <c r="D5" s="6" t="s">
        <v>47</v>
      </c>
      <c r="E5" s="22">
        <f>Arkansas!G2</f>
        <v>43535</v>
      </c>
      <c r="F5" s="52" t="s">
        <v>58</v>
      </c>
      <c r="G5" s="29">
        <f t="shared" si="2"/>
        <v>-200</v>
      </c>
      <c r="H5" s="12" t="str">
        <f t="shared" si="3"/>
        <v/>
      </c>
      <c r="I5" s="32" t="str">
        <f t="shared" si="4"/>
        <v/>
      </c>
      <c r="J5" t="str">
        <f t="shared" si="5"/>
        <v>Arkansas</v>
      </c>
      <c r="L5" t="str">
        <f>if($G$5&lt;0,"",$A$5)</f>
        <v/>
      </c>
      <c r="M5" t="str">
        <f t="shared" si="6"/>
        <v/>
      </c>
      <c r="N5" s="33" t="str">
        <f t="shared" ref="N5:O5" si="9">L$41</f>
        <v/>
      </c>
      <c r="O5" s="34" t="str">
        <f t="shared" si="9"/>
        <v/>
      </c>
    </row>
    <row r="6">
      <c r="A6" s="14" t="s">
        <v>64</v>
      </c>
      <c r="B6" s="6" t="s">
        <v>47</v>
      </c>
      <c r="C6" s="6"/>
      <c r="D6" s="6" t="s">
        <v>47</v>
      </c>
      <c r="E6" s="22">
        <f>California!G2</f>
        <v>43518</v>
      </c>
      <c r="F6" s="52" t="s">
        <v>65</v>
      </c>
      <c r="G6" s="29">
        <f t="shared" si="2"/>
        <v>-217</v>
      </c>
      <c r="H6" s="12" t="str">
        <f t="shared" si="3"/>
        <v/>
      </c>
      <c r="I6" s="32" t="str">
        <f t="shared" si="4"/>
        <v/>
      </c>
      <c r="J6" t="str">
        <f t="shared" si="5"/>
        <v>California</v>
      </c>
      <c r="L6" t="str">
        <f>if($G$6&lt;0,"",$A$6)</f>
        <v/>
      </c>
      <c r="M6" t="str">
        <f t="shared" si="6"/>
        <v/>
      </c>
      <c r="N6" s="33" t="str">
        <f t="shared" ref="N6:O6" si="10">L$33</f>
        <v/>
      </c>
      <c r="O6" s="34" t="str">
        <f t="shared" si="10"/>
        <v/>
      </c>
    </row>
    <row r="7">
      <c r="A7" s="14" t="s">
        <v>70</v>
      </c>
      <c r="B7" s="6" t="s">
        <v>47</v>
      </c>
      <c r="C7" s="6" t="s">
        <v>47</v>
      </c>
      <c r="D7" s="6" t="s">
        <v>47</v>
      </c>
      <c r="E7" s="22">
        <f>Colorado!G2</f>
        <v>43487</v>
      </c>
      <c r="F7" s="44" t="str">
        <f>HYPERLINK("https://www.assembly.ca.gov/legislativedeadlines","1/25/2019")</f>
        <v>1/25/2019</v>
      </c>
      <c r="G7" s="29">
        <f t="shared" si="2"/>
        <v>-248</v>
      </c>
      <c r="H7" s="12" t="str">
        <f t="shared" si="3"/>
        <v/>
      </c>
      <c r="I7" s="32" t="str">
        <f t="shared" si="4"/>
        <v/>
      </c>
      <c r="J7" t="str">
        <f t="shared" si="5"/>
        <v>Colorado</v>
      </c>
      <c r="L7" t="str">
        <f>if($G$7&lt;0,"",$A$7)</f>
        <v/>
      </c>
      <c r="M7" t="str">
        <f t="shared" si="6"/>
        <v/>
      </c>
      <c r="N7" s="33" t="str">
        <f t="shared" ref="N7:O7" si="11">L$23</f>
        <v>Michigan</v>
      </c>
      <c r="O7" s="34">
        <f t="shared" si="11"/>
        <v>95</v>
      </c>
    </row>
    <row r="8">
      <c r="A8" s="14" t="s">
        <v>77</v>
      </c>
      <c r="B8" s="6" t="s">
        <v>47</v>
      </c>
      <c r="C8" s="18"/>
      <c r="D8" s="6" t="s">
        <v>47</v>
      </c>
      <c r="E8" s="22">
        <f>Connecticut!G2</f>
        <v>43483</v>
      </c>
      <c r="F8" s="52" t="s">
        <v>65</v>
      </c>
      <c r="G8" s="29">
        <f t="shared" si="2"/>
        <v>-252</v>
      </c>
      <c r="H8" s="12" t="str">
        <f t="shared" si="3"/>
        <v/>
      </c>
      <c r="I8" s="32" t="str">
        <f t="shared" si="4"/>
        <v/>
      </c>
      <c r="J8" t="str">
        <f t="shared" si="5"/>
        <v>Connecticut</v>
      </c>
      <c r="L8" t="str">
        <f>if(G$8&lt;0,"",A$8)</f>
        <v/>
      </c>
      <c r="M8" t="str">
        <f t="shared" si="6"/>
        <v/>
      </c>
      <c r="N8" s="33" t="str">
        <f t="shared" ref="N8:O8" si="12">L$36</f>
        <v>Ohio</v>
      </c>
      <c r="O8" s="34">
        <f t="shared" si="12"/>
        <v>95</v>
      </c>
    </row>
    <row r="9">
      <c r="A9" s="14" t="s">
        <v>82</v>
      </c>
      <c r="B9" s="6" t="s">
        <v>47</v>
      </c>
      <c r="C9" s="55" t="s">
        <v>47</v>
      </c>
      <c r="D9" s="6" t="s">
        <v>47</v>
      </c>
      <c r="E9" s="22">
        <f>Delaware!G2</f>
        <v>44012</v>
      </c>
      <c r="F9" s="24"/>
      <c r="G9" s="29">
        <f t="shared" si="2"/>
        <v>277</v>
      </c>
      <c r="H9" s="12" t="str">
        <f t="shared" si="3"/>
        <v/>
      </c>
      <c r="I9" s="32" t="str">
        <f t="shared" si="4"/>
        <v/>
      </c>
      <c r="J9" t="str">
        <f t="shared" si="5"/>
        <v/>
      </c>
      <c r="L9" t="str">
        <f>if(G$9&lt;0,"",A$9)</f>
        <v>Delaware</v>
      </c>
      <c r="M9">
        <f t="shared" si="6"/>
        <v>277</v>
      </c>
      <c r="N9" s="33" t="str">
        <f t="shared" ref="N9:O9" si="13">L$39</f>
        <v>Pennsylvania</v>
      </c>
      <c r="O9" s="34">
        <f t="shared" si="13"/>
        <v>95</v>
      </c>
    </row>
    <row r="10">
      <c r="A10" s="14" t="s">
        <v>90</v>
      </c>
      <c r="B10" s="6" t="s">
        <v>47</v>
      </c>
      <c r="C10" s="6" t="s">
        <v>47</v>
      </c>
      <c r="D10" s="6" t="s">
        <v>47</v>
      </c>
      <c r="E10" s="22">
        <f>Florida!G2</f>
        <v>43490</v>
      </c>
      <c r="F10" s="52" t="s">
        <v>94</v>
      </c>
      <c r="G10" s="29">
        <f t="shared" si="2"/>
        <v>-245</v>
      </c>
      <c r="H10" s="12" t="str">
        <f t="shared" si="3"/>
        <v/>
      </c>
      <c r="I10" s="32" t="str">
        <f t="shared" si="4"/>
        <v/>
      </c>
      <c r="J10" t="str">
        <f t="shared" si="5"/>
        <v>Florida</v>
      </c>
      <c r="L10" t="str">
        <f>if(G$10&lt;0,"",A$10)</f>
        <v/>
      </c>
      <c r="M10" t="str">
        <f t="shared" si="6"/>
        <v/>
      </c>
      <c r="N10" s="33" t="str">
        <f t="shared" ref="N10:O10" si="14">L$50</f>
        <v>Wisconsin</v>
      </c>
      <c r="O10" s="34">
        <f t="shared" si="14"/>
        <v>95</v>
      </c>
    </row>
    <row r="11">
      <c r="A11" s="14" t="s">
        <v>97</v>
      </c>
      <c r="B11" s="6" t="s">
        <v>47</v>
      </c>
      <c r="C11" s="18"/>
      <c r="D11" s="6" t="s">
        <v>47</v>
      </c>
      <c r="E11" s="22" t="str">
        <f>Georgia!G2</f>
        <v/>
      </c>
      <c r="F11" s="24"/>
      <c r="G11" s="29" t="str">
        <f t="shared" si="2"/>
        <v/>
      </c>
      <c r="H11" s="12" t="str">
        <f t="shared" si="3"/>
        <v/>
      </c>
      <c r="I11" s="32" t="str">
        <f t="shared" si="4"/>
        <v/>
      </c>
      <c r="J11" t="str">
        <f t="shared" si="5"/>
        <v/>
      </c>
      <c r="L11" t="str">
        <f t="shared" ref="L11:L51" si="16">if(G11&lt;0,"",A11)</f>
        <v>Georgia</v>
      </c>
      <c r="M11" t="str">
        <f t="shared" si="6"/>
        <v/>
      </c>
      <c r="N11" s="33" t="str">
        <f t="shared" ref="N11:O11" si="15">L$31</f>
        <v>New Jersey</v>
      </c>
      <c r="O11" s="34">
        <f t="shared" si="15"/>
        <v>109</v>
      </c>
    </row>
    <row r="12">
      <c r="A12" s="14" t="s">
        <v>99</v>
      </c>
      <c r="B12" s="6" t="s">
        <v>47</v>
      </c>
      <c r="C12" s="6" t="s">
        <v>47</v>
      </c>
      <c r="D12" s="6" t="s">
        <v>47</v>
      </c>
      <c r="E12" s="22">
        <f>Hawaii!G2</f>
        <v>43489</v>
      </c>
      <c r="F12" s="52" t="s">
        <v>65</v>
      </c>
      <c r="G12" s="29">
        <f t="shared" si="2"/>
        <v>-246</v>
      </c>
      <c r="H12" s="12" t="str">
        <f t="shared" si="3"/>
        <v/>
      </c>
      <c r="I12" s="32" t="str">
        <f t="shared" si="4"/>
        <v/>
      </c>
      <c r="J12" t="str">
        <f t="shared" si="5"/>
        <v>Hawaii</v>
      </c>
      <c r="L12" t="str">
        <f t="shared" si="16"/>
        <v/>
      </c>
      <c r="M12" t="str">
        <f t="shared" si="6"/>
        <v/>
      </c>
      <c r="N12" s="33" t="str">
        <f t="shared" ref="N12:O12" si="17">L$9</f>
        <v>Delaware</v>
      </c>
      <c r="O12" s="34">
        <f t="shared" si="17"/>
        <v>277</v>
      </c>
    </row>
    <row r="13">
      <c r="A13" s="14" t="s">
        <v>106</v>
      </c>
      <c r="B13" s="6" t="s">
        <v>47</v>
      </c>
      <c r="C13" s="6" t="s">
        <v>47</v>
      </c>
      <c r="D13" s="6" t="s">
        <v>47</v>
      </c>
      <c r="E13" s="22">
        <f>Idaho!G2</f>
        <v>43483</v>
      </c>
      <c r="F13" s="52" t="s">
        <v>65</v>
      </c>
      <c r="G13" s="29">
        <f t="shared" si="2"/>
        <v>-252</v>
      </c>
      <c r="H13" s="12" t="str">
        <f t="shared" si="3"/>
        <v/>
      </c>
      <c r="I13" s="32" t="str">
        <f t="shared" si="4"/>
        <v/>
      </c>
      <c r="J13" t="str">
        <f t="shared" si="5"/>
        <v>Idaho</v>
      </c>
      <c r="L13" t="str">
        <f t="shared" si="16"/>
        <v/>
      </c>
      <c r="M13" t="str">
        <f t="shared" si="6"/>
        <v/>
      </c>
      <c r="N13" s="56" t="str">
        <f t="shared" ref="N13:O13" si="18">L$6</f>
        <v/>
      </c>
      <c r="O13" s="34" t="str">
        <f t="shared" si="18"/>
        <v/>
      </c>
    </row>
    <row r="14">
      <c r="A14" s="14" t="s">
        <v>111</v>
      </c>
      <c r="B14" s="49"/>
      <c r="C14" s="18"/>
      <c r="D14" s="6" t="s">
        <v>47</v>
      </c>
      <c r="E14" s="22">
        <f>Illinois!G2</f>
        <v>43511</v>
      </c>
      <c r="F14" s="52" t="s">
        <v>113</v>
      </c>
      <c r="G14" s="29">
        <f t="shared" si="2"/>
        <v>-224</v>
      </c>
      <c r="H14" s="12" t="str">
        <f t="shared" si="3"/>
        <v/>
      </c>
      <c r="I14" s="32" t="str">
        <f t="shared" si="4"/>
        <v/>
      </c>
      <c r="J14" t="str">
        <f t="shared" si="5"/>
        <v>Illinois </v>
      </c>
      <c r="L14" t="str">
        <f t="shared" si="16"/>
        <v/>
      </c>
      <c r="M14" t="str">
        <f t="shared" si="6"/>
        <v/>
      </c>
      <c r="N14" s="33" t="str">
        <f t="shared" ref="N14:O14" si="19">L$27</f>
        <v/>
      </c>
      <c r="O14" s="34" t="str">
        <f t="shared" si="19"/>
        <v/>
      </c>
    </row>
    <row r="15">
      <c r="A15" s="59" t="s">
        <v>117</v>
      </c>
      <c r="B15" s="6" t="s">
        <v>119</v>
      </c>
      <c r="C15" s="6" t="s">
        <v>119</v>
      </c>
      <c r="D15" s="6" t="s">
        <v>119</v>
      </c>
      <c r="E15" s="22">
        <f>Indiana!G2</f>
        <v>43475</v>
      </c>
      <c r="F15" s="52" t="s">
        <v>65</v>
      </c>
      <c r="G15" s="29">
        <f t="shared" si="2"/>
        <v>-260</v>
      </c>
      <c r="H15" s="12" t="str">
        <f t="shared" si="3"/>
        <v/>
      </c>
      <c r="I15" s="32" t="str">
        <f t="shared" si="4"/>
        <v/>
      </c>
      <c r="J15" t="str">
        <f t="shared" si="5"/>
        <v>Indiana</v>
      </c>
      <c r="L15" t="str">
        <f t="shared" si="16"/>
        <v/>
      </c>
      <c r="M15" t="str">
        <f t="shared" si="6"/>
        <v/>
      </c>
      <c r="N15" s="33" t="str">
        <f t="shared" ref="N15:O15" si="20">L$26</f>
        <v/>
      </c>
      <c r="O15" s="34" t="str">
        <f t="shared" si="20"/>
        <v/>
      </c>
    </row>
    <row r="16">
      <c r="A16" s="14" t="s">
        <v>121</v>
      </c>
      <c r="B16" s="6" t="s">
        <v>47</v>
      </c>
      <c r="C16" s="18"/>
      <c r="D16" s="6" t="s">
        <v>47</v>
      </c>
      <c r="E16" s="22">
        <f>Iowa!G2</f>
        <v>43511</v>
      </c>
      <c r="F16" s="44" t="str">
        <f>HYPERLINK("https://www.legis.iowa.gov/legislation/billTracking/prefiledBills","2/19/2019")</f>
        <v>2/19/2019</v>
      </c>
      <c r="G16" s="29">
        <f t="shared" si="2"/>
        <v>-224</v>
      </c>
      <c r="H16" s="12" t="str">
        <f t="shared" si="3"/>
        <v/>
      </c>
      <c r="I16" s="32" t="str">
        <f t="shared" si="4"/>
        <v/>
      </c>
      <c r="J16" t="str">
        <f t="shared" si="5"/>
        <v>Iowa</v>
      </c>
      <c r="L16" t="str">
        <f t="shared" si="16"/>
        <v/>
      </c>
      <c r="M16" t="str">
        <f t="shared" si="6"/>
        <v/>
      </c>
      <c r="N16" s="33" t="str">
        <f t="shared" ref="N16:O16" si="21">L$44</f>
        <v/>
      </c>
      <c r="O16" s="34" t="str">
        <f t="shared" si="21"/>
        <v/>
      </c>
    </row>
    <row r="17">
      <c r="A17" s="14" t="s">
        <v>132</v>
      </c>
      <c r="B17" s="18"/>
      <c r="C17" s="18"/>
      <c r="D17" s="6" t="s">
        <v>47</v>
      </c>
      <c r="E17" s="22">
        <f t="shared" ref="E17:E23" si="23">indirect(A17&amp;"!"&amp; "G2")</f>
        <v>43500</v>
      </c>
      <c r="F17" s="60" t="str">
        <f>HYPERLINK("http://www.kslegislature.org/li/b2019_20/measures/documents/senate_deadlines.pdf","confirmed, but certain committees had until 2/11")</f>
        <v>confirmed, but certain committees had until 2/11</v>
      </c>
      <c r="G17" s="29">
        <f t="shared" si="2"/>
        <v>-235</v>
      </c>
      <c r="H17" s="12" t="str">
        <f t="shared" si="3"/>
        <v/>
      </c>
      <c r="I17" s="32" t="str">
        <f t="shared" si="4"/>
        <v/>
      </c>
      <c r="J17" t="str">
        <f t="shared" si="5"/>
        <v>Kansas</v>
      </c>
      <c r="L17" t="str">
        <f t="shared" si="16"/>
        <v/>
      </c>
      <c r="M17" t="str">
        <f t="shared" si="6"/>
        <v/>
      </c>
      <c r="N17" s="56" t="str">
        <f t="shared" ref="N17:O17" si="22">L$5</f>
        <v/>
      </c>
      <c r="O17" s="34" t="str">
        <f t="shared" si="22"/>
        <v/>
      </c>
    </row>
    <row r="18">
      <c r="A18" s="14" t="s">
        <v>143</v>
      </c>
      <c r="B18" s="6" t="s">
        <v>47</v>
      </c>
      <c r="C18" s="18"/>
      <c r="D18" s="6" t="s">
        <v>47</v>
      </c>
      <c r="E18" s="22">
        <f t="shared" si="23"/>
        <v>43511</v>
      </c>
      <c r="F18" s="44" t="str">
        <f>HYPERLINK("https://legislature.ky.gov/Documents/19RS_Calendar.pdf","2/8/2019")</f>
        <v>2/8/2019</v>
      </c>
      <c r="G18" s="29">
        <f t="shared" si="2"/>
        <v>-224</v>
      </c>
      <c r="H18" s="12" t="str">
        <f t="shared" si="3"/>
        <v/>
      </c>
      <c r="I18" s="32" t="str">
        <f t="shared" si="4"/>
        <v/>
      </c>
      <c r="J18" t="str">
        <f t="shared" si="5"/>
        <v>Kentucky</v>
      </c>
      <c r="L18" t="str">
        <f t="shared" si="16"/>
        <v/>
      </c>
      <c r="M18" t="str">
        <f t="shared" si="6"/>
        <v/>
      </c>
      <c r="N18" s="33" t="str">
        <f t="shared" ref="N18:O18" si="24">L$45</f>
        <v/>
      </c>
      <c r="O18" s="34" t="str">
        <f t="shared" si="24"/>
        <v/>
      </c>
    </row>
    <row r="19">
      <c r="A19" s="14" t="s">
        <v>145</v>
      </c>
      <c r="B19" s="18"/>
      <c r="C19" s="18"/>
      <c r="D19" s="6" t="s">
        <v>47</v>
      </c>
      <c r="E19" s="22">
        <f t="shared" si="23"/>
        <v>43586</v>
      </c>
      <c r="F19" s="44" t="str">
        <f>HYPERLINK("https://legis.la.gov/legisdocs/19RS/19RS_House_Bulletin.pdf","3/27/2019")</f>
        <v>3/27/2019</v>
      </c>
      <c r="G19" s="29">
        <f t="shared" si="2"/>
        <v>-149</v>
      </c>
      <c r="H19" s="12" t="str">
        <f t="shared" si="3"/>
        <v/>
      </c>
      <c r="I19" s="32" t="str">
        <f t="shared" si="4"/>
        <v/>
      </c>
      <c r="J19" t="str">
        <f t="shared" si="5"/>
        <v>Louisiana</v>
      </c>
      <c r="L19" t="str">
        <f t="shared" si="16"/>
        <v/>
      </c>
      <c r="M19" t="str">
        <f t="shared" si="6"/>
        <v/>
      </c>
      <c r="N19" s="33" t="str">
        <f t="shared" ref="N19:O19" si="25">L$43</f>
        <v/>
      </c>
      <c r="O19" s="34" t="str">
        <f t="shared" si="25"/>
        <v/>
      </c>
    </row>
    <row r="20">
      <c r="A20" s="14" t="s">
        <v>147</v>
      </c>
      <c r="B20" s="6" t="s">
        <v>47</v>
      </c>
      <c r="C20" s="6" t="s">
        <v>47</v>
      </c>
      <c r="D20" s="6" t="s">
        <v>47</v>
      </c>
      <c r="E20" s="22">
        <f t="shared" si="23"/>
        <v>43596</v>
      </c>
      <c r="F20" s="52" t="s">
        <v>150</v>
      </c>
      <c r="G20" s="29">
        <f t="shared" si="2"/>
        <v>-139</v>
      </c>
      <c r="H20" s="12" t="str">
        <f t="shared" si="3"/>
        <v/>
      </c>
      <c r="I20" s="32" t="str">
        <f t="shared" si="4"/>
        <v/>
      </c>
      <c r="J20" t="str">
        <f t="shared" si="5"/>
        <v>Maine</v>
      </c>
      <c r="L20" t="str">
        <f t="shared" si="16"/>
        <v/>
      </c>
      <c r="M20" t="str">
        <f t="shared" si="6"/>
        <v/>
      </c>
      <c r="N20" s="33" t="str">
        <f t="shared" ref="N20:O20" si="26">L$29</f>
        <v/>
      </c>
      <c r="O20" s="34" t="str">
        <f t="shared" si="26"/>
        <v/>
      </c>
    </row>
    <row r="21">
      <c r="A21" s="14" t="s">
        <v>152</v>
      </c>
      <c r="B21" s="6"/>
      <c r="C21" s="49">
        <v>43467.0</v>
      </c>
      <c r="D21" s="6" t="s">
        <v>47</v>
      </c>
      <c r="E21" s="22">
        <f t="shared" si="23"/>
        <v>43500</v>
      </c>
      <c r="F21" s="52" t="s">
        <v>150</v>
      </c>
      <c r="G21" s="29">
        <f t="shared" si="2"/>
        <v>-235</v>
      </c>
      <c r="H21" s="12" t="str">
        <f t="shared" si="3"/>
        <v/>
      </c>
      <c r="I21" s="32" t="str">
        <f t="shared" si="4"/>
        <v/>
      </c>
      <c r="J21" t="str">
        <f t="shared" si="5"/>
        <v>Maryland</v>
      </c>
      <c r="L21" t="str">
        <f t="shared" si="16"/>
        <v/>
      </c>
      <c r="M21" t="str">
        <f t="shared" si="6"/>
        <v/>
      </c>
      <c r="N21" s="33" t="str">
        <f t="shared" ref="N21:O21" si="27">L$49</f>
        <v/>
      </c>
      <c r="O21" s="34" t="str">
        <f t="shared" si="27"/>
        <v/>
      </c>
    </row>
    <row r="22">
      <c r="A22" s="14" t="s">
        <v>155</v>
      </c>
      <c r="B22" s="18"/>
      <c r="C22" s="18"/>
      <c r="D22" s="6" t="s">
        <v>47</v>
      </c>
      <c r="E22" s="22">
        <f t="shared" si="23"/>
        <v>43483</v>
      </c>
      <c r="F22" s="52" t="s">
        <v>65</v>
      </c>
      <c r="G22" s="29">
        <f t="shared" si="2"/>
        <v>-252</v>
      </c>
      <c r="H22" s="12" t="str">
        <f t="shared" si="3"/>
        <v/>
      </c>
      <c r="I22" s="32" t="str">
        <f t="shared" si="4"/>
        <v/>
      </c>
      <c r="J22" t="str">
        <f t="shared" si="5"/>
        <v>Massachusetts</v>
      </c>
      <c r="L22" t="str">
        <f t="shared" si="16"/>
        <v/>
      </c>
      <c r="M22" t="str">
        <f t="shared" si="6"/>
        <v/>
      </c>
      <c r="N22" s="33" t="str">
        <f t="shared" ref="N22:O22" si="28">L$32</f>
        <v/>
      </c>
      <c r="O22" s="34" t="str">
        <f t="shared" si="28"/>
        <v/>
      </c>
    </row>
    <row r="23">
      <c r="A23" s="14" t="s">
        <v>159</v>
      </c>
      <c r="B23" s="6" t="s">
        <v>47</v>
      </c>
      <c r="C23" s="18"/>
      <c r="D23" s="6" t="s">
        <v>47</v>
      </c>
      <c r="E23" s="22">
        <f t="shared" si="23"/>
        <v>43830</v>
      </c>
      <c r="F23" s="24"/>
      <c r="G23" s="29">
        <f t="shared" si="2"/>
        <v>95</v>
      </c>
      <c r="H23" s="12" t="str">
        <f t="shared" si="3"/>
        <v/>
      </c>
      <c r="I23" s="32" t="str">
        <f t="shared" si="4"/>
        <v/>
      </c>
      <c r="J23" t="str">
        <f t="shared" si="5"/>
        <v/>
      </c>
      <c r="L23" t="str">
        <f t="shared" si="16"/>
        <v>Michigan</v>
      </c>
      <c r="M23">
        <f t="shared" si="6"/>
        <v>95</v>
      </c>
      <c r="N23" s="33" t="str">
        <f t="shared" ref="N23:O23" si="29">L$40</f>
        <v/>
      </c>
      <c r="O23" s="34" t="str">
        <f t="shared" si="29"/>
        <v/>
      </c>
    </row>
    <row r="24">
      <c r="A24" s="14" t="s">
        <v>165</v>
      </c>
      <c r="B24" s="6" t="s">
        <v>47</v>
      </c>
      <c r="C24" s="6"/>
      <c r="D24" s="6" t="s">
        <v>47</v>
      </c>
      <c r="E24" s="14" t="s">
        <v>168</v>
      </c>
      <c r="F24" s="52"/>
      <c r="G24" s="62" t="str">
        <f t="shared" si="2"/>
        <v>#VALUE!</v>
      </c>
      <c r="H24" s="12" t="str">
        <f t="shared" si="3"/>
        <v>#VALUE!</v>
      </c>
      <c r="I24" s="32" t="str">
        <f t="shared" si="4"/>
        <v>#VALUE!</v>
      </c>
      <c r="J24" t="str">
        <f t="shared" si="5"/>
        <v>#VALUE!</v>
      </c>
      <c r="L24" t="str">
        <f t="shared" si="16"/>
        <v>#VALUE!</v>
      </c>
      <c r="M24" t="str">
        <f t="shared" si="6"/>
        <v>#VALUE!</v>
      </c>
      <c r="N24" s="33" t="str">
        <f t="shared" ref="N24:O24" si="30">L$14</f>
        <v/>
      </c>
      <c r="O24" s="34" t="str">
        <f t="shared" si="30"/>
        <v/>
      </c>
    </row>
    <row r="25">
      <c r="A25" s="14" t="s">
        <v>174</v>
      </c>
      <c r="B25" s="6" t="s">
        <v>47</v>
      </c>
      <c r="C25" s="18"/>
      <c r="D25" s="6" t="s">
        <v>47</v>
      </c>
      <c r="E25" s="22">
        <f t="shared" ref="E25:E42" si="32">indirect(A25&amp;"!"&amp; "G2")</f>
        <v>43486</v>
      </c>
      <c r="F25" s="44" t="str">
        <f>HYPERLINK("https://web.archive.org/web/20190331132143/http://billstatus.ls.state.ms.us/htms/timetable.xml","1/16/2019")</f>
        <v>1/16/2019</v>
      </c>
      <c r="G25" s="29">
        <f t="shared" si="2"/>
        <v>-249</v>
      </c>
      <c r="H25" s="12" t="str">
        <f t="shared" si="3"/>
        <v/>
      </c>
      <c r="I25" s="32" t="str">
        <f t="shared" si="4"/>
        <v/>
      </c>
      <c r="J25" t="str">
        <f t="shared" si="5"/>
        <v>Mississippi</v>
      </c>
      <c r="L25" t="str">
        <f t="shared" si="16"/>
        <v/>
      </c>
      <c r="M25" t="str">
        <f t="shared" si="6"/>
        <v/>
      </c>
      <c r="N25" s="33" t="str">
        <f t="shared" ref="N25:O25" si="31">L$16</f>
        <v/>
      </c>
      <c r="O25" s="34" t="str">
        <f t="shared" si="31"/>
        <v/>
      </c>
    </row>
    <row r="26">
      <c r="A26" s="14" t="s">
        <v>184</v>
      </c>
      <c r="B26" s="6" t="s">
        <v>47</v>
      </c>
      <c r="C26" s="18"/>
      <c r="D26" s="6" t="s">
        <v>47</v>
      </c>
      <c r="E26" s="22">
        <f t="shared" si="32"/>
        <v>43525</v>
      </c>
      <c r="F26" s="52" t="s">
        <v>150</v>
      </c>
      <c r="G26" s="29">
        <f t="shared" si="2"/>
        <v>-210</v>
      </c>
      <c r="H26" s="12" t="str">
        <f t="shared" si="3"/>
        <v/>
      </c>
      <c r="I26" s="32" t="str">
        <f t="shared" si="4"/>
        <v/>
      </c>
      <c r="J26" t="str">
        <f t="shared" si="5"/>
        <v>Missouri</v>
      </c>
      <c r="L26" t="str">
        <f t="shared" si="16"/>
        <v/>
      </c>
      <c r="M26" t="str">
        <f t="shared" si="6"/>
        <v/>
      </c>
      <c r="N26" s="33" t="str">
        <f t="shared" ref="N26:O26" si="33">L$18</f>
        <v/>
      </c>
      <c r="O26" s="34" t="str">
        <f t="shared" si="33"/>
        <v/>
      </c>
    </row>
    <row r="27">
      <c r="A27" s="14" t="s">
        <v>193</v>
      </c>
      <c r="B27" s="6" t="s">
        <v>47</v>
      </c>
      <c r="C27" s="18"/>
      <c r="D27" s="6" t="s">
        <v>47</v>
      </c>
      <c r="E27" s="22">
        <f t="shared" si="32"/>
        <v>43521</v>
      </c>
      <c r="F27" s="44" t="str">
        <f>HYPERLINK("https://www.leg.mt.gov/content/sessions/66th/2019sessioncalendar4-19.pdf","1/22/2019")</f>
        <v>1/22/2019</v>
      </c>
      <c r="G27" s="29">
        <f t="shared" si="2"/>
        <v>-214</v>
      </c>
      <c r="H27" s="12" t="str">
        <f t="shared" si="3"/>
        <v/>
      </c>
      <c r="I27" s="32" t="str">
        <f t="shared" si="4"/>
        <v/>
      </c>
      <c r="J27" t="str">
        <f t="shared" si="5"/>
        <v>Montana</v>
      </c>
      <c r="K27" s="14" t="s">
        <v>47</v>
      </c>
      <c r="L27" t="str">
        <f t="shared" si="16"/>
        <v/>
      </c>
      <c r="M27" t="str">
        <f t="shared" si="6"/>
        <v/>
      </c>
      <c r="N27" s="33" t="str">
        <f t="shared" ref="N27:O27" si="34">L$17</f>
        <v/>
      </c>
      <c r="O27" s="34" t="str">
        <f t="shared" si="34"/>
        <v/>
      </c>
    </row>
    <row r="28">
      <c r="A28" s="14" t="s">
        <v>198</v>
      </c>
      <c r="B28" s="18"/>
      <c r="C28" s="18"/>
      <c r="D28" s="6" t="s">
        <v>47</v>
      </c>
      <c r="E28" s="22">
        <f t="shared" si="32"/>
        <v>43488</v>
      </c>
      <c r="F28" s="52" t="s">
        <v>150</v>
      </c>
      <c r="G28" s="29">
        <f t="shared" si="2"/>
        <v>-247</v>
      </c>
      <c r="H28" s="12" t="str">
        <f t="shared" si="3"/>
        <v/>
      </c>
      <c r="I28" s="32" t="str">
        <f t="shared" si="4"/>
        <v/>
      </c>
      <c r="J28" t="str">
        <f t="shared" si="5"/>
        <v>Nebraska</v>
      </c>
      <c r="L28" t="str">
        <f t="shared" si="16"/>
        <v/>
      </c>
      <c r="M28" t="str">
        <f t="shared" si="6"/>
        <v/>
      </c>
      <c r="N28" s="33" t="str">
        <f t="shared" ref="N28:O28" si="35">L$21</f>
        <v/>
      </c>
      <c r="O28" s="34" t="str">
        <f t="shared" si="35"/>
        <v/>
      </c>
    </row>
    <row r="29">
      <c r="A29" s="14" t="s">
        <v>201</v>
      </c>
      <c r="B29" s="6" t="s">
        <v>47</v>
      </c>
      <c r="C29" s="6" t="s">
        <v>47</v>
      </c>
      <c r="D29" s="6" t="s">
        <v>47</v>
      </c>
      <c r="E29" s="22">
        <f t="shared" si="32"/>
        <v>43507</v>
      </c>
      <c r="F29" s="52" t="s">
        <v>65</v>
      </c>
      <c r="G29" s="29">
        <f t="shared" si="2"/>
        <v>-228</v>
      </c>
      <c r="H29" s="12" t="str">
        <f t="shared" si="3"/>
        <v/>
      </c>
      <c r="I29" s="32" t="str">
        <f t="shared" si="4"/>
        <v/>
      </c>
      <c r="J29" t="str">
        <f t="shared" si="5"/>
        <v>Nevada</v>
      </c>
      <c r="K29" s="14" t="s">
        <v>47</v>
      </c>
      <c r="L29" t="str">
        <f t="shared" si="16"/>
        <v/>
      </c>
      <c r="M29" t="str">
        <f t="shared" si="6"/>
        <v/>
      </c>
      <c r="N29" s="33" t="str">
        <f t="shared" ref="N29:O29" si="36">L$28</f>
        <v/>
      </c>
      <c r="O29" s="34" t="str">
        <f t="shared" si="36"/>
        <v/>
      </c>
    </row>
    <row r="30">
      <c r="A30" s="14" t="s">
        <v>202</v>
      </c>
      <c r="B30" s="6" t="s">
        <v>119</v>
      </c>
      <c r="C30" s="6" t="s">
        <v>119</v>
      </c>
      <c r="D30" s="6" t="s">
        <v>119</v>
      </c>
      <c r="E30" s="22">
        <f t="shared" si="32"/>
        <v>43483</v>
      </c>
      <c r="F30" s="52" t="s">
        <v>150</v>
      </c>
      <c r="G30" s="29">
        <f t="shared" si="2"/>
        <v>-252</v>
      </c>
      <c r="H30" s="12" t="str">
        <f t="shared" si="3"/>
        <v/>
      </c>
      <c r="I30" s="32" t="str">
        <f t="shared" si="4"/>
        <v/>
      </c>
      <c r="J30" t="str">
        <f t="shared" si="5"/>
        <v>New Hampshire</v>
      </c>
      <c r="L30" t="str">
        <f t="shared" si="16"/>
        <v/>
      </c>
      <c r="M30" t="str">
        <f t="shared" si="6"/>
        <v/>
      </c>
      <c r="N30" s="33" t="str">
        <f t="shared" ref="N30:O30" si="37">L$12</f>
        <v/>
      </c>
      <c r="O30" s="34" t="str">
        <f t="shared" si="37"/>
        <v/>
      </c>
    </row>
    <row r="31">
      <c r="A31" s="14" t="s">
        <v>209</v>
      </c>
      <c r="B31" s="18"/>
      <c r="C31" s="18"/>
      <c r="D31" s="6" t="s">
        <v>47</v>
      </c>
      <c r="E31" s="22">
        <f t="shared" si="32"/>
        <v>43844</v>
      </c>
      <c r="F31" s="52" t="s">
        <v>65</v>
      </c>
      <c r="G31" s="29">
        <f t="shared" si="2"/>
        <v>109</v>
      </c>
      <c r="H31" s="12" t="str">
        <f t="shared" si="3"/>
        <v/>
      </c>
      <c r="I31" s="32" t="str">
        <f t="shared" si="4"/>
        <v/>
      </c>
      <c r="J31" t="str">
        <f t="shared" si="5"/>
        <v/>
      </c>
      <c r="L31" t="str">
        <f t="shared" si="16"/>
        <v>New Jersey</v>
      </c>
      <c r="M31">
        <f t="shared" si="6"/>
        <v>109</v>
      </c>
      <c r="N31" s="33" t="str">
        <f t="shared" ref="N31:O31" si="38">L$51</f>
        <v/>
      </c>
      <c r="O31" s="34" t="str">
        <f t="shared" si="38"/>
        <v/>
      </c>
    </row>
    <row r="32">
      <c r="A32" s="14" t="s">
        <v>212</v>
      </c>
      <c r="B32" s="6" t="s">
        <v>47</v>
      </c>
      <c r="C32" s="6"/>
      <c r="D32" s="6" t="s">
        <v>47</v>
      </c>
      <c r="E32" s="22">
        <f t="shared" si="32"/>
        <v>43510</v>
      </c>
      <c r="F32" s="52" t="s">
        <v>65</v>
      </c>
      <c r="G32" s="29">
        <f t="shared" si="2"/>
        <v>-225</v>
      </c>
      <c r="H32" s="12" t="str">
        <f t="shared" si="3"/>
        <v/>
      </c>
      <c r="I32" s="32" t="str">
        <f t="shared" si="4"/>
        <v/>
      </c>
      <c r="J32" t="str">
        <f t="shared" si="5"/>
        <v>New Mexico</v>
      </c>
      <c r="K32" s="63"/>
      <c r="L32" t="str">
        <f t="shared" si="16"/>
        <v/>
      </c>
      <c r="M32" t="str">
        <f t="shared" si="6"/>
        <v/>
      </c>
      <c r="N32" s="56" t="str">
        <f t="shared" ref="N32:O32" si="39">L$10</f>
        <v/>
      </c>
      <c r="O32" s="34" t="str">
        <f t="shared" si="39"/>
        <v/>
      </c>
    </row>
    <row r="33">
      <c r="A33" s="14" t="s">
        <v>219</v>
      </c>
      <c r="B33" s="18"/>
      <c r="C33" s="18"/>
      <c r="D33" s="6" t="s">
        <v>47</v>
      </c>
      <c r="E33" s="22">
        <f t="shared" si="32"/>
        <v>43635</v>
      </c>
      <c r="F33" s="24"/>
      <c r="G33" s="29">
        <f t="shared" si="2"/>
        <v>-100</v>
      </c>
      <c r="H33" s="12" t="str">
        <f t="shared" si="3"/>
        <v/>
      </c>
      <c r="I33" s="32" t="str">
        <f t="shared" si="4"/>
        <v/>
      </c>
      <c r="J33" t="str">
        <f t="shared" si="5"/>
        <v>New York</v>
      </c>
      <c r="L33" t="str">
        <f t="shared" si="16"/>
        <v/>
      </c>
      <c r="M33" t="str">
        <f t="shared" si="6"/>
        <v/>
      </c>
      <c r="N33" s="33" t="str">
        <f t="shared" ref="N33:O33" si="40">L$42</f>
        <v/>
      </c>
      <c r="O33" s="34" t="str">
        <f t="shared" si="40"/>
        <v/>
      </c>
    </row>
    <row r="34">
      <c r="A34" s="14" t="s">
        <v>220</v>
      </c>
      <c r="B34" s="18"/>
      <c r="C34" s="18"/>
      <c r="D34" s="6" t="s">
        <v>47</v>
      </c>
      <c r="E34" s="22">
        <f t="shared" si="32"/>
        <v>43557</v>
      </c>
      <c r="F34" s="52" t="s">
        <v>150</v>
      </c>
      <c r="G34" s="29">
        <f t="shared" si="2"/>
        <v>-178</v>
      </c>
      <c r="H34" s="12" t="str">
        <f t="shared" si="3"/>
        <v/>
      </c>
      <c r="I34" s="32" t="str">
        <f t="shared" si="4"/>
        <v/>
      </c>
      <c r="J34" t="str">
        <f t="shared" si="5"/>
        <v>North Carolina</v>
      </c>
      <c r="L34" t="str">
        <f t="shared" si="16"/>
        <v/>
      </c>
      <c r="M34" t="str">
        <f t="shared" si="6"/>
        <v/>
      </c>
      <c r="N34" s="33" t="str">
        <f t="shared" ref="N34:O34" si="41">L$46</f>
        <v/>
      </c>
      <c r="O34" s="34" t="str">
        <f t="shared" si="41"/>
        <v/>
      </c>
    </row>
    <row r="35">
      <c r="A35" s="14" t="s">
        <v>223</v>
      </c>
      <c r="B35" s="6" t="s">
        <v>47</v>
      </c>
      <c r="C35" s="6"/>
      <c r="D35" s="6" t="s">
        <v>47</v>
      </c>
      <c r="E35" s="22">
        <f t="shared" si="32"/>
        <v>43472</v>
      </c>
      <c r="F35" s="60" t="str">
        <f>HYPERLINK("https://www.legis.nd.gov/events/2019-01","1/21/19- no more than five bills per member may be introduced after 1/7")</f>
        <v>1/21/19- no more than five bills per member may be introduced after 1/7</v>
      </c>
      <c r="G35" s="29">
        <f t="shared" si="2"/>
        <v>-263</v>
      </c>
      <c r="H35" s="12" t="str">
        <f t="shared" si="3"/>
        <v/>
      </c>
      <c r="I35" s="32" t="str">
        <f t="shared" si="4"/>
        <v/>
      </c>
      <c r="J35" t="str">
        <f t="shared" si="5"/>
        <v>North Dakota</v>
      </c>
      <c r="K35" s="14" t="s">
        <v>47</v>
      </c>
      <c r="L35" t="str">
        <f t="shared" si="16"/>
        <v/>
      </c>
      <c r="M35" t="str">
        <f t="shared" si="6"/>
        <v/>
      </c>
      <c r="N35" s="56" t="str">
        <f t="shared" ref="N35:O35" si="42">L$25</f>
        <v/>
      </c>
      <c r="O35" s="34" t="str">
        <f t="shared" si="42"/>
        <v/>
      </c>
    </row>
    <row r="36">
      <c r="A36" s="14" t="s">
        <v>226</v>
      </c>
      <c r="B36" s="6" t="s">
        <v>47</v>
      </c>
      <c r="C36" s="18"/>
      <c r="D36" s="6" t="s">
        <v>47</v>
      </c>
      <c r="E36" s="22">
        <f t="shared" si="32"/>
        <v>43830</v>
      </c>
      <c r="F36" s="24"/>
      <c r="G36" s="29">
        <f t="shared" si="2"/>
        <v>95</v>
      </c>
      <c r="H36" s="12" t="str">
        <f t="shared" si="3"/>
        <v/>
      </c>
      <c r="I36" s="32" t="str">
        <f t="shared" si="4"/>
        <v/>
      </c>
      <c r="J36" t="str">
        <f t="shared" si="5"/>
        <v/>
      </c>
      <c r="L36" t="str">
        <f t="shared" si="16"/>
        <v>Ohio</v>
      </c>
      <c r="M36">
        <f t="shared" si="6"/>
        <v>95</v>
      </c>
      <c r="N36" s="56" t="str">
        <f t="shared" ref="N36:O36" si="43">L$4</f>
        <v/>
      </c>
      <c r="O36" s="34" t="str">
        <f t="shared" si="43"/>
        <v/>
      </c>
    </row>
    <row r="37">
      <c r="A37" s="14" t="s">
        <v>229</v>
      </c>
      <c r="B37" s="6" t="s">
        <v>47</v>
      </c>
      <c r="C37" s="49">
        <v>43467.0</v>
      </c>
      <c r="D37" s="6" t="s">
        <v>47</v>
      </c>
      <c r="E37" s="22">
        <f t="shared" si="32"/>
        <v>43482</v>
      </c>
      <c r="F37" s="60" t="str">
        <f>HYPERLINK("http://www.oksenate.gov/schedule/deadlines.aspx","12/17/18 for 2019 session")</f>
        <v>12/17/18 for 2019 session</v>
      </c>
      <c r="G37" s="29">
        <f t="shared" si="2"/>
        <v>-253</v>
      </c>
      <c r="H37" s="12" t="str">
        <f t="shared" si="3"/>
        <v/>
      </c>
      <c r="I37" s="32" t="str">
        <f t="shared" si="4"/>
        <v/>
      </c>
      <c r="J37" t="str">
        <f t="shared" si="5"/>
        <v>Oklahoma</v>
      </c>
      <c r="L37" t="str">
        <f t="shared" si="16"/>
        <v/>
      </c>
      <c r="M37" t="str">
        <f t="shared" si="6"/>
        <v/>
      </c>
      <c r="N37" s="33" t="str">
        <f t="shared" ref="N37:O37" si="44">L$7</f>
        <v/>
      </c>
      <c r="O37" s="34" t="str">
        <f t="shared" si="44"/>
        <v/>
      </c>
    </row>
    <row r="38">
      <c r="A38" s="14" t="s">
        <v>236</v>
      </c>
      <c r="B38" s="6" t="s">
        <v>47</v>
      </c>
      <c r="C38" s="6"/>
      <c r="D38" s="6" t="s">
        <v>47</v>
      </c>
      <c r="E38" s="22">
        <f t="shared" si="32"/>
        <v>43483</v>
      </c>
      <c r="F38" s="52" t="s">
        <v>65</v>
      </c>
      <c r="G38" s="29">
        <f t="shared" si="2"/>
        <v>-252</v>
      </c>
      <c r="H38" s="12" t="str">
        <f t="shared" si="3"/>
        <v/>
      </c>
      <c r="I38" s="32" t="str">
        <f t="shared" si="4"/>
        <v/>
      </c>
      <c r="J38" t="str">
        <f t="shared" si="5"/>
        <v>Oregon</v>
      </c>
      <c r="L38" t="str">
        <f t="shared" si="16"/>
        <v/>
      </c>
      <c r="M38" t="str">
        <f t="shared" si="6"/>
        <v/>
      </c>
      <c r="N38" s="33" t="str">
        <f t="shared" ref="N38:O38" si="45">L$8</f>
        <v/>
      </c>
      <c r="O38" s="64" t="str">
        <f t="shared" si="45"/>
        <v/>
      </c>
    </row>
    <row r="39">
      <c r="A39" s="14" t="s">
        <v>240</v>
      </c>
      <c r="B39" s="6" t="s">
        <v>47</v>
      </c>
      <c r="C39" s="18"/>
      <c r="D39" s="6" t="s">
        <v>47</v>
      </c>
      <c r="E39" s="22">
        <f t="shared" si="32"/>
        <v>43830</v>
      </c>
      <c r="F39" s="24"/>
      <c r="G39" s="29">
        <f t="shared" si="2"/>
        <v>95</v>
      </c>
      <c r="H39" s="12" t="str">
        <f t="shared" si="3"/>
        <v/>
      </c>
      <c r="I39" s="32" t="str">
        <f t="shared" si="4"/>
        <v/>
      </c>
      <c r="J39" t="str">
        <f t="shared" si="5"/>
        <v/>
      </c>
      <c r="L39" t="str">
        <f t="shared" si="16"/>
        <v>Pennsylvania</v>
      </c>
      <c r="M39">
        <f t="shared" si="6"/>
        <v>95</v>
      </c>
      <c r="N39" s="33" t="str">
        <f t="shared" ref="N39:O39" si="46">L$13</f>
        <v/>
      </c>
      <c r="O39" s="64" t="str">
        <f t="shared" si="46"/>
        <v/>
      </c>
    </row>
    <row r="40">
      <c r="A40" s="59" t="s">
        <v>244</v>
      </c>
      <c r="B40" s="6" t="s">
        <v>47</v>
      </c>
      <c r="C40" s="18"/>
      <c r="D40" s="6" t="s">
        <v>47</v>
      </c>
      <c r="E40" s="22">
        <f t="shared" si="32"/>
        <v>43510</v>
      </c>
      <c r="F40" s="52" t="s">
        <v>150</v>
      </c>
      <c r="G40" s="29">
        <f t="shared" si="2"/>
        <v>-225</v>
      </c>
      <c r="H40" s="12" t="str">
        <f t="shared" si="3"/>
        <v/>
      </c>
      <c r="I40" s="32" t="str">
        <f t="shared" si="4"/>
        <v/>
      </c>
      <c r="J40" t="str">
        <f t="shared" si="5"/>
        <v>Rhode Island</v>
      </c>
      <c r="L40" t="str">
        <f t="shared" si="16"/>
        <v/>
      </c>
      <c r="M40" t="str">
        <f t="shared" si="6"/>
        <v/>
      </c>
      <c r="N40" s="33" t="str">
        <f t="shared" ref="N40:O40" si="47">L$37</f>
        <v/>
      </c>
      <c r="O40" s="64" t="str">
        <f t="shared" si="47"/>
        <v/>
      </c>
    </row>
    <row r="41">
      <c r="A41" s="14" t="s">
        <v>250</v>
      </c>
      <c r="B41" s="6" t="s">
        <v>47</v>
      </c>
      <c r="C41" s="6" t="s">
        <v>47</v>
      </c>
      <c r="D41" s="6" t="s">
        <v>47</v>
      </c>
      <c r="E41" s="22">
        <f t="shared" si="32"/>
        <v>43614</v>
      </c>
      <c r="F41" s="52" t="s">
        <v>150</v>
      </c>
      <c r="G41" s="29">
        <f t="shared" si="2"/>
        <v>-121</v>
      </c>
      <c r="H41" s="12" t="str">
        <f t="shared" si="3"/>
        <v/>
      </c>
      <c r="I41" s="32" t="str">
        <f t="shared" si="4"/>
        <v/>
      </c>
      <c r="J41" t="str">
        <f t="shared" si="5"/>
        <v>South Carolina</v>
      </c>
      <c r="L41" t="str">
        <f t="shared" si="16"/>
        <v/>
      </c>
      <c r="M41" t="str">
        <f t="shared" si="6"/>
        <v/>
      </c>
      <c r="N41" s="66" t="str">
        <f t="shared" ref="N41:O41" si="48">L$22</f>
        <v/>
      </c>
      <c r="O41" s="67" t="str">
        <f t="shared" si="48"/>
        <v/>
      </c>
    </row>
    <row r="42">
      <c r="A42" s="14" t="s">
        <v>252</v>
      </c>
      <c r="B42" s="6" t="s">
        <v>47</v>
      </c>
      <c r="C42" s="18"/>
      <c r="D42" s="6" t="s">
        <v>47</v>
      </c>
      <c r="E42" s="22">
        <f t="shared" si="32"/>
        <v>43495</v>
      </c>
      <c r="F42" s="52" t="s">
        <v>65</v>
      </c>
      <c r="G42" s="29">
        <f t="shared" si="2"/>
        <v>-240</v>
      </c>
      <c r="H42" s="12" t="str">
        <f t="shared" si="3"/>
        <v/>
      </c>
      <c r="I42" s="32" t="str">
        <f t="shared" si="4"/>
        <v/>
      </c>
      <c r="J42" t="str">
        <f t="shared" si="5"/>
        <v>South Dakota</v>
      </c>
      <c r="L42" t="str">
        <f t="shared" si="16"/>
        <v/>
      </c>
      <c r="M42" t="str">
        <f t="shared" si="6"/>
        <v/>
      </c>
      <c r="N42" s="33" t="str">
        <f t="shared" ref="N42:O42" si="49">L$38</f>
        <v/>
      </c>
      <c r="O42" s="64" t="str">
        <f t="shared" si="49"/>
        <v/>
      </c>
    </row>
    <row r="43">
      <c r="A43" s="14" t="s">
        <v>256</v>
      </c>
      <c r="B43" s="6" t="s">
        <v>47</v>
      </c>
      <c r="C43" s="18"/>
      <c r="D43" s="6" t="s">
        <v>47</v>
      </c>
      <c r="E43" s="68">
        <v>43503.0</v>
      </c>
      <c r="F43" s="52" t="s">
        <v>150</v>
      </c>
      <c r="G43" s="29">
        <f t="shared" si="2"/>
        <v>-232</v>
      </c>
      <c r="H43" s="12" t="str">
        <f t="shared" si="3"/>
        <v/>
      </c>
      <c r="I43" s="32" t="str">
        <f t="shared" si="4"/>
        <v/>
      </c>
      <c r="J43" t="str">
        <f t="shared" si="5"/>
        <v>Tennessee</v>
      </c>
      <c r="L43" t="str">
        <f t="shared" si="16"/>
        <v/>
      </c>
      <c r="M43" t="str">
        <f t="shared" si="6"/>
        <v/>
      </c>
      <c r="N43" s="33" t="str">
        <f t="shared" ref="N43:O43" si="50">L$47</f>
        <v/>
      </c>
      <c r="O43" s="64" t="str">
        <f t="shared" si="50"/>
        <v/>
      </c>
    </row>
    <row r="44">
      <c r="A44" s="14" t="s">
        <v>259</v>
      </c>
      <c r="B44" s="18"/>
      <c r="C44" s="18"/>
      <c r="D44" s="6" t="s">
        <v>47</v>
      </c>
      <c r="E44" s="68">
        <v>43532.0</v>
      </c>
      <c r="F44" s="52" t="s">
        <v>65</v>
      </c>
      <c r="G44" s="29">
        <f t="shared" si="2"/>
        <v>-203</v>
      </c>
      <c r="H44" s="12" t="str">
        <f t="shared" si="3"/>
        <v/>
      </c>
      <c r="I44" s="32" t="str">
        <f t="shared" si="4"/>
        <v/>
      </c>
      <c r="J44" t="str">
        <f t="shared" si="5"/>
        <v>Texas</v>
      </c>
      <c r="K44" s="14" t="s">
        <v>47</v>
      </c>
      <c r="L44" t="str">
        <f t="shared" si="16"/>
        <v/>
      </c>
      <c r="M44" t="str">
        <f t="shared" si="6"/>
        <v/>
      </c>
      <c r="N44" s="33" t="str">
        <f t="shared" ref="N44:O44" si="51">L$30</f>
        <v/>
      </c>
      <c r="O44" s="64" t="str">
        <f t="shared" si="51"/>
        <v/>
      </c>
    </row>
    <row r="45">
      <c r="A45" s="14" t="s">
        <v>262</v>
      </c>
      <c r="B45" s="6" t="s">
        <v>47</v>
      </c>
      <c r="C45" s="49">
        <v>43467.0</v>
      </c>
      <c r="D45" s="6" t="s">
        <v>47</v>
      </c>
      <c r="E45" s="22">
        <f t="shared" ref="E45:E51" si="53">indirect(A45&amp;"!"&amp; "G2")</f>
        <v>43503</v>
      </c>
      <c r="F45" s="52" t="s">
        <v>65</v>
      </c>
      <c r="G45" s="29">
        <f t="shared" si="2"/>
        <v>-232</v>
      </c>
      <c r="H45" s="12" t="str">
        <f t="shared" si="3"/>
        <v/>
      </c>
      <c r="I45" s="32" t="str">
        <f t="shared" si="4"/>
        <v/>
      </c>
      <c r="J45" t="str">
        <f t="shared" si="5"/>
        <v>Utah</v>
      </c>
      <c r="L45" t="str">
        <f t="shared" si="16"/>
        <v/>
      </c>
      <c r="M45" t="str">
        <f t="shared" si="6"/>
        <v/>
      </c>
      <c r="N45" s="33" t="str">
        <f t="shared" ref="N45:O45" si="52">L$15</f>
        <v/>
      </c>
      <c r="O45" s="64" t="str">
        <f t="shared" si="52"/>
        <v/>
      </c>
    </row>
    <row r="46">
      <c r="A46" s="14" t="s">
        <v>267</v>
      </c>
      <c r="B46" s="49">
        <v>43467.0</v>
      </c>
      <c r="C46" s="18"/>
      <c r="D46" s="6" t="s">
        <v>47</v>
      </c>
      <c r="E46" s="22">
        <f t="shared" si="53"/>
        <v>43496</v>
      </c>
      <c r="F46" s="52" t="s">
        <v>269</v>
      </c>
      <c r="G46" s="29">
        <f t="shared" si="2"/>
        <v>-239</v>
      </c>
      <c r="H46" s="12" t="str">
        <f t="shared" si="3"/>
        <v/>
      </c>
      <c r="I46" s="32" t="str">
        <f t="shared" si="4"/>
        <v/>
      </c>
      <c r="J46" t="str">
        <f t="shared" si="5"/>
        <v>Vermont</v>
      </c>
      <c r="L46" t="str">
        <f t="shared" si="16"/>
        <v/>
      </c>
      <c r="M46" t="str">
        <f t="shared" si="6"/>
        <v/>
      </c>
      <c r="N46" s="33" t="str">
        <f t="shared" ref="N46:O46" si="54">L$35</f>
        <v/>
      </c>
      <c r="O46" s="64" t="str">
        <f t="shared" si="54"/>
        <v/>
      </c>
    </row>
    <row r="47">
      <c r="A47" s="14" t="s">
        <v>270</v>
      </c>
      <c r="B47" s="49">
        <v>43467.0</v>
      </c>
      <c r="C47" s="6" t="s">
        <v>47</v>
      </c>
      <c r="D47" s="6" t="s">
        <v>47</v>
      </c>
      <c r="E47" s="22">
        <f t="shared" si="53"/>
        <v>43483</v>
      </c>
      <c r="F47" s="52" t="s">
        <v>65</v>
      </c>
      <c r="G47" s="29">
        <f t="shared" si="2"/>
        <v>-252</v>
      </c>
      <c r="H47" s="12" t="str">
        <f t="shared" si="3"/>
        <v/>
      </c>
      <c r="I47" s="32" t="str">
        <f t="shared" si="4"/>
        <v/>
      </c>
      <c r="J47" t="str">
        <f t="shared" si="5"/>
        <v>Virginia</v>
      </c>
      <c r="L47" t="str">
        <f t="shared" si="16"/>
        <v/>
      </c>
      <c r="M47" t="str">
        <f t="shared" si="6"/>
        <v/>
      </c>
      <c r="N47" s="56" t="str">
        <f t="shared" ref="N47:O47" si="55">L$2</f>
        <v>Alabama</v>
      </c>
      <c r="O47" s="64" t="str">
        <f t="shared" si="55"/>
        <v/>
      </c>
    </row>
    <row r="48">
      <c r="A48" s="14" t="s">
        <v>277</v>
      </c>
      <c r="B48" s="49">
        <v>43528.0</v>
      </c>
      <c r="C48" s="49">
        <v>43467.0</v>
      </c>
      <c r="D48" s="6" t="s">
        <v>47</v>
      </c>
      <c r="E48" s="22" t="str">
        <f t="shared" si="53"/>
        <v/>
      </c>
      <c r="F48" s="60" t="str">
        <f>HYPERLINK("http://leg.wa.gov/legislature/Pages/cutoff.aspx","2/22/19- deadline for bills to reported from committee")</f>
        <v>2/22/19- deadline for bills to reported from committee</v>
      </c>
      <c r="G48" s="29" t="str">
        <f t="shared" si="2"/>
        <v/>
      </c>
      <c r="H48" s="12" t="str">
        <f t="shared" si="3"/>
        <v/>
      </c>
      <c r="I48" s="32" t="str">
        <f t="shared" si="4"/>
        <v/>
      </c>
      <c r="J48" t="str">
        <f t="shared" si="5"/>
        <v/>
      </c>
      <c r="L48" t="str">
        <f t="shared" si="16"/>
        <v>Washington</v>
      </c>
      <c r="M48" t="str">
        <f t="shared" si="6"/>
        <v/>
      </c>
      <c r="N48" s="56" t="str">
        <f t="shared" ref="N48:O48" si="56">L$3</f>
        <v>Alaska</v>
      </c>
      <c r="O48" s="64" t="str">
        <f t="shared" si="56"/>
        <v/>
      </c>
    </row>
    <row r="49">
      <c r="A49" s="14" t="s">
        <v>281</v>
      </c>
      <c r="B49" s="6"/>
      <c r="C49" s="49">
        <v>43467.0</v>
      </c>
      <c r="D49" s="6" t="s">
        <v>47</v>
      </c>
      <c r="E49" s="22">
        <f t="shared" si="53"/>
        <v>43508</v>
      </c>
      <c r="F49" s="52" t="s">
        <v>65</v>
      </c>
      <c r="G49" s="29">
        <f t="shared" si="2"/>
        <v>-227</v>
      </c>
      <c r="H49" s="12" t="str">
        <f t="shared" si="3"/>
        <v/>
      </c>
      <c r="I49" s="32" t="str">
        <f t="shared" si="4"/>
        <v/>
      </c>
      <c r="J49" t="str">
        <f t="shared" si="5"/>
        <v>West Virginia</v>
      </c>
      <c r="L49" t="str">
        <f t="shared" si="16"/>
        <v/>
      </c>
      <c r="M49" t="str">
        <f t="shared" si="6"/>
        <v/>
      </c>
      <c r="N49" s="33" t="str">
        <f t="shared" ref="N49:O49" si="57">L$11</f>
        <v>Georgia</v>
      </c>
      <c r="O49" s="64" t="str">
        <f t="shared" si="57"/>
        <v/>
      </c>
    </row>
    <row r="50">
      <c r="A50" s="14" t="s">
        <v>282</v>
      </c>
      <c r="B50" s="6" t="s">
        <v>47</v>
      </c>
      <c r="C50" s="18"/>
      <c r="D50" s="6" t="s">
        <v>47</v>
      </c>
      <c r="E50" s="22">
        <f t="shared" si="53"/>
        <v>43830</v>
      </c>
      <c r="F50" s="52" t="s">
        <v>269</v>
      </c>
      <c r="G50" s="29">
        <f t="shared" si="2"/>
        <v>95</v>
      </c>
      <c r="H50" s="12" t="str">
        <f t="shared" si="3"/>
        <v/>
      </c>
      <c r="I50" s="32" t="str">
        <f t="shared" si="4"/>
        <v/>
      </c>
      <c r="J50" t="str">
        <f t="shared" si="5"/>
        <v/>
      </c>
      <c r="L50" t="str">
        <f t="shared" si="16"/>
        <v>Wisconsin</v>
      </c>
      <c r="M50">
        <f t="shared" si="6"/>
        <v>95</v>
      </c>
      <c r="N50" s="33" t="str">
        <f t="shared" ref="N50:O50" si="58">L$48</f>
        <v>Washington</v>
      </c>
      <c r="O50" s="64" t="str">
        <f t="shared" si="58"/>
        <v/>
      </c>
    </row>
    <row r="51">
      <c r="A51" s="14" t="s">
        <v>290</v>
      </c>
      <c r="B51" s="6" t="s">
        <v>47</v>
      </c>
      <c r="C51" s="6" t="s">
        <v>47</v>
      </c>
      <c r="D51" s="6" t="s">
        <v>47</v>
      </c>
      <c r="E51" s="22">
        <f t="shared" si="53"/>
        <v>43489</v>
      </c>
      <c r="F51" s="52" t="s">
        <v>269</v>
      </c>
      <c r="G51" s="29">
        <f t="shared" si="2"/>
        <v>-246</v>
      </c>
      <c r="H51" s="12" t="str">
        <f t="shared" si="3"/>
        <v/>
      </c>
      <c r="I51" s="32" t="str">
        <f t="shared" si="4"/>
        <v/>
      </c>
      <c r="J51" t="str">
        <f t="shared" si="5"/>
        <v>Wyoming</v>
      </c>
      <c r="L51" t="str">
        <f t="shared" si="16"/>
        <v/>
      </c>
      <c r="M51" t="str">
        <f t="shared" si="6"/>
        <v/>
      </c>
      <c r="N51" s="33" t="str">
        <f t="shared" ref="N51:O51" si="59">L$24</f>
        <v>#VALUE!</v>
      </c>
      <c r="O51" s="64" t="str">
        <f t="shared" si="59"/>
        <v>#VALUE!</v>
      </c>
    </row>
    <row r="52">
      <c r="B52" s="18"/>
      <c r="C52" s="18"/>
      <c r="D52" s="18"/>
      <c r="E52" s="22"/>
      <c r="F52" s="24"/>
      <c r="G52" s="72"/>
      <c r="N52" s="56"/>
      <c r="O52" s="64"/>
    </row>
    <row r="53">
      <c r="B53" s="18"/>
      <c r="C53" s="18"/>
      <c r="D53" s="18"/>
      <c r="E53" s="22"/>
      <c r="F53" s="24"/>
      <c r="G53" s="72"/>
      <c r="N53" s="56"/>
      <c r="O53" s="64"/>
    </row>
    <row r="54">
      <c r="B54" s="18"/>
      <c r="C54" s="18"/>
      <c r="D54" s="18"/>
      <c r="E54" s="22"/>
      <c r="F54" s="24"/>
      <c r="G54" s="72"/>
      <c r="N54" s="56"/>
      <c r="O54" s="64"/>
    </row>
    <row r="55">
      <c r="B55" s="18"/>
      <c r="C55" s="18"/>
      <c r="D55" s="18"/>
      <c r="E55" s="22"/>
      <c r="F55" s="24"/>
      <c r="G55" s="72"/>
      <c r="N55" s="56"/>
      <c r="O55" s="64"/>
    </row>
    <row r="56">
      <c r="B56" s="18"/>
      <c r="C56" s="18"/>
      <c r="D56" s="18"/>
      <c r="E56" s="22"/>
      <c r="F56" s="24"/>
      <c r="G56" s="72"/>
      <c r="N56" s="56"/>
      <c r="O56" s="64"/>
    </row>
    <row r="57">
      <c r="B57" s="18"/>
      <c r="C57" s="18"/>
      <c r="D57" s="18"/>
      <c r="E57" s="22"/>
      <c r="F57" s="24"/>
      <c r="G57" s="72"/>
      <c r="N57" s="56"/>
      <c r="O57" s="64"/>
    </row>
    <row r="58">
      <c r="B58" s="18"/>
      <c r="C58" s="18"/>
      <c r="D58" s="18"/>
      <c r="E58" s="22"/>
      <c r="F58" s="24"/>
      <c r="G58" s="72"/>
      <c r="N58" s="56"/>
      <c r="O58" s="64"/>
    </row>
    <row r="59">
      <c r="B59" s="18"/>
      <c r="C59" s="18"/>
      <c r="D59" s="18"/>
      <c r="E59" s="22"/>
      <c r="F59" s="24"/>
      <c r="G59" s="72"/>
      <c r="N59" s="56"/>
      <c r="O59" s="64"/>
    </row>
    <row r="60">
      <c r="B60" s="18"/>
      <c r="C60" s="18"/>
      <c r="D60" s="18"/>
      <c r="E60" s="22"/>
      <c r="F60" s="24"/>
      <c r="G60" s="72"/>
      <c r="N60" s="56"/>
      <c r="O60" s="64"/>
    </row>
    <row r="61">
      <c r="B61" s="18"/>
      <c r="C61" s="18"/>
      <c r="D61" s="18"/>
      <c r="E61" s="22"/>
      <c r="F61" s="24"/>
      <c r="G61" s="72"/>
      <c r="N61" s="56"/>
      <c r="O61" s="64"/>
    </row>
    <row r="62">
      <c r="B62" s="18"/>
      <c r="C62" s="18"/>
      <c r="D62" s="18"/>
      <c r="E62" s="22"/>
      <c r="F62" s="24"/>
      <c r="G62" s="72"/>
      <c r="N62" s="56"/>
      <c r="O62" s="64"/>
    </row>
    <row r="63">
      <c r="B63" s="18"/>
      <c r="C63" s="18"/>
      <c r="D63" s="18"/>
      <c r="E63" s="22"/>
      <c r="F63" s="24"/>
      <c r="G63" s="72"/>
      <c r="N63" s="56"/>
      <c r="O63" s="64"/>
    </row>
    <row r="64">
      <c r="B64" s="18"/>
      <c r="C64" s="18"/>
      <c r="D64" s="18"/>
      <c r="E64" s="22"/>
      <c r="F64" s="24"/>
      <c r="G64" s="72"/>
      <c r="N64" s="56"/>
      <c r="O64" s="64"/>
    </row>
    <row r="65">
      <c r="B65" s="18"/>
      <c r="C65" s="18"/>
      <c r="D65" s="18"/>
      <c r="E65" s="22"/>
      <c r="F65" s="24"/>
      <c r="G65" s="72"/>
      <c r="N65" s="56"/>
      <c r="O65" s="64"/>
    </row>
    <row r="66">
      <c r="B66" s="18"/>
      <c r="C66" s="18"/>
      <c r="D66" s="18"/>
      <c r="E66" s="22"/>
      <c r="F66" s="24"/>
      <c r="G66" s="72"/>
      <c r="N66" s="56"/>
      <c r="O66" s="64"/>
    </row>
    <row r="67">
      <c r="B67" s="18"/>
      <c r="C67" s="18"/>
      <c r="D67" s="18"/>
      <c r="E67" s="22"/>
      <c r="F67" s="24"/>
      <c r="G67" s="72"/>
      <c r="N67" s="56"/>
      <c r="O67" s="64"/>
    </row>
    <row r="68">
      <c r="B68" s="18"/>
      <c r="C68" s="18"/>
      <c r="D68" s="18"/>
      <c r="E68" s="22"/>
      <c r="F68" s="24"/>
      <c r="G68" s="72"/>
      <c r="N68" s="56"/>
      <c r="O68" s="64"/>
    </row>
    <row r="69">
      <c r="B69" s="18"/>
      <c r="C69" s="18"/>
      <c r="D69" s="18"/>
      <c r="E69" s="22"/>
      <c r="F69" s="24"/>
      <c r="G69" s="72"/>
      <c r="N69" s="56"/>
      <c r="O69" s="64"/>
    </row>
    <row r="70">
      <c r="B70" s="18"/>
      <c r="C70" s="18"/>
      <c r="D70" s="18"/>
      <c r="E70" s="22"/>
      <c r="F70" s="24"/>
      <c r="G70" s="72"/>
      <c r="N70" s="56"/>
      <c r="O70" s="64"/>
    </row>
    <row r="71">
      <c r="B71" s="18"/>
      <c r="C71" s="18"/>
      <c r="D71" s="18"/>
      <c r="E71" s="22"/>
      <c r="F71" s="24"/>
      <c r="G71" s="72"/>
      <c r="N71" s="56"/>
      <c r="O71" s="64"/>
    </row>
    <row r="72">
      <c r="B72" s="18"/>
      <c r="C72" s="18"/>
      <c r="D72" s="18"/>
      <c r="E72" s="22"/>
      <c r="F72" s="24"/>
      <c r="G72" s="72"/>
      <c r="N72" s="56"/>
      <c r="O72" s="64"/>
    </row>
    <row r="73">
      <c r="B73" s="18"/>
      <c r="C73" s="18"/>
      <c r="D73" s="18"/>
      <c r="E73" s="22"/>
      <c r="F73" s="24"/>
      <c r="G73" s="72"/>
      <c r="N73" s="56"/>
      <c r="O73" s="64"/>
    </row>
    <row r="74">
      <c r="B74" s="18"/>
      <c r="C74" s="18"/>
      <c r="D74" s="18"/>
      <c r="E74" s="22"/>
      <c r="F74" s="24"/>
      <c r="G74" s="72"/>
      <c r="N74" s="56"/>
      <c r="O74" s="64"/>
    </row>
    <row r="75">
      <c r="B75" s="18"/>
      <c r="C75" s="18"/>
      <c r="D75" s="18"/>
      <c r="E75" s="22"/>
      <c r="F75" s="24"/>
      <c r="G75" s="72"/>
      <c r="N75" s="56"/>
      <c r="O75" s="64"/>
    </row>
    <row r="76">
      <c r="B76" s="18"/>
      <c r="C76" s="18"/>
      <c r="D76" s="18"/>
      <c r="E76" s="22"/>
      <c r="F76" s="24"/>
      <c r="G76" s="72"/>
      <c r="N76" s="56"/>
      <c r="O76" s="64"/>
    </row>
    <row r="77">
      <c r="B77" s="18"/>
      <c r="C77" s="18"/>
      <c r="D77" s="18"/>
      <c r="E77" s="22"/>
      <c r="F77" s="24"/>
      <c r="G77" s="72"/>
      <c r="N77" s="56"/>
      <c r="O77" s="64"/>
    </row>
    <row r="78">
      <c r="B78" s="18"/>
      <c r="C78" s="18"/>
      <c r="D78" s="18"/>
      <c r="E78" s="22"/>
      <c r="F78" s="24"/>
      <c r="G78" s="72"/>
      <c r="N78" s="56"/>
      <c r="O78" s="64"/>
    </row>
    <row r="79">
      <c r="B79" s="18"/>
      <c r="C79" s="18"/>
      <c r="D79" s="18"/>
      <c r="E79" s="22"/>
      <c r="F79" s="24"/>
      <c r="G79" s="72"/>
      <c r="N79" s="56"/>
      <c r="O79" s="64"/>
    </row>
    <row r="80">
      <c r="B80" s="18"/>
      <c r="C80" s="18"/>
      <c r="D80" s="18"/>
      <c r="E80" s="22"/>
      <c r="F80" s="24"/>
      <c r="G80" s="72"/>
      <c r="N80" s="56"/>
      <c r="O80" s="64"/>
    </row>
    <row r="81">
      <c r="B81" s="18"/>
      <c r="C81" s="18"/>
      <c r="D81" s="18"/>
      <c r="E81" s="22"/>
      <c r="F81" s="24"/>
      <c r="G81" s="72"/>
      <c r="N81" s="56"/>
      <c r="O81" s="64"/>
    </row>
    <row r="82">
      <c r="B82" s="18"/>
      <c r="C82" s="18"/>
      <c r="D82" s="18"/>
      <c r="E82" s="22"/>
      <c r="F82" s="24"/>
      <c r="G82" s="72"/>
      <c r="N82" s="56"/>
      <c r="O82" s="64"/>
    </row>
    <row r="83">
      <c r="B83" s="18"/>
      <c r="C83" s="18"/>
      <c r="D83" s="18"/>
      <c r="E83" s="22"/>
      <c r="F83" s="24"/>
      <c r="G83" s="72"/>
      <c r="N83" s="56"/>
      <c r="O83" s="64"/>
    </row>
    <row r="84">
      <c r="B84" s="18"/>
      <c r="C84" s="18"/>
      <c r="D84" s="18"/>
      <c r="E84" s="22"/>
      <c r="F84" s="24"/>
      <c r="G84" s="72"/>
      <c r="N84" s="56"/>
      <c r="O84" s="64"/>
    </row>
    <row r="85">
      <c r="B85" s="18"/>
      <c r="C85" s="18"/>
      <c r="D85" s="18"/>
      <c r="E85" s="22"/>
      <c r="F85" s="24"/>
      <c r="G85" s="72"/>
      <c r="N85" s="56"/>
      <c r="O85" s="64"/>
    </row>
    <row r="86">
      <c r="B86" s="18"/>
      <c r="C86" s="18"/>
      <c r="D86" s="18"/>
      <c r="E86" s="22"/>
      <c r="F86" s="24"/>
      <c r="G86" s="72"/>
      <c r="N86" s="56"/>
      <c r="O86" s="64"/>
    </row>
    <row r="87">
      <c r="B87" s="18"/>
      <c r="C87" s="18"/>
      <c r="D87" s="18"/>
      <c r="E87" s="22"/>
      <c r="F87" s="24"/>
      <c r="G87" s="72"/>
      <c r="N87" s="56"/>
      <c r="O87" s="64"/>
    </row>
    <row r="88">
      <c r="B88" s="18"/>
      <c r="C88" s="18"/>
      <c r="D88" s="18"/>
      <c r="E88" s="22"/>
      <c r="F88" s="24"/>
      <c r="G88" s="72"/>
      <c r="N88" s="56"/>
      <c r="O88" s="64"/>
    </row>
    <row r="89">
      <c r="B89" s="18"/>
      <c r="C89" s="18"/>
      <c r="D89" s="18"/>
      <c r="E89" s="22"/>
      <c r="F89" s="24"/>
      <c r="G89" s="72"/>
      <c r="N89" s="56"/>
      <c r="O89" s="64"/>
    </row>
    <row r="90">
      <c r="B90" s="18"/>
      <c r="C90" s="18"/>
      <c r="D90" s="18"/>
      <c r="E90" s="22"/>
      <c r="F90" s="24"/>
      <c r="G90" s="72"/>
      <c r="N90" s="56"/>
      <c r="O90" s="64"/>
    </row>
    <row r="91">
      <c r="B91" s="18"/>
      <c r="C91" s="18"/>
      <c r="D91" s="18"/>
      <c r="E91" s="22"/>
      <c r="F91" s="24"/>
      <c r="G91" s="72"/>
      <c r="N91" s="56"/>
      <c r="O91" s="64"/>
    </row>
    <row r="92">
      <c r="B92" s="18"/>
      <c r="C92" s="18"/>
      <c r="D92" s="18"/>
      <c r="E92" s="22"/>
      <c r="F92" s="24"/>
      <c r="G92" s="72"/>
      <c r="N92" s="56"/>
      <c r="O92" s="64"/>
    </row>
    <row r="93">
      <c r="B93" s="18"/>
      <c r="C93" s="18"/>
      <c r="D93" s="18"/>
      <c r="E93" s="22"/>
      <c r="F93" s="24"/>
      <c r="G93" s="72"/>
      <c r="N93" s="56"/>
      <c r="O93" s="64"/>
    </row>
    <row r="94">
      <c r="B94" s="18"/>
      <c r="C94" s="18"/>
      <c r="D94" s="18"/>
      <c r="E94" s="22"/>
      <c r="F94" s="24"/>
      <c r="G94" s="72"/>
      <c r="N94" s="56"/>
      <c r="O94" s="64"/>
    </row>
    <row r="95">
      <c r="B95" s="18"/>
      <c r="C95" s="18"/>
      <c r="D95" s="18"/>
      <c r="E95" s="22"/>
      <c r="F95" s="24"/>
      <c r="G95" s="72"/>
      <c r="N95" s="56"/>
      <c r="O95" s="64"/>
    </row>
    <row r="96">
      <c r="B96" s="18"/>
      <c r="C96" s="18"/>
      <c r="D96" s="18"/>
      <c r="E96" s="22"/>
      <c r="F96" s="24"/>
      <c r="G96" s="72"/>
      <c r="N96" s="56"/>
      <c r="O96" s="64"/>
    </row>
    <row r="97">
      <c r="B97" s="18"/>
      <c r="C97" s="18"/>
      <c r="D97" s="18"/>
      <c r="E97" s="22"/>
      <c r="F97" s="24"/>
      <c r="G97" s="72"/>
      <c r="N97" s="56"/>
      <c r="O97" s="64"/>
    </row>
    <row r="98">
      <c r="B98" s="18"/>
      <c r="C98" s="18"/>
      <c r="D98" s="18"/>
      <c r="E98" s="22"/>
      <c r="F98" s="24"/>
      <c r="G98" s="72"/>
      <c r="N98" s="56"/>
      <c r="O98" s="64"/>
    </row>
    <row r="99">
      <c r="B99" s="18"/>
      <c r="C99" s="18"/>
      <c r="D99" s="18"/>
      <c r="E99" s="22"/>
      <c r="F99" s="24"/>
      <c r="G99" s="72"/>
      <c r="N99" s="56"/>
      <c r="O99" s="64"/>
    </row>
    <row r="100">
      <c r="B100" s="18"/>
      <c r="C100" s="18"/>
      <c r="D100" s="18"/>
      <c r="E100" s="22"/>
      <c r="F100" s="24"/>
      <c r="G100" s="72"/>
      <c r="N100" s="56"/>
      <c r="O100" s="64"/>
    </row>
    <row r="101">
      <c r="B101" s="18"/>
      <c r="C101" s="18"/>
      <c r="D101" s="18"/>
      <c r="E101" s="22"/>
      <c r="F101" s="24"/>
      <c r="G101" s="72"/>
      <c r="N101" s="56"/>
      <c r="O101" s="64"/>
    </row>
    <row r="102">
      <c r="B102" s="18"/>
      <c r="C102" s="18"/>
      <c r="D102" s="18"/>
      <c r="E102" s="22"/>
      <c r="F102" s="24"/>
      <c r="G102" s="72"/>
      <c r="N102" s="56"/>
      <c r="O102" s="64"/>
    </row>
    <row r="103">
      <c r="B103" s="18"/>
      <c r="C103" s="18"/>
      <c r="D103" s="18"/>
      <c r="E103" s="22"/>
      <c r="F103" s="24"/>
      <c r="G103" s="72"/>
      <c r="N103" s="56"/>
      <c r="O103" s="64"/>
    </row>
    <row r="104">
      <c r="B104" s="18"/>
      <c r="C104" s="18"/>
      <c r="D104" s="18"/>
      <c r="E104" s="22"/>
      <c r="F104" s="24"/>
      <c r="G104" s="72"/>
      <c r="N104" s="56"/>
      <c r="O104" s="64"/>
    </row>
    <row r="105">
      <c r="B105" s="18"/>
      <c r="C105" s="18"/>
      <c r="D105" s="18"/>
      <c r="E105" s="22"/>
      <c r="F105" s="24"/>
      <c r="G105" s="72"/>
      <c r="N105" s="56"/>
      <c r="O105" s="64"/>
    </row>
    <row r="106">
      <c r="B106" s="18"/>
      <c r="C106" s="18"/>
      <c r="D106" s="18"/>
      <c r="E106" s="22"/>
      <c r="F106" s="24"/>
      <c r="G106" s="72"/>
      <c r="N106" s="56"/>
      <c r="O106" s="64"/>
    </row>
    <row r="107">
      <c r="B107" s="18"/>
      <c r="C107" s="18"/>
      <c r="D107" s="18"/>
      <c r="E107" s="22"/>
      <c r="F107" s="24"/>
      <c r="G107" s="72"/>
      <c r="N107" s="56"/>
      <c r="O107" s="64"/>
    </row>
    <row r="108">
      <c r="B108" s="18"/>
      <c r="C108" s="18"/>
      <c r="D108" s="18"/>
      <c r="E108" s="22"/>
      <c r="F108" s="24"/>
      <c r="G108" s="72"/>
      <c r="N108" s="56"/>
      <c r="O108" s="64"/>
    </row>
    <row r="109">
      <c r="B109" s="18"/>
      <c r="C109" s="18"/>
      <c r="D109" s="18"/>
      <c r="E109" s="22"/>
      <c r="F109" s="24"/>
      <c r="G109" s="72"/>
      <c r="N109" s="56"/>
      <c r="O109" s="64"/>
    </row>
    <row r="110">
      <c r="B110" s="18"/>
      <c r="C110" s="18"/>
      <c r="D110" s="18"/>
      <c r="E110" s="22"/>
      <c r="F110" s="24"/>
      <c r="G110" s="72"/>
      <c r="N110" s="56"/>
      <c r="O110" s="64"/>
    </row>
    <row r="111">
      <c r="B111" s="18"/>
      <c r="C111" s="18"/>
      <c r="D111" s="18"/>
      <c r="E111" s="22"/>
      <c r="F111" s="24"/>
      <c r="G111" s="72"/>
      <c r="N111" s="56"/>
      <c r="O111" s="64"/>
    </row>
    <row r="112">
      <c r="B112" s="18"/>
      <c r="C112" s="18"/>
      <c r="D112" s="18"/>
      <c r="E112" s="22"/>
      <c r="F112" s="24"/>
      <c r="G112" s="72"/>
      <c r="N112" s="56"/>
      <c r="O112" s="64"/>
    </row>
    <row r="113">
      <c r="B113" s="18"/>
      <c r="C113" s="18"/>
      <c r="D113" s="18"/>
      <c r="E113" s="22"/>
      <c r="F113" s="24"/>
      <c r="G113" s="72"/>
      <c r="N113" s="56"/>
      <c r="O113" s="64"/>
    </row>
    <row r="114">
      <c r="B114" s="18"/>
      <c r="C114" s="18"/>
      <c r="D114" s="18"/>
      <c r="E114" s="22"/>
      <c r="F114" s="24"/>
      <c r="G114" s="72"/>
      <c r="N114" s="56"/>
      <c r="O114" s="64"/>
    </row>
    <row r="115">
      <c r="B115" s="18"/>
      <c r="C115" s="18"/>
      <c r="D115" s="18"/>
      <c r="E115" s="22"/>
      <c r="F115" s="24"/>
      <c r="G115" s="72"/>
      <c r="N115" s="56"/>
      <c r="O115" s="64"/>
    </row>
    <row r="116">
      <c r="B116" s="18"/>
      <c r="C116" s="18"/>
      <c r="D116" s="18"/>
      <c r="E116" s="22"/>
      <c r="F116" s="24"/>
      <c r="G116" s="72"/>
      <c r="N116" s="56"/>
      <c r="O116" s="64"/>
    </row>
    <row r="117">
      <c r="B117" s="18"/>
      <c r="C117" s="18"/>
      <c r="D117" s="18"/>
      <c r="E117" s="22"/>
      <c r="F117" s="24"/>
      <c r="G117" s="72"/>
      <c r="N117" s="56"/>
      <c r="O117" s="64"/>
    </row>
    <row r="118">
      <c r="B118" s="18"/>
      <c r="C118" s="18"/>
      <c r="D118" s="18"/>
      <c r="E118" s="22"/>
      <c r="F118" s="24"/>
      <c r="G118" s="72"/>
      <c r="N118" s="56"/>
      <c r="O118" s="64"/>
    </row>
    <row r="119">
      <c r="B119" s="18"/>
      <c r="C119" s="18"/>
      <c r="D119" s="18"/>
      <c r="E119" s="22"/>
      <c r="F119" s="24"/>
      <c r="G119" s="72"/>
      <c r="N119" s="56"/>
      <c r="O119" s="64"/>
    </row>
    <row r="120">
      <c r="B120" s="18"/>
      <c r="C120" s="18"/>
      <c r="D120" s="18"/>
      <c r="E120" s="22"/>
      <c r="F120" s="24"/>
      <c r="G120" s="72"/>
      <c r="N120" s="56"/>
      <c r="O120" s="64"/>
    </row>
    <row r="121">
      <c r="B121" s="18"/>
      <c r="C121" s="18"/>
      <c r="D121" s="18"/>
      <c r="E121" s="22"/>
      <c r="F121" s="24"/>
      <c r="G121" s="72"/>
      <c r="N121" s="56"/>
      <c r="O121" s="64"/>
    </row>
    <row r="122">
      <c r="B122" s="18"/>
      <c r="C122" s="18"/>
      <c r="D122" s="18"/>
      <c r="E122" s="22"/>
      <c r="F122" s="24"/>
      <c r="G122" s="72"/>
      <c r="N122" s="56"/>
      <c r="O122" s="64"/>
    </row>
    <row r="123">
      <c r="B123" s="18"/>
      <c r="C123" s="18"/>
      <c r="D123" s="18"/>
      <c r="E123" s="22"/>
      <c r="F123" s="24"/>
      <c r="G123" s="72"/>
      <c r="N123" s="56"/>
      <c r="O123" s="64"/>
    </row>
    <row r="124">
      <c r="B124" s="18"/>
      <c r="C124" s="18"/>
      <c r="D124" s="18"/>
      <c r="E124" s="22"/>
      <c r="F124" s="24"/>
      <c r="G124" s="72"/>
      <c r="N124" s="56"/>
      <c r="O124" s="64"/>
    </row>
    <row r="125">
      <c r="B125" s="18"/>
      <c r="C125" s="18"/>
      <c r="D125" s="18"/>
      <c r="E125" s="22"/>
      <c r="F125" s="24"/>
      <c r="G125" s="72"/>
      <c r="N125" s="56"/>
      <c r="O125" s="64"/>
    </row>
    <row r="126">
      <c r="B126" s="18"/>
      <c r="C126" s="18"/>
      <c r="D126" s="18"/>
      <c r="E126" s="22"/>
      <c r="F126" s="24"/>
      <c r="G126" s="72"/>
      <c r="N126" s="56"/>
      <c r="O126" s="64"/>
    </row>
    <row r="127">
      <c r="B127" s="18"/>
      <c r="C127" s="18"/>
      <c r="D127" s="18"/>
      <c r="E127" s="22"/>
      <c r="F127" s="24"/>
      <c r="G127" s="72"/>
      <c r="N127" s="56"/>
      <c r="O127" s="64"/>
    </row>
    <row r="128">
      <c r="B128" s="18"/>
      <c r="C128" s="18"/>
      <c r="D128" s="18"/>
      <c r="E128" s="22"/>
      <c r="F128" s="24"/>
      <c r="G128" s="72"/>
      <c r="N128" s="56"/>
      <c r="O128" s="64"/>
    </row>
    <row r="129">
      <c r="B129" s="18"/>
      <c r="C129" s="18"/>
      <c r="D129" s="18"/>
      <c r="E129" s="22"/>
      <c r="F129" s="24"/>
      <c r="G129" s="72"/>
      <c r="N129" s="56"/>
      <c r="O129" s="64"/>
    </row>
    <row r="130">
      <c r="B130" s="18"/>
      <c r="C130" s="18"/>
      <c r="D130" s="18"/>
      <c r="E130" s="22"/>
      <c r="F130" s="24"/>
      <c r="G130" s="72"/>
      <c r="N130" s="56"/>
      <c r="O130" s="64"/>
    </row>
    <row r="131">
      <c r="B131" s="18"/>
      <c r="C131" s="18"/>
      <c r="D131" s="18"/>
      <c r="E131" s="22"/>
      <c r="F131" s="24"/>
      <c r="G131" s="72"/>
      <c r="N131" s="56"/>
      <c r="O131" s="64"/>
    </row>
    <row r="132">
      <c r="B132" s="18"/>
      <c r="C132" s="18"/>
      <c r="D132" s="18"/>
      <c r="E132" s="22"/>
      <c r="F132" s="24"/>
      <c r="G132" s="72"/>
      <c r="N132" s="56"/>
      <c r="O132" s="64"/>
    </row>
    <row r="133">
      <c r="B133" s="18"/>
      <c r="C133" s="18"/>
      <c r="D133" s="18"/>
      <c r="E133" s="22"/>
      <c r="F133" s="24"/>
      <c r="G133" s="72"/>
      <c r="N133" s="56"/>
      <c r="O133" s="64"/>
    </row>
    <row r="134">
      <c r="B134" s="18"/>
      <c r="C134" s="18"/>
      <c r="D134" s="18"/>
      <c r="E134" s="22"/>
      <c r="F134" s="24"/>
      <c r="G134" s="72"/>
      <c r="N134" s="56"/>
      <c r="O134" s="64"/>
    </row>
    <row r="135">
      <c r="B135" s="18"/>
      <c r="C135" s="18"/>
      <c r="D135" s="18"/>
      <c r="E135" s="22"/>
      <c r="F135" s="24"/>
      <c r="G135" s="72"/>
      <c r="N135" s="56"/>
      <c r="O135" s="64"/>
    </row>
    <row r="136">
      <c r="B136" s="18"/>
      <c r="C136" s="18"/>
      <c r="D136" s="18"/>
      <c r="E136" s="22"/>
      <c r="F136" s="24"/>
      <c r="G136" s="72"/>
      <c r="N136" s="56"/>
      <c r="O136" s="64"/>
    </row>
    <row r="137">
      <c r="B137" s="18"/>
      <c r="C137" s="18"/>
      <c r="D137" s="18"/>
      <c r="E137" s="22"/>
      <c r="F137" s="24"/>
      <c r="G137" s="72"/>
      <c r="N137" s="56"/>
      <c r="O137" s="64"/>
    </row>
    <row r="138">
      <c r="B138" s="18"/>
      <c r="C138" s="18"/>
      <c r="D138" s="18"/>
      <c r="E138" s="22"/>
      <c r="F138" s="24"/>
      <c r="G138" s="72"/>
      <c r="N138" s="56"/>
      <c r="O138" s="64"/>
    </row>
    <row r="139">
      <c r="B139" s="18"/>
      <c r="C139" s="18"/>
      <c r="D139" s="18"/>
      <c r="E139" s="22"/>
      <c r="F139" s="24"/>
      <c r="G139" s="72"/>
      <c r="N139" s="56"/>
      <c r="O139" s="64"/>
    </row>
    <row r="140">
      <c r="B140" s="18"/>
      <c r="C140" s="18"/>
      <c r="D140" s="18"/>
      <c r="E140" s="22"/>
      <c r="F140" s="24"/>
      <c r="G140" s="72"/>
      <c r="N140" s="56"/>
      <c r="O140" s="64"/>
    </row>
    <row r="141">
      <c r="B141" s="18"/>
      <c r="C141" s="18"/>
      <c r="D141" s="18"/>
      <c r="E141" s="22"/>
      <c r="F141" s="24"/>
      <c r="G141" s="72"/>
      <c r="N141" s="56"/>
      <c r="O141" s="64"/>
    </row>
    <row r="142">
      <c r="B142" s="18"/>
      <c r="C142" s="18"/>
      <c r="D142" s="18"/>
      <c r="E142" s="22"/>
      <c r="F142" s="24"/>
      <c r="G142" s="72"/>
      <c r="N142" s="56"/>
      <c r="O142" s="64"/>
    </row>
    <row r="143">
      <c r="B143" s="18"/>
      <c r="C143" s="18"/>
      <c r="D143" s="18"/>
      <c r="E143" s="22"/>
      <c r="F143" s="24"/>
      <c r="G143" s="72"/>
      <c r="N143" s="56"/>
      <c r="O143" s="64"/>
    </row>
    <row r="144">
      <c r="B144" s="18"/>
      <c r="C144" s="18"/>
      <c r="D144" s="18"/>
      <c r="E144" s="22"/>
      <c r="F144" s="24"/>
      <c r="G144" s="72"/>
      <c r="N144" s="56"/>
      <c r="O144" s="64"/>
    </row>
    <row r="145">
      <c r="B145" s="18"/>
      <c r="C145" s="18"/>
      <c r="D145" s="18"/>
      <c r="E145" s="22"/>
      <c r="F145" s="24"/>
      <c r="G145" s="72"/>
      <c r="N145" s="56"/>
      <c r="O145" s="64"/>
    </row>
    <row r="146">
      <c r="B146" s="18"/>
      <c r="C146" s="18"/>
      <c r="D146" s="18"/>
      <c r="E146" s="22"/>
      <c r="F146" s="24"/>
      <c r="G146" s="72"/>
      <c r="N146" s="56"/>
      <c r="O146" s="64"/>
    </row>
    <row r="147">
      <c r="B147" s="18"/>
      <c r="C147" s="18"/>
      <c r="D147" s="18"/>
      <c r="E147" s="22"/>
      <c r="F147" s="24"/>
      <c r="G147" s="72"/>
      <c r="N147" s="56"/>
      <c r="O147" s="64"/>
    </row>
    <row r="148">
      <c r="B148" s="18"/>
      <c r="C148" s="18"/>
      <c r="D148" s="18"/>
      <c r="E148" s="22"/>
      <c r="F148" s="24"/>
      <c r="G148" s="72"/>
      <c r="N148" s="56"/>
      <c r="O148" s="64"/>
    </row>
    <row r="149">
      <c r="B149" s="18"/>
      <c r="C149" s="18"/>
      <c r="D149" s="18"/>
      <c r="E149" s="22"/>
      <c r="F149" s="24"/>
      <c r="G149" s="72"/>
      <c r="N149" s="56"/>
      <c r="O149" s="64"/>
    </row>
    <row r="150">
      <c r="B150" s="18"/>
      <c r="C150" s="18"/>
      <c r="D150" s="18"/>
      <c r="E150" s="22"/>
      <c r="F150" s="24"/>
      <c r="G150" s="72"/>
      <c r="N150" s="56"/>
      <c r="O150" s="64"/>
    </row>
    <row r="151">
      <c r="B151" s="18"/>
      <c r="C151" s="18"/>
      <c r="D151" s="18"/>
      <c r="E151" s="22"/>
      <c r="F151" s="24"/>
      <c r="G151" s="72"/>
      <c r="N151" s="56"/>
      <c r="O151" s="64"/>
    </row>
    <row r="152">
      <c r="B152" s="18"/>
      <c r="C152" s="18"/>
      <c r="D152" s="18"/>
      <c r="E152" s="22"/>
      <c r="F152" s="24"/>
      <c r="G152" s="72"/>
      <c r="N152" s="56"/>
      <c r="O152" s="64"/>
    </row>
    <row r="153">
      <c r="B153" s="18"/>
      <c r="C153" s="18"/>
      <c r="D153" s="18"/>
      <c r="E153" s="22"/>
      <c r="F153" s="24"/>
      <c r="G153" s="72"/>
      <c r="N153" s="56"/>
      <c r="O153" s="64"/>
    </row>
    <row r="154">
      <c r="B154" s="18"/>
      <c r="C154" s="18"/>
      <c r="D154" s="18"/>
      <c r="E154" s="22"/>
      <c r="F154" s="24"/>
      <c r="G154" s="72"/>
      <c r="N154" s="56"/>
      <c r="O154" s="64"/>
    </row>
    <row r="155">
      <c r="B155" s="18"/>
      <c r="C155" s="18"/>
      <c r="D155" s="18"/>
      <c r="E155" s="22"/>
      <c r="F155" s="24"/>
      <c r="G155" s="72"/>
      <c r="N155" s="56"/>
      <c r="O155" s="64"/>
    </row>
    <row r="156">
      <c r="B156" s="18"/>
      <c r="C156" s="18"/>
      <c r="D156" s="18"/>
      <c r="E156" s="22"/>
      <c r="F156" s="24"/>
      <c r="G156" s="72"/>
      <c r="N156" s="56"/>
      <c r="O156" s="64"/>
    </row>
    <row r="157">
      <c r="B157" s="18"/>
      <c r="C157" s="18"/>
      <c r="D157" s="18"/>
      <c r="E157" s="22"/>
      <c r="F157" s="24"/>
      <c r="G157" s="72"/>
      <c r="N157" s="56"/>
      <c r="O157" s="64"/>
    </row>
    <row r="158">
      <c r="B158" s="18"/>
      <c r="C158" s="18"/>
      <c r="D158" s="18"/>
      <c r="E158" s="22"/>
      <c r="F158" s="24"/>
      <c r="G158" s="72"/>
      <c r="N158" s="56"/>
      <c r="O158" s="64"/>
    </row>
    <row r="159">
      <c r="B159" s="18"/>
      <c r="C159" s="18"/>
      <c r="D159" s="18"/>
      <c r="E159" s="22"/>
      <c r="F159" s="24"/>
      <c r="G159" s="72"/>
      <c r="N159" s="56"/>
      <c r="O159" s="64"/>
    </row>
    <row r="160">
      <c r="B160" s="18"/>
      <c r="C160" s="18"/>
      <c r="D160" s="18"/>
      <c r="E160" s="22"/>
      <c r="F160" s="24"/>
      <c r="G160" s="72"/>
      <c r="N160" s="56"/>
      <c r="O160" s="64"/>
    </row>
    <row r="161">
      <c r="B161" s="18"/>
      <c r="C161" s="18"/>
      <c r="D161" s="18"/>
      <c r="E161" s="22"/>
      <c r="F161" s="24"/>
      <c r="G161" s="72"/>
      <c r="N161" s="56"/>
      <c r="O161" s="64"/>
    </row>
    <row r="162">
      <c r="B162" s="18"/>
      <c r="C162" s="18"/>
      <c r="D162" s="18"/>
      <c r="E162" s="22"/>
      <c r="F162" s="24"/>
      <c r="G162" s="72"/>
      <c r="N162" s="56"/>
      <c r="O162" s="64"/>
    </row>
    <row r="163">
      <c r="B163" s="18"/>
      <c r="C163" s="18"/>
      <c r="D163" s="18"/>
      <c r="E163" s="22"/>
      <c r="F163" s="24"/>
      <c r="G163" s="72"/>
      <c r="N163" s="56"/>
      <c r="O163" s="64"/>
    </row>
    <row r="164">
      <c r="B164" s="18"/>
      <c r="C164" s="18"/>
      <c r="D164" s="18"/>
      <c r="E164" s="22"/>
      <c r="F164" s="24"/>
      <c r="G164" s="72"/>
      <c r="N164" s="56"/>
      <c r="O164" s="64"/>
    </row>
    <row r="165">
      <c r="B165" s="18"/>
      <c r="C165" s="18"/>
      <c r="D165" s="18"/>
      <c r="E165" s="22"/>
      <c r="F165" s="24"/>
      <c r="G165" s="72"/>
      <c r="N165" s="56"/>
      <c r="O165" s="64"/>
    </row>
    <row r="166">
      <c r="B166" s="18"/>
      <c r="C166" s="18"/>
      <c r="D166" s="18"/>
      <c r="E166" s="22"/>
      <c r="F166" s="24"/>
      <c r="G166" s="72"/>
      <c r="N166" s="56"/>
      <c r="O166" s="64"/>
    </row>
    <row r="167">
      <c r="B167" s="18"/>
      <c r="C167" s="18"/>
      <c r="D167" s="18"/>
      <c r="E167" s="22"/>
      <c r="F167" s="24"/>
      <c r="G167" s="72"/>
      <c r="N167" s="56"/>
      <c r="O167" s="64"/>
    </row>
    <row r="168">
      <c r="B168" s="18"/>
      <c r="C168" s="18"/>
      <c r="D168" s="18"/>
      <c r="E168" s="22"/>
      <c r="F168" s="24"/>
      <c r="G168" s="72"/>
      <c r="N168" s="56"/>
      <c r="O168" s="64"/>
    </row>
    <row r="169">
      <c r="B169" s="18"/>
      <c r="C169" s="18"/>
      <c r="D169" s="18"/>
      <c r="E169" s="22"/>
      <c r="F169" s="24"/>
      <c r="G169" s="72"/>
      <c r="N169" s="56"/>
      <c r="O169" s="64"/>
    </row>
    <row r="170">
      <c r="B170" s="18"/>
      <c r="C170" s="18"/>
      <c r="D170" s="18"/>
      <c r="E170" s="22"/>
      <c r="F170" s="24"/>
      <c r="G170" s="72"/>
      <c r="N170" s="56"/>
      <c r="O170" s="64"/>
    </row>
    <row r="171">
      <c r="B171" s="18"/>
      <c r="C171" s="18"/>
      <c r="D171" s="18"/>
      <c r="E171" s="22"/>
      <c r="F171" s="24"/>
      <c r="G171" s="72"/>
      <c r="N171" s="56"/>
      <c r="O171" s="64"/>
    </row>
    <row r="172">
      <c r="B172" s="18"/>
      <c r="C172" s="18"/>
      <c r="D172" s="18"/>
      <c r="E172" s="22"/>
      <c r="F172" s="24"/>
      <c r="G172" s="72"/>
      <c r="N172" s="56"/>
      <c r="O172" s="64"/>
    </row>
    <row r="173">
      <c r="B173" s="18"/>
      <c r="C173" s="18"/>
      <c r="D173" s="18"/>
      <c r="E173" s="22"/>
      <c r="F173" s="24"/>
      <c r="G173" s="72"/>
      <c r="N173" s="56"/>
      <c r="O173" s="64"/>
    </row>
    <row r="174">
      <c r="B174" s="18"/>
      <c r="C174" s="18"/>
      <c r="D174" s="18"/>
      <c r="E174" s="22"/>
      <c r="F174" s="24"/>
      <c r="G174" s="72"/>
      <c r="N174" s="56"/>
      <c r="O174" s="64"/>
    </row>
    <row r="175">
      <c r="B175" s="18"/>
      <c r="C175" s="18"/>
      <c r="D175" s="18"/>
      <c r="E175" s="22"/>
      <c r="F175" s="24"/>
      <c r="G175" s="72"/>
      <c r="N175" s="56"/>
      <c r="O175" s="64"/>
    </row>
    <row r="176">
      <c r="B176" s="18"/>
      <c r="C176" s="18"/>
      <c r="D176" s="18"/>
      <c r="E176" s="22"/>
      <c r="F176" s="24"/>
      <c r="G176" s="72"/>
      <c r="N176" s="56"/>
      <c r="O176" s="64"/>
    </row>
    <row r="177">
      <c r="B177" s="18"/>
      <c r="C177" s="18"/>
      <c r="D177" s="18"/>
      <c r="E177" s="22"/>
      <c r="F177" s="24"/>
      <c r="G177" s="72"/>
      <c r="N177" s="56"/>
      <c r="O177" s="64"/>
    </row>
    <row r="178">
      <c r="B178" s="18"/>
      <c r="C178" s="18"/>
      <c r="D178" s="18"/>
      <c r="E178" s="22"/>
      <c r="F178" s="24"/>
      <c r="G178" s="72"/>
      <c r="N178" s="56"/>
      <c r="O178" s="64"/>
    </row>
    <row r="179">
      <c r="B179" s="18"/>
      <c r="C179" s="18"/>
      <c r="D179" s="18"/>
      <c r="E179" s="22"/>
      <c r="F179" s="24"/>
      <c r="G179" s="72"/>
      <c r="N179" s="56"/>
      <c r="O179" s="64"/>
    </row>
    <row r="180">
      <c r="B180" s="18"/>
      <c r="C180" s="18"/>
      <c r="D180" s="18"/>
      <c r="E180" s="22"/>
      <c r="F180" s="24"/>
      <c r="G180" s="72"/>
      <c r="N180" s="56"/>
      <c r="O180" s="64"/>
    </row>
    <row r="181">
      <c r="B181" s="18"/>
      <c r="C181" s="18"/>
      <c r="D181" s="18"/>
      <c r="E181" s="22"/>
      <c r="F181" s="24"/>
      <c r="G181" s="72"/>
      <c r="N181" s="56"/>
      <c r="O181" s="64"/>
    </row>
    <row r="182">
      <c r="B182" s="18"/>
      <c r="C182" s="18"/>
      <c r="D182" s="18"/>
      <c r="E182" s="22"/>
      <c r="F182" s="24"/>
      <c r="G182" s="72"/>
      <c r="N182" s="56"/>
      <c r="O182" s="64"/>
    </row>
    <row r="183">
      <c r="B183" s="18"/>
      <c r="C183" s="18"/>
      <c r="D183" s="18"/>
      <c r="E183" s="22"/>
      <c r="F183" s="24"/>
      <c r="G183" s="72"/>
      <c r="N183" s="56"/>
      <c r="O183" s="64"/>
    </row>
    <row r="184">
      <c r="B184" s="18"/>
      <c r="C184" s="18"/>
      <c r="D184" s="18"/>
      <c r="E184" s="22"/>
      <c r="F184" s="24"/>
      <c r="G184" s="72"/>
      <c r="N184" s="56"/>
      <c r="O184" s="64"/>
    </row>
    <row r="185">
      <c r="B185" s="18"/>
      <c r="C185" s="18"/>
      <c r="D185" s="18"/>
      <c r="E185" s="22"/>
      <c r="F185" s="24"/>
      <c r="G185" s="72"/>
      <c r="N185" s="56"/>
      <c r="O185" s="64"/>
    </row>
    <row r="186">
      <c r="B186" s="18"/>
      <c r="C186" s="18"/>
      <c r="D186" s="18"/>
      <c r="E186" s="22"/>
      <c r="F186" s="24"/>
      <c r="G186" s="72"/>
      <c r="N186" s="56"/>
      <c r="O186" s="64"/>
    </row>
    <row r="187">
      <c r="B187" s="18"/>
      <c r="C187" s="18"/>
      <c r="D187" s="18"/>
      <c r="E187" s="22"/>
      <c r="F187" s="24"/>
      <c r="G187" s="72"/>
      <c r="N187" s="56"/>
      <c r="O187" s="64"/>
    </row>
    <row r="188">
      <c r="B188" s="18"/>
      <c r="C188" s="18"/>
      <c r="D188" s="18"/>
      <c r="E188" s="22"/>
      <c r="F188" s="24"/>
      <c r="G188" s="72"/>
      <c r="N188" s="56"/>
      <c r="O188" s="64"/>
    </row>
    <row r="189">
      <c r="B189" s="18"/>
      <c r="C189" s="18"/>
      <c r="D189" s="18"/>
      <c r="E189" s="22"/>
      <c r="F189" s="24"/>
      <c r="G189" s="72"/>
      <c r="N189" s="56"/>
      <c r="O189" s="64"/>
    </row>
    <row r="190">
      <c r="B190" s="18"/>
      <c r="C190" s="18"/>
      <c r="D190" s="18"/>
      <c r="E190" s="22"/>
      <c r="F190" s="24"/>
      <c r="G190" s="72"/>
      <c r="N190" s="56"/>
      <c r="O190" s="64"/>
    </row>
    <row r="191">
      <c r="B191" s="18"/>
      <c r="C191" s="18"/>
      <c r="D191" s="18"/>
      <c r="E191" s="22"/>
      <c r="F191" s="24"/>
      <c r="G191" s="72"/>
      <c r="N191" s="56"/>
      <c r="O191" s="64"/>
    </row>
    <row r="192">
      <c r="B192" s="18"/>
      <c r="C192" s="18"/>
      <c r="D192" s="18"/>
      <c r="E192" s="22"/>
      <c r="F192" s="24"/>
      <c r="G192" s="72"/>
      <c r="N192" s="56"/>
      <c r="O192" s="64"/>
    </row>
    <row r="193">
      <c r="B193" s="18"/>
      <c r="C193" s="18"/>
      <c r="D193" s="18"/>
      <c r="E193" s="22"/>
      <c r="F193" s="24"/>
      <c r="G193" s="72"/>
      <c r="N193" s="56"/>
      <c r="O193" s="64"/>
    </row>
    <row r="194">
      <c r="B194" s="18"/>
      <c r="C194" s="18"/>
      <c r="D194" s="18"/>
      <c r="E194" s="22"/>
      <c r="F194" s="24"/>
      <c r="G194" s="72"/>
      <c r="N194" s="56"/>
      <c r="O194" s="64"/>
    </row>
    <row r="195">
      <c r="B195" s="18"/>
      <c r="C195" s="18"/>
      <c r="D195" s="18"/>
      <c r="E195" s="22"/>
      <c r="F195" s="24"/>
      <c r="G195" s="72"/>
      <c r="N195" s="56"/>
      <c r="O195" s="64"/>
    </row>
    <row r="196">
      <c r="B196" s="18"/>
      <c r="C196" s="18"/>
      <c r="D196" s="18"/>
      <c r="E196" s="22"/>
      <c r="F196" s="24"/>
      <c r="G196" s="72"/>
      <c r="N196" s="56"/>
      <c r="O196" s="64"/>
    </row>
    <row r="197">
      <c r="B197" s="18"/>
      <c r="C197" s="18"/>
      <c r="D197" s="18"/>
      <c r="E197" s="22"/>
      <c r="F197" s="24"/>
      <c r="G197" s="72"/>
      <c r="N197" s="56"/>
      <c r="O197" s="64"/>
    </row>
    <row r="198">
      <c r="B198" s="18"/>
      <c r="C198" s="18"/>
      <c r="D198" s="18"/>
      <c r="E198" s="22"/>
      <c r="F198" s="24"/>
      <c r="G198" s="72"/>
      <c r="N198" s="56"/>
      <c r="O198" s="64"/>
    </row>
    <row r="199">
      <c r="B199" s="18"/>
      <c r="C199" s="18"/>
      <c r="D199" s="18"/>
      <c r="E199" s="22"/>
      <c r="F199" s="24"/>
      <c r="G199" s="72"/>
      <c r="N199" s="56"/>
      <c r="O199" s="64"/>
    </row>
    <row r="200">
      <c r="B200" s="18"/>
      <c r="C200" s="18"/>
      <c r="D200" s="18"/>
      <c r="E200" s="22"/>
      <c r="F200" s="24"/>
      <c r="G200" s="72"/>
      <c r="N200" s="56"/>
      <c r="O200" s="64"/>
    </row>
    <row r="201">
      <c r="B201" s="18"/>
      <c r="C201" s="18"/>
      <c r="D201" s="18"/>
      <c r="E201" s="22"/>
      <c r="F201" s="24"/>
      <c r="G201" s="72"/>
      <c r="N201" s="56"/>
      <c r="O201" s="64"/>
    </row>
    <row r="202">
      <c r="B202" s="18"/>
      <c r="C202" s="18"/>
      <c r="D202" s="18"/>
      <c r="E202" s="22"/>
      <c r="F202" s="24"/>
      <c r="G202" s="72"/>
      <c r="N202" s="56"/>
      <c r="O202" s="64"/>
    </row>
    <row r="203">
      <c r="B203" s="18"/>
      <c r="C203" s="18"/>
      <c r="D203" s="18"/>
      <c r="E203" s="22"/>
      <c r="F203" s="24"/>
      <c r="G203" s="72"/>
      <c r="N203" s="56"/>
      <c r="O203" s="64"/>
    </row>
    <row r="204">
      <c r="B204" s="18"/>
      <c r="C204" s="18"/>
      <c r="D204" s="18"/>
      <c r="E204" s="22"/>
      <c r="F204" s="24"/>
      <c r="G204" s="72"/>
      <c r="N204" s="56"/>
      <c r="O204" s="64"/>
    </row>
    <row r="205">
      <c r="B205" s="18"/>
      <c r="C205" s="18"/>
      <c r="D205" s="18"/>
      <c r="E205" s="22"/>
      <c r="F205" s="24"/>
      <c r="G205" s="72"/>
      <c r="N205" s="56"/>
      <c r="O205" s="64"/>
    </row>
    <row r="206">
      <c r="B206" s="18"/>
      <c r="C206" s="18"/>
      <c r="D206" s="18"/>
      <c r="E206" s="22"/>
      <c r="F206" s="24"/>
      <c r="G206" s="72"/>
      <c r="N206" s="56"/>
      <c r="O206" s="64"/>
    </row>
    <row r="207">
      <c r="B207" s="18"/>
      <c r="C207" s="18"/>
      <c r="D207" s="18"/>
      <c r="E207" s="22"/>
      <c r="F207" s="24"/>
      <c r="G207" s="72"/>
      <c r="N207" s="56"/>
      <c r="O207" s="64"/>
    </row>
    <row r="208">
      <c r="B208" s="18"/>
      <c r="C208" s="18"/>
      <c r="D208" s="18"/>
      <c r="E208" s="22"/>
      <c r="F208" s="24"/>
      <c r="G208" s="72"/>
      <c r="N208" s="56"/>
      <c r="O208" s="64"/>
    </row>
    <row r="209">
      <c r="B209" s="18"/>
      <c r="C209" s="18"/>
      <c r="D209" s="18"/>
      <c r="E209" s="22"/>
      <c r="F209" s="24"/>
      <c r="G209" s="72"/>
      <c r="N209" s="56"/>
      <c r="O209" s="64"/>
    </row>
    <row r="210">
      <c r="B210" s="18"/>
      <c r="C210" s="18"/>
      <c r="D210" s="18"/>
      <c r="E210" s="22"/>
      <c r="F210" s="24"/>
      <c r="G210" s="72"/>
      <c r="N210" s="56"/>
      <c r="O210" s="64"/>
    </row>
    <row r="211">
      <c r="B211" s="18"/>
      <c r="C211" s="18"/>
      <c r="D211" s="18"/>
      <c r="E211" s="22"/>
      <c r="F211" s="24"/>
      <c r="G211" s="72"/>
      <c r="N211" s="56"/>
      <c r="O211" s="64"/>
    </row>
    <row r="212">
      <c r="B212" s="18"/>
      <c r="C212" s="18"/>
      <c r="D212" s="18"/>
      <c r="E212" s="22"/>
      <c r="F212" s="24"/>
      <c r="G212" s="72"/>
      <c r="N212" s="56"/>
      <c r="O212" s="64"/>
    </row>
    <row r="213">
      <c r="B213" s="18"/>
      <c r="C213" s="18"/>
      <c r="D213" s="18"/>
      <c r="E213" s="22"/>
      <c r="F213" s="24"/>
      <c r="G213" s="72"/>
      <c r="N213" s="56"/>
      <c r="O213" s="64"/>
    </row>
    <row r="214">
      <c r="B214" s="18"/>
      <c r="C214" s="18"/>
      <c r="D214" s="18"/>
      <c r="E214" s="22"/>
      <c r="F214" s="24"/>
      <c r="G214" s="72"/>
      <c r="N214" s="56"/>
      <c r="O214" s="64"/>
    </row>
    <row r="215">
      <c r="B215" s="18"/>
      <c r="C215" s="18"/>
      <c r="D215" s="18"/>
      <c r="E215" s="22"/>
      <c r="F215" s="24"/>
      <c r="G215" s="72"/>
      <c r="N215" s="56"/>
      <c r="O215" s="64"/>
    </row>
    <row r="216">
      <c r="B216" s="18"/>
      <c r="C216" s="18"/>
      <c r="D216" s="18"/>
      <c r="E216" s="22"/>
      <c r="F216" s="24"/>
      <c r="G216" s="72"/>
      <c r="N216" s="56"/>
      <c r="O216" s="64"/>
    </row>
    <row r="217">
      <c r="B217" s="18"/>
      <c r="C217" s="18"/>
      <c r="D217" s="18"/>
      <c r="E217" s="22"/>
      <c r="F217" s="24"/>
      <c r="G217" s="72"/>
      <c r="N217" s="56"/>
      <c r="O217" s="64"/>
    </row>
    <row r="218">
      <c r="B218" s="18"/>
      <c r="C218" s="18"/>
      <c r="D218" s="18"/>
      <c r="E218" s="22"/>
      <c r="F218" s="24"/>
      <c r="G218" s="72"/>
      <c r="N218" s="56"/>
      <c r="O218" s="64"/>
    </row>
    <row r="219">
      <c r="B219" s="18"/>
      <c r="C219" s="18"/>
      <c r="D219" s="18"/>
      <c r="E219" s="22"/>
      <c r="F219" s="24"/>
      <c r="G219" s="72"/>
      <c r="N219" s="56"/>
      <c r="O219" s="64"/>
    </row>
    <row r="220">
      <c r="B220" s="18"/>
      <c r="C220" s="18"/>
      <c r="D220" s="18"/>
      <c r="E220" s="22"/>
      <c r="F220" s="24"/>
      <c r="G220" s="72"/>
      <c r="N220" s="56"/>
      <c r="O220" s="64"/>
    </row>
    <row r="221">
      <c r="B221" s="18"/>
      <c r="C221" s="18"/>
      <c r="D221" s="18"/>
      <c r="E221" s="22"/>
      <c r="F221" s="24"/>
      <c r="G221" s="72"/>
      <c r="N221" s="56"/>
      <c r="O221" s="64"/>
    </row>
    <row r="222">
      <c r="B222" s="18"/>
      <c r="C222" s="18"/>
      <c r="D222" s="18"/>
      <c r="E222" s="22"/>
      <c r="F222" s="24"/>
      <c r="G222" s="72"/>
      <c r="N222" s="56"/>
      <c r="O222" s="64"/>
    </row>
    <row r="223">
      <c r="B223" s="18"/>
      <c r="C223" s="18"/>
      <c r="D223" s="18"/>
      <c r="E223" s="22"/>
      <c r="F223" s="24"/>
      <c r="G223" s="72"/>
      <c r="N223" s="56"/>
      <c r="O223" s="64"/>
    </row>
    <row r="224">
      <c r="B224" s="18"/>
      <c r="C224" s="18"/>
      <c r="D224" s="18"/>
      <c r="E224" s="22"/>
      <c r="F224" s="24"/>
      <c r="G224" s="72"/>
      <c r="N224" s="56"/>
      <c r="O224" s="64"/>
    </row>
    <row r="225">
      <c r="B225" s="18"/>
      <c r="C225" s="18"/>
      <c r="D225" s="18"/>
      <c r="E225" s="22"/>
      <c r="F225" s="24"/>
      <c r="G225" s="72"/>
      <c r="N225" s="56"/>
      <c r="O225" s="64"/>
    </row>
    <row r="226">
      <c r="B226" s="18"/>
      <c r="C226" s="18"/>
      <c r="D226" s="18"/>
      <c r="E226" s="22"/>
      <c r="F226" s="24"/>
      <c r="G226" s="72"/>
      <c r="N226" s="56"/>
      <c r="O226" s="64"/>
    </row>
    <row r="227">
      <c r="B227" s="18"/>
      <c r="C227" s="18"/>
      <c r="D227" s="18"/>
      <c r="E227" s="22"/>
      <c r="F227" s="24"/>
      <c r="G227" s="72"/>
      <c r="N227" s="56"/>
      <c r="O227" s="64"/>
    </row>
    <row r="228">
      <c r="B228" s="18"/>
      <c r="C228" s="18"/>
      <c r="D228" s="18"/>
      <c r="E228" s="22"/>
      <c r="F228" s="24"/>
      <c r="G228" s="72"/>
      <c r="N228" s="56"/>
      <c r="O228" s="64"/>
    </row>
    <row r="229">
      <c r="B229" s="18"/>
      <c r="C229" s="18"/>
      <c r="D229" s="18"/>
      <c r="E229" s="22"/>
      <c r="F229" s="24"/>
      <c r="G229" s="72"/>
      <c r="N229" s="56"/>
      <c r="O229" s="64"/>
    </row>
    <row r="230">
      <c r="B230" s="18"/>
      <c r="C230" s="18"/>
      <c r="D230" s="18"/>
      <c r="E230" s="22"/>
      <c r="F230" s="24"/>
      <c r="G230" s="72"/>
      <c r="N230" s="56"/>
      <c r="O230" s="64"/>
    </row>
    <row r="231">
      <c r="B231" s="18"/>
      <c r="C231" s="18"/>
      <c r="D231" s="18"/>
      <c r="E231" s="22"/>
      <c r="F231" s="24"/>
      <c r="G231" s="72"/>
      <c r="N231" s="56"/>
      <c r="O231" s="64"/>
    </row>
    <row r="232">
      <c r="B232" s="18"/>
      <c r="C232" s="18"/>
      <c r="D232" s="18"/>
      <c r="E232" s="22"/>
      <c r="F232" s="24"/>
      <c r="G232" s="72"/>
      <c r="N232" s="56"/>
      <c r="O232" s="64"/>
    </row>
    <row r="233">
      <c r="B233" s="18"/>
      <c r="C233" s="18"/>
      <c r="D233" s="18"/>
      <c r="E233" s="22"/>
      <c r="F233" s="24"/>
      <c r="G233" s="72"/>
      <c r="N233" s="56"/>
      <c r="O233" s="64"/>
    </row>
    <row r="234">
      <c r="B234" s="18"/>
      <c r="C234" s="18"/>
      <c r="D234" s="18"/>
      <c r="E234" s="22"/>
      <c r="F234" s="24"/>
      <c r="G234" s="72"/>
      <c r="N234" s="56"/>
      <c r="O234" s="64"/>
    </row>
    <row r="235">
      <c r="B235" s="18"/>
      <c r="C235" s="18"/>
      <c r="D235" s="18"/>
      <c r="E235" s="22"/>
      <c r="F235" s="24"/>
      <c r="G235" s="72"/>
      <c r="N235" s="56"/>
      <c r="O235" s="64"/>
    </row>
    <row r="236">
      <c r="B236" s="18"/>
      <c r="C236" s="18"/>
      <c r="D236" s="18"/>
      <c r="E236" s="22"/>
      <c r="F236" s="24"/>
      <c r="G236" s="72"/>
      <c r="N236" s="56"/>
      <c r="O236" s="64"/>
    </row>
    <row r="237">
      <c r="B237" s="18"/>
      <c r="C237" s="18"/>
      <c r="D237" s="18"/>
      <c r="E237" s="22"/>
      <c r="F237" s="24"/>
      <c r="G237" s="72"/>
      <c r="N237" s="56"/>
      <c r="O237" s="64"/>
    </row>
    <row r="238">
      <c r="B238" s="18"/>
      <c r="C238" s="18"/>
      <c r="D238" s="18"/>
      <c r="E238" s="22"/>
      <c r="F238" s="24"/>
      <c r="G238" s="72"/>
      <c r="N238" s="56"/>
      <c r="O238" s="64"/>
    </row>
    <row r="239">
      <c r="B239" s="18"/>
      <c r="C239" s="18"/>
      <c r="D239" s="18"/>
      <c r="E239" s="22"/>
      <c r="F239" s="24"/>
      <c r="G239" s="72"/>
      <c r="N239" s="56"/>
      <c r="O239" s="64"/>
    </row>
    <row r="240">
      <c r="B240" s="18"/>
      <c r="C240" s="18"/>
      <c r="D240" s="18"/>
      <c r="E240" s="22"/>
      <c r="F240" s="24"/>
      <c r="G240" s="72"/>
      <c r="N240" s="56"/>
      <c r="O240" s="64"/>
    </row>
    <row r="241">
      <c r="B241" s="18"/>
      <c r="C241" s="18"/>
      <c r="D241" s="18"/>
      <c r="E241" s="22"/>
      <c r="F241" s="24"/>
      <c r="G241" s="72"/>
      <c r="N241" s="56"/>
      <c r="O241" s="64"/>
    </row>
    <row r="242">
      <c r="B242" s="18"/>
      <c r="C242" s="18"/>
      <c r="D242" s="18"/>
      <c r="E242" s="22"/>
      <c r="F242" s="24"/>
      <c r="G242" s="72"/>
      <c r="N242" s="56"/>
      <c r="O242" s="64"/>
    </row>
    <row r="243">
      <c r="B243" s="18"/>
      <c r="C243" s="18"/>
      <c r="D243" s="18"/>
      <c r="E243" s="22"/>
      <c r="F243" s="24"/>
      <c r="G243" s="72"/>
      <c r="N243" s="56"/>
      <c r="O243" s="64"/>
    </row>
    <row r="244">
      <c r="B244" s="18"/>
      <c r="C244" s="18"/>
      <c r="D244" s="18"/>
      <c r="E244" s="22"/>
      <c r="F244" s="24"/>
      <c r="G244" s="72"/>
      <c r="N244" s="56"/>
      <c r="O244" s="64"/>
    </row>
    <row r="245">
      <c r="B245" s="18"/>
      <c r="C245" s="18"/>
      <c r="D245" s="18"/>
      <c r="E245" s="22"/>
      <c r="F245" s="24"/>
      <c r="G245" s="72"/>
      <c r="N245" s="56"/>
      <c r="O245" s="64"/>
    </row>
    <row r="246">
      <c r="B246" s="18"/>
      <c r="C246" s="18"/>
      <c r="D246" s="18"/>
      <c r="E246" s="22"/>
      <c r="F246" s="24"/>
      <c r="G246" s="72"/>
      <c r="N246" s="56"/>
      <c r="O246" s="64"/>
    </row>
    <row r="247">
      <c r="B247" s="18"/>
      <c r="C247" s="18"/>
      <c r="D247" s="18"/>
      <c r="E247" s="22"/>
      <c r="F247" s="24"/>
      <c r="G247" s="72"/>
      <c r="N247" s="56"/>
      <c r="O247" s="64"/>
    </row>
    <row r="248">
      <c r="B248" s="18"/>
      <c r="C248" s="18"/>
      <c r="D248" s="18"/>
      <c r="E248" s="22"/>
      <c r="F248" s="24"/>
      <c r="G248" s="72"/>
      <c r="N248" s="56"/>
      <c r="O248" s="64"/>
    </row>
    <row r="249">
      <c r="B249" s="18"/>
      <c r="C249" s="18"/>
      <c r="D249" s="18"/>
      <c r="E249" s="22"/>
      <c r="F249" s="24"/>
      <c r="G249" s="72"/>
      <c r="N249" s="56"/>
      <c r="O249" s="64"/>
    </row>
    <row r="250">
      <c r="B250" s="18"/>
      <c r="C250" s="18"/>
      <c r="D250" s="18"/>
      <c r="E250" s="22"/>
      <c r="F250" s="24"/>
      <c r="G250" s="72"/>
      <c r="N250" s="56"/>
      <c r="O250" s="64"/>
    </row>
    <row r="251">
      <c r="B251" s="18"/>
      <c r="C251" s="18"/>
      <c r="D251" s="18"/>
      <c r="E251" s="22"/>
      <c r="F251" s="24"/>
      <c r="G251" s="72"/>
      <c r="N251" s="56"/>
      <c r="O251" s="64"/>
    </row>
    <row r="252">
      <c r="B252" s="18"/>
      <c r="C252" s="18"/>
      <c r="D252" s="18"/>
      <c r="E252" s="22"/>
      <c r="F252" s="24"/>
      <c r="G252" s="72"/>
      <c r="N252" s="56"/>
      <c r="O252" s="64"/>
    </row>
    <row r="253">
      <c r="B253" s="18"/>
      <c r="C253" s="18"/>
      <c r="D253" s="18"/>
      <c r="E253" s="22"/>
      <c r="F253" s="24"/>
      <c r="G253" s="72"/>
      <c r="N253" s="56"/>
      <c r="O253" s="64"/>
    </row>
    <row r="254">
      <c r="B254" s="18"/>
      <c r="C254" s="18"/>
      <c r="D254" s="18"/>
      <c r="E254" s="22"/>
      <c r="F254" s="24"/>
      <c r="G254" s="72"/>
      <c r="N254" s="56"/>
      <c r="O254" s="64"/>
    </row>
    <row r="255">
      <c r="B255" s="18"/>
      <c r="C255" s="18"/>
      <c r="D255" s="18"/>
      <c r="E255" s="22"/>
      <c r="F255" s="24"/>
      <c r="G255" s="72"/>
      <c r="N255" s="56"/>
      <c r="O255" s="64"/>
    </row>
    <row r="256">
      <c r="B256" s="18"/>
      <c r="C256" s="18"/>
      <c r="D256" s="18"/>
      <c r="E256" s="22"/>
      <c r="F256" s="24"/>
      <c r="G256" s="72"/>
      <c r="N256" s="56"/>
      <c r="O256" s="64"/>
    </row>
    <row r="257">
      <c r="B257" s="18"/>
      <c r="C257" s="18"/>
      <c r="D257" s="18"/>
      <c r="E257" s="22"/>
      <c r="F257" s="24"/>
      <c r="G257" s="72"/>
      <c r="N257" s="56"/>
      <c r="O257" s="64"/>
    </row>
    <row r="258">
      <c r="B258" s="18"/>
      <c r="C258" s="18"/>
      <c r="D258" s="18"/>
      <c r="E258" s="22"/>
      <c r="F258" s="24"/>
      <c r="G258" s="72"/>
      <c r="N258" s="56"/>
      <c r="O258" s="64"/>
    </row>
    <row r="259">
      <c r="B259" s="18"/>
      <c r="C259" s="18"/>
      <c r="D259" s="18"/>
      <c r="E259" s="22"/>
      <c r="F259" s="24"/>
      <c r="G259" s="72"/>
      <c r="N259" s="56"/>
      <c r="O259" s="64"/>
    </row>
    <row r="260">
      <c r="B260" s="18"/>
      <c r="C260" s="18"/>
      <c r="D260" s="18"/>
      <c r="E260" s="22"/>
      <c r="F260" s="24"/>
      <c r="G260" s="72"/>
      <c r="N260" s="56"/>
      <c r="O260" s="64"/>
    </row>
    <row r="261">
      <c r="B261" s="18"/>
      <c r="C261" s="18"/>
      <c r="D261" s="18"/>
      <c r="E261" s="22"/>
      <c r="F261" s="24"/>
      <c r="G261" s="72"/>
      <c r="N261" s="56"/>
      <c r="O261" s="64"/>
    </row>
    <row r="262">
      <c r="B262" s="18"/>
      <c r="C262" s="18"/>
      <c r="D262" s="18"/>
      <c r="E262" s="22"/>
      <c r="F262" s="24"/>
      <c r="G262" s="72"/>
      <c r="N262" s="56"/>
      <c r="O262" s="64"/>
    </row>
    <row r="263">
      <c r="B263" s="18"/>
      <c r="C263" s="18"/>
      <c r="D263" s="18"/>
      <c r="E263" s="22"/>
      <c r="F263" s="24"/>
      <c r="G263" s="72"/>
      <c r="N263" s="56"/>
      <c r="O263" s="64"/>
    </row>
    <row r="264">
      <c r="B264" s="18"/>
      <c r="C264" s="18"/>
      <c r="D264" s="18"/>
      <c r="E264" s="22"/>
      <c r="F264" s="24"/>
      <c r="G264" s="72"/>
      <c r="N264" s="56"/>
      <c r="O264" s="64"/>
    </row>
    <row r="265">
      <c r="B265" s="18"/>
      <c r="C265" s="18"/>
      <c r="D265" s="18"/>
      <c r="E265" s="22"/>
      <c r="F265" s="24"/>
      <c r="G265" s="72"/>
      <c r="N265" s="56"/>
      <c r="O265" s="64"/>
    </row>
    <row r="266">
      <c r="B266" s="18"/>
      <c r="C266" s="18"/>
      <c r="D266" s="18"/>
      <c r="E266" s="22"/>
      <c r="F266" s="24"/>
      <c r="G266" s="72"/>
      <c r="N266" s="56"/>
      <c r="O266" s="64"/>
    </row>
    <row r="267">
      <c r="B267" s="18"/>
      <c r="C267" s="18"/>
      <c r="D267" s="18"/>
      <c r="E267" s="22"/>
      <c r="F267" s="24"/>
      <c r="G267" s="72"/>
      <c r="N267" s="56"/>
      <c r="O267" s="64"/>
    </row>
    <row r="268">
      <c r="B268" s="18"/>
      <c r="C268" s="18"/>
      <c r="D268" s="18"/>
      <c r="E268" s="22"/>
      <c r="F268" s="24"/>
      <c r="G268" s="72"/>
      <c r="N268" s="56"/>
      <c r="O268" s="64"/>
    </row>
    <row r="269">
      <c r="B269" s="18"/>
      <c r="C269" s="18"/>
      <c r="D269" s="18"/>
      <c r="E269" s="22"/>
      <c r="F269" s="24"/>
      <c r="G269" s="72"/>
      <c r="N269" s="56"/>
      <c r="O269" s="64"/>
    </row>
    <row r="270">
      <c r="B270" s="18"/>
      <c r="C270" s="18"/>
      <c r="D270" s="18"/>
      <c r="E270" s="22"/>
      <c r="F270" s="24"/>
      <c r="G270" s="72"/>
      <c r="N270" s="56"/>
      <c r="O270" s="64"/>
    </row>
    <row r="271">
      <c r="B271" s="18"/>
      <c r="C271" s="18"/>
      <c r="D271" s="18"/>
      <c r="E271" s="22"/>
      <c r="F271" s="24"/>
      <c r="G271" s="72"/>
      <c r="N271" s="56"/>
      <c r="O271" s="64"/>
    </row>
    <row r="272">
      <c r="B272" s="18"/>
      <c r="C272" s="18"/>
      <c r="D272" s="18"/>
      <c r="E272" s="22"/>
      <c r="F272" s="24"/>
      <c r="G272" s="72"/>
      <c r="N272" s="56"/>
      <c r="O272" s="64"/>
    </row>
    <row r="273">
      <c r="B273" s="18"/>
      <c r="C273" s="18"/>
      <c r="D273" s="18"/>
      <c r="E273" s="22"/>
      <c r="F273" s="24"/>
      <c r="G273" s="72"/>
      <c r="N273" s="56"/>
      <c r="O273" s="64"/>
    </row>
    <row r="274">
      <c r="B274" s="18"/>
      <c r="C274" s="18"/>
      <c r="D274" s="18"/>
      <c r="E274" s="22"/>
      <c r="F274" s="24"/>
      <c r="G274" s="72"/>
      <c r="N274" s="56"/>
      <c r="O274" s="64"/>
    </row>
    <row r="275">
      <c r="B275" s="18"/>
      <c r="C275" s="18"/>
      <c r="D275" s="18"/>
      <c r="E275" s="22"/>
      <c r="F275" s="24"/>
      <c r="G275" s="72"/>
      <c r="N275" s="56"/>
      <c r="O275" s="64"/>
    </row>
    <row r="276">
      <c r="B276" s="18"/>
      <c r="C276" s="18"/>
      <c r="D276" s="18"/>
      <c r="E276" s="22"/>
      <c r="F276" s="24"/>
      <c r="G276" s="72"/>
      <c r="N276" s="56"/>
      <c r="O276" s="64"/>
    </row>
    <row r="277">
      <c r="B277" s="18"/>
      <c r="C277" s="18"/>
      <c r="D277" s="18"/>
      <c r="E277" s="22"/>
      <c r="F277" s="24"/>
      <c r="G277" s="72"/>
      <c r="N277" s="56"/>
      <c r="O277" s="64"/>
    </row>
    <row r="278">
      <c r="B278" s="18"/>
      <c r="C278" s="18"/>
      <c r="D278" s="18"/>
      <c r="E278" s="22"/>
      <c r="F278" s="24"/>
      <c r="G278" s="72"/>
      <c r="N278" s="56"/>
      <c r="O278" s="64"/>
    </row>
    <row r="279">
      <c r="B279" s="18"/>
      <c r="C279" s="18"/>
      <c r="D279" s="18"/>
      <c r="E279" s="22"/>
      <c r="F279" s="24"/>
      <c r="G279" s="72"/>
      <c r="N279" s="56"/>
      <c r="O279" s="64"/>
    </row>
    <row r="280">
      <c r="B280" s="18"/>
      <c r="C280" s="18"/>
      <c r="D280" s="18"/>
      <c r="E280" s="22"/>
      <c r="F280" s="24"/>
      <c r="G280" s="72"/>
      <c r="N280" s="56"/>
      <c r="O280" s="64"/>
    </row>
    <row r="281">
      <c r="B281" s="18"/>
      <c r="C281" s="18"/>
      <c r="D281" s="18"/>
      <c r="E281" s="22"/>
      <c r="F281" s="24"/>
      <c r="G281" s="72"/>
      <c r="N281" s="56"/>
      <c r="O281" s="64"/>
    </row>
    <row r="282">
      <c r="B282" s="18"/>
      <c r="C282" s="18"/>
      <c r="D282" s="18"/>
      <c r="E282" s="22"/>
      <c r="F282" s="24"/>
      <c r="G282" s="72"/>
      <c r="N282" s="56"/>
      <c r="O282" s="64"/>
    </row>
    <row r="283">
      <c r="B283" s="18"/>
      <c r="C283" s="18"/>
      <c r="D283" s="18"/>
      <c r="E283" s="22"/>
      <c r="F283" s="24"/>
      <c r="G283" s="72"/>
      <c r="N283" s="56"/>
      <c r="O283" s="64"/>
    </row>
    <row r="284">
      <c r="B284" s="18"/>
      <c r="C284" s="18"/>
      <c r="D284" s="18"/>
      <c r="E284" s="22"/>
      <c r="F284" s="24"/>
      <c r="G284" s="72"/>
      <c r="N284" s="56"/>
      <c r="O284" s="64"/>
    </row>
    <row r="285">
      <c r="B285" s="18"/>
      <c r="C285" s="18"/>
      <c r="D285" s="18"/>
      <c r="E285" s="22"/>
      <c r="F285" s="24"/>
      <c r="G285" s="72"/>
      <c r="N285" s="56"/>
      <c r="O285" s="64"/>
    </row>
    <row r="286">
      <c r="B286" s="18"/>
      <c r="C286" s="18"/>
      <c r="D286" s="18"/>
      <c r="E286" s="22"/>
      <c r="F286" s="24"/>
      <c r="G286" s="72"/>
      <c r="N286" s="56"/>
      <c r="O286" s="64"/>
    </row>
    <row r="287">
      <c r="B287" s="18"/>
      <c r="C287" s="18"/>
      <c r="D287" s="18"/>
      <c r="E287" s="22"/>
      <c r="F287" s="24"/>
      <c r="G287" s="72"/>
      <c r="N287" s="56"/>
      <c r="O287" s="64"/>
    </row>
    <row r="288">
      <c r="B288" s="18"/>
      <c r="C288" s="18"/>
      <c r="D288" s="18"/>
      <c r="E288" s="22"/>
      <c r="F288" s="24"/>
      <c r="G288" s="72"/>
      <c r="N288" s="56"/>
      <c r="O288" s="64"/>
    </row>
    <row r="289">
      <c r="B289" s="18"/>
      <c r="C289" s="18"/>
      <c r="D289" s="18"/>
      <c r="E289" s="22"/>
      <c r="F289" s="24"/>
      <c r="G289" s="72"/>
      <c r="N289" s="56"/>
      <c r="O289" s="64"/>
    </row>
    <row r="290">
      <c r="B290" s="18"/>
      <c r="C290" s="18"/>
      <c r="D290" s="18"/>
      <c r="E290" s="22"/>
      <c r="F290" s="24"/>
      <c r="G290" s="72"/>
      <c r="N290" s="56"/>
      <c r="O290" s="64"/>
    </row>
    <row r="291">
      <c r="B291" s="18"/>
      <c r="C291" s="18"/>
      <c r="D291" s="18"/>
      <c r="E291" s="22"/>
      <c r="F291" s="24"/>
      <c r="G291" s="72"/>
      <c r="N291" s="56"/>
      <c r="O291" s="64"/>
    </row>
    <row r="292">
      <c r="B292" s="18"/>
      <c r="C292" s="18"/>
      <c r="D292" s="18"/>
      <c r="E292" s="22"/>
      <c r="F292" s="24"/>
      <c r="G292" s="72"/>
      <c r="N292" s="56"/>
      <c r="O292" s="64"/>
    </row>
    <row r="293">
      <c r="B293" s="18"/>
      <c r="C293" s="18"/>
      <c r="D293" s="18"/>
      <c r="E293" s="22"/>
      <c r="F293" s="24"/>
      <c r="G293" s="72"/>
      <c r="N293" s="56"/>
      <c r="O293" s="64"/>
    </row>
    <row r="294">
      <c r="B294" s="18"/>
      <c r="C294" s="18"/>
      <c r="D294" s="18"/>
      <c r="E294" s="22"/>
      <c r="F294" s="24"/>
      <c r="G294" s="72"/>
      <c r="N294" s="56"/>
      <c r="O294" s="64"/>
    </row>
    <row r="295">
      <c r="B295" s="18"/>
      <c r="C295" s="18"/>
      <c r="D295" s="18"/>
      <c r="E295" s="22"/>
      <c r="F295" s="24"/>
      <c r="G295" s="72"/>
      <c r="N295" s="56"/>
      <c r="O295" s="64"/>
    </row>
    <row r="296">
      <c r="B296" s="18"/>
      <c r="C296" s="18"/>
      <c r="D296" s="18"/>
      <c r="E296" s="22"/>
      <c r="F296" s="24"/>
      <c r="G296" s="72"/>
      <c r="N296" s="56"/>
      <c r="O296" s="64"/>
    </row>
    <row r="297">
      <c r="B297" s="18"/>
      <c r="C297" s="18"/>
      <c r="D297" s="18"/>
      <c r="E297" s="22"/>
      <c r="F297" s="24"/>
      <c r="G297" s="72"/>
      <c r="N297" s="56"/>
      <c r="O297" s="64"/>
    </row>
    <row r="298">
      <c r="B298" s="18"/>
      <c r="C298" s="18"/>
      <c r="D298" s="18"/>
      <c r="E298" s="22"/>
      <c r="F298" s="24"/>
      <c r="G298" s="72"/>
      <c r="N298" s="56"/>
      <c r="O298" s="64"/>
    </row>
    <row r="299">
      <c r="B299" s="18"/>
      <c r="C299" s="18"/>
      <c r="D299" s="18"/>
      <c r="E299" s="22"/>
      <c r="F299" s="24"/>
      <c r="G299" s="72"/>
      <c r="N299" s="56"/>
      <c r="O299" s="64"/>
    </row>
    <row r="300">
      <c r="B300" s="18"/>
      <c r="C300" s="18"/>
      <c r="D300" s="18"/>
      <c r="E300" s="22"/>
      <c r="F300" s="24"/>
      <c r="G300" s="72"/>
      <c r="N300" s="56"/>
      <c r="O300" s="64"/>
    </row>
    <row r="301">
      <c r="B301" s="18"/>
      <c r="C301" s="18"/>
      <c r="D301" s="18"/>
      <c r="E301" s="22"/>
      <c r="F301" s="24"/>
      <c r="G301" s="72"/>
      <c r="N301" s="56"/>
      <c r="O301" s="64"/>
    </row>
    <row r="302">
      <c r="B302" s="18"/>
      <c r="C302" s="18"/>
      <c r="D302" s="18"/>
      <c r="E302" s="22"/>
      <c r="F302" s="24"/>
      <c r="G302" s="72"/>
      <c r="N302" s="56"/>
      <c r="O302" s="64"/>
    </row>
    <row r="303">
      <c r="B303" s="18"/>
      <c r="C303" s="18"/>
      <c r="D303" s="18"/>
      <c r="E303" s="22"/>
      <c r="F303" s="24"/>
      <c r="G303" s="72"/>
      <c r="N303" s="56"/>
      <c r="O303" s="64"/>
    </row>
    <row r="304">
      <c r="B304" s="18"/>
      <c r="C304" s="18"/>
      <c r="D304" s="18"/>
      <c r="E304" s="22"/>
      <c r="F304" s="24"/>
      <c r="G304" s="72"/>
      <c r="N304" s="56"/>
      <c r="O304" s="64"/>
    </row>
    <row r="305">
      <c r="B305" s="18"/>
      <c r="C305" s="18"/>
      <c r="D305" s="18"/>
      <c r="E305" s="22"/>
      <c r="F305" s="24"/>
      <c r="G305" s="72"/>
      <c r="N305" s="56"/>
      <c r="O305" s="64"/>
    </row>
    <row r="306">
      <c r="B306" s="18"/>
      <c r="C306" s="18"/>
      <c r="D306" s="18"/>
      <c r="E306" s="22"/>
      <c r="F306" s="24"/>
      <c r="G306" s="72"/>
      <c r="N306" s="56"/>
      <c r="O306" s="64"/>
    </row>
    <row r="307">
      <c r="B307" s="18"/>
      <c r="C307" s="18"/>
      <c r="D307" s="18"/>
      <c r="E307" s="22"/>
      <c r="F307" s="24"/>
      <c r="G307" s="72"/>
      <c r="N307" s="56"/>
      <c r="O307" s="64"/>
    </row>
    <row r="308">
      <c r="B308" s="18"/>
      <c r="C308" s="18"/>
      <c r="D308" s="18"/>
      <c r="E308" s="22"/>
      <c r="F308" s="24"/>
      <c r="G308" s="72"/>
      <c r="N308" s="56"/>
      <c r="O308" s="64"/>
    </row>
    <row r="309">
      <c r="B309" s="18"/>
      <c r="C309" s="18"/>
      <c r="D309" s="18"/>
      <c r="E309" s="22"/>
      <c r="F309" s="24"/>
      <c r="G309" s="72"/>
      <c r="N309" s="56"/>
      <c r="O309" s="64"/>
    </row>
    <row r="310">
      <c r="B310" s="18"/>
      <c r="C310" s="18"/>
      <c r="D310" s="18"/>
      <c r="E310" s="22"/>
      <c r="F310" s="24"/>
      <c r="G310" s="72"/>
      <c r="N310" s="56"/>
      <c r="O310" s="64"/>
    </row>
    <row r="311">
      <c r="B311" s="18"/>
      <c r="C311" s="18"/>
      <c r="D311" s="18"/>
      <c r="E311" s="22"/>
      <c r="F311" s="24"/>
      <c r="G311" s="72"/>
      <c r="N311" s="56"/>
      <c r="O311" s="64"/>
    </row>
    <row r="312">
      <c r="B312" s="18"/>
      <c r="C312" s="18"/>
      <c r="D312" s="18"/>
      <c r="E312" s="22"/>
      <c r="F312" s="24"/>
      <c r="G312" s="72"/>
      <c r="N312" s="56"/>
      <c r="O312" s="64"/>
    </row>
    <row r="313">
      <c r="B313" s="18"/>
      <c r="C313" s="18"/>
      <c r="D313" s="18"/>
      <c r="E313" s="22"/>
      <c r="F313" s="24"/>
      <c r="G313" s="72"/>
      <c r="N313" s="56"/>
      <c r="O313" s="64"/>
    </row>
    <row r="314">
      <c r="B314" s="18"/>
      <c r="C314" s="18"/>
      <c r="D314" s="18"/>
      <c r="E314" s="22"/>
      <c r="F314" s="24"/>
      <c r="G314" s="72"/>
      <c r="N314" s="56"/>
      <c r="O314" s="64"/>
    </row>
    <row r="315">
      <c r="B315" s="18"/>
      <c r="C315" s="18"/>
      <c r="D315" s="18"/>
      <c r="E315" s="22"/>
      <c r="F315" s="24"/>
      <c r="G315" s="72"/>
      <c r="N315" s="56"/>
      <c r="O315" s="64"/>
    </row>
    <row r="316">
      <c r="B316" s="18"/>
      <c r="C316" s="18"/>
      <c r="D316" s="18"/>
      <c r="E316" s="22"/>
      <c r="F316" s="24"/>
      <c r="G316" s="72"/>
      <c r="N316" s="56"/>
      <c r="O316" s="64"/>
    </row>
    <row r="317">
      <c r="B317" s="18"/>
      <c r="C317" s="18"/>
      <c r="D317" s="18"/>
      <c r="E317" s="22"/>
      <c r="F317" s="24"/>
      <c r="G317" s="72"/>
      <c r="N317" s="56"/>
      <c r="O317" s="64"/>
    </row>
    <row r="318">
      <c r="B318" s="18"/>
      <c r="C318" s="18"/>
      <c r="D318" s="18"/>
      <c r="E318" s="22"/>
      <c r="F318" s="24"/>
      <c r="G318" s="72"/>
      <c r="N318" s="56"/>
      <c r="O318" s="64"/>
    </row>
    <row r="319">
      <c r="B319" s="18"/>
      <c r="C319" s="18"/>
      <c r="D319" s="18"/>
      <c r="E319" s="22"/>
      <c r="F319" s="24"/>
      <c r="G319" s="72"/>
      <c r="N319" s="56"/>
      <c r="O319" s="64"/>
    </row>
    <row r="320">
      <c r="B320" s="18"/>
      <c r="C320" s="18"/>
      <c r="D320" s="18"/>
      <c r="E320" s="22"/>
      <c r="F320" s="24"/>
      <c r="G320" s="72"/>
      <c r="N320" s="56"/>
      <c r="O320" s="64"/>
    </row>
    <row r="321">
      <c r="B321" s="18"/>
      <c r="C321" s="18"/>
      <c r="D321" s="18"/>
      <c r="E321" s="22"/>
      <c r="F321" s="24"/>
      <c r="G321" s="72"/>
      <c r="N321" s="56"/>
      <c r="O321" s="64"/>
    </row>
    <row r="322">
      <c r="B322" s="18"/>
      <c r="C322" s="18"/>
      <c r="D322" s="18"/>
      <c r="E322" s="22"/>
      <c r="F322" s="24"/>
      <c r="G322" s="72"/>
      <c r="N322" s="56"/>
      <c r="O322" s="64"/>
    </row>
    <row r="323">
      <c r="B323" s="18"/>
      <c r="C323" s="18"/>
      <c r="D323" s="18"/>
      <c r="E323" s="22"/>
      <c r="F323" s="24"/>
      <c r="G323" s="72"/>
      <c r="N323" s="56"/>
      <c r="O323" s="64"/>
    </row>
    <row r="324">
      <c r="B324" s="18"/>
      <c r="C324" s="18"/>
      <c r="D324" s="18"/>
      <c r="E324" s="22"/>
      <c r="F324" s="24"/>
      <c r="G324" s="72"/>
      <c r="N324" s="56"/>
      <c r="O324" s="64"/>
    </row>
    <row r="325">
      <c r="B325" s="18"/>
      <c r="C325" s="18"/>
      <c r="D325" s="18"/>
      <c r="E325" s="22"/>
      <c r="F325" s="24"/>
      <c r="G325" s="72"/>
      <c r="N325" s="56"/>
      <c r="O325" s="64"/>
    </row>
    <row r="326">
      <c r="B326" s="18"/>
      <c r="C326" s="18"/>
      <c r="D326" s="18"/>
      <c r="E326" s="22"/>
      <c r="F326" s="24"/>
      <c r="G326" s="72"/>
      <c r="N326" s="56"/>
      <c r="O326" s="64"/>
    </row>
    <row r="327">
      <c r="B327" s="18"/>
      <c r="C327" s="18"/>
      <c r="D327" s="18"/>
      <c r="E327" s="22"/>
      <c r="F327" s="24"/>
      <c r="G327" s="72"/>
      <c r="N327" s="56"/>
      <c r="O327" s="64"/>
    </row>
    <row r="328">
      <c r="B328" s="18"/>
      <c r="C328" s="18"/>
      <c r="D328" s="18"/>
      <c r="E328" s="22"/>
      <c r="F328" s="24"/>
      <c r="G328" s="72"/>
      <c r="N328" s="56"/>
      <c r="O328" s="64"/>
    </row>
    <row r="329">
      <c r="B329" s="18"/>
      <c r="C329" s="18"/>
      <c r="D329" s="18"/>
      <c r="E329" s="22"/>
      <c r="F329" s="24"/>
      <c r="G329" s="72"/>
      <c r="N329" s="56"/>
      <c r="O329" s="64"/>
    </row>
    <row r="330">
      <c r="B330" s="18"/>
      <c r="C330" s="18"/>
      <c r="D330" s="18"/>
      <c r="E330" s="22"/>
      <c r="F330" s="24"/>
      <c r="G330" s="72"/>
      <c r="N330" s="56"/>
      <c r="O330" s="64"/>
    </row>
    <row r="331">
      <c r="B331" s="18"/>
      <c r="C331" s="18"/>
      <c r="D331" s="18"/>
      <c r="E331" s="22"/>
      <c r="F331" s="24"/>
      <c r="G331" s="72"/>
      <c r="N331" s="56"/>
      <c r="O331" s="64"/>
    </row>
    <row r="332">
      <c r="B332" s="18"/>
      <c r="C332" s="18"/>
      <c r="D332" s="18"/>
      <c r="E332" s="22"/>
      <c r="F332" s="24"/>
      <c r="G332" s="72"/>
      <c r="N332" s="56"/>
      <c r="O332" s="64"/>
    </row>
    <row r="333">
      <c r="B333" s="18"/>
      <c r="C333" s="18"/>
      <c r="D333" s="18"/>
      <c r="E333" s="22"/>
      <c r="F333" s="24"/>
      <c r="G333" s="72"/>
      <c r="N333" s="56"/>
      <c r="O333" s="64"/>
    </row>
    <row r="334">
      <c r="B334" s="18"/>
      <c r="C334" s="18"/>
      <c r="D334" s="18"/>
      <c r="E334" s="22"/>
      <c r="F334" s="24"/>
      <c r="G334" s="72"/>
      <c r="N334" s="56"/>
      <c r="O334" s="64"/>
    </row>
    <row r="335">
      <c r="B335" s="18"/>
      <c r="C335" s="18"/>
      <c r="D335" s="18"/>
      <c r="E335" s="22"/>
      <c r="F335" s="24"/>
      <c r="G335" s="72"/>
      <c r="N335" s="56"/>
      <c r="O335" s="64"/>
    </row>
    <row r="336">
      <c r="B336" s="18"/>
      <c r="C336" s="18"/>
      <c r="D336" s="18"/>
      <c r="E336" s="22"/>
      <c r="F336" s="24"/>
      <c r="G336" s="72"/>
      <c r="N336" s="56"/>
      <c r="O336" s="64"/>
    </row>
    <row r="337">
      <c r="B337" s="18"/>
      <c r="C337" s="18"/>
      <c r="D337" s="18"/>
      <c r="E337" s="22"/>
      <c r="F337" s="24"/>
      <c r="G337" s="72"/>
      <c r="N337" s="56"/>
      <c r="O337" s="64"/>
    </row>
    <row r="338">
      <c r="B338" s="18"/>
      <c r="C338" s="18"/>
      <c r="D338" s="18"/>
      <c r="E338" s="22"/>
      <c r="F338" s="24"/>
      <c r="G338" s="72"/>
      <c r="N338" s="56"/>
      <c r="O338" s="64"/>
    </row>
    <row r="339">
      <c r="B339" s="18"/>
      <c r="C339" s="18"/>
      <c r="D339" s="18"/>
      <c r="E339" s="22"/>
      <c r="F339" s="24"/>
      <c r="G339" s="72"/>
      <c r="N339" s="56"/>
      <c r="O339" s="64"/>
    </row>
    <row r="340">
      <c r="B340" s="18"/>
      <c r="C340" s="18"/>
      <c r="D340" s="18"/>
      <c r="E340" s="22"/>
      <c r="F340" s="24"/>
      <c r="G340" s="72"/>
      <c r="N340" s="56"/>
      <c r="O340" s="64"/>
    </row>
    <row r="341">
      <c r="B341" s="18"/>
      <c r="C341" s="18"/>
      <c r="D341" s="18"/>
      <c r="E341" s="22"/>
      <c r="F341" s="24"/>
      <c r="G341" s="72"/>
      <c r="N341" s="56"/>
      <c r="O341" s="64"/>
    </row>
    <row r="342">
      <c r="B342" s="18"/>
      <c r="C342" s="18"/>
      <c r="D342" s="18"/>
      <c r="E342" s="22"/>
      <c r="F342" s="24"/>
      <c r="G342" s="72"/>
      <c r="N342" s="56"/>
      <c r="O342" s="64"/>
    </row>
    <row r="343">
      <c r="B343" s="18"/>
      <c r="C343" s="18"/>
      <c r="D343" s="18"/>
      <c r="E343" s="22"/>
      <c r="F343" s="24"/>
      <c r="G343" s="72"/>
      <c r="N343" s="56"/>
      <c r="O343" s="64"/>
    </row>
    <row r="344">
      <c r="B344" s="18"/>
      <c r="C344" s="18"/>
      <c r="D344" s="18"/>
      <c r="E344" s="22"/>
      <c r="F344" s="24"/>
      <c r="G344" s="72"/>
      <c r="N344" s="56"/>
      <c r="O344" s="64"/>
    </row>
    <row r="345">
      <c r="B345" s="18"/>
      <c r="C345" s="18"/>
      <c r="D345" s="18"/>
      <c r="E345" s="22"/>
      <c r="F345" s="24"/>
      <c r="G345" s="72"/>
      <c r="N345" s="56"/>
      <c r="O345" s="64"/>
    </row>
    <row r="346">
      <c r="B346" s="18"/>
      <c r="C346" s="18"/>
      <c r="D346" s="18"/>
      <c r="E346" s="22"/>
      <c r="F346" s="24"/>
      <c r="G346" s="72"/>
      <c r="N346" s="56"/>
      <c r="O346" s="64"/>
    </row>
    <row r="347">
      <c r="B347" s="18"/>
      <c r="C347" s="18"/>
      <c r="D347" s="18"/>
      <c r="E347" s="22"/>
      <c r="F347" s="24"/>
      <c r="G347" s="72"/>
      <c r="N347" s="56"/>
      <c r="O347" s="64"/>
    </row>
    <row r="348">
      <c r="B348" s="18"/>
      <c r="C348" s="18"/>
      <c r="D348" s="18"/>
      <c r="E348" s="22"/>
      <c r="F348" s="24"/>
      <c r="G348" s="72"/>
      <c r="N348" s="56"/>
      <c r="O348" s="64"/>
    </row>
    <row r="349">
      <c r="B349" s="18"/>
      <c r="C349" s="18"/>
      <c r="D349" s="18"/>
      <c r="E349" s="22"/>
      <c r="F349" s="24"/>
      <c r="G349" s="72"/>
      <c r="N349" s="56"/>
      <c r="O349" s="64"/>
    </row>
    <row r="350">
      <c r="B350" s="18"/>
      <c r="C350" s="18"/>
      <c r="D350" s="18"/>
      <c r="E350" s="22"/>
      <c r="F350" s="24"/>
      <c r="G350" s="72"/>
      <c r="N350" s="56"/>
      <c r="O350" s="64"/>
    </row>
    <row r="351">
      <c r="B351" s="18"/>
      <c r="C351" s="18"/>
      <c r="D351" s="18"/>
      <c r="E351" s="22"/>
      <c r="F351" s="24"/>
      <c r="G351" s="72"/>
      <c r="N351" s="56"/>
      <c r="O351" s="64"/>
    </row>
    <row r="352">
      <c r="B352" s="18"/>
      <c r="C352" s="18"/>
      <c r="D352" s="18"/>
      <c r="E352" s="22"/>
      <c r="F352" s="24"/>
      <c r="G352" s="72"/>
      <c r="N352" s="56"/>
      <c r="O352" s="64"/>
    </row>
    <row r="353">
      <c r="B353" s="18"/>
      <c r="C353" s="18"/>
      <c r="D353" s="18"/>
      <c r="E353" s="22"/>
      <c r="F353" s="24"/>
      <c r="G353" s="72"/>
      <c r="N353" s="56"/>
      <c r="O353" s="64"/>
    </row>
    <row r="354">
      <c r="B354" s="18"/>
      <c r="C354" s="18"/>
      <c r="D354" s="18"/>
      <c r="E354" s="22"/>
      <c r="F354" s="24"/>
      <c r="G354" s="72"/>
      <c r="N354" s="56"/>
      <c r="O354" s="64"/>
    </row>
    <row r="355">
      <c r="B355" s="18"/>
      <c r="C355" s="18"/>
      <c r="D355" s="18"/>
      <c r="E355" s="22"/>
      <c r="F355" s="24"/>
      <c r="G355" s="72"/>
      <c r="N355" s="56"/>
      <c r="O355" s="64"/>
    </row>
    <row r="356">
      <c r="B356" s="18"/>
      <c r="C356" s="18"/>
      <c r="D356" s="18"/>
      <c r="E356" s="22"/>
      <c r="F356" s="24"/>
      <c r="G356" s="72"/>
      <c r="N356" s="56"/>
      <c r="O356" s="64"/>
    </row>
    <row r="357">
      <c r="B357" s="18"/>
      <c r="C357" s="18"/>
      <c r="D357" s="18"/>
      <c r="E357" s="22"/>
      <c r="F357" s="24"/>
      <c r="G357" s="72"/>
      <c r="N357" s="56"/>
      <c r="O357" s="64"/>
    </row>
    <row r="358">
      <c r="B358" s="18"/>
      <c r="C358" s="18"/>
      <c r="D358" s="18"/>
      <c r="E358" s="22"/>
      <c r="F358" s="24"/>
      <c r="G358" s="72"/>
      <c r="N358" s="56"/>
      <c r="O358" s="64"/>
    </row>
    <row r="359">
      <c r="B359" s="18"/>
      <c r="C359" s="18"/>
      <c r="D359" s="18"/>
      <c r="E359" s="22"/>
      <c r="F359" s="24"/>
      <c r="G359" s="72"/>
      <c r="N359" s="56"/>
      <c r="O359" s="64"/>
    </row>
    <row r="360">
      <c r="B360" s="18"/>
      <c r="C360" s="18"/>
      <c r="D360" s="18"/>
      <c r="E360" s="22"/>
      <c r="F360" s="24"/>
      <c r="G360" s="72"/>
      <c r="N360" s="56"/>
      <c r="O360" s="64"/>
    </row>
    <row r="361">
      <c r="B361" s="18"/>
      <c r="C361" s="18"/>
      <c r="D361" s="18"/>
      <c r="E361" s="22"/>
      <c r="F361" s="24"/>
      <c r="G361" s="72"/>
      <c r="N361" s="56"/>
      <c r="O361" s="64"/>
    </row>
    <row r="362">
      <c r="B362" s="18"/>
      <c r="C362" s="18"/>
      <c r="D362" s="18"/>
      <c r="E362" s="22"/>
      <c r="F362" s="24"/>
      <c r="G362" s="72"/>
      <c r="N362" s="56"/>
      <c r="O362" s="64"/>
    </row>
    <row r="363">
      <c r="B363" s="18"/>
      <c r="C363" s="18"/>
      <c r="D363" s="18"/>
      <c r="E363" s="22"/>
      <c r="F363" s="24"/>
      <c r="G363" s="72"/>
      <c r="N363" s="56"/>
      <c r="O363" s="64"/>
    </row>
    <row r="364">
      <c r="B364" s="18"/>
      <c r="C364" s="18"/>
      <c r="D364" s="18"/>
      <c r="E364" s="22"/>
      <c r="F364" s="24"/>
      <c r="G364" s="72"/>
      <c r="N364" s="56"/>
      <c r="O364" s="64"/>
    </row>
    <row r="365">
      <c r="B365" s="18"/>
      <c r="C365" s="18"/>
      <c r="D365" s="18"/>
      <c r="E365" s="22"/>
      <c r="F365" s="24"/>
      <c r="G365" s="72"/>
      <c r="N365" s="56"/>
      <c r="O365" s="64"/>
    </row>
    <row r="366">
      <c r="B366" s="18"/>
      <c r="C366" s="18"/>
      <c r="D366" s="18"/>
      <c r="E366" s="22"/>
      <c r="F366" s="24"/>
      <c r="G366" s="72"/>
      <c r="N366" s="56"/>
      <c r="O366" s="64"/>
    </row>
    <row r="367">
      <c r="B367" s="18"/>
      <c r="C367" s="18"/>
      <c r="D367" s="18"/>
      <c r="E367" s="22"/>
      <c r="F367" s="24"/>
      <c r="G367" s="72"/>
      <c r="N367" s="56"/>
      <c r="O367" s="64"/>
    </row>
    <row r="368">
      <c r="B368" s="18"/>
      <c r="C368" s="18"/>
      <c r="D368" s="18"/>
      <c r="E368" s="22"/>
      <c r="F368" s="24"/>
      <c r="G368" s="72"/>
      <c r="N368" s="56"/>
      <c r="O368" s="64"/>
    </row>
    <row r="369">
      <c r="B369" s="18"/>
      <c r="C369" s="18"/>
      <c r="D369" s="18"/>
      <c r="E369" s="22"/>
      <c r="F369" s="24"/>
      <c r="G369" s="72"/>
      <c r="N369" s="56"/>
      <c r="O369" s="64"/>
    </row>
    <row r="370">
      <c r="B370" s="18"/>
      <c r="C370" s="18"/>
      <c r="D370" s="18"/>
      <c r="E370" s="22"/>
      <c r="F370" s="24"/>
      <c r="G370" s="72"/>
      <c r="N370" s="56"/>
      <c r="O370" s="64"/>
    </row>
    <row r="371">
      <c r="B371" s="18"/>
      <c r="C371" s="18"/>
      <c r="D371" s="18"/>
      <c r="E371" s="22"/>
      <c r="F371" s="24"/>
      <c r="G371" s="72"/>
      <c r="N371" s="56"/>
      <c r="O371" s="64"/>
    </row>
    <row r="372">
      <c r="B372" s="18"/>
      <c r="C372" s="18"/>
      <c r="D372" s="18"/>
      <c r="E372" s="22"/>
      <c r="F372" s="24"/>
      <c r="G372" s="72"/>
      <c r="N372" s="56"/>
      <c r="O372" s="64"/>
    </row>
    <row r="373">
      <c r="B373" s="18"/>
      <c r="C373" s="18"/>
      <c r="D373" s="18"/>
      <c r="E373" s="22"/>
      <c r="F373" s="24"/>
      <c r="G373" s="72"/>
      <c r="N373" s="56"/>
      <c r="O373" s="64"/>
    </row>
    <row r="374">
      <c r="B374" s="18"/>
      <c r="C374" s="18"/>
      <c r="D374" s="18"/>
      <c r="E374" s="22"/>
      <c r="F374" s="24"/>
      <c r="G374" s="72"/>
      <c r="N374" s="56"/>
      <c r="O374" s="64"/>
    </row>
    <row r="375">
      <c r="B375" s="18"/>
      <c r="C375" s="18"/>
      <c r="D375" s="18"/>
      <c r="E375" s="22"/>
      <c r="F375" s="24"/>
      <c r="G375" s="72"/>
      <c r="N375" s="56"/>
      <c r="O375" s="64"/>
    </row>
    <row r="376">
      <c r="B376" s="18"/>
      <c r="C376" s="18"/>
      <c r="D376" s="18"/>
      <c r="E376" s="22"/>
      <c r="F376" s="24"/>
      <c r="G376" s="72"/>
      <c r="N376" s="56"/>
      <c r="O376" s="64"/>
    </row>
    <row r="377">
      <c r="B377" s="18"/>
      <c r="C377" s="18"/>
      <c r="D377" s="18"/>
      <c r="E377" s="22"/>
      <c r="F377" s="24"/>
      <c r="G377" s="72"/>
      <c r="N377" s="56"/>
      <c r="O377" s="64"/>
    </row>
    <row r="378">
      <c r="B378" s="18"/>
      <c r="C378" s="18"/>
      <c r="D378" s="18"/>
      <c r="E378" s="22"/>
      <c r="F378" s="24"/>
      <c r="G378" s="72"/>
      <c r="N378" s="56"/>
      <c r="O378" s="64"/>
    </row>
    <row r="379">
      <c r="B379" s="18"/>
      <c r="C379" s="18"/>
      <c r="D379" s="18"/>
      <c r="E379" s="22"/>
      <c r="F379" s="24"/>
      <c r="G379" s="72"/>
      <c r="N379" s="56"/>
      <c r="O379" s="64"/>
    </row>
    <row r="380">
      <c r="B380" s="18"/>
      <c r="C380" s="18"/>
      <c r="D380" s="18"/>
      <c r="E380" s="22"/>
      <c r="F380" s="24"/>
      <c r="G380" s="72"/>
      <c r="N380" s="56"/>
      <c r="O380" s="64"/>
    </row>
    <row r="381">
      <c r="B381" s="18"/>
      <c r="C381" s="18"/>
      <c r="D381" s="18"/>
      <c r="E381" s="22"/>
      <c r="F381" s="24"/>
      <c r="G381" s="72"/>
      <c r="N381" s="56"/>
      <c r="O381" s="64"/>
    </row>
    <row r="382">
      <c r="B382" s="18"/>
      <c r="C382" s="18"/>
      <c r="D382" s="18"/>
      <c r="E382" s="22"/>
      <c r="F382" s="24"/>
      <c r="G382" s="72"/>
      <c r="N382" s="56"/>
      <c r="O382" s="64"/>
    </row>
    <row r="383">
      <c r="B383" s="18"/>
      <c r="C383" s="18"/>
      <c r="D383" s="18"/>
      <c r="E383" s="22"/>
      <c r="F383" s="24"/>
      <c r="G383" s="72"/>
      <c r="N383" s="56"/>
      <c r="O383" s="64"/>
    </row>
    <row r="384">
      <c r="B384" s="18"/>
      <c r="C384" s="18"/>
      <c r="D384" s="18"/>
      <c r="E384" s="22"/>
      <c r="F384" s="24"/>
      <c r="G384" s="72"/>
      <c r="N384" s="56"/>
      <c r="O384" s="64"/>
    </row>
    <row r="385">
      <c r="B385" s="18"/>
      <c r="C385" s="18"/>
      <c r="D385" s="18"/>
      <c r="E385" s="22"/>
      <c r="F385" s="24"/>
      <c r="G385" s="72"/>
      <c r="N385" s="56"/>
      <c r="O385" s="64"/>
    </row>
    <row r="386">
      <c r="B386" s="18"/>
      <c r="C386" s="18"/>
      <c r="D386" s="18"/>
      <c r="E386" s="22"/>
      <c r="F386" s="24"/>
      <c r="G386" s="72"/>
      <c r="N386" s="56"/>
      <c r="O386" s="64"/>
    </row>
    <row r="387">
      <c r="B387" s="18"/>
      <c r="C387" s="18"/>
      <c r="D387" s="18"/>
      <c r="E387" s="22"/>
      <c r="F387" s="24"/>
      <c r="G387" s="72"/>
      <c r="N387" s="56"/>
      <c r="O387" s="64"/>
    </row>
    <row r="388">
      <c r="B388" s="18"/>
      <c r="C388" s="18"/>
      <c r="D388" s="18"/>
      <c r="E388" s="22"/>
      <c r="F388" s="24"/>
      <c r="G388" s="72"/>
      <c r="N388" s="56"/>
      <c r="O388" s="64"/>
    </row>
    <row r="389">
      <c r="B389" s="18"/>
      <c r="C389" s="18"/>
      <c r="D389" s="18"/>
      <c r="E389" s="22"/>
      <c r="F389" s="24"/>
      <c r="G389" s="72"/>
      <c r="N389" s="56"/>
      <c r="O389" s="64"/>
    </row>
    <row r="390">
      <c r="B390" s="18"/>
      <c r="C390" s="18"/>
      <c r="D390" s="18"/>
      <c r="E390" s="22"/>
      <c r="F390" s="24"/>
      <c r="G390" s="72"/>
      <c r="N390" s="56"/>
      <c r="O390" s="64"/>
    </row>
    <row r="391">
      <c r="B391" s="18"/>
      <c r="C391" s="18"/>
      <c r="D391" s="18"/>
      <c r="E391" s="22"/>
      <c r="F391" s="24"/>
      <c r="G391" s="72"/>
      <c r="N391" s="56"/>
      <c r="O391" s="64"/>
    </row>
    <row r="392">
      <c r="B392" s="18"/>
      <c r="C392" s="18"/>
      <c r="D392" s="18"/>
      <c r="E392" s="22"/>
      <c r="F392" s="24"/>
      <c r="G392" s="72"/>
      <c r="N392" s="56"/>
      <c r="O392" s="64"/>
    </row>
    <row r="393">
      <c r="B393" s="18"/>
      <c r="C393" s="18"/>
      <c r="D393" s="18"/>
      <c r="E393" s="22"/>
      <c r="F393" s="24"/>
      <c r="G393" s="72"/>
      <c r="N393" s="56"/>
      <c r="O393" s="64"/>
    </row>
    <row r="394">
      <c r="B394" s="18"/>
      <c r="C394" s="18"/>
      <c r="D394" s="18"/>
      <c r="E394" s="22"/>
      <c r="F394" s="24"/>
      <c r="G394" s="72"/>
      <c r="N394" s="56"/>
      <c r="O394" s="64"/>
    </row>
    <row r="395">
      <c r="B395" s="18"/>
      <c r="C395" s="18"/>
      <c r="D395" s="18"/>
      <c r="E395" s="22"/>
      <c r="F395" s="24"/>
      <c r="G395" s="72"/>
      <c r="N395" s="56"/>
      <c r="O395" s="64"/>
    </row>
    <row r="396">
      <c r="B396" s="18"/>
      <c r="C396" s="18"/>
      <c r="D396" s="18"/>
      <c r="E396" s="22"/>
      <c r="F396" s="24"/>
      <c r="G396" s="72"/>
      <c r="N396" s="56"/>
      <c r="O396" s="64"/>
    </row>
    <row r="397">
      <c r="B397" s="18"/>
      <c r="C397" s="18"/>
      <c r="D397" s="18"/>
      <c r="E397" s="22"/>
      <c r="F397" s="24"/>
      <c r="G397" s="72"/>
      <c r="N397" s="56"/>
      <c r="O397" s="64"/>
    </row>
    <row r="398">
      <c r="B398" s="18"/>
      <c r="C398" s="18"/>
      <c r="D398" s="18"/>
      <c r="E398" s="22"/>
      <c r="F398" s="24"/>
      <c r="G398" s="72"/>
      <c r="N398" s="56"/>
      <c r="O398" s="64"/>
    </row>
    <row r="399">
      <c r="B399" s="18"/>
      <c r="C399" s="18"/>
      <c r="D399" s="18"/>
      <c r="E399" s="22"/>
      <c r="F399" s="24"/>
      <c r="G399" s="72"/>
      <c r="N399" s="56"/>
      <c r="O399" s="64"/>
    </row>
    <row r="400">
      <c r="B400" s="18"/>
      <c r="C400" s="18"/>
      <c r="D400" s="18"/>
      <c r="E400" s="22"/>
      <c r="F400" s="24"/>
      <c r="G400" s="72"/>
      <c r="N400" s="56"/>
      <c r="O400" s="64"/>
    </row>
    <row r="401">
      <c r="B401" s="18"/>
      <c r="C401" s="18"/>
      <c r="D401" s="18"/>
      <c r="E401" s="22"/>
      <c r="F401" s="24"/>
      <c r="G401" s="72"/>
      <c r="N401" s="56"/>
      <c r="O401" s="64"/>
    </row>
    <row r="402">
      <c r="B402" s="18"/>
      <c r="C402" s="18"/>
      <c r="D402" s="18"/>
      <c r="E402" s="22"/>
      <c r="F402" s="24"/>
      <c r="G402" s="72"/>
      <c r="N402" s="56"/>
      <c r="O402" s="64"/>
    </row>
    <row r="403">
      <c r="B403" s="18"/>
      <c r="C403" s="18"/>
      <c r="D403" s="18"/>
      <c r="E403" s="22"/>
      <c r="F403" s="24"/>
      <c r="G403" s="72"/>
      <c r="N403" s="56"/>
      <c r="O403" s="64"/>
    </row>
    <row r="404">
      <c r="B404" s="18"/>
      <c r="C404" s="18"/>
      <c r="D404" s="18"/>
      <c r="E404" s="22"/>
      <c r="F404" s="24"/>
      <c r="G404" s="72"/>
      <c r="N404" s="56"/>
      <c r="O404" s="64"/>
    </row>
    <row r="405">
      <c r="B405" s="18"/>
      <c r="C405" s="18"/>
      <c r="D405" s="18"/>
      <c r="E405" s="22"/>
      <c r="F405" s="24"/>
      <c r="G405" s="72"/>
      <c r="N405" s="56"/>
      <c r="O405" s="64"/>
    </row>
    <row r="406">
      <c r="B406" s="18"/>
      <c r="C406" s="18"/>
      <c r="D406" s="18"/>
      <c r="E406" s="22"/>
      <c r="F406" s="24"/>
      <c r="G406" s="72"/>
      <c r="N406" s="56"/>
      <c r="O406" s="64"/>
    </row>
    <row r="407">
      <c r="B407" s="18"/>
      <c r="C407" s="18"/>
      <c r="D407" s="18"/>
      <c r="E407" s="22"/>
      <c r="F407" s="24"/>
      <c r="G407" s="72"/>
      <c r="N407" s="56"/>
      <c r="O407" s="64"/>
    </row>
    <row r="408">
      <c r="B408" s="18"/>
      <c r="C408" s="18"/>
      <c r="D408" s="18"/>
      <c r="E408" s="22"/>
      <c r="F408" s="24"/>
      <c r="G408" s="72"/>
      <c r="N408" s="56"/>
      <c r="O408" s="64"/>
    </row>
    <row r="409">
      <c r="B409" s="18"/>
      <c r="C409" s="18"/>
      <c r="D409" s="18"/>
      <c r="E409" s="22"/>
      <c r="F409" s="24"/>
      <c r="G409" s="72"/>
      <c r="N409" s="56"/>
      <c r="O409" s="64"/>
    </row>
    <row r="410">
      <c r="B410" s="18"/>
      <c r="C410" s="18"/>
      <c r="D410" s="18"/>
      <c r="E410" s="22"/>
      <c r="F410" s="24"/>
      <c r="G410" s="72"/>
      <c r="N410" s="56"/>
      <c r="O410" s="64"/>
    </row>
    <row r="411">
      <c r="B411" s="18"/>
      <c r="C411" s="18"/>
      <c r="D411" s="18"/>
      <c r="E411" s="22"/>
      <c r="F411" s="24"/>
      <c r="G411" s="72"/>
      <c r="N411" s="56"/>
      <c r="O411" s="64"/>
    </row>
    <row r="412">
      <c r="B412" s="18"/>
      <c r="C412" s="18"/>
      <c r="D412" s="18"/>
      <c r="E412" s="22"/>
      <c r="F412" s="24"/>
      <c r="G412" s="72"/>
      <c r="N412" s="56"/>
      <c r="O412" s="64"/>
    </row>
    <row r="413">
      <c r="B413" s="18"/>
      <c r="C413" s="18"/>
      <c r="D413" s="18"/>
      <c r="E413" s="22"/>
      <c r="F413" s="24"/>
      <c r="G413" s="72"/>
      <c r="N413" s="56"/>
      <c r="O413" s="64"/>
    </row>
    <row r="414">
      <c r="B414" s="18"/>
      <c r="C414" s="18"/>
      <c r="D414" s="18"/>
      <c r="E414" s="22"/>
      <c r="F414" s="24"/>
      <c r="G414" s="72"/>
      <c r="N414" s="56"/>
      <c r="O414" s="64"/>
    </row>
    <row r="415">
      <c r="B415" s="18"/>
      <c r="C415" s="18"/>
      <c r="D415" s="18"/>
      <c r="E415" s="22"/>
      <c r="F415" s="24"/>
      <c r="G415" s="72"/>
      <c r="N415" s="56"/>
      <c r="O415" s="64"/>
    </row>
    <row r="416">
      <c r="B416" s="18"/>
      <c r="C416" s="18"/>
      <c r="D416" s="18"/>
      <c r="E416" s="22"/>
      <c r="F416" s="24"/>
      <c r="G416" s="72"/>
      <c r="N416" s="56"/>
      <c r="O416" s="64"/>
    </row>
    <row r="417">
      <c r="B417" s="18"/>
      <c r="C417" s="18"/>
      <c r="D417" s="18"/>
      <c r="E417" s="22"/>
      <c r="F417" s="24"/>
      <c r="G417" s="72"/>
      <c r="N417" s="56"/>
      <c r="O417" s="64"/>
    </row>
    <row r="418">
      <c r="B418" s="18"/>
      <c r="C418" s="18"/>
      <c r="D418" s="18"/>
      <c r="E418" s="22"/>
      <c r="F418" s="24"/>
      <c r="G418" s="72"/>
      <c r="N418" s="56"/>
      <c r="O418" s="64"/>
    </row>
    <row r="419">
      <c r="B419" s="18"/>
      <c r="C419" s="18"/>
      <c r="D419" s="18"/>
      <c r="E419" s="22"/>
      <c r="F419" s="24"/>
      <c r="G419" s="72"/>
      <c r="N419" s="56"/>
      <c r="O419" s="64"/>
    </row>
    <row r="420">
      <c r="B420" s="18"/>
      <c r="C420" s="18"/>
      <c r="D420" s="18"/>
      <c r="E420" s="22"/>
      <c r="F420" s="24"/>
      <c r="G420" s="72"/>
      <c r="N420" s="56"/>
      <c r="O420" s="64"/>
    </row>
    <row r="421">
      <c r="B421" s="18"/>
      <c r="C421" s="18"/>
      <c r="D421" s="18"/>
      <c r="E421" s="22"/>
      <c r="F421" s="24"/>
      <c r="G421" s="72"/>
      <c r="N421" s="56"/>
      <c r="O421" s="64"/>
    </row>
    <row r="422">
      <c r="B422" s="18"/>
      <c r="C422" s="18"/>
      <c r="D422" s="18"/>
      <c r="E422" s="22"/>
      <c r="F422" s="24"/>
      <c r="G422" s="72"/>
      <c r="N422" s="56"/>
      <c r="O422" s="64"/>
    </row>
    <row r="423">
      <c r="B423" s="18"/>
      <c r="C423" s="18"/>
      <c r="D423" s="18"/>
      <c r="E423" s="22"/>
      <c r="F423" s="24"/>
      <c r="G423" s="72"/>
      <c r="N423" s="56"/>
      <c r="O423" s="64"/>
    </row>
    <row r="424">
      <c r="B424" s="18"/>
      <c r="C424" s="18"/>
      <c r="D424" s="18"/>
      <c r="E424" s="22"/>
      <c r="F424" s="24"/>
      <c r="G424" s="72"/>
      <c r="N424" s="56"/>
      <c r="O424" s="64"/>
    </row>
    <row r="425">
      <c r="B425" s="18"/>
      <c r="C425" s="18"/>
      <c r="D425" s="18"/>
      <c r="E425" s="22"/>
      <c r="F425" s="24"/>
      <c r="G425" s="72"/>
      <c r="N425" s="56"/>
      <c r="O425" s="64"/>
    </row>
    <row r="426">
      <c r="B426" s="18"/>
      <c r="C426" s="18"/>
      <c r="D426" s="18"/>
      <c r="E426" s="22"/>
      <c r="F426" s="24"/>
      <c r="G426" s="72"/>
      <c r="N426" s="56"/>
      <c r="O426" s="64"/>
    </row>
    <row r="427">
      <c r="B427" s="18"/>
      <c r="C427" s="18"/>
      <c r="D427" s="18"/>
      <c r="E427" s="22"/>
      <c r="F427" s="24"/>
      <c r="G427" s="72"/>
      <c r="N427" s="56"/>
      <c r="O427" s="64"/>
    </row>
    <row r="428">
      <c r="B428" s="18"/>
      <c r="C428" s="18"/>
      <c r="D428" s="18"/>
      <c r="E428" s="22"/>
      <c r="F428" s="24"/>
      <c r="G428" s="72"/>
      <c r="N428" s="56"/>
      <c r="O428" s="64"/>
    </row>
    <row r="429">
      <c r="B429" s="18"/>
      <c r="C429" s="18"/>
      <c r="D429" s="18"/>
      <c r="E429" s="22"/>
      <c r="F429" s="24"/>
      <c r="G429" s="72"/>
      <c r="N429" s="56"/>
      <c r="O429" s="64"/>
    </row>
    <row r="430">
      <c r="B430" s="18"/>
      <c r="C430" s="18"/>
      <c r="D430" s="18"/>
      <c r="E430" s="22"/>
      <c r="F430" s="24"/>
      <c r="G430" s="72"/>
      <c r="N430" s="56"/>
      <c r="O430" s="64"/>
    </row>
    <row r="431">
      <c r="B431" s="18"/>
      <c r="C431" s="18"/>
      <c r="D431" s="18"/>
      <c r="E431" s="22"/>
      <c r="F431" s="24"/>
      <c r="G431" s="72"/>
      <c r="N431" s="56"/>
      <c r="O431" s="64"/>
    </row>
    <row r="432">
      <c r="B432" s="18"/>
      <c r="C432" s="18"/>
      <c r="D432" s="18"/>
      <c r="E432" s="22"/>
      <c r="F432" s="24"/>
      <c r="G432" s="72"/>
      <c r="N432" s="56"/>
      <c r="O432" s="64"/>
    </row>
    <row r="433">
      <c r="B433" s="18"/>
      <c r="C433" s="18"/>
      <c r="D433" s="18"/>
      <c r="E433" s="22"/>
      <c r="F433" s="24"/>
      <c r="G433" s="72"/>
      <c r="N433" s="56"/>
      <c r="O433" s="64"/>
    </row>
    <row r="434">
      <c r="B434" s="18"/>
      <c r="C434" s="18"/>
      <c r="D434" s="18"/>
      <c r="E434" s="22"/>
      <c r="F434" s="24"/>
      <c r="G434" s="72"/>
      <c r="N434" s="56"/>
      <c r="O434" s="64"/>
    </row>
    <row r="435">
      <c r="B435" s="18"/>
      <c r="C435" s="18"/>
      <c r="D435" s="18"/>
      <c r="E435" s="22"/>
      <c r="F435" s="24"/>
      <c r="G435" s="72"/>
      <c r="N435" s="56"/>
      <c r="O435" s="64"/>
    </row>
    <row r="436">
      <c r="B436" s="18"/>
      <c r="C436" s="18"/>
      <c r="D436" s="18"/>
      <c r="E436" s="22"/>
      <c r="F436" s="24"/>
      <c r="G436" s="72"/>
      <c r="N436" s="56"/>
      <c r="O436" s="64"/>
    </row>
    <row r="437">
      <c r="B437" s="18"/>
      <c r="C437" s="18"/>
      <c r="D437" s="18"/>
      <c r="E437" s="22"/>
      <c r="F437" s="24"/>
      <c r="G437" s="72"/>
      <c r="N437" s="56"/>
      <c r="O437" s="64"/>
    </row>
    <row r="438">
      <c r="B438" s="18"/>
      <c r="C438" s="18"/>
      <c r="D438" s="18"/>
      <c r="E438" s="22"/>
      <c r="F438" s="24"/>
      <c r="G438" s="72"/>
      <c r="N438" s="56"/>
      <c r="O438" s="64"/>
    </row>
    <row r="439">
      <c r="B439" s="18"/>
      <c r="C439" s="18"/>
      <c r="D439" s="18"/>
      <c r="E439" s="22"/>
      <c r="F439" s="24"/>
      <c r="G439" s="72"/>
      <c r="N439" s="56"/>
      <c r="O439" s="64"/>
    </row>
    <row r="440">
      <c r="B440" s="18"/>
      <c r="C440" s="18"/>
      <c r="D440" s="18"/>
      <c r="E440" s="22"/>
      <c r="F440" s="24"/>
      <c r="G440" s="72"/>
      <c r="N440" s="56"/>
      <c r="O440" s="64"/>
    </row>
    <row r="441">
      <c r="B441" s="18"/>
      <c r="C441" s="18"/>
      <c r="D441" s="18"/>
      <c r="E441" s="22"/>
      <c r="F441" s="24"/>
      <c r="G441" s="72"/>
      <c r="N441" s="56"/>
      <c r="O441" s="64"/>
    </row>
    <row r="442">
      <c r="B442" s="18"/>
      <c r="C442" s="18"/>
      <c r="D442" s="18"/>
      <c r="E442" s="22"/>
      <c r="F442" s="24"/>
      <c r="G442" s="72"/>
      <c r="N442" s="56"/>
      <c r="O442" s="64"/>
    </row>
    <row r="443">
      <c r="B443" s="18"/>
      <c r="C443" s="18"/>
      <c r="D443" s="18"/>
      <c r="E443" s="22"/>
      <c r="F443" s="24"/>
      <c r="G443" s="72"/>
      <c r="N443" s="56"/>
      <c r="O443" s="64"/>
    </row>
    <row r="444">
      <c r="B444" s="18"/>
      <c r="C444" s="18"/>
      <c r="D444" s="18"/>
      <c r="E444" s="22"/>
      <c r="F444" s="24"/>
      <c r="G444" s="72"/>
      <c r="N444" s="56"/>
      <c r="O444" s="64"/>
    </row>
    <row r="445">
      <c r="B445" s="18"/>
      <c r="C445" s="18"/>
      <c r="D445" s="18"/>
      <c r="E445" s="22"/>
      <c r="F445" s="24"/>
      <c r="G445" s="72"/>
      <c r="N445" s="56"/>
      <c r="O445" s="64"/>
    </row>
    <row r="446">
      <c r="B446" s="18"/>
      <c r="C446" s="18"/>
      <c r="D446" s="18"/>
      <c r="E446" s="22"/>
      <c r="F446" s="24"/>
      <c r="G446" s="72"/>
      <c r="N446" s="56"/>
      <c r="O446" s="64"/>
    </row>
    <row r="447">
      <c r="B447" s="18"/>
      <c r="C447" s="18"/>
      <c r="D447" s="18"/>
      <c r="E447" s="22"/>
      <c r="F447" s="24"/>
      <c r="G447" s="72"/>
      <c r="N447" s="56"/>
      <c r="O447" s="64"/>
    </row>
    <row r="448">
      <c r="B448" s="18"/>
      <c r="C448" s="18"/>
      <c r="D448" s="18"/>
      <c r="E448" s="22"/>
      <c r="F448" s="24"/>
      <c r="G448" s="72"/>
      <c r="N448" s="56"/>
      <c r="O448" s="64"/>
    </row>
    <row r="449">
      <c r="B449" s="18"/>
      <c r="C449" s="18"/>
      <c r="D449" s="18"/>
      <c r="E449" s="22"/>
      <c r="F449" s="24"/>
      <c r="G449" s="72"/>
      <c r="N449" s="56"/>
      <c r="O449" s="64"/>
    </row>
    <row r="450">
      <c r="B450" s="18"/>
      <c r="C450" s="18"/>
      <c r="D450" s="18"/>
      <c r="E450" s="22"/>
      <c r="F450" s="24"/>
      <c r="G450" s="72"/>
      <c r="N450" s="56"/>
      <c r="O450" s="64"/>
    </row>
    <row r="451">
      <c r="B451" s="18"/>
      <c r="C451" s="18"/>
      <c r="D451" s="18"/>
      <c r="E451" s="22"/>
      <c r="F451" s="24"/>
      <c r="G451" s="72"/>
      <c r="N451" s="56"/>
      <c r="O451" s="64"/>
    </row>
    <row r="452">
      <c r="B452" s="18"/>
      <c r="C452" s="18"/>
      <c r="D452" s="18"/>
      <c r="E452" s="22"/>
      <c r="F452" s="24"/>
      <c r="G452" s="72"/>
      <c r="N452" s="56"/>
      <c r="O452" s="64"/>
    </row>
    <row r="453">
      <c r="B453" s="18"/>
      <c r="C453" s="18"/>
      <c r="D453" s="18"/>
      <c r="E453" s="22"/>
      <c r="F453" s="24"/>
      <c r="G453" s="72"/>
      <c r="N453" s="56"/>
      <c r="O453" s="64"/>
    </row>
    <row r="454">
      <c r="B454" s="18"/>
      <c r="C454" s="18"/>
      <c r="D454" s="18"/>
      <c r="E454" s="22"/>
      <c r="F454" s="24"/>
      <c r="G454" s="72"/>
      <c r="N454" s="56"/>
      <c r="O454" s="64"/>
    </row>
    <row r="455">
      <c r="B455" s="18"/>
      <c r="C455" s="18"/>
      <c r="D455" s="18"/>
      <c r="E455" s="22"/>
      <c r="F455" s="24"/>
      <c r="G455" s="72"/>
      <c r="N455" s="56"/>
      <c r="O455" s="64"/>
    </row>
    <row r="456">
      <c r="B456" s="18"/>
      <c r="C456" s="18"/>
      <c r="D456" s="18"/>
      <c r="E456" s="22"/>
      <c r="F456" s="24"/>
      <c r="G456" s="72"/>
      <c r="N456" s="56"/>
      <c r="O456" s="64"/>
    </row>
    <row r="457">
      <c r="B457" s="18"/>
      <c r="C457" s="18"/>
      <c r="D457" s="18"/>
      <c r="E457" s="22"/>
      <c r="F457" s="24"/>
      <c r="G457" s="72"/>
      <c r="N457" s="56"/>
      <c r="O457" s="64"/>
    </row>
    <row r="458">
      <c r="B458" s="18"/>
      <c r="C458" s="18"/>
      <c r="D458" s="18"/>
      <c r="E458" s="22"/>
      <c r="F458" s="24"/>
      <c r="G458" s="72"/>
      <c r="N458" s="56"/>
      <c r="O458" s="64"/>
    </row>
    <row r="459">
      <c r="B459" s="18"/>
      <c r="C459" s="18"/>
      <c r="D459" s="18"/>
      <c r="E459" s="22"/>
      <c r="F459" s="24"/>
      <c r="G459" s="72"/>
      <c r="N459" s="56"/>
      <c r="O459" s="64"/>
    </row>
    <row r="460">
      <c r="B460" s="18"/>
      <c r="C460" s="18"/>
      <c r="D460" s="18"/>
      <c r="E460" s="22"/>
      <c r="F460" s="24"/>
      <c r="G460" s="72"/>
      <c r="N460" s="56"/>
      <c r="O460" s="64"/>
    </row>
    <row r="461">
      <c r="B461" s="18"/>
      <c r="C461" s="18"/>
      <c r="D461" s="18"/>
      <c r="E461" s="22"/>
      <c r="F461" s="24"/>
      <c r="G461" s="72"/>
      <c r="N461" s="56"/>
      <c r="O461" s="64"/>
    </row>
    <row r="462">
      <c r="B462" s="18"/>
      <c r="C462" s="18"/>
      <c r="D462" s="18"/>
      <c r="E462" s="22"/>
      <c r="F462" s="24"/>
      <c r="G462" s="72"/>
      <c r="N462" s="56"/>
      <c r="O462" s="64"/>
    </row>
    <row r="463">
      <c r="B463" s="18"/>
      <c r="C463" s="18"/>
      <c r="D463" s="18"/>
      <c r="E463" s="22"/>
      <c r="F463" s="24"/>
      <c r="G463" s="72"/>
      <c r="N463" s="56"/>
      <c r="O463" s="64"/>
    </row>
    <row r="464">
      <c r="B464" s="18"/>
      <c r="C464" s="18"/>
      <c r="D464" s="18"/>
      <c r="E464" s="22"/>
      <c r="F464" s="24"/>
      <c r="G464" s="72"/>
      <c r="N464" s="56"/>
      <c r="O464" s="64"/>
    </row>
    <row r="465">
      <c r="B465" s="18"/>
      <c r="C465" s="18"/>
      <c r="D465" s="18"/>
      <c r="E465" s="22"/>
      <c r="F465" s="24"/>
      <c r="G465" s="72"/>
      <c r="N465" s="56"/>
      <c r="O465" s="64"/>
    </row>
    <row r="466">
      <c r="B466" s="18"/>
      <c r="C466" s="18"/>
      <c r="D466" s="18"/>
      <c r="E466" s="22"/>
      <c r="F466" s="24"/>
      <c r="G466" s="72"/>
      <c r="N466" s="56"/>
      <c r="O466" s="64"/>
    </row>
    <row r="467">
      <c r="B467" s="18"/>
      <c r="C467" s="18"/>
      <c r="D467" s="18"/>
      <c r="E467" s="22"/>
      <c r="F467" s="24"/>
      <c r="G467" s="72"/>
      <c r="N467" s="56"/>
      <c r="O467" s="64"/>
    </row>
    <row r="468">
      <c r="B468" s="18"/>
      <c r="C468" s="18"/>
      <c r="D468" s="18"/>
      <c r="E468" s="22"/>
      <c r="F468" s="24"/>
      <c r="G468" s="72"/>
      <c r="N468" s="56"/>
      <c r="O468" s="64"/>
    </row>
    <row r="469">
      <c r="B469" s="18"/>
      <c r="C469" s="18"/>
      <c r="D469" s="18"/>
      <c r="E469" s="22"/>
      <c r="F469" s="24"/>
      <c r="G469" s="72"/>
      <c r="N469" s="56"/>
      <c r="O469" s="64"/>
    </row>
    <row r="470">
      <c r="B470" s="18"/>
      <c r="C470" s="18"/>
      <c r="D470" s="18"/>
      <c r="E470" s="22"/>
      <c r="F470" s="24"/>
      <c r="G470" s="72"/>
      <c r="N470" s="56"/>
      <c r="O470" s="64"/>
    </row>
    <row r="471">
      <c r="B471" s="18"/>
      <c r="C471" s="18"/>
      <c r="D471" s="18"/>
      <c r="E471" s="22"/>
      <c r="F471" s="24"/>
      <c r="G471" s="72"/>
      <c r="N471" s="56"/>
      <c r="O471" s="64"/>
    </row>
    <row r="472">
      <c r="B472" s="18"/>
      <c r="C472" s="18"/>
      <c r="D472" s="18"/>
      <c r="E472" s="22"/>
      <c r="F472" s="24"/>
      <c r="G472" s="72"/>
      <c r="N472" s="56"/>
      <c r="O472" s="64"/>
    </row>
    <row r="473">
      <c r="B473" s="18"/>
      <c r="C473" s="18"/>
      <c r="D473" s="18"/>
      <c r="E473" s="22"/>
      <c r="F473" s="24"/>
      <c r="G473" s="72"/>
      <c r="N473" s="56"/>
      <c r="O473" s="64"/>
    </row>
    <row r="474">
      <c r="B474" s="18"/>
      <c r="C474" s="18"/>
      <c r="D474" s="18"/>
      <c r="E474" s="22"/>
      <c r="F474" s="24"/>
      <c r="G474" s="72"/>
      <c r="N474" s="56"/>
      <c r="O474" s="64"/>
    </row>
    <row r="475">
      <c r="B475" s="18"/>
      <c r="C475" s="18"/>
      <c r="D475" s="18"/>
      <c r="E475" s="22"/>
      <c r="F475" s="24"/>
      <c r="G475" s="72"/>
      <c r="N475" s="56"/>
      <c r="O475" s="64"/>
    </row>
    <row r="476">
      <c r="B476" s="18"/>
      <c r="C476" s="18"/>
      <c r="D476" s="18"/>
      <c r="E476" s="22"/>
      <c r="F476" s="24"/>
      <c r="G476" s="72"/>
      <c r="N476" s="56"/>
      <c r="O476" s="64"/>
    </row>
    <row r="477">
      <c r="B477" s="18"/>
      <c r="C477" s="18"/>
      <c r="D477" s="18"/>
      <c r="E477" s="22"/>
      <c r="F477" s="24"/>
      <c r="G477" s="72"/>
      <c r="N477" s="56"/>
      <c r="O477" s="64"/>
    </row>
    <row r="478">
      <c r="B478" s="18"/>
      <c r="C478" s="18"/>
      <c r="D478" s="18"/>
      <c r="E478" s="22"/>
      <c r="F478" s="24"/>
      <c r="G478" s="72"/>
      <c r="N478" s="56"/>
      <c r="O478" s="64"/>
    </row>
    <row r="479">
      <c r="B479" s="18"/>
      <c r="C479" s="18"/>
      <c r="D479" s="18"/>
      <c r="E479" s="22"/>
      <c r="F479" s="24"/>
      <c r="G479" s="72"/>
      <c r="N479" s="56"/>
      <c r="O479" s="64"/>
    </row>
    <row r="480">
      <c r="B480" s="18"/>
      <c r="C480" s="18"/>
      <c r="D480" s="18"/>
      <c r="E480" s="22"/>
      <c r="F480" s="24"/>
      <c r="G480" s="72"/>
      <c r="N480" s="56"/>
      <c r="O480" s="64"/>
    </row>
    <row r="481">
      <c r="B481" s="18"/>
      <c r="C481" s="18"/>
      <c r="D481" s="18"/>
      <c r="E481" s="22"/>
      <c r="F481" s="24"/>
      <c r="G481" s="72"/>
      <c r="N481" s="56"/>
      <c r="O481" s="64"/>
    </row>
    <row r="482">
      <c r="B482" s="18"/>
      <c r="C482" s="18"/>
      <c r="D482" s="18"/>
      <c r="E482" s="22"/>
      <c r="F482" s="24"/>
      <c r="G482" s="72"/>
      <c r="N482" s="56"/>
      <c r="O482" s="64"/>
    </row>
    <row r="483">
      <c r="B483" s="18"/>
      <c r="C483" s="18"/>
      <c r="D483" s="18"/>
      <c r="E483" s="22"/>
      <c r="F483" s="24"/>
      <c r="G483" s="72"/>
      <c r="N483" s="56"/>
      <c r="O483" s="64"/>
    </row>
    <row r="484">
      <c r="B484" s="18"/>
      <c r="C484" s="18"/>
      <c r="D484" s="18"/>
      <c r="E484" s="22"/>
      <c r="F484" s="24"/>
      <c r="G484" s="72"/>
      <c r="N484" s="56"/>
      <c r="O484" s="64"/>
    </row>
    <row r="485">
      <c r="B485" s="18"/>
      <c r="C485" s="18"/>
      <c r="D485" s="18"/>
      <c r="E485" s="22"/>
      <c r="F485" s="24"/>
      <c r="G485" s="72"/>
      <c r="N485" s="56"/>
      <c r="O485" s="64"/>
    </row>
    <row r="486">
      <c r="B486" s="18"/>
      <c r="C486" s="18"/>
      <c r="D486" s="18"/>
      <c r="E486" s="22"/>
      <c r="F486" s="24"/>
      <c r="G486" s="72"/>
      <c r="N486" s="56"/>
      <c r="O486" s="64"/>
    </row>
    <row r="487">
      <c r="B487" s="18"/>
      <c r="C487" s="18"/>
      <c r="D487" s="18"/>
      <c r="E487" s="22"/>
      <c r="F487" s="24"/>
      <c r="G487" s="72"/>
      <c r="N487" s="56"/>
      <c r="O487" s="64"/>
    </row>
    <row r="488">
      <c r="B488" s="18"/>
      <c r="C488" s="18"/>
      <c r="D488" s="18"/>
      <c r="E488" s="22"/>
      <c r="F488" s="24"/>
      <c r="G488" s="72"/>
      <c r="N488" s="56"/>
      <c r="O488" s="64"/>
    </row>
    <row r="489">
      <c r="B489" s="18"/>
      <c r="C489" s="18"/>
      <c r="D489" s="18"/>
      <c r="E489" s="22"/>
      <c r="F489" s="24"/>
      <c r="G489" s="72"/>
      <c r="N489" s="56"/>
      <c r="O489" s="64"/>
    </row>
    <row r="490">
      <c r="B490" s="18"/>
      <c r="C490" s="18"/>
      <c r="D490" s="18"/>
      <c r="E490" s="22"/>
      <c r="F490" s="24"/>
      <c r="G490" s="72"/>
      <c r="N490" s="56"/>
      <c r="O490" s="64"/>
    </row>
    <row r="491">
      <c r="B491" s="18"/>
      <c r="C491" s="18"/>
      <c r="D491" s="18"/>
      <c r="E491" s="22"/>
      <c r="F491" s="24"/>
      <c r="G491" s="72"/>
      <c r="N491" s="56"/>
      <c r="O491" s="64"/>
    </row>
    <row r="492">
      <c r="B492" s="18"/>
      <c r="C492" s="18"/>
      <c r="D492" s="18"/>
      <c r="E492" s="22"/>
      <c r="F492" s="24"/>
      <c r="G492" s="72"/>
      <c r="N492" s="56"/>
      <c r="O492" s="64"/>
    </row>
    <row r="493">
      <c r="B493" s="18"/>
      <c r="C493" s="18"/>
      <c r="D493" s="18"/>
      <c r="E493" s="22"/>
      <c r="F493" s="24"/>
      <c r="G493" s="72"/>
      <c r="N493" s="56"/>
      <c r="O493" s="64"/>
    </row>
    <row r="494">
      <c r="B494" s="18"/>
      <c r="C494" s="18"/>
      <c r="D494" s="18"/>
      <c r="E494" s="22"/>
      <c r="F494" s="24"/>
      <c r="G494" s="72"/>
      <c r="N494" s="56"/>
      <c r="O494" s="64"/>
    </row>
    <row r="495">
      <c r="B495" s="18"/>
      <c r="C495" s="18"/>
      <c r="D495" s="18"/>
      <c r="E495" s="22"/>
      <c r="F495" s="24"/>
      <c r="G495" s="72"/>
      <c r="N495" s="56"/>
      <c r="O495" s="64"/>
    </row>
    <row r="496">
      <c r="B496" s="18"/>
      <c r="C496" s="18"/>
      <c r="D496" s="18"/>
      <c r="E496" s="22"/>
      <c r="F496" s="24"/>
      <c r="G496" s="72"/>
      <c r="N496" s="56"/>
      <c r="O496" s="64"/>
    </row>
    <row r="497">
      <c r="B497" s="18"/>
      <c r="C497" s="18"/>
      <c r="D497" s="18"/>
      <c r="E497" s="22"/>
      <c r="F497" s="24"/>
      <c r="G497" s="72"/>
      <c r="N497" s="56"/>
      <c r="O497" s="64"/>
    </row>
    <row r="498">
      <c r="B498" s="18"/>
      <c r="C498" s="18"/>
      <c r="D498" s="18"/>
      <c r="E498" s="22"/>
      <c r="F498" s="24"/>
      <c r="G498" s="72"/>
      <c r="N498" s="56"/>
      <c r="O498" s="64"/>
    </row>
    <row r="499">
      <c r="B499" s="18"/>
      <c r="C499" s="18"/>
      <c r="D499" s="18"/>
      <c r="E499" s="22"/>
      <c r="F499" s="24"/>
      <c r="G499" s="72"/>
      <c r="N499" s="56"/>
      <c r="O499" s="64"/>
    </row>
    <row r="500">
      <c r="B500" s="18"/>
      <c r="C500" s="18"/>
      <c r="D500" s="18"/>
      <c r="E500" s="22"/>
      <c r="F500" s="24"/>
      <c r="G500" s="72"/>
      <c r="N500" s="56"/>
      <c r="O500" s="64"/>
    </row>
    <row r="501">
      <c r="B501" s="18"/>
      <c r="C501" s="18"/>
      <c r="D501" s="18"/>
      <c r="E501" s="22"/>
      <c r="F501" s="24"/>
      <c r="G501" s="72"/>
      <c r="N501" s="56"/>
      <c r="O501" s="64"/>
    </row>
    <row r="502">
      <c r="B502" s="18"/>
      <c r="C502" s="18"/>
      <c r="D502" s="18"/>
      <c r="E502" s="22"/>
      <c r="F502" s="24"/>
      <c r="G502" s="72"/>
      <c r="N502" s="56"/>
      <c r="O502" s="64"/>
    </row>
    <row r="503">
      <c r="B503" s="18"/>
      <c r="C503" s="18"/>
      <c r="D503" s="18"/>
      <c r="E503" s="22"/>
      <c r="F503" s="24"/>
      <c r="G503" s="72"/>
      <c r="N503" s="56"/>
      <c r="O503" s="64"/>
    </row>
    <row r="504">
      <c r="B504" s="18"/>
      <c r="C504" s="18"/>
      <c r="D504" s="18"/>
      <c r="E504" s="22"/>
      <c r="F504" s="24"/>
      <c r="G504" s="72"/>
      <c r="N504" s="56"/>
      <c r="O504" s="64"/>
    </row>
    <row r="505">
      <c r="B505" s="18"/>
      <c r="C505" s="18"/>
      <c r="D505" s="18"/>
      <c r="E505" s="22"/>
      <c r="F505" s="24"/>
      <c r="G505" s="72"/>
      <c r="N505" s="56"/>
      <c r="O505" s="64"/>
    </row>
    <row r="506">
      <c r="B506" s="18"/>
      <c r="C506" s="18"/>
      <c r="D506" s="18"/>
      <c r="E506" s="22"/>
      <c r="F506" s="24"/>
      <c r="G506" s="72"/>
      <c r="N506" s="56"/>
      <c r="O506" s="64"/>
    </row>
    <row r="507">
      <c r="B507" s="18"/>
      <c r="C507" s="18"/>
      <c r="D507" s="18"/>
      <c r="E507" s="22"/>
      <c r="F507" s="24"/>
      <c r="G507" s="72"/>
      <c r="N507" s="56"/>
      <c r="O507" s="64"/>
    </row>
    <row r="508">
      <c r="B508" s="18"/>
      <c r="C508" s="18"/>
      <c r="D508" s="18"/>
      <c r="E508" s="22"/>
      <c r="F508" s="24"/>
      <c r="G508" s="72"/>
      <c r="N508" s="56"/>
      <c r="O508" s="64"/>
    </row>
    <row r="509">
      <c r="B509" s="18"/>
      <c r="C509" s="18"/>
      <c r="D509" s="18"/>
      <c r="E509" s="22"/>
      <c r="F509" s="24"/>
      <c r="G509" s="72"/>
      <c r="N509" s="56"/>
      <c r="O509" s="64"/>
    </row>
    <row r="510">
      <c r="B510" s="18"/>
      <c r="C510" s="18"/>
      <c r="D510" s="18"/>
      <c r="E510" s="22"/>
      <c r="F510" s="24"/>
      <c r="G510" s="72"/>
      <c r="N510" s="56"/>
      <c r="O510" s="64"/>
    </row>
    <row r="511">
      <c r="B511" s="18"/>
      <c r="C511" s="18"/>
      <c r="D511" s="18"/>
      <c r="E511" s="22"/>
      <c r="F511" s="24"/>
      <c r="G511" s="72"/>
      <c r="N511" s="56"/>
      <c r="O511" s="64"/>
    </row>
    <row r="512">
      <c r="B512" s="18"/>
      <c r="C512" s="18"/>
      <c r="D512" s="18"/>
      <c r="E512" s="22"/>
      <c r="F512" s="24"/>
      <c r="G512" s="72"/>
      <c r="N512" s="56"/>
      <c r="O512" s="64"/>
    </row>
    <row r="513">
      <c r="B513" s="18"/>
      <c r="C513" s="18"/>
      <c r="D513" s="18"/>
      <c r="E513" s="22"/>
      <c r="F513" s="24"/>
      <c r="G513" s="72"/>
      <c r="N513" s="56"/>
      <c r="O513" s="64"/>
    </row>
    <row r="514">
      <c r="B514" s="18"/>
      <c r="C514" s="18"/>
      <c r="D514" s="18"/>
      <c r="E514" s="22"/>
      <c r="F514" s="24"/>
      <c r="G514" s="72"/>
      <c r="N514" s="56"/>
      <c r="O514" s="64"/>
    </row>
    <row r="515">
      <c r="B515" s="18"/>
      <c r="C515" s="18"/>
      <c r="D515" s="18"/>
      <c r="E515" s="22"/>
      <c r="F515" s="24"/>
      <c r="G515" s="72"/>
      <c r="N515" s="56"/>
      <c r="O515" s="64"/>
    </row>
    <row r="516">
      <c r="B516" s="18"/>
      <c r="C516" s="18"/>
      <c r="D516" s="18"/>
      <c r="E516" s="22"/>
      <c r="F516" s="24"/>
      <c r="G516" s="72"/>
      <c r="N516" s="56"/>
      <c r="O516" s="64"/>
    </row>
    <row r="517">
      <c r="B517" s="18"/>
      <c r="C517" s="18"/>
      <c r="D517" s="18"/>
      <c r="E517" s="22"/>
      <c r="F517" s="24"/>
      <c r="G517" s="72"/>
      <c r="N517" s="56"/>
      <c r="O517" s="64"/>
    </row>
    <row r="518">
      <c r="B518" s="18"/>
      <c r="C518" s="18"/>
      <c r="D518" s="18"/>
      <c r="E518" s="22"/>
      <c r="F518" s="24"/>
      <c r="G518" s="72"/>
      <c r="N518" s="56"/>
      <c r="O518" s="64"/>
    </row>
    <row r="519">
      <c r="B519" s="18"/>
      <c r="C519" s="18"/>
      <c r="D519" s="18"/>
      <c r="E519" s="22"/>
      <c r="F519" s="24"/>
      <c r="G519" s="72"/>
      <c r="N519" s="56"/>
      <c r="O519" s="64"/>
    </row>
    <row r="520">
      <c r="B520" s="18"/>
      <c r="C520" s="18"/>
      <c r="D520" s="18"/>
      <c r="E520" s="22"/>
      <c r="F520" s="24"/>
      <c r="G520" s="72"/>
      <c r="N520" s="56"/>
      <c r="O520" s="64"/>
    </row>
    <row r="521">
      <c r="B521" s="18"/>
      <c r="C521" s="18"/>
      <c r="D521" s="18"/>
      <c r="E521" s="22"/>
      <c r="F521" s="24"/>
      <c r="G521" s="72"/>
      <c r="N521" s="56"/>
      <c r="O521" s="64"/>
    </row>
    <row r="522">
      <c r="B522" s="18"/>
      <c r="C522" s="18"/>
      <c r="D522" s="18"/>
      <c r="E522" s="22"/>
      <c r="F522" s="24"/>
      <c r="G522" s="72"/>
      <c r="N522" s="56"/>
      <c r="O522" s="64"/>
    </row>
    <row r="523">
      <c r="B523" s="18"/>
      <c r="C523" s="18"/>
      <c r="D523" s="18"/>
      <c r="E523" s="22"/>
      <c r="F523" s="24"/>
      <c r="G523" s="72"/>
      <c r="N523" s="56"/>
      <c r="O523" s="64"/>
    </row>
    <row r="524">
      <c r="B524" s="18"/>
      <c r="C524" s="18"/>
      <c r="D524" s="18"/>
      <c r="E524" s="22"/>
      <c r="F524" s="24"/>
      <c r="G524" s="72"/>
      <c r="N524" s="56"/>
      <c r="O524" s="64"/>
    </row>
    <row r="525">
      <c r="B525" s="18"/>
      <c r="C525" s="18"/>
      <c r="D525" s="18"/>
      <c r="E525" s="22"/>
      <c r="F525" s="24"/>
      <c r="G525" s="72"/>
      <c r="N525" s="56"/>
      <c r="O525" s="64"/>
    </row>
    <row r="526">
      <c r="B526" s="18"/>
      <c r="C526" s="18"/>
      <c r="D526" s="18"/>
      <c r="E526" s="22"/>
      <c r="F526" s="24"/>
      <c r="G526" s="72"/>
      <c r="N526" s="56"/>
      <c r="O526" s="64"/>
    </row>
    <row r="527">
      <c r="B527" s="18"/>
      <c r="C527" s="18"/>
      <c r="D527" s="18"/>
      <c r="E527" s="22"/>
      <c r="F527" s="24"/>
      <c r="G527" s="72"/>
      <c r="N527" s="56"/>
      <c r="O527" s="64"/>
    </row>
    <row r="528">
      <c r="B528" s="18"/>
      <c r="C528" s="18"/>
      <c r="D528" s="18"/>
      <c r="E528" s="22"/>
      <c r="F528" s="24"/>
      <c r="G528" s="72"/>
      <c r="N528" s="56"/>
      <c r="O528" s="64"/>
    </row>
    <row r="529">
      <c r="B529" s="18"/>
      <c r="C529" s="18"/>
      <c r="D529" s="18"/>
      <c r="E529" s="22"/>
      <c r="F529" s="24"/>
      <c r="G529" s="72"/>
      <c r="N529" s="56"/>
      <c r="O529" s="64"/>
    </row>
    <row r="530">
      <c r="B530" s="18"/>
      <c r="C530" s="18"/>
      <c r="D530" s="18"/>
      <c r="E530" s="22"/>
      <c r="F530" s="24"/>
      <c r="G530" s="72"/>
      <c r="N530" s="56"/>
      <c r="O530" s="64"/>
    </row>
    <row r="531">
      <c r="B531" s="18"/>
      <c r="C531" s="18"/>
      <c r="D531" s="18"/>
      <c r="E531" s="22"/>
      <c r="F531" s="24"/>
      <c r="G531" s="72"/>
      <c r="N531" s="56"/>
      <c r="O531" s="64"/>
    </row>
    <row r="532">
      <c r="B532" s="18"/>
      <c r="C532" s="18"/>
      <c r="D532" s="18"/>
      <c r="E532" s="22"/>
      <c r="F532" s="24"/>
      <c r="G532" s="72"/>
      <c r="N532" s="56"/>
      <c r="O532" s="64"/>
    </row>
    <row r="533">
      <c r="B533" s="18"/>
      <c r="C533" s="18"/>
      <c r="D533" s="18"/>
      <c r="E533" s="22"/>
      <c r="F533" s="24"/>
      <c r="G533" s="72"/>
      <c r="N533" s="56"/>
      <c r="O533" s="64"/>
    </row>
    <row r="534">
      <c r="B534" s="18"/>
      <c r="C534" s="18"/>
      <c r="D534" s="18"/>
      <c r="E534" s="22"/>
      <c r="F534" s="24"/>
      <c r="G534" s="72"/>
      <c r="N534" s="56"/>
      <c r="O534" s="64"/>
    </row>
    <row r="535">
      <c r="B535" s="18"/>
      <c r="C535" s="18"/>
      <c r="D535" s="18"/>
      <c r="E535" s="22"/>
      <c r="F535" s="24"/>
      <c r="G535" s="72"/>
      <c r="N535" s="56"/>
      <c r="O535" s="64"/>
    </row>
    <row r="536">
      <c r="B536" s="18"/>
      <c r="C536" s="18"/>
      <c r="D536" s="18"/>
      <c r="E536" s="22"/>
      <c r="F536" s="24"/>
      <c r="G536" s="72"/>
      <c r="N536" s="56"/>
      <c r="O536" s="64"/>
    </row>
    <row r="537">
      <c r="B537" s="18"/>
      <c r="C537" s="18"/>
      <c r="D537" s="18"/>
      <c r="E537" s="22"/>
      <c r="F537" s="24"/>
      <c r="G537" s="72"/>
      <c r="N537" s="56"/>
      <c r="O537" s="64"/>
    </row>
    <row r="538">
      <c r="B538" s="18"/>
      <c r="C538" s="18"/>
      <c r="D538" s="18"/>
      <c r="E538" s="22"/>
      <c r="F538" s="24"/>
      <c r="G538" s="72"/>
      <c r="N538" s="56"/>
      <c r="O538" s="64"/>
    </row>
    <row r="539">
      <c r="B539" s="18"/>
      <c r="C539" s="18"/>
      <c r="D539" s="18"/>
      <c r="E539" s="22"/>
      <c r="F539" s="24"/>
      <c r="G539" s="72"/>
      <c r="N539" s="56"/>
      <c r="O539" s="64"/>
    </row>
    <row r="540">
      <c r="B540" s="18"/>
      <c r="C540" s="18"/>
      <c r="D540" s="18"/>
      <c r="E540" s="22"/>
      <c r="F540" s="24"/>
      <c r="G540" s="72"/>
      <c r="N540" s="56"/>
      <c r="O540" s="64"/>
    </row>
    <row r="541">
      <c r="B541" s="18"/>
      <c r="C541" s="18"/>
      <c r="D541" s="18"/>
      <c r="E541" s="22"/>
      <c r="F541" s="24"/>
      <c r="G541" s="72"/>
      <c r="N541" s="56"/>
      <c r="O541" s="64"/>
    </row>
    <row r="542">
      <c r="B542" s="18"/>
      <c r="C542" s="18"/>
      <c r="D542" s="18"/>
      <c r="E542" s="22"/>
      <c r="F542" s="24"/>
      <c r="G542" s="72"/>
      <c r="N542" s="56"/>
      <c r="O542" s="64"/>
    </row>
    <row r="543">
      <c r="B543" s="18"/>
      <c r="C543" s="18"/>
      <c r="D543" s="18"/>
      <c r="E543" s="22"/>
      <c r="F543" s="24"/>
      <c r="G543" s="72"/>
      <c r="N543" s="56"/>
      <c r="O543" s="64"/>
    </row>
    <row r="544">
      <c r="B544" s="18"/>
      <c r="C544" s="18"/>
      <c r="D544" s="18"/>
      <c r="E544" s="22"/>
      <c r="F544" s="24"/>
      <c r="G544" s="72"/>
      <c r="N544" s="56"/>
      <c r="O544" s="64"/>
    </row>
    <row r="545">
      <c r="B545" s="18"/>
      <c r="C545" s="18"/>
      <c r="D545" s="18"/>
      <c r="E545" s="22"/>
      <c r="F545" s="24"/>
      <c r="G545" s="72"/>
      <c r="N545" s="56"/>
      <c r="O545" s="64"/>
    </row>
    <row r="546">
      <c r="B546" s="18"/>
      <c r="C546" s="18"/>
      <c r="D546" s="18"/>
      <c r="E546" s="22"/>
      <c r="F546" s="24"/>
      <c r="G546" s="72"/>
      <c r="N546" s="56"/>
      <c r="O546" s="64"/>
    </row>
    <row r="547">
      <c r="B547" s="18"/>
      <c r="C547" s="18"/>
      <c r="D547" s="18"/>
      <c r="E547" s="22"/>
      <c r="F547" s="24"/>
      <c r="G547" s="72"/>
      <c r="N547" s="56"/>
      <c r="O547" s="64"/>
    </row>
    <row r="548">
      <c r="B548" s="18"/>
      <c r="C548" s="18"/>
      <c r="D548" s="18"/>
      <c r="E548" s="22"/>
      <c r="F548" s="24"/>
      <c r="G548" s="72"/>
      <c r="N548" s="56"/>
      <c r="O548" s="64"/>
    </row>
    <row r="549">
      <c r="B549" s="18"/>
      <c r="C549" s="18"/>
      <c r="D549" s="18"/>
      <c r="E549" s="22"/>
      <c r="F549" s="24"/>
      <c r="G549" s="72"/>
      <c r="N549" s="56"/>
      <c r="O549" s="64"/>
    </row>
    <row r="550">
      <c r="B550" s="18"/>
      <c r="C550" s="18"/>
      <c r="D550" s="18"/>
      <c r="E550" s="22"/>
      <c r="F550" s="24"/>
      <c r="G550" s="72"/>
      <c r="N550" s="56"/>
      <c r="O550" s="64"/>
    </row>
    <row r="551">
      <c r="B551" s="18"/>
      <c r="C551" s="18"/>
      <c r="D551" s="18"/>
      <c r="E551" s="22"/>
      <c r="F551" s="24"/>
      <c r="G551" s="72"/>
      <c r="N551" s="56"/>
      <c r="O551" s="64"/>
    </row>
    <row r="552">
      <c r="B552" s="18"/>
      <c r="C552" s="18"/>
      <c r="D552" s="18"/>
      <c r="E552" s="22"/>
      <c r="F552" s="24"/>
      <c r="G552" s="72"/>
      <c r="N552" s="56"/>
      <c r="O552" s="64"/>
    </row>
    <row r="553">
      <c r="B553" s="18"/>
      <c r="C553" s="18"/>
      <c r="D553" s="18"/>
      <c r="E553" s="22"/>
      <c r="F553" s="24"/>
      <c r="G553" s="72"/>
      <c r="N553" s="56"/>
      <c r="O553" s="64"/>
    </row>
    <row r="554">
      <c r="B554" s="18"/>
      <c r="C554" s="18"/>
      <c r="D554" s="18"/>
      <c r="E554" s="22"/>
      <c r="F554" s="24"/>
      <c r="G554" s="72"/>
      <c r="N554" s="56"/>
      <c r="O554" s="64"/>
    </row>
    <row r="555">
      <c r="B555" s="18"/>
      <c r="C555" s="18"/>
      <c r="D555" s="18"/>
      <c r="E555" s="22"/>
      <c r="F555" s="24"/>
      <c r="G555" s="72"/>
      <c r="N555" s="56"/>
      <c r="O555" s="64"/>
    </row>
    <row r="556">
      <c r="B556" s="18"/>
      <c r="C556" s="18"/>
      <c r="D556" s="18"/>
      <c r="E556" s="22"/>
      <c r="F556" s="24"/>
      <c r="G556" s="72"/>
      <c r="N556" s="56"/>
      <c r="O556" s="64"/>
    </row>
    <row r="557">
      <c r="B557" s="18"/>
      <c r="C557" s="18"/>
      <c r="D557" s="18"/>
      <c r="E557" s="22"/>
      <c r="F557" s="24"/>
      <c r="G557" s="72"/>
      <c r="N557" s="56"/>
      <c r="O557" s="64"/>
    </row>
    <row r="558">
      <c r="B558" s="18"/>
      <c r="C558" s="18"/>
      <c r="D558" s="18"/>
      <c r="E558" s="22"/>
      <c r="F558" s="24"/>
      <c r="G558" s="72"/>
      <c r="N558" s="56"/>
      <c r="O558" s="64"/>
    </row>
    <row r="559">
      <c r="B559" s="18"/>
      <c r="C559" s="18"/>
      <c r="D559" s="18"/>
      <c r="E559" s="22"/>
      <c r="F559" s="24"/>
      <c r="G559" s="72"/>
      <c r="N559" s="56"/>
      <c r="O559" s="64"/>
    </row>
    <row r="560">
      <c r="B560" s="18"/>
      <c r="C560" s="18"/>
      <c r="D560" s="18"/>
      <c r="E560" s="22"/>
      <c r="F560" s="24"/>
      <c r="G560" s="72"/>
      <c r="N560" s="56"/>
      <c r="O560" s="64"/>
    </row>
    <row r="561">
      <c r="B561" s="18"/>
      <c r="C561" s="18"/>
      <c r="D561" s="18"/>
      <c r="E561" s="22"/>
      <c r="F561" s="24"/>
      <c r="G561" s="72"/>
      <c r="N561" s="56"/>
      <c r="O561" s="64"/>
    </row>
    <row r="562">
      <c r="B562" s="18"/>
      <c r="C562" s="18"/>
      <c r="D562" s="18"/>
      <c r="E562" s="22"/>
      <c r="F562" s="24"/>
      <c r="G562" s="72"/>
      <c r="N562" s="56"/>
      <c r="O562" s="64"/>
    </row>
    <row r="563">
      <c r="B563" s="18"/>
      <c r="C563" s="18"/>
      <c r="D563" s="18"/>
      <c r="E563" s="22"/>
      <c r="F563" s="24"/>
      <c r="G563" s="72"/>
      <c r="N563" s="56"/>
      <c r="O563" s="64"/>
    </row>
    <row r="564">
      <c r="B564" s="18"/>
      <c r="C564" s="18"/>
      <c r="D564" s="18"/>
      <c r="E564" s="22"/>
      <c r="F564" s="24"/>
      <c r="G564" s="72"/>
      <c r="N564" s="56"/>
      <c r="O564" s="64"/>
    </row>
    <row r="565">
      <c r="B565" s="18"/>
      <c r="C565" s="18"/>
      <c r="D565" s="18"/>
      <c r="E565" s="22"/>
      <c r="F565" s="24"/>
      <c r="G565" s="72"/>
      <c r="N565" s="56"/>
      <c r="O565" s="64"/>
    </row>
    <row r="566">
      <c r="B566" s="18"/>
      <c r="C566" s="18"/>
      <c r="D566" s="18"/>
      <c r="E566" s="22"/>
      <c r="F566" s="24"/>
      <c r="G566" s="72"/>
      <c r="N566" s="56"/>
      <c r="O566" s="64"/>
    </row>
    <row r="567">
      <c r="B567" s="18"/>
      <c r="C567" s="18"/>
      <c r="D567" s="18"/>
      <c r="E567" s="22"/>
      <c r="F567" s="24"/>
      <c r="G567" s="72"/>
      <c r="N567" s="56"/>
      <c r="O567" s="64"/>
    </row>
    <row r="568">
      <c r="B568" s="18"/>
      <c r="C568" s="18"/>
      <c r="D568" s="18"/>
      <c r="E568" s="22"/>
      <c r="F568" s="24"/>
      <c r="G568" s="72"/>
      <c r="N568" s="56"/>
      <c r="O568" s="64"/>
    </row>
    <row r="569">
      <c r="B569" s="18"/>
      <c r="C569" s="18"/>
      <c r="D569" s="18"/>
      <c r="E569" s="22"/>
      <c r="F569" s="24"/>
      <c r="G569" s="72"/>
      <c r="N569" s="56"/>
      <c r="O569" s="64"/>
    </row>
    <row r="570">
      <c r="B570" s="18"/>
      <c r="C570" s="18"/>
      <c r="D570" s="18"/>
      <c r="E570" s="22"/>
      <c r="F570" s="24"/>
      <c r="G570" s="72"/>
      <c r="N570" s="56"/>
      <c r="O570" s="64"/>
    </row>
    <row r="571">
      <c r="B571" s="18"/>
      <c r="C571" s="18"/>
      <c r="D571" s="18"/>
      <c r="E571" s="22"/>
      <c r="F571" s="24"/>
      <c r="G571" s="72"/>
      <c r="N571" s="56"/>
      <c r="O571" s="64"/>
    </row>
    <row r="572">
      <c r="B572" s="18"/>
      <c r="C572" s="18"/>
      <c r="D572" s="18"/>
      <c r="E572" s="22"/>
      <c r="F572" s="24"/>
      <c r="G572" s="72"/>
      <c r="N572" s="56"/>
      <c r="O572" s="64"/>
    </row>
    <row r="573">
      <c r="B573" s="18"/>
      <c r="C573" s="18"/>
      <c r="D573" s="18"/>
      <c r="E573" s="22"/>
      <c r="F573" s="24"/>
      <c r="G573" s="72"/>
      <c r="N573" s="56"/>
      <c r="O573" s="64"/>
    </row>
    <row r="574">
      <c r="B574" s="18"/>
      <c r="C574" s="18"/>
      <c r="D574" s="18"/>
      <c r="E574" s="22"/>
      <c r="F574" s="24"/>
      <c r="G574" s="72"/>
      <c r="N574" s="56"/>
      <c r="O574" s="64"/>
    </row>
    <row r="575">
      <c r="B575" s="18"/>
      <c r="C575" s="18"/>
      <c r="D575" s="18"/>
      <c r="E575" s="22"/>
      <c r="F575" s="24"/>
      <c r="G575" s="72"/>
      <c r="N575" s="56"/>
      <c r="O575" s="64"/>
    </row>
    <row r="576">
      <c r="B576" s="18"/>
      <c r="C576" s="18"/>
      <c r="D576" s="18"/>
      <c r="E576" s="22"/>
      <c r="F576" s="24"/>
      <c r="G576" s="72"/>
      <c r="N576" s="56"/>
      <c r="O576" s="64"/>
    </row>
    <row r="577">
      <c r="B577" s="18"/>
      <c r="C577" s="18"/>
      <c r="D577" s="18"/>
      <c r="E577" s="22"/>
      <c r="F577" s="24"/>
      <c r="G577" s="72"/>
      <c r="N577" s="56"/>
      <c r="O577" s="64"/>
    </row>
    <row r="578">
      <c r="B578" s="18"/>
      <c r="C578" s="18"/>
      <c r="D578" s="18"/>
      <c r="E578" s="22"/>
      <c r="F578" s="24"/>
      <c r="G578" s="72"/>
      <c r="N578" s="56"/>
      <c r="O578" s="64"/>
    </row>
    <row r="579">
      <c r="B579" s="18"/>
      <c r="C579" s="18"/>
      <c r="D579" s="18"/>
      <c r="E579" s="22"/>
      <c r="F579" s="24"/>
      <c r="G579" s="72"/>
      <c r="N579" s="56"/>
      <c r="O579" s="64"/>
    </row>
    <row r="580">
      <c r="B580" s="18"/>
      <c r="C580" s="18"/>
      <c r="D580" s="18"/>
      <c r="E580" s="22"/>
      <c r="F580" s="24"/>
      <c r="G580" s="72"/>
      <c r="N580" s="56"/>
      <c r="O580" s="64"/>
    </row>
    <row r="581">
      <c r="B581" s="18"/>
      <c r="C581" s="18"/>
      <c r="D581" s="18"/>
      <c r="E581" s="22"/>
      <c r="F581" s="24"/>
      <c r="G581" s="72"/>
      <c r="N581" s="56"/>
      <c r="O581" s="64"/>
    </row>
    <row r="582">
      <c r="B582" s="18"/>
      <c r="C582" s="18"/>
      <c r="D582" s="18"/>
      <c r="E582" s="22"/>
      <c r="F582" s="24"/>
      <c r="G582" s="72"/>
      <c r="N582" s="56"/>
      <c r="O582" s="64"/>
    </row>
    <row r="583">
      <c r="B583" s="18"/>
      <c r="C583" s="18"/>
      <c r="D583" s="18"/>
      <c r="E583" s="22"/>
      <c r="F583" s="24"/>
      <c r="G583" s="72"/>
      <c r="N583" s="56"/>
      <c r="O583" s="64"/>
    </row>
    <row r="584">
      <c r="B584" s="18"/>
      <c r="C584" s="18"/>
      <c r="D584" s="18"/>
      <c r="E584" s="22"/>
      <c r="F584" s="24"/>
      <c r="G584" s="72"/>
      <c r="N584" s="56"/>
      <c r="O584" s="64"/>
    </row>
    <row r="585">
      <c r="B585" s="18"/>
      <c r="C585" s="18"/>
      <c r="D585" s="18"/>
      <c r="E585" s="22"/>
      <c r="F585" s="24"/>
      <c r="G585" s="72"/>
      <c r="N585" s="56"/>
      <c r="O585" s="64"/>
    </row>
    <row r="586">
      <c r="B586" s="18"/>
      <c r="C586" s="18"/>
      <c r="D586" s="18"/>
      <c r="E586" s="22"/>
      <c r="F586" s="24"/>
      <c r="G586" s="72"/>
      <c r="N586" s="56"/>
      <c r="O586" s="64"/>
    </row>
    <row r="587">
      <c r="B587" s="18"/>
      <c r="C587" s="18"/>
      <c r="D587" s="18"/>
      <c r="E587" s="22"/>
      <c r="F587" s="24"/>
      <c r="G587" s="72"/>
      <c r="N587" s="56"/>
      <c r="O587" s="64"/>
    </row>
    <row r="588">
      <c r="B588" s="18"/>
      <c r="C588" s="18"/>
      <c r="D588" s="18"/>
      <c r="E588" s="22"/>
      <c r="F588" s="24"/>
      <c r="G588" s="72"/>
      <c r="N588" s="56"/>
      <c r="O588" s="64"/>
    </row>
    <row r="589">
      <c r="B589" s="18"/>
      <c r="C589" s="18"/>
      <c r="D589" s="18"/>
      <c r="E589" s="22"/>
      <c r="F589" s="24"/>
      <c r="G589" s="72"/>
      <c r="N589" s="56"/>
      <c r="O589" s="64"/>
    </row>
    <row r="590">
      <c r="B590" s="18"/>
      <c r="C590" s="18"/>
      <c r="D590" s="18"/>
      <c r="E590" s="22"/>
      <c r="F590" s="24"/>
      <c r="G590" s="72"/>
      <c r="N590" s="56"/>
      <c r="O590" s="64"/>
    </row>
    <row r="591">
      <c r="B591" s="18"/>
      <c r="C591" s="18"/>
      <c r="D591" s="18"/>
      <c r="E591" s="22"/>
      <c r="F591" s="24"/>
      <c r="G591" s="72"/>
      <c r="N591" s="56"/>
      <c r="O591" s="64"/>
    </row>
    <row r="592">
      <c r="B592" s="18"/>
      <c r="C592" s="18"/>
      <c r="D592" s="18"/>
      <c r="E592" s="22"/>
      <c r="F592" s="24"/>
      <c r="G592" s="72"/>
      <c r="N592" s="56"/>
      <c r="O592" s="64"/>
    </row>
    <row r="593">
      <c r="B593" s="18"/>
      <c r="C593" s="18"/>
      <c r="D593" s="18"/>
      <c r="E593" s="22"/>
      <c r="F593" s="24"/>
      <c r="G593" s="72"/>
      <c r="N593" s="56"/>
      <c r="O593" s="64"/>
    </row>
    <row r="594">
      <c r="B594" s="18"/>
      <c r="C594" s="18"/>
      <c r="D594" s="18"/>
      <c r="E594" s="22"/>
      <c r="F594" s="24"/>
      <c r="G594" s="72"/>
      <c r="N594" s="56"/>
      <c r="O594" s="64"/>
    </row>
    <row r="595">
      <c r="B595" s="18"/>
      <c r="C595" s="18"/>
      <c r="D595" s="18"/>
      <c r="E595" s="22"/>
      <c r="F595" s="24"/>
      <c r="G595" s="72"/>
      <c r="N595" s="56"/>
      <c r="O595" s="64"/>
    </row>
    <row r="596">
      <c r="B596" s="18"/>
      <c r="C596" s="18"/>
      <c r="D596" s="18"/>
      <c r="E596" s="22"/>
      <c r="F596" s="24"/>
      <c r="G596" s="72"/>
      <c r="N596" s="56"/>
      <c r="O596" s="64"/>
    </row>
    <row r="597">
      <c r="B597" s="18"/>
      <c r="C597" s="18"/>
      <c r="D597" s="18"/>
      <c r="E597" s="22"/>
      <c r="F597" s="24"/>
      <c r="G597" s="72"/>
      <c r="N597" s="56"/>
      <c r="O597" s="64"/>
    </row>
    <row r="598">
      <c r="B598" s="18"/>
      <c r="C598" s="18"/>
      <c r="D598" s="18"/>
      <c r="E598" s="22"/>
      <c r="F598" s="24"/>
      <c r="G598" s="72"/>
      <c r="N598" s="56"/>
      <c r="O598" s="64"/>
    </row>
    <row r="599">
      <c r="B599" s="18"/>
      <c r="C599" s="18"/>
      <c r="D599" s="18"/>
      <c r="E599" s="22"/>
      <c r="F599" s="24"/>
      <c r="G599" s="72"/>
      <c r="N599" s="56"/>
      <c r="O599" s="64"/>
    </row>
    <row r="600">
      <c r="B600" s="18"/>
      <c r="C600" s="18"/>
      <c r="D600" s="18"/>
      <c r="E600" s="22"/>
      <c r="F600" s="24"/>
      <c r="G600" s="72"/>
      <c r="N600" s="56"/>
      <c r="O600" s="64"/>
    </row>
    <row r="601">
      <c r="B601" s="18"/>
      <c r="C601" s="18"/>
      <c r="D601" s="18"/>
      <c r="E601" s="22"/>
      <c r="F601" s="24"/>
      <c r="G601" s="72"/>
      <c r="N601" s="56"/>
      <c r="O601" s="64"/>
    </row>
    <row r="602">
      <c r="B602" s="18"/>
      <c r="C602" s="18"/>
      <c r="D602" s="18"/>
      <c r="E602" s="22"/>
      <c r="F602" s="24"/>
      <c r="G602" s="72"/>
      <c r="N602" s="56"/>
      <c r="O602" s="64"/>
    </row>
    <row r="603">
      <c r="B603" s="18"/>
      <c r="C603" s="18"/>
      <c r="D603" s="18"/>
      <c r="E603" s="22"/>
      <c r="F603" s="24"/>
      <c r="G603" s="72"/>
      <c r="N603" s="56"/>
      <c r="O603" s="64"/>
    </row>
    <row r="604">
      <c r="B604" s="18"/>
      <c r="C604" s="18"/>
      <c r="D604" s="18"/>
      <c r="E604" s="22"/>
      <c r="F604" s="24"/>
      <c r="G604" s="72"/>
      <c r="N604" s="56"/>
      <c r="O604" s="64"/>
    </row>
    <row r="605">
      <c r="B605" s="18"/>
      <c r="C605" s="18"/>
      <c r="D605" s="18"/>
      <c r="E605" s="22"/>
      <c r="F605" s="24"/>
      <c r="G605" s="72"/>
      <c r="N605" s="56"/>
      <c r="O605" s="64"/>
    </row>
    <row r="606">
      <c r="B606" s="18"/>
      <c r="C606" s="18"/>
      <c r="D606" s="18"/>
      <c r="E606" s="22"/>
      <c r="F606" s="24"/>
      <c r="G606" s="72"/>
      <c r="N606" s="56"/>
      <c r="O606" s="64"/>
    </row>
    <row r="607">
      <c r="B607" s="18"/>
      <c r="C607" s="18"/>
      <c r="D607" s="18"/>
      <c r="E607" s="22"/>
      <c r="F607" s="24"/>
      <c r="G607" s="72"/>
      <c r="N607" s="56"/>
      <c r="O607" s="64"/>
    </row>
    <row r="608">
      <c r="B608" s="18"/>
      <c r="C608" s="18"/>
      <c r="D608" s="18"/>
      <c r="E608" s="22"/>
      <c r="F608" s="24"/>
      <c r="G608" s="72"/>
      <c r="N608" s="56"/>
      <c r="O608" s="64"/>
    </row>
    <row r="609">
      <c r="B609" s="18"/>
      <c r="C609" s="18"/>
      <c r="D609" s="18"/>
      <c r="E609" s="22"/>
      <c r="F609" s="24"/>
      <c r="G609" s="72"/>
      <c r="N609" s="56"/>
      <c r="O609" s="64"/>
    </row>
    <row r="610">
      <c r="B610" s="18"/>
      <c r="C610" s="18"/>
      <c r="D610" s="18"/>
      <c r="E610" s="22"/>
      <c r="F610" s="24"/>
      <c r="G610" s="72"/>
      <c r="N610" s="56"/>
      <c r="O610" s="64"/>
    </row>
    <row r="611">
      <c r="B611" s="18"/>
      <c r="C611" s="18"/>
      <c r="D611" s="18"/>
      <c r="E611" s="22"/>
      <c r="F611" s="24"/>
      <c r="G611" s="72"/>
      <c r="N611" s="56"/>
      <c r="O611" s="64"/>
    </row>
    <row r="612">
      <c r="B612" s="18"/>
      <c r="C612" s="18"/>
      <c r="D612" s="18"/>
      <c r="E612" s="22"/>
      <c r="F612" s="24"/>
      <c r="G612" s="72"/>
      <c r="N612" s="56"/>
      <c r="O612" s="64"/>
    </row>
    <row r="613">
      <c r="B613" s="18"/>
      <c r="C613" s="18"/>
      <c r="D613" s="18"/>
      <c r="E613" s="22"/>
      <c r="F613" s="24"/>
      <c r="G613" s="72"/>
      <c r="N613" s="56"/>
      <c r="O613" s="64"/>
    </row>
    <row r="614">
      <c r="B614" s="18"/>
      <c r="C614" s="18"/>
      <c r="D614" s="18"/>
      <c r="E614" s="22"/>
      <c r="F614" s="24"/>
      <c r="G614" s="72"/>
      <c r="N614" s="56"/>
      <c r="O614" s="64"/>
    </row>
    <row r="615">
      <c r="B615" s="18"/>
      <c r="C615" s="18"/>
      <c r="D615" s="18"/>
      <c r="E615" s="22"/>
      <c r="F615" s="24"/>
      <c r="G615" s="72"/>
      <c r="N615" s="56"/>
      <c r="O615" s="64"/>
    </row>
    <row r="616">
      <c r="B616" s="18"/>
      <c r="C616" s="18"/>
      <c r="D616" s="18"/>
      <c r="E616" s="22"/>
      <c r="F616" s="24"/>
      <c r="G616" s="72"/>
      <c r="N616" s="56"/>
      <c r="O616" s="64"/>
    </row>
    <row r="617">
      <c r="B617" s="18"/>
      <c r="C617" s="18"/>
      <c r="D617" s="18"/>
      <c r="E617" s="22"/>
      <c r="F617" s="24"/>
      <c r="G617" s="72"/>
      <c r="N617" s="56"/>
      <c r="O617" s="64"/>
    </row>
    <row r="618">
      <c r="B618" s="18"/>
      <c r="C618" s="18"/>
      <c r="D618" s="18"/>
      <c r="E618" s="22"/>
      <c r="F618" s="24"/>
      <c r="G618" s="72"/>
      <c r="N618" s="56"/>
      <c r="O618" s="64"/>
    </row>
    <row r="619">
      <c r="B619" s="18"/>
      <c r="C619" s="18"/>
      <c r="D619" s="18"/>
      <c r="E619" s="22"/>
      <c r="F619" s="24"/>
      <c r="G619" s="72"/>
      <c r="N619" s="56"/>
      <c r="O619" s="64"/>
    </row>
    <row r="620">
      <c r="B620" s="18"/>
      <c r="C620" s="18"/>
      <c r="D620" s="18"/>
      <c r="E620" s="22"/>
      <c r="F620" s="24"/>
      <c r="G620" s="72"/>
      <c r="N620" s="56"/>
      <c r="O620" s="64"/>
    </row>
    <row r="621">
      <c r="B621" s="18"/>
      <c r="C621" s="18"/>
      <c r="D621" s="18"/>
      <c r="E621" s="22"/>
      <c r="F621" s="24"/>
      <c r="G621" s="72"/>
      <c r="N621" s="56"/>
      <c r="O621" s="64"/>
    </row>
    <row r="622">
      <c r="B622" s="18"/>
      <c r="C622" s="18"/>
      <c r="D622" s="18"/>
      <c r="E622" s="22"/>
      <c r="F622" s="24"/>
      <c r="G622" s="72"/>
      <c r="N622" s="56"/>
      <c r="O622" s="64"/>
    </row>
    <row r="623">
      <c r="B623" s="18"/>
      <c r="C623" s="18"/>
      <c r="D623" s="18"/>
      <c r="E623" s="22"/>
      <c r="F623" s="24"/>
      <c r="G623" s="72"/>
      <c r="N623" s="56"/>
      <c r="O623" s="64"/>
    </row>
    <row r="624">
      <c r="B624" s="18"/>
      <c r="C624" s="18"/>
      <c r="D624" s="18"/>
      <c r="E624" s="22"/>
      <c r="F624" s="24"/>
      <c r="G624" s="72"/>
      <c r="N624" s="56"/>
      <c r="O624" s="64"/>
    </row>
    <row r="625">
      <c r="B625" s="18"/>
      <c r="C625" s="18"/>
      <c r="D625" s="18"/>
      <c r="E625" s="22"/>
      <c r="F625" s="24"/>
      <c r="G625" s="72"/>
      <c r="N625" s="56"/>
      <c r="O625" s="64"/>
    </row>
    <row r="626">
      <c r="B626" s="18"/>
      <c r="C626" s="18"/>
      <c r="D626" s="18"/>
      <c r="E626" s="22"/>
      <c r="F626" s="24"/>
      <c r="G626" s="72"/>
      <c r="N626" s="56"/>
      <c r="O626" s="64"/>
    </row>
    <row r="627">
      <c r="B627" s="18"/>
      <c r="C627" s="18"/>
      <c r="D627" s="18"/>
      <c r="E627" s="22"/>
      <c r="F627" s="24"/>
      <c r="G627" s="72"/>
      <c r="N627" s="56"/>
      <c r="O627" s="64"/>
    </row>
    <row r="628">
      <c r="B628" s="18"/>
      <c r="C628" s="18"/>
      <c r="D628" s="18"/>
      <c r="E628" s="22"/>
      <c r="F628" s="24"/>
      <c r="G628" s="72"/>
      <c r="N628" s="56"/>
      <c r="O628" s="64"/>
    </row>
    <row r="629">
      <c r="B629" s="18"/>
      <c r="C629" s="18"/>
      <c r="D629" s="18"/>
      <c r="E629" s="22"/>
      <c r="F629" s="24"/>
      <c r="G629" s="72"/>
      <c r="N629" s="56"/>
      <c r="O629" s="64"/>
    </row>
    <row r="630">
      <c r="B630" s="18"/>
      <c r="C630" s="18"/>
      <c r="D630" s="18"/>
      <c r="E630" s="22"/>
      <c r="F630" s="24"/>
      <c r="G630" s="72"/>
      <c r="N630" s="56"/>
      <c r="O630" s="64"/>
    </row>
    <row r="631">
      <c r="B631" s="18"/>
      <c r="C631" s="18"/>
      <c r="D631" s="18"/>
      <c r="E631" s="22"/>
      <c r="F631" s="24"/>
      <c r="G631" s="72"/>
      <c r="N631" s="56"/>
      <c r="O631" s="64"/>
    </row>
    <row r="632">
      <c r="B632" s="18"/>
      <c r="C632" s="18"/>
      <c r="D632" s="18"/>
      <c r="E632" s="22"/>
      <c r="F632" s="24"/>
      <c r="G632" s="72"/>
      <c r="N632" s="56"/>
      <c r="O632" s="64"/>
    </row>
    <row r="633">
      <c r="B633" s="18"/>
      <c r="C633" s="18"/>
      <c r="D633" s="18"/>
      <c r="E633" s="22"/>
      <c r="F633" s="24"/>
      <c r="G633" s="72"/>
      <c r="N633" s="56"/>
      <c r="O633" s="64"/>
    </row>
    <row r="634">
      <c r="B634" s="18"/>
      <c r="C634" s="18"/>
      <c r="D634" s="18"/>
      <c r="E634" s="22"/>
      <c r="F634" s="24"/>
      <c r="G634" s="72"/>
      <c r="N634" s="56"/>
      <c r="O634" s="64"/>
    </row>
    <row r="635">
      <c r="B635" s="18"/>
      <c r="C635" s="18"/>
      <c r="D635" s="18"/>
      <c r="E635" s="22"/>
      <c r="F635" s="24"/>
      <c r="G635" s="72"/>
      <c r="N635" s="56"/>
      <c r="O635" s="64"/>
    </row>
    <row r="636">
      <c r="B636" s="18"/>
      <c r="C636" s="18"/>
      <c r="D636" s="18"/>
      <c r="E636" s="22"/>
      <c r="F636" s="24"/>
      <c r="G636" s="72"/>
      <c r="N636" s="56"/>
      <c r="O636" s="64"/>
    </row>
    <row r="637">
      <c r="B637" s="18"/>
      <c r="C637" s="18"/>
      <c r="D637" s="18"/>
      <c r="E637" s="22"/>
      <c r="F637" s="24"/>
      <c r="G637" s="72"/>
      <c r="N637" s="56"/>
      <c r="O637" s="64"/>
    </row>
    <row r="638">
      <c r="B638" s="18"/>
      <c r="C638" s="18"/>
      <c r="D638" s="18"/>
      <c r="E638" s="22"/>
      <c r="F638" s="24"/>
      <c r="G638" s="72"/>
      <c r="N638" s="56"/>
      <c r="O638" s="64"/>
    </row>
    <row r="639">
      <c r="B639" s="18"/>
      <c r="C639" s="18"/>
      <c r="D639" s="18"/>
      <c r="E639" s="22"/>
      <c r="F639" s="24"/>
      <c r="G639" s="72"/>
      <c r="N639" s="56"/>
      <c r="O639" s="64"/>
    </row>
    <row r="640">
      <c r="B640" s="18"/>
      <c r="C640" s="18"/>
      <c r="D640" s="18"/>
      <c r="E640" s="22"/>
      <c r="F640" s="24"/>
      <c r="G640" s="72"/>
      <c r="N640" s="56"/>
      <c r="O640" s="64"/>
    </row>
    <row r="641">
      <c r="B641" s="18"/>
      <c r="C641" s="18"/>
      <c r="D641" s="18"/>
      <c r="E641" s="22"/>
      <c r="F641" s="24"/>
      <c r="G641" s="72"/>
      <c r="N641" s="56"/>
      <c r="O641" s="64"/>
    </row>
    <row r="642">
      <c r="B642" s="18"/>
      <c r="C642" s="18"/>
      <c r="D642" s="18"/>
      <c r="E642" s="22"/>
      <c r="F642" s="24"/>
      <c r="G642" s="72"/>
      <c r="N642" s="56"/>
      <c r="O642" s="64"/>
    </row>
    <row r="643">
      <c r="B643" s="18"/>
      <c r="C643" s="18"/>
      <c r="D643" s="18"/>
      <c r="E643" s="22"/>
      <c r="F643" s="24"/>
      <c r="G643" s="72"/>
      <c r="N643" s="56"/>
      <c r="O643" s="64"/>
    </row>
    <row r="644">
      <c r="B644" s="18"/>
      <c r="C644" s="18"/>
      <c r="D644" s="18"/>
      <c r="E644" s="22"/>
      <c r="F644" s="24"/>
      <c r="G644" s="72"/>
      <c r="N644" s="56"/>
      <c r="O644" s="64"/>
    </row>
    <row r="645">
      <c r="B645" s="18"/>
      <c r="C645" s="18"/>
      <c r="D645" s="18"/>
      <c r="E645" s="22"/>
      <c r="F645" s="24"/>
      <c r="G645" s="72"/>
      <c r="N645" s="56"/>
      <c r="O645" s="64"/>
    </row>
    <row r="646">
      <c r="B646" s="18"/>
      <c r="C646" s="18"/>
      <c r="D646" s="18"/>
      <c r="E646" s="22"/>
      <c r="F646" s="24"/>
      <c r="G646" s="72"/>
      <c r="N646" s="56"/>
      <c r="O646" s="64"/>
    </row>
    <row r="647">
      <c r="B647" s="18"/>
      <c r="C647" s="18"/>
      <c r="D647" s="18"/>
      <c r="E647" s="22"/>
      <c r="F647" s="24"/>
      <c r="G647" s="72"/>
      <c r="N647" s="56"/>
      <c r="O647" s="64"/>
    </row>
    <row r="648">
      <c r="B648" s="18"/>
      <c r="C648" s="18"/>
      <c r="D648" s="18"/>
      <c r="E648" s="22"/>
      <c r="F648" s="24"/>
      <c r="G648" s="72"/>
      <c r="N648" s="56"/>
      <c r="O648" s="64"/>
    </row>
    <row r="649">
      <c r="B649" s="18"/>
      <c r="C649" s="18"/>
      <c r="D649" s="18"/>
      <c r="E649" s="22"/>
      <c r="F649" s="24"/>
      <c r="G649" s="72"/>
      <c r="N649" s="56"/>
      <c r="O649" s="64"/>
    </row>
    <row r="650">
      <c r="B650" s="18"/>
      <c r="C650" s="18"/>
      <c r="D650" s="18"/>
      <c r="E650" s="22"/>
      <c r="F650" s="24"/>
      <c r="G650" s="72"/>
      <c r="N650" s="56"/>
      <c r="O650" s="64"/>
    </row>
    <row r="651">
      <c r="B651" s="18"/>
      <c r="C651" s="18"/>
      <c r="D651" s="18"/>
      <c r="E651" s="22"/>
      <c r="F651" s="24"/>
      <c r="G651" s="72"/>
      <c r="N651" s="56"/>
      <c r="O651" s="64"/>
    </row>
    <row r="652">
      <c r="B652" s="18"/>
      <c r="C652" s="18"/>
      <c r="D652" s="18"/>
      <c r="E652" s="22"/>
      <c r="F652" s="24"/>
      <c r="G652" s="72"/>
      <c r="N652" s="56"/>
      <c r="O652" s="64"/>
    </row>
    <row r="653">
      <c r="B653" s="18"/>
      <c r="C653" s="18"/>
      <c r="D653" s="18"/>
      <c r="E653" s="22"/>
      <c r="F653" s="24"/>
      <c r="G653" s="72"/>
      <c r="N653" s="56"/>
      <c r="O653" s="64"/>
    </row>
    <row r="654">
      <c r="B654" s="18"/>
      <c r="C654" s="18"/>
      <c r="D654" s="18"/>
      <c r="E654" s="22"/>
      <c r="F654" s="24"/>
      <c r="G654" s="72"/>
      <c r="N654" s="56"/>
      <c r="O654" s="64"/>
    </row>
    <row r="655">
      <c r="B655" s="18"/>
      <c r="C655" s="18"/>
      <c r="D655" s="18"/>
      <c r="E655" s="22"/>
      <c r="F655" s="24"/>
      <c r="G655" s="72"/>
      <c r="N655" s="56"/>
      <c r="O655" s="64"/>
    </row>
    <row r="656">
      <c r="B656" s="18"/>
      <c r="C656" s="18"/>
      <c r="D656" s="18"/>
      <c r="E656" s="22"/>
      <c r="F656" s="24"/>
      <c r="G656" s="72"/>
      <c r="N656" s="56"/>
      <c r="O656" s="64"/>
    </row>
    <row r="657">
      <c r="B657" s="18"/>
      <c r="C657" s="18"/>
      <c r="D657" s="18"/>
      <c r="E657" s="22"/>
      <c r="F657" s="24"/>
      <c r="G657" s="72"/>
      <c r="N657" s="56"/>
      <c r="O657" s="64"/>
    </row>
    <row r="658">
      <c r="B658" s="18"/>
      <c r="C658" s="18"/>
      <c r="D658" s="18"/>
      <c r="E658" s="22"/>
      <c r="F658" s="24"/>
      <c r="G658" s="72"/>
      <c r="N658" s="56"/>
      <c r="O658" s="64"/>
    </row>
    <row r="659">
      <c r="B659" s="18"/>
      <c r="C659" s="18"/>
      <c r="D659" s="18"/>
      <c r="E659" s="22"/>
      <c r="F659" s="24"/>
      <c r="G659" s="72"/>
      <c r="N659" s="56"/>
      <c r="O659" s="64"/>
    </row>
    <row r="660">
      <c r="B660" s="18"/>
      <c r="C660" s="18"/>
      <c r="D660" s="18"/>
      <c r="E660" s="22"/>
      <c r="F660" s="24"/>
      <c r="G660" s="72"/>
      <c r="N660" s="56"/>
      <c r="O660" s="64"/>
    </row>
    <row r="661">
      <c r="B661" s="18"/>
      <c r="C661" s="18"/>
      <c r="D661" s="18"/>
      <c r="E661" s="22"/>
      <c r="F661" s="24"/>
      <c r="G661" s="72"/>
      <c r="N661" s="56"/>
      <c r="O661" s="64"/>
    </row>
    <row r="662">
      <c r="B662" s="18"/>
      <c r="C662" s="18"/>
      <c r="D662" s="18"/>
      <c r="E662" s="22"/>
      <c r="F662" s="24"/>
      <c r="G662" s="72"/>
      <c r="N662" s="56"/>
      <c r="O662" s="64"/>
    </row>
    <row r="663">
      <c r="B663" s="18"/>
      <c r="C663" s="18"/>
      <c r="D663" s="18"/>
      <c r="E663" s="22"/>
      <c r="F663" s="24"/>
      <c r="G663" s="72"/>
      <c r="N663" s="56"/>
      <c r="O663" s="64"/>
    </row>
    <row r="664">
      <c r="B664" s="18"/>
      <c r="C664" s="18"/>
      <c r="D664" s="18"/>
      <c r="E664" s="22"/>
      <c r="F664" s="24"/>
      <c r="G664" s="72"/>
      <c r="N664" s="56"/>
      <c r="O664" s="64"/>
    </row>
    <row r="665">
      <c r="B665" s="18"/>
      <c r="C665" s="18"/>
      <c r="D665" s="18"/>
      <c r="E665" s="22"/>
      <c r="F665" s="24"/>
      <c r="G665" s="72"/>
      <c r="N665" s="56"/>
      <c r="O665" s="64"/>
    </row>
    <row r="666">
      <c r="B666" s="18"/>
      <c r="C666" s="18"/>
      <c r="D666" s="18"/>
      <c r="E666" s="22"/>
      <c r="F666" s="24"/>
      <c r="G666" s="72"/>
      <c r="N666" s="56"/>
      <c r="O666" s="64"/>
    </row>
    <row r="667">
      <c r="B667" s="18"/>
      <c r="C667" s="18"/>
      <c r="D667" s="18"/>
      <c r="E667" s="22"/>
      <c r="F667" s="24"/>
      <c r="G667" s="72"/>
      <c r="N667" s="56"/>
      <c r="O667" s="64"/>
    </row>
    <row r="668">
      <c r="B668" s="18"/>
      <c r="C668" s="18"/>
      <c r="D668" s="18"/>
      <c r="E668" s="22"/>
      <c r="F668" s="24"/>
      <c r="G668" s="72"/>
      <c r="N668" s="56"/>
      <c r="O668" s="64"/>
    </row>
    <row r="669">
      <c r="B669" s="18"/>
      <c r="C669" s="18"/>
      <c r="D669" s="18"/>
      <c r="E669" s="22"/>
      <c r="F669" s="24"/>
      <c r="G669" s="72"/>
      <c r="N669" s="56"/>
      <c r="O669" s="64"/>
    </row>
    <row r="670">
      <c r="B670" s="18"/>
      <c r="C670" s="18"/>
      <c r="D670" s="18"/>
      <c r="E670" s="22"/>
      <c r="F670" s="24"/>
      <c r="G670" s="72"/>
      <c r="N670" s="56"/>
      <c r="O670" s="64"/>
    </row>
    <row r="671">
      <c r="B671" s="18"/>
      <c r="C671" s="18"/>
      <c r="D671" s="18"/>
      <c r="E671" s="22"/>
      <c r="F671" s="24"/>
      <c r="G671" s="72"/>
      <c r="N671" s="56"/>
      <c r="O671" s="64"/>
    </row>
    <row r="672">
      <c r="B672" s="18"/>
      <c r="C672" s="18"/>
      <c r="D672" s="18"/>
      <c r="E672" s="22"/>
      <c r="F672" s="24"/>
      <c r="G672" s="72"/>
      <c r="N672" s="56"/>
      <c r="O672" s="64"/>
    </row>
    <row r="673">
      <c r="B673" s="18"/>
      <c r="C673" s="18"/>
      <c r="D673" s="18"/>
      <c r="E673" s="22"/>
      <c r="F673" s="24"/>
      <c r="G673" s="72"/>
      <c r="N673" s="56"/>
      <c r="O673" s="64"/>
    </row>
    <row r="674">
      <c r="B674" s="18"/>
      <c r="C674" s="18"/>
      <c r="D674" s="18"/>
      <c r="E674" s="22"/>
      <c r="F674" s="24"/>
      <c r="G674" s="72"/>
      <c r="N674" s="56"/>
      <c r="O674" s="64"/>
    </row>
    <row r="675">
      <c r="B675" s="18"/>
      <c r="C675" s="18"/>
      <c r="D675" s="18"/>
      <c r="E675" s="22"/>
      <c r="F675" s="24"/>
      <c r="G675" s="72"/>
      <c r="N675" s="56"/>
      <c r="O675" s="64"/>
    </row>
    <row r="676">
      <c r="B676" s="18"/>
      <c r="C676" s="18"/>
      <c r="D676" s="18"/>
      <c r="E676" s="22"/>
      <c r="F676" s="24"/>
      <c r="G676" s="72"/>
      <c r="N676" s="56"/>
      <c r="O676" s="64"/>
    </row>
    <row r="677">
      <c r="B677" s="18"/>
      <c r="C677" s="18"/>
      <c r="D677" s="18"/>
      <c r="E677" s="22"/>
      <c r="F677" s="24"/>
      <c r="G677" s="72"/>
      <c r="N677" s="56"/>
      <c r="O677" s="64"/>
    </row>
    <row r="678">
      <c r="B678" s="18"/>
      <c r="C678" s="18"/>
      <c r="D678" s="18"/>
      <c r="E678" s="22"/>
      <c r="F678" s="24"/>
      <c r="G678" s="72"/>
      <c r="N678" s="56"/>
      <c r="O678" s="64"/>
    </row>
    <row r="679">
      <c r="B679" s="18"/>
      <c r="C679" s="18"/>
      <c r="D679" s="18"/>
      <c r="E679" s="22"/>
      <c r="F679" s="24"/>
      <c r="G679" s="72"/>
      <c r="N679" s="56"/>
      <c r="O679" s="64"/>
    </row>
    <row r="680">
      <c r="B680" s="18"/>
      <c r="C680" s="18"/>
      <c r="D680" s="18"/>
      <c r="E680" s="22"/>
      <c r="F680" s="24"/>
      <c r="G680" s="72"/>
      <c r="N680" s="56"/>
      <c r="O680" s="64"/>
    </row>
    <row r="681">
      <c r="B681" s="18"/>
      <c r="C681" s="18"/>
      <c r="D681" s="18"/>
      <c r="E681" s="22"/>
      <c r="F681" s="24"/>
      <c r="G681" s="72"/>
      <c r="N681" s="56"/>
      <c r="O681" s="64"/>
    </row>
    <row r="682">
      <c r="B682" s="18"/>
      <c r="C682" s="18"/>
      <c r="D682" s="18"/>
      <c r="E682" s="22"/>
      <c r="F682" s="24"/>
      <c r="G682" s="72"/>
      <c r="N682" s="56"/>
      <c r="O682" s="64"/>
    </row>
    <row r="683">
      <c r="B683" s="18"/>
      <c r="C683" s="18"/>
      <c r="D683" s="18"/>
      <c r="E683" s="22"/>
      <c r="F683" s="24"/>
      <c r="G683" s="72"/>
      <c r="N683" s="56"/>
      <c r="O683" s="64"/>
    </row>
    <row r="684">
      <c r="B684" s="18"/>
      <c r="C684" s="18"/>
      <c r="D684" s="18"/>
      <c r="E684" s="22"/>
      <c r="F684" s="24"/>
      <c r="G684" s="72"/>
      <c r="N684" s="56"/>
      <c r="O684" s="64"/>
    </row>
    <row r="685">
      <c r="B685" s="18"/>
      <c r="C685" s="18"/>
      <c r="D685" s="18"/>
      <c r="E685" s="22"/>
      <c r="F685" s="24"/>
      <c r="G685" s="72"/>
      <c r="N685" s="56"/>
      <c r="O685" s="64"/>
    </row>
    <row r="686">
      <c r="B686" s="18"/>
      <c r="C686" s="18"/>
      <c r="D686" s="18"/>
      <c r="E686" s="22"/>
      <c r="F686" s="24"/>
      <c r="G686" s="72"/>
      <c r="N686" s="56"/>
      <c r="O686" s="64"/>
    </row>
    <row r="687">
      <c r="B687" s="18"/>
      <c r="C687" s="18"/>
      <c r="D687" s="18"/>
      <c r="E687" s="22"/>
      <c r="F687" s="24"/>
      <c r="G687" s="72"/>
      <c r="N687" s="56"/>
      <c r="O687" s="64"/>
    </row>
    <row r="688">
      <c r="B688" s="18"/>
      <c r="C688" s="18"/>
      <c r="D688" s="18"/>
      <c r="E688" s="22"/>
      <c r="F688" s="24"/>
      <c r="G688" s="72"/>
      <c r="N688" s="56"/>
      <c r="O688" s="64"/>
    </row>
    <row r="689">
      <c r="B689" s="18"/>
      <c r="C689" s="18"/>
      <c r="D689" s="18"/>
      <c r="E689" s="22"/>
      <c r="F689" s="24"/>
      <c r="G689" s="72"/>
      <c r="N689" s="56"/>
      <c r="O689" s="64"/>
    </row>
    <row r="690">
      <c r="B690" s="18"/>
      <c r="C690" s="18"/>
      <c r="D690" s="18"/>
      <c r="E690" s="22"/>
      <c r="F690" s="24"/>
      <c r="G690" s="72"/>
      <c r="N690" s="56"/>
      <c r="O690" s="64"/>
    </row>
    <row r="691">
      <c r="B691" s="18"/>
      <c r="C691" s="18"/>
      <c r="D691" s="18"/>
      <c r="E691" s="22"/>
      <c r="F691" s="24"/>
      <c r="G691" s="72"/>
      <c r="N691" s="56"/>
      <c r="O691" s="64"/>
    </row>
    <row r="692">
      <c r="B692" s="18"/>
      <c r="C692" s="18"/>
      <c r="D692" s="18"/>
      <c r="E692" s="22"/>
      <c r="F692" s="24"/>
      <c r="G692" s="72"/>
      <c r="N692" s="56"/>
      <c r="O692" s="64"/>
    </row>
    <row r="693">
      <c r="B693" s="18"/>
      <c r="C693" s="18"/>
      <c r="D693" s="18"/>
      <c r="E693" s="22"/>
      <c r="F693" s="24"/>
      <c r="G693" s="72"/>
      <c r="N693" s="56"/>
      <c r="O693" s="64"/>
    </row>
    <row r="694">
      <c r="B694" s="18"/>
      <c r="C694" s="18"/>
      <c r="D694" s="18"/>
      <c r="E694" s="22"/>
      <c r="F694" s="24"/>
      <c r="G694" s="72"/>
      <c r="N694" s="56"/>
      <c r="O694" s="64"/>
    </row>
    <row r="695">
      <c r="B695" s="18"/>
      <c r="C695" s="18"/>
      <c r="D695" s="18"/>
      <c r="E695" s="22"/>
      <c r="F695" s="24"/>
      <c r="G695" s="72"/>
      <c r="N695" s="56"/>
      <c r="O695" s="64"/>
    </row>
    <row r="696">
      <c r="B696" s="18"/>
      <c r="C696" s="18"/>
      <c r="D696" s="18"/>
      <c r="E696" s="22"/>
      <c r="F696" s="24"/>
      <c r="G696" s="72"/>
      <c r="N696" s="56"/>
      <c r="O696" s="64"/>
    </row>
    <row r="697">
      <c r="B697" s="18"/>
      <c r="C697" s="18"/>
      <c r="D697" s="18"/>
      <c r="E697" s="22"/>
      <c r="F697" s="24"/>
      <c r="G697" s="72"/>
      <c r="N697" s="56"/>
      <c r="O697" s="64"/>
    </row>
    <row r="698">
      <c r="B698" s="18"/>
      <c r="C698" s="18"/>
      <c r="D698" s="18"/>
      <c r="E698" s="22"/>
      <c r="F698" s="24"/>
      <c r="G698" s="72"/>
      <c r="N698" s="56"/>
      <c r="O698" s="64"/>
    </row>
    <row r="699">
      <c r="B699" s="18"/>
      <c r="C699" s="18"/>
      <c r="D699" s="18"/>
      <c r="E699" s="22"/>
      <c r="F699" s="24"/>
      <c r="G699" s="72"/>
      <c r="N699" s="56"/>
      <c r="O699" s="64"/>
    </row>
    <row r="700">
      <c r="B700" s="18"/>
      <c r="C700" s="18"/>
      <c r="D700" s="18"/>
      <c r="E700" s="22"/>
      <c r="F700" s="24"/>
      <c r="G700" s="72"/>
      <c r="N700" s="56"/>
      <c r="O700" s="64"/>
    </row>
    <row r="701">
      <c r="B701" s="18"/>
      <c r="C701" s="18"/>
      <c r="D701" s="18"/>
      <c r="E701" s="22"/>
      <c r="F701" s="24"/>
      <c r="G701" s="72"/>
      <c r="N701" s="56"/>
      <c r="O701" s="64"/>
    </row>
    <row r="702">
      <c r="B702" s="18"/>
      <c r="C702" s="18"/>
      <c r="D702" s="18"/>
      <c r="E702" s="22"/>
      <c r="F702" s="24"/>
      <c r="G702" s="72"/>
      <c r="N702" s="56"/>
      <c r="O702" s="64"/>
    </row>
    <row r="703">
      <c r="B703" s="18"/>
      <c r="C703" s="18"/>
      <c r="D703" s="18"/>
      <c r="E703" s="22"/>
      <c r="F703" s="24"/>
      <c r="G703" s="72"/>
      <c r="N703" s="56"/>
      <c r="O703" s="64"/>
    </row>
    <row r="704">
      <c r="B704" s="18"/>
      <c r="C704" s="18"/>
      <c r="D704" s="18"/>
      <c r="E704" s="22"/>
      <c r="F704" s="24"/>
      <c r="G704" s="72"/>
      <c r="N704" s="56"/>
      <c r="O704" s="64"/>
    </row>
    <row r="705">
      <c r="B705" s="18"/>
      <c r="C705" s="18"/>
      <c r="D705" s="18"/>
      <c r="E705" s="22"/>
      <c r="F705" s="24"/>
      <c r="G705" s="72"/>
      <c r="N705" s="56"/>
      <c r="O705" s="64"/>
    </row>
    <row r="706">
      <c r="B706" s="18"/>
      <c r="C706" s="18"/>
      <c r="D706" s="18"/>
      <c r="E706" s="22"/>
      <c r="F706" s="24"/>
      <c r="G706" s="72"/>
      <c r="N706" s="56"/>
      <c r="O706" s="64"/>
    </row>
    <row r="707">
      <c r="B707" s="18"/>
      <c r="C707" s="18"/>
      <c r="D707" s="18"/>
      <c r="E707" s="22"/>
      <c r="F707" s="24"/>
      <c r="G707" s="72"/>
      <c r="N707" s="56"/>
      <c r="O707" s="64"/>
    </row>
    <row r="708">
      <c r="B708" s="18"/>
      <c r="C708" s="18"/>
      <c r="D708" s="18"/>
      <c r="E708" s="22"/>
      <c r="F708" s="24"/>
      <c r="G708" s="72"/>
      <c r="N708" s="56"/>
      <c r="O708" s="64"/>
    </row>
    <row r="709">
      <c r="B709" s="18"/>
      <c r="C709" s="18"/>
      <c r="D709" s="18"/>
      <c r="E709" s="22"/>
      <c r="F709" s="24"/>
      <c r="G709" s="72"/>
      <c r="N709" s="56"/>
      <c r="O709" s="64"/>
    </row>
    <row r="710">
      <c r="B710" s="18"/>
      <c r="C710" s="18"/>
      <c r="D710" s="18"/>
      <c r="E710" s="22"/>
      <c r="F710" s="24"/>
      <c r="G710" s="72"/>
      <c r="N710" s="56"/>
      <c r="O710" s="64"/>
    </row>
    <row r="711">
      <c r="B711" s="18"/>
      <c r="C711" s="18"/>
      <c r="D711" s="18"/>
      <c r="E711" s="22"/>
      <c r="F711" s="24"/>
      <c r="G711" s="72"/>
      <c r="N711" s="56"/>
      <c r="O711" s="64"/>
    </row>
    <row r="712">
      <c r="B712" s="18"/>
      <c r="C712" s="18"/>
      <c r="D712" s="18"/>
      <c r="E712" s="22"/>
      <c r="F712" s="24"/>
      <c r="G712" s="72"/>
      <c r="N712" s="56"/>
      <c r="O712" s="64"/>
    </row>
    <row r="713">
      <c r="B713" s="18"/>
      <c r="C713" s="18"/>
      <c r="D713" s="18"/>
      <c r="E713" s="22"/>
      <c r="F713" s="24"/>
      <c r="G713" s="72"/>
      <c r="N713" s="56"/>
      <c r="O713" s="64"/>
    </row>
    <row r="714">
      <c r="B714" s="18"/>
      <c r="C714" s="18"/>
      <c r="D714" s="18"/>
      <c r="E714" s="22"/>
      <c r="F714" s="24"/>
      <c r="G714" s="72"/>
      <c r="N714" s="56"/>
      <c r="O714" s="64"/>
    </row>
    <row r="715">
      <c r="B715" s="18"/>
      <c r="C715" s="18"/>
      <c r="D715" s="18"/>
      <c r="E715" s="22"/>
      <c r="F715" s="24"/>
      <c r="G715" s="72"/>
      <c r="N715" s="56"/>
      <c r="O715" s="64"/>
    </row>
    <row r="716">
      <c r="B716" s="18"/>
      <c r="C716" s="18"/>
      <c r="D716" s="18"/>
      <c r="E716" s="22"/>
      <c r="F716" s="24"/>
      <c r="G716" s="72"/>
      <c r="N716" s="56"/>
      <c r="O716" s="64"/>
    </row>
    <row r="717">
      <c r="B717" s="18"/>
      <c r="C717" s="18"/>
      <c r="D717" s="18"/>
      <c r="E717" s="22"/>
      <c r="F717" s="24"/>
      <c r="G717" s="72"/>
      <c r="N717" s="56"/>
      <c r="O717" s="64"/>
    </row>
    <row r="718">
      <c r="B718" s="18"/>
      <c r="C718" s="18"/>
      <c r="D718" s="18"/>
      <c r="E718" s="22"/>
      <c r="F718" s="24"/>
      <c r="G718" s="72"/>
      <c r="N718" s="56"/>
      <c r="O718" s="64"/>
    </row>
    <row r="719">
      <c r="B719" s="18"/>
      <c r="C719" s="18"/>
      <c r="D719" s="18"/>
      <c r="E719" s="22"/>
      <c r="F719" s="24"/>
      <c r="G719" s="72"/>
      <c r="N719" s="56"/>
      <c r="O719" s="64"/>
    </row>
    <row r="720">
      <c r="B720" s="18"/>
      <c r="C720" s="18"/>
      <c r="D720" s="18"/>
      <c r="E720" s="22"/>
      <c r="F720" s="24"/>
      <c r="G720" s="72"/>
      <c r="N720" s="56"/>
      <c r="O720" s="64"/>
    </row>
    <row r="721">
      <c r="B721" s="18"/>
      <c r="C721" s="18"/>
      <c r="D721" s="18"/>
      <c r="E721" s="22"/>
      <c r="F721" s="24"/>
      <c r="G721" s="72"/>
      <c r="N721" s="56"/>
      <c r="O721" s="64"/>
    </row>
    <row r="722">
      <c r="B722" s="18"/>
      <c r="C722" s="18"/>
      <c r="D722" s="18"/>
      <c r="E722" s="22"/>
      <c r="F722" s="24"/>
      <c r="G722" s="72"/>
      <c r="N722" s="56"/>
      <c r="O722" s="64"/>
    </row>
    <row r="723">
      <c r="B723" s="18"/>
      <c r="C723" s="18"/>
      <c r="D723" s="18"/>
      <c r="E723" s="22"/>
      <c r="F723" s="24"/>
      <c r="G723" s="72"/>
      <c r="N723" s="56"/>
      <c r="O723" s="64"/>
    </row>
    <row r="724">
      <c r="B724" s="18"/>
      <c r="C724" s="18"/>
      <c r="D724" s="18"/>
      <c r="E724" s="22"/>
      <c r="F724" s="24"/>
      <c r="G724" s="72"/>
      <c r="N724" s="56"/>
      <c r="O724" s="64"/>
    </row>
    <row r="725">
      <c r="B725" s="18"/>
      <c r="C725" s="18"/>
      <c r="D725" s="18"/>
      <c r="E725" s="22"/>
      <c r="F725" s="24"/>
      <c r="G725" s="72"/>
      <c r="N725" s="56"/>
      <c r="O725" s="64"/>
    </row>
    <row r="726">
      <c r="B726" s="18"/>
      <c r="C726" s="18"/>
      <c r="D726" s="18"/>
      <c r="E726" s="22"/>
      <c r="F726" s="24"/>
      <c r="G726" s="72"/>
      <c r="N726" s="56"/>
      <c r="O726" s="64"/>
    </row>
    <row r="727">
      <c r="B727" s="18"/>
      <c r="C727" s="18"/>
      <c r="D727" s="18"/>
      <c r="E727" s="22"/>
      <c r="F727" s="24"/>
      <c r="G727" s="72"/>
      <c r="N727" s="56"/>
      <c r="O727" s="64"/>
    </row>
    <row r="728">
      <c r="B728" s="18"/>
      <c r="C728" s="18"/>
      <c r="D728" s="18"/>
      <c r="E728" s="22"/>
      <c r="F728" s="24"/>
      <c r="G728" s="72"/>
      <c r="N728" s="56"/>
      <c r="O728" s="64"/>
    </row>
    <row r="729">
      <c r="B729" s="18"/>
      <c r="C729" s="18"/>
      <c r="D729" s="18"/>
      <c r="E729" s="22"/>
      <c r="F729" s="24"/>
      <c r="G729" s="72"/>
      <c r="N729" s="56"/>
      <c r="O729" s="64"/>
    </row>
    <row r="730">
      <c r="B730" s="18"/>
      <c r="C730" s="18"/>
      <c r="D730" s="18"/>
      <c r="E730" s="22"/>
      <c r="F730" s="24"/>
      <c r="G730" s="72"/>
      <c r="N730" s="56"/>
      <c r="O730" s="64"/>
    </row>
    <row r="731">
      <c r="B731" s="18"/>
      <c r="C731" s="18"/>
      <c r="D731" s="18"/>
      <c r="E731" s="22"/>
      <c r="F731" s="24"/>
      <c r="G731" s="72"/>
      <c r="N731" s="56"/>
      <c r="O731" s="64"/>
    </row>
    <row r="732">
      <c r="B732" s="18"/>
      <c r="C732" s="18"/>
      <c r="D732" s="18"/>
      <c r="E732" s="22"/>
      <c r="F732" s="24"/>
      <c r="G732" s="72"/>
      <c r="N732" s="56"/>
      <c r="O732" s="64"/>
    </row>
    <row r="733">
      <c r="B733" s="18"/>
      <c r="C733" s="18"/>
      <c r="D733" s="18"/>
      <c r="E733" s="22"/>
      <c r="F733" s="24"/>
      <c r="G733" s="72"/>
      <c r="N733" s="56"/>
      <c r="O733" s="64"/>
    </row>
    <row r="734">
      <c r="B734" s="18"/>
      <c r="C734" s="18"/>
      <c r="D734" s="18"/>
      <c r="E734" s="22"/>
      <c r="F734" s="24"/>
      <c r="G734" s="72"/>
      <c r="N734" s="56"/>
      <c r="O734" s="64"/>
    </row>
    <row r="735">
      <c r="B735" s="18"/>
      <c r="C735" s="18"/>
      <c r="D735" s="18"/>
      <c r="E735" s="22"/>
      <c r="F735" s="24"/>
      <c r="G735" s="72"/>
      <c r="N735" s="56"/>
      <c r="O735" s="64"/>
    </row>
    <row r="736">
      <c r="B736" s="18"/>
      <c r="C736" s="18"/>
      <c r="D736" s="18"/>
      <c r="E736" s="22"/>
      <c r="F736" s="24"/>
      <c r="G736" s="72"/>
      <c r="N736" s="56"/>
      <c r="O736" s="64"/>
    </row>
    <row r="737">
      <c r="B737" s="18"/>
      <c r="C737" s="18"/>
      <c r="D737" s="18"/>
      <c r="E737" s="22"/>
      <c r="F737" s="24"/>
      <c r="G737" s="72"/>
      <c r="N737" s="56"/>
      <c r="O737" s="64"/>
    </row>
    <row r="738">
      <c r="B738" s="18"/>
      <c r="C738" s="18"/>
      <c r="D738" s="18"/>
      <c r="E738" s="22"/>
      <c r="F738" s="24"/>
      <c r="G738" s="72"/>
      <c r="N738" s="56"/>
      <c r="O738" s="64"/>
    </row>
    <row r="739">
      <c r="B739" s="18"/>
      <c r="C739" s="18"/>
      <c r="D739" s="18"/>
      <c r="E739" s="22"/>
      <c r="F739" s="24"/>
      <c r="G739" s="72"/>
      <c r="N739" s="56"/>
      <c r="O739" s="64"/>
    </row>
    <row r="740">
      <c r="B740" s="18"/>
      <c r="C740" s="18"/>
      <c r="D740" s="18"/>
      <c r="E740" s="22"/>
      <c r="F740" s="24"/>
      <c r="G740" s="72"/>
      <c r="N740" s="56"/>
      <c r="O740" s="64"/>
    </row>
    <row r="741">
      <c r="B741" s="18"/>
      <c r="C741" s="18"/>
      <c r="D741" s="18"/>
      <c r="E741" s="22"/>
      <c r="F741" s="24"/>
      <c r="G741" s="72"/>
      <c r="N741" s="56"/>
      <c r="O741" s="64"/>
    </row>
    <row r="742">
      <c r="B742" s="18"/>
      <c r="C742" s="18"/>
      <c r="D742" s="18"/>
      <c r="E742" s="22"/>
      <c r="F742" s="24"/>
      <c r="G742" s="72"/>
      <c r="N742" s="56"/>
      <c r="O742" s="64"/>
    </row>
    <row r="743">
      <c r="B743" s="18"/>
      <c r="C743" s="18"/>
      <c r="D743" s="18"/>
      <c r="E743" s="22"/>
      <c r="F743" s="24"/>
      <c r="G743" s="72"/>
      <c r="N743" s="56"/>
      <c r="O743" s="64"/>
    </row>
    <row r="744">
      <c r="B744" s="18"/>
      <c r="C744" s="18"/>
      <c r="D744" s="18"/>
      <c r="E744" s="22"/>
      <c r="F744" s="24"/>
      <c r="G744" s="72"/>
      <c r="N744" s="56"/>
      <c r="O744" s="64"/>
    </row>
    <row r="745">
      <c r="B745" s="18"/>
      <c r="C745" s="18"/>
      <c r="D745" s="18"/>
      <c r="E745" s="22"/>
      <c r="F745" s="24"/>
      <c r="G745" s="72"/>
      <c r="N745" s="56"/>
      <c r="O745" s="64"/>
    </row>
    <row r="746">
      <c r="B746" s="18"/>
      <c r="C746" s="18"/>
      <c r="D746" s="18"/>
      <c r="E746" s="22"/>
      <c r="F746" s="24"/>
      <c r="G746" s="72"/>
      <c r="N746" s="56"/>
      <c r="O746" s="64"/>
    </row>
    <row r="747">
      <c r="B747" s="18"/>
      <c r="C747" s="18"/>
      <c r="D747" s="18"/>
      <c r="E747" s="22"/>
      <c r="F747" s="24"/>
      <c r="G747" s="72"/>
      <c r="N747" s="56"/>
      <c r="O747" s="64"/>
    </row>
    <row r="748">
      <c r="B748" s="18"/>
      <c r="C748" s="18"/>
      <c r="D748" s="18"/>
      <c r="E748" s="22"/>
      <c r="F748" s="24"/>
      <c r="G748" s="72"/>
      <c r="N748" s="56"/>
      <c r="O748" s="64"/>
    </row>
    <row r="749">
      <c r="B749" s="18"/>
      <c r="C749" s="18"/>
      <c r="D749" s="18"/>
      <c r="E749" s="22"/>
      <c r="F749" s="24"/>
      <c r="G749" s="72"/>
      <c r="N749" s="56"/>
      <c r="O749" s="64"/>
    </row>
    <row r="750">
      <c r="B750" s="18"/>
      <c r="C750" s="18"/>
      <c r="D750" s="18"/>
      <c r="E750" s="22"/>
      <c r="F750" s="24"/>
      <c r="G750" s="72"/>
      <c r="N750" s="56"/>
      <c r="O750" s="64"/>
    </row>
    <row r="751">
      <c r="B751" s="18"/>
      <c r="C751" s="18"/>
      <c r="D751" s="18"/>
      <c r="E751" s="22"/>
      <c r="F751" s="24"/>
      <c r="G751" s="72"/>
      <c r="N751" s="56"/>
      <c r="O751" s="64"/>
    </row>
    <row r="752">
      <c r="B752" s="18"/>
      <c r="C752" s="18"/>
      <c r="D752" s="18"/>
      <c r="E752" s="22"/>
      <c r="F752" s="24"/>
      <c r="G752" s="72"/>
      <c r="N752" s="56"/>
      <c r="O752" s="64"/>
    </row>
    <row r="753">
      <c r="B753" s="18"/>
      <c r="C753" s="18"/>
      <c r="D753" s="18"/>
      <c r="E753" s="22"/>
      <c r="F753" s="24"/>
      <c r="G753" s="72"/>
      <c r="N753" s="56"/>
      <c r="O753" s="64"/>
    </row>
    <row r="754">
      <c r="B754" s="18"/>
      <c r="C754" s="18"/>
      <c r="D754" s="18"/>
      <c r="E754" s="22"/>
      <c r="F754" s="24"/>
      <c r="G754" s="72"/>
      <c r="N754" s="56"/>
      <c r="O754" s="64"/>
    </row>
    <row r="755">
      <c r="B755" s="18"/>
      <c r="C755" s="18"/>
      <c r="D755" s="18"/>
      <c r="E755" s="22"/>
      <c r="F755" s="24"/>
      <c r="G755" s="72"/>
      <c r="N755" s="56"/>
      <c r="O755" s="64"/>
    </row>
    <row r="756">
      <c r="B756" s="18"/>
      <c r="C756" s="18"/>
      <c r="D756" s="18"/>
      <c r="E756" s="22"/>
      <c r="F756" s="24"/>
      <c r="G756" s="72"/>
      <c r="N756" s="56"/>
      <c r="O756" s="64"/>
    </row>
    <row r="757">
      <c r="B757" s="18"/>
      <c r="C757" s="18"/>
      <c r="D757" s="18"/>
      <c r="E757" s="22"/>
      <c r="F757" s="24"/>
      <c r="G757" s="72"/>
      <c r="N757" s="56"/>
      <c r="O757" s="64"/>
    </row>
    <row r="758">
      <c r="B758" s="18"/>
      <c r="C758" s="18"/>
      <c r="D758" s="18"/>
      <c r="E758" s="22"/>
      <c r="F758" s="24"/>
      <c r="G758" s="72"/>
      <c r="N758" s="56"/>
      <c r="O758" s="64"/>
    </row>
    <row r="759">
      <c r="B759" s="18"/>
      <c r="C759" s="18"/>
      <c r="D759" s="18"/>
      <c r="E759" s="22"/>
      <c r="F759" s="24"/>
      <c r="G759" s="72"/>
      <c r="N759" s="56"/>
      <c r="O759" s="64"/>
    </row>
    <row r="760">
      <c r="B760" s="18"/>
      <c r="C760" s="18"/>
      <c r="D760" s="18"/>
      <c r="E760" s="22"/>
      <c r="F760" s="24"/>
      <c r="G760" s="72"/>
      <c r="N760" s="56"/>
      <c r="O760" s="64"/>
    </row>
    <row r="761">
      <c r="B761" s="18"/>
      <c r="C761" s="18"/>
      <c r="D761" s="18"/>
      <c r="E761" s="22"/>
      <c r="F761" s="24"/>
      <c r="G761" s="72"/>
      <c r="N761" s="56"/>
      <c r="O761" s="64"/>
    </row>
    <row r="762">
      <c r="B762" s="18"/>
      <c r="C762" s="18"/>
      <c r="D762" s="18"/>
      <c r="E762" s="22"/>
      <c r="F762" s="24"/>
      <c r="G762" s="72"/>
      <c r="N762" s="56"/>
      <c r="O762" s="64"/>
    </row>
    <row r="763">
      <c r="B763" s="18"/>
      <c r="C763" s="18"/>
      <c r="D763" s="18"/>
      <c r="E763" s="22"/>
      <c r="F763" s="24"/>
      <c r="G763" s="72"/>
      <c r="N763" s="56"/>
      <c r="O763" s="64"/>
    </row>
    <row r="764">
      <c r="B764" s="18"/>
      <c r="C764" s="18"/>
      <c r="D764" s="18"/>
      <c r="E764" s="22"/>
      <c r="F764" s="24"/>
      <c r="G764" s="72"/>
      <c r="N764" s="56"/>
      <c r="O764" s="64"/>
    </row>
    <row r="765">
      <c r="B765" s="18"/>
      <c r="C765" s="18"/>
      <c r="D765" s="18"/>
      <c r="E765" s="22"/>
      <c r="F765" s="24"/>
      <c r="G765" s="72"/>
      <c r="N765" s="56"/>
      <c r="O765" s="64"/>
    </row>
    <row r="766">
      <c r="B766" s="18"/>
      <c r="C766" s="18"/>
      <c r="D766" s="18"/>
      <c r="E766" s="22"/>
      <c r="F766" s="24"/>
      <c r="G766" s="72"/>
      <c r="N766" s="56"/>
      <c r="O766" s="64"/>
    </row>
    <row r="767">
      <c r="B767" s="18"/>
      <c r="C767" s="18"/>
      <c r="D767" s="18"/>
      <c r="E767" s="22"/>
      <c r="F767" s="24"/>
      <c r="G767" s="72"/>
      <c r="N767" s="56"/>
      <c r="O767" s="64"/>
    </row>
    <row r="768">
      <c r="B768" s="18"/>
      <c r="C768" s="18"/>
      <c r="D768" s="18"/>
      <c r="E768" s="22"/>
      <c r="F768" s="24"/>
      <c r="G768" s="72"/>
      <c r="N768" s="56"/>
      <c r="O768" s="64"/>
    </row>
    <row r="769">
      <c r="B769" s="18"/>
      <c r="C769" s="18"/>
      <c r="D769" s="18"/>
      <c r="E769" s="22"/>
      <c r="F769" s="24"/>
      <c r="G769" s="72"/>
      <c r="N769" s="56"/>
      <c r="O769" s="64"/>
    </row>
    <row r="770">
      <c r="B770" s="18"/>
      <c r="C770" s="18"/>
      <c r="D770" s="18"/>
      <c r="E770" s="22"/>
      <c r="F770" s="24"/>
      <c r="G770" s="72"/>
      <c r="N770" s="56"/>
      <c r="O770" s="64"/>
    </row>
    <row r="771">
      <c r="B771" s="18"/>
      <c r="C771" s="18"/>
      <c r="D771" s="18"/>
      <c r="E771" s="22"/>
      <c r="F771" s="24"/>
      <c r="G771" s="72"/>
      <c r="N771" s="56"/>
      <c r="O771" s="64"/>
    </row>
    <row r="772">
      <c r="B772" s="18"/>
      <c r="C772" s="18"/>
      <c r="D772" s="18"/>
      <c r="E772" s="22"/>
      <c r="F772" s="24"/>
      <c r="G772" s="72"/>
      <c r="N772" s="56"/>
      <c r="O772" s="64"/>
    </row>
    <row r="773">
      <c r="B773" s="18"/>
      <c r="C773" s="18"/>
      <c r="D773" s="18"/>
      <c r="E773" s="22"/>
      <c r="F773" s="24"/>
      <c r="G773" s="72"/>
      <c r="N773" s="56"/>
      <c r="O773" s="64"/>
    </row>
    <row r="774">
      <c r="B774" s="18"/>
      <c r="C774" s="18"/>
      <c r="D774" s="18"/>
      <c r="E774" s="22"/>
      <c r="F774" s="24"/>
      <c r="G774" s="72"/>
      <c r="N774" s="56"/>
      <c r="O774" s="64"/>
    </row>
    <row r="775">
      <c r="B775" s="18"/>
      <c r="C775" s="18"/>
      <c r="D775" s="18"/>
      <c r="E775" s="22"/>
      <c r="F775" s="24"/>
      <c r="G775" s="72"/>
      <c r="N775" s="56"/>
      <c r="O775" s="64"/>
    </row>
    <row r="776">
      <c r="B776" s="18"/>
      <c r="C776" s="18"/>
      <c r="D776" s="18"/>
      <c r="E776" s="22"/>
      <c r="F776" s="24"/>
      <c r="G776" s="72"/>
      <c r="N776" s="56"/>
      <c r="O776" s="64"/>
    </row>
    <row r="777">
      <c r="B777" s="18"/>
      <c r="C777" s="18"/>
      <c r="D777" s="18"/>
      <c r="E777" s="22"/>
      <c r="F777" s="24"/>
      <c r="G777" s="72"/>
      <c r="N777" s="56"/>
      <c r="O777" s="64"/>
    </row>
    <row r="778">
      <c r="B778" s="18"/>
      <c r="C778" s="18"/>
      <c r="D778" s="18"/>
      <c r="E778" s="22"/>
      <c r="F778" s="24"/>
      <c r="G778" s="72"/>
      <c r="N778" s="56"/>
      <c r="O778" s="64"/>
    </row>
    <row r="779">
      <c r="B779" s="18"/>
      <c r="C779" s="18"/>
      <c r="D779" s="18"/>
      <c r="E779" s="22"/>
      <c r="F779" s="24"/>
      <c r="G779" s="72"/>
      <c r="N779" s="56"/>
      <c r="O779" s="64"/>
    </row>
    <row r="780">
      <c r="B780" s="18"/>
      <c r="C780" s="18"/>
      <c r="D780" s="18"/>
      <c r="E780" s="22"/>
      <c r="F780" s="24"/>
      <c r="G780" s="72"/>
      <c r="N780" s="56"/>
      <c r="O780" s="64"/>
    </row>
    <row r="781">
      <c r="B781" s="18"/>
      <c r="C781" s="18"/>
      <c r="D781" s="18"/>
      <c r="E781" s="22"/>
      <c r="F781" s="24"/>
      <c r="G781" s="72"/>
      <c r="N781" s="56"/>
      <c r="O781" s="64"/>
    </row>
    <row r="782">
      <c r="B782" s="18"/>
      <c r="C782" s="18"/>
      <c r="D782" s="18"/>
      <c r="E782" s="22"/>
      <c r="F782" s="24"/>
      <c r="G782" s="72"/>
      <c r="N782" s="56"/>
      <c r="O782" s="64"/>
    </row>
    <row r="783">
      <c r="B783" s="18"/>
      <c r="C783" s="18"/>
      <c r="D783" s="18"/>
      <c r="E783" s="22"/>
      <c r="F783" s="24"/>
      <c r="G783" s="72"/>
      <c r="N783" s="56"/>
      <c r="O783" s="64"/>
    </row>
    <row r="784">
      <c r="B784" s="18"/>
      <c r="C784" s="18"/>
      <c r="D784" s="18"/>
      <c r="E784" s="22"/>
      <c r="F784" s="24"/>
      <c r="G784" s="72"/>
      <c r="N784" s="56"/>
      <c r="O784" s="64"/>
    </row>
    <row r="785">
      <c r="B785" s="18"/>
      <c r="C785" s="18"/>
      <c r="D785" s="18"/>
      <c r="E785" s="22"/>
      <c r="F785" s="24"/>
      <c r="G785" s="72"/>
      <c r="N785" s="56"/>
      <c r="O785" s="64"/>
    </row>
    <row r="786">
      <c r="B786" s="18"/>
      <c r="C786" s="18"/>
      <c r="D786" s="18"/>
      <c r="E786" s="22"/>
      <c r="F786" s="24"/>
      <c r="G786" s="72"/>
      <c r="N786" s="56"/>
      <c r="O786" s="64"/>
    </row>
    <row r="787">
      <c r="B787" s="18"/>
      <c r="C787" s="18"/>
      <c r="D787" s="18"/>
      <c r="E787" s="22"/>
      <c r="F787" s="24"/>
      <c r="G787" s="72"/>
      <c r="N787" s="56"/>
      <c r="O787" s="64"/>
    </row>
    <row r="788">
      <c r="B788" s="18"/>
      <c r="C788" s="18"/>
      <c r="D788" s="18"/>
      <c r="E788" s="22"/>
      <c r="F788" s="24"/>
      <c r="G788" s="72"/>
      <c r="N788" s="56"/>
      <c r="O788" s="64"/>
    </row>
    <row r="789">
      <c r="B789" s="18"/>
      <c r="C789" s="18"/>
      <c r="D789" s="18"/>
      <c r="E789" s="22"/>
      <c r="F789" s="24"/>
      <c r="G789" s="72"/>
      <c r="N789" s="56"/>
      <c r="O789" s="64"/>
    </row>
    <row r="790">
      <c r="B790" s="18"/>
      <c r="C790" s="18"/>
      <c r="D790" s="18"/>
      <c r="E790" s="22"/>
      <c r="F790" s="24"/>
      <c r="G790" s="72"/>
      <c r="N790" s="56"/>
      <c r="O790" s="64"/>
    </row>
    <row r="791">
      <c r="B791" s="18"/>
      <c r="C791" s="18"/>
      <c r="D791" s="18"/>
      <c r="E791" s="22"/>
      <c r="F791" s="24"/>
      <c r="G791" s="72"/>
      <c r="N791" s="56"/>
      <c r="O791" s="64"/>
    </row>
    <row r="792">
      <c r="B792" s="18"/>
      <c r="C792" s="18"/>
      <c r="D792" s="18"/>
      <c r="E792" s="22"/>
      <c r="F792" s="24"/>
      <c r="G792" s="72"/>
      <c r="N792" s="56"/>
      <c r="O792" s="64"/>
    </row>
    <row r="793">
      <c r="B793" s="18"/>
      <c r="C793" s="18"/>
      <c r="D793" s="18"/>
      <c r="E793" s="22"/>
      <c r="F793" s="24"/>
      <c r="G793" s="72"/>
      <c r="N793" s="56"/>
      <c r="O793" s="64"/>
    </row>
    <row r="794">
      <c r="B794" s="18"/>
      <c r="C794" s="18"/>
      <c r="D794" s="18"/>
      <c r="E794" s="22"/>
      <c r="F794" s="24"/>
      <c r="G794" s="72"/>
      <c r="N794" s="56"/>
      <c r="O794" s="64"/>
    </row>
    <row r="795">
      <c r="B795" s="18"/>
      <c r="C795" s="18"/>
      <c r="D795" s="18"/>
      <c r="E795" s="22"/>
      <c r="F795" s="24"/>
      <c r="G795" s="72"/>
      <c r="N795" s="56"/>
      <c r="O795" s="64"/>
    </row>
    <row r="796">
      <c r="B796" s="18"/>
      <c r="C796" s="18"/>
      <c r="D796" s="18"/>
      <c r="E796" s="22"/>
      <c r="F796" s="24"/>
      <c r="G796" s="72"/>
      <c r="N796" s="56"/>
      <c r="O796" s="64"/>
    </row>
    <row r="797">
      <c r="B797" s="18"/>
      <c r="C797" s="18"/>
      <c r="D797" s="18"/>
      <c r="E797" s="22"/>
      <c r="F797" s="24"/>
      <c r="G797" s="72"/>
      <c r="N797" s="56"/>
      <c r="O797" s="64"/>
    </row>
    <row r="798">
      <c r="B798" s="18"/>
      <c r="C798" s="18"/>
      <c r="D798" s="18"/>
      <c r="E798" s="22"/>
      <c r="F798" s="24"/>
      <c r="G798" s="72"/>
      <c r="N798" s="56"/>
      <c r="O798" s="64"/>
    </row>
    <row r="799">
      <c r="B799" s="18"/>
      <c r="C799" s="18"/>
      <c r="D799" s="18"/>
      <c r="E799" s="22"/>
      <c r="F799" s="24"/>
      <c r="G799" s="72"/>
      <c r="N799" s="56"/>
      <c r="O799" s="64"/>
    </row>
    <row r="800">
      <c r="B800" s="18"/>
      <c r="C800" s="18"/>
      <c r="D800" s="18"/>
      <c r="E800" s="22"/>
      <c r="F800" s="24"/>
      <c r="G800" s="72"/>
      <c r="N800" s="56"/>
      <c r="O800" s="64"/>
    </row>
    <row r="801">
      <c r="B801" s="18"/>
      <c r="C801" s="18"/>
      <c r="D801" s="18"/>
      <c r="E801" s="22"/>
      <c r="F801" s="24"/>
      <c r="G801" s="72"/>
      <c r="N801" s="56"/>
      <c r="O801" s="64"/>
    </row>
    <row r="802">
      <c r="B802" s="18"/>
      <c r="C802" s="18"/>
      <c r="D802" s="18"/>
      <c r="E802" s="22"/>
      <c r="F802" s="24"/>
      <c r="G802" s="72"/>
      <c r="N802" s="56"/>
      <c r="O802" s="64"/>
    </row>
    <row r="803">
      <c r="B803" s="18"/>
      <c r="C803" s="18"/>
      <c r="D803" s="18"/>
      <c r="E803" s="22"/>
      <c r="F803" s="24"/>
      <c r="G803" s="72"/>
      <c r="N803" s="56"/>
      <c r="O803" s="64"/>
    </row>
    <row r="804">
      <c r="B804" s="18"/>
      <c r="C804" s="18"/>
      <c r="D804" s="18"/>
      <c r="E804" s="22"/>
      <c r="F804" s="24"/>
      <c r="G804" s="72"/>
      <c r="N804" s="56"/>
      <c r="O804" s="64"/>
    </row>
    <row r="805">
      <c r="B805" s="18"/>
      <c r="C805" s="18"/>
      <c r="D805" s="18"/>
      <c r="E805" s="22"/>
      <c r="F805" s="24"/>
      <c r="G805" s="72"/>
      <c r="N805" s="56"/>
      <c r="O805" s="64"/>
    </row>
    <row r="806">
      <c r="B806" s="18"/>
      <c r="C806" s="18"/>
      <c r="D806" s="18"/>
      <c r="E806" s="22"/>
      <c r="F806" s="24"/>
      <c r="G806" s="72"/>
      <c r="N806" s="56"/>
      <c r="O806" s="64"/>
    </row>
    <row r="807">
      <c r="B807" s="18"/>
      <c r="C807" s="18"/>
      <c r="D807" s="18"/>
      <c r="E807" s="22"/>
      <c r="F807" s="24"/>
      <c r="G807" s="72"/>
      <c r="N807" s="56"/>
      <c r="O807" s="64"/>
    </row>
    <row r="808">
      <c r="B808" s="18"/>
      <c r="C808" s="18"/>
      <c r="D808" s="18"/>
      <c r="E808" s="22"/>
      <c r="F808" s="24"/>
      <c r="G808" s="72"/>
      <c r="N808" s="56"/>
      <c r="O808" s="64"/>
    </row>
    <row r="809">
      <c r="B809" s="18"/>
      <c r="C809" s="18"/>
      <c r="D809" s="18"/>
      <c r="E809" s="22"/>
      <c r="F809" s="24"/>
      <c r="G809" s="72"/>
      <c r="N809" s="56"/>
      <c r="O809" s="64"/>
    </row>
    <row r="810">
      <c r="B810" s="18"/>
      <c r="C810" s="18"/>
      <c r="D810" s="18"/>
      <c r="E810" s="22"/>
      <c r="F810" s="24"/>
      <c r="G810" s="72"/>
      <c r="N810" s="56"/>
      <c r="O810" s="64"/>
    </row>
    <row r="811">
      <c r="B811" s="18"/>
      <c r="C811" s="18"/>
      <c r="D811" s="18"/>
      <c r="E811" s="22"/>
      <c r="F811" s="24"/>
      <c r="G811" s="72"/>
      <c r="N811" s="56"/>
      <c r="O811" s="64"/>
    </row>
    <row r="812">
      <c r="B812" s="18"/>
      <c r="C812" s="18"/>
      <c r="D812" s="18"/>
      <c r="E812" s="22"/>
      <c r="F812" s="24"/>
      <c r="G812" s="72"/>
      <c r="N812" s="56"/>
      <c r="O812" s="64"/>
    </row>
    <row r="813">
      <c r="B813" s="18"/>
      <c r="C813" s="18"/>
      <c r="D813" s="18"/>
      <c r="E813" s="22"/>
      <c r="F813" s="24"/>
      <c r="G813" s="72"/>
      <c r="N813" s="56"/>
      <c r="O813" s="64"/>
    </row>
    <row r="814">
      <c r="B814" s="18"/>
      <c r="C814" s="18"/>
      <c r="D814" s="18"/>
      <c r="E814" s="22"/>
      <c r="F814" s="24"/>
      <c r="G814" s="72"/>
      <c r="N814" s="56"/>
      <c r="O814" s="64"/>
    </row>
    <row r="815">
      <c r="B815" s="18"/>
      <c r="C815" s="18"/>
      <c r="D815" s="18"/>
      <c r="E815" s="22"/>
      <c r="F815" s="24"/>
      <c r="G815" s="72"/>
      <c r="N815" s="56"/>
      <c r="O815" s="64"/>
    </row>
    <row r="816">
      <c r="B816" s="18"/>
      <c r="C816" s="18"/>
      <c r="D816" s="18"/>
      <c r="E816" s="22"/>
      <c r="F816" s="24"/>
      <c r="G816" s="72"/>
      <c r="N816" s="56"/>
      <c r="O816" s="64"/>
    </row>
    <row r="817">
      <c r="B817" s="18"/>
      <c r="C817" s="18"/>
      <c r="D817" s="18"/>
      <c r="E817" s="22"/>
      <c r="F817" s="24"/>
      <c r="G817" s="72"/>
      <c r="N817" s="56"/>
      <c r="O817" s="64"/>
    </row>
    <row r="818">
      <c r="B818" s="18"/>
      <c r="C818" s="18"/>
      <c r="D818" s="18"/>
      <c r="E818" s="22"/>
      <c r="F818" s="24"/>
      <c r="G818" s="72"/>
      <c r="N818" s="56"/>
      <c r="O818" s="64"/>
    </row>
    <row r="819">
      <c r="B819" s="18"/>
      <c r="C819" s="18"/>
      <c r="D819" s="18"/>
      <c r="E819" s="22"/>
      <c r="F819" s="24"/>
      <c r="G819" s="72"/>
      <c r="N819" s="56"/>
      <c r="O819" s="64"/>
    </row>
    <row r="820">
      <c r="B820" s="18"/>
      <c r="C820" s="18"/>
      <c r="D820" s="18"/>
      <c r="E820" s="22"/>
      <c r="F820" s="24"/>
      <c r="G820" s="72"/>
      <c r="N820" s="56"/>
      <c r="O820" s="64"/>
    </row>
    <row r="821">
      <c r="B821" s="18"/>
      <c r="C821" s="18"/>
      <c r="D821" s="18"/>
      <c r="E821" s="22"/>
      <c r="F821" s="24"/>
      <c r="G821" s="72"/>
      <c r="N821" s="56"/>
      <c r="O821" s="64"/>
    </row>
    <row r="822">
      <c r="B822" s="18"/>
      <c r="C822" s="18"/>
      <c r="D822" s="18"/>
      <c r="E822" s="22"/>
      <c r="F822" s="24"/>
      <c r="G822" s="72"/>
      <c r="N822" s="56"/>
      <c r="O822" s="64"/>
    </row>
    <row r="823">
      <c r="B823" s="18"/>
      <c r="C823" s="18"/>
      <c r="D823" s="18"/>
      <c r="E823" s="22"/>
      <c r="F823" s="24"/>
      <c r="G823" s="72"/>
      <c r="N823" s="56"/>
      <c r="O823" s="64"/>
    </row>
    <row r="824">
      <c r="B824" s="18"/>
      <c r="C824" s="18"/>
      <c r="D824" s="18"/>
      <c r="E824" s="22"/>
      <c r="F824" s="24"/>
      <c r="G824" s="72"/>
      <c r="N824" s="56"/>
      <c r="O824" s="64"/>
    </row>
    <row r="825">
      <c r="B825" s="18"/>
      <c r="C825" s="18"/>
      <c r="D825" s="18"/>
      <c r="E825" s="22"/>
      <c r="F825" s="24"/>
      <c r="G825" s="72"/>
      <c r="N825" s="56"/>
      <c r="O825" s="64"/>
    </row>
    <row r="826">
      <c r="B826" s="18"/>
      <c r="C826" s="18"/>
      <c r="D826" s="18"/>
      <c r="E826" s="22"/>
      <c r="F826" s="24"/>
      <c r="G826" s="72"/>
      <c r="N826" s="56"/>
      <c r="O826" s="64"/>
    </row>
    <row r="827">
      <c r="B827" s="18"/>
      <c r="C827" s="18"/>
      <c r="D827" s="18"/>
      <c r="E827" s="22"/>
      <c r="F827" s="24"/>
      <c r="G827" s="72"/>
      <c r="N827" s="56"/>
      <c r="O827" s="64"/>
    </row>
    <row r="828">
      <c r="B828" s="18"/>
      <c r="C828" s="18"/>
      <c r="D828" s="18"/>
      <c r="E828" s="22"/>
      <c r="F828" s="24"/>
      <c r="G828" s="72"/>
      <c r="N828" s="56"/>
      <c r="O828" s="64"/>
    </row>
    <row r="829">
      <c r="B829" s="18"/>
      <c r="C829" s="18"/>
      <c r="D829" s="18"/>
      <c r="E829" s="22"/>
      <c r="F829" s="24"/>
      <c r="G829" s="72"/>
      <c r="N829" s="56"/>
      <c r="O829" s="64"/>
    </row>
    <row r="830">
      <c r="B830" s="18"/>
      <c r="C830" s="18"/>
      <c r="D830" s="18"/>
      <c r="E830" s="22"/>
      <c r="F830" s="24"/>
      <c r="G830" s="72"/>
      <c r="N830" s="56"/>
      <c r="O830" s="64"/>
    </row>
    <row r="831">
      <c r="B831" s="18"/>
      <c r="C831" s="18"/>
      <c r="D831" s="18"/>
      <c r="E831" s="22"/>
      <c r="F831" s="24"/>
      <c r="G831" s="72"/>
      <c r="N831" s="56"/>
      <c r="O831" s="64"/>
    </row>
    <row r="832">
      <c r="B832" s="18"/>
      <c r="C832" s="18"/>
      <c r="D832" s="18"/>
      <c r="E832" s="22"/>
      <c r="F832" s="24"/>
      <c r="G832" s="72"/>
      <c r="N832" s="56"/>
      <c r="O832" s="64"/>
    </row>
    <row r="833">
      <c r="B833" s="18"/>
      <c r="C833" s="18"/>
      <c r="D833" s="18"/>
      <c r="E833" s="22"/>
      <c r="F833" s="24"/>
      <c r="G833" s="72"/>
      <c r="N833" s="56"/>
      <c r="O833" s="64"/>
    </row>
    <row r="834">
      <c r="B834" s="18"/>
      <c r="C834" s="18"/>
      <c r="D834" s="18"/>
      <c r="E834" s="22"/>
      <c r="F834" s="24"/>
      <c r="G834" s="72"/>
      <c r="N834" s="56"/>
      <c r="O834" s="64"/>
    </row>
    <row r="835">
      <c r="B835" s="18"/>
      <c r="C835" s="18"/>
      <c r="D835" s="18"/>
      <c r="E835" s="22"/>
      <c r="F835" s="24"/>
      <c r="G835" s="72"/>
      <c r="N835" s="56"/>
      <c r="O835" s="64"/>
    </row>
    <row r="836">
      <c r="B836" s="18"/>
      <c r="C836" s="18"/>
      <c r="D836" s="18"/>
      <c r="E836" s="22"/>
      <c r="F836" s="24"/>
      <c r="G836" s="72"/>
      <c r="N836" s="56"/>
      <c r="O836" s="64"/>
    </row>
    <row r="837">
      <c r="B837" s="18"/>
      <c r="C837" s="18"/>
      <c r="D837" s="18"/>
      <c r="E837" s="22"/>
      <c r="F837" s="24"/>
      <c r="G837" s="72"/>
      <c r="N837" s="56"/>
      <c r="O837" s="64"/>
    </row>
    <row r="838">
      <c r="B838" s="18"/>
      <c r="C838" s="18"/>
      <c r="D838" s="18"/>
      <c r="E838" s="22"/>
      <c r="F838" s="24"/>
      <c r="G838" s="72"/>
      <c r="N838" s="56"/>
      <c r="O838" s="64"/>
    </row>
    <row r="839">
      <c r="B839" s="18"/>
      <c r="C839" s="18"/>
      <c r="D839" s="18"/>
      <c r="E839" s="22"/>
      <c r="F839" s="24"/>
      <c r="G839" s="72"/>
      <c r="N839" s="56"/>
      <c r="O839" s="64"/>
    </row>
    <row r="840">
      <c r="B840" s="18"/>
      <c r="C840" s="18"/>
      <c r="D840" s="18"/>
      <c r="E840" s="22"/>
      <c r="F840" s="24"/>
      <c r="G840" s="72"/>
      <c r="N840" s="56"/>
      <c r="O840" s="64"/>
    </row>
    <row r="841">
      <c r="B841" s="18"/>
      <c r="C841" s="18"/>
      <c r="D841" s="18"/>
      <c r="E841" s="22"/>
      <c r="F841" s="24"/>
      <c r="G841" s="72"/>
      <c r="N841" s="56"/>
      <c r="O841" s="64"/>
    </row>
    <row r="842">
      <c r="B842" s="18"/>
      <c r="C842" s="18"/>
      <c r="D842" s="18"/>
      <c r="E842" s="22"/>
      <c r="F842" s="24"/>
      <c r="G842" s="72"/>
      <c r="N842" s="56"/>
      <c r="O842" s="64"/>
    </row>
    <row r="843">
      <c r="B843" s="18"/>
      <c r="C843" s="18"/>
      <c r="D843" s="18"/>
      <c r="E843" s="22"/>
      <c r="F843" s="24"/>
      <c r="G843" s="72"/>
      <c r="N843" s="56"/>
      <c r="O843" s="64"/>
    </row>
    <row r="844">
      <c r="B844" s="18"/>
      <c r="C844" s="18"/>
      <c r="D844" s="18"/>
      <c r="E844" s="22"/>
      <c r="F844" s="24"/>
      <c r="G844" s="72"/>
      <c r="N844" s="56"/>
      <c r="O844" s="64"/>
    </row>
    <row r="845">
      <c r="B845" s="18"/>
      <c r="C845" s="18"/>
      <c r="D845" s="18"/>
      <c r="E845" s="22"/>
      <c r="F845" s="24"/>
      <c r="G845" s="72"/>
      <c r="N845" s="56"/>
      <c r="O845" s="64"/>
    </row>
    <row r="846">
      <c r="B846" s="18"/>
      <c r="C846" s="18"/>
      <c r="D846" s="18"/>
      <c r="E846" s="22"/>
      <c r="F846" s="24"/>
      <c r="G846" s="72"/>
      <c r="N846" s="56"/>
      <c r="O846" s="64"/>
    </row>
    <row r="847">
      <c r="B847" s="18"/>
      <c r="C847" s="18"/>
      <c r="D847" s="18"/>
      <c r="E847" s="22"/>
      <c r="F847" s="24"/>
      <c r="G847" s="72"/>
      <c r="N847" s="56"/>
      <c r="O847" s="64"/>
    </row>
    <row r="848">
      <c r="B848" s="18"/>
      <c r="C848" s="18"/>
      <c r="D848" s="18"/>
      <c r="E848" s="22"/>
      <c r="F848" s="24"/>
      <c r="G848" s="72"/>
      <c r="N848" s="56"/>
      <c r="O848" s="64"/>
    </row>
    <row r="849">
      <c r="B849" s="18"/>
      <c r="C849" s="18"/>
      <c r="D849" s="18"/>
      <c r="E849" s="22"/>
      <c r="F849" s="24"/>
      <c r="G849" s="72"/>
      <c r="N849" s="56"/>
      <c r="O849" s="64"/>
    </row>
    <row r="850">
      <c r="B850" s="18"/>
      <c r="C850" s="18"/>
      <c r="D850" s="18"/>
      <c r="E850" s="22"/>
      <c r="F850" s="24"/>
      <c r="G850" s="72"/>
      <c r="N850" s="56"/>
      <c r="O850" s="64"/>
    </row>
    <row r="851">
      <c r="B851" s="18"/>
      <c r="C851" s="18"/>
      <c r="D851" s="18"/>
      <c r="E851" s="22"/>
      <c r="F851" s="24"/>
      <c r="G851" s="72"/>
      <c r="N851" s="56"/>
      <c r="O851" s="64"/>
    </row>
    <row r="852">
      <c r="B852" s="18"/>
      <c r="C852" s="18"/>
      <c r="D852" s="18"/>
      <c r="E852" s="22"/>
      <c r="F852" s="24"/>
      <c r="G852" s="72"/>
      <c r="N852" s="56"/>
      <c r="O852" s="64"/>
    </row>
    <row r="853">
      <c r="B853" s="18"/>
      <c r="C853" s="18"/>
      <c r="D853" s="18"/>
      <c r="E853" s="22"/>
      <c r="F853" s="24"/>
      <c r="G853" s="72"/>
      <c r="N853" s="56"/>
      <c r="O853" s="64"/>
    </row>
    <row r="854">
      <c r="B854" s="18"/>
      <c r="C854" s="18"/>
      <c r="D854" s="18"/>
      <c r="E854" s="22"/>
      <c r="F854" s="24"/>
      <c r="G854" s="72"/>
      <c r="N854" s="56"/>
      <c r="O854" s="64"/>
    </row>
    <row r="855">
      <c r="B855" s="18"/>
      <c r="C855" s="18"/>
      <c r="D855" s="18"/>
      <c r="E855" s="22"/>
      <c r="F855" s="24"/>
      <c r="G855" s="72"/>
      <c r="N855" s="56"/>
      <c r="O855" s="64"/>
    </row>
    <row r="856">
      <c r="B856" s="18"/>
      <c r="C856" s="18"/>
      <c r="D856" s="18"/>
      <c r="E856" s="22"/>
      <c r="F856" s="24"/>
      <c r="G856" s="72"/>
      <c r="N856" s="56"/>
      <c r="O856" s="64"/>
    </row>
    <row r="857">
      <c r="B857" s="18"/>
      <c r="C857" s="18"/>
      <c r="D857" s="18"/>
      <c r="E857" s="22"/>
      <c r="F857" s="24"/>
      <c r="G857" s="72"/>
      <c r="N857" s="56"/>
      <c r="O857" s="64"/>
    </row>
    <row r="858">
      <c r="B858" s="18"/>
      <c r="C858" s="18"/>
      <c r="D858" s="18"/>
      <c r="E858" s="22"/>
      <c r="F858" s="24"/>
      <c r="G858" s="72"/>
      <c r="N858" s="56"/>
      <c r="O858" s="64"/>
    </row>
    <row r="859">
      <c r="B859" s="18"/>
      <c r="C859" s="18"/>
      <c r="D859" s="18"/>
      <c r="E859" s="22"/>
      <c r="F859" s="24"/>
      <c r="G859" s="72"/>
      <c r="N859" s="56"/>
      <c r="O859" s="64"/>
    </row>
    <row r="860">
      <c r="B860" s="18"/>
      <c r="C860" s="18"/>
      <c r="D860" s="18"/>
      <c r="E860" s="22"/>
      <c r="F860" s="24"/>
      <c r="G860" s="72"/>
      <c r="N860" s="56"/>
      <c r="O860" s="64"/>
    </row>
    <row r="861">
      <c r="B861" s="18"/>
      <c r="C861" s="18"/>
      <c r="D861" s="18"/>
      <c r="E861" s="22"/>
      <c r="F861" s="24"/>
      <c r="G861" s="72"/>
      <c r="N861" s="56"/>
      <c r="O861" s="64"/>
    </row>
    <row r="862">
      <c r="B862" s="18"/>
      <c r="C862" s="18"/>
      <c r="D862" s="18"/>
      <c r="E862" s="22"/>
      <c r="F862" s="24"/>
      <c r="G862" s="72"/>
      <c r="N862" s="56"/>
      <c r="O862" s="64"/>
    </row>
    <row r="863">
      <c r="B863" s="18"/>
      <c r="C863" s="18"/>
      <c r="D863" s="18"/>
      <c r="E863" s="22"/>
      <c r="F863" s="24"/>
      <c r="G863" s="72"/>
      <c r="N863" s="56"/>
      <c r="O863" s="64"/>
    </row>
    <row r="864">
      <c r="B864" s="18"/>
      <c r="C864" s="18"/>
      <c r="D864" s="18"/>
      <c r="E864" s="22"/>
      <c r="F864" s="24"/>
      <c r="G864" s="72"/>
      <c r="N864" s="56"/>
      <c r="O864" s="64"/>
    </row>
    <row r="865">
      <c r="B865" s="18"/>
      <c r="C865" s="18"/>
      <c r="D865" s="18"/>
      <c r="E865" s="22"/>
      <c r="F865" s="24"/>
      <c r="G865" s="72"/>
      <c r="N865" s="56"/>
      <c r="O865" s="64"/>
    </row>
    <row r="866">
      <c r="B866" s="18"/>
      <c r="C866" s="18"/>
      <c r="D866" s="18"/>
      <c r="E866" s="22"/>
      <c r="F866" s="24"/>
      <c r="G866" s="72"/>
      <c r="N866" s="56"/>
      <c r="O866" s="64"/>
    </row>
    <row r="867">
      <c r="B867" s="18"/>
      <c r="C867" s="18"/>
      <c r="D867" s="18"/>
      <c r="E867" s="22"/>
      <c r="F867" s="24"/>
      <c r="G867" s="72"/>
      <c r="N867" s="56"/>
      <c r="O867" s="64"/>
    </row>
    <row r="868">
      <c r="B868" s="18"/>
      <c r="C868" s="18"/>
      <c r="D868" s="18"/>
      <c r="E868" s="22"/>
      <c r="F868" s="24"/>
      <c r="G868" s="72"/>
      <c r="N868" s="56"/>
      <c r="O868" s="64"/>
    </row>
    <row r="869">
      <c r="B869" s="18"/>
      <c r="C869" s="18"/>
      <c r="D869" s="18"/>
      <c r="E869" s="22"/>
      <c r="F869" s="24"/>
      <c r="G869" s="72"/>
      <c r="N869" s="56"/>
      <c r="O869" s="64"/>
    </row>
    <row r="870">
      <c r="B870" s="18"/>
      <c r="C870" s="18"/>
      <c r="D870" s="18"/>
      <c r="E870" s="22"/>
      <c r="F870" s="24"/>
      <c r="G870" s="72"/>
      <c r="N870" s="56"/>
      <c r="O870" s="64"/>
    </row>
    <row r="871">
      <c r="B871" s="18"/>
      <c r="C871" s="18"/>
      <c r="D871" s="18"/>
      <c r="E871" s="22"/>
      <c r="F871" s="24"/>
      <c r="G871" s="72"/>
      <c r="N871" s="56"/>
      <c r="O871" s="64"/>
    </row>
    <row r="872">
      <c r="B872" s="18"/>
      <c r="C872" s="18"/>
      <c r="D872" s="18"/>
      <c r="E872" s="22"/>
      <c r="F872" s="24"/>
      <c r="G872" s="72"/>
      <c r="N872" s="56"/>
      <c r="O872" s="64"/>
    </row>
    <row r="873">
      <c r="B873" s="18"/>
      <c r="C873" s="18"/>
      <c r="D873" s="18"/>
      <c r="E873" s="22"/>
      <c r="F873" s="24"/>
      <c r="G873" s="72"/>
      <c r="N873" s="56"/>
      <c r="O873" s="64"/>
    </row>
    <row r="874">
      <c r="B874" s="18"/>
      <c r="C874" s="18"/>
      <c r="D874" s="18"/>
      <c r="E874" s="22"/>
      <c r="F874" s="24"/>
      <c r="G874" s="72"/>
      <c r="N874" s="56"/>
      <c r="O874" s="64"/>
    </row>
    <row r="875">
      <c r="B875" s="18"/>
      <c r="C875" s="18"/>
      <c r="D875" s="18"/>
      <c r="E875" s="22"/>
      <c r="F875" s="24"/>
      <c r="G875" s="72"/>
      <c r="N875" s="56"/>
      <c r="O875" s="64"/>
    </row>
    <row r="876">
      <c r="B876" s="18"/>
      <c r="C876" s="18"/>
      <c r="D876" s="18"/>
      <c r="E876" s="22"/>
      <c r="F876" s="24"/>
      <c r="G876" s="72"/>
      <c r="N876" s="56"/>
      <c r="O876" s="64"/>
    </row>
    <row r="877">
      <c r="B877" s="18"/>
      <c r="C877" s="18"/>
      <c r="D877" s="18"/>
      <c r="E877" s="22"/>
      <c r="F877" s="24"/>
      <c r="G877" s="72"/>
      <c r="N877" s="56"/>
      <c r="O877" s="64"/>
    </row>
    <row r="878">
      <c r="B878" s="18"/>
      <c r="C878" s="18"/>
      <c r="D878" s="18"/>
      <c r="E878" s="22"/>
      <c r="F878" s="24"/>
      <c r="G878" s="72"/>
      <c r="N878" s="56"/>
      <c r="O878" s="64"/>
    </row>
    <row r="879">
      <c r="B879" s="18"/>
      <c r="C879" s="18"/>
      <c r="D879" s="18"/>
      <c r="E879" s="22"/>
      <c r="F879" s="24"/>
      <c r="G879" s="72"/>
      <c r="N879" s="56"/>
      <c r="O879" s="64"/>
    </row>
    <row r="880">
      <c r="B880" s="18"/>
      <c r="C880" s="18"/>
      <c r="D880" s="18"/>
      <c r="E880" s="22"/>
      <c r="F880" s="24"/>
      <c r="G880" s="72"/>
      <c r="N880" s="56"/>
      <c r="O880" s="64"/>
    </row>
    <row r="881">
      <c r="B881" s="18"/>
      <c r="C881" s="18"/>
      <c r="D881" s="18"/>
      <c r="E881" s="22"/>
      <c r="F881" s="24"/>
      <c r="G881" s="72"/>
      <c r="N881" s="56"/>
      <c r="O881" s="64"/>
    </row>
    <row r="882">
      <c r="B882" s="18"/>
      <c r="C882" s="18"/>
      <c r="D882" s="18"/>
      <c r="E882" s="22"/>
      <c r="F882" s="24"/>
      <c r="G882" s="72"/>
      <c r="N882" s="56"/>
      <c r="O882" s="64"/>
    </row>
    <row r="883">
      <c r="B883" s="18"/>
      <c r="C883" s="18"/>
      <c r="D883" s="18"/>
      <c r="E883" s="22"/>
      <c r="F883" s="24"/>
      <c r="G883" s="72"/>
      <c r="N883" s="56"/>
      <c r="O883" s="64"/>
    </row>
    <row r="884">
      <c r="B884" s="18"/>
      <c r="C884" s="18"/>
      <c r="D884" s="18"/>
      <c r="E884" s="22"/>
      <c r="F884" s="24"/>
      <c r="G884" s="72"/>
      <c r="N884" s="56"/>
      <c r="O884" s="64"/>
    </row>
    <row r="885">
      <c r="B885" s="18"/>
      <c r="C885" s="18"/>
      <c r="D885" s="18"/>
      <c r="E885" s="22"/>
      <c r="F885" s="24"/>
      <c r="G885" s="72"/>
      <c r="N885" s="56"/>
      <c r="O885" s="64"/>
    </row>
    <row r="886">
      <c r="B886" s="18"/>
      <c r="C886" s="18"/>
      <c r="D886" s="18"/>
      <c r="E886" s="22"/>
      <c r="F886" s="24"/>
      <c r="G886" s="72"/>
      <c r="N886" s="56"/>
      <c r="O886" s="64"/>
    </row>
    <row r="887">
      <c r="B887" s="18"/>
      <c r="C887" s="18"/>
      <c r="D887" s="18"/>
      <c r="E887" s="22"/>
      <c r="F887" s="24"/>
      <c r="G887" s="72"/>
      <c r="N887" s="56"/>
      <c r="O887" s="64"/>
    </row>
    <row r="888">
      <c r="B888" s="18"/>
      <c r="C888" s="18"/>
      <c r="D888" s="18"/>
      <c r="E888" s="22"/>
      <c r="F888" s="24"/>
      <c r="G888" s="72"/>
      <c r="N888" s="56"/>
      <c r="O888" s="64"/>
    </row>
    <row r="889">
      <c r="B889" s="18"/>
      <c r="C889" s="18"/>
      <c r="D889" s="18"/>
      <c r="E889" s="22"/>
      <c r="F889" s="24"/>
      <c r="G889" s="72"/>
      <c r="N889" s="56"/>
      <c r="O889" s="64"/>
    </row>
    <row r="890">
      <c r="B890" s="18"/>
      <c r="C890" s="18"/>
      <c r="D890" s="18"/>
      <c r="E890" s="22"/>
      <c r="F890" s="24"/>
      <c r="G890" s="72"/>
      <c r="N890" s="56"/>
      <c r="O890" s="64"/>
    </row>
    <row r="891">
      <c r="B891" s="18"/>
      <c r="C891" s="18"/>
      <c r="D891" s="18"/>
      <c r="E891" s="22"/>
      <c r="F891" s="24"/>
      <c r="G891" s="72"/>
      <c r="N891" s="56"/>
      <c r="O891" s="64"/>
    </row>
    <row r="892">
      <c r="B892" s="18"/>
      <c r="C892" s="18"/>
      <c r="D892" s="18"/>
      <c r="E892" s="22"/>
      <c r="F892" s="24"/>
      <c r="G892" s="72"/>
      <c r="N892" s="56"/>
      <c r="O892" s="64"/>
    </row>
    <row r="893">
      <c r="B893" s="18"/>
      <c r="C893" s="18"/>
      <c r="D893" s="18"/>
      <c r="E893" s="22"/>
      <c r="F893" s="24"/>
      <c r="G893" s="72"/>
      <c r="N893" s="56"/>
      <c r="O893" s="64"/>
    </row>
    <row r="894">
      <c r="B894" s="18"/>
      <c r="C894" s="18"/>
      <c r="D894" s="18"/>
      <c r="E894" s="22"/>
      <c r="F894" s="24"/>
      <c r="G894" s="72"/>
      <c r="N894" s="56"/>
      <c r="O894" s="64"/>
    </row>
    <row r="895">
      <c r="B895" s="18"/>
      <c r="C895" s="18"/>
      <c r="D895" s="18"/>
      <c r="E895" s="22"/>
      <c r="F895" s="24"/>
      <c r="G895" s="72"/>
      <c r="N895" s="56"/>
      <c r="O895" s="64"/>
    </row>
    <row r="896">
      <c r="B896" s="18"/>
      <c r="C896" s="18"/>
      <c r="D896" s="18"/>
      <c r="E896" s="22"/>
      <c r="F896" s="24"/>
      <c r="G896" s="72"/>
      <c r="N896" s="56"/>
      <c r="O896" s="64"/>
    </row>
    <row r="897">
      <c r="B897" s="18"/>
      <c r="C897" s="18"/>
      <c r="D897" s="18"/>
      <c r="E897" s="22"/>
      <c r="F897" s="24"/>
      <c r="G897" s="72"/>
      <c r="N897" s="56"/>
      <c r="O897" s="64"/>
    </row>
    <row r="898">
      <c r="B898" s="18"/>
      <c r="C898" s="18"/>
      <c r="D898" s="18"/>
      <c r="E898" s="22"/>
      <c r="F898" s="24"/>
      <c r="G898" s="72"/>
      <c r="N898" s="56"/>
      <c r="O898" s="64"/>
    </row>
    <row r="899">
      <c r="B899" s="18"/>
      <c r="C899" s="18"/>
      <c r="D899" s="18"/>
      <c r="E899" s="22"/>
      <c r="F899" s="24"/>
      <c r="G899" s="72"/>
      <c r="N899" s="56"/>
      <c r="O899" s="64"/>
    </row>
    <row r="900">
      <c r="B900" s="18"/>
      <c r="C900" s="18"/>
      <c r="D900" s="18"/>
      <c r="E900" s="22"/>
      <c r="F900" s="24"/>
      <c r="G900" s="72"/>
      <c r="N900" s="56"/>
      <c r="O900" s="64"/>
    </row>
    <row r="901">
      <c r="B901" s="18"/>
      <c r="C901" s="18"/>
      <c r="D901" s="18"/>
      <c r="E901" s="22"/>
      <c r="F901" s="24"/>
      <c r="G901" s="72"/>
      <c r="N901" s="56"/>
      <c r="O901" s="64"/>
    </row>
    <row r="902">
      <c r="B902" s="18"/>
      <c r="C902" s="18"/>
      <c r="D902" s="18"/>
      <c r="E902" s="22"/>
      <c r="F902" s="24"/>
      <c r="G902" s="72"/>
      <c r="N902" s="56"/>
      <c r="O902" s="64"/>
    </row>
    <row r="903">
      <c r="B903" s="18"/>
      <c r="C903" s="18"/>
      <c r="D903" s="18"/>
      <c r="E903" s="22"/>
      <c r="F903" s="24"/>
      <c r="G903" s="72"/>
      <c r="N903" s="56"/>
      <c r="O903" s="64"/>
    </row>
    <row r="904">
      <c r="B904" s="18"/>
      <c r="C904" s="18"/>
      <c r="D904" s="18"/>
      <c r="E904" s="22"/>
      <c r="F904" s="24"/>
      <c r="G904" s="72"/>
      <c r="N904" s="56"/>
      <c r="O904" s="64"/>
    </row>
    <row r="905">
      <c r="B905" s="18"/>
      <c r="C905" s="18"/>
      <c r="D905" s="18"/>
      <c r="E905" s="22"/>
      <c r="F905" s="24"/>
      <c r="G905" s="72"/>
      <c r="N905" s="56"/>
      <c r="O905" s="64"/>
    </row>
    <row r="906">
      <c r="B906" s="18"/>
      <c r="C906" s="18"/>
      <c r="D906" s="18"/>
      <c r="E906" s="22"/>
      <c r="F906" s="24"/>
      <c r="G906" s="72"/>
      <c r="N906" s="56"/>
      <c r="O906" s="64"/>
    </row>
    <row r="907">
      <c r="B907" s="18"/>
      <c r="C907" s="18"/>
      <c r="D907" s="18"/>
      <c r="E907" s="22"/>
      <c r="F907" s="24"/>
      <c r="G907" s="72"/>
      <c r="N907" s="56"/>
      <c r="O907" s="64"/>
    </row>
    <row r="908">
      <c r="B908" s="18"/>
      <c r="C908" s="18"/>
      <c r="D908" s="18"/>
      <c r="E908" s="22"/>
      <c r="F908" s="24"/>
      <c r="G908" s="72"/>
      <c r="N908" s="56"/>
      <c r="O908" s="64"/>
    </row>
    <row r="909">
      <c r="B909" s="18"/>
      <c r="C909" s="18"/>
      <c r="D909" s="18"/>
      <c r="E909" s="22"/>
      <c r="F909" s="24"/>
      <c r="G909" s="72"/>
      <c r="N909" s="56"/>
      <c r="O909" s="64"/>
    </row>
    <row r="910">
      <c r="B910" s="18"/>
      <c r="C910" s="18"/>
      <c r="D910" s="18"/>
      <c r="E910" s="22"/>
      <c r="F910" s="24"/>
      <c r="G910" s="72"/>
      <c r="N910" s="56"/>
      <c r="O910" s="64"/>
    </row>
    <row r="911">
      <c r="B911" s="18"/>
      <c r="C911" s="18"/>
      <c r="D911" s="18"/>
      <c r="E911" s="22"/>
      <c r="F911" s="24"/>
      <c r="G911" s="72"/>
      <c r="N911" s="56"/>
      <c r="O911" s="64"/>
    </row>
    <row r="912">
      <c r="B912" s="18"/>
      <c r="C912" s="18"/>
      <c r="D912" s="18"/>
      <c r="E912" s="22"/>
      <c r="F912" s="24"/>
      <c r="G912" s="72"/>
      <c r="N912" s="56"/>
      <c r="O912" s="64"/>
    </row>
    <row r="913">
      <c r="B913" s="18"/>
      <c r="C913" s="18"/>
      <c r="D913" s="18"/>
      <c r="E913" s="22"/>
      <c r="F913" s="24"/>
      <c r="G913" s="72"/>
      <c r="N913" s="56"/>
      <c r="O913" s="64"/>
    </row>
    <row r="914">
      <c r="B914" s="18"/>
      <c r="C914" s="18"/>
      <c r="D914" s="18"/>
      <c r="E914" s="22"/>
      <c r="F914" s="24"/>
      <c r="G914" s="72"/>
      <c r="N914" s="56"/>
      <c r="O914" s="64"/>
    </row>
    <row r="915">
      <c r="B915" s="18"/>
      <c r="C915" s="18"/>
      <c r="D915" s="18"/>
      <c r="E915" s="22"/>
      <c r="F915" s="24"/>
      <c r="G915" s="72"/>
      <c r="N915" s="56"/>
      <c r="O915" s="64"/>
    </row>
    <row r="916">
      <c r="B916" s="18"/>
      <c r="C916" s="18"/>
      <c r="D916" s="18"/>
      <c r="E916" s="22"/>
      <c r="F916" s="24"/>
      <c r="G916" s="72"/>
      <c r="N916" s="56"/>
      <c r="O916" s="64"/>
    </row>
    <row r="917">
      <c r="B917" s="18"/>
      <c r="C917" s="18"/>
      <c r="D917" s="18"/>
      <c r="E917" s="22"/>
      <c r="F917" s="24"/>
      <c r="G917" s="72"/>
      <c r="N917" s="56"/>
      <c r="O917" s="64"/>
    </row>
    <row r="918">
      <c r="B918" s="18"/>
      <c r="C918" s="18"/>
      <c r="D918" s="18"/>
      <c r="E918" s="22"/>
      <c r="F918" s="24"/>
      <c r="G918" s="72"/>
      <c r="N918" s="56"/>
      <c r="O918" s="64"/>
    </row>
    <row r="919">
      <c r="B919" s="18"/>
      <c r="C919" s="18"/>
      <c r="D919" s="18"/>
      <c r="E919" s="22"/>
      <c r="F919" s="24"/>
      <c r="G919" s="72"/>
      <c r="N919" s="56"/>
      <c r="O919" s="64"/>
    </row>
    <row r="920">
      <c r="B920" s="18"/>
      <c r="C920" s="18"/>
      <c r="D920" s="18"/>
      <c r="E920" s="22"/>
      <c r="F920" s="24"/>
      <c r="G920" s="72"/>
      <c r="N920" s="56"/>
      <c r="O920" s="64"/>
    </row>
    <row r="921">
      <c r="B921" s="18"/>
      <c r="C921" s="18"/>
      <c r="D921" s="18"/>
      <c r="E921" s="22"/>
      <c r="F921" s="24"/>
      <c r="G921" s="72"/>
      <c r="N921" s="56"/>
      <c r="O921" s="64"/>
    </row>
    <row r="922">
      <c r="B922" s="18"/>
      <c r="C922" s="18"/>
      <c r="D922" s="18"/>
      <c r="E922" s="22"/>
      <c r="F922" s="24"/>
      <c r="G922" s="72"/>
      <c r="N922" s="56"/>
      <c r="O922" s="64"/>
    </row>
    <row r="923">
      <c r="B923" s="18"/>
      <c r="C923" s="18"/>
      <c r="D923" s="18"/>
      <c r="E923" s="22"/>
      <c r="F923" s="24"/>
      <c r="G923" s="72"/>
      <c r="N923" s="56"/>
      <c r="O923" s="64"/>
    </row>
    <row r="924">
      <c r="B924" s="18"/>
      <c r="C924" s="18"/>
      <c r="D924" s="18"/>
      <c r="E924" s="22"/>
      <c r="F924" s="24"/>
      <c r="G924" s="72"/>
      <c r="N924" s="56"/>
      <c r="O924" s="64"/>
    </row>
    <row r="925">
      <c r="B925" s="18"/>
      <c r="C925" s="18"/>
      <c r="D925" s="18"/>
      <c r="E925" s="22"/>
      <c r="F925" s="24"/>
      <c r="G925" s="72"/>
      <c r="N925" s="56"/>
      <c r="O925" s="64"/>
    </row>
    <row r="926">
      <c r="B926" s="18"/>
      <c r="C926" s="18"/>
      <c r="D926" s="18"/>
      <c r="E926" s="22"/>
      <c r="F926" s="24"/>
      <c r="G926" s="72"/>
      <c r="N926" s="56"/>
      <c r="O926" s="64"/>
    </row>
    <row r="927">
      <c r="B927" s="18"/>
      <c r="C927" s="18"/>
      <c r="D927" s="18"/>
      <c r="E927" s="22"/>
      <c r="F927" s="24"/>
      <c r="G927" s="72"/>
      <c r="N927" s="56"/>
      <c r="O927" s="64"/>
    </row>
    <row r="928">
      <c r="B928" s="18"/>
      <c r="C928" s="18"/>
      <c r="D928" s="18"/>
      <c r="E928" s="22"/>
      <c r="F928" s="24"/>
      <c r="G928" s="72"/>
      <c r="N928" s="56"/>
      <c r="O928" s="64"/>
    </row>
    <row r="929">
      <c r="B929" s="18"/>
      <c r="C929" s="18"/>
      <c r="D929" s="18"/>
      <c r="E929" s="22"/>
      <c r="F929" s="24"/>
      <c r="G929" s="72"/>
      <c r="N929" s="56"/>
      <c r="O929" s="64"/>
    </row>
    <row r="930">
      <c r="B930" s="18"/>
      <c r="C930" s="18"/>
      <c r="D930" s="18"/>
      <c r="E930" s="22"/>
      <c r="F930" s="24"/>
      <c r="G930" s="72"/>
      <c r="N930" s="56"/>
      <c r="O930" s="64"/>
    </row>
    <row r="931">
      <c r="B931" s="18"/>
      <c r="C931" s="18"/>
      <c r="D931" s="18"/>
      <c r="E931" s="22"/>
      <c r="F931" s="24"/>
      <c r="G931" s="72"/>
      <c r="N931" s="56"/>
      <c r="O931" s="64"/>
    </row>
    <row r="932">
      <c r="B932" s="18"/>
      <c r="C932" s="18"/>
      <c r="D932" s="18"/>
      <c r="E932" s="22"/>
      <c r="F932" s="24"/>
      <c r="G932" s="72"/>
      <c r="N932" s="56"/>
      <c r="O932" s="64"/>
    </row>
    <row r="933">
      <c r="B933" s="18"/>
      <c r="C933" s="18"/>
      <c r="D933" s="18"/>
      <c r="E933" s="22"/>
      <c r="F933" s="24"/>
      <c r="G933" s="72"/>
      <c r="N933" s="56"/>
      <c r="O933" s="64"/>
    </row>
    <row r="934">
      <c r="B934" s="18"/>
      <c r="C934" s="18"/>
      <c r="D934" s="18"/>
      <c r="E934" s="22"/>
      <c r="F934" s="24"/>
      <c r="G934" s="72"/>
      <c r="N934" s="56"/>
      <c r="O934" s="64"/>
    </row>
    <row r="935">
      <c r="B935" s="18"/>
      <c r="C935" s="18"/>
      <c r="D935" s="18"/>
      <c r="E935" s="22"/>
      <c r="F935" s="24"/>
      <c r="G935" s="72"/>
      <c r="N935" s="56"/>
      <c r="O935" s="64"/>
    </row>
    <row r="936">
      <c r="B936" s="18"/>
      <c r="C936" s="18"/>
      <c r="D936" s="18"/>
      <c r="E936" s="22"/>
      <c r="F936" s="24"/>
      <c r="G936" s="72"/>
      <c r="N936" s="56"/>
      <c r="O936" s="64"/>
    </row>
    <row r="937">
      <c r="B937" s="18"/>
      <c r="C937" s="18"/>
      <c r="D937" s="18"/>
      <c r="E937" s="22"/>
      <c r="F937" s="24"/>
      <c r="G937" s="72"/>
      <c r="N937" s="56"/>
      <c r="O937" s="64"/>
    </row>
    <row r="938">
      <c r="B938" s="18"/>
      <c r="C938" s="18"/>
      <c r="D938" s="18"/>
      <c r="E938" s="22"/>
      <c r="F938" s="24"/>
      <c r="G938" s="72"/>
      <c r="N938" s="56"/>
      <c r="O938" s="64"/>
    </row>
    <row r="939">
      <c r="B939" s="18"/>
      <c r="C939" s="18"/>
      <c r="D939" s="18"/>
      <c r="E939" s="22"/>
      <c r="F939" s="24"/>
      <c r="G939" s="72"/>
      <c r="N939" s="56"/>
      <c r="O939" s="64"/>
    </row>
    <row r="940">
      <c r="B940" s="18"/>
      <c r="C940" s="18"/>
      <c r="D940" s="18"/>
      <c r="E940" s="22"/>
      <c r="F940" s="24"/>
      <c r="G940" s="72"/>
      <c r="N940" s="56"/>
      <c r="O940" s="64"/>
    </row>
    <row r="941">
      <c r="B941" s="18"/>
      <c r="C941" s="18"/>
      <c r="D941" s="18"/>
      <c r="E941" s="22"/>
      <c r="F941" s="24"/>
      <c r="G941" s="72"/>
      <c r="N941" s="56"/>
      <c r="O941" s="64"/>
    </row>
    <row r="942">
      <c r="B942" s="18"/>
      <c r="C942" s="18"/>
      <c r="D942" s="18"/>
      <c r="E942" s="22"/>
      <c r="F942" s="24"/>
      <c r="G942" s="72"/>
      <c r="N942" s="56"/>
      <c r="O942" s="64"/>
    </row>
    <row r="943">
      <c r="B943" s="18"/>
      <c r="C943" s="18"/>
      <c r="D943" s="18"/>
      <c r="E943" s="22"/>
      <c r="F943" s="24"/>
      <c r="G943" s="72"/>
      <c r="N943" s="56"/>
      <c r="O943" s="64"/>
    </row>
    <row r="944">
      <c r="B944" s="18"/>
      <c r="C944" s="18"/>
      <c r="D944" s="18"/>
      <c r="E944" s="22"/>
      <c r="F944" s="24"/>
      <c r="G944" s="72"/>
      <c r="N944" s="56"/>
      <c r="O944" s="64"/>
    </row>
    <row r="945">
      <c r="B945" s="18"/>
      <c r="C945" s="18"/>
      <c r="D945" s="18"/>
      <c r="E945" s="22"/>
      <c r="F945" s="24"/>
      <c r="G945" s="72"/>
      <c r="N945" s="56"/>
      <c r="O945" s="64"/>
    </row>
    <row r="946">
      <c r="B946" s="18"/>
      <c r="C946" s="18"/>
      <c r="D946" s="18"/>
      <c r="E946" s="22"/>
      <c r="F946" s="24"/>
      <c r="G946" s="72"/>
      <c r="N946" s="56"/>
      <c r="O946" s="64"/>
    </row>
    <row r="947">
      <c r="B947" s="18"/>
      <c r="C947" s="18"/>
      <c r="D947" s="18"/>
      <c r="E947" s="22"/>
      <c r="F947" s="24"/>
      <c r="G947" s="72"/>
      <c r="N947" s="56"/>
      <c r="O947" s="64"/>
    </row>
    <row r="948">
      <c r="B948" s="18"/>
      <c r="C948" s="18"/>
      <c r="D948" s="18"/>
      <c r="E948" s="22"/>
      <c r="F948" s="24"/>
      <c r="G948" s="72"/>
      <c r="N948" s="56"/>
      <c r="O948" s="64"/>
    </row>
    <row r="949">
      <c r="B949" s="18"/>
      <c r="C949" s="18"/>
      <c r="D949" s="18"/>
      <c r="E949" s="22"/>
      <c r="F949" s="24"/>
      <c r="G949" s="72"/>
      <c r="N949" s="56"/>
      <c r="O949" s="64"/>
    </row>
    <row r="950">
      <c r="B950" s="18"/>
      <c r="C950" s="18"/>
      <c r="D950" s="18"/>
      <c r="E950" s="22"/>
      <c r="F950" s="24"/>
      <c r="G950" s="72"/>
      <c r="N950" s="56"/>
      <c r="O950" s="64"/>
    </row>
    <row r="951">
      <c r="B951" s="18"/>
      <c r="C951" s="18"/>
      <c r="D951" s="18"/>
      <c r="E951" s="22"/>
      <c r="F951" s="24"/>
      <c r="G951" s="72"/>
      <c r="N951" s="56"/>
      <c r="O951" s="64"/>
    </row>
    <row r="952">
      <c r="B952" s="18"/>
      <c r="C952" s="18"/>
      <c r="D952" s="18"/>
      <c r="E952" s="22"/>
      <c r="F952" s="24"/>
      <c r="G952" s="72"/>
      <c r="N952" s="56"/>
      <c r="O952" s="64"/>
    </row>
    <row r="953">
      <c r="B953" s="18"/>
      <c r="C953" s="18"/>
      <c r="D953" s="18"/>
      <c r="E953" s="22"/>
      <c r="F953" s="24"/>
      <c r="G953" s="72"/>
      <c r="N953" s="56"/>
      <c r="O953" s="64"/>
    </row>
    <row r="954">
      <c r="B954" s="18"/>
      <c r="C954" s="18"/>
      <c r="D954" s="18"/>
      <c r="E954" s="22"/>
      <c r="F954" s="24"/>
      <c r="G954" s="72"/>
      <c r="N954" s="56"/>
      <c r="O954" s="64"/>
    </row>
    <row r="955">
      <c r="B955" s="18"/>
      <c r="C955" s="18"/>
      <c r="D955" s="18"/>
      <c r="E955" s="22"/>
      <c r="F955" s="24"/>
      <c r="G955" s="72"/>
      <c r="N955" s="56"/>
      <c r="O955" s="64"/>
    </row>
    <row r="956">
      <c r="B956" s="18"/>
      <c r="C956" s="18"/>
      <c r="D956" s="18"/>
      <c r="E956" s="22"/>
      <c r="F956" s="24"/>
      <c r="G956" s="72"/>
      <c r="N956" s="56"/>
      <c r="O956" s="64"/>
    </row>
    <row r="957">
      <c r="B957" s="18"/>
      <c r="C957" s="18"/>
      <c r="D957" s="18"/>
      <c r="E957" s="22"/>
      <c r="F957" s="24"/>
      <c r="G957" s="72"/>
      <c r="N957" s="56"/>
      <c r="O957" s="64"/>
    </row>
    <row r="958">
      <c r="B958" s="18"/>
      <c r="C958" s="18"/>
      <c r="D958" s="18"/>
      <c r="E958" s="22"/>
      <c r="F958" s="24"/>
      <c r="G958" s="72"/>
      <c r="N958" s="56"/>
      <c r="O958" s="64"/>
    </row>
    <row r="959">
      <c r="B959" s="18"/>
      <c r="C959" s="18"/>
      <c r="D959" s="18"/>
      <c r="E959" s="22"/>
      <c r="F959" s="24"/>
      <c r="G959" s="72"/>
      <c r="N959" s="56"/>
      <c r="O959" s="64"/>
    </row>
    <row r="960">
      <c r="B960" s="18"/>
      <c r="C960" s="18"/>
      <c r="D960" s="18"/>
      <c r="E960" s="22"/>
      <c r="F960" s="24"/>
      <c r="G960" s="72"/>
      <c r="N960" s="56"/>
      <c r="O960" s="64"/>
    </row>
    <row r="961">
      <c r="B961" s="18"/>
      <c r="C961" s="18"/>
      <c r="D961" s="18"/>
      <c r="E961" s="22"/>
      <c r="F961" s="24"/>
      <c r="G961" s="72"/>
      <c r="N961" s="56"/>
      <c r="O961" s="64"/>
    </row>
    <row r="962">
      <c r="B962" s="18"/>
      <c r="C962" s="18"/>
      <c r="D962" s="18"/>
      <c r="E962" s="22"/>
      <c r="F962" s="24"/>
      <c r="G962" s="72"/>
      <c r="N962" s="56"/>
      <c r="O962" s="64"/>
    </row>
    <row r="963">
      <c r="B963" s="18"/>
      <c r="C963" s="18"/>
      <c r="D963" s="18"/>
      <c r="E963" s="22"/>
      <c r="F963" s="24"/>
      <c r="G963" s="72"/>
      <c r="N963" s="56"/>
      <c r="O963" s="64"/>
    </row>
    <row r="964">
      <c r="B964" s="18"/>
      <c r="C964" s="18"/>
      <c r="D964" s="18"/>
      <c r="E964" s="22"/>
      <c r="F964" s="24"/>
      <c r="G964" s="72"/>
      <c r="N964" s="56"/>
      <c r="O964" s="64"/>
    </row>
    <row r="965">
      <c r="B965" s="18"/>
      <c r="C965" s="18"/>
      <c r="D965" s="18"/>
      <c r="E965" s="22"/>
      <c r="F965" s="24"/>
      <c r="G965" s="72"/>
      <c r="N965" s="56"/>
      <c r="O965" s="64"/>
    </row>
    <row r="966">
      <c r="B966" s="18"/>
      <c r="C966" s="18"/>
      <c r="D966" s="18"/>
      <c r="E966" s="22"/>
      <c r="F966" s="24"/>
      <c r="G966" s="72"/>
      <c r="N966" s="56"/>
      <c r="O966" s="64"/>
    </row>
    <row r="967">
      <c r="B967" s="18"/>
      <c r="C967" s="18"/>
      <c r="D967" s="18"/>
      <c r="E967" s="22"/>
      <c r="F967" s="24"/>
      <c r="G967" s="72"/>
      <c r="N967" s="56"/>
      <c r="O967" s="64"/>
    </row>
    <row r="968">
      <c r="B968" s="18"/>
      <c r="C968" s="18"/>
      <c r="D968" s="18"/>
      <c r="E968" s="22"/>
      <c r="F968" s="24"/>
      <c r="G968" s="72"/>
      <c r="N968" s="56"/>
      <c r="O968" s="64"/>
    </row>
    <row r="969">
      <c r="B969" s="18"/>
      <c r="C969" s="18"/>
      <c r="D969" s="18"/>
      <c r="E969" s="22"/>
      <c r="F969" s="24"/>
      <c r="G969" s="72"/>
      <c r="N969" s="56"/>
      <c r="O969" s="64"/>
    </row>
    <row r="970">
      <c r="B970" s="18"/>
      <c r="C970" s="18"/>
      <c r="D970" s="18"/>
      <c r="E970" s="22"/>
      <c r="F970" s="24"/>
      <c r="G970" s="72"/>
      <c r="N970" s="56"/>
      <c r="O970" s="64"/>
    </row>
    <row r="971">
      <c r="B971" s="18"/>
      <c r="C971" s="18"/>
      <c r="D971" s="18"/>
      <c r="E971" s="22"/>
      <c r="F971" s="24"/>
      <c r="G971" s="72"/>
      <c r="N971" s="56"/>
      <c r="O971" s="64"/>
    </row>
    <row r="972">
      <c r="B972" s="18"/>
      <c r="C972" s="18"/>
      <c r="D972" s="18"/>
      <c r="E972" s="22"/>
      <c r="F972" s="24"/>
      <c r="G972" s="72"/>
      <c r="N972" s="56"/>
      <c r="O972" s="64"/>
    </row>
    <row r="973">
      <c r="B973" s="18"/>
      <c r="C973" s="18"/>
      <c r="D973" s="18"/>
      <c r="E973" s="22"/>
      <c r="F973" s="24"/>
      <c r="G973" s="72"/>
      <c r="N973" s="56"/>
      <c r="O973" s="64"/>
    </row>
    <row r="974">
      <c r="B974" s="18"/>
      <c r="C974" s="18"/>
      <c r="D974" s="18"/>
      <c r="E974" s="22"/>
      <c r="F974" s="24"/>
      <c r="G974" s="72"/>
      <c r="N974" s="56"/>
      <c r="O974" s="64"/>
    </row>
    <row r="975">
      <c r="B975" s="18"/>
      <c r="C975" s="18"/>
      <c r="D975" s="18"/>
      <c r="E975" s="22"/>
      <c r="F975" s="24"/>
      <c r="G975" s="72"/>
      <c r="N975" s="56"/>
      <c r="O975" s="64"/>
    </row>
    <row r="976">
      <c r="B976" s="18"/>
      <c r="C976" s="18"/>
      <c r="D976" s="18"/>
      <c r="E976" s="22"/>
      <c r="F976" s="24"/>
      <c r="G976" s="72"/>
      <c r="N976" s="56"/>
      <c r="O976" s="64"/>
    </row>
    <row r="977">
      <c r="B977" s="18"/>
      <c r="C977" s="18"/>
      <c r="D977" s="18"/>
      <c r="E977" s="22"/>
      <c r="F977" s="24"/>
      <c r="G977" s="72"/>
      <c r="N977" s="56"/>
      <c r="O977" s="64"/>
    </row>
    <row r="978">
      <c r="B978" s="18"/>
      <c r="C978" s="18"/>
      <c r="D978" s="18"/>
      <c r="E978" s="22"/>
      <c r="F978" s="24"/>
      <c r="G978" s="72"/>
      <c r="N978" s="56"/>
      <c r="O978" s="64"/>
    </row>
    <row r="979">
      <c r="B979" s="18"/>
      <c r="C979" s="18"/>
      <c r="D979" s="18"/>
      <c r="E979" s="22"/>
      <c r="F979" s="24"/>
      <c r="G979" s="72"/>
      <c r="N979" s="56"/>
      <c r="O979" s="64"/>
    </row>
    <row r="980">
      <c r="B980" s="18"/>
      <c r="C980" s="18"/>
      <c r="D980" s="18"/>
      <c r="E980" s="22"/>
      <c r="F980" s="24"/>
      <c r="G980" s="72"/>
      <c r="N980" s="56"/>
      <c r="O980" s="64"/>
    </row>
    <row r="981">
      <c r="B981" s="18"/>
      <c r="C981" s="18"/>
      <c r="D981" s="18"/>
      <c r="E981" s="22"/>
      <c r="F981" s="24"/>
      <c r="G981" s="72"/>
      <c r="N981" s="56"/>
      <c r="O981" s="64"/>
    </row>
    <row r="982">
      <c r="B982" s="18"/>
      <c r="C982" s="18"/>
      <c r="D982" s="18"/>
      <c r="E982" s="22"/>
      <c r="F982" s="24"/>
      <c r="G982" s="72"/>
      <c r="N982" s="56"/>
      <c r="O982" s="64"/>
    </row>
    <row r="983">
      <c r="B983" s="18"/>
      <c r="C983" s="18"/>
      <c r="D983" s="18"/>
      <c r="E983" s="22"/>
      <c r="F983" s="24"/>
      <c r="G983" s="72"/>
      <c r="N983" s="56"/>
      <c r="O983" s="64"/>
    </row>
    <row r="984">
      <c r="B984" s="18"/>
      <c r="C984" s="18"/>
      <c r="D984" s="18"/>
      <c r="E984" s="22"/>
      <c r="F984" s="24"/>
      <c r="G984" s="72"/>
      <c r="N984" s="56"/>
      <c r="O984" s="64"/>
    </row>
    <row r="985">
      <c r="B985" s="18"/>
      <c r="C985" s="18"/>
      <c r="D985" s="18"/>
      <c r="E985" s="22"/>
      <c r="F985" s="24"/>
      <c r="G985" s="72"/>
      <c r="N985" s="56"/>
      <c r="O985" s="64"/>
    </row>
    <row r="986">
      <c r="B986" s="18"/>
      <c r="C986" s="18"/>
      <c r="D986" s="18"/>
      <c r="E986" s="22"/>
      <c r="F986" s="24"/>
      <c r="G986" s="72"/>
      <c r="N986" s="56"/>
      <c r="O986" s="64"/>
    </row>
    <row r="987">
      <c r="B987" s="18"/>
      <c r="C987" s="18"/>
      <c r="D987" s="18"/>
      <c r="E987" s="22"/>
      <c r="F987" s="24"/>
      <c r="G987" s="72"/>
      <c r="N987" s="56"/>
      <c r="O987" s="64"/>
    </row>
    <row r="988">
      <c r="B988" s="18"/>
      <c r="C988" s="18"/>
      <c r="D988" s="18"/>
      <c r="E988" s="22"/>
      <c r="F988" s="24"/>
      <c r="G988" s="72"/>
      <c r="N988" s="56"/>
      <c r="O988" s="64"/>
    </row>
    <row r="989">
      <c r="B989" s="18"/>
      <c r="C989" s="18"/>
      <c r="D989" s="18"/>
      <c r="E989" s="22"/>
      <c r="F989" s="24"/>
      <c r="G989" s="72"/>
      <c r="N989" s="56"/>
      <c r="O989" s="64"/>
    </row>
    <row r="990">
      <c r="B990" s="18"/>
      <c r="C990" s="18"/>
      <c r="D990" s="18"/>
      <c r="E990" s="22"/>
      <c r="F990" s="24"/>
      <c r="G990" s="72"/>
      <c r="N990" s="56"/>
      <c r="O990" s="64"/>
    </row>
    <row r="991">
      <c r="B991" s="18"/>
      <c r="C991" s="18"/>
      <c r="D991" s="18"/>
      <c r="E991" s="22"/>
      <c r="F991" s="24"/>
      <c r="G991" s="72"/>
      <c r="N991" s="56"/>
      <c r="O991" s="64"/>
    </row>
    <row r="992">
      <c r="B992" s="18"/>
      <c r="C992" s="18"/>
      <c r="D992" s="18"/>
      <c r="E992" s="22"/>
      <c r="F992" s="24"/>
      <c r="G992" s="72"/>
      <c r="N992" s="56"/>
      <c r="O992" s="64"/>
    </row>
    <row r="993">
      <c r="B993" s="18"/>
      <c r="C993" s="18"/>
      <c r="D993" s="18"/>
      <c r="E993" s="22"/>
      <c r="F993" s="24"/>
      <c r="G993" s="72"/>
      <c r="N993" s="56"/>
      <c r="O993" s="64"/>
    </row>
    <row r="994">
      <c r="B994" s="18"/>
      <c r="C994" s="18"/>
      <c r="D994" s="18"/>
      <c r="E994" s="22"/>
      <c r="F994" s="24"/>
      <c r="G994" s="72"/>
      <c r="N994" s="56"/>
      <c r="O994" s="64"/>
    </row>
    <row r="995">
      <c r="B995" s="18"/>
      <c r="C995" s="18"/>
      <c r="D995" s="18"/>
      <c r="E995" s="22"/>
      <c r="F995" s="24"/>
      <c r="G995" s="72"/>
      <c r="N995" s="56"/>
      <c r="O995" s="64"/>
    </row>
    <row r="996">
      <c r="B996" s="18"/>
      <c r="C996" s="18"/>
      <c r="D996" s="18"/>
      <c r="E996" s="22"/>
      <c r="F996" s="24"/>
      <c r="G996" s="72"/>
      <c r="N996" s="56"/>
      <c r="O996" s="64"/>
    </row>
    <row r="997">
      <c r="B997" s="18"/>
      <c r="C997" s="18"/>
      <c r="D997" s="18"/>
      <c r="E997" s="22"/>
      <c r="F997" s="24"/>
      <c r="G997" s="72"/>
      <c r="N997" s="56"/>
      <c r="O997" s="64"/>
    </row>
    <row r="998">
      <c r="B998" s="18"/>
      <c r="C998" s="18"/>
      <c r="D998" s="18"/>
      <c r="E998" s="22"/>
      <c r="F998" s="24"/>
      <c r="G998" s="72"/>
      <c r="N998" s="56"/>
      <c r="O998" s="64"/>
    </row>
    <row r="999">
      <c r="B999" s="18"/>
      <c r="C999" s="18"/>
      <c r="D999" s="18"/>
      <c r="E999" s="22"/>
      <c r="F999" s="24"/>
      <c r="G999" s="72"/>
      <c r="N999" s="56"/>
      <c r="O999" s="64"/>
    </row>
    <row r="1000">
      <c r="B1000" s="18"/>
      <c r="C1000" s="18"/>
      <c r="D1000" s="18"/>
      <c r="E1000" s="22"/>
      <c r="F1000" s="24"/>
      <c r="G1000" s="72"/>
      <c r="N1000" s="56"/>
      <c r="O1000" s="64"/>
    </row>
    <row r="1001">
      <c r="B1001" s="18"/>
      <c r="C1001" s="18"/>
      <c r="D1001" s="18"/>
      <c r="E1001" s="22"/>
      <c r="F1001" s="24"/>
      <c r="G1001" s="72"/>
      <c r="N1001" s="56"/>
      <c r="O1001" s="64"/>
    </row>
    <row r="1002">
      <c r="B1002" s="18"/>
      <c r="C1002" s="18"/>
      <c r="D1002" s="18"/>
      <c r="E1002" s="22"/>
      <c r="F1002" s="24"/>
      <c r="G1002" s="72"/>
      <c r="N1002" s="56"/>
      <c r="O1002" s="64"/>
    </row>
    <row r="1003">
      <c r="B1003" s="18"/>
      <c r="C1003" s="18"/>
      <c r="D1003" s="18"/>
      <c r="E1003" s="22"/>
      <c r="F1003" s="24"/>
      <c r="G1003" s="72"/>
      <c r="N1003" s="56"/>
      <c r="O1003" s="64"/>
    </row>
  </sheetData>
  <mergeCells count="1">
    <mergeCell ref="N1:O1"/>
  </mergeCells>
  <conditionalFormatting sqref="I2:I51">
    <cfRule type="colorScale" priority="1">
      <colorScale>
        <cfvo type="formula" val="0"/>
        <cfvo type="formula" val="50"/>
        <cfvo type="formula" val="150"/>
        <color rgb="FFE67C73"/>
        <color rgb="FFFFD666"/>
        <color rgb="FF57BB8A"/>
      </colorScale>
    </cfRule>
  </conditionalFormatting>
  <conditionalFormatting sqref="O2:O1003">
    <cfRule type="colorScale" priority="2">
      <colorScale>
        <cfvo type="formula" val="1"/>
        <cfvo type="formula" val="15"/>
        <cfvo type="formula" val="30"/>
        <color rgb="FFE67C73"/>
        <color rgb="FFFFD666"/>
        <color rgb="FF57BB8A"/>
      </colorScale>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2" max="2" width="9.0"/>
    <col customWidth="1" min="3" max="3" width="13.43"/>
    <col customWidth="1" min="5" max="5" width="9.71"/>
    <col customWidth="1" min="7" max="7" width="20.43"/>
    <col customWidth="1" min="8" max="9" width="15.43"/>
    <col customWidth="1" min="10" max="10" width="14.71"/>
    <col customWidth="1" min="11" max="11" width="20.14"/>
    <col customWidth="1" min="18" max="18" width="20.57"/>
  </cols>
  <sheetData>
    <row r="1">
      <c r="A1" s="1" t="s">
        <v>0</v>
      </c>
      <c r="B1" s="2" t="s">
        <v>1</v>
      </c>
      <c r="C1" s="2" t="s">
        <v>2</v>
      </c>
      <c r="D1" s="2"/>
      <c r="E1" s="3"/>
      <c r="F1" s="4" t="s">
        <v>3</v>
      </c>
      <c r="G1" s="4" t="s">
        <v>4</v>
      </c>
      <c r="H1" s="5" t="s">
        <v>5</v>
      </c>
      <c r="I1" s="4" t="s">
        <v>6</v>
      </c>
      <c r="J1" s="4" t="s">
        <v>7</v>
      </c>
      <c r="K1" s="4" t="s">
        <v>8</v>
      </c>
      <c r="L1" s="7" t="s">
        <v>9</v>
      </c>
      <c r="N1" s="10" t="s">
        <v>14</v>
      </c>
      <c r="P1" s="11"/>
      <c r="Q1" s="11"/>
      <c r="R1" s="13"/>
      <c r="S1" s="15"/>
      <c r="T1" s="15"/>
      <c r="U1" s="15"/>
      <c r="V1" s="15"/>
      <c r="W1" s="15"/>
      <c r="X1" s="15"/>
      <c r="Y1" s="15"/>
      <c r="Z1" s="15"/>
      <c r="AA1" s="15"/>
      <c r="AB1" s="15"/>
      <c r="AC1" s="15"/>
      <c r="AD1" s="15"/>
    </row>
    <row r="2">
      <c r="A2" s="21" t="s">
        <v>22</v>
      </c>
      <c r="B2" s="23"/>
      <c r="C2" s="21" t="s">
        <v>22</v>
      </c>
      <c r="D2" s="23"/>
      <c r="E2" s="3"/>
      <c r="F2" s="25"/>
      <c r="G2" s="25"/>
      <c r="H2" s="27"/>
      <c r="I2" s="25">
        <v>43474.0</v>
      </c>
      <c r="J2" s="25">
        <v>43553.0</v>
      </c>
      <c r="K2" s="25"/>
      <c r="L2" s="26">
        <f>CountIFS($E:$E,"=Dem",$A:$A,"=House")</f>
        <v>28</v>
      </c>
      <c r="M2" s="28">
        <f>CountIFS($E:$E,"=Rep",$A:$A,"=House")</f>
        <v>77</v>
      </c>
      <c r="N2" s="26">
        <f>CountIFS($E:$E,"=Dem",$A:$A,"=Senate")</f>
        <v>8</v>
      </c>
      <c r="O2" s="28">
        <f>CountIFS($E:$E,"=Rep",$A:$A,"=Senate")</f>
        <v>27</v>
      </c>
      <c r="P2" s="11"/>
      <c r="Q2" s="11"/>
      <c r="R2" s="13"/>
      <c r="S2" s="15"/>
      <c r="T2" s="15"/>
      <c r="U2" s="15"/>
      <c r="V2" s="15"/>
      <c r="W2" s="15"/>
      <c r="X2" s="15"/>
      <c r="Y2" s="15"/>
      <c r="Z2" s="15"/>
      <c r="AA2" s="15"/>
      <c r="AB2" s="15"/>
      <c r="AC2" s="15"/>
      <c r="AD2" s="15"/>
    </row>
    <row r="3">
      <c r="A3" s="30" t="s">
        <v>29</v>
      </c>
      <c r="B3" s="2" t="s">
        <v>30</v>
      </c>
      <c r="C3" s="2" t="s">
        <v>31</v>
      </c>
      <c r="D3" s="2" t="s">
        <v>32</v>
      </c>
      <c r="E3" s="3" t="s">
        <v>33</v>
      </c>
      <c r="F3" s="3" t="s">
        <v>10</v>
      </c>
      <c r="G3" s="3" t="s">
        <v>34</v>
      </c>
      <c r="H3" s="3" t="s">
        <v>34</v>
      </c>
      <c r="I3" s="3" t="s">
        <v>34</v>
      </c>
      <c r="J3" s="3" t="s">
        <v>34</v>
      </c>
      <c r="K3" s="3" t="s">
        <v>35</v>
      </c>
      <c r="L3" s="19" t="s">
        <v>36</v>
      </c>
      <c r="M3" s="19" t="s">
        <v>37</v>
      </c>
      <c r="N3" s="19" t="s">
        <v>38</v>
      </c>
      <c r="O3" s="17" t="s">
        <v>39</v>
      </c>
      <c r="P3" s="11" t="s">
        <v>40</v>
      </c>
      <c r="Q3" s="11" t="s">
        <v>41</v>
      </c>
      <c r="R3" s="13" t="s">
        <v>42</v>
      </c>
      <c r="S3" s="15"/>
      <c r="T3" s="15"/>
      <c r="U3" s="15"/>
      <c r="V3" s="15"/>
      <c r="W3" s="15"/>
      <c r="X3" s="15"/>
      <c r="Y3" s="15"/>
      <c r="Z3" s="15"/>
      <c r="AA3" s="15"/>
      <c r="AB3" s="15"/>
      <c r="AC3" s="15"/>
      <c r="AD3" s="15"/>
    </row>
    <row r="4">
      <c r="A4" s="14" t="s">
        <v>44</v>
      </c>
      <c r="B4" s="35">
        <v>1.0</v>
      </c>
      <c r="C4" s="38" t="s">
        <v>50</v>
      </c>
      <c r="D4" s="35" t="s">
        <v>52</v>
      </c>
      <c r="E4" s="40" t="s">
        <v>53</v>
      </c>
      <c r="F4" s="42"/>
      <c r="G4" s="42"/>
      <c r="H4" s="43"/>
      <c r="I4" s="46"/>
      <c r="J4" s="47"/>
      <c r="K4" s="48"/>
      <c r="L4" s="50" t="s">
        <v>57</v>
      </c>
      <c r="M4" s="39" t="str">
        <f t="shared" ref="M4:M10" si="1">Concatenate(Lower(C4),".",Lower(D4),"@alhouse.gov")</f>
        <v>phillip.pettus@alhouse.gov</v>
      </c>
      <c r="N4" s="39"/>
      <c r="O4" s="39">
        <v>2014.0</v>
      </c>
      <c r="P4" s="37"/>
      <c r="Q4" s="37"/>
      <c r="R4" s="53" t="s">
        <v>60</v>
      </c>
    </row>
    <row r="5">
      <c r="A5" s="14" t="s">
        <v>44</v>
      </c>
      <c r="B5" s="35">
        <v>2.0</v>
      </c>
      <c r="C5" s="35" t="s">
        <v>66</v>
      </c>
      <c r="D5" s="35" t="s">
        <v>71</v>
      </c>
      <c r="E5" s="40" t="s">
        <v>53</v>
      </c>
      <c r="F5" s="42"/>
      <c r="G5" s="42" t="s">
        <v>72</v>
      </c>
      <c r="H5" s="43"/>
      <c r="I5" s="46"/>
      <c r="J5" s="47"/>
      <c r="K5" s="48"/>
      <c r="L5" s="50" t="s">
        <v>73</v>
      </c>
      <c r="M5" s="39" t="str">
        <f t="shared" si="1"/>
        <v>lynn.greer@alhouse.gov</v>
      </c>
      <c r="N5" s="39"/>
      <c r="O5" s="39">
        <v>2002.0</v>
      </c>
      <c r="P5" s="39"/>
      <c r="Q5" s="39"/>
      <c r="R5" s="53" t="s">
        <v>74</v>
      </c>
    </row>
    <row r="6">
      <c r="A6" s="14" t="s">
        <v>44</v>
      </c>
      <c r="B6" s="35">
        <v>3.0</v>
      </c>
      <c r="C6" s="38" t="s">
        <v>80</v>
      </c>
      <c r="D6" s="38" t="s">
        <v>81</v>
      </c>
      <c r="E6" s="54" t="s">
        <v>53</v>
      </c>
      <c r="F6" s="42"/>
      <c r="G6" s="42"/>
      <c r="H6" s="43"/>
      <c r="I6" s="46"/>
      <c r="J6" s="47"/>
      <c r="K6" s="48"/>
      <c r="L6" s="50" t="s">
        <v>83</v>
      </c>
      <c r="M6" s="39" t="str">
        <f t="shared" si="1"/>
        <v>andrew.sorrell@alhouse.gov</v>
      </c>
      <c r="N6" s="39"/>
      <c r="O6" s="39">
        <v>1990.0</v>
      </c>
      <c r="P6" s="37"/>
      <c r="Q6" s="37"/>
      <c r="R6" s="53" t="s">
        <v>85</v>
      </c>
    </row>
    <row r="7">
      <c r="A7" s="14" t="s">
        <v>44</v>
      </c>
      <c r="B7" s="35">
        <v>4.0</v>
      </c>
      <c r="C7" s="35" t="s">
        <v>87</v>
      </c>
      <c r="D7" s="35" t="s">
        <v>89</v>
      </c>
      <c r="E7" s="40" t="s">
        <v>53</v>
      </c>
      <c r="F7" s="42"/>
      <c r="G7" s="42"/>
      <c r="H7" s="43"/>
      <c r="I7" s="46"/>
      <c r="J7" s="47"/>
      <c r="K7" s="48"/>
      <c r="L7" s="50" t="s">
        <v>92</v>
      </c>
      <c r="M7" s="39" t="str">
        <f t="shared" si="1"/>
        <v>parker.moore@alhouse.gov</v>
      </c>
      <c r="N7" s="39"/>
      <c r="O7" s="39">
        <v>2018.0</v>
      </c>
      <c r="P7" s="39"/>
      <c r="Q7" s="39"/>
      <c r="R7" s="53" t="s">
        <v>93</v>
      </c>
    </row>
    <row r="8">
      <c r="A8" s="14" t="s">
        <v>44</v>
      </c>
      <c r="B8" s="35">
        <v>5.0</v>
      </c>
      <c r="C8" s="35" t="s">
        <v>100</v>
      </c>
      <c r="D8" s="35" t="s">
        <v>103</v>
      </c>
      <c r="E8" s="40" t="s">
        <v>53</v>
      </c>
      <c r="F8" s="42"/>
      <c r="G8" s="42" t="s">
        <v>104</v>
      </c>
      <c r="H8" s="43"/>
      <c r="I8" s="46"/>
      <c r="J8" s="47"/>
      <c r="K8" s="48"/>
      <c r="L8" s="50" t="s">
        <v>105</v>
      </c>
      <c r="M8" s="39" t="str">
        <f t="shared" si="1"/>
        <v>danny.crawford@alhouse.gov</v>
      </c>
      <c r="N8" s="39"/>
      <c r="O8" s="39">
        <v>2016.0</v>
      </c>
      <c r="P8" s="39"/>
      <c r="Q8" s="39"/>
      <c r="R8" s="53" t="s">
        <v>107</v>
      </c>
    </row>
    <row r="9">
      <c r="A9" s="14" t="s">
        <v>44</v>
      </c>
      <c r="B9" s="35">
        <v>6.0</v>
      </c>
      <c r="C9" s="38" t="s">
        <v>109</v>
      </c>
      <c r="D9" s="38" t="s">
        <v>110</v>
      </c>
      <c r="E9" s="40" t="s">
        <v>53</v>
      </c>
      <c r="F9" s="42"/>
      <c r="G9" s="42"/>
      <c r="H9" s="43"/>
      <c r="I9" s="57"/>
      <c r="J9" s="58"/>
      <c r="K9" s="48"/>
      <c r="L9" s="50" t="s">
        <v>114</v>
      </c>
      <c r="M9" s="39" t="str">
        <f t="shared" si="1"/>
        <v>andy.whitt@alhouse.gov</v>
      </c>
      <c r="N9" s="39"/>
      <c r="O9" s="39">
        <v>2009.0</v>
      </c>
      <c r="P9" s="39"/>
      <c r="Q9" s="39"/>
      <c r="R9" s="53" t="s">
        <v>116</v>
      </c>
    </row>
    <row r="10">
      <c r="A10" s="14" t="s">
        <v>44</v>
      </c>
      <c r="B10" s="35">
        <v>7.0</v>
      </c>
      <c r="C10" s="38" t="s">
        <v>126</v>
      </c>
      <c r="D10" s="38" t="s">
        <v>127</v>
      </c>
      <c r="E10" s="40" t="s">
        <v>53</v>
      </c>
      <c r="F10" s="42"/>
      <c r="G10" s="42"/>
      <c r="H10" s="43"/>
      <c r="I10" s="46"/>
      <c r="J10" s="47"/>
      <c r="K10" s="48"/>
      <c r="L10" s="50" t="s">
        <v>128</v>
      </c>
      <c r="M10" s="39" t="str">
        <f t="shared" si="1"/>
        <v>proncey.robertson@alhouse.gov</v>
      </c>
      <c r="N10" s="39"/>
      <c r="O10" s="39">
        <v>2010.0</v>
      </c>
      <c r="P10" s="37"/>
      <c r="Q10" s="37"/>
      <c r="R10" s="53" t="s">
        <v>129</v>
      </c>
    </row>
    <row r="11">
      <c r="A11" s="14" t="s">
        <v>44</v>
      </c>
      <c r="B11" s="35">
        <v>8.0</v>
      </c>
      <c r="C11" s="35" t="s">
        <v>134</v>
      </c>
      <c r="D11" s="35" t="s">
        <v>137</v>
      </c>
      <c r="E11" s="40" t="s">
        <v>53</v>
      </c>
      <c r="F11" s="42"/>
      <c r="G11" s="42" t="s">
        <v>138</v>
      </c>
      <c r="H11" s="43"/>
      <c r="I11" s="46"/>
      <c r="J11" s="47"/>
      <c r="K11" s="48"/>
      <c r="L11" s="50" t="s">
        <v>139</v>
      </c>
      <c r="M11" s="39" t="s">
        <v>140</v>
      </c>
      <c r="N11" s="39"/>
      <c r="O11" s="39">
        <v>2010.0</v>
      </c>
      <c r="P11" s="37"/>
      <c r="Q11" s="37"/>
      <c r="R11" s="53" t="s">
        <v>141</v>
      </c>
    </row>
    <row r="12">
      <c r="A12" s="14" t="s">
        <v>44</v>
      </c>
      <c r="B12" s="35">
        <v>9.0</v>
      </c>
      <c r="C12" s="35" t="s">
        <v>45</v>
      </c>
      <c r="D12" s="35" t="s">
        <v>146</v>
      </c>
      <c r="E12" s="40" t="s">
        <v>53</v>
      </c>
      <c r="F12" s="42"/>
      <c r="G12" s="42"/>
      <c r="H12" s="43"/>
      <c r="I12" s="57"/>
      <c r="J12" s="58"/>
      <c r="K12" s="48"/>
      <c r="L12" s="50" t="s">
        <v>148</v>
      </c>
      <c r="M12" s="39" t="str">
        <f t="shared" ref="M12:M108" si="2">Concatenate(Lower(C12),".",Lower(D12),"@alhouse.gov")</f>
        <v>scott.stadthagen@alhouse.gov</v>
      </c>
      <c r="N12" s="39"/>
      <c r="O12" s="39">
        <v>2010.0</v>
      </c>
      <c r="P12" s="37"/>
      <c r="Q12" s="37"/>
      <c r="R12" s="53" t="s">
        <v>151</v>
      </c>
    </row>
    <row r="13">
      <c r="A13" s="14" t="s">
        <v>44</v>
      </c>
      <c r="B13" s="35">
        <v>10.0</v>
      </c>
      <c r="C13" s="35" t="s">
        <v>157</v>
      </c>
      <c r="D13" s="35" t="s">
        <v>164</v>
      </c>
      <c r="E13" s="40" t="s">
        <v>53</v>
      </c>
      <c r="F13" s="42"/>
      <c r="G13" s="42" t="s">
        <v>166</v>
      </c>
      <c r="H13" s="43"/>
      <c r="I13" s="46"/>
      <c r="J13" s="47"/>
      <c r="K13" s="48"/>
      <c r="L13" s="50" t="s">
        <v>167</v>
      </c>
      <c r="M13" s="39" t="str">
        <f t="shared" si="2"/>
        <v>mike.ball@alhouse.gov</v>
      </c>
      <c r="N13" s="39"/>
      <c r="O13" s="39">
        <v>2002.0</v>
      </c>
      <c r="P13" s="37"/>
      <c r="Q13" s="37"/>
      <c r="R13" s="53" t="s">
        <v>169</v>
      </c>
    </row>
    <row r="14">
      <c r="A14" s="14" t="s">
        <v>44</v>
      </c>
      <c r="B14" s="35">
        <v>11.0</v>
      </c>
      <c r="C14" s="35" t="s">
        <v>179</v>
      </c>
      <c r="D14" s="35" t="s">
        <v>186</v>
      </c>
      <c r="E14" s="40" t="s">
        <v>53</v>
      </c>
      <c r="F14" s="42"/>
      <c r="G14" s="42" t="s">
        <v>188</v>
      </c>
      <c r="H14" s="43" t="s">
        <v>189</v>
      </c>
      <c r="I14" s="57"/>
      <c r="J14" s="58"/>
      <c r="K14" s="48"/>
      <c r="L14" s="50" t="s">
        <v>190</v>
      </c>
      <c r="M14" s="39" t="str">
        <f t="shared" si="2"/>
        <v>randall.shedd@alhouse.gov</v>
      </c>
      <c r="N14" s="39"/>
      <c r="O14" s="39">
        <v>2013.0</v>
      </c>
      <c r="P14" s="37"/>
      <c r="Q14" s="37"/>
      <c r="R14" s="53" t="s">
        <v>192</v>
      </c>
    </row>
    <row r="15">
      <c r="A15" s="14" t="s">
        <v>44</v>
      </c>
      <c r="B15" s="35">
        <v>12.0</v>
      </c>
      <c r="C15" s="35" t="s">
        <v>200</v>
      </c>
      <c r="D15" s="35" t="s">
        <v>205</v>
      </c>
      <c r="E15" s="40" t="s">
        <v>53</v>
      </c>
      <c r="F15" s="42"/>
      <c r="G15" s="42" t="s">
        <v>206</v>
      </c>
      <c r="H15" s="43"/>
      <c r="I15" s="57"/>
      <c r="J15" s="58"/>
      <c r="K15" s="48"/>
      <c r="L15" s="50" t="s">
        <v>207</v>
      </c>
      <c r="M15" s="39" t="str">
        <f t="shared" si="2"/>
        <v>corey.harbison@alhouse.gov</v>
      </c>
      <c r="N15" s="39"/>
      <c r="O15" s="39">
        <v>2014.0</v>
      </c>
      <c r="P15" s="39"/>
      <c r="Q15" s="39"/>
      <c r="R15" s="53" t="s">
        <v>208</v>
      </c>
    </row>
    <row r="16">
      <c r="A16" s="14" t="s">
        <v>44</v>
      </c>
      <c r="B16" s="35">
        <v>13.0</v>
      </c>
      <c r="C16" s="35" t="s">
        <v>27</v>
      </c>
      <c r="D16" s="35" t="s">
        <v>214</v>
      </c>
      <c r="E16" s="40" t="s">
        <v>53</v>
      </c>
      <c r="F16" s="42"/>
      <c r="G16" s="42" t="s">
        <v>215</v>
      </c>
      <c r="H16" s="43"/>
      <c r="I16" s="57"/>
      <c r="J16" s="58"/>
      <c r="K16" s="48"/>
      <c r="L16" s="50" t="s">
        <v>217</v>
      </c>
      <c r="M16" s="39" t="str">
        <f t="shared" si="2"/>
        <v>connie.rowe@alhouse.gov</v>
      </c>
      <c r="N16" s="39"/>
      <c r="O16" s="39">
        <v>2014.0</v>
      </c>
      <c r="P16" s="39"/>
      <c r="Q16" s="39"/>
      <c r="R16" s="53" t="s">
        <v>218</v>
      </c>
    </row>
    <row r="17">
      <c r="A17" s="14" t="s">
        <v>44</v>
      </c>
      <c r="B17" s="35">
        <v>14.0</v>
      </c>
      <c r="C17" s="35" t="s">
        <v>225</v>
      </c>
      <c r="D17" s="35" t="s">
        <v>230</v>
      </c>
      <c r="E17" s="40" t="s">
        <v>53</v>
      </c>
      <c r="F17" s="42"/>
      <c r="G17" s="42"/>
      <c r="H17" s="43"/>
      <c r="I17" s="57"/>
      <c r="J17" s="58"/>
      <c r="K17" s="48"/>
      <c r="L17" s="50" t="s">
        <v>231</v>
      </c>
      <c r="M17" s="39" t="str">
        <f t="shared" si="2"/>
        <v>tim.wadsworth@alhouse.gov</v>
      </c>
      <c r="N17" s="39"/>
      <c r="O17" s="39">
        <v>2014.0</v>
      </c>
      <c r="P17" s="37"/>
      <c r="Q17" s="37"/>
      <c r="R17" s="53" t="s">
        <v>232</v>
      </c>
    </row>
    <row r="18">
      <c r="A18" s="14" t="s">
        <v>44</v>
      </c>
      <c r="B18" s="35">
        <v>15.0</v>
      </c>
      <c r="C18" s="35" t="s">
        <v>241</v>
      </c>
      <c r="D18" s="35" t="s">
        <v>245</v>
      </c>
      <c r="E18" s="40" t="s">
        <v>53</v>
      </c>
      <c r="F18" s="42"/>
      <c r="G18" s="42" t="s">
        <v>246</v>
      </c>
      <c r="H18" s="43"/>
      <c r="I18" s="46"/>
      <c r="J18" s="47"/>
      <c r="K18" s="48"/>
      <c r="L18" s="50" t="s">
        <v>247</v>
      </c>
      <c r="M18" s="39" t="str">
        <f t="shared" si="2"/>
        <v>allen.farley@alhouse.gov</v>
      </c>
      <c r="N18" s="39"/>
      <c r="O18" s="39">
        <v>2010.0</v>
      </c>
      <c r="P18" s="39"/>
      <c r="Q18" s="39"/>
      <c r="R18" s="53" t="s">
        <v>249</v>
      </c>
    </row>
    <row r="19">
      <c r="A19" s="14" t="s">
        <v>44</v>
      </c>
      <c r="B19" s="35">
        <v>16.0</v>
      </c>
      <c r="C19" s="35" t="s">
        <v>257</v>
      </c>
      <c r="D19" s="35" t="s">
        <v>260</v>
      </c>
      <c r="E19" s="40" t="s">
        <v>53</v>
      </c>
      <c r="F19" s="42"/>
      <c r="G19" s="69" t="s">
        <v>261</v>
      </c>
      <c r="H19" s="43"/>
      <c r="I19" s="57"/>
      <c r="J19" s="58"/>
      <c r="K19" s="48"/>
      <c r="L19" s="50" t="s">
        <v>265</v>
      </c>
      <c r="M19" s="39" t="str">
        <f t="shared" si="2"/>
        <v>kyle.south@alhouse.gov</v>
      </c>
      <c r="N19" s="39"/>
      <c r="O19" s="39">
        <v>2014.0</v>
      </c>
      <c r="P19" s="37"/>
      <c r="Q19" s="37"/>
      <c r="R19" s="53" t="s">
        <v>266</v>
      </c>
    </row>
    <row r="20">
      <c r="A20" s="14" t="s">
        <v>44</v>
      </c>
      <c r="B20" s="35">
        <v>17.0</v>
      </c>
      <c r="C20" s="38" t="s">
        <v>273</v>
      </c>
      <c r="D20" s="38" t="s">
        <v>274</v>
      </c>
      <c r="E20" s="40" t="s">
        <v>53</v>
      </c>
      <c r="F20" s="42"/>
      <c r="G20" s="42"/>
      <c r="H20" s="43"/>
      <c r="I20" s="57"/>
      <c r="J20" s="58"/>
      <c r="K20" s="48"/>
      <c r="L20" s="50" t="s">
        <v>275</v>
      </c>
      <c r="M20" s="39" t="str">
        <f t="shared" si="2"/>
        <v>tracy.estes@alhouse.gov</v>
      </c>
      <c r="N20" s="39"/>
      <c r="O20" s="39">
        <v>1990.0</v>
      </c>
      <c r="P20" s="39"/>
      <c r="Q20" s="39"/>
      <c r="R20" s="53" t="s">
        <v>276</v>
      </c>
    </row>
    <row r="21">
      <c r="A21" s="14" t="s">
        <v>44</v>
      </c>
      <c r="B21" s="35">
        <v>18.0</v>
      </c>
      <c r="C21" s="38" t="s">
        <v>283</v>
      </c>
      <c r="D21" s="38" t="s">
        <v>284</v>
      </c>
      <c r="E21" s="54" t="s">
        <v>53</v>
      </c>
      <c r="F21" s="42"/>
      <c r="G21" s="42"/>
      <c r="H21" s="43"/>
      <c r="I21" s="46"/>
      <c r="J21" s="47"/>
      <c r="K21" s="48"/>
      <c r="L21" s="50" t="s">
        <v>285</v>
      </c>
      <c r="M21" s="39" t="str">
        <f t="shared" si="2"/>
        <v>jamie.kiel@alhouse.gov</v>
      </c>
      <c r="N21" s="39"/>
      <c r="O21" s="39">
        <v>1990.0</v>
      </c>
      <c r="P21" s="37"/>
      <c r="Q21" s="37"/>
      <c r="R21" s="53" t="s">
        <v>289</v>
      </c>
    </row>
    <row r="22">
      <c r="A22" s="14" t="s">
        <v>44</v>
      </c>
      <c r="B22" s="35">
        <v>19.0</v>
      </c>
      <c r="C22" s="35" t="s">
        <v>292</v>
      </c>
      <c r="D22" s="35" t="s">
        <v>293</v>
      </c>
      <c r="E22" s="73" t="s">
        <v>49</v>
      </c>
      <c r="F22" s="42"/>
      <c r="G22" s="42"/>
      <c r="H22" s="43"/>
      <c r="I22" s="57"/>
      <c r="J22" s="58"/>
      <c r="K22" s="48"/>
      <c r="L22" s="50" t="s">
        <v>295</v>
      </c>
      <c r="M22" s="39" t="str">
        <f t="shared" si="2"/>
        <v>laura.hall@alhouse.gov</v>
      </c>
      <c r="N22" s="39"/>
      <c r="O22" s="39">
        <v>1993.0</v>
      </c>
      <c r="P22" s="39"/>
      <c r="Q22" s="39"/>
      <c r="R22" s="53" t="s">
        <v>169</v>
      </c>
    </row>
    <row r="23">
      <c r="A23" s="14" t="s">
        <v>44</v>
      </c>
      <c r="B23" s="35">
        <v>20.0</v>
      </c>
      <c r="C23" s="35" t="s">
        <v>297</v>
      </c>
      <c r="D23" s="35" t="s">
        <v>300</v>
      </c>
      <c r="E23" s="40" t="s">
        <v>53</v>
      </c>
      <c r="F23" s="42"/>
      <c r="G23" s="42" t="s">
        <v>301</v>
      </c>
      <c r="H23" s="43"/>
      <c r="I23" s="46"/>
      <c r="J23" s="47"/>
      <c r="K23" s="48"/>
      <c r="L23" s="50" t="s">
        <v>295</v>
      </c>
      <c r="M23" s="39" t="str">
        <f t="shared" si="2"/>
        <v>howard.sanderford@alhouse.gov</v>
      </c>
      <c r="N23" s="39"/>
      <c r="O23" s="39">
        <v>1989.0</v>
      </c>
      <c r="P23" s="39"/>
      <c r="Q23" s="39"/>
      <c r="R23" s="53" t="s">
        <v>169</v>
      </c>
    </row>
    <row r="24">
      <c r="A24" s="14" t="s">
        <v>44</v>
      </c>
      <c r="B24" s="35">
        <v>21.0</v>
      </c>
      <c r="C24" s="35" t="s">
        <v>304</v>
      </c>
      <c r="D24" s="35" t="s">
        <v>306</v>
      </c>
      <c r="E24" s="40" t="s">
        <v>53</v>
      </c>
      <c r="F24" s="42"/>
      <c r="G24" s="42"/>
      <c r="H24" s="43"/>
      <c r="I24" s="46"/>
      <c r="J24" s="47"/>
      <c r="K24" s="48"/>
      <c r="L24" s="50" t="s">
        <v>307</v>
      </c>
      <c r="M24" s="39" t="str">
        <f t="shared" si="2"/>
        <v>rex.reynolds@alhouse.gov</v>
      </c>
      <c r="N24" s="39"/>
      <c r="O24" s="39">
        <v>2018.0</v>
      </c>
      <c r="P24" s="39"/>
      <c r="Q24" s="39"/>
      <c r="R24" s="53" t="s">
        <v>169</v>
      </c>
    </row>
    <row r="25">
      <c r="A25" s="14" t="s">
        <v>44</v>
      </c>
      <c r="B25" s="74">
        <v>22.0</v>
      </c>
      <c r="C25" s="35" t="s">
        <v>309</v>
      </c>
      <c r="D25" s="35" t="s">
        <v>312</v>
      </c>
      <c r="E25" s="40" t="s">
        <v>53</v>
      </c>
      <c r="F25" s="42"/>
      <c r="G25" s="42" t="s">
        <v>313</v>
      </c>
      <c r="H25" s="43"/>
      <c r="I25" s="57"/>
      <c r="J25" s="58"/>
      <c r="K25" s="48"/>
      <c r="L25" s="50" t="s">
        <v>314</v>
      </c>
      <c r="M25" s="39" t="str">
        <f t="shared" si="2"/>
        <v>ritchie.whorton@alhouse.gov</v>
      </c>
      <c r="N25" s="39"/>
      <c r="O25" s="39">
        <v>2014.0</v>
      </c>
      <c r="P25" s="37"/>
      <c r="Q25" s="37"/>
      <c r="R25" s="53" t="s">
        <v>315</v>
      </c>
    </row>
    <row r="26">
      <c r="A26" s="14" t="s">
        <v>44</v>
      </c>
      <c r="B26" s="74">
        <v>23.0</v>
      </c>
      <c r="C26" s="35" t="s">
        <v>317</v>
      </c>
      <c r="D26" s="35" t="s">
        <v>321</v>
      </c>
      <c r="E26" s="40" t="s">
        <v>53</v>
      </c>
      <c r="F26" s="42"/>
      <c r="G26" s="42"/>
      <c r="H26" s="43"/>
      <c r="I26" s="57"/>
      <c r="J26" s="58"/>
      <c r="K26" s="48"/>
      <c r="L26" s="50" t="s">
        <v>322</v>
      </c>
      <c r="M26" s="39" t="str">
        <f t="shared" si="2"/>
        <v>tommy.hanes@alhouse.gov</v>
      </c>
      <c r="N26" s="39"/>
      <c r="O26" s="39">
        <v>2014.0</v>
      </c>
      <c r="P26" s="37"/>
      <c r="Q26" s="37"/>
      <c r="R26" s="53" t="s">
        <v>323</v>
      </c>
    </row>
    <row r="27">
      <c r="A27" s="14" t="s">
        <v>44</v>
      </c>
      <c r="B27" s="74">
        <v>24.0</v>
      </c>
      <c r="C27" s="35" t="s">
        <v>326</v>
      </c>
      <c r="D27" s="35" t="s">
        <v>328</v>
      </c>
      <c r="E27" s="40" t="s">
        <v>53</v>
      </c>
      <c r="F27" s="69" t="s">
        <v>329</v>
      </c>
      <c r="G27" s="42" t="s">
        <v>330</v>
      </c>
      <c r="H27" s="43"/>
      <c r="I27" s="57"/>
      <c r="J27" s="58"/>
      <c r="K27" s="48"/>
      <c r="L27" s="50" t="s">
        <v>331</v>
      </c>
      <c r="M27" s="39" t="str">
        <f t="shared" si="2"/>
        <v>nathaniel.ledbetter@alhouse.gov</v>
      </c>
      <c r="N27" s="39"/>
      <c r="O27" s="39">
        <v>2014.0</v>
      </c>
      <c r="P27" s="39"/>
      <c r="Q27" s="39"/>
      <c r="R27" s="53" t="s">
        <v>332</v>
      </c>
    </row>
    <row r="28">
      <c r="A28" s="14" t="s">
        <v>44</v>
      </c>
      <c r="B28" s="74">
        <v>25.0</v>
      </c>
      <c r="C28" s="35" t="s">
        <v>333</v>
      </c>
      <c r="D28" s="35" t="s">
        <v>339</v>
      </c>
      <c r="E28" s="40" t="s">
        <v>53</v>
      </c>
      <c r="F28" s="43" t="s">
        <v>254</v>
      </c>
      <c r="G28" s="42"/>
      <c r="H28" s="43"/>
      <c r="I28" s="57"/>
      <c r="J28" s="58"/>
      <c r="K28" s="48"/>
      <c r="L28" s="50" t="s">
        <v>340</v>
      </c>
      <c r="M28" s="39" t="str">
        <f t="shared" si="2"/>
        <v>mac.mccutcheon@alhouse.gov</v>
      </c>
      <c r="N28" s="39"/>
      <c r="O28" s="39">
        <v>2006.0</v>
      </c>
      <c r="P28" s="39"/>
      <c r="Q28" s="39"/>
      <c r="R28" s="53" t="s">
        <v>116</v>
      </c>
    </row>
    <row r="29">
      <c r="A29" s="14" t="s">
        <v>44</v>
      </c>
      <c r="B29" s="74">
        <v>26.0</v>
      </c>
      <c r="C29" s="35" t="s">
        <v>341</v>
      </c>
      <c r="D29" s="35" t="s">
        <v>345</v>
      </c>
      <c r="E29" s="40" t="s">
        <v>53</v>
      </c>
      <c r="F29" s="42"/>
      <c r="G29" s="42" t="s">
        <v>346</v>
      </c>
      <c r="H29" s="43"/>
      <c r="I29" s="57"/>
      <c r="J29" s="58"/>
      <c r="K29" s="48"/>
      <c r="L29" s="50" t="s">
        <v>347</v>
      </c>
      <c r="M29" s="39" t="str">
        <f t="shared" si="2"/>
        <v>kerry.rich@alhouse.gov</v>
      </c>
      <c r="N29" s="39"/>
      <c r="O29" s="39">
        <v>2010.0</v>
      </c>
      <c r="P29" s="39"/>
      <c r="Q29" s="39"/>
      <c r="R29" s="53" t="s">
        <v>348</v>
      </c>
    </row>
    <row r="30">
      <c r="A30" s="14" t="s">
        <v>44</v>
      </c>
      <c r="B30" s="74">
        <v>27.0</v>
      </c>
      <c r="C30" s="38" t="s">
        <v>349</v>
      </c>
      <c r="D30" s="38" t="s">
        <v>350</v>
      </c>
      <c r="E30" s="40" t="s">
        <v>53</v>
      </c>
      <c r="F30" s="42"/>
      <c r="G30" s="42"/>
      <c r="H30" s="43"/>
      <c r="I30" s="46"/>
      <c r="J30" s="47"/>
      <c r="K30" s="48"/>
      <c r="L30" s="50" t="s">
        <v>351</v>
      </c>
      <c r="M30" s="39" t="str">
        <f t="shared" si="2"/>
        <v>wes.kitchens@alhouse.gov</v>
      </c>
      <c r="N30" s="39"/>
      <c r="O30" s="39">
        <v>2014.0</v>
      </c>
      <c r="P30" s="39"/>
      <c r="Q30" s="39"/>
      <c r="R30" s="53" t="s">
        <v>355</v>
      </c>
    </row>
    <row r="31">
      <c r="A31" s="14" t="s">
        <v>44</v>
      </c>
      <c r="B31" s="74">
        <v>28.0</v>
      </c>
      <c r="C31" s="38" t="s">
        <v>356</v>
      </c>
      <c r="D31" s="38" t="s">
        <v>357</v>
      </c>
      <c r="E31" s="54" t="s">
        <v>53</v>
      </c>
      <c r="F31" s="42"/>
      <c r="G31" s="42"/>
      <c r="H31" s="43"/>
      <c r="I31" s="46"/>
      <c r="J31" s="47"/>
      <c r="K31" s="48"/>
      <c r="L31" s="50" t="s">
        <v>358</v>
      </c>
      <c r="M31" s="39" t="str">
        <f t="shared" si="2"/>
        <v>gil.isbell@alhouse.gov</v>
      </c>
      <c r="N31" s="39"/>
      <c r="O31" s="39">
        <v>2000.0</v>
      </c>
      <c r="P31" s="37"/>
      <c r="Q31" s="37"/>
      <c r="R31" s="53" t="s">
        <v>359</v>
      </c>
    </row>
    <row r="32">
      <c r="A32" s="14" t="s">
        <v>44</v>
      </c>
      <c r="B32" s="74">
        <v>29.0</v>
      </c>
      <c r="C32" s="35" t="s">
        <v>364</v>
      </c>
      <c r="D32" s="35" t="s">
        <v>368</v>
      </c>
      <c r="E32" s="40" t="s">
        <v>53</v>
      </c>
      <c r="F32" s="42"/>
      <c r="G32" s="42" t="s">
        <v>369</v>
      </c>
      <c r="H32" s="43"/>
      <c r="I32" s="46"/>
      <c r="J32" s="47"/>
      <c r="K32" s="48"/>
      <c r="L32" s="50" t="s">
        <v>370</v>
      </c>
      <c r="M32" s="39" t="str">
        <f t="shared" si="2"/>
        <v>becky.nordgren@alhouse.gov</v>
      </c>
      <c r="N32" s="39"/>
      <c r="O32" s="39">
        <v>2010.0</v>
      </c>
      <c r="P32" s="37"/>
      <c r="Q32" s="37"/>
      <c r="R32" s="53" t="s">
        <v>371</v>
      </c>
    </row>
    <row r="33">
      <c r="A33" s="14" t="s">
        <v>44</v>
      </c>
      <c r="B33" s="74">
        <v>30.0</v>
      </c>
      <c r="C33" s="38" t="s">
        <v>373</v>
      </c>
      <c r="D33" s="38" t="s">
        <v>374</v>
      </c>
      <c r="E33" s="40" t="s">
        <v>53</v>
      </c>
      <c r="F33" s="42"/>
      <c r="G33" s="42"/>
      <c r="H33" s="43"/>
      <c r="I33" s="46"/>
      <c r="J33" s="47"/>
      <c r="K33" s="48"/>
      <c r="L33" s="50" t="s">
        <v>375</v>
      </c>
      <c r="M33" s="39" t="str">
        <f t="shared" si="2"/>
        <v>craig.lipscomb@alhouse.gov</v>
      </c>
      <c r="N33" s="39"/>
      <c r="O33" s="39">
        <v>2012.0</v>
      </c>
      <c r="P33" s="39"/>
      <c r="Q33" s="39"/>
      <c r="R33" s="53" t="s">
        <v>376</v>
      </c>
    </row>
    <row r="34">
      <c r="A34" s="14" t="s">
        <v>44</v>
      </c>
      <c r="B34" s="74">
        <v>31.0</v>
      </c>
      <c r="C34" s="35" t="s">
        <v>157</v>
      </c>
      <c r="D34" s="35" t="s">
        <v>379</v>
      </c>
      <c r="E34" s="40" t="s">
        <v>53</v>
      </c>
      <c r="F34" s="42"/>
      <c r="G34" s="42" t="s">
        <v>380</v>
      </c>
      <c r="H34" s="43" t="s">
        <v>381</v>
      </c>
      <c r="I34" s="57"/>
      <c r="J34" s="58"/>
      <c r="K34" s="48"/>
      <c r="L34" s="50" t="s">
        <v>382</v>
      </c>
      <c r="M34" s="39" t="str">
        <f t="shared" si="2"/>
        <v>mike.holmes@alhouse.gov</v>
      </c>
      <c r="N34" s="39"/>
      <c r="O34" s="39">
        <v>2014.0</v>
      </c>
      <c r="P34" s="37"/>
      <c r="Q34" s="37"/>
      <c r="R34" s="53" t="s">
        <v>383</v>
      </c>
    </row>
    <row r="35">
      <c r="A35" s="14" t="s">
        <v>44</v>
      </c>
      <c r="B35" s="74">
        <v>32.0</v>
      </c>
      <c r="C35" s="35" t="s">
        <v>384</v>
      </c>
      <c r="D35" s="35" t="s">
        <v>388</v>
      </c>
      <c r="E35" s="73" t="s">
        <v>49</v>
      </c>
      <c r="F35" s="42"/>
      <c r="G35" s="42"/>
      <c r="H35" s="43"/>
      <c r="I35" s="46"/>
      <c r="J35" s="47"/>
      <c r="K35" s="48"/>
      <c r="L35" s="50" t="s">
        <v>389</v>
      </c>
      <c r="M35" s="39" t="str">
        <f t="shared" si="2"/>
        <v>barbara.boyd@alhouse.gov</v>
      </c>
      <c r="N35" s="39"/>
      <c r="O35" s="39">
        <v>1994.0</v>
      </c>
      <c r="P35" s="39"/>
      <c r="Q35" s="39"/>
      <c r="R35" s="53" t="s">
        <v>390</v>
      </c>
    </row>
    <row r="36">
      <c r="A36" s="14" t="s">
        <v>44</v>
      </c>
      <c r="B36" s="74">
        <v>33.0</v>
      </c>
      <c r="C36" s="35" t="s">
        <v>393</v>
      </c>
      <c r="D36" s="35" t="s">
        <v>118</v>
      </c>
      <c r="E36" s="40" t="s">
        <v>53</v>
      </c>
      <c r="F36" s="42"/>
      <c r="G36" s="42" t="s">
        <v>395</v>
      </c>
      <c r="H36" s="43" t="s">
        <v>396</v>
      </c>
      <c r="I36" s="46"/>
      <c r="J36" s="47"/>
      <c r="K36" s="48"/>
      <c r="L36" s="50" t="s">
        <v>397</v>
      </c>
      <c r="M36" s="39" t="str">
        <f t="shared" si="2"/>
        <v>ronald.johnson@alhouse.gov</v>
      </c>
      <c r="N36" s="39"/>
      <c r="O36" s="39">
        <v>1978.0</v>
      </c>
      <c r="P36" s="37"/>
      <c r="Q36" s="37"/>
      <c r="R36" s="53" t="s">
        <v>398</v>
      </c>
    </row>
    <row r="37">
      <c r="A37" s="14" t="s">
        <v>44</v>
      </c>
      <c r="B37" s="74">
        <v>34.0</v>
      </c>
      <c r="C37" s="35" t="s">
        <v>108</v>
      </c>
      <c r="D37" s="35" t="s">
        <v>402</v>
      </c>
      <c r="E37" s="40" t="s">
        <v>53</v>
      </c>
      <c r="F37" s="42"/>
      <c r="G37" s="42" t="s">
        <v>403</v>
      </c>
      <c r="H37" s="43"/>
      <c r="I37" s="57"/>
      <c r="J37" s="58"/>
      <c r="K37" s="48"/>
      <c r="L37" s="50" t="s">
        <v>404</v>
      </c>
      <c r="M37" s="39" t="str">
        <f t="shared" si="2"/>
        <v>david.standridge@alhouse.gov</v>
      </c>
      <c r="N37" s="39"/>
      <c r="O37" s="39">
        <v>2012.0</v>
      </c>
      <c r="P37" s="39"/>
      <c r="Q37" s="39"/>
      <c r="R37" s="53" t="s">
        <v>405</v>
      </c>
    </row>
    <row r="38">
      <c r="A38" s="14" t="s">
        <v>44</v>
      </c>
      <c r="B38" s="74">
        <v>35.0</v>
      </c>
      <c r="C38" s="35" t="s">
        <v>55</v>
      </c>
      <c r="D38" s="35" t="s">
        <v>408</v>
      </c>
      <c r="E38" s="40" t="s">
        <v>53</v>
      </c>
      <c r="F38" s="42"/>
      <c r="G38" s="42" t="s">
        <v>409</v>
      </c>
      <c r="H38" s="43"/>
      <c r="I38" s="57"/>
      <c r="J38" s="58"/>
      <c r="K38" s="48"/>
      <c r="L38" s="50" t="s">
        <v>410</v>
      </c>
      <c r="M38" s="39" t="str">
        <f t="shared" si="2"/>
        <v>steve.hurst@alhouse.gov</v>
      </c>
      <c r="N38" s="39"/>
      <c r="O38" s="39">
        <v>1998.0</v>
      </c>
      <c r="P38" s="39"/>
      <c r="Q38" s="39"/>
      <c r="R38" s="53" t="s">
        <v>411</v>
      </c>
    </row>
    <row r="39">
      <c r="A39" s="14" t="s">
        <v>44</v>
      </c>
      <c r="B39" s="74">
        <v>36.0</v>
      </c>
      <c r="C39" s="35" t="s">
        <v>412</v>
      </c>
      <c r="D39" s="35" t="s">
        <v>415</v>
      </c>
      <c r="E39" s="40" t="s">
        <v>53</v>
      </c>
      <c r="F39" s="42"/>
      <c r="G39" s="42" t="s">
        <v>416</v>
      </c>
      <c r="H39" s="43"/>
      <c r="I39" s="46"/>
      <c r="J39" s="47"/>
      <c r="K39" s="48"/>
      <c r="L39" s="50" t="s">
        <v>417</v>
      </c>
      <c r="M39" s="39" t="str">
        <f t="shared" si="2"/>
        <v>randy.wood@alhouse.gov</v>
      </c>
      <c r="N39" s="39"/>
      <c r="O39" s="39">
        <v>2002.0</v>
      </c>
      <c r="P39" s="39"/>
      <c r="Q39" s="39"/>
      <c r="R39" s="53" t="s">
        <v>418</v>
      </c>
    </row>
    <row r="40">
      <c r="A40" s="14" t="s">
        <v>44</v>
      </c>
      <c r="B40" s="74">
        <v>37.0</v>
      </c>
      <c r="C40" s="35" t="s">
        <v>419</v>
      </c>
      <c r="D40" s="35" t="s">
        <v>420</v>
      </c>
      <c r="E40" s="40" t="s">
        <v>53</v>
      </c>
      <c r="F40" s="42"/>
      <c r="G40" s="42" t="s">
        <v>422</v>
      </c>
      <c r="H40" s="43"/>
      <c r="I40" s="46"/>
      <c r="J40" s="47"/>
      <c r="K40" s="48"/>
      <c r="L40" s="50" t="s">
        <v>423</v>
      </c>
      <c r="M40" s="39" t="str">
        <f t="shared" si="2"/>
        <v>bob.fincher@alhouse.gov</v>
      </c>
      <c r="N40" s="39"/>
      <c r="O40" s="39">
        <v>2014.0</v>
      </c>
      <c r="P40" s="37"/>
      <c r="Q40" s="37"/>
      <c r="R40" s="53" t="s">
        <v>424</v>
      </c>
    </row>
    <row r="41">
      <c r="A41" s="14" t="s">
        <v>44</v>
      </c>
      <c r="B41" s="74">
        <v>38.0</v>
      </c>
      <c r="C41" s="78" t="s">
        <v>425</v>
      </c>
      <c r="D41" s="78" t="s">
        <v>415</v>
      </c>
      <c r="E41" s="40" t="s">
        <v>53</v>
      </c>
      <c r="F41" s="42"/>
      <c r="G41" s="42"/>
      <c r="H41" s="43"/>
      <c r="I41" s="46"/>
      <c r="J41" s="47"/>
      <c r="K41" s="48"/>
      <c r="L41" s="50" t="s">
        <v>436</v>
      </c>
      <c r="M41" s="39" t="str">
        <f t="shared" si="2"/>
        <v>debbie.wood@alhouse.gov</v>
      </c>
      <c r="N41" s="39"/>
      <c r="O41" s="39">
        <v>2014.0</v>
      </c>
      <c r="P41" s="39"/>
      <c r="Q41" s="39"/>
      <c r="R41" s="53" t="s">
        <v>437</v>
      </c>
    </row>
    <row r="42">
      <c r="A42" s="14" t="s">
        <v>44</v>
      </c>
      <c r="B42" s="74">
        <v>39.0</v>
      </c>
      <c r="C42" s="38" t="s">
        <v>442</v>
      </c>
      <c r="D42" s="38" t="s">
        <v>443</v>
      </c>
      <c r="E42" s="54" t="s">
        <v>53</v>
      </c>
      <c r="F42" s="42"/>
      <c r="G42" s="42"/>
      <c r="H42" s="43"/>
      <c r="I42" s="57"/>
      <c r="J42" s="58"/>
      <c r="K42" s="48"/>
      <c r="L42" s="50" t="s">
        <v>444</v>
      </c>
      <c r="M42" s="39" t="str">
        <f t="shared" si="2"/>
        <v>ginny.shaver@alhouse.gov</v>
      </c>
      <c r="N42" s="39"/>
      <c r="O42" s="39">
        <v>1983.0</v>
      </c>
      <c r="P42" s="39"/>
      <c r="Q42" s="39"/>
      <c r="R42" s="53" t="s">
        <v>445</v>
      </c>
    </row>
    <row r="43">
      <c r="A43" s="14" t="s">
        <v>44</v>
      </c>
      <c r="B43" s="74">
        <v>40.0</v>
      </c>
      <c r="C43" s="38" t="s">
        <v>446</v>
      </c>
      <c r="D43" s="35" t="s">
        <v>447</v>
      </c>
      <c r="E43" s="40" t="s">
        <v>53</v>
      </c>
      <c r="F43" s="42"/>
      <c r="G43" s="42"/>
      <c r="H43" s="43"/>
      <c r="I43" s="46"/>
      <c r="J43" s="47"/>
      <c r="K43" s="48"/>
      <c r="L43" s="50" t="s">
        <v>448</v>
      </c>
      <c r="M43" s="39" t="str">
        <f t="shared" si="2"/>
        <v>koven.brown@alhouse.gov</v>
      </c>
      <c r="N43" s="39"/>
      <c r="O43" s="39">
        <v>2010.0</v>
      </c>
      <c r="P43" s="39"/>
      <c r="Q43" s="39"/>
      <c r="R43" s="53" t="s">
        <v>449</v>
      </c>
    </row>
    <row r="44">
      <c r="A44" s="14" t="s">
        <v>44</v>
      </c>
      <c r="B44" s="74">
        <v>41.0</v>
      </c>
      <c r="C44" s="74" t="s">
        <v>450</v>
      </c>
      <c r="D44" s="74" t="s">
        <v>451</v>
      </c>
      <c r="E44" s="40" t="s">
        <v>53</v>
      </c>
      <c r="F44" s="42"/>
      <c r="G44" s="42" t="s">
        <v>452</v>
      </c>
      <c r="H44" s="43"/>
      <c r="I44" s="46"/>
      <c r="J44" s="47"/>
      <c r="K44" s="48"/>
      <c r="L44" s="50" t="s">
        <v>453</v>
      </c>
      <c r="M44" s="39" t="str">
        <f t="shared" si="2"/>
        <v>corley.ellis@alhouse.gov</v>
      </c>
      <c r="N44" s="39"/>
      <c r="O44" s="39">
        <v>2016.0</v>
      </c>
      <c r="P44" s="39"/>
      <c r="Q44" s="39"/>
      <c r="R44" s="53" t="s">
        <v>454</v>
      </c>
    </row>
    <row r="45">
      <c r="A45" s="14" t="s">
        <v>44</v>
      </c>
      <c r="B45" s="74">
        <v>42.0</v>
      </c>
      <c r="C45" s="35" t="s">
        <v>455</v>
      </c>
      <c r="D45" s="35" t="s">
        <v>456</v>
      </c>
      <c r="E45" s="40" t="s">
        <v>53</v>
      </c>
      <c r="F45" s="42"/>
      <c r="G45" s="42" t="s">
        <v>457</v>
      </c>
      <c r="H45" s="43"/>
      <c r="I45" s="57"/>
      <c r="J45" s="58"/>
      <c r="K45" s="48"/>
      <c r="L45" s="50" t="s">
        <v>458</v>
      </c>
      <c r="M45" s="39" t="str">
        <f t="shared" si="2"/>
        <v>jimmy.martin@alhouse.gov</v>
      </c>
      <c r="N45" s="39"/>
      <c r="O45" s="39">
        <v>2014.0</v>
      </c>
      <c r="P45" s="39"/>
      <c r="Q45" s="39"/>
      <c r="R45" s="53" t="s">
        <v>459</v>
      </c>
    </row>
    <row r="46">
      <c r="A46" s="14" t="s">
        <v>44</v>
      </c>
      <c r="B46" s="74">
        <v>43.0</v>
      </c>
      <c r="C46" s="74" t="s">
        <v>460</v>
      </c>
      <c r="D46" s="74" t="s">
        <v>461</v>
      </c>
      <c r="E46" s="40" t="s">
        <v>53</v>
      </c>
      <c r="F46" s="42"/>
      <c r="G46" s="42"/>
      <c r="H46" s="43"/>
      <c r="I46" s="46"/>
      <c r="J46" s="47"/>
      <c r="K46" s="48"/>
      <c r="L46" s="50" t="s">
        <v>462</v>
      </c>
      <c r="M46" s="39" t="str">
        <f t="shared" si="2"/>
        <v>arnold.mooney@alhouse.gov</v>
      </c>
      <c r="N46" s="39"/>
      <c r="O46" s="39">
        <v>2014.0</v>
      </c>
      <c r="P46" s="39"/>
      <c r="Q46" s="39"/>
      <c r="R46" s="53" t="s">
        <v>249</v>
      </c>
    </row>
    <row r="47">
      <c r="A47" s="14" t="s">
        <v>44</v>
      </c>
      <c r="B47" s="74">
        <v>44.0</v>
      </c>
      <c r="C47" s="74" t="s">
        <v>100</v>
      </c>
      <c r="D47" s="74" t="s">
        <v>463</v>
      </c>
      <c r="E47" s="40" t="s">
        <v>53</v>
      </c>
      <c r="F47" s="42"/>
      <c r="G47" s="42" t="s">
        <v>464</v>
      </c>
      <c r="H47" s="43" t="s">
        <v>465</v>
      </c>
      <c r="I47" s="57"/>
      <c r="J47" s="58"/>
      <c r="K47" s="48"/>
      <c r="L47" s="50" t="s">
        <v>466</v>
      </c>
      <c r="M47" s="39" t="str">
        <f t="shared" si="2"/>
        <v>danny.garrett@alhouse.gov</v>
      </c>
      <c r="N47" s="39"/>
      <c r="O47" s="39">
        <v>2014.0</v>
      </c>
      <c r="P47" s="39"/>
      <c r="Q47" s="39"/>
      <c r="R47" s="53" t="s">
        <v>467</v>
      </c>
    </row>
    <row r="48">
      <c r="A48" s="14" t="s">
        <v>44</v>
      </c>
      <c r="B48" s="74">
        <v>45.0</v>
      </c>
      <c r="C48" s="74" t="s">
        <v>468</v>
      </c>
      <c r="D48" s="74" t="s">
        <v>469</v>
      </c>
      <c r="E48" s="40" t="s">
        <v>53</v>
      </c>
      <c r="F48" s="42"/>
      <c r="G48" s="42" t="s">
        <v>470</v>
      </c>
      <c r="H48" s="43"/>
      <c r="I48" s="46"/>
      <c r="J48" s="47"/>
      <c r="K48" s="48"/>
      <c r="L48" s="50" t="s">
        <v>471</v>
      </c>
      <c r="M48" s="39" t="str">
        <f t="shared" si="2"/>
        <v>dickie.drake@alhouse.gov</v>
      </c>
      <c r="N48" s="39"/>
      <c r="O48" s="39">
        <v>2011.0</v>
      </c>
      <c r="P48" s="39"/>
      <c r="Q48" s="39"/>
      <c r="R48" s="53" t="s">
        <v>249</v>
      </c>
    </row>
    <row r="49">
      <c r="A49" s="14" t="s">
        <v>44</v>
      </c>
      <c r="B49" s="74">
        <v>46.0</v>
      </c>
      <c r="C49" s="35" t="s">
        <v>108</v>
      </c>
      <c r="D49" s="35" t="s">
        <v>472</v>
      </c>
      <c r="E49" s="40" t="s">
        <v>53</v>
      </c>
      <c r="F49" s="42"/>
      <c r="G49" s="42"/>
      <c r="H49" s="43"/>
      <c r="I49" s="46"/>
      <c r="J49" s="47"/>
      <c r="K49" s="48"/>
      <c r="L49" s="50" t="s">
        <v>473</v>
      </c>
      <c r="M49" s="39" t="str">
        <f t="shared" si="2"/>
        <v>david.faulkner@alhouse.gov</v>
      </c>
      <c r="N49" s="39"/>
      <c r="O49" s="39">
        <v>2014.0</v>
      </c>
      <c r="P49" s="39"/>
      <c r="Q49" s="39"/>
      <c r="R49" s="53" t="s">
        <v>467</v>
      </c>
    </row>
    <row r="50">
      <c r="A50" s="14" t="s">
        <v>44</v>
      </c>
      <c r="B50" s="74">
        <v>47.0</v>
      </c>
      <c r="C50" s="38" t="s">
        <v>108</v>
      </c>
      <c r="D50" s="38" t="s">
        <v>474</v>
      </c>
      <c r="E50" s="40" t="s">
        <v>53</v>
      </c>
      <c r="F50" s="42"/>
      <c r="G50" s="42"/>
      <c r="H50" s="43"/>
      <c r="I50" s="46"/>
      <c r="J50" s="47"/>
      <c r="K50" s="48"/>
      <c r="L50" s="50" t="s">
        <v>475</v>
      </c>
      <c r="M50" s="39" t="str">
        <f t="shared" si="2"/>
        <v>david.wheeler@alhouse.gov</v>
      </c>
      <c r="N50" s="39"/>
      <c r="O50" s="39">
        <v>2004.0</v>
      </c>
      <c r="P50" s="39"/>
      <c r="Q50" s="39"/>
      <c r="R50" s="53" t="s">
        <v>467</v>
      </c>
    </row>
    <row r="51">
      <c r="A51" s="14" t="s">
        <v>44</v>
      </c>
      <c r="B51" s="74">
        <v>48.0</v>
      </c>
      <c r="C51" s="35" t="s">
        <v>476</v>
      </c>
      <c r="D51" s="35" t="s">
        <v>477</v>
      </c>
      <c r="E51" s="40" t="s">
        <v>53</v>
      </c>
      <c r="F51" s="42"/>
      <c r="G51" s="42" t="s">
        <v>478</v>
      </c>
      <c r="H51" s="43"/>
      <c r="I51" s="46"/>
      <c r="J51" s="47"/>
      <c r="K51" s="48"/>
      <c r="L51" s="50" t="s">
        <v>479</v>
      </c>
      <c r="M51" s="39" t="str">
        <f t="shared" si="2"/>
        <v>jim.carns@alhouse.gov</v>
      </c>
      <c r="N51" s="39"/>
      <c r="O51" s="39">
        <v>2011.0</v>
      </c>
      <c r="P51" s="39"/>
      <c r="Q51" s="39"/>
      <c r="R51" s="53" t="s">
        <v>249</v>
      </c>
    </row>
    <row r="52">
      <c r="A52" s="14" t="s">
        <v>44</v>
      </c>
      <c r="B52" s="74">
        <v>49.0</v>
      </c>
      <c r="C52" s="35" t="s">
        <v>480</v>
      </c>
      <c r="D52" s="35" t="s">
        <v>481</v>
      </c>
      <c r="E52" s="40" t="s">
        <v>53</v>
      </c>
      <c r="F52" s="42"/>
      <c r="G52" s="42" t="s">
        <v>482</v>
      </c>
      <c r="H52" s="43"/>
      <c r="I52" s="57"/>
      <c r="J52" s="58"/>
      <c r="K52" s="48"/>
      <c r="L52" s="50" t="s">
        <v>483</v>
      </c>
      <c r="M52" s="39" t="str">
        <f t="shared" si="2"/>
        <v>april.weaver@alhouse.gov</v>
      </c>
      <c r="N52" s="39"/>
      <c r="O52" s="39">
        <v>2010.0</v>
      </c>
      <c r="P52" s="37"/>
      <c r="Q52" s="37"/>
      <c r="R52" s="53" t="s">
        <v>484</v>
      </c>
    </row>
    <row r="53">
      <c r="A53" s="14" t="s">
        <v>44</v>
      </c>
      <c r="B53" s="74">
        <v>50.0</v>
      </c>
      <c r="C53" s="38" t="s">
        <v>476</v>
      </c>
      <c r="D53" s="38" t="s">
        <v>485</v>
      </c>
      <c r="E53" s="40" t="s">
        <v>53</v>
      </c>
      <c r="F53" s="42"/>
      <c r="G53" s="42" t="s">
        <v>486</v>
      </c>
      <c r="H53" s="43"/>
      <c r="I53" s="57"/>
      <c r="J53" s="58"/>
      <c r="K53" s="48"/>
      <c r="L53" s="50" t="s">
        <v>487</v>
      </c>
      <c r="M53" s="39" t="str">
        <f t="shared" si="2"/>
        <v>jim.hill@alhouse.gov</v>
      </c>
      <c r="N53" s="39"/>
      <c r="O53" s="39">
        <v>2014.0</v>
      </c>
      <c r="P53" s="39"/>
      <c r="Q53" s="39"/>
      <c r="R53" s="53" t="s">
        <v>488</v>
      </c>
    </row>
    <row r="54">
      <c r="A54" s="14" t="s">
        <v>44</v>
      </c>
      <c r="B54" s="74">
        <v>51.0</v>
      </c>
      <c r="C54" s="35" t="s">
        <v>241</v>
      </c>
      <c r="D54" s="35" t="s">
        <v>489</v>
      </c>
      <c r="E54" s="40" t="s">
        <v>53</v>
      </c>
      <c r="F54" s="42"/>
      <c r="G54" s="42" t="s">
        <v>490</v>
      </c>
      <c r="H54" s="43"/>
      <c r="I54" s="46"/>
      <c r="J54" s="47"/>
      <c r="K54" s="48"/>
      <c r="L54" s="50" t="s">
        <v>491</v>
      </c>
      <c r="M54" s="39" t="str">
        <f t="shared" si="2"/>
        <v>allen.treadaway@alhouse.gov</v>
      </c>
      <c r="N54" s="39"/>
      <c r="O54" s="39">
        <v>2006.0</v>
      </c>
      <c r="P54" s="39"/>
      <c r="Q54" s="39"/>
      <c r="R54" s="53" t="s">
        <v>467</v>
      </c>
    </row>
    <row r="55">
      <c r="A55" s="14" t="s">
        <v>44</v>
      </c>
      <c r="B55" s="74">
        <v>52.0</v>
      </c>
      <c r="C55" s="35" t="s">
        <v>278</v>
      </c>
      <c r="D55" s="35" t="s">
        <v>494</v>
      </c>
      <c r="E55" s="73" t="s">
        <v>49</v>
      </c>
      <c r="F55" s="42"/>
      <c r="G55" s="42"/>
      <c r="H55" s="43"/>
      <c r="I55" s="57"/>
      <c r="J55" s="58"/>
      <c r="K55" s="48"/>
      <c r="L55" s="50" t="s">
        <v>495</v>
      </c>
      <c r="M55" s="39" t="str">
        <f t="shared" si="2"/>
        <v>john.rogers@alhouse.gov</v>
      </c>
      <c r="N55" s="39"/>
      <c r="O55" s="39">
        <v>1982.0</v>
      </c>
      <c r="P55" s="39"/>
      <c r="Q55" s="39"/>
      <c r="R55" s="53" t="s">
        <v>467</v>
      </c>
    </row>
    <row r="56">
      <c r="A56" s="14" t="s">
        <v>44</v>
      </c>
      <c r="B56" s="74">
        <v>53.0</v>
      </c>
      <c r="C56" s="35" t="s">
        <v>496</v>
      </c>
      <c r="D56" s="35" t="s">
        <v>497</v>
      </c>
      <c r="E56" s="73" t="s">
        <v>49</v>
      </c>
      <c r="F56" s="43" t="s">
        <v>498</v>
      </c>
      <c r="G56" s="42"/>
      <c r="H56" s="43"/>
      <c r="I56" s="57"/>
      <c r="J56" s="58"/>
      <c r="K56" s="48"/>
      <c r="L56" s="50" t="s">
        <v>499</v>
      </c>
      <c r="M56" s="39" t="str">
        <f t="shared" si="2"/>
        <v>anthony.daniels@alhouse.gov</v>
      </c>
      <c r="N56" s="39"/>
      <c r="O56" s="39">
        <v>2014.0</v>
      </c>
      <c r="P56" s="39"/>
      <c r="Q56" s="39"/>
      <c r="R56" s="53" t="s">
        <v>169</v>
      </c>
    </row>
    <row r="57">
      <c r="A57" s="14" t="s">
        <v>44</v>
      </c>
      <c r="B57" s="74">
        <v>54.0</v>
      </c>
      <c r="C57" s="38" t="s">
        <v>500</v>
      </c>
      <c r="D57" s="38" t="s">
        <v>501</v>
      </c>
      <c r="E57" s="73" t="s">
        <v>49</v>
      </c>
      <c r="F57" s="42"/>
      <c r="G57" s="42"/>
      <c r="H57" s="43"/>
      <c r="I57" s="46"/>
      <c r="J57" s="47"/>
      <c r="K57" s="48"/>
      <c r="L57" s="50" t="s">
        <v>502</v>
      </c>
      <c r="M57" s="39" t="str">
        <f t="shared" si="2"/>
        <v>neil.refferty@alhouse.gov</v>
      </c>
      <c r="N57" s="39"/>
      <c r="O57" s="39">
        <v>2006.0</v>
      </c>
      <c r="P57" s="39"/>
      <c r="Q57" s="39"/>
      <c r="R57" s="53" t="s">
        <v>467</v>
      </c>
    </row>
    <row r="58">
      <c r="A58" s="14" t="s">
        <v>44</v>
      </c>
      <c r="B58" s="74">
        <v>55.0</v>
      </c>
      <c r="C58" s="35" t="s">
        <v>503</v>
      </c>
      <c r="D58" s="35" t="s">
        <v>45</v>
      </c>
      <c r="E58" s="73" t="s">
        <v>49</v>
      </c>
      <c r="F58" s="42"/>
      <c r="G58" s="42"/>
      <c r="H58" s="43"/>
      <c r="I58" s="46"/>
      <c r="J58" s="47"/>
      <c r="K58" s="48"/>
      <c r="L58" s="50" t="s">
        <v>504</v>
      </c>
      <c r="M58" s="39" t="str">
        <f t="shared" si="2"/>
        <v>rod.scott@alhouse.gov</v>
      </c>
      <c r="N58" s="39"/>
      <c r="O58" s="39">
        <v>2006.0</v>
      </c>
      <c r="P58" s="39"/>
      <c r="Q58" s="39"/>
      <c r="R58" s="53" t="s">
        <v>467</v>
      </c>
    </row>
    <row r="59">
      <c r="A59" s="14" t="s">
        <v>44</v>
      </c>
      <c r="B59" s="74">
        <v>56.0</v>
      </c>
      <c r="C59" s="35" t="s">
        <v>216</v>
      </c>
      <c r="D59" s="35" t="s">
        <v>505</v>
      </c>
      <c r="E59" s="73" t="s">
        <v>49</v>
      </c>
      <c r="F59" s="42"/>
      <c r="G59" s="42"/>
      <c r="H59" s="43"/>
      <c r="I59" s="57"/>
      <c r="J59" s="58"/>
      <c r="K59" s="48"/>
      <c r="L59" s="50" t="s">
        <v>506</v>
      </c>
      <c r="M59" s="39" t="str">
        <f t="shared" si="2"/>
        <v>louise.alexander@alhouse.gov</v>
      </c>
      <c r="N59" s="39"/>
      <c r="O59" s="39">
        <v>2014.0</v>
      </c>
      <c r="P59" s="39"/>
      <c r="Q59" s="39"/>
      <c r="R59" s="53" t="s">
        <v>467</v>
      </c>
    </row>
    <row r="60">
      <c r="A60" s="14" t="s">
        <v>44</v>
      </c>
      <c r="B60" s="74">
        <v>57.0</v>
      </c>
      <c r="C60" s="35" t="s">
        <v>507</v>
      </c>
      <c r="D60" s="35" t="s">
        <v>508</v>
      </c>
      <c r="E60" s="73" t="s">
        <v>49</v>
      </c>
      <c r="F60" s="42"/>
      <c r="G60" s="42"/>
      <c r="H60" s="43"/>
      <c r="I60" s="57"/>
      <c r="J60" s="58"/>
      <c r="K60" s="48"/>
      <c r="L60" s="50" t="s">
        <v>509</v>
      </c>
      <c r="M60" s="39" t="str">
        <f t="shared" si="2"/>
        <v>merika.coleman@alhouse.gov</v>
      </c>
      <c r="N60" s="39"/>
      <c r="O60" s="39">
        <v>2002.0</v>
      </c>
      <c r="P60" s="39"/>
      <c r="Q60" s="39"/>
      <c r="R60" s="53" t="s">
        <v>467</v>
      </c>
    </row>
    <row r="61">
      <c r="A61" s="14" t="s">
        <v>44</v>
      </c>
      <c r="B61" s="74">
        <v>58.0</v>
      </c>
      <c r="C61" s="74" t="s">
        <v>510</v>
      </c>
      <c r="D61" s="74" t="s">
        <v>511</v>
      </c>
      <c r="E61" s="73" t="s">
        <v>49</v>
      </c>
      <c r="F61" s="42"/>
      <c r="G61" s="42"/>
      <c r="H61" s="43"/>
      <c r="I61" s="57"/>
      <c r="J61" s="58"/>
      <c r="K61" s="48"/>
      <c r="L61" s="50" t="s">
        <v>512</v>
      </c>
      <c r="M61" s="39" t="str">
        <f t="shared" si="2"/>
        <v>rolanda.hollis@alhouse.gov</v>
      </c>
      <c r="N61" s="39"/>
      <c r="O61" s="39">
        <v>2017.0</v>
      </c>
      <c r="P61" s="39"/>
      <c r="Q61" s="39"/>
      <c r="R61" s="53" t="s">
        <v>467</v>
      </c>
    </row>
    <row r="62">
      <c r="A62" s="14" t="s">
        <v>44</v>
      </c>
      <c r="B62" s="74">
        <v>59.0</v>
      </c>
      <c r="C62" s="35" t="s">
        <v>514</v>
      </c>
      <c r="D62" s="35" t="s">
        <v>89</v>
      </c>
      <c r="E62" s="73" t="s">
        <v>49</v>
      </c>
      <c r="F62" s="42"/>
      <c r="G62" s="42"/>
      <c r="H62" s="43"/>
      <c r="I62" s="57"/>
      <c r="J62" s="58"/>
      <c r="K62" s="48"/>
      <c r="L62" s="87" t="s">
        <v>521</v>
      </c>
      <c r="M62" s="39" t="str">
        <f t="shared" si="2"/>
        <v>mary.moore@alhouse.gov</v>
      </c>
      <c r="N62" s="39"/>
      <c r="O62" s="39">
        <v>2002.0</v>
      </c>
      <c r="P62" s="39"/>
      <c r="Q62" s="39"/>
      <c r="R62" s="53" t="s">
        <v>467</v>
      </c>
    </row>
    <row r="63">
      <c r="A63" s="14" t="s">
        <v>44</v>
      </c>
      <c r="B63" s="74">
        <v>60.0</v>
      </c>
      <c r="C63" s="35" t="s">
        <v>522</v>
      </c>
      <c r="D63" s="35" t="s">
        <v>524</v>
      </c>
      <c r="E63" s="73" t="s">
        <v>49</v>
      </c>
      <c r="F63" s="42"/>
      <c r="G63" s="42"/>
      <c r="H63" s="43"/>
      <c r="I63" s="57"/>
      <c r="J63" s="58"/>
      <c r="K63" s="48"/>
      <c r="L63" s="87" t="s">
        <v>525</v>
      </c>
      <c r="M63" s="39" t="str">
        <f t="shared" si="2"/>
        <v>juandalynn.givan@alhouse.gov</v>
      </c>
      <c r="N63" s="39"/>
      <c r="O63" s="39">
        <v>2010.0</v>
      </c>
      <c r="P63" s="39"/>
      <c r="Q63" s="39"/>
      <c r="R63" s="53" t="s">
        <v>467</v>
      </c>
    </row>
    <row r="64">
      <c r="A64" s="14" t="s">
        <v>44</v>
      </c>
      <c r="B64" s="74">
        <v>61.0</v>
      </c>
      <c r="C64" s="38" t="s">
        <v>526</v>
      </c>
      <c r="D64" s="38" t="s">
        <v>435</v>
      </c>
      <c r="E64" s="40" t="s">
        <v>53</v>
      </c>
      <c r="F64" s="42"/>
      <c r="G64" s="42"/>
      <c r="H64" s="43"/>
      <c r="I64" s="46"/>
      <c r="J64" s="47"/>
      <c r="K64" s="48"/>
      <c r="L64" s="90" t="s">
        <v>527</v>
      </c>
      <c r="M64" s="39" t="str">
        <f t="shared" si="2"/>
        <v>rodney.sullivan@alhouse.gov</v>
      </c>
      <c r="N64" s="39"/>
      <c r="O64" s="39">
        <v>2006.0</v>
      </c>
      <c r="P64" s="37"/>
      <c r="Q64" s="37"/>
      <c r="R64" s="53" t="s">
        <v>528</v>
      </c>
    </row>
    <row r="65">
      <c r="A65" s="14" t="s">
        <v>44</v>
      </c>
      <c r="B65" s="74">
        <v>62.0</v>
      </c>
      <c r="C65" s="35" t="s">
        <v>345</v>
      </c>
      <c r="D65" s="35" t="s">
        <v>531</v>
      </c>
      <c r="E65" s="40" t="s">
        <v>53</v>
      </c>
      <c r="F65" s="69"/>
      <c r="G65" s="69" t="s">
        <v>532</v>
      </c>
      <c r="H65" s="43" t="s">
        <v>533</v>
      </c>
      <c r="I65" s="46"/>
      <c r="J65" s="47"/>
      <c r="K65" s="48"/>
      <c r="L65" s="50" t="s">
        <v>534</v>
      </c>
      <c r="M65" s="39" t="str">
        <f t="shared" si="2"/>
        <v>rich.wingo@alhouse.gov</v>
      </c>
      <c r="N65" s="39"/>
      <c r="O65" s="39">
        <v>2014.0</v>
      </c>
      <c r="P65" s="39"/>
      <c r="Q65" s="39"/>
      <c r="R65" s="53" t="s">
        <v>538</v>
      </c>
    </row>
    <row r="66">
      <c r="A66" s="14" t="s">
        <v>44</v>
      </c>
      <c r="B66" s="74">
        <v>63.0</v>
      </c>
      <c r="C66" s="74" t="s">
        <v>325</v>
      </c>
      <c r="D66" s="74" t="s">
        <v>540</v>
      </c>
      <c r="E66" s="40" t="s">
        <v>53</v>
      </c>
      <c r="F66" s="42"/>
      <c r="G66" s="42" t="s">
        <v>541</v>
      </c>
      <c r="H66" s="43"/>
      <c r="I66" s="57"/>
      <c r="J66" s="58"/>
      <c r="K66" s="48"/>
      <c r="L66" s="50" t="s">
        <v>542</v>
      </c>
      <c r="M66" s="39" t="str">
        <f t="shared" si="2"/>
        <v>bill.poole@alhouse.gov</v>
      </c>
      <c r="N66" s="39"/>
      <c r="O66" s="39">
        <v>2010.0</v>
      </c>
      <c r="P66" s="39"/>
      <c r="Q66" s="39"/>
      <c r="R66" s="53" t="s">
        <v>538</v>
      </c>
    </row>
    <row r="67">
      <c r="A67" s="14" t="s">
        <v>44</v>
      </c>
      <c r="B67" s="74">
        <v>64.0</v>
      </c>
      <c r="C67" s="35" t="s">
        <v>543</v>
      </c>
      <c r="D67" s="35" t="s">
        <v>544</v>
      </c>
      <c r="E67" s="40" t="s">
        <v>53</v>
      </c>
      <c r="F67" s="42"/>
      <c r="G67" s="42"/>
      <c r="H67" s="43"/>
      <c r="I67" s="46"/>
      <c r="J67" s="47"/>
      <c r="K67" s="48"/>
      <c r="L67" s="50" t="s">
        <v>545</v>
      </c>
      <c r="M67" s="39" t="str">
        <f t="shared" si="2"/>
        <v>harry.shiver@alhouse.gov</v>
      </c>
      <c r="N67" s="39"/>
      <c r="O67" s="39">
        <v>2006.0</v>
      </c>
      <c r="P67" s="37"/>
      <c r="Q67" s="37"/>
      <c r="R67" s="53" t="s">
        <v>546</v>
      </c>
    </row>
    <row r="68">
      <c r="A68" s="14" t="s">
        <v>44</v>
      </c>
      <c r="B68" s="74">
        <v>65.0</v>
      </c>
      <c r="C68" s="38" t="s">
        <v>547</v>
      </c>
      <c r="D68" s="38" t="s">
        <v>548</v>
      </c>
      <c r="E68" s="54" t="s">
        <v>53</v>
      </c>
      <c r="F68" s="42"/>
      <c r="G68" s="42"/>
      <c r="H68" s="43"/>
      <c r="I68" s="46"/>
      <c r="J68" s="47"/>
      <c r="K68" s="48"/>
      <c r="L68" s="50" t="s">
        <v>549</v>
      </c>
      <c r="M68" s="39" t="str">
        <f t="shared" si="2"/>
        <v>brett.easterbrook@alhouse.gov</v>
      </c>
      <c r="N68" s="39"/>
      <c r="O68" s="39">
        <v>2009.0</v>
      </c>
      <c r="P68" s="37"/>
      <c r="Q68" s="37"/>
      <c r="R68" s="53" t="s">
        <v>550</v>
      </c>
    </row>
    <row r="69">
      <c r="A69" s="14" t="s">
        <v>44</v>
      </c>
      <c r="B69" s="74">
        <v>66.0</v>
      </c>
      <c r="C69" s="35" t="s">
        <v>551</v>
      </c>
      <c r="D69" s="35" t="s">
        <v>553</v>
      </c>
      <c r="E69" s="40" t="s">
        <v>53</v>
      </c>
      <c r="F69" s="42"/>
      <c r="G69" s="42" t="s">
        <v>554</v>
      </c>
      <c r="H69" s="43"/>
      <c r="I69" s="46"/>
      <c r="J69" s="47"/>
      <c r="K69" s="48"/>
      <c r="L69" s="50" t="s">
        <v>555</v>
      </c>
      <c r="M69" s="39" t="str">
        <f t="shared" si="2"/>
        <v>alan.baker@alhouse.gov</v>
      </c>
      <c r="N69" s="39"/>
      <c r="O69" s="39">
        <v>2006.0</v>
      </c>
      <c r="P69" s="39"/>
      <c r="Q69" s="39"/>
      <c r="R69" s="53" t="s">
        <v>556</v>
      </c>
    </row>
    <row r="70">
      <c r="A70" s="14" t="s">
        <v>44</v>
      </c>
      <c r="B70" s="74">
        <v>67.0</v>
      </c>
      <c r="C70" s="74" t="s">
        <v>557</v>
      </c>
      <c r="D70" s="74" t="s">
        <v>558</v>
      </c>
      <c r="E70" s="73" t="s">
        <v>49</v>
      </c>
      <c r="F70" s="42"/>
      <c r="G70" s="42"/>
      <c r="H70" s="43"/>
      <c r="I70" s="57"/>
      <c r="J70" s="58"/>
      <c r="K70" s="48"/>
      <c r="L70" s="50" t="s">
        <v>559</v>
      </c>
      <c r="M70" s="39" t="str">
        <f t="shared" si="2"/>
        <v>prince.chestnut@alhouse.gov</v>
      </c>
      <c r="N70" s="39"/>
      <c r="O70" s="39">
        <v>2017.0</v>
      </c>
      <c r="P70" s="37"/>
      <c r="Q70" s="37"/>
      <c r="R70" s="53" t="s">
        <v>560</v>
      </c>
    </row>
    <row r="71">
      <c r="A71" s="14" t="s">
        <v>44</v>
      </c>
      <c r="B71" s="74">
        <v>68.0</v>
      </c>
      <c r="C71" s="35" t="s">
        <v>561</v>
      </c>
      <c r="D71" s="35" t="s">
        <v>567</v>
      </c>
      <c r="E71" s="73" t="s">
        <v>49</v>
      </c>
      <c r="F71" s="42"/>
      <c r="G71" s="42"/>
      <c r="H71" s="43"/>
      <c r="I71" s="57"/>
      <c r="J71" s="58"/>
      <c r="K71" s="48"/>
      <c r="L71" s="50" t="s">
        <v>568</v>
      </c>
      <c r="M71" s="39" t="str">
        <f t="shared" si="2"/>
        <v>thomas.jackson@alhouse.gov</v>
      </c>
      <c r="N71" s="39"/>
      <c r="O71" s="39">
        <v>1994.0</v>
      </c>
      <c r="P71" s="39"/>
      <c r="Q71" s="39"/>
      <c r="R71" s="53" t="s">
        <v>569</v>
      </c>
    </row>
    <row r="72">
      <c r="A72" s="14" t="s">
        <v>44</v>
      </c>
      <c r="B72" s="74">
        <v>69.0</v>
      </c>
      <c r="C72" s="74" t="s">
        <v>571</v>
      </c>
      <c r="D72" s="74" t="s">
        <v>572</v>
      </c>
      <c r="E72" s="73" t="s">
        <v>49</v>
      </c>
      <c r="F72" s="42"/>
      <c r="G72" s="42"/>
      <c r="H72" s="43"/>
      <c r="I72" s="57"/>
      <c r="J72" s="58"/>
      <c r="K72" s="48"/>
      <c r="L72" s="50" t="s">
        <v>573</v>
      </c>
      <c r="M72" s="39" t="str">
        <f t="shared" si="2"/>
        <v>kelvin.lawrence@alhouse.gov</v>
      </c>
      <c r="N72" s="39"/>
      <c r="O72" s="39">
        <v>2014.0</v>
      </c>
      <c r="P72" s="39"/>
      <c r="Q72" s="39"/>
      <c r="R72" s="53" t="s">
        <v>574</v>
      </c>
    </row>
    <row r="73">
      <c r="A73" s="14" t="s">
        <v>44</v>
      </c>
      <c r="B73" s="74">
        <v>70.0</v>
      </c>
      <c r="C73" s="35" t="s">
        <v>575</v>
      </c>
      <c r="D73" s="35" t="s">
        <v>581</v>
      </c>
      <c r="E73" s="73" t="s">
        <v>49</v>
      </c>
      <c r="F73" s="42"/>
      <c r="G73" s="42"/>
      <c r="H73" s="43"/>
      <c r="I73" s="57"/>
      <c r="J73" s="58"/>
      <c r="K73" s="48"/>
      <c r="L73" s="50" t="s">
        <v>582</v>
      </c>
      <c r="M73" s="39" t="str">
        <f t="shared" si="2"/>
        <v>christopher.england@alhouse.gov</v>
      </c>
      <c r="N73" s="39"/>
      <c r="O73" s="39">
        <v>2006.0</v>
      </c>
      <c r="P73" s="39"/>
      <c r="Q73" s="39"/>
      <c r="R73" s="53" t="s">
        <v>538</v>
      </c>
    </row>
    <row r="74">
      <c r="A74" s="14" t="s">
        <v>44</v>
      </c>
      <c r="B74" s="74">
        <v>71.0</v>
      </c>
      <c r="C74" s="35" t="s">
        <v>583</v>
      </c>
      <c r="D74" s="35" t="s">
        <v>584</v>
      </c>
      <c r="E74" s="73" t="s">
        <v>49</v>
      </c>
      <c r="F74" s="42"/>
      <c r="G74" s="42"/>
      <c r="H74" s="43"/>
      <c r="I74" s="57"/>
      <c r="J74" s="58"/>
      <c r="K74" s="48"/>
      <c r="L74" s="50" t="s">
        <v>585</v>
      </c>
      <c r="M74" s="39" t="str">
        <f t="shared" si="2"/>
        <v>artis.mccampbell@alhouse.gov</v>
      </c>
      <c r="N74" s="39"/>
      <c r="O74" s="39">
        <v>2006.0</v>
      </c>
      <c r="P74" s="39"/>
      <c r="Q74" s="39"/>
      <c r="R74" s="53" t="s">
        <v>586</v>
      </c>
    </row>
    <row r="75">
      <c r="A75" s="14" t="s">
        <v>44</v>
      </c>
      <c r="B75" s="74">
        <v>72.0</v>
      </c>
      <c r="C75" s="35" t="s">
        <v>588</v>
      </c>
      <c r="D75" s="35" t="s">
        <v>297</v>
      </c>
      <c r="E75" s="73" t="s">
        <v>49</v>
      </c>
      <c r="F75" s="42"/>
      <c r="G75" s="42"/>
      <c r="H75" s="43"/>
      <c r="I75" s="57"/>
      <c r="J75" s="58"/>
      <c r="K75" s="48"/>
      <c r="L75" s="50" t="s">
        <v>589</v>
      </c>
      <c r="M75" s="39" t="str">
        <f t="shared" si="2"/>
        <v>ralph.howard@alhouse.gov</v>
      </c>
      <c r="N75" s="39"/>
      <c r="O75" s="39">
        <v>2005.0</v>
      </c>
      <c r="P75" s="39"/>
      <c r="Q75" s="39"/>
      <c r="R75" s="53" t="s">
        <v>593</v>
      </c>
    </row>
    <row r="76">
      <c r="A76" s="14" t="s">
        <v>44</v>
      </c>
      <c r="B76" s="74">
        <v>73.0</v>
      </c>
      <c r="C76" s="74" t="s">
        <v>163</v>
      </c>
      <c r="D76" s="74" t="s">
        <v>595</v>
      </c>
      <c r="E76" s="40" t="s">
        <v>53</v>
      </c>
      <c r="F76" s="42"/>
      <c r="G76" s="42" t="s">
        <v>596</v>
      </c>
      <c r="H76" s="43"/>
      <c r="I76" s="46"/>
      <c r="J76" s="47"/>
      <c r="K76" s="48"/>
      <c r="L76" s="50" t="s">
        <v>597</v>
      </c>
      <c r="M76" s="39" t="str">
        <f t="shared" si="2"/>
        <v>matt.fridy@alhouse.gov</v>
      </c>
      <c r="N76" s="39"/>
      <c r="O76" s="39">
        <v>2014.0</v>
      </c>
      <c r="P76" s="39"/>
      <c r="Q76" s="39"/>
      <c r="R76" s="53" t="s">
        <v>454</v>
      </c>
    </row>
    <row r="77">
      <c r="A77" s="14" t="s">
        <v>44</v>
      </c>
      <c r="B77" s="74">
        <v>74.0</v>
      </c>
      <c r="C77" s="35" t="s">
        <v>599</v>
      </c>
      <c r="D77" s="35" t="s">
        <v>602</v>
      </c>
      <c r="E77" s="40" t="s">
        <v>53</v>
      </c>
      <c r="F77" s="42"/>
      <c r="G77" s="42" t="s">
        <v>604</v>
      </c>
      <c r="H77" s="43"/>
      <c r="I77" s="46"/>
      <c r="J77" s="47"/>
      <c r="K77" s="48"/>
      <c r="L77" s="50" t="s">
        <v>605</v>
      </c>
      <c r="M77" s="39" t="str">
        <f t="shared" si="2"/>
        <v>dimitri.polizos@alhouse.gov</v>
      </c>
      <c r="N77" s="39"/>
      <c r="O77" s="39">
        <v>2013.0</v>
      </c>
      <c r="P77" s="39"/>
      <c r="Q77" s="39"/>
      <c r="R77" s="53" t="s">
        <v>606</v>
      </c>
    </row>
    <row r="78">
      <c r="A78" s="14" t="s">
        <v>44</v>
      </c>
      <c r="B78" s="74">
        <v>75.0</v>
      </c>
      <c r="C78" s="35" t="s">
        <v>607</v>
      </c>
      <c r="D78" s="35" t="s">
        <v>608</v>
      </c>
      <c r="E78" s="40" t="s">
        <v>53</v>
      </c>
      <c r="F78" s="42"/>
      <c r="G78" s="42" t="s">
        <v>609</v>
      </c>
      <c r="H78" s="43"/>
      <c r="I78" s="57"/>
      <c r="J78" s="58"/>
      <c r="K78" s="48"/>
      <c r="L78" s="50" t="s">
        <v>610</v>
      </c>
      <c r="M78" s="39" t="str">
        <f t="shared" si="2"/>
        <v>reed.ingram@alhouse.gov</v>
      </c>
      <c r="N78" s="39"/>
      <c r="O78" s="39">
        <v>2014.0</v>
      </c>
      <c r="P78" s="39"/>
      <c r="Q78" s="39"/>
      <c r="R78" s="53" t="s">
        <v>611</v>
      </c>
    </row>
    <row r="79">
      <c r="A79" s="14" t="s">
        <v>44</v>
      </c>
      <c r="B79" s="74">
        <v>76.0</v>
      </c>
      <c r="C79" s="35" t="s">
        <v>612</v>
      </c>
      <c r="D79" s="35" t="s">
        <v>614</v>
      </c>
      <c r="E79" s="73" t="s">
        <v>49</v>
      </c>
      <c r="F79" s="42"/>
      <c r="G79" s="42"/>
      <c r="H79" s="43"/>
      <c r="I79" s="57"/>
      <c r="J79" s="58"/>
      <c r="K79" s="48"/>
      <c r="L79" s="50" t="s">
        <v>615</v>
      </c>
      <c r="M79" s="39" t="str">
        <f t="shared" si="2"/>
        <v>thad.mcclammy@alhouse.gov</v>
      </c>
      <c r="N79" s="39"/>
      <c r="O79" s="39">
        <v>1994.0</v>
      </c>
      <c r="P79" s="39"/>
      <c r="Q79" s="39"/>
      <c r="R79" s="53" t="s">
        <v>606</v>
      </c>
    </row>
    <row r="80">
      <c r="A80" s="14" t="s">
        <v>44</v>
      </c>
      <c r="B80" s="74">
        <v>77.0</v>
      </c>
      <c r="C80" s="38" t="s">
        <v>616</v>
      </c>
      <c r="D80" s="38" t="s">
        <v>617</v>
      </c>
      <c r="E80" s="73" t="s">
        <v>49</v>
      </c>
      <c r="F80" s="42"/>
      <c r="G80" s="42"/>
      <c r="H80" s="43"/>
      <c r="I80" s="57"/>
      <c r="J80" s="58"/>
      <c r="K80" s="48"/>
      <c r="L80" s="50" t="s">
        <v>618</v>
      </c>
      <c r="M80" s="39" t="str">
        <f t="shared" si="2"/>
        <v>tashina.morris@alhouse.gov</v>
      </c>
      <c r="N80" s="39"/>
      <c r="O80" s="39">
        <v>1993.0</v>
      </c>
      <c r="P80" s="39"/>
      <c r="Q80" s="39"/>
      <c r="R80" s="53" t="s">
        <v>606</v>
      </c>
    </row>
    <row r="81">
      <c r="A81" s="14" t="s">
        <v>44</v>
      </c>
      <c r="B81" s="74">
        <v>78.0</v>
      </c>
      <c r="C81" s="38" t="s">
        <v>619</v>
      </c>
      <c r="D81" s="38" t="s">
        <v>620</v>
      </c>
      <c r="E81" s="73" t="s">
        <v>49</v>
      </c>
      <c r="F81" s="42"/>
      <c r="G81" s="42"/>
      <c r="H81" s="43"/>
      <c r="I81" s="46"/>
      <c r="J81" s="47"/>
      <c r="K81" s="48"/>
      <c r="L81" s="50" t="s">
        <v>621</v>
      </c>
      <c r="M81" s="39" t="str">
        <f t="shared" si="2"/>
        <v>kirk.hatcher@alhouse.gov</v>
      </c>
      <c r="N81" s="39"/>
      <c r="O81" s="39">
        <v>1974.0</v>
      </c>
      <c r="P81" s="39"/>
      <c r="Q81" s="39"/>
      <c r="R81" s="53" t="s">
        <v>606</v>
      </c>
    </row>
    <row r="82">
      <c r="A82" s="14" t="s">
        <v>44</v>
      </c>
      <c r="B82" s="74">
        <v>79.0</v>
      </c>
      <c r="C82" s="74" t="s">
        <v>622</v>
      </c>
      <c r="D82" s="74" t="s">
        <v>623</v>
      </c>
      <c r="E82" s="40" t="s">
        <v>53</v>
      </c>
      <c r="F82" s="42"/>
      <c r="G82" s="42" t="s">
        <v>625</v>
      </c>
      <c r="H82" s="43"/>
      <c r="I82" s="46"/>
      <c r="J82" s="47"/>
      <c r="K82" s="48"/>
      <c r="L82" s="50" t="s">
        <v>627</v>
      </c>
      <c r="M82" s="39" t="str">
        <f t="shared" si="2"/>
        <v>joe.lovvorn@alhouse.gov</v>
      </c>
      <c r="N82" s="39"/>
      <c r="O82" s="39">
        <v>2016.0</v>
      </c>
      <c r="P82" s="39"/>
      <c r="Q82" s="39"/>
      <c r="R82" s="53" t="s">
        <v>629</v>
      </c>
    </row>
    <row r="83">
      <c r="A83" s="14" t="s">
        <v>44</v>
      </c>
      <c r="B83" s="74">
        <v>80.0</v>
      </c>
      <c r="C83" s="74" t="s">
        <v>173</v>
      </c>
      <c r="D83" s="74" t="s">
        <v>630</v>
      </c>
      <c r="E83" s="40" t="s">
        <v>53</v>
      </c>
      <c r="F83" s="42"/>
      <c r="G83" s="42" t="s">
        <v>631</v>
      </c>
      <c r="H83" s="43"/>
      <c r="I83" s="46"/>
      <c r="J83" s="47"/>
      <c r="K83" s="48"/>
      <c r="L83" s="50" t="s">
        <v>633</v>
      </c>
      <c r="M83" s="39" t="str">
        <f t="shared" si="2"/>
        <v>chris.blackshear@alhouse.gov</v>
      </c>
      <c r="N83" s="39"/>
      <c r="O83" s="39">
        <v>2016.0</v>
      </c>
      <c r="P83" s="39"/>
      <c r="Q83" s="39"/>
      <c r="R83" s="53" t="s">
        <v>634</v>
      </c>
    </row>
    <row r="84">
      <c r="A84" s="14" t="s">
        <v>44</v>
      </c>
      <c r="B84" s="74">
        <v>81.0</v>
      </c>
      <c r="C84" s="78" t="s">
        <v>636</v>
      </c>
      <c r="D84" s="78" t="s">
        <v>637</v>
      </c>
      <c r="E84" s="40" t="s">
        <v>53</v>
      </c>
      <c r="F84" s="42"/>
      <c r="G84" s="42"/>
      <c r="H84" s="43"/>
      <c r="I84" s="46"/>
      <c r="J84" s="47"/>
      <c r="K84" s="48"/>
      <c r="L84" s="50" t="s">
        <v>638</v>
      </c>
      <c r="M84" s="39" t="str">
        <f t="shared" si="2"/>
        <v>ed.oliver@alhouse.gov</v>
      </c>
      <c r="N84" s="39"/>
      <c r="O84" s="39">
        <v>2010.0</v>
      </c>
      <c r="P84" s="39"/>
      <c r="Q84" s="39"/>
      <c r="R84" s="53" t="s">
        <v>639</v>
      </c>
    </row>
    <row r="85">
      <c r="A85" s="14" t="s">
        <v>44</v>
      </c>
      <c r="B85" s="74">
        <v>82.0</v>
      </c>
      <c r="C85" s="35" t="s">
        <v>645</v>
      </c>
      <c r="D85" s="35" t="s">
        <v>646</v>
      </c>
      <c r="E85" s="73" t="s">
        <v>49</v>
      </c>
      <c r="F85" s="42"/>
      <c r="G85" s="42" t="s">
        <v>647</v>
      </c>
      <c r="H85" s="43"/>
      <c r="I85" s="57"/>
      <c r="J85" s="58"/>
      <c r="K85" s="48"/>
      <c r="L85" s="50" t="s">
        <v>648</v>
      </c>
      <c r="M85" s="39" t="str">
        <f t="shared" si="2"/>
        <v>pebblin.warren@alhouse.gov</v>
      </c>
      <c r="N85" s="39"/>
      <c r="O85" s="39">
        <v>2005.0</v>
      </c>
      <c r="P85" s="39"/>
      <c r="Q85" s="39"/>
      <c r="R85" s="53" t="s">
        <v>649</v>
      </c>
    </row>
    <row r="86">
      <c r="A86" s="14" t="s">
        <v>44</v>
      </c>
      <c r="B86" s="74">
        <v>83.0</v>
      </c>
      <c r="C86" s="78" t="s">
        <v>657</v>
      </c>
      <c r="D86" s="78" t="s">
        <v>658</v>
      </c>
      <c r="E86" s="96" t="s">
        <v>49</v>
      </c>
      <c r="F86" s="42"/>
      <c r="G86" s="42"/>
      <c r="H86" s="43"/>
      <c r="I86" s="46"/>
      <c r="J86" s="47"/>
      <c r="K86" s="48"/>
      <c r="L86" s="50" t="s">
        <v>660</v>
      </c>
      <c r="M86" s="39" t="str">
        <f t="shared" si="2"/>
        <v>jeremy.gray@alhouse.gov</v>
      </c>
      <c r="N86" s="75"/>
      <c r="O86" s="97">
        <v>2018.0</v>
      </c>
      <c r="P86" s="39"/>
      <c r="Q86" s="39"/>
      <c r="R86" s="53" t="s">
        <v>634</v>
      </c>
    </row>
    <row r="87">
      <c r="A87" s="14" t="s">
        <v>44</v>
      </c>
      <c r="B87" s="74">
        <v>84.0</v>
      </c>
      <c r="C87" s="35" t="s">
        <v>665</v>
      </c>
      <c r="D87" s="35" t="s">
        <v>666</v>
      </c>
      <c r="E87" s="73" t="s">
        <v>49</v>
      </c>
      <c r="F87" s="42"/>
      <c r="G87" s="42"/>
      <c r="H87" s="43"/>
      <c r="I87" s="57"/>
      <c r="J87" s="58"/>
      <c r="K87" s="48"/>
      <c r="L87" s="50" t="s">
        <v>667</v>
      </c>
      <c r="M87" s="39" t="str">
        <f t="shared" si="2"/>
        <v>berry.forte@alhouse.gov</v>
      </c>
      <c r="N87" s="39"/>
      <c r="O87" s="39">
        <v>2010.0</v>
      </c>
      <c r="P87" s="37"/>
      <c r="Q87" s="37"/>
      <c r="R87" s="53" t="s">
        <v>668</v>
      </c>
    </row>
    <row r="88">
      <c r="A88" s="14" t="s">
        <v>44</v>
      </c>
      <c r="B88" s="74">
        <v>85.0</v>
      </c>
      <c r="C88" s="74" t="s">
        <v>675</v>
      </c>
      <c r="D88" s="74" t="s">
        <v>676</v>
      </c>
      <c r="E88" s="73" t="s">
        <v>49</v>
      </c>
      <c r="F88" s="42"/>
      <c r="G88" s="42"/>
      <c r="H88" s="43"/>
      <c r="I88" s="46"/>
      <c r="J88" s="47"/>
      <c r="K88" s="48"/>
      <c r="L88" s="50" t="s">
        <v>677</v>
      </c>
      <c r="M88" s="39" t="str">
        <f t="shared" si="2"/>
        <v>dexter.grimsley@alhouse.gov</v>
      </c>
      <c r="N88" s="39"/>
      <c r="O88" s="39">
        <v>2010.0</v>
      </c>
      <c r="P88" s="37"/>
      <c r="Q88" s="37"/>
      <c r="R88" s="53" t="s">
        <v>678</v>
      </c>
    </row>
    <row r="89">
      <c r="A89" s="14" t="s">
        <v>44</v>
      </c>
      <c r="B89" s="74">
        <v>86.0</v>
      </c>
      <c r="C89" s="74" t="s">
        <v>679</v>
      </c>
      <c r="D89" s="74" t="s">
        <v>629</v>
      </c>
      <c r="E89" s="40" t="s">
        <v>53</v>
      </c>
      <c r="F89" s="42"/>
      <c r="G89" s="42" t="s">
        <v>680</v>
      </c>
      <c r="H89" s="43"/>
      <c r="I89" s="46"/>
      <c r="J89" s="47"/>
      <c r="K89" s="48"/>
      <c r="L89" s="50" t="s">
        <v>681</v>
      </c>
      <c r="M89" s="39" t="str">
        <f t="shared" si="2"/>
        <v>paul.lee@alhouse.gov</v>
      </c>
      <c r="N89" s="39"/>
      <c r="O89" s="39">
        <v>2010.0</v>
      </c>
      <c r="P89" s="39"/>
      <c r="Q89" s="39"/>
      <c r="R89" s="53" t="s">
        <v>682</v>
      </c>
    </row>
    <row r="90">
      <c r="A90" s="14" t="s">
        <v>44</v>
      </c>
      <c r="B90" s="74">
        <v>87.0</v>
      </c>
      <c r="C90" s="78" t="s">
        <v>683</v>
      </c>
      <c r="D90" s="78" t="s">
        <v>684</v>
      </c>
      <c r="E90" s="40" t="s">
        <v>53</v>
      </c>
      <c r="F90" s="42"/>
      <c r="G90" s="42"/>
      <c r="H90" s="43"/>
      <c r="I90" s="57"/>
      <c r="J90" s="58"/>
      <c r="K90" s="48"/>
      <c r="L90" s="50" t="s">
        <v>685</v>
      </c>
      <c r="M90" s="39" t="str">
        <f t="shared" si="2"/>
        <v>jeff.sorrells@alhouse.gov</v>
      </c>
      <c r="N90" s="39"/>
      <c r="O90" s="39">
        <v>2010.0</v>
      </c>
      <c r="P90" s="37"/>
      <c r="Q90" s="37"/>
      <c r="R90" s="53" t="s">
        <v>686</v>
      </c>
    </row>
    <row r="91">
      <c r="A91" s="14" t="s">
        <v>44</v>
      </c>
      <c r="B91" s="74">
        <v>88.0</v>
      </c>
      <c r="C91" s="78" t="s">
        <v>689</v>
      </c>
      <c r="D91" s="78" t="s">
        <v>691</v>
      </c>
      <c r="E91" s="40" t="s">
        <v>53</v>
      </c>
      <c r="F91" s="42"/>
      <c r="G91" s="42"/>
      <c r="H91" s="43"/>
      <c r="I91" s="46"/>
      <c r="J91" s="47"/>
      <c r="K91" s="48"/>
      <c r="L91" s="50" t="s">
        <v>693</v>
      </c>
      <c r="M91" s="39" t="str">
        <f t="shared" si="2"/>
        <v>will.dismukes@alhouse.gov</v>
      </c>
      <c r="N91" s="39"/>
      <c r="O91" s="39">
        <v>2010.0</v>
      </c>
      <c r="P91" s="39"/>
      <c r="Q91" s="39"/>
      <c r="R91" s="53" t="s">
        <v>383</v>
      </c>
    </row>
    <row r="92">
      <c r="A92" s="14" t="s">
        <v>44</v>
      </c>
      <c r="B92" s="74">
        <v>89.0</v>
      </c>
      <c r="C92" s="38" t="s">
        <v>349</v>
      </c>
      <c r="D92" s="38" t="s">
        <v>241</v>
      </c>
      <c r="E92" s="40" t="s">
        <v>53</v>
      </c>
      <c r="F92" s="42"/>
      <c r="G92" s="42"/>
      <c r="H92" s="43"/>
      <c r="I92" s="46"/>
      <c r="J92" s="47"/>
      <c r="K92" s="48"/>
      <c r="L92" s="50" t="s">
        <v>695</v>
      </c>
      <c r="M92" s="39" t="str">
        <f t="shared" si="2"/>
        <v>wes.allen@alhouse.gov</v>
      </c>
      <c r="N92" s="39"/>
      <c r="O92" s="39">
        <v>1998.0</v>
      </c>
      <c r="P92" s="37"/>
      <c r="Q92" s="37"/>
      <c r="R92" s="53" t="s">
        <v>696</v>
      </c>
    </row>
    <row r="93">
      <c r="A93" s="14" t="s">
        <v>44</v>
      </c>
      <c r="B93" s="74">
        <v>90.0</v>
      </c>
      <c r="C93" s="74" t="s">
        <v>173</v>
      </c>
      <c r="D93" s="74" t="s">
        <v>697</v>
      </c>
      <c r="E93" s="40" t="s">
        <v>53</v>
      </c>
      <c r="F93" s="42"/>
      <c r="G93" s="42" t="s">
        <v>698</v>
      </c>
      <c r="H93" s="43" t="s">
        <v>699</v>
      </c>
      <c r="I93" s="46"/>
      <c r="J93" s="47"/>
      <c r="K93" s="48"/>
      <c r="L93" s="50" t="s">
        <v>700</v>
      </c>
      <c r="M93" s="39" t="str">
        <f t="shared" si="2"/>
        <v>chris.sells@alhouse.gov</v>
      </c>
      <c r="N93" s="39"/>
      <c r="O93" s="39">
        <v>2014.0</v>
      </c>
      <c r="P93" s="37"/>
      <c r="Q93" s="37"/>
      <c r="R93" s="53" t="s">
        <v>701</v>
      </c>
    </row>
    <row r="94">
      <c r="A94" s="14" t="s">
        <v>44</v>
      </c>
      <c r="B94" s="74">
        <v>91.0</v>
      </c>
      <c r="C94" s="78" t="s">
        <v>702</v>
      </c>
      <c r="D94" s="78" t="s">
        <v>703</v>
      </c>
      <c r="E94" s="40" t="s">
        <v>53</v>
      </c>
      <c r="F94" s="42"/>
      <c r="G94" s="42"/>
      <c r="H94" s="43"/>
      <c r="I94" s="57"/>
      <c r="J94" s="58"/>
      <c r="K94" s="48"/>
      <c r="L94" s="50" t="s">
        <v>704</v>
      </c>
      <c r="M94" s="39" t="str">
        <f t="shared" si="2"/>
        <v>rhett.marques@alhouse.gov</v>
      </c>
      <c r="N94" s="39"/>
      <c r="O94" s="39">
        <v>2010.0</v>
      </c>
      <c r="P94" s="39"/>
      <c r="Q94" s="39"/>
      <c r="R94" s="53" t="s">
        <v>705</v>
      </c>
    </row>
    <row r="95">
      <c r="A95" s="14" t="s">
        <v>44</v>
      </c>
      <c r="B95" s="74">
        <v>92.0</v>
      </c>
      <c r="C95" s="74" t="s">
        <v>157</v>
      </c>
      <c r="D95" s="74" t="s">
        <v>706</v>
      </c>
      <c r="E95" s="40" t="s">
        <v>53</v>
      </c>
      <c r="F95" s="42"/>
      <c r="G95" s="42" t="s">
        <v>707</v>
      </c>
      <c r="H95" s="43"/>
      <c r="I95" s="57"/>
      <c r="J95" s="58"/>
      <c r="K95" s="48"/>
      <c r="L95" s="50" t="s">
        <v>708</v>
      </c>
      <c r="M95" s="39" t="str">
        <f t="shared" si="2"/>
        <v>mike.jones@alhouse.gov</v>
      </c>
      <c r="N95" s="39"/>
      <c r="O95" s="39">
        <v>2010.0</v>
      </c>
      <c r="P95" s="39"/>
      <c r="Q95" s="39"/>
      <c r="R95" s="53" t="s">
        <v>709</v>
      </c>
    </row>
    <row r="96">
      <c r="A96" s="14" t="s">
        <v>44</v>
      </c>
      <c r="B96" s="74">
        <v>93.0</v>
      </c>
      <c r="C96" s="35" t="s">
        <v>55</v>
      </c>
      <c r="D96" s="35" t="s">
        <v>714</v>
      </c>
      <c r="E96" s="40" t="s">
        <v>53</v>
      </c>
      <c r="F96" s="42"/>
      <c r="G96" s="42" t="s">
        <v>715</v>
      </c>
      <c r="H96" s="43"/>
      <c r="I96" s="57"/>
      <c r="J96" s="58"/>
      <c r="K96" s="48"/>
      <c r="L96" s="50" t="s">
        <v>681</v>
      </c>
      <c r="M96" s="39" t="str">
        <f t="shared" si="2"/>
        <v>steve.clouse@alhouse.gov</v>
      </c>
      <c r="N96" s="39"/>
      <c r="O96" s="39">
        <v>1994.0</v>
      </c>
      <c r="P96" s="39"/>
      <c r="Q96" s="39"/>
      <c r="R96" s="53" t="s">
        <v>718</v>
      </c>
    </row>
    <row r="97">
      <c r="A97" s="14" t="s">
        <v>44</v>
      </c>
      <c r="B97" s="74">
        <v>94.0</v>
      </c>
      <c r="C97" s="35" t="s">
        <v>622</v>
      </c>
      <c r="D97" s="35" t="s">
        <v>722</v>
      </c>
      <c r="E97" s="40" t="s">
        <v>53</v>
      </c>
      <c r="F97" s="42"/>
      <c r="G97" s="42" t="s">
        <v>723</v>
      </c>
      <c r="H97" s="43"/>
      <c r="I97" s="46"/>
      <c r="J97" s="47"/>
      <c r="K97" s="48"/>
      <c r="L97" s="50" t="s">
        <v>724</v>
      </c>
      <c r="M97" s="39" t="str">
        <f t="shared" si="2"/>
        <v>joe.faust@alhouse.gov</v>
      </c>
      <c r="N97" s="39"/>
      <c r="O97" s="39">
        <v>2004.0</v>
      </c>
      <c r="P97" s="39"/>
      <c r="Q97" s="39"/>
      <c r="R97" s="53" t="s">
        <v>725</v>
      </c>
    </row>
    <row r="98">
      <c r="A98" s="14" t="s">
        <v>44</v>
      </c>
      <c r="B98" s="74">
        <v>95.0</v>
      </c>
      <c r="C98" s="35" t="s">
        <v>55</v>
      </c>
      <c r="D98" s="35" t="s">
        <v>726</v>
      </c>
      <c r="E98" s="40" t="s">
        <v>53</v>
      </c>
      <c r="F98" s="42"/>
      <c r="G98" s="42"/>
      <c r="H98" s="43"/>
      <c r="I98" s="57"/>
      <c r="J98" s="58"/>
      <c r="K98" s="48"/>
      <c r="L98" s="50" t="s">
        <v>727</v>
      </c>
      <c r="M98" s="39" t="str">
        <f t="shared" si="2"/>
        <v>steve.mcmillan@alhouse.gov</v>
      </c>
      <c r="N98" s="39"/>
      <c r="O98" s="39">
        <v>1982.0</v>
      </c>
      <c r="P98" s="39"/>
      <c r="Q98" s="39"/>
      <c r="R98" s="53" t="s">
        <v>725</v>
      </c>
    </row>
    <row r="99">
      <c r="A99" s="14" t="s">
        <v>44</v>
      </c>
      <c r="B99" s="74">
        <v>96.0</v>
      </c>
      <c r="C99" s="38" t="s">
        <v>163</v>
      </c>
      <c r="D99" s="38" t="s">
        <v>728</v>
      </c>
      <c r="E99" s="40" t="s">
        <v>53</v>
      </c>
      <c r="F99" s="42"/>
      <c r="G99" s="42"/>
      <c r="H99" s="43"/>
      <c r="I99" s="46"/>
      <c r="J99" s="47"/>
      <c r="K99" s="48"/>
      <c r="L99" s="50" t="s">
        <v>729</v>
      </c>
      <c r="M99" s="39" t="str">
        <f t="shared" si="2"/>
        <v>matt.simpson@alhouse.gov</v>
      </c>
      <c r="N99" s="39"/>
      <c r="O99" s="39">
        <v>2002.0</v>
      </c>
      <c r="P99" s="39"/>
      <c r="Q99" s="39"/>
      <c r="R99" s="53" t="s">
        <v>730</v>
      </c>
    </row>
    <row r="100">
      <c r="A100" s="14" t="s">
        <v>44</v>
      </c>
      <c r="B100" s="74">
        <v>97.0</v>
      </c>
      <c r="C100" s="74" t="s">
        <v>736</v>
      </c>
      <c r="D100" s="74" t="s">
        <v>737</v>
      </c>
      <c r="E100" s="73" t="s">
        <v>49</v>
      </c>
      <c r="F100" s="42"/>
      <c r="G100" s="42"/>
      <c r="H100" s="43"/>
      <c r="I100" s="46"/>
      <c r="J100" s="47"/>
      <c r="K100" s="48"/>
      <c r="L100" s="50" t="s">
        <v>738</v>
      </c>
      <c r="M100" s="39" t="str">
        <f t="shared" si="2"/>
        <v>adline.clarke@alhouse.gov</v>
      </c>
      <c r="N100" s="39"/>
      <c r="O100" s="39">
        <v>2013.0</v>
      </c>
      <c r="P100" s="39"/>
      <c r="Q100" s="39"/>
      <c r="R100" s="53" t="s">
        <v>739</v>
      </c>
    </row>
    <row r="101">
      <c r="A101" s="14" t="s">
        <v>44</v>
      </c>
      <c r="B101" s="74">
        <v>98.0</v>
      </c>
      <c r="C101" s="74" t="s">
        <v>740</v>
      </c>
      <c r="D101" s="74" t="s">
        <v>741</v>
      </c>
      <c r="E101" s="73" t="s">
        <v>49</v>
      </c>
      <c r="F101" s="42"/>
      <c r="G101" s="42"/>
      <c r="H101" s="43"/>
      <c r="I101" s="57"/>
      <c r="J101" s="58"/>
      <c r="K101" s="48"/>
      <c r="L101" s="50" t="s">
        <v>742</v>
      </c>
      <c r="M101" s="39" t="str">
        <f t="shared" si="2"/>
        <v>napoleon.bracy@alhouse.gov</v>
      </c>
      <c r="N101" s="39"/>
      <c r="O101" s="39">
        <v>2010.0</v>
      </c>
      <c r="P101" s="39"/>
      <c r="Q101" s="39"/>
      <c r="R101" s="53" t="s">
        <v>739</v>
      </c>
    </row>
    <row r="102">
      <c r="A102" s="14" t="s">
        <v>44</v>
      </c>
      <c r="B102" s="74">
        <v>99.0</v>
      </c>
      <c r="C102" s="38" t="s">
        <v>224</v>
      </c>
      <c r="D102" s="38" t="s">
        <v>706</v>
      </c>
      <c r="E102" s="73" t="s">
        <v>49</v>
      </c>
      <c r="F102" s="42"/>
      <c r="G102" s="42"/>
      <c r="H102" s="43"/>
      <c r="I102" s="46"/>
      <c r="J102" s="47"/>
      <c r="K102" s="48"/>
      <c r="L102" s="50" t="s">
        <v>744</v>
      </c>
      <c r="M102" s="39" t="str">
        <f t="shared" si="2"/>
        <v>sam.jones@alhouse.gov</v>
      </c>
      <c r="N102" s="39"/>
      <c r="O102" s="39">
        <v>1976.0</v>
      </c>
      <c r="P102" s="39"/>
      <c r="Q102" s="39"/>
      <c r="R102" s="53" t="s">
        <v>739</v>
      </c>
    </row>
    <row r="103">
      <c r="A103" s="14" t="s">
        <v>44</v>
      </c>
      <c r="B103" s="74">
        <v>100.0</v>
      </c>
      <c r="C103" s="35" t="s">
        <v>749</v>
      </c>
      <c r="D103" s="35" t="s">
        <v>750</v>
      </c>
      <c r="E103" s="40" t="s">
        <v>53</v>
      </c>
      <c r="F103" s="43" t="s">
        <v>751</v>
      </c>
      <c r="G103" s="42"/>
      <c r="H103" s="43"/>
      <c r="I103" s="57"/>
      <c r="J103" s="58"/>
      <c r="K103" s="48"/>
      <c r="L103" s="50" t="s">
        <v>752</v>
      </c>
      <c r="M103" s="39" t="str">
        <f t="shared" si="2"/>
        <v>victor.gaston@alhouse.gov</v>
      </c>
      <c r="N103" s="39"/>
      <c r="O103" s="39">
        <v>1982.0</v>
      </c>
      <c r="P103" s="39"/>
      <c r="Q103" s="39"/>
      <c r="R103" s="53" t="s">
        <v>739</v>
      </c>
    </row>
    <row r="104">
      <c r="A104" s="14" t="s">
        <v>44</v>
      </c>
      <c r="B104" s="74">
        <v>101.0</v>
      </c>
      <c r="C104" s="74" t="s">
        <v>173</v>
      </c>
      <c r="D104" s="74" t="s">
        <v>753</v>
      </c>
      <c r="E104" s="40" t="s">
        <v>53</v>
      </c>
      <c r="F104" s="42"/>
      <c r="G104" s="42" t="s">
        <v>754</v>
      </c>
      <c r="H104" s="43"/>
      <c r="I104" s="57"/>
      <c r="J104" s="58"/>
      <c r="K104" s="48"/>
      <c r="L104" s="50" t="s">
        <v>755</v>
      </c>
      <c r="M104" s="39" t="str">
        <f t="shared" si="2"/>
        <v>chris.pringle@alhouse.gov</v>
      </c>
      <c r="N104" s="39"/>
      <c r="O104" s="39">
        <v>2014.0</v>
      </c>
      <c r="P104" s="39"/>
      <c r="Q104" s="39"/>
      <c r="R104" s="53" t="s">
        <v>739</v>
      </c>
    </row>
    <row r="105">
      <c r="A105" s="14" t="s">
        <v>44</v>
      </c>
      <c r="B105" s="74">
        <v>102.0</v>
      </c>
      <c r="C105" s="38" t="s">
        <v>756</v>
      </c>
      <c r="D105" s="38" t="s">
        <v>513</v>
      </c>
      <c r="E105" s="40" t="s">
        <v>53</v>
      </c>
      <c r="F105" s="42"/>
      <c r="G105" s="42"/>
      <c r="H105" s="43"/>
      <c r="I105" s="57"/>
      <c r="J105" s="58"/>
      <c r="K105" s="48"/>
      <c r="L105" s="50" t="s">
        <v>757</v>
      </c>
      <c r="M105" s="39" t="str">
        <f t="shared" si="2"/>
        <v>shane.stringer@alhouse.gov</v>
      </c>
      <c r="N105" s="39"/>
      <c r="O105" s="39">
        <v>2014.0</v>
      </c>
      <c r="P105" s="39"/>
      <c r="Q105" s="39"/>
      <c r="R105" s="53" t="s">
        <v>739</v>
      </c>
    </row>
    <row r="106">
      <c r="A106" s="14" t="s">
        <v>44</v>
      </c>
      <c r="B106" s="74">
        <v>103.0</v>
      </c>
      <c r="C106" s="74" t="s">
        <v>384</v>
      </c>
      <c r="D106" s="74" t="s">
        <v>156</v>
      </c>
      <c r="E106" s="73" t="s">
        <v>49</v>
      </c>
      <c r="F106" s="42"/>
      <c r="G106" s="42"/>
      <c r="H106" s="43"/>
      <c r="I106" s="57"/>
      <c r="J106" s="58"/>
      <c r="K106" s="48"/>
      <c r="L106" s="50" t="s">
        <v>758</v>
      </c>
      <c r="M106" s="39" t="str">
        <f t="shared" si="2"/>
        <v>barbara.drummond@alhouse.gov</v>
      </c>
      <c r="N106" s="39"/>
      <c r="O106" s="39">
        <v>2014.0</v>
      </c>
      <c r="P106" s="39"/>
      <c r="Q106" s="39"/>
      <c r="R106" s="53" t="s">
        <v>739</v>
      </c>
    </row>
    <row r="107">
      <c r="A107" s="14" t="s">
        <v>44</v>
      </c>
      <c r="B107" s="74">
        <v>104.0</v>
      </c>
      <c r="C107" s="35" t="s">
        <v>759</v>
      </c>
      <c r="D107" s="35" t="s">
        <v>764</v>
      </c>
      <c r="E107" s="40" t="s">
        <v>53</v>
      </c>
      <c r="F107" s="42"/>
      <c r="G107" s="42" t="s">
        <v>765</v>
      </c>
      <c r="H107" s="43"/>
      <c r="I107" s="46"/>
      <c r="J107" s="47"/>
      <c r="K107" s="48"/>
      <c r="L107" s="50" t="s">
        <v>766</v>
      </c>
      <c r="M107" s="39" t="str">
        <f t="shared" si="2"/>
        <v>margie.wilcox@alhouse.gov</v>
      </c>
      <c r="N107" s="39"/>
      <c r="O107" s="39">
        <v>2014.0</v>
      </c>
      <c r="P107" s="39"/>
      <c r="Q107" s="39"/>
      <c r="R107" s="53" t="s">
        <v>739</v>
      </c>
    </row>
    <row r="108">
      <c r="A108" s="14" t="s">
        <v>44</v>
      </c>
      <c r="B108" s="74">
        <v>105.0</v>
      </c>
      <c r="C108" s="38" t="s">
        <v>767</v>
      </c>
      <c r="D108" s="38" t="s">
        <v>447</v>
      </c>
      <c r="E108" s="40" t="s">
        <v>53</v>
      </c>
      <c r="F108" s="42"/>
      <c r="G108" s="42"/>
      <c r="H108" s="43"/>
      <c r="I108" s="48"/>
      <c r="J108" s="48"/>
      <c r="K108" s="48"/>
      <c r="L108" s="50" t="s">
        <v>768</v>
      </c>
      <c r="M108" s="39" t="str">
        <f t="shared" si="2"/>
        <v>chip.brown@alhouse.gov</v>
      </c>
      <c r="N108" s="39"/>
      <c r="O108" s="39">
        <v>2011.0</v>
      </c>
      <c r="P108" s="39"/>
      <c r="Q108" s="39"/>
      <c r="R108" s="53" t="s">
        <v>739</v>
      </c>
    </row>
    <row r="109">
      <c r="A109" s="70"/>
      <c r="B109" s="71"/>
      <c r="C109" s="71"/>
      <c r="D109" s="71"/>
      <c r="E109" s="101"/>
      <c r="F109" s="102"/>
      <c r="G109" s="102"/>
      <c r="H109" s="102"/>
      <c r="I109" s="103"/>
      <c r="J109" s="103"/>
      <c r="K109" s="103"/>
      <c r="L109" s="104"/>
      <c r="M109" s="70"/>
      <c r="N109" s="70"/>
      <c r="O109" s="70"/>
      <c r="P109" s="70"/>
      <c r="Q109" s="70"/>
      <c r="R109" s="71"/>
      <c r="S109" s="70"/>
      <c r="T109" s="70"/>
      <c r="U109" s="70"/>
      <c r="V109" s="70"/>
      <c r="W109" s="70"/>
      <c r="X109" s="70"/>
      <c r="Y109" s="70"/>
      <c r="Z109" s="70"/>
      <c r="AA109" s="70"/>
      <c r="AB109" s="70"/>
      <c r="AC109" s="70"/>
      <c r="AD109" s="70"/>
      <c r="AE109" s="70"/>
      <c r="AF109" s="70"/>
      <c r="AG109" s="70"/>
      <c r="AH109" s="70"/>
    </row>
    <row r="110">
      <c r="A110" s="14" t="s">
        <v>286</v>
      </c>
      <c r="B110" s="35">
        <v>1.0</v>
      </c>
      <c r="C110" s="105" t="s">
        <v>225</v>
      </c>
      <c r="D110" s="106" t="s">
        <v>777</v>
      </c>
      <c r="E110" s="40" t="s">
        <v>53</v>
      </c>
      <c r="F110" s="107"/>
      <c r="G110" s="107"/>
      <c r="H110" s="48"/>
      <c r="I110" s="48"/>
      <c r="J110" s="48"/>
      <c r="K110" s="48"/>
      <c r="L110" s="50" t="s">
        <v>783</v>
      </c>
      <c r="M110" s="39" t="str">
        <f t="shared" ref="M110:M144" si="3">Concatenate(Lower(C110),".",Lower(D110),"@alsenate.gov")</f>
        <v>tim.melson@alsenate.gov</v>
      </c>
      <c r="N110" s="39"/>
      <c r="O110" s="39">
        <v>2014.0</v>
      </c>
      <c r="P110" s="37"/>
      <c r="Q110" s="37"/>
      <c r="R110" s="53" t="s">
        <v>784</v>
      </c>
    </row>
    <row r="111">
      <c r="A111" s="14" t="s">
        <v>286</v>
      </c>
      <c r="B111" s="35">
        <v>2.0</v>
      </c>
      <c r="C111" s="38" t="s">
        <v>792</v>
      </c>
      <c r="D111" s="38" t="s">
        <v>793</v>
      </c>
      <c r="E111" s="40" t="s">
        <v>53</v>
      </c>
      <c r="F111" s="107"/>
      <c r="G111" s="107"/>
      <c r="H111" s="48"/>
      <c r="I111" s="48"/>
      <c r="J111" s="48"/>
      <c r="K111" s="43" t="s">
        <v>794</v>
      </c>
      <c r="L111" s="108"/>
      <c r="M111" s="39" t="str">
        <f t="shared" si="3"/>
        <v>jack.williams@alsenate.gov</v>
      </c>
      <c r="N111" s="39"/>
      <c r="O111" s="97">
        <v>2018.0</v>
      </c>
      <c r="P111" s="39"/>
      <c r="Q111" s="39"/>
      <c r="R111" s="53" t="s">
        <v>116</v>
      </c>
    </row>
    <row r="112">
      <c r="A112" s="14" t="s">
        <v>286</v>
      </c>
      <c r="B112" s="35">
        <v>3.0</v>
      </c>
      <c r="C112" s="35" t="s">
        <v>802</v>
      </c>
      <c r="D112" s="35" t="s">
        <v>804</v>
      </c>
      <c r="E112" s="40" t="s">
        <v>53</v>
      </c>
      <c r="F112" s="107"/>
      <c r="G112" s="107"/>
      <c r="H112" s="48"/>
      <c r="I112" s="48"/>
      <c r="J112" s="48"/>
      <c r="K112" s="48"/>
      <c r="L112" s="50" t="s">
        <v>805</v>
      </c>
      <c r="M112" s="39" t="str">
        <f t="shared" si="3"/>
        <v>arthur.orr@alsenate.gov</v>
      </c>
      <c r="N112" s="39"/>
      <c r="O112" s="39">
        <v>2006.0</v>
      </c>
      <c r="P112" s="39"/>
      <c r="Q112" s="39"/>
      <c r="R112" s="53" t="s">
        <v>808</v>
      </c>
    </row>
    <row r="113">
      <c r="A113" s="14" t="s">
        <v>286</v>
      </c>
      <c r="B113" s="35">
        <v>4.0</v>
      </c>
      <c r="C113" s="38" t="s">
        <v>817</v>
      </c>
      <c r="D113" s="38" t="s">
        <v>818</v>
      </c>
      <c r="E113" s="40" t="s">
        <v>53</v>
      </c>
      <c r="F113" s="107"/>
      <c r="G113" s="107"/>
      <c r="H113" s="48"/>
      <c r="I113" s="48"/>
      <c r="J113" s="48"/>
      <c r="K113" s="48"/>
      <c r="L113" s="50" t="s">
        <v>820</v>
      </c>
      <c r="M113" s="39" t="str">
        <f t="shared" si="3"/>
        <v>garlan.gudger@alsenate.gov</v>
      </c>
      <c r="N113" s="39"/>
      <c r="O113" s="39">
        <v>2010.0</v>
      </c>
      <c r="P113" s="37"/>
      <c r="Q113" s="37"/>
      <c r="R113" s="53" t="s">
        <v>822</v>
      </c>
    </row>
    <row r="114">
      <c r="A114" s="14" t="s">
        <v>286</v>
      </c>
      <c r="B114" s="35">
        <v>5.0</v>
      </c>
      <c r="C114" s="35" t="s">
        <v>823</v>
      </c>
      <c r="D114" s="35" t="s">
        <v>607</v>
      </c>
      <c r="E114" s="40" t="s">
        <v>53</v>
      </c>
      <c r="F114" s="114" t="s">
        <v>176</v>
      </c>
      <c r="G114" s="107"/>
      <c r="H114" s="48"/>
      <c r="I114" s="48"/>
      <c r="J114" s="48"/>
      <c r="K114" s="48"/>
      <c r="L114" s="50" t="s">
        <v>829</v>
      </c>
      <c r="M114" s="39" t="str">
        <f t="shared" si="3"/>
        <v>gregory.reed@alsenate.gov</v>
      </c>
      <c r="N114" s="39"/>
      <c r="O114" s="39">
        <v>2010.0</v>
      </c>
      <c r="P114" s="37"/>
      <c r="Q114" s="37"/>
      <c r="R114" s="53" t="s">
        <v>830</v>
      </c>
    </row>
    <row r="115">
      <c r="A115" s="14" t="s">
        <v>286</v>
      </c>
      <c r="B115" s="35">
        <v>6.0</v>
      </c>
      <c r="C115" s="35" t="s">
        <v>839</v>
      </c>
      <c r="D115" s="35" t="s">
        <v>842</v>
      </c>
      <c r="E115" s="40" t="s">
        <v>53</v>
      </c>
      <c r="F115" s="107"/>
      <c r="G115" s="107"/>
      <c r="H115" s="48"/>
      <c r="I115" s="48"/>
      <c r="J115" s="48"/>
      <c r="K115" s="48"/>
      <c r="L115" s="50" t="s">
        <v>843</v>
      </c>
      <c r="M115" s="39" t="str">
        <f t="shared" si="3"/>
        <v>larry.stutts@alsenate.gov</v>
      </c>
      <c r="N115" s="39"/>
      <c r="O115" s="39">
        <v>2014.0</v>
      </c>
      <c r="P115" s="37"/>
      <c r="Q115" s="37"/>
      <c r="R115" s="53" t="s">
        <v>844</v>
      </c>
    </row>
    <row r="116">
      <c r="A116" s="14" t="s">
        <v>286</v>
      </c>
      <c r="B116" s="35">
        <v>7.0</v>
      </c>
      <c r="C116" s="38" t="s">
        <v>224</v>
      </c>
      <c r="D116" s="38" t="s">
        <v>848</v>
      </c>
      <c r="E116" s="40" t="s">
        <v>53</v>
      </c>
      <c r="F116" s="107"/>
      <c r="G116" s="107"/>
      <c r="H116" s="48"/>
      <c r="I116" s="48"/>
      <c r="J116" s="48"/>
      <c r="K116" s="48"/>
      <c r="L116" s="50" t="s">
        <v>849</v>
      </c>
      <c r="M116" s="39" t="str">
        <f t="shared" si="3"/>
        <v>sam.givhan@alsenate.gov</v>
      </c>
      <c r="N116" s="39"/>
      <c r="O116" s="39">
        <v>2009.0</v>
      </c>
      <c r="P116" s="39"/>
      <c r="Q116" s="39"/>
      <c r="R116" s="53" t="s">
        <v>169</v>
      </c>
    </row>
    <row r="117">
      <c r="A117" s="14" t="s">
        <v>286</v>
      </c>
      <c r="B117" s="35">
        <v>8.0</v>
      </c>
      <c r="C117" s="35" t="s">
        <v>55</v>
      </c>
      <c r="D117" s="35" t="s">
        <v>859</v>
      </c>
      <c r="E117" s="40" t="s">
        <v>53</v>
      </c>
      <c r="F117" s="107"/>
      <c r="G117" s="107"/>
      <c r="H117" s="48"/>
      <c r="I117" s="48"/>
      <c r="J117" s="48"/>
      <c r="K117" s="48"/>
      <c r="L117" s="50" t="s">
        <v>860</v>
      </c>
      <c r="M117" s="39" t="str">
        <f t="shared" si="3"/>
        <v>steve.livingston@alsenate.gov</v>
      </c>
      <c r="N117" s="39"/>
      <c r="O117" s="39">
        <v>2014.0</v>
      </c>
      <c r="P117" s="37"/>
      <c r="Q117" s="37"/>
      <c r="R117" s="53" t="s">
        <v>861</v>
      </c>
    </row>
    <row r="118">
      <c r="A118" s="14" t="s">
        <v>286</v>
      </c>
      <c r="B118" s="35">
        <v>9.0</v>
      </c>
      <c r="C118" s="35" t="s">
        <v>868</v>
      </c>
      <c r="D118" s="35" t="s">
        <v>873</v>
      </c>
      <c r="E118" s="40" t="s">
        <v>53</v>
      </c>
      <c r="F118" s="107"/>
      <c r="G118" s="107"/>
      <c r="H118" s="48"/>
      <c r="I118" s="48"/>
      <c r="J118" s="48"/>
      <c r="K118" s="48"/>
      <c r="L118" s="50" t="s">
        <v>874</v>
      </c>
      <c r="M118" s="39" t="str">
        <f t="shared" si="3"/>
        <v>clay.scofield@alsenate.gov</v>
      </c>
      <c r="N118" s="39"/>
      <c r="O118" s="39">
        <v>2010.0</v>
      </c>
      <c r="P118" s="37"/>
      <c r="Q118" s="37"/>
      <c r="R118" s="53" t="s">
        <v>875</v>
      </c>
    </row>
    <row r="119">
      <c r="A119" s="14" t="s">
        <v>286</v>
      </c>
      <c r="B119" s="35">
        <v>10.0</v>
      </c>
      <c r="C119" s="38" t="s">
        <v>80</v>
      </c>
      <c r="D119" s="38" t="s">
        <v>706</v>
      </c>
      <c r="E119" s="40" t="s">
        <v>53</v>
      </c>
      <c r="F119" s="107"/>
      <c r="G119" s="107"/>
      <c r="H119" s="48"/>
      <c r="I119" s="48"/>
      <c r="J119" s="48"/>
      <c r="K119" s="48"/>
      <c r="L119" s="50" t="s">
        <v>881</v>
      </c>
      <c r="M119" s="39" t="str">
        <f t="shared" si="3"/>
        <v>andrew.jones@alsenate.gov</v>
      </c>
      <c r="N119" s="39"/>
      <c r="O119" s="39">
        <v>2010.0</v>
      </c>
      <c r="P119" s="37"/>
      <c r="Q119" s="37"/>
      <c r="R119" s="53" t="s">
        <v>882</v>
      </c>
    </row>
    <row r="120">
      <c r="A120" s="14" t="s">
        <v>286</v>
      </c>
      <c r="B120" s="35">
        <v>11.0</v>
      </c>
      <c r="C120" s="35" t="s">
        <v>476</v>
      </c>
      <c r="D120" s="35" t="s">
        <v>891</v>
      </c>
      <c r="E120" s="40" t="s">
        <v>53</v>
      </c>
      <c r="F120" s="107"/>
      <c r="G120" s="107"/>
      <c r="H120" s="48"/>
      <c r="I120" s="48"/>
      <c r="J120" s="48"/>
      <c r="K120" s="48"/>
      <c r="L120" s="50" t="s">
        <v>892</v>
      </c>
      <c r="M120" s="39" t="str">
        <f t="shared" si="3"/>
        <v>jim.mcclendon@alsenate.gov</v>
      </c>
      <c r="N120" s="39"/>
      <c r="O120" s="39">
        <v>2014.0</v>
      </c>
      <c r="P120" s="37"/>
      <c r="Q120" s="37"/>
      <c r="R120" s="53" t="s">
        <v>893</v>
      </c>
    </row>
    <row r="121">
      <c r="A121" s="14" t="s">
        <v>286</v>
      </c>
      <c r="B121" s="35">
        <v>12.0</v>
      </c>
      <c r="C121" s="35" t="s">
        <v>900</v>
      </c>
      <c r="D121" s="35" t="s">
        <v>902</v>
      </c>
      <c r="E121" s="40" t="s">
        <v>53</v>
      </c>
      <c r="F121" s="43" t="s">
        <v>903</v>
      </c>
      <c r="G121" s="107"/>
      <c r="H121" s="48"/>
      <c r="I121" s="48"/>
      <c r="J121" s="48"/>
      <c r="K121" s="48"/>
      <c r="L121" s="50" t="s">
        <v>904</v>
      </c>
      <c r="M121" s="39" t="str">
        <f t="shared" si="3"/>
        <v>del.marsh@alsenate.gov</v>
      </c>
      <c r="N121" s="39"/>
      <c r="O121" s="39">
        <v>1998.0</v>
      </c>
      <c r="P121" s="37"/>
      <c r="Q121" s="37"/>
      <c r="R121" s="53" t="s">
        <v>905</v>
      </c>
    </row>
    <row r="122">
      <c r="A122" s="14" t="s">
        <v>286</v>
      </c>
      <c r="B122" s="35">
        <v>13.0</v>
      </c>
      <c r="C122" s="38" t="s">
        <v>412</v>
      </c>
      <c r="D122" s="38" t="s">
        <v>906</v>
      </c>
      <c r="E122" s="40" t="s">
        <v>53</v>
      </c>
      <c r="F122" s="107"/>
      <c r="G122" s="107"/>
      <c r="H122" s="48"/>
      <c r="I122" s="48"/>
      <c r="J122" s="48"/>
      <c r="K122" s="48"/>
      <c r="L122" s="50" t="s">
        <v>907</v>
      </c>
      <c r="M122" s="39" t="str">
        <f t="shared" si="3"/>
        <v>randy.price@alsenate.gov</v>
      </c>
      <c r="N122" s="39"/>
      <c r="O122" s="39">
        <v>2010.0</v>
      </c>
      <c r="P122" s="37"/>
      <c r="Q122" s="37"/>
      <c r="R122" s="53" t="s">
        <v>909</v>
      </c>
    </row>
    <row r="123">
      <c r="A123" s="14" t="s">
        <v>286</v>
      </c>
      <c r="B123" s="35">
        <v>14.0</v>
      </c>
      <c r="C123" s="35" t="s">
        <v>915</v>
      </c>
      <c r="D123" s="35" t="s">
        <v>919</v>
      </c>
      <c r="E123" s="40" t="s">
        <v>53</v>
      </c>
      <c r="F123" s="107"/>
      <c r="G123" s="107"/>
      <c r="H123" s="48"/>
      <c r="I123" s="48"/>
      <c r="J123" s="48"/>
      <c r="K123" s="48"/>
      <c r="L123" s="50" t="s">
        <v>920</v>
      </c>
      <c r="M123" s="39" t="str">
        <f t="shared" si="3"/>
        <v>cam.ward@alsenate.gov</v>
      </c>
      <c r="N123" s="39"/>
      <c r="O123" s="39">
        <v>2010.0</v>
      </c>
      <c r="P123" s="37"/>
      <c r="Q123" s="37"/>
      <c r="R123" s="53" t="s">
        <v>921</v>
      </c>
    </row>
    <row r="124">
      <c r="A124" s="14" t="s">
        <v>286</v>
      </c>
      <c r="B124" s="35">
        <v>15.0</v>
      </c>
      <c r="C124" s="38" t="s">
        <v>239</v>
      </c>
      <c r="D124" s="38" t="s">
        <v>788</v>
      </c>
      <c r="E124" s="40" t="s">
        <v>53</v>
      </c>
      <c r="F124" s="107"/>
      <c r="G124" s="107"/>
      <c r="H124" s="48"/>
      <c r="I124" s="48"/>
      <c r="J124" s="48"/>
      <c r="K124" s="48"/>
      <c r="L124" s="50" t="s">
        <v>924</v>
      </c>
      <c r="M124" s="39" t="str">
        <f t="shared" si="3"/>
        <v>dan.roberts@alsenate.gov</v>
      </c>
      <c r="N124" s="39"/>
      <c r="O124" s="39">
        <v>2010.0</v>
      </c>
      <c r="P124" s="39"/>
      <c r="Q124" s="39"/>
      <c r="R124" s="53" t="s">
        <v>926</v>
      </c>
    </row>
    <row r="125">
      <c r="A125" s="14" t="s">
        <v>286</v>
      </c>
      <c r="B125" s="35">
        <v>16.0</v>
      </c>
      <c r="C125" s="35" t="s">
        <v>930</v>
      </c>
      <c r="D125" s="35" t="s">
        <v>933</v>
      </c>
      <c r="E125" s="40" t="s">
        <v>53</v>
      </c>
      <c r="F125" s="107"/>
      <c r="G125" s="107"/>
      <c r="H125" s="48"/>
      <c r="I125" s="48"/>
      <c r="J125" s="48"/>
      <c r="K125" s="48"/>
      <c r="L125" s="50" t="s">
        <v>934</v>
      </c>
      <c r="M125" s="39" t="str">
        <f t="shared" si="3"/>
        <v>james.waggoner@alsenate.gov</v>
      </c>
      <c r="N125" s="39"/>
      <c r="O125" s="39">
        <v>1990.0</v>
      </c>
      <c r="P125" s="39"/>
      <c r="Q125" s="39"/>
      <c r="R125" s="53" t="s">
        <v>249</v>
      </c>
    </row>
    <row r="126">
      <c r="A126" s="14" t="s">
        <v>286</v>
      </c>
      <c r="B126" s="35">
        <v>17.0</v>
      </c>
      <c r="C126" s="35" t="s">
        <v>940</v>
      </c>
      <c r="D126" s="35" t="s">
        <v>944</v>
      </c>
      <c r="E126" s="40" t="s">
        <v>53</v>
      </c>
      <c r="F126" s="107"/>
      <c r="G126" s="107"/>
      <c r="H126" s="48"/>
      <c r="I126" s="48"/>
      <c r="J126" s="48"/>
      <c r="K126" s="48"/>
      <c r="L126" s="50" t="s">
        <v>947</v>
      </c>
      <c r="M126" s="39" t="str">
        <f t="shared" si="3"/>
        <v>shay.shelnutt@alsenate.gov</v>
      </c>
      <c r="N126" s="39"/>
      <c r="O126" s="39">
        <v>2014.0</v>
      </c>
      <c r="P126" s="37"/>
      <c r="Q126" s="37"/>
      <c r="R126" s="53" t="s">
        <v>949</v>
      </c>
    </row>
    <row r="127">
      <c r="A127" s="14" t="s">
        <v>286</v>
      </c>
      <c r="B127" s="35">
        <v>18.0</v>
      </c>
      <c r="C127" s="35" t="s">
        <v>955</v>
      </c>
      <c r="D127" s="35" t="s">
        <v>966</v>
      </c>
      <c r="E127" s="73" t="s">
        <v>49</v>
      </c>
      <c r="F127" s="107"/>
      <c r="G127" s="107"/>
      <c r="H127" s="48"/>
      <c r="I127" s="48"/>
      <c r="J127" s="48"/>
      <c r="K127" s="48"/>
      <c r="L127" s="50" t="s">
        <v>968</v>
      </c>
      <c r="M127" s="39" t="str">
        <f t="shared" si="3"/>
        <v>rodger.smitherman@alsenate.gov</v>
      </c>
      <c r="N127" s="39"/>
      <c r="O127" s="39">
        <v>1994.0</v>
      </c>
      <c r="P127" s="39"/>
      <c r="Q127" s="39"/>
      <c r="R127" s="53" t="s">
        <v>467</v>
      </c>
    </row>
    <row r="128">
      <c r="A128" s="14" t="s">
        <v>286</v>
      </c>
      <c r="B128" s="35">
        <v>19.0</v>
      </c>
      <c r="C128" s="35" t="s">
        <v>970</v>
      </c>
      <c r="D128" s="35" t="s">
        <v>825</v>
      </c>
      <c r="E128" s="73" t="s">
        <v>49</v>
      </c>
      <c r="F128" s="107"/>
      <c r="G128" s="107"/>
      <c r="H128" s="48"/>
      <c r="I128" s="48"/>
      <c r="J128" s="48"/>
      <c r="K128" s="48"/>
      <c r="L128" s="50" t="s">
        <v>972</v>
      </c>
      <c r="M128" s="39" t="str">
        <f t="shared" si="3"/>
        <v>priscilla.dunn@alsenate.gov</v>
      </c>
      <c r="N128" s="39"/>
      <c r="O128" s="39">
        <v>2009.0</v>
      </c>
      <c r="P128" s="39"/>
      <c r="Q128" s="39"/>
      <c r="R128" s="53" t="s">
        <v>467</v>
      </c>
    </row>
    <row r="129">
      <c r="A129" s="14" t="s">
        <v>286</v>
      </c>
      <c r="B129" s="35">
        <v>20.0</v>
      </c>
      <c r="C129" s="35" t="s">
        <v>978</v>
      </c>
      <c r="D129" s="35" t="s">
        <v>981</v>
      </c>
      <c r="E129" s="73" t="s">
        <v>49</v>
      </c>
      <c r="F129" s="107"/>
      <c r="G129" s="107"/>
      <c r="H129" s="48"/>
      <c r="I129" s="48"/>
      <c r="J129" s="48"/>
      <c r="K129" s="48"/>
      <c r="L129" s="50" t="s">
        <v>983</v>
      </c>
      <c r="M129" s="39" t="str">
        <f t="shared" si="3"/>
        <v>linda.coleman-madison@alsenate.gov</v>
      </c>
      <c r="N129" s="39"/>
      <c r="O129" s="39">
        <v>2006.0</v>
      </c>
      <c r="P129" s="39"/>
      <c r="Q129" s="39"/>
      <c r="R129" s="53" t="s">
        <v>467</v>
      </c>
    </row>
    <row r="130">
      <c r="A130" s="14" t="s">
        <v>286</v>
      </c>
      <c r="B130" s="35">
        <v>21.0</v>
      </c>
      <c r="C130" s="35" t="s">
        <v>987</v>
      </c>
      <c r="D130" s="35" t="s">
        <v>241</v>
      </c>
      <c r="E130" s="40" t="s">
        <v>53</v>
      </c>
      <c r="F130" s="107"/>
      <c r="G130" s="107"/>
      <c r="H130" s="48"/>
      <c r="I130" s="48"/>
      <c r="J130" s="48"/>
      <c r="K130" s="48"/>
      <c r="L130" s="50" t="s">
        <v>988</v>
      </c>
      <c r="M130" s="39" t="str">
        <f t="shared" si="3"/>
        <v>gerald.allen@alsenate.gov</v>
      </c>
      <c r="N130" s="39"/>
      <c r="O130" s="39">
        <v>2010.0</v>
      </c>
      <c r="P130" s="37"/>
      <c r="Q130" s="37"/>
      <c r="R130" s="53" t="s">
        <v>989</v>
      </c>
    </row>
    <row r="131">
      <c r="A131" s="14" t="s">
        <v>286</v>
      </c>
      <c r="B131" s="35">
        <v>22.0</v>
      </c>
      <c r="C131" s="35" t="s">
        <v>997</v>
      </c>
      <c r="D131" s="35" t="s">
        <v>1006</v>
      </c>
      <c r="E131" s="40" t="s">
        <v>53</v>
      </c>
      <c r="F131" s="107"/>
      <c r="G131" s="107"/>
      <c r="H131" s="48"/>
      <c r="I131" s="48"/>
      <c r="J131" s="48"/>
      <c r="K131" s="48"/>
      <c r="L131" s="50" t="s">
        <v>1007</v>
      </c>
      <c r="M131" s="39" t="str">
        <f t="shared" si="3"/>
        <v>greg.albritton@alsenate.gov</v>
      </c>
      <c r="N131" s="39"/>
      <c r="O131" s="39">
        <v>2014.0</v>
      </c>
      <c r="P131" s="37"/>
      <c r="Q131" s="37"/>
      <c r="R131" s="53" t="s">
        <v>1008</v>
      </c>
    </row>
    <row r="132">
      <c r="A132" s="14" t="s">
        <v>286</v>
      </c>
      <c r="B132" s="35">
        <v>23.0</v>
      </c>
      <c r="C132" s="38" t="s">
        <v>1009</v>
      </c>
      <c r="D132" s="38" t="s">
        <v>1010</v>
      </c>
      <c r="E132" s="73" t="s">
        <v>49</v>
      </c>
      <c r="F132" s="107"/>
      <c r="G132" s="107"/>
      <c r="H132" s="48"/>
      <c r="I132" s="48"/>
      <c r="J132" s="48"/>
      <c r="K132" s="48"/>
      <c r="L132" s="50" t="s">
        <v>1011</v>
      </c>
      <c r="M132" s="39" t="str">
        <f t="shared" si="3"/>
        <v>malika.fortier@alsenate.gov</v>
      </c>
      <c r="N132" s="39"/>
      <c r="O132" s="39">
        <v>1982.0</v>
      </c>
      <c r="P132" s="37"/>
      <c r="Q132" s="37"/>
      <c r="R132" s="53" t="s">
        <v>1012</v>
      </c>
    </row>
    <row r="133">
      <c r="A133" s="14" t="s">
        <v>286</v>
      </c>
      <c r="B133" s="35">
        <v>24.0</v>
      </c>
      <c r="C133" s="35" t="s">
        <v>1019</v>
      </c>
      <c r="D133" s="35" t="s">
        <v>1026</v>
      </c>
      <c r="E133" s="73" t="s">
        <v>49</v>
      </c>
      <c r="F133" s="107"/>
      <c r="G133" s="107"/>
      <c r="H133" s="48"/>
      <c r="I133" s="48"/>
      <c r="J133" s="48"/>
      <c r="K133" s="48"/>
      <c r="L133" s="50" t="s">
        <v>1027</v>
      </c>
      <c r="M133" s="39" t="str">
        <f t="shared" si="3"/>
        <v>bobby.singleton@alsenate.gov</v>
      </c>
      <c r="N133" s="39"/>
      <c r="O133" s="39">
        <v>2005.0</v>
      </c>
      <c r="P133" s="39"/>
      <c r="Q133" s="39"/>
      <c r="R133" s="53" t="s">
        <v>1028</v>
      </c>
    </row>
    <row r="134">
      <c r="A134" s="14" t="s">
        <v>286</v>
      </c>
      <c r="B134" s="35">
        <v>25.0</v>
      </c>
      <c r="C134" s="38" t="s">
        <v>689</v>
      </c>
      <c r="D134" s="38" t="s">
        <v>1030</v>
      </c>
      <c r="E134" s="40" t="s">
        <v>53</v>
      </c>
      <c r="F134" s="107"/>
      <c r="G134" s="107"/>
      <c r="H134" s="48"/>
      <c r="I134" s="48"/>
      <c r="J134" s="48"/>
      <c r="K134" s="48"/>
      <c r="L134" s="50" t="s">
        <v>1031</v>
      </c>
      <c r="M134" s="39" t="str">
        <f t="shared" si="3"/>
        <v>will.barfoot@alsenate.gov</v>
      </c>
      <c r="N134" s="39"/>
      <c r="O134" s="39">
        <v>2010.0</v>
      </c>
      <c r="P134" s="37"/>
      <c r="Q134" s="37"/>
      <c r="R134" s="53" t="s">
        <v>1032</v>
      </c>
    </row>
    <row r="135">
      <c r="A135" s="14" t="s">
        <v>286</v>
      </c>
      <c r="B135" s="35">
        <v>26.0</v>
      </c>
      <c r="C135" s="35" t="s">
        <v>108</v>
      </c>
      <c r="D135" s="35" t="s">
        <v>1041</v>
      </c>
      <c r="E135" s="73" t="s">
        <v>49</v>
      </c>
      <c r="F135" s="107"/>
      <c r="G135" s="107"/>
      <c r="H135" s="48"/>
      <c r="I135" s="48"/>
      <c r="J135" s="48"/>
      <c r="K135" s="48"/>
      <c r="L135" s="125" t="s">
        <v>1042</v>
      </c>
      <c r="M135" s="39" t="str">
        <f t="shared" si="3"/>
        <v>david.burkette@alsenate.gov</v>
      </c>
      <c r="N135" s="39"/>
      <c r="O135" s="39">
        <v>2018.0</v>
      </c>
      <c r="P135" s="39"/>
      <c r="Q135" s="39"/>
      <c r="R135" s="53" t="s">
        <v>606</v>
      </c>
    </row>
    <row r="136">
      <c r="A136" s="14" t="s">
        <v>286</v>
      </c>
      <c r="B136" s="35">
        <v>27.0</v>
      </c>
      <c r="C136" s="35" t="s">
        <v>561</v>
      </c>
      <c r="D136" s="35" t="s">
        <v>1050</v>
      </c>
      <c r="E136" s="40" t="s">
        <v>53</v>
      </c>
      <c r="F136" s="107"/>
      <c r="G136" s="107"/>
      <c r="H136" s="48"/>
      <c r="I136" s="48"/>
      <c r="J136" s="48"/>
      <c r="K136" s="48"/>
      <c r="L136" s="50" t="s">
        <v>1051</v>
      </c>
      <c r="M136" s="39" t="str">
        <f t="shared" si="3"/>
        <v>thomas.whatley@alsenate.gov</v>
      </c>
      <c r="N136" s="39"/>
      <c r="O136" s="39">
        <v>2010.0</v>
      </c>
      <c r="P136" s="39"/>
      <c r="Q136" s="39"/>
      <c r="R136" s="53" t="s">
        <v>1053</v>
      </c>
    </row>
    <row r="137">
      <c r="A137" s="14" t="s">
        <v>286</v>
      </c>
      <c r="B137" s="35">
        <v>28.0</v>
      </c>
      <c r="C137" s="35" t="s">
        <v>1058</v>
      </c>
      <c r="D137" s="35" t="s">
        <v>1059</v>
      </c>
      <c r="E137" s="73" t="s">
        <v>49</v>
      </c>
      <c r="F137" s="114" t="s">
        <v>498</v>
      </c>
      <c r="G137" s="107"/>
      <c r="H137" s="48"/>
      <c r="I137" s="48"/>
      <c r="J137" s="48"/>
      <c r="K137" s="48"/>
      <c r="L137" s="50" t="s">
        <v>1060</v>
      </c>
      <c r="M137" s="39" t="str">
        <f t="shared" si="3"/>
        <v>william.beasley@alsenate.gov</v>
      </c>
      <c r="N137" s="39"/>
      <c r="O137" s="39">
        <v>2010.0</v>
      </c>
      <c r="P137" s="37"/>
      <c r="Q137" s="37"/>
      <c r="R137" s="53" t="s">
        <v>1062</v>
      </c>
    </row>
    <row r="138">
      <c r="A138" s="14" t="s">
        <v>286</v>
      </c>
      <c r="B138" s="35">
        <v>29.0</v>
      </c>
      <c r="C138" s="38" t="s">
        <v>1064</v>
      </c>
      <c r="D138" s="38" t="s">
        <v>1065</v>
      </c>
      <c r="E138" s="127" t="s">
        <v>53</v>
      </c>
      <c r="F138" s="107"/>
      <c r="G138" s="107"/>
      <c r="H138" s="48"/>
      <c r="I138" s="48"/>
      <c r="J138" s="48"/>
      <c r="K138" s="48"/>
      <c r="L138" s="50" t="s">
        <v>1070</v>
      </c>
      <c r="M138" s="39" t="str">
        <f t="shared" si="3"/>
        <v>donnie.chesteen@alsenate.gov</v>
      </c>
      <c r="N138" s="39"/>
      <c r="O138" s="39">
        <v>1998.0</v>
      </c>
      <c r="P138" s="37"/>
      <c r="Q138" s="37"/>
      <c r="R138" s="53" t="s">
        <v>1071</v>
      </c>
    </row>
    <row r="139">
      <c r="A139" s="14" t="s">
        <v>286</v>
      </c>
      <c r="B139" s="35">
        <v>30.0</v>
      </c>
      <c r="C139" s="35" t="s">
        <v>1074</v>
      </c>
      <c r="D139" s="35" t="s">
        <v>1078</v>
      </c>
      <c r="E139" s="40" t="s">
        <v>53</v>
      </c>
      <c r="F139" s="107"/>
      <c r="G139" s="107"/>
      <c r="H139" s="48"/>
      <c r="I139" s="48"/>
      <c r="J139" s="48"/>
      <c r="K139" s="48"/>
      <c r="L139" s="50" t="s">
        <v>1082</v>
      </c>
      <c r="M139" s="39" t="str">
        <f t="shared" si="3"/>
        <v>clyde.chambliss@alsenate.gov</v>
      </c>
      <c r="N139" s="39"/>
      <c r="O139" s="39">
        <v>2014.0</v>
      </c>
      <c r="P139" s="37"/>
      <c r="Q139" s="37"/>
      <c r="R139" s="53" t="s">
        <v>1084</v>
      </c>
    </row>
    <row r="140">
      <c r="A140" s="14" t="s">
        <v>286</v>
      </c>
      <c r="B140" s="35">
        <v>31.0</v>
      </c>
      <c r="C140" s="35" t="s">
        <v>455</v>
      </c>
      <c r="D140" s="35" t="s">
        <v>1090</v>
      </c>
      <c r="E140" s="40" t="s">
        <v>53</v>
      </c>
      <c r="F140" s="107"/>
      <c r="G140" s="107"/>
      <c r="H140" s="48"/>
      <c r="I140" s="48"/>
      <c r="J140" s="48"/>
      <c r="K140" s="48"/>
      <c r="L140" s="50" t="s">
        <v>1091</v>
      </c>
      <c r="M140" s="39" t="str">
        <f t="shared" si="3"/>
        <v>jimmy.holley@alsenate.gov</v>
      </c>
      <c r="N140" s="39"/>
      <c r="O140" s="39">
        <v>1998.0</v>
      </c>
      <c r="P140" s="37"/>
      <c r="Q140" s="37"/>
      <c r="R140" s="53" t="s">
        <v>1093</v>
      </c>
    </row>
    <row r="141">
      <c r="A141" s="14" t="s">
        <v>286</v>
      </c>
      <c r="B141" s="35">
        <v>32.0</v>
      </c>
      <c r="C141" s="38" t="s">
        <v>173</v>
      </c>
      <c r="D141" s="38" t="s">
        <v>1098</v>
      </c>
      <c r="E141" s="40" t="s">
        <v>53</v>
      </c>
      <c r="F141" s="107"/>
      <c r="G141" s="107"/>
      <c r="H141" s="48"/>
      <c r="I141" s="48"/>
      <c r="J141" s="48"/>
      <c r="K141" s="48"/>
      <c r="L141" s="50" t="s">
        <v>1099</v>
      </c>
      <c r="M141" s="39" t="str">
        <f t="shared" si="3"/>
        <v>chris.elliot@alsenate.gov</v>
      </c>
      <c r="N141" s="39"/>
      <c r="O141" s="39">
        <v>2007.0</v>
      </c>
      <c r="P141" s="37"/>
      <c r="Q141" s="37"/>
      <c r="R141" s="53" t="s">
        <v>725</v>
      </c>
    </row>
    <row r="142">
      <c r="A142" s="14" t="s">
        <v>286</v>
      </c>
      <c r="B142" s="35">
        <v>33.0</v>
      </c>
      <c r="C142" s="35" t="s">
        <v>1092</v>
      </c>
      <c r="D142" s="35" t="s">
        <v>1105</v>
      </c>
      <c r="E142" s="73" t="s">
        <v>49</v>
      </c>
      <c r="F142" s="107"/>
      <c r="G142" s="107"/>
      <c r="H142" s="48"/>
      <c r="I142" s="48"/>
      <c r="J142" s="48"/>
      <c r="K142" s="48"/>
      <c r="L142" s="50" t="s">
        <v>1106</v>
      </c>
      <c r="M142" s="39" t="str">
        <f t="shared" si="3"/>
        <v>vivian.figures@alsenate.gov</v>
      </c>
      <c r="N142" s="39"/>
      <c r="O142" s="39">
        <v>1997.0</v>
      </c>
      <c r="P142" s="37"/>
      <c r="Q142" s="37"/>
      <c r="R142" s="53" t="s">
        <v>739</v>
      </c>
    </row>
    <row r="143">
      <c r="A143" s="14" t="s">
        <v>286</v>
      </c>
      <c r="B143" s="35">
        <v>34.0</v>
      </c>
      <c r="C143" s="38" t="s">
        <v>792</v>
      </c>
      <c r="D143" s="38" t="s">
        <v>793</v>
      </c>
      <c r="E143" s="40" t="s">
        <v>53</v>
      </c>
      <c r="F143" s="107"/>
      <c r="G143" s="107"/>
      <c r="H143" s="48"/>
      <c r="I143" s="48"/>
      <c r="J143" s="48"/>
      <c r="K143" s="48"/>
      <c r="L143" s="50" t="s">
        <v>1113</v>
      </c>
      <c r="M143" s="39" t="str">
        <f t="shared" si="3"/>
        <v>jack.williams@alsenate.gov</v>
      </c>
      <c r="N143" s="39"/>
      <c r="O143" s="97">
        <v>2018.0</v>
      </c>
      <c r="P143" s="39"/>
      <c r="Q143" s="39"/>
      <c r="R143" s="53" t="s">
        <v>739</v>
      </c>
    </row>
    <row r="144">
      <c r="A144" s="14" t="s">
        <v>286</v>
      </c>
      <c r="B144" s="35">
        <v>35.0</v>
      </c>
      <c r="C144" s="38" t="s">
        <v>108</v>
      </c>
      <c r="D144" s="38" t="s">
        <v>1120</v>
      </c>
      <c r="E144" s="40" t="s">
        <v>53</v>
      </c>
      <c r="F144" s="107"/>
      <c r="G144" s="107"/>
      <c r="H144" s="48"/>
      <c r="I144" s="48"/>
      <c r="J144" s="48"/>
      <c r="K144" s="48"/>
      <c r="L144" s="50" t="s">
        <v>1121</v>
      </c>
      <c r="M144" s="39" t="str">
        <f t="shared" si="3"/>
        <v>david.sessions@alsenate.gov</v>
      </c>
      <c r="N144" s="39"/>
      <c r="O144" s="39">
        <v>2013.0</v>
      </c>
      <c r="P144" s="39"/>
      <c r="Q144" s="39"/>
      <c r="R144" s="53" t="s">
        <v>739</v>
      </c>
    </row>
    <row r="145">
      <c r="A145" s="70"/>
      <c r="B145" s="71"/>
      <c r="C145" s="71"/>
      <c r="D145" s="71"/>
      <c r="E145" s="101"/>
      <c r="F145" s="102"/>
      <c r="G145" s="102"/>
      <c r="H145" s="102"/>
      <c r="I145" s="103"/>
      <c r="J145" s="103"/>
      <c r="K145" s="103"/>
      <c r="L145" s="128"/>
      <c r="M145" s="70"/>
      <c r="N145" s="70"/>
      <c r="O145" s="70"/>
      <c r="P145" s="70"/>
      <c r="Q145" s="70"/>
      <c r="R145" s="71"/>
      <c r="S145" s="70"/>
      <c r="T145" s="70"/>
      <c r="U145" s="70"/>
      <c r="V145" s="70"/>
      <c r="W145" s="70"/>
      <c r="X145" s="70"/>
      <c r="Y145" s="70"/>
      <c r="Z145" s="70"/>
      <c r="AA145" s="70"/>
      <c r="AB145" s="70"/>
      <c r="AC145" s="70"/>
      <c r="AD145" s="70"/>
      <c r="AE145" s="70"/>
      <c r="AF145" s="70"/>
      <c r="AG145" s="70"/>
      <c r="AH145" s="70"/>
    </row>
    <row r="146">
      <c r="A146" s="129" t="s">
        <v>421</v>
      </c>
      <c r="B146" s="130"/>
      <c r="C146" s="131" t="s">
        <v>1125</v>
      </c>
      <c r="D146" s="131" t="s">
        <v>1127</v>
      </c>
      <c r="E146" s="132" t="s">
        <v>53</v>
      </c>
      <c r="F146" s="133"/>
      <c r="G146" s="133"/>
      <c r="H146" s="133"/>
      <c r="I146" s="134"/>
      <c r="J146" s="134"/>
      <c r="K146" s="134"/>
      <c r="L146" s="135"/>
      <c r="M146" s="136" t="s">
        <v>1128</v>
      </c>
      <c r="N146" s="41"/>
      <c r="O146" s="41"/>
      <c r="P146" s="41"/>
      <c r="Q146" s="41"/>
      <c r="R146" s="137"/>
      <c r="S146" s="138"/>
      <c r="T146" s="138"/>
      <c r="U146" s="138"/>
      <c r="V146" s="138"/>
      <c r="W146" s="138"/>
      <c r="X146" s="138"/>
      <c r="Y146" s="138"/>
      <c r="Z146" s="138"/>
      <c r="AA146" s="138"/>
      <c r="AB146" s="138"/>
      <c r="AC146" s="138"/>
      <c r="AD146" s="138"/>
      <c r="AE146" s="138"/>
      <c r="AF146" s="138"/>
      <c r="AG146" s="138"/>
      <c r="AH146" s="138"/>
    </row>
    <row r="147">
      <c r="A147" s="70"/>
      <c r="B147" s="71"/>
      <c r="C147" s="71"/>
      <c r="D147" s="71"/>
      <c r="E147" s="101"/>
      <c r="F147" s="102"/>
      <c r="G147" s="102"/>
      <c r="H147" s="102"/>
      <c r="I147" s="103"/>
      <c r="J147" s="103"/>
      <c r="K147" s="103"/>
      <c r="L147" s="128"/>
      <c r="M147" s="70"/>
      <c r="N147" s="70"/>
      <c r="O147" s="70"/>
      <c r="P147" s="70"/>
      <c r="Q147" s="70"/>
      <c r="R147" s="71"/>
      <c r="S147" s="70"/>
      <c r="T147" s="70"/>
      <c r="U147" s="70"/>
      <c r="V147" s="70"/>
      <c r="W147" s="70"/>
      <c r="X147" s="70"/>
      <c r="Y147" s="70"/>
      <c r="Z147" s="70"/>
      <c r="AA147" s="70"/>
      <c r="AB147" s="70"/>
      <c r="AC147" s="70"/>
      <c r="AD147" s="70"/>
      <c r="AE147" s="70"/>
      <c r="AF147" s="70"/>
      <c r="AG147" s="70"/>
      <c r="AH147" s="70"/>
    </row>
    <row r="148">
      <c r="A148" s="14" t="s">
        <v>427</v>
      </c>
      <c r="B148" s="77">
        <v>1.0</v>
      </c>
      <c r="C148" s="77" t="s">
        <v>1130</v>
      </c>
      <c r="D148" s="77" t="s">
        <v>1131</v>
      </c>
      <c r="E148" s="6" t="s">
        <v>53</v>
      </c>
      <c r="F148" s="107"/>
      <c r="G148" s="107"/>
      <c r="H148" s="107"/>
      <c r="I148" s="48"/>
      <c r="J148" s="48"/>
      <c r="K148" s="48"/>
      <c r="L148" s="135"/>
      <c r="M148" s="41"/>
      <c r="N148" s="41"/>
      <c r="O148" s="41"/>
      <c r="P148" s="41"/>
      <c r="Q148" s="41"/>
      <c r="R148" s="137"/>
    </row>
    <row r="149">
      <c r="A149" s="14" t="s">
        <v>427</v>
      </c>
      <c r="B149" s="77">
        <v>2.0</v>
      </c>
      <c r="C149" s="77" t="s">
        <v>1132</v>
      </c>
      <c r="D149" s="77" t="s">
        <v>1133</v>
      </c>
      <c r="E149" s="6" t="s">
        <v>53</v>
      </c>
      <c r="F149" s="107"/>
      <c r="G149" s="107"/>
      <c r="H149" s="107"/>
      <c r="I149" s="48"/>
      <c r="J149" s="48"/>
      <c r="K149" s="48"/>
      <c r="L149" s="135"/>
      <c r="M149" s="41"/>
      <c r="N149" s="41"/>
      <c r="O149" s="41"/>
      <c r="P149" s="41"/>
      <c r="Q149" s="41"/>
      <c r="R149" s="137"/>
    </row>
    <row r="150">
      <c r="A150" s="14" t="s">
        <v>427</v>
      </c>
      <c r="B150" s="77">
        <v>3.0</v>
      </c>
      <c r="C150" s="77" t="s">
        <v>157</v>
      </c>
      <c r="D150" s="77" t="s">
        <v>494</v>
      </c>
      <c r="E150" s="6" t="s">
        <v>53</v>
      </c>
      <c r="F150" s="107"/>
      <c r="G150" s="107"/>
      <c r="H150" s="107"/>
      <c r="I150" s="48"/>
      <c r="J150" s="48"/>
      <c r="K150" s="48"/>
      <c r="L150" s="135"/>
      <c r="M150" s="41"/>
      <c r="N150" s="41"/>
      <c r="O150" s="41"/>
      <c r="P150" s="41"/>
      <c r="Q150" s="41"/>
      <c r="R150" s="137"/>
    </row>
    <row r="151">
      <c r="A151" s="14" t="s">
        <v>427</v>
      </c>
      <c r="B151" s="77">
        <v>4.0</v>
      </c>
      <c r="C151" s="77" t="s">
        <v>1134</v>
      </c>
      <c r="D151" s="77" t="s">
        <v>1139</v>
      </c>
      <c r="E151" s="6" t="s">
        <v>53</v>
      </c>
      <c r="F151" s="107"/>
      <c r="G151" s="107"/>
      <c r="H151" s="107"/>
      <c r="I151" s="48"/>
      <c r="J151" s="48"/>
      <c r="K151" s="48"/>
      <c r="L151" s="135"/>
      <c r="M151" s="41"/>
      <c r="N151" s="41"/>
      <c r="O151" s="41"/>
      <c r="P151" s="41"/>
      <c r="Q151" s="41"/>
      <c r="R151" s="137"/>
    </row>
    <row r="152">
      <c r="A152" s="14" t="s">
        <v>427</v>
      </c>
      <c r="B152" s="77">
        <v>5.0</v>
      </c>
      <c r="C152" s="77" t="s">
        <v>1140</v>
      </c>
      <c r="D152" s="77" t="s">
        <v>1141</v>
      </c>
      <c r="E152" s="6" t="s">
        <v>53</v>
      </c>
      <c r="F152" s="107"/>
      <c r="G152" s="107"/>
      <c r="H152" s="107"/>
      <c r="I152" s="48"/>
      <c r="J152" s="48"/>
      <c r="K152" s="48"/>
      <c r="L152" s="135"/>
      <c r="M152" s="41"/>
      <c r="N152" s="41"/>
      <c r="O152" s="41"/>
      <c r="P152" s="41"/>
      <c r="Q152" s="41"/>
      <c r="R152" s="137"/>
    </row>
    <row r="153">
      <c r="A153" s="14" t="s">
        <v>427</v>
      </c>
      <c r="B153" s="77">
        <v>6.0</v>
      </c>
      <c r="C153" s="77" t="s">
        <v>199</v>
      </c>
      <c r="D153" s="77" t="s">
        <v>102</v>
      </c>
      <c r="E153" s="6" t="s">
        <v>53</v>
      </c>
      <c r="F153" s="107"/>
      <c r="G153" s="107"/>
      <c r="H153" s="107"/>
      <c r="I153" s="48"/>
      <c r="J153" s="48"/>
      <c r="K153" s="48"/>
      <c r="L153" s="135"/>
      <c r="M153" s="41"/>
      <c r="N153" s="41"/>
      <c r="O153" s="41"/>
      <c r="P153" s="41"/>
      <c r="Q153" s="41"/>
      <c r="R153" s="137"/>
    </row>
    <row r="154">
      <c r="A154" s="14" t="s">
        <v>427</v>
      </c>
      <c r="B154" s="77">
        <v>7.0</v>
      </c>
      <c r="C154" s="77" t="s">
        <v>1142</v>
      </c>
      <c r="D154" s="77" t="s">
        <v>1143</v>
      </c>
      <c r="E154" s="6" t="s">
        <v>49</v>
      </c>
      <c r="F154" s="107"/>
      <c r="G154" s="107"/>
      <c r="H154" s="107"/>
      <c r="I154" s="48"/>
      <c r="J154" s="48"/>
      <c r="K154" s="48"/>
      <c r="L154" s="135"/>
      <c r="M154" s="41"/>
      <c r="N154" s="41"/>
      <c r="O154" s="41"/>
      <c r="P154" s="41"/>
      <c r="Q154" s="41"/>
      <c r="R154" s="137"/>
    </row>
    <row r="155">
      <c r="A155" s="70"/>
      <c r="B155" s="71"/>
      <c r="C155" s="71"/>
      <c r="D155" s="71"/>
      <c r="E155" s="101"/>
      <c r="F155" s="102"/>
      <c r="G155" s="102"/>
      <c r="H155" s="102"/>
      <c r="I155" s="103"/>
      <c r="J155" s="103"/>
      <c r="K155" s="103"/>
      <c r="L155" s="128"/>
      <c r="M155" s="70"/>
      <c r="N155" s="70"/>
      <c r="O155" s="70"/>
      <c r="P155" s="70"/>
      <c r="Q155" s="70"/>
      <c r="R155" s="71"/>
      <c r="S155" s="70"/>
      <c r="T155" s="70"/>
      <c r="U155" s="70"/>
      <c r="V155" s="70"/>
      <c r="W155" s="70"/>
      <c r="X155" s="70"/>
      <c r="Y155" s="70"/>
      <c r="Z155" s="70"/>
      <c r="AA155" s="70"/>
      <c r="AB155" s="70"/>
      <c r="AC155" s="70"/>
      <c r="AD155" s="70"/>
      <c r="AE155" s="70"/>
      <c r="AF155" s="70"/>
      <c r="AG155" s="70"/>
      <c r="AH155" s="70"/>
    </row>
    <row r="156">
      <c r="A156" s="14" t="s">
        <v>1145</v>
      </c>
      <c r="B156" s="77" t="s">
        <v>431</v>
      </c>
      <c r="C156" s="77" t="s">
        <v>1112</v>
      </c>
      <c r="D156" s="77" t="s">
        <v>454</v>
      </c>
      <c r="E156" s="40" t="s">
        <v>53</v>
      </c>
      <c r="F156" s="107"/>
      <c r="G156" s="107"/>
      <c r="H156" s="107"/>
      <c r="I156" s="48"/>
      <c r="J156" s="48"/>
      <c r="K156" s="48"/>
      <c r="L156" s="135"/>
      <c r="M156" s="41"/>
      <c r="N156" s="41"/>
      <c r="O156" s="41"/>
      <c r="P156" s="41"/>
      <c r="Q156" s="41"/>
      <c r="R156" s="137"/>
    </row>
    <row r="157">
      <c r="A157" s="14" t="s">
        <v>1145</v>
      </c>
      <c r="B157" s="77" t="s">
        <v>434</v>
      </c>
      <c r="C157" s="77" t="s">
        <v>1146</v>
      </c>
      <c r="D157" s="77" t="s">
        <v>706</v>
      </c>
      <c r="E157" s="73" t="s">
        <v>49</v>
      </c>
      <c r="F157" s="107"/>
      <c r="G157" s="107"/>
      <c r="H157" s="107"/>
      <c r="I157" s="48"/>
      <c r="J157" s="48"/>
      <c r="K157" s="48"/>
      <c r="L157" s="135"/>
      <c r="M157" s="41"/>
      <c r="N157" s="41"/>
      <c r="O157" s="41"/>
      <c r="P157" s="41"/>
      <c r="Q157" s="41"/>
      <c r="R157" s="137"/>
    </row>
    <row r="158">
      <c r="A158" s="70"/>
      <c r="B158" s="71"/>
      <c r="C158" s="71"/>
      <c r="D158" s="71"/>
      <c r="E158" s="101"/>
      <c r="F158" s="102"/>
      <c r="G158" s="102"/>
      <c r="H158" s="102"/>
      <c r="I158" s="103"/>
      <c r="J158" s="103"/>
      <c r="K158" s="103"/>
      <c r="L158" s="128"/>
      <c r="M158" s="70"/>
      <c r="N158" s="70"/>
      <c r="O158" s="70"/>
      <c r="P158" s="70"/>
      <c r="Q158" s="70"/>
      <c r="R158" s="71"/>
      <c r="S158" s="70"/>
      <c r="T158" s="70"/>
      <c r="U158" s="70"/>
      <c r="V158" s="70"/>
      <c r="W158" s="70"/>
      <c r="X158" s="70"/>
      <c r="Y158" s="70"/>
      <c r="Z158" s="70"/>
      <c r="AA158" s="70"/>
      <c r="AB158" s="70"/>
      <c r="AC158" s="70"/>
      <c r="AD158" s="70"/>
      <c r="AE158" s="70"/>
      <c r="AF158" s="70"/>
      <c r="AG158" s="70"/>
      <c r="AH158" s="70"/>
    </row>
    <row r="159">
      <c r="A159" s="14" t="s">
        <v>438</v>
      </c>
      <c r="B159" s="139"/>
      <c r="C159" s="77" t="s">
        <v>55</v>
      </c>
      <c r="D159" s="77" t="s">
        <v>1150</v>
      </c>
      <c r="E159" s="6" t="s">
        <v>53</v>
      </c>
      <c r="F159" s="107"/>
      <c r="G159" s="107"/>
      <c r="H159" s="107"/>
      <c r="I159" s="48"/>
      <c r="J159" s="48"/>
      <c r="K159" s="48"/>
      <c r="L159" s="135"/>
      <c r="M159" s="41"/>
      <c r="N159" s="41"/>
      <c r="O159" s="41"/>
      <c r="P159" s="41"/>
      <c r="Q159" s="41"/>
      <c r="R159" s="137"/>
    </row>
    <row r="160">
      <c r="A160" s="70"/>
      <c r="B160" s="71"/>
      <c r="C160" s="71"/>
      <c r="D160" s="71"/>
      <c r="E160" s="101"/>
      <c r="F160" s="102"/>
      <c r="G160" s="102"/>
      <c r="H160" s="102"/>
      <c r="I160" s="103"/>
      <c r="J160" s="103"/>
      <c r="K160" s="103"/>
      <c r="L160" s="128"/>
      <c r="M160" s="70"/>
      <c r="N160" s="70"/>
      <c r="O160" s="70"/>
      <c r="P160" s="70"/>
      <c r="Q160" s="70"/>
      <c r="R160" s="71"/>
      <c r="S160" s="70"/>
      <c r="T160" s="70"/>
      <c r="U160" s="70"/>
      <c r="V160" s="70"/>
      <c r="W160" s="70"/>
      <c r="X160" s="70"/>
      <c r="Y160" s="70"/>
      <c r="Z160" s="70"/>
      <c r="AA160" s="70"/>
      <c r="AB160" s="70"/>
      <c r="AC160" s="70"/>
      <c r="AD160" s="70"/>
      <c r="AE160" s="70"/>
      <c r="AF160" s="70"/>
      <c r="AG160" s="70"/>
      <c r="AH160" s="70"/>
    </row>
    <row r="161">
      <c r="B161" s="139"/>
      <c r="C161" s="139"/>
      <c r="D161" s="139"/>
      <c r="E161" s="18"/>
      <c r="F161" s="107"/>
      <c r="G161" s="107"/>
      <c r="H161" s="107"/>
      <c r="I161" s="48"/>
      <c r="J161" s="48"/>
      <c r="K161" s="48"/>
      <c r="L161" s="140"/>
      <c r="R161" s="139"/>
    </row>
    <row r="162">
      <c r="B162" s="139"/>
      <c r="C162" s="139"/>
      <c r="D162" s="139"/>
      <c r="E162" s="18"/>
      <c r="F162" s="107"/>
      <c r="G162" s="107"/>
      <c r="H162" s="107"/>
      <c r="I162" s="48"/>
      <c r="J162" s="48"/>
      <c r="K162" s="48"/>
      <c r="L162" s="140"/>
      <c r="R162" s="139"/>
    </row>
    <row r="163">
      <c r="B163" s="139"/>
      <c r="C163" s="139"/>
      <c r="D163" s="139"/>
      <c r="E163" s="18"/>
      <c r="F163" s="107"/>
      <c r="G163" s="107"/>
      <c r="H163" s="107"/>
      <c r="I163" s="48"/>
      <c r="J163" s="48"/>
      <c r="K163" s="48"/>
      <c r="L163" s="140"/>
      <c r="R163" s="139"/>
    </row>
    <row r="164">
      <c r="B164" s="139"/>
      <c r="C164" s="139"/>
      <c r="D164" s="139"/>
      <c r="E164" s="18"/>
      <c r="F164" s="107"/>
      <c r="G164" s="107"/>
      <c r="H164" s="107"/>
      <c r="I164" s="48"/>
      <c r="J164" s="48"/>
      <c r="K164" s="48"/>
      <c r="L164" s="140"/>
      <c r="R164" s="139"/>
    </row>
    <row r="165">
      <c r="B165" s="139"/>
      <c r="C165" s="139"/>
      <c r="D165" s="139"/>
      <c r="E165" s="18"/>
      <c r="F165" s="107"/>
      <c r="G165" s="107"/>
      <c r="H165" s="48"/>
      <c r="I165" s="48"/>
      <c r="J165" s="48"/>
      <c r="K165" s="48"/>
      <c r="L165" s="140"/>
      <c r="R165" s="139"/>
    </row>
    <row r="166">
      <c r="B166" s="139"/>
      <c r="C166" s="139"/>
      <c r="D166" s="139"/>
      <c r="E166" s="18"/>
      <c r="F166" s="107"/>
      <c r="G166" s="107"/>
      <c r="H166" s="48"/>
      <c r="I166" s="48"/>
      <c r="J166" s="48"/>
      <c r="K166" s="48"/>
      <c r="L166" s="140"/>
      <c r="R166" s="139"/>
    </row>
    <row r="167">
      <c r="B167" s="139"/>
      <c r="C167" s="139"/>
      <c r="D167" s="139"/>
      <c r="E167" s="18"/>
      <c r="F167" s="107"/>
      <c r="G167" s="107"/>
      <c r="H167" s="48"/>
      <c r="I167" s="48"/>
      <c r="J167" s="48"/>
      <c r="K167" s="48"/>
      <c r="L167" s="140"/>
      <c r="R167" s="139"/>
    </row>
    <row r="168">
      <c r="B168" s="139"/>
      <c r="C168" s="139"/>
      <c r="D168" s="139"/>
      <c r="E168" s="18"/>
      <c r="F168" s="107"/>
      <c r="G168" s="107"/>
      <c r="H168" s="48"/>
      <c r="I168" s="48"/>
      <c r="J168" s="48"/>
      <c r="K168" s="48"/>
      <c r="L168" s="140"/>
      <c r="R168" s="139"/>
    </row>
    <row r="169">
      <c r="B169" s="139"/>
      <c r="C169" s="139"/>
      <c r="D169" s="139"/>
      <c r="E169" s="18"/>
      <c r="F169" s="107"/>
      <c r="G169" s="107"/>
      <c r="H169" s="48"/>
      <c r="I169" s="48"/>
      <c r="J169" s="48"/>
      <c r="K169" s="48"/>
      <c r="L169" s="140"/>
      <c r="R169" s="139"/>
    </row>
    <row r="170">
      <c r="B170" s="139"/>
      <c r="C170" s="139"/>
      <c r="D170" s="139"/>
      <c r="E170" s="18"/>
      <c r="F170" s="107"/>
      <c r="G170" s="107"/>
      <c r="H170" s="48"/>
      <c r="I170" s="48"/>
      <c r="J170" s="48"/>
      <c r="K170" s="48"/>
      <c r="L170" s="140"/>
      <c r="R170" s="139"/>
    </row>
    <row r="171">
      <c r="B171" s="139"/>
      <c r="C171" s="139"/>
      <c r="D171" s="139"/>
      <c r="E171" s="18"/>
      <c r="F171" s="107"/>
      <c r="G171" s="107"/>
      <c r="H171" s="48"/>
      <c r="I171" s="48"/>
      <c r="J171" s="48"/>
      <c r="K171" s="48"/>
      <c r="R171" s="139"/>
    </row>
    <row r="172">
      <c r="B172" s="139"/>
      <c r="C172" s="139"/>
      <c r="D172" s="139"/>
      <c r="E172" s="18"/>
      <c r="F172" s="107"/>
      <c r="G172" s="107"/>
      <c r="H172" s="48"/>
      <c r="I172" s="48"/>
      <c r="J172" s="48"/>
      <c r="K172" s="48"/>
      <c r="R172" s="139"/>
    </row>
    <row r="173">
      <c r="B173" s="139"/>
      <c r="C173" s="139"/>
      <c r="D173" s="139"/>
      <c r="E173" s="18"/>
      <c r="F173" s="107"/>
      <c r="G173" s="107"/>
      <c r="H173" s="48"/>
      <c r="I173" s="48"/>
      <c r="J173" s="48"/>
      <c r="K173" s="48"/>
      <c r="R173" s="139"/>
    </row>
    <row r="174">
      <c r="B174" s="139"/>
      <c r="C174" s="139"/>
      <c r="D174" s="139"/>
      <c r="E174" s="18"/>
      <c r="F174" s="107"/>
      <c r="G174" s="107"/>
      <c r="H174" s="48"/>
      <c r="I174" s="48"/>
      <c r="J174" s="48"/>
      <c r="K174" s="48"/>
      <c r="R174" s="139"/>
    </row>
    <row r="175">
      <c r="B175" s="139"/>
      <c r="C175" s="139"/>
      <c r="D175" s="139"/>
      <c r="E175" s="18"/>
      <c r="F175" s="107"/>
      <c r="G175" s="107"/>
      <c r="H175" s="48"/>
      <c r="I175" s="48"/>
      <c r="J175" s="48"/>
      <c r="K175" s="48"/>
      <c r="R175" s="139"/>
    </row>
    <row r="176">
      <c r="B176" s="139"/>
      <c r="C176" s="139"/>
      <c r="D176" s="139"/>
      <c r="E176" s="18"/>
      <c r="F176" s="107"/>
      <c r="G176" s="107"/>
      <c r="H176" s="48"/>
      <c r="I176" s="48"/>
      <c r="J176" s="48"/>
      <c r="K176" s="48"/>
      <c r="R176" s="139"/>
    </row>
    <row r="177">
      <c r="B177" s="139"/>
      <c r="C177" s="139"/>
      <c r="D177" s="139"/>
      <c r="E177" s="18"/>
      <c r="F177" s="107"/>
      <c r="G177" s="107"/>
      <c r="H177" s="48"/>
      <c r="I177" s="48"/>
      <c r="J177" s="48"/>
      <c r="K177" s="48"/>
      <c r="R177" s="139"/>
    </row>
    <row r="178">
      <c r="B178" s="139"/>
      <c r="C178" s="139"/>
      <c r="D178" s="139"/>
      <c r="E178" s="18"/>
      <c r="F178" s="107"/>
      <c r="G178" s="107"/>
      <c r="H178" s="48"/>
      <c r="I178" s="48"/>
      <c r="J178" s="48"/>
      <c r="K178" s="48"/>
      <c r="R178" s="139"/>
    </row>
    <row r="179">
      <c r="B179" s="139"/>
      <c r="C179" s="139"/>
      <c r="D179" s="139"/>
      <c r="E179" s="18"/>
      <c r="F179" s="107"/>
      <c r="G179" s="107"/>
      <c r="H179" s="48"/>
      <c r="I179" s="48"/>
      <c r="J179" s="48"/>
      <c r="K179" s="48"/>
      <c r="R179" s="139"/>
    </row>
    <row r="180">
      <c r="B180" s="139"/>
      <c r="C180" s="139"/>
      <c r="D180" s="139"/>
      <c r="E180" s="18"/>
      <c r="F180" s="107"/>
      <c r="G180" s="107"/>
      <c r="H180" s="48"/>
      <c r="I180" s="48"/>
      <c r="J180" s="48"/>
      <c r="K180" s="48"/>
      <c r="R180" s="139"/>
    </row>
    <row r="181">
      <c r="B181" s="139"/>
      <c r="C181" s="139"/>
      <c r="D181" s="139"/>
      <c r="E181" s="18"/>
      <c r="F181" s="107"/>
      <c r="G181" s="107"/>
      <c r="H181" s="48"/>
      <c r="I181" s="48"/>
      <c r="J181" s="48"/>
      <c r="K181" s="48"/>
      <c r="R181" s="139"/>
    </row>
    <row r="182">
      <c r="B182" s="139"/>
      <c r="C182" s="139"/>
      <c r="D182" s="139"/>
      <c r="E182" s="18"/>
      <c r="F182" s="107"/>
      <c r="G182" s="107"/>
      <c r="H182" s="48"/>
      <c r="I182" s="48"/>
      <c r="J182" s="48"/>
      <c r="K182" s="48"/>
      <c r="R182" s="139"/>
    </row>
    <row r="183">
      <c r="B183" s="139"/>
      <c r="C183" s="139"/>
      <c r="D183" s="139"/>
      <c r="E183" s="18"/>
      <c r="F183" s="107"/>
      <c r="G183" s="107"/>
      <c r="H183" s="48"/>
      <c r="I183" s="48"/>
      <c r="J183" s="48"/>
      <c r="K183" s="48"/>
      <c r="R183" s="139"/>
    </row>
    <row r="184">
      <c r="B184" s="139"/>
      <c r="C184" s="139"/>
      <c r="D184" s="139"/>
      <c r="E184" s="18"/>
      <c r="F184" s="107"/>
      <c r="G184" s="107"/>
      <c r="H184" s="48"/>
      <c r="I184" s="48"/>
      <c r="J184" s="48"/>
      <c r="K184" s="48"/>
      <c r="R184" s="139"/>
    </row>
    <row r="185">
      <c r="B185" s="139"/>
      <c r="C185" s="139"/>
      <c r="D185" s="139"/>
      <c r="E185" s="18"/>
      <c r="F185" s="107"/>
      <c r="G185" s="107"/>
      <c r="H185" s="48"/>
      <c r="I185" s="48"/>
      <c r="J185" s="48"/>
      <c r="K185" s="48"/>
      <c r="R185" s="139"/>
    </row>
    <row r="186">
      <c r="B186" s="139"/>
      <c r="C186" s="139"/>
      <c r="D186" s="139"/>
      <c r="E186" s="18"/>
      <c r="F186" s="107"/>
      <c r="G186" s="107"/>
      <c r="H186" s="48"/>
      <c r="I186" s="48"/>
      <c r="J186" s="48"/>
      <c r="K186" s="48"/>
      <c r="R186" s="139"/>
    </row>
    <row r="187">
      <c r="B187" s="139"/>
      <c r="C187" s="139"/>
      <c r="D187" s="139"/>
      <c r="E187" s="18"/>
      <c r="F187" s="107"/>
      <c r="G187" s="107"/>
      <c r="H187" s="48"/>
      <c r="I187" s="48"/>
      <c r="J187" s="48"/>
      <c r="K187" s="48"/>
      <c r="R187" s="139"/>
    </row>
    <row r="188">
      <c r="B188" s="139"/>
      <c r="C188" s="139"/>
      <c r="D188" s="139"/>
      <c r="E188" s="18"/>
      <c r="F188" s="107"/>
      <c r="G188" s="107"/>
      <c r="H188" s="48"/>
      <c r="I188" s="48"/>
      <c r="J188" s="48"/>
      <c r="K188" s="48"/>
      <c r="R188" s="139"/>
    </row>
    <row r="189">
      <c r="B189" s="139"/>
      <c r="C189" s="139"/>
      <c r="D189" s="139"/>
      <c r="E189" s="18"/>
      <c r="F189" s="107"/>
      <c r="G189" s="107"/>
      <c r="H189" s="48"/>
      <c r="I189" s="48"/>
      <c r="J189" s="48"/>
      <c r="K189" s="48"/>
      <c r="R189" s="139"/>
    </row>
    <row r="190">
      <c r="B190" s="139"/>
      <c r="C190" s="139"/>
      <c r="D190" s="139"/>
      <c r="E190" s="18"/>
      <c r="F190" s="107"/>
      <c r="G190" s="107"/>
      <c r="H190" s="48"/>
      <c r="I190" s="48"/>
      <c r="J190" s="48"/>
      <c r="K190" s="48"/>
      <c r="R190" s="139"/>
    </row>
    <row r="191">
      <c r="B191" s="139"/>
      <c r="C191" s="139"/>
      <c r="D191" s="139"/>
      <c r="E191" s="18"/>
      <c r="F191" s="107"/>
      <c r="G191" s="107"/>
      <c r="H191" s="48"/>
      <c r="I191" s="48"/>
      <c r="J191" s="48"/>
      <c r="K191" s="48"/>
      <c r="R191" s="139"/>
    </row>
    <row r="192">
      <c r="B192" s="139"/>
      <c r="C192" s="139"/>
      <c r="D192" s="139"/>
      <c r="E192" s="18"/>
      <c r="F192" s="107"/>
      <c r="G192" s="107"/>
      <c r="H192" s="48"/>
      <c r="I192" s="48"/>
      <c r="J192" s="48"/>
      <c r="K192" s="48"/>
      <c r="R192" s="139"/>
    </row>
    <row r="193">
      <c r="B193" s="139"/>
      <c r="C193" s="139"/>
      <c r="D193" s="139"/>
      <c r="E193" s="18"/>
      <c r="F193" s="107"/>
      <c r="G193" s="107"/>
      <c r="H193" s="48"/>
      <c r="I193" s="48"/>
      <c r="J193" s="48"/>
      <c r="K193" s="48"/>
      <c r="R193" s="139"/>
    </row>
    <row r="194">
      <c r="B194" s="139"/>
      <c r="C194" s="139"/>
      <c r="D194" s="139"/>
      <c r="E194" s="18"/>
      <c r="F194" s="107"/>
      <c r="G194" s="107"/>
      <c r="H194" s="48"/>
      <c r="I194" s="48"/>
      <c r="J194" s="48"/>
      <c r="K194" s="48"/>
      <c r="R194" s="139"/>
    </row>
    <row r="195">
      <c r="B195" s="139"/>
      <c r="C195" s="139"/>
      <c r="D195" s="139"/>
      <c r="E195" s="18"/>
      <c r="F195" s="107"/>
      <c r="G195" s="107"/>
      <c r="H195" s="48"/>
      <c r="I195" s="48"/>
      <c r="J195" s="48"/>
      <c r="K195" s="48"/>
      <c r="R195" s="139"/>
    </row>
    <row r="196">
      <c r="B196" s="139"/>
      <c r="C196" s="139"/>
      <c r="D196" s="139"/>
      <c r="E196" s="18"/>
      <c r="F196" s="107"/>
      <c r="G196" s="107"/>
      <c r="H196" s="48"/>
      <c r="I196" s="48"/>
      <c r="J196" s="48"/>
      <c r="K196" s="48"/>
      <c r="R196" s="139"/>
    </row>
    <row r="197">
      <c r="B197" s="139"/>
      <c r="C197" s="139"/>
      <c r="D197" s="139"/>
      <c r="E197" s="18"/>
      <c r="F197" s="107"/>
      <c r="G197" s="107"/>
      <c r="H197" s="48"/>
      <c r="I197" s="48"/>
      <c r="J197" s="48"/>
      <c r="K197" s="48"/>
      <c r="R197" s="139"/>
    </row>
    <row r="198">
      <c r="B198" s="139"/>
      <c r="C198" s="139"/>
      <c r="D198" s="139"/>
      <c r="E198" s="18"/>
      <c r="F198" s="107"/>
      <c r="G198" s="107"/>
      <c r="H198" s="48"/>
      <c r="I198" s="48"/>
      <c r="J198" s="48"/>
      <c r="K198" s="48"/>
      <c r="R198" s="139"/>
    </row>
    <row r="199">
      <c r="B199" s="139"/>
      <c r="C199" s="139"/>
      <c r="D199" s="139"/>
      <c r="E199" s="18"/>
      <c r="F199" s="107"/>
      <c r="G199" s="107"/>
      <c r="H199" s="48"/>
      <c r="I199" s="48"/>
      <c r="J199" s="48"/>
      <c r="K199" s="48"/>
      <c r="R199" s="139"/>
    </row>
    <row r="200">
      <c r="B200" s="139"/>
      <c r="C200" s="139"/>
      <c r="D200" s="139"/>
      <c r="E200" s="18"/>
      <c r="F200" s="107"/>
      <c r="G200" s="107"/>
      <c r="H200" s="48"/>
      <c r="I200" s="48"/>
      <c r="J200" s="48"/>
      <c r="K200" s="48"/>
      <c r="R200" s="139"/>
    </row>
    <row r="201">
      <c r="B201" s="139"/>
      <c r="C201" s="139"/>
      <c r="D201" s="139"/>
      <c r="E201" s="18"/>
      <c r="F201" s="107"/>
      <c r="G201" s="107"/>
      <c r="H201" s="48"/>
      <c r="I201" s="48"/>
      <c r="J201" s="48"/>
      <c r="K201" s="48"/>
      <c r="R201" s="139"/>
    </row>
    <row r="202">
      <c r="B202" s="139"/>
      <c r="C202" s="139"/>
      <c r="D202" s="139"/>
      <c r="E202" s="18"/>
      <c r="F202" s="107"/>
      <c r="G202" s="107"/>
      <c r="H202" s="48"/>
      <c r="I202" s="48"/>
      <c r="J202" s="48"/>
      <c r="K202" s="48"/>
      <c r="R202" s="139"/>
    </row>
    <row r="203">
      <c r="B203" s="139"/>
      <c r="C203" s="139"/>
      <c r="D203" s="139"/>
      <c r="E203" s="18"/>
      <c r="F203" s="107"/>
      <c r="G203" s="107"/>
      <c r="H203" s="48"/>
      <c r="I203" s="48"/>
      <c r="J203" s="48"/>
      <c r="K203" s="48"/>
      <c r="R203" s="139"/>
    </row>
    <row r="204">
      <c r="B204" s="139"/>
      <c r="C204" s="139"/>
      <c r="D204" s="139"/>
      <c r="E204" s="18"/>
      <c r="F204" s="107"/>
      <c r="G204" s="107"/>
      <c r="H204" s="48"/>
      <c r="I204" s="48"/>
      <c r="J204" s="48"/>
      <c r="K204" s="48"/>
      <c r="R204" s="139"/>
    </row>
    <row r="205">
      <c r="B205" s="139"/>
      <c r="C205" s="139"/>
      <c r="D205" s="139"/>
      <c r="E205" s="18"/>
      <c r="F205" s="107"/>
      <c r="G205" s="107"/>
      <c r="H205" s="48"/>
      <c r="I205" s="48"/>
      <c r="J205" s="48"/>
      <c r="K205" s="48"/>
      <c r="R205" s="139"/>
    </row>
    <row r="206">
      <c r="B206" s="139"/>
      <c r="C206" s="139"/>
      <c r="D206" s="139"/>
      <c r="E206" s="18"/>
      <c r="F206" s="107"/>
      <c r="G206" s="107"/>
      <c r="H206" s="48"/>
      <c r="I206" s="48"/>
      <c r="J206" s="48"/>
      <c r="K206" s="48"/>
      <c r="R206" s="139"/>
    </row>
    <row r="207">
      <c r="B207" s="139"/>
      <c r="C207" s="139"/>
      <c r="D207" s="139"/>
      <c r="E207" s="18"/>
      <c r="F207" s="107"/>
      <c r="G207" s="107"/>
      <c r="H207" s="48"/>
      <c r="I207" s="48"/>
      <c r="J207" s="48"/>
      <c r="K207" s="48"/>
      <c r="R207" s="139"/>
    </row>
    <row r="208">
      <c r="B208" s="139"/>
      <c r="C208" s="139"/>
      <c r="D208" s="139"/>
      <c r="E208" s="18"/>
      <c r="F208" s="107"/>
      <c r="G208" s="107"/>
      <c r="H208" s="48"/>
      <c r="I208" s="48"/>
      <c r="J208" s="48"/>
      <c r="K208" s="48"/>
      <c r="R208" s="139"/>
    </row>
    <row r="209">
      <c r="B209" s="139"/>
      <c r="C209" s="139"/>
      <c r="D209" s="139"/>
      <c r="E209" s="18"/>
      <c r="F209" s="107"/>
      <c r="G209" s="107"/>
      <c r="H209" s="48"/>
      <c r="I209" s="48"/>
      <c r="J209" s="48"/>
      <c r="K209" s="48"/>
      <c r="R209" s="139"/>
    </row>
    <row r="210">
      <c r="B210" s="139"/>
      <c r="C210" s="139"/>
      <c r="D210" s="139"/>
      <c r="E210" s="18"/>
      <c r="F210" s="107"/>
      <c r="G210" s="107"/>
      <c r="H210" s="48"/>
      <c r="I210" s="48"/>
      <c r="J210" s="48"/>
      <c r="K210" s="48"/>
      <c r="R210" s="139"/>
    </row>
    <row r="211">
      <c r="B211" s="139"/>
      <c r="C211" s="139"/>
      <c r="D211" s="139"/>
      <c r="E211" s="18"/>
      <c r="F211" s="107"/>
      <c r="G211" s="107"/>
      <c r="H211" s="48"/>
      <c r="I211" s="48"/>
      <c r="J211" s="48"/>
      <c r="K211" s="48"/>
      <c r="R211" s="139"/>
    </row>
    <row r="212">
      <c r="B212" s="139"/>
      <c r="C212" s="139"/>
      <c r="D212" s="139"/>
      <c r="E212" s="18"/>
      <c r="F212" s="107"/>
      <c r="G212" s="107"/>
      <c r="H212" s="48"/>
      <c r="I212" s="48"/>
      <c r="J212" s="48"/>
      <c r="K212" s="48"/>
      <c r="R212" s="139"/>
    </row>
    <row r="213">
      <c r="B213" s="139"/>
      <c r="C213" s="139"/>
      <c r="D213" s="139"/>
      <c r="E213" s="18"/>
      <c r="F213" s="107"/>
      <c r="G213" s="107"/>
      <c r="H213" s="48"/>
      <c r="I213" s="48"/>
      <c r="J213" s="48"/>
      <c r="K213" s="48"/>
      <c r="R213" s="139"/>
    </row>
    <row r="214">
      <c r="B214" s="139"/>
      <c r="C214" s="139"/>
      <c r="D214" s="139"/>
      <c r="E214" s="18"/>
      <c r="F214" s="107"/>
      <c r="G214" s="107"/>
      <c r="H214" s="48"/>
      <c r="I214" s="48"/>
      <c r="J214" s="48"/>
      <c r="K214" s="48"/>
      <c r="R214" s="139"/>
    </row>
    <row r="215">
      <c r="B215" s="139"/>
      <c r="C215" s="139"/>
      <c r="D215" s="139"/>
      <c r="E215" s="18"/>
      <c r="F215" s="107"/>
      <c r="G215" s="107"/>
      <c r="H215" s="48"/>
      <c r="I215" s="48"/>
      <c r="J215" s="48"/>
      <c r="K215" s="48"/>
      <c r="R215" s="139"/>
    </row>
    <row r="216">
      <c r="B216" s="139"/>
      <c r="C216" s="139"/>
      <c r="D216" s="139"/>
      <c r="E216" s="18"/>
      <c r="F216" s="107"/>
      <c r="G216" s="107"/>
      <c r="H216" s="48"/>
      <c r="I216" s="48"/>
      <c r="J216" s="48"/>
      <c r="K216" s="48"/>
      <c r="R216" s="139"/>
    </row>
    <row r="217">
      <c r="B217" s="139"/>
      <c r="C217" s="139"/>
      <c r="D217" s="139"/>
      <c r="E217" s="18"/>
      <c r="F217" s="107"/>
      <c r="G217" s="107"/>
      <c r="H217" s="48"/>
      <c r="I217" s="48"/>
      <c r="J217" s="48"/>
      <c r="K217" s="48"/>
      <c r="R217" s="139"/>
    </row>
    <row r="218">
      <c r="B218" s="139"/>
      <c r="C218" s="139"/>
      <c r="D218" s="139"/>
      <c r="E218" s="18"/>
      <c r="F218" s="107"/>
      <c r="G218" s="107"/>
      <c r="H218" s="48"/>
      <c r="I218" s="48"/>
      <c r="J218" s="48"/>
      <c r="K218" s="48"/>
      <c r="R218" s="139"/>
    </row>
    <row r="219">
      <c r="B219" s="139"/>
      <c r="C219" s="139"/>
      <c r="D219" s="139"/>
      <c r="E219" s="18"/>
      <c r="F219" s="107"/>
      <c r="G219" s="107"/>
      <c r="H219" s="48"/>
      <c r="I219" s="48"/>
      <c r="J219" s="48"/>
      <c r="K219" s="48"/>
      <c r="R219" s="139"/>
    </row>
    <row r="220">
      <c r="B220" s="139"/>
      <c r="C220" s="139"/>
      <c r="D220" s="139"/>
      <c r="E220" s="18"/>
      <c r="F220" s="107"/>
      <c r="G220" s="107"/>
      <c r="H220" s="48"/>
      <c r="I220" s="48"/>
      <c r="J220" s="48"/>
      <c r="K220" s="48"/>
      <c r="R220" s="139"/>
    </row>
    <row r="221">
      <c r="B221" s="139"/>
      <c r="C221" s="139"/>
      <c r="D221" s="139"/>
      <c r="E221" s="18"/>
      <c r="F221" s="107"/>
      <c r="G221" s="107"/>
      <c r="H221" s="48"/>
      <c r="I221" s="48"/>
      <c r="J221" s="48"/>
      <c r="K221" s="48"/>
      <c r="R221" s="139"/>
    </row>
    <row r="222">
      <c r="B222" s="139"/>
      <c r="C222" s="139"/>
      <c r="D222" s="139"/>
      <c r="E222" s="18"/>
      <c r="F222" s="107"/>
      <c r="G222" s="107"/>
      <c r="H222" s="48"/>
      <c r="I222" s="48"/>
      <c r="J222" s="48"/>
      <c r="K222" s="48"/>
      <c r="R222" s="139"/>
    </row>
    <row r="223">
      <c r="B223" s="139"/>
      <c r="C223" s="139"/>
      <c r="D223" s="139"/>
      <c r="E223" s="18"/>
      <c r="F223" s="107"/>
      <c r="G223" s="107"/>
      <c r="H223" s="48"/>
      <c r="I223" s="48"/>
      <c r="J223" s="48"/>
      <c r="K223" s="48"/>
      <c r="R223" s="139"/>
    </row>
    <row r="224">
      <c r="B224" s="139"/>
      <c r="C224" s="139"/>
      <c r="D224" s="139"/>
      <c r="E224" s="18"/>
      <c r="F224" s="107"/>
      <c r="G224" s="107"/>
      <c r="H224" s="48"/>
      <c r="I224" s="48"/>
      <c r="J224" s="48"/>
      <c r="K224" s="48"/>
      <c r="R224" s="139"/>
    </row>
    <row r="225">
      <c r="B225" s="139"/>
      <c r="C225" s="139"/>
      <c r="D225" s="139"/>
      <c r="E225" s="18"/>
      <c r="F225" s="107"/>
      <c r="G225" s="107"/>
      <c r="H225" s="48"/>
      <c r="I225" s="48"/>
      <c r="J225" s="48"/>
      <c r="K225" s="48"/>
      <c r="R225" s="139"/>
    </row>
    <row r="226">
      <c r="B226" s="139"/>
      <c r="C226" s="139"/>
      <c r="D226" s="139"/>
      <c r="E226" s="18"/>
      <c r="F226" s="107"/>
      <c r="G226" s="107"/>
      <c r="H226" s="48"/>
      <c r="I226" s="48"/>
      <c r="J226" s="48"/>
      <c r="K226" s="48"/>
      <c r="R226" s="139"/>
    </row>
    <row r="227">
      <c r="B227" s="139"/>
      <c r="C227" s="139"/>
      <c r="D227" s="139"/>
      <c r="E227" s="18"/>
      <c r="F227" s="107"/>
      <c r="G227" s="107"/>
      <c r="H227" s="48"/>
      <c r="I227" s="48"/>
      <c r="J227" s="48"/>
      <c r="K227" s="48"/>
      <c r="R227" s="139"/>
    </row>
    <row r="228">
      <c r="B228" s="139"/>
      <c r="C228" s="139"/>
      <c r="D228" s="139"/>
      <c r="E228" s="18"/>
      <c r="F228" s="107"/>
      <c r="G228" s="107"/>
      <c r="H228" s="48"/>
      <c r="I228" s="48"/>
      <c r="J228" s="48"/>
      <c r="K228" s="48"/>
      <c r="R228" s="139"/>
    </row>
    <row r="229">
      <c r="B229" s="139"/>
      <c r="C229" s="139"/>
      <c r="D229" s="139"/>
      <c r="E229" s="18"/>
      <c r="F229" s="107"/>
      <c r="G229" s="107"/>
      <c r="H229" s="48"/>
      <c r="I229" s="48"/>
      <c r="J229" s="48"/>
      <c r="K229" s="48"/>
      <c r="R229" s="139"/>
    </row>
    <row r="230">
      <c r="B230" s="139"/>
      <c r="C230" s="139"/>
      <c r="D230" s="139"/>
      <c r="E230" s="18"/>
      <c r="F230" s="107"/>
      <c r="G230" s="107"/>
      <c r="H230" s="48"/>
      <c r="I230" s="48"/>
      <c r="J230" s="48"/>
      <c r="K230" s="48"/>
      <c r="R230" s="139"/>
    </row>
    <row r="231">
      <c r="B231" s="139"/>
      <c r="C231" s="139"/>
      <c r="D231" s="139"/>
      <c r="E231" s="18"/>
      <c r="F231" s="107"/>
      <c r="G231" s="107"/>
      <c r="H231" s="48"/>
      <c r="I231" s="48"/>
      <c r="J231" s="48"/>
      <c r="K231" s="48"/>
      <c r="R231" s="139"/>
    </row>
    <row r="232">
      <c r="B232" s="139"/>
      <c r="C232" s="139"/>
      <c r="D232" s="139"/>
      <c r="E232" s="18"/>
      <c r="F232" s="107"/>
      <c r="G232" s="107"/>
      <c r="H232" s="48"/>
      <c r="I232" s="48"/>
      <c r="J232" s="48"/>
      <c r="K232" s="48"/>
      <c r="R232" s="139"/>
    </row>
    <row r="233">
      <c r="B233" s="139"/>
      <c r="C233" s="139"/>
      <c r="D233" s="139"/>
      <c r="E233" s="18"/>
      <c r="F233" s="107"/>
      <c r="G233" s="107"/>
      <c r="H233" s="48"/>
      <c r="I233" s="48"/>
      <c r="J233" s="48"/>
      <c r="K233" s="48"/>
      <c r="R233" s="139"/>
    </row>
    <row r="234">
      <c r="B234" s="139"/>
      <c r="C234" s="139"/>
      <c r="D234" s="139"/>
      <c r="E234" s="18"/>
      <c r="F234" s="107"/>
      <c r="G234" s="107"/>
      <c r="H234" s="48"/>
      <c r="I234" s="48"/>
      <c r="J234" s="48"/>
      <c r="K234" s="48"/>
      <c r="R234" s="139"/>
    </row>
    <row r="235">
      <c r="B235" s="139"/>
      <c r="C235" s="139"/>
      <c r="D235" s="139"/>
      <c r="E235" s="18"/>
      <c r="F235" s="107"/>
      <c r="G235" s="107"/>
      <c r="H235" s="48"/>
      <c r="I235" s="48"/>
      <c r="J235" s="48"/>
      <c r="K235" s="48"/>
      <c r="R235" s="139"/>
    </row>
    <row r="236">
      <c r="B236" s="139"/>
      <c r="C236" s="139"/>
      <c r="D236" s="139"/>
      <c r="E236" s="18"/>
      <c r="F236" s="107"/>
      <c r="G236" s="107"/>
      <c r="H236" s="48"/>
      <c r="I236" s="48"/>
      <c r="J236" s="48"/>
      <c r="K236" s="48"/>
      <c r="R236" s="139"/>
    </row>
    <row r="237">
      <c r="B237" s="139"/>
      <c r="C237" s="139"/>
      <c r="D237" s="139"/>
      <c r="E237" s="18"/>
      <c r="F237" s="107"/>
      <c r="G237" s="107"/>
      <c r="H237" s="48"/>
      <c r="I237" s="48"/>
      <c r="J237" s="48"/>
      <c r="K237" s="48"/>
      <c r="R237" s="139"/>
    </row>
    <row r="238">
      <c r="B238" s="139"/>
      <c r="C238" s="139"/>
      <c r="D238" s="139"/>
      <c r="E238" s="18"/>
      <c r="F238" s="107"/>
      <c r="G238" s="107"/>
      <c r="H238" s="48"/>
      <c r="I238" s="48"/>
      <c r="J238" s="48"/>
      <c r="K238" s="48"/>
      <c r="R238" s="139"/>
    </row>
    <row r="239">
      <c r="B239" s="139"/>
      <c r="C239" s="139"/>
      <c r="D239" s="139"/>
      <c r="E239" s="18"/>
      <c r="F239" s="107"/>
      <c r="G239" s="107"/>
      <c r="H239" s="48"/>
      <c r="I239" s="48"/>
      <c r="J239" s="48"/>
      <c r="K239" s="48"/>
      <c r="R239" s="139"/>
    </row>
    <row r="240">
      <c r="B240" s="139"/>
      <c r="C240" s="139"/>
      <c r="D240" s="139"/>
      <c r="E240" s="18"/>
      <c r="F240" s="107"/>
      <c r="G240" s="107"/>
      <c r="H240" s="48"/>
      <c r="I240" s="48"/>
      <c r="J240" s="48"/>
      <c r="K240" s="48"/>
      <c r="R240" s="139"/>
    </row>
    <row r="241">
      <c r="B241" s="139"/>
      <c r="C241" s="139"/>
      <c r="D241" s="139"/>
      <c r="E241" s="18"/>
      <c r="F241" s="107"/>
      <c r="G241" s="107"/>
      <c r="H241" s="48"/>
      <c r="I241" s="48"/>
      <c r="J241" s="48"/>
      <c r="K241" s="48"/>
      <c r="R241" s="139"/>
    </row>
    <row r="242">
      <c r="B242" s="139"/>
      <c r="C242" s="139"/>
      <c r="D242" s="139"/>
      <c r="E242" s="18"/>
      <c r="F242" s="107"/>
      <c r="G242" s="107"/>
      <c r="H242" s="48"/>
      <c r="I242" s="48"/>
      <c r="J242" s="48"/>
      <c r="K242" s="48"/>
      <c r="R242" s="139"/>
    </row>
    <row r="243">
      <c r="B243" s="139"/>
      <c r="C243" s="139"/>
      <c r="D243" s="139"/>
      <c r="E243" s="18"/>
      <c r="F243" s="107"/>
      <c r="G243" s="107"/>
      <c r="H243" s="48"/>
      <c r="I243" s="48"/>
      <c r="J243" s="48"/>
      <c r="K243" s="48"/>
      <c r="R243" s="139"/>
    </row>
    <row r="244">
      <c r="B244" s="139"/>
      <c r="C244" s="139"/>
      <c r="D244" s="139"/>
      <c r="E244" s="18"/>
      <c r="F244" s="107"/>
      <c r="G244" s="107"/>
      <c r="H244" s="48"/>
      <c r="I244" s="48"/>
      <c r="J244" s="48"/>
      <c r="K244" s="48"/>
      <c r="R244" s="139"/>
    </row>
    <row r="245">
      <c r="B245" s="139"/>
      <c r="C245" s="139"/>
      <c r="D245" s="139"/>
      <c r="E245" s="18"/>
      <c r="F245" s="107"/>
      <c r="G245" s="107"/>
      <c r="H245" s="48"/>
      <c r="I245" s="48"/>
      <c r="J245" s="48"/>
      <c r="K245" s="48"/>
      <c r="R245" s="139"/>
    </row>
    <row r="246">
      <c r="B246" s="139"/>
      <c r="C246" s="139"/>
      <c r="D246" s="139"/>
      <c r="E246" s="18"/>
      <c r="F246" s="107"/>
      <c r="G246" s="107"/>
      <c r="H246" s="48"/>
      <c r="I246" s="48"/>
      <c r="J246" s="48"/>
      <c r="K246" s="48"/>
      <c r="R246" s="139"/>
    </row>
    <row r="247">
      <c r="B247" s="139"/>
      <c r="C247" s="139"/>
      <c r="D247" s="139"/>
      <c r="E247" s="18"/>
      <c r="F247" s="107"/>
      <c r="G247" s="107"/>
      <c r="H247" s="48"/>
      <c r="I247" s="48"/>
      <c r="J247" s="48"/>
      <c r="K247" s="48"/>
      <c r="R247" s="139"/>
    </row>
    <row r="248">
      <c r="B248" s="139"/>
      <c r="C248" s="139"/>
      <c r="D248" s="139"/>
      <c r="E248" s="18"/>
      <c r="F248" s="107"/>
      <c r="G248" s="107"/>
      <c r="H248" s="48"/>
      <c r="I248" s="48"/>
      <c r="J248" s="48"/>
      <c r="K248" s="48"/>
      <c r="R248" s="139"/>
    </row>
    <row r="249">
      <c r="B249" s="139"/>
      <c r="C249" s="139"/>
      <c r="D249" s="139"/>
      <c r="E249" s="18"/>
      <c r="F249" s="107"/>
      <c r="G249" s="107"/>
      <c r="H249" s="48"/>
      <c r="I249" s="48"/>
      <c r="J249" s="48"/>
      <c r="K249" s="48"/>
      <c r="R249" s="139"/>
    </row>
    <row r="250">
      <c r="B250" s="139"/>
      <c r="C250" s="139"/>
      <c r="D250" s="139"/>
      <c r="E250" s="18"/>
      <c r="F250" s="107"/>
      <c r="G250" s="107"/>
      <c r="H250" s="48"/>
      <c r="I250" s="48"/>
      <c r="J250" s="48"/>
      <c r="K250" s="48"/>
      <c r="R250" s="139"/>
    </row>
    <row r="251">
      <c r="B251" s="139"/>
      <c r="C251" s="139"/>
      <c r="D251" s="139"/>
      <c r="E251" s="18"/>
      <c r="F251" s="107"/>
      <c r="G251" s="107"/>
      <c r="H251" s="48"/>
      <c r="I251" s="48"/>
      <c r="J251" s="48"/>
      <c r="K251" s="48"/>
      <c r="R251" s="139"/>
    </row>
    <row r="252">
      <c r="B252" s="139"/>
      <c r="C252" s="139"/>
      <c r="D252" s="139"/>
      <c r="E252" s="18"/>
      <c r="F252" s="107"/>
      <c r="G252" s="107"/>
      <c r="H252" s="48"/>
      <c r="I252" s="48"/>
      <c r="J252" s="48"/>
      <c r="K252" s="48"/>
      <c r="R252" s="139"/>
    </row>
    <row r="253">
      <c r="B253" s="139"/>
      <c r="C253" s="139"/>
      <c r="D253" s="139"/>
      <c r="E253" s="18"/>
      <c r="F253" s="107"/>
      <c r="G253" s="107"/>
      <c r="H253" s="48"/>
      <c r="I253" s="48"/>
      <c r="J253" s="48"/>
      <c r="K253" s="48"/>
      <c r="R253" s="139"/>
    </row>
    <row r="254">
      <c r="B254" s="139"/>
      <c r="C254" s="139"/>
      <c r="D254" s="139"/>
      <c r="E254" s="18"/>
      <c r="F254" s="107"/>
      <c r="G254" s="107"/>
      <c r="H254" s="48"/>
      <c r="I254" s="48"/>
      <c r="J254" s="48"/>
      <c r="K254" s="48"/>
      <c r="R254" s="139"/>
    </row>
    <row r="255">
      <c r="B255" s="139"/>
      <c r="C255" s="139"/>
      <c r="D255" s="139"/>
      <c r="E255" s="18"/>
      <c r="F255" s="107"/>
      <c r="G255" s="107"/>
      <c r="H255" s="48"/>
      <c r="I255" s="48"/>
      <c r="J255" s="48"/>
      <c r="K255" s="48"/>
      <c r="R255" s="139"/>
    </row>
    <row r="256">
      <c r="B256" s="139"/>
      <c r="C256" s="139"/>
      <c r="D256" s="139"/>
      <c r="E256" s="18"/>
      <c r="F256" s="107"/>
      <c r="G256" s="107"/>
      <c r="H256" s="48"/>
      <c r="I256" s="48"/>
      <c r="J256" s="48"/>
      <c r="K256" s="48"/>
      <c r="R256" s="139"/>
    </row>
    <row r="257">
      <c r="B257" s="139"/>
      <c r="C257" s="139"/>
      <c r="D257" s="139"/>
      <c r="E257" s="18"/>
      <c r="F257" s="107"/>
      <c r="G257" s="107"/>
      <c r="H257" s="48"/>
      <c r="I257" s="48"/>
      <c r="J257" s="48"/>
      <c r="K257" s="48"/>
      <c r="R257" s="139"/>
    </row>
    <row r="258">
      <c r="B258" s="139"/>
      <c r="C258" s="139"/>
      <c r="D258" s="139"/>
      <c r="E258" s="18"/>
      <c r="F258" s="107"/>
      <c r="G258" s="107"/>
      <c r="H258" s="48"/>
      <c r="I258" s="48"/>
      <c r="J258" s="48"/>
      <c r="K258" s="48"/>
      <c r="R258" s="139"/>
    </row>
    <row r="259">
      <c r="B259" s="139"/>
      <c r="C259" s="139"/>
      <c r="D259" s="139"/>
      <c r="E259" s="18"/>
      <c r="F259" s="107"/>
      <c r="G259" s="107"/>
      <c r="H259" s="48"/>
      <c r="I259" s="48"/>
      <c r="J259" s="48"/>
      <c r="K259" s="48"/>
      <c r="R259" s="139"/>
    </row>
    <row r="260">
      <c r="B260" s="139"/>
      <c r="C260" s="139"/>
      <c r="D260" s="139"/>
      <c r="E260" s="18"/>
      <c r="F260" s="107"/>
      <c r="G260" s="107"/>
      <c r="H260" s="48"/>
      <c r="I260" s="48"/>
      <c r="J260" s="48"/>
      <c r="K260" s="48"/>
      <c r="R260" s="139"/>
    </row>
    <row r="261">
      <c r="B261" s="139"/>
      <c r="C261" s="139"/>
      <c r="D261" s="139"/>
      <c r="E261" s="18"/>
      <c r="F261" s="107"/>
      <c r="G261" s="107"/>
      <c r="H261" s="48"/>
      <c r="I261" s="48"/>
      <c r="J261" s="48"/>
      <c r="K261" s="48"/>
      <c r="R261" s="139"/>
    </row>
    <row r="262">
      <c r="B262" s="139"/>
      <c r="C262" s="139"/>
      <c r="D262" s="139"/>
      <c r="E262" s="18"/>
      <c r="F262" s="107"/>
      <c r="G262" s="107"/>
      <c r="H262" s="48"/>
      <c r="I262" s="48"/>
      <c r="J262" s="48"/>
      <c r="K262" s="48"/>
      <c r="R262" s="139"/>
    </row>
    <row r="263">
      <c r="B263" s="139"/>
      <c r="C263" s="139"/>
      <c r="D263" s="139"/>
      <c r="E263" s="18"/>
      <c r="F263" s="107"/>
      <c r="G263" s="107"/>
      <c r="H263" s="48"/>
      <c r="I263" s="48"/>
      <c r="J263" s="48"/>
      <c r="K263" s="48"/>
      <c r="R263" s="139"/>
    </row>
    <row r="264">
      <c r="B264" s="139"/>
      <c r="C264" s="139"/>
      <c r="D264" s="139"/>
      <c r="E264" s="18"/>
      <c r="F264" s="107"/>
      <c r="G264" s="107"/>
      <c r="H264" s="48"/>
      <c r="I264" s="48"/>
      <c r="J264" s="48"/>
      <c r="K264" s="48"/>
      <c r="R264" s="139"/>
    </row>
    <row r="265">
      <c r="B265" s="139"/>
      <c r="C265" s="139"/>
      <c r="D265" s="139"/>
      <c r="E265" s="18"/>
      <c r="F265" s="107"/>
      <c r="G265" s="107"/>
      <c r="H265" s="48"/>
      <c r="I265" s="48"/>
      <c r="J265" s="48"/>
      <c r="K265" s="48"/>
      <c r="R265" s="139"/>
    </row>
    <row r="266">
      <c r="B266" s="139"/>
      <c r="C266" s="139"/>
      <c r="D266" s="139"/>
      <c r="E266" s="18"/>
      <c r="F266" s="107"/>
      <c r="G266" s="107"/>
      <c r="H266" s="48"/>
      <c r="I266" s="48"/>
      <c r="J266" s="48"/>
      <c r="K266" s="48"/>
      <c r="R266" s="139"/>
    </row>
    <row r="267">
      <c r="B267" s="139"/>
      <c r="C267" s="139"/>
      <c r="D267" s="139"/>
      <c r="E267" s="18"/>
      <c r="F267" s="107"/>
      <c r="G267" s="107"/>
      <c r="H267" s="48"/>
      <c r="I267" s="48"/>
      <c r="J267" s="48"/>
      <c r="K267" s="48"/>
      <c r="R267" s="139"/>
    </row>
    <row r="268">
      <c r="B268" s="139"/>
      <c r="C268" s="139"/>
      <c r="D268" s="139"/>
      <c r="E268" s="18"/>
      <c r="F268" s="107"/>
      <c r="G268" s="107"/>
      <c r="H268" s="48"/>
      <c r="I268" s="48"/>
      <c r="J268" s="48"/>
      <c r="K268" s="48"/>
      <c r="R268" s="139"/>
    </row>
    <row r="269">
      <c r="B269" s="139"/>
      <c r="C269" s="139"/>
      <c r="D269" s="139"/>
      <c r="E269" s="18"/>
      <c r="F269" s="107"/>
      <c r="G269" s="107"/>
      <c r="H269" s="48"/>
      <c r="I269" s="48"/>
      <c r="J269" s="48"/>
      <c r="K269" s="48"/>
      <c r="R269" s="139"/>
    </row>
    <row r="270">
      <c r="B270" s="139"/>
      <c r="C270" s="139"/>
      <c r="D270" s="139"/>
      <c r="E270" s="18"/>
      <c r="F270" s="107"/>
      <c r="G270" s="107"/>
      <c r="H270" s="48"/>
      <c r="I270" s="48"/>
      <c r="J270" s="48"/>
      <c r="K270" s="48"/>
      <c r="R270" s="139"/>
    </row>
    <row r="271">
      <c r="B271" s="139"/>
      <c r="C271" s="139"/>
      <c r="D271" s="139"/>
      <c r="E271" s="18"/>
      <c r="F271" s="107"/>
      <c r="G271" s="107"/>
      <c r="H271" s="48"/>
      <c r="I271" s="48"/>
      <c r="J271" s="48"/>
      <c r="K271" s="48"/>
      <c r="R271" s="139"/>
    </row>
    <row r="272">
      <c r="B272" s="139"/>
      <c r="C272" s="139"/>
      <c r="D272" s="139"/>
      <c r="E272" s="18"/>
      <c r="F272" s="107"/>
      <c r="G272" s="107"/>
      <c r="H272" s="48"/>
      <c r="I272" s="48"/>
      <c r="J272" s="48"/>
      <c r="K272" s="48"/>
      <c r="R272" s="139"/>
    </row>
    <row r="273">
      <c r="B273" s="139"/>
      <c r="C273" s="139"/>
      <c r="D273" s="139"/>
      <c r="E273" s="18"/>
      <c r="F273" s="107"/>
      <c r="G273" s="107"/>
      <c r="H273" s="48"/>
      <c r="I273" s="48"/>
      <c r="J273" s="48"/>
      <c r="K273" s="48"/>
      <c r="R273" s="139"/>
    </row>
    <row r="274">
      <c r="B274" s="139"/>
      <c r="C274" s="139"/>
      <c r="D274" s="139"/>
      <c r="E274" s="18"/>
      <c r="F274" s="107"/>
      <c r="G274" s="107"/>
      <c r="H274" s="48"/>
      <c r="I274" s="48"/>
      <c r="J274" s="48"/>
      <c r="K274" s="48"/>
      <c r="R274" s="139"/>
    </row>
    <row r="275">
      <c r="B275" s="139"/>
      <c r="C275" s="139"/>
      <c r="D275" s="139"/>
      <c r="E275" s="18"/>
      <c r="F275" s="107"/>
      <c r="G275" s="107"/>
      <c r="H275" s="48"/>
      <c r="I275" s="48"/>
      <c r="J275" s="48"/>
      <c r="K275" s="48"/>
      <c r="R275" s="139"/>
    </row>
    <row r="276">
      <c r="B276" s="139"/>
      <c r="C276" s="139"/>
      <c r="D276" s="139"/>
      <c r="E276" s="18"/>
      <c r="F276" s="107"/>
      <c r="G276" s="107"/>
      <c r="H276" s="48"/>
      <c r="I276" s="48"/>
      <c r="J276" s="48"/>
      <c r="K276" s="48"/>
      <c r="R276" s="139"/>
    </row>
    <row r="277">
      <c r="B277" s="139"/>
      <c r="C277" s="139"/>
      <c r="D277" s="139"/>
      <c r="E277" s="18"/>
      <c r="F277" s="107"/>
      <c r="G277" s="107"/>
      <c r="H277" s="48"/>
      <c r="I277" s="48"/>
      <c r="J277" s="48"/>
      <c r="K277" s="48"/>
      <c r="R277" s="139"/>
    </row>
    <row r="278">
      <c r="B278" s="139"/>
      <c r="C278" s="139"/>
      <c r="D278" s="139"/>
      <c r="E278" s="18"/>
      <c r="F278" s="107"/>
      <c r="G278" s="107"/>
      <c r="H278" s="48"/>
      <c r="I278" s="48"/>
      <c r="J278" s="48"/>
      <c r="K278" s="48"/>
      <c r="R278" s="139"/>
    </row>
    <row r="279">
      <c r="B279" s="139"/>
      <c r="C279" s="139"/>
      <c r="D279" s="139"/>
      <c r="E279" s="18"/>
      <c r="F279" s="107"/>
      <c r="G279" s="107"/>
      <c r="H279" s="48"/>
      <c r="I279" s="48"/>
      <c r="J279" s="48"/>
      <c r="K279" s="48"/>
      <c r="R279" s="139"/>
    </row>
    <row r="280">
      <c r="B280" s="139"/>
      <c r="C280" s="139"/>
      <c r="D280" s="139"/>
      <c r="E280" s="18"/>
      <c r="F280" s="107"/>
      <c r="G280" s="107"/>
      <c r="H280" s="48"/>
      <c r="I280" s="48"/>
      <c r="J280" s="48"/>
      <c r="K280" s="48"/>
      <c r="R280" s="139"/>
    </row>
    <row r="281">
      <c r="B281" s="139"/>
      <c r="C281" s="139"/>
      <c r="D281" s="139"/>
      <c r="E281" s="18"/>
      <c r="F281" s="107"/>
      <c r="G281" s="107"/>
      <c r="H281" s="48"/>
      <c r="I281" s="48"/>
      <c r="J281" s="48"/>
      <c r="K281" s="48"/>
      <c r="R281" s="139"/>
    </row>
    <row r="282">
      <c r="B282" s="139"/>
      <c r="C282" s="139"/>
      <c r="D282" s="139"/>
      <c r="E282" s="18"/>
      <c r="F282" s="107"/>
      <c r="G282" s="107"/>
      <c r="H282" s="48"/>
      <c r="I282" s="48"/>
      <c r="J282" s="48"/>
      <c r="K282" s="48"/>
      <c r="R282" s="139"/>
    </row>
    <row r="283">
      <c r="B283" s="139"/>
      <c r="C283" s="139"/>
      <c r="D283" s="139"/>
      <c r="E283" s="18"/>
      <c r="F283" s="107"/>
      <c r="G283" s="107"/>
      <c r="H283" s="48"/>
      <c r="I283" s="48"/>
      <c r="J283" s="48"/>
      <c r="K283" s="48"/>
      <c r="R283" s="139"/>
    </row>
    <row r="284">
      <c r="B284" s="139"/>
      <c r="C284" s="139"/>
      <c r="D284" s="139"/>
      <c r="E284" s="18"/>
      <c r="F284" s="107"/>
      <c r="G284" s="107"/>
      <c r="H284" s="48"/>
      <c r="I284" s="48"/>
      <c r="J284" s="48"/>
      <c r="K284" s="48"/>
      <c r="R284" s="139"/>
    </row>
    <row r="285">
      <c r="B285" s="139"/>
      <c r="C285" s="139"/>
      <c r="D285" s="139"/>
      <c r="E285" s="18"/>
      <c r="F285" s="107"/>
      <c r="G285" s="107"/>
      <c r="H285" s="48"/>
      <c r="I285" s="48"/>
      <c r="J285" s="48"/>
      <c r="K285" s="48"/>
      <c r="R285" s="139"/>
    </row>
    <row r="286">
      <c r="B286" s="139"/>
      <c r="C286" s="139"/>
      <c r="D286" s="139"/>
      <c r="E286" s="18"/>
      <c r="F286" s="107"/>
      <c r="G286" s="107"/>
      <c r="H286" s="48"/>
      <c r="I286" s="48"/>
      <c r="J286" s="48"/>
      <c r="K286" s="48"/>
      <c r="R286" s="139"/>
    </row>
    <row r="287">
      <c r="B287" s="139"/>
      <c r="C287" s="139"/>
      <c r="D287" s="139"/>
      <c r="E287" s="18"/>
      <c r="F287" s="107"/>
      <c r="G287" s="107"/>
      <c r="H287" s="48"/>
      <c r="I287" s="48"/>
      <c r="J287" s="48"/>
      <c r="K287" s="48"/>
      <c r="R287" s="139"/>
    </row>
    <row r="288">
      <c r="B288" s="139"/>
      <c r="C288" s="139"/>
      <c r="D288" s="139"/>
      <c r="E288" s="18"/>
      <c r="F288" s="107"/>
      <c r="G288" s="107"/>
      <c r="H288" s="48"/>
      <c r="I288" s="48"/>
      <c r="J288" s="48"/>
      <c r="K288" s="48"/>
      <c r="R288" s="139"/>
    </row>
    <row r="289">
      <c r="B289" s="139"/>
      <c r="C289" s="139"/>
      <c r="D289" s="139"/>
      <c r="E289" s="18"/>
      <c r="F289" s="107"/>
      <c r="G289" s="107"/>
      <c r="H289" s="48"/>
      <c r="I289" s="48"/>
      <c r="J289" s="48"/>
      <c r="K289" s="48"/>
      <c r="R289" s="139"/>
    </row>
    <row r="290">
      <c r="B290" s="139"/>
      <c r="C290" s="139"/>
      <c r="D290" s="139"/>
      <c r="E290" s="18"/>
      <c r="F290" s="107"/>
      <c r="G290" s="107"/>
      <c r="H290" s="48"/>
      <c r="I290" s="48"/>
      <c r="J290" s="48"/>
      <c r="K290" s="48"/>
      <c r="R290" s="139"/>
    </row>
    <row r="291">
      <c r="B291" s="139"/>
      <c r="C291" s="139"/>
      <c r="D291" s="139"/>
      <c r="E291" s="18"/>
      <c r="F291" s="107"/>
      <c r="G291" s="107"/>
      <c r="H291" s="48"/>
      <c r="I291" s="48"/>
      <c r="J291" s="48"/>
      <c r="K291" s="48"/>
      <c r="R291" s="139"/>
    </row>
    <row r="292">
      <c r="B292" s="139"/>
      <c r="C292" s="139"/>
      <c r="D292" s="139"/>
      <c r="E292" s="18"/>
      <c r="F292" s="107"/>
      <c r="G292" s="107"/>
      <c r="H292" s="48"/>
      <c r="I292" s="48"/>
      <c r="J292" s="48"/>
      <c r="K292" s="48"/>
      <c r="R292" s="139"/>
    </row>
    <row r="293">
      <c r="B293" s="139"/>
      <c r="C293" s="139"/>
      <c r="D293" s="139"/>
      <c r="E293" s="18"/>
      <c r="F293" s="107"/>
      <c r="G293" s="107"/>
      <c r="H293" s="48"/>
      <c r="I293" s="48"/>
      <c r="J293" s="48"/>
      <c r="K293" s="48"/>
      <c r="R293" s="139"/>
    </row>
    <row r="294">
      <c r="B294" s="139"/>
      <c r="C294" s="139"/>
      <c r="D294" s="139"/>
      <c r="E294" s="18"/>
      <c r="F294" s="107"/>
      <c r="G294" s="107"/>
      <c r="H294" s="48"/>
      <c r="I294" s="48"/>
      <c r="J294" s="48"/>
      <c r="K294" s="48"/>
      <c r="R294" s="139"/>
    </row>
    <row r="295">
      <c r="B295" s="139"/>
      <c r="C295" s="139"/>
      <c r="D295" s="139"/>
      <c r="E295" s="18"/>
      <c r="F295" s="107"/>
      <c r="G295" s="107"/>
      <c r="H295" s="48"/>
      <c r="I295" s="48"/>
      <c r="J295" s="48"/>
      <c r="K295" s="48"/>
      <c r="R295" s="139"/>
    </row>
    <row r="296">
      <c r="B296" s="139"/>
      <c r="C296" s="139"/>
      <c r="D296" s="139"/>
      <c r="E296" s="18"/>
      <c r="F296" s="107"/>
      <c r="G296" s="107"/>
      <c r="H296" s="48"/>
      <c r="I296" s="48"/>
      <c r="J296" s="48"/>
      <c r="K296" s="48"/>
      <c r="R296" s="139"/>
    </row>
    <row r="297">
      <c r="B297" s="139"/>
      <c r="C297" s="139"/>
      <c r="D297" s="139"/>
      <c r="E297" s="18"/>
      <c r="F297" s="107"/>
      <c r="G297" s="107"/>
      <c r="H297" s="48"/>
      <c r="I297" s="48"/>
      <c r="J297" s="48"/>
      <c r="K297" s="48"/>
      <c r="R297" s="139"/>
    </row>
    <row r="298">
      <c r="B298" s="139"/>
      <c r="C298" s="139"/>
      <c r="D298" s="139"/>
      <c r="E298" s="18"/>
      <c r="F298" s="107"/>
      <c r="G298" s="107"/>
      <c r="H298" s="48"/>
      <c r="I298" s="48"/>
      <c r="J298" s="48"/>
      <c r="K298" s="48"/>
      <c r="R298" s="139"/>
    </row>
    <row r="299">
      <c r="B299" s="139"/>
      <c r="C299" s="139"/>
      <c r="D299" s="139"/>
      <c r="E299" s="18"/>
      <c r="F299" s="107"/>
      <c r="G299" s="107"/>
      <c r="H299" s="48"/>
      <c r="I299" s="48"/>
      <c r="J299" s="48"/>
      <c r="K299" s="48"/>
      <c r="R299" s="139"/>
    </row>
    <row r="300">
      <c r="B300" s="139"/>
      <c r="C300" s="139"/>
      <c r="D300" s="139"/>
      <c r="E300" s="18"/>
      <c r="F300" s="107"/>
      <c r="G300" s="107"/>
      <c r="H300" s="48"/>
      <c r="I300" s="48"/>
      <c r="J300" s="48"/>
      <c r="K300" s="48"/>
      <c r="R300" s="139"/>
    </row>
    <row r="301">
      <c r="B301" s="139"/>
      <c r="C301" s="139"/>
      <c r="D301" s="139"/>
      <c r="E301" s="18"/>
      <c r="F301" s="107"/>
      <c r="G301" s="107"/>
      <c r="H301" s="48"/>
      <c r="I301" s="48"/>
      <c r="J301" s="48"/>
      <c r="K301" s="48"/>
      <c r="R301" s="139"/>
    </row>
    <row r="302">
      <c r="B302" s="139"/>
      <c r="C302" s="139"/>
      <c r="D302" s="139"/>
      <c r="E302" s="18"/>
      <c r="F302" s="107"/>
      <c r="G302" s="107"/>
      <c r="H302" s="48"/>
      <c r="I302" s="48"/>
      <c r="J302" s="48"/>
      <c r="K302" s="48"/>
      <c r="R302" s="139"/>
    </row>
    <row r="303">
      <c r="B303" s="139"/>
      <c r="C303" s="139"/>
      <c r="D303" s="139"/>
      <c r="E303" s="18"/>
      <c r="F303" s="107"/>
      <c r="G303" s="107"/>
      <c r="H303" s="48"/>
      <c r="I303" s="48"/>
      <c r="J303" s="48"/>
      <c r="K303" s="48"/>
      <c r="R303" s="139"/>
    </row>
    <row r="304">
      <c r="B304" s="139"/>
      <c r="C304" s="139"/>
      <c r="D304" s="139"/>
      <c r="E304" s="18"/>
      <c r="F304" s="107"/>
      <c r="G304" s="107"/>
      <c r="H304" s="48"/>
      <c r="I304" s="48"/>
      <c r="J304" s="48"/>
      <c r="K304" s="48"/>
      <c r="R304" s="139"/>
    </row>
    <row r="305">
      <c r="B305" s="139"/>
      <c r="C305" s="139"/>
      <c r="D305" s="139"/>
      <c r="E305" s="18"/>
      <c r="F305" s="107"/>
      <c r="G305" s="107"/>
      <c r="H305" s="48"/>
      <c r="I305" s="48"/>
      <c r="J305" s="48"/>
      <c r="K305" s="48"/>
      <c r="R305" s="139"/>
    </row>
    <row r="306">
      <c r="B306" s="139"/>
      <c r="C306" s="139"/>
      <c r="D306" s="139"/>
      <c r="E306" s="18"/>
      <c r="F306" s="107"/>
      <c r="G306" s="107"/>
      <c r="H306" s="48"/>
      <c r="I306" s="48"/>
      <c r="J306" s="48"/>
      <c r="K306" s="48"/>
      <c r="R306" s="139"/>
    </row>
    <row r="307">
      <c r="B307" s="139"/>
      <c r="C307" s="139"/>
      <c r="D307" s="139"/>
      <c r="E307" s="18"/>
      <c r="F307" s="107"/>
      <c r="G307" s="107"/>
      <c r="H307" s="48"/>
      <c r="I307" s="48"/>
      <c r="J307" s="48"/>
      <c r="K307" s="48"/>
      <c r="R307" s="139"/>
    </row>
    <row r="308">
      <c r="B308" s="139"/>
      <c r="C308" s="139"/>
      <c r="D308" s="139"/>
      <c r="E308" s="18"/>
      <c r="F308" s="107"/>
      <c r="G308" s="107"/>
      <c r="H308" s="48"/>
      <c r="I308" s="48"/>
      <c r="J308" s="48"/>
      <c r="K308" s="48"/>
      <c r="R308" s="139"/>
    </row>
    <row r="309">
      <c r="B309" s="139"/>
      <c r="C309" s="139"/>
      <c r="D309" s="139"/>
      <c r="E309" s="18"/>
      <c r="F309" s="107"/>
      <c r="G309" s="107"/>
      <c r="H309" s="48"/>
      <c r="I309" s="48"/>
      <c r="J309" s="48"/>
      <c r="K309" s="48"/>
      <c r="R309" s="139"/>
    </row>
    <row r="310">
      <c r="B310" s="139"/>
      <c r="C310" s="139"/>
      <c r="D310" s="139"/>
      <c r="E310" s="18"/>
      <c r="F310" s="107"/>
      <c r="G310" s="107"/>
      <c r="H310" s="48"/>
      <c r="I310" s="48"/>
      <c r="J310" s="48"/>
      <c r="K310" s="48"/>
      <c r="R310" s="139"/>
    </row>
    <row r="311">
      <c r="B311" s="139"/>
      <c r="C311" s="139"/>
      <c r="D311" s="139"/>
      <c r="E311" s="18"/>
      <c r="F311" s="107"/>
      <c r="G311" s="107"/>
      <c r="H311" s="48"/>
      <c r="I311" s="48"/>
      <c r="J311" s="48"/>
      <c r="K311" s="48"/>
      <c r="R311" s="139"/>
    </row>
    <row r="312">
      <c r="B312" s="139"/>
      <c r="C312" s="139"/>
      <c r="D312" s="139"/>
      <c r="E312" s="18"/>
      <c r="F312" s="107"/>
      <c r="G312" s="107"/>
      <c r="H312" s="48"/>
      <c r="I312" s="48"/>
      <c r="J312" s="48"/>
      <c r="K312" s="48"/>
      <c r="R312" s="139"/>
    </row>
    <row r="313">
      <c r="B313" s="139"/>
      <c r="C313" s="139"/>
      <c r="D313" s="139"/>
      <c r="E313" s="18"/>
      <c r="F313" s="107"/>
      <c r="G313" s="107"/>
      <c r="H313" s="48"/>
      <c r="I313" s="48"/>
      <c r="J313" s="48"/>
      <c r="K313" s="48"/>
      <c r="R313" s="139"/>
    </row>
    <row r="314">
      <c r="B314" s="139"/>
      <c r="C314" s="139"/>
      <c r="D314" s="139"/>
      <c r="E314" s="18"/>
      <c r="F314" s="107"/>
      <c r="G314" s="107"/>
      <c r="H314" s="48"/>
      <c r="I314" s="48"/>
      <c r="J314" s="48"/>
      <c r="K314" s="48"/>
      <c r="R314" s="139"/>
    </row>
    <row r="315">
      <c r="B315" s="139"/>
      <c r="C315" s="139"/>
      <c r="D315" s="139"/>
      <c r="E315" s="18"/>
      <c r="F315" s="107"/>
      <c r="G315" s="107"/>
      <c r="H315" s="48"/>
      <c r="I315" s="48"/>
      <c r="J315" s="48"/>
      <c r="K315" s="48"/>
      <c r="R315" s="139"/>
    </row>
    <row r="316">
      <c r="B316" s="139"/>
      <c r="C316" s="139"/>
      <c r="D316" s="139"/>
      <c r="E316" s="18"/>
      <c r="F316" s="107"/>
      <c r="G316" s="107"/>
      <c r="H316" s="48"/>
      <c r="I316" s="48"/>
      <c r="J316" s="48"/>
      <c r="K316" s="48"/>
      <c r="R316" s="139"/>
    </row>
    <row r="317">
      <c r="B317" s="139"/>
      <c r="C317" s="139"/>
      <c r="D317" s="139"/>
      <c r="E317" s="18"/>
      <c r="F317" s="107"/>
      <c r="G317" s="107"/>
      <c r="H317" s="48"/>
      <c r="I317" s="48"/>
      <c r="J317" s="48"/>
      <c r="K317" s="48"/>
      <c r="R317" s="139"/>
    </row>
    <row r="318">
      <c r="B318" s="139"/>
      <c r="C318" s="139"/>
      <c r="D318" s="139"/>
      <c r="E318" s="18"/>
      <c r="F318" s="107"/>
      <c r="G318" s="107"/>
      <c r="H318" s="48"/>
      <c r="I318" s="48"/>
      <c r="J318" s="48"/>
      <c r="K318" s="48"/>
      <c r="R318" s="139"/>
    </row>
    <row r="319">
      <c r="B319" s="139"/>
      <c r="C319" s="139"/>
      <c r="D319" s="139"/>
      <c r="E319" s="18"/>
      <c r="F319" s="107"/>
      <c r="G319" s="107"/>
      <c r="H319" s="48"/>
      <c r="I319" s="48"/>
      <c r="J319" s="48"/>
      <c r="K319" s="48"/>
      <c r="R319" s="139"/>
    </row>
    <row r="320">
      <c r="B320" s="139"/>
      <c r="C320" s="139"/>
      <c r="D320" s="139"/>
      <c r="E320" s="18"/>
      <c r="F320" s="107"/>
      <c r="G320" s="107"/>
      <c r="H320" s="48"/>
      <c r="I320" s="48"/>
      <c r="J320" s="48"/>
      <c r="K320" s="48"/>
      <c r="R320" s="139"/>
    </row>
    <row r="321">
      <c r="B321" s="139"/>
      <c r="C321" s="139"/>
      <c r="D321" s="139"/>
      <c r="E321" s="18"/>
      <c r="F321" s="107"/>
      <c r="G321" s="107"/>
      <c r="H321" s="48"/>
      <c r="I321" s="48"/>
      <c r="J321" s="48"/>
      <c r="K321" s="48"/>
      <c r="R321" s="139"/>
    </row>
    <row r="322">
      <c r="B322" s="139"/>
      <c r="C322" s="139"/>
      <c r="D322" s="139"/>
      <c r="E322" s="18"/>
      <c r="F322" s="107"/>
      <c r="G322" s="107"/>
      <c r="H322" s="48"/>
      <c r="I322" s="48"/>
      <c r="J322" s="48"/>
      <c r="K322" s="48"/>
      <c r="R322" s="139"/>
    </row>
    <row r="323">
      <c r="B323" s="139"/>
      <c r="C323" s="139"/>
      <c r="D323" s="139"/>
      <c r="E323" s="18"/>
      <c r="F323" s="107"/>
      <c r="G323" s="107"/>
      <c r="H323" s="48"/>
      <c r="I323" s="48"/>
      <c r="J323" s="48"/>
      <c r="K323" s="48"/>
      <c r="R323" s="139"/>
    </row>
    <row r="324">
      <c r="B324" s="139"/>
      <c r="C324" s="139"/>
      <c r="D324" s="139"/>
      <c r="E324" s="18"/>
      <c r="F324" s="107"/>
      <c r="G324" s="107"/>
      <c r="H324" s="48"/>
      <c r="I324" s="48"/>
      <c r="J324" s="48"/>
      <c r="K324" s="48"/>
      <c r="R324" s="139"/>
    </row>
    <row r="325">
      <c r="B325" s="139"/>
      <c r="C325" s="139"/>
      <c r="D325" s="139"/>
      <c r="E325" s="18"/>
      <c r="F325" s="107"/>
      <c r="G325" s="107"/>
      <c r="H325" s="48"/>
      <c r="I325" s="48"/>
      <c r="J325" s="48"/>
      <c r="K325" s="48"/>
      <c r="R325" s="139"/>
    </row>
    <row r="326">
      <c r="B326" s="139"/>
      <c r="C326" s="139"/>
      <c r="D326" s="139"/>
      <c r="E326" s="18"/>
      <c r="F326" s="107"/>
      <c r="G326" s="107"/>
      <c r="H326" s="48"/>
      <c r="I326" s="48"/>
      <c r="J326" s="48"/>
      <c r="K326" s="48"/>
      <c r="R326" s="139"/>
    </row>
    <row r="327">
      <c r="B327" s="139"/>
      <c r="C327" s="139"/>
      <c r="D327" s="139"/>
      <c r="E327" s="18"/>
      <c r="F327" s="107"/>
      <c r="G327" s="107"/>
      <c r="H327" s="48"/>
      <c r="I327" s="48"/>
      <c r="J327" s="48"/>
      <c r="K327" s="48"/>
      <c r="R327" s="139"/>
    </row>
    <row r="328">
      <c r="B328" s="139"/>
      <c r="C328" s="139"/>
      <c r="D328" s="139"/>
      <c r="E328" s="18"/>
      <c r="F328" s="107"/>
      <c r="G328" s="107"/>
      <c r="H328" s="48"/>
      <c r="I328" s="48"/>
      <c r="J328" s="48"/>
      <c r="K328" s="48"/>
      <c r="R328" s="139"/>
    </row>
    <row r="329">
      <c r="B329" s="139"/>
      <c r="C329" s="139"/>
      <c r="D329" s="139"/>
      <c r="E329" s="18"/>
      <c r="F329" s="107"/>
      <c r="G329" s="107"/>
      <c r="H329" s="48"/>
      <c r="I329" s="48"/>
      <c r="J329" s="48"/>
      <c r="K329" s="48"/>
      <c r="R329" s="139"/>
    </row>
    <row r="330">
      <c r="B330" s="139"/>
      <c r="C330" s="139"/>
      <c r="D330" s="139"/>
      <c r="E330" s="18"/>
      <c r="F330" s="107"/>
      <c r="G330" s="107"/>
      <c r="H330" s="48"/>
      <c r="I330" s="48"/>
      <c r="J330" s="48"/>
      <c r="K330" s="48"/>
      <c r="R330" s="139"/>
    </row>
    <row r="331">
      <c r="B331" s="139"/>
      <c r="C331" s="139"/>
      <c r="D331" s="139"/>
      <c r="E331" s="18"/>
      <c r="F331" s="107"/>
      <c r="G331" s="107"/>
      <c r="H331" s="48"/>
      <c r="I331" s="48"/>
      <c r="J331" s="48"/>
      <c r="K331" s="48"/>
      <c r="R331" s="139"/>
    </row>
    <row r="332">
      <c r="B332" s="139"/>
      <c r="C332" s="139"/>
      <c r="D332" s="139"/>
      <c r="E332" s="18"/>
      <c r="F332" s="107"/>
      <c r="G332" s="107"/>
      <c r="H332" s="48"/>
      <c r="I332" s="48"/>
      <c r="J332" s="48"/>
      <c r="K332" s="48"/>
      <c r="R332" s="139"/>
    </row>
    <row r="333">
      <c r="B333" s="139"/>
      <c r="C333" s="139"/>
      <c r="D333" s="139"/>
      <c r="E333" s="18"/>
      <c r="F333" s="107"/>
      <c r="G333" s="107"/>
      <c r="H333" s="48"/>
      <c r="I333" s="48"/>
      <c r="J333" s="48"/>
      <c r="K333" s="48"/>
      <c r="R333" s="139"/>
    </row>
    <row r="334">
      <c r="B334" s="139"/>
      <c r="C334" s="139"/>
      <c r="D334" s="139"/>
      <c r="E334" s="18"/>
      <c r="F334" s="107"/>
      <c r="G334" s="107"/>
      <c r="H334" s="48"/>
      <c r="I334" s="48"/>
      <c r="J334" s="48"/>
      <c r="K334" s="48"/>
      <c r="R334" s="139"/>
    </row>
    <row r="335">
      <c r="B335" s="139"/>
      <c r="C335" s="139"/>
      <c r="D335" s="139"/>
      <c r="E335" s="18"/>
      <c r="F335" s="107"/>
      <c r="G335" s="107"/>
      <c r="H335" s="48"/>
      <c r="I335" s="48"/>
      <c r="J335" s="48"/>
      <c r="K335" s="48"/>
      <c r="R335" s="139"/>
    </row>
    <row r="336">
      <c r="B336" s="139"/>
      <c r="C336" s="139"/>
      <c r="D336" s="139"/>
      <c r="E336" s="18"/>
      <c r="F336" s="107"/>
      <c r="G336" s="107"/>
      <c r="H336" s="48"/>
      <c r="I336" s="48"/>
      <c r="J336" s="48"/>
      <c r="K336" s="48"/>
      <c r="R336" s="139"/>
    </row>
    <row r="337">
      <c r="B337" s="139"/>
      <c r="C337" s="139"/>
      <c r="D337" s="139"/>
      <c r="E337" s="18"/>
      <c r="F337" s="107"/>
      <c r="G337" s="107"/>
      <c r="H337" s="48"/>
      <c r="I337" s="48"/>
      <c r="J337" s="48"/>
      <c r="K337" s="48"/>
      <c r="R337" s="139"/>
    </row>
    <row r="338">
      <c r="B338" s="139"/>
      <c r="C338" s="139"/>
      <c r="D338" s="139"/>
      <c r="E338" s="18"/>
      <c r="F338" s="107"/>
      <c r="G338" s="107"/>
      <c r="H338" s="48"/>
      <c r="I338" s="48"/>
      <c r="J338" s="48"/>
      <c r="K338" s="48"/>
      <c r="R338" s="139"/>
    </row>
    <row r="339">
      <c r="B339" s="139"/>
      <c r="C339" s="139"/>
      <c r="D339" s="139"/>
      <c r="E339" s="18"/>
      <c r="F339" s="107"/>
      <c r="G339" s="107"/>
      <c r="H339" s="48"/>
      <c r="I339" s="48"/>
      <c r="J339" s="48"/>
      <c r="K339" s="48"/>
      <c r="R339" s="139"/>
    </row>
    <row r="340">
      <c r="B340" s="139"/>
      <c r="C340" s="139"/>
      <c r="D340" s="139"/>
      <c r="E340" s="18"/>
      <c r="F340" s="107"/>
      <c r="G340" s="107"/>
      <c r="H340" s="48"/>
      <c r="I340" s="48"/>
      <c r="J340" s="48"/>
      <c r="K340" s="48"/>
      <c r="R340" s="139"/>
    </row>
    <row r="341">
      <c r="B341" s="139"/>
      <c r="C341" s="139"/>
      <c r="D341" s="139"/>
      <c r="E341" s="18"/>
      <c r="F341" s="107"/>
      <c r="G341" s="107"/>
      <c r="H341" s="48"/>
      <c r="I341" s="48"/>
      <c r="J341" s="48"/>
      <c r="K341" s="48"/>
      <c r="R341" s="139"/>
    </row>
    <row r="342">
      <c r="B342" s="139"/>
      <c r="C342" s="139"/>
      <c r="D342" s="139"/>
      <c r="E342" s="18"/>
      <c r="F342" s="107"/>
      <c r="G342" s="107"/>
      <c r="H342" s="48"/>
      <c r="I342" s="48"/>
      <c r="J342" s="48"/>
      <c r="K342" s="48"/>
      <c r="R342" s="139"/>
    </row>
    <row r="343">
      <c r="B343" s="139"/>
      <c r="C343" s="139"/>
      <c r="D343" s="139"/>
      <c r="E343" s="18"/>
      <c r="F343" s="107"/>
      <c r="G343" s="107"/>
      <c r="H343" s="48"/>
      <c r="I343" s="48"/>
      <c r="J343" s="48"/>
      <c r="K343" s="48"/>
      <c r="R343" s="139"/>
    </row>
    <row r="344">
      <c r="B344" s="139"/>
      <c r="C344" s="139"/>
      <c r="D344" s="139"/>
      <c r="E344" s="18"/>
      <c r="F344" s="107"/>
      <c r="G344" s="107"/>
      <c r="H344" s="48"/>
      <c r="I344" s="48"/>
      <c r="J344" s="48"/>
      <c r="K344" s="48"/>
      <c r="R344" s="139"/>
    </row>
    <row r="345">
      <c r="B345" s="139"/>
      <c r="C345" s="139"/>
      <c r="D345" s="139"/>
      <c r="E345" s="18"/>
      <c r="F345" s="107"/>
      <c r="G345" s="107"/>
      <c r="H345" s="48"/>
      <c r="I345" s="48"/>
      <c r="J345" s="48"/>
      <c r="K345" s="48"/>
      <c r="R345" s="139"/>
    </row>
    <row r="346">
      <c r="B346" s="139"/>
      <c r="C346" s="139"/>
      <c r="D346" s="139"/>
      <c r="E346" s="18"/>
      <c r="F346" s="107"/>
      <c r="G346" s="107"/>
      <c r="H346" s="48"/>
      <c r="I346" s="48"/>
      <c r="J346" s="48"/>
      <c r="K346" s="48"/>
      <c r="R346" s="139"/>
    </row>
    <row r="347">
      <c r="B347" s="139"/>
      <c r="C347" s="139"/>
      <c r="D347" s="139"/>
      <c r="E347" s="18"/>
      <c r="F347" s="107"/>
      <c r="G347" s="107"/>
      <c r="H347" s="48"/>
      <c r="I347" s="48"/>
      <c r="J347" s="48"/>
      <c r="K347" s="48"/>
      <c r="R347" s="139"/>
    </row>
    <row r="348">
      <c r="B348" s="139"/>
      <c r="C348" s="139"/>
      <c r="D348" s="139"/>
      <c r="E348" s="18"/>
      <c r="F348" s="107"/>
      <c r="G348" s="107"/>
      <c r="H348" s="48"/>
      <c r="I348" s="48"/>
      <c r="J348" s="48"/>
      <c r="K348" s="48"/>
      <c r="R348" s="139"/>
    </row>
    <row r="349">
      <c r="B349" s="139"/>
      <c r="C349" s="139"/>
      <c r="D349" s="139"/>
      <c r="E349" s="18"/>
      <c r="F349" s="107"/>
      <c r="G349" s="107"/>
      <c r="H349" s="48"/>
      <c r="I349" s="48"/>
      <c r="J349" s="48"/>
      <c r="K349" s="48"/>
      <c r="R349" s="139"/>
    </row>
    <row r="350">
      <c r="B350" s="139"/>
      <c r="C350" s="139"/>
      <c r="D350" s="139"/>
      <c r="E350" s="18"/>
      <c r="F350" s="107"/>
      <c r="G350" s="107"/>
      <c r="H350" s="48"/>
      <c r="I350" s="48"/>
      <c r="J350" s="48"/>
      <c r="K350" s="48"/>
      <c r="R350" s="139"/>
    </row>
    <row r="351">
      <c r="B351" s="139"/>
      <c r="C351" s="139"/>
      <c r="D351" s="139"/>
      <c r="E351" s="18"/>
      <c r="F351" s="107"/>
      <c r="G351" s="107"/>
      <c r="H351" s="48"/>
      <c r="I351" s="48"/>
      <c r="J351" s="48"/>
      <c r="K351" s="48"/>
      <c r="R351" s="139"/>
    </row>
    <row r="352">
      <c r="B352" s="139"/>
      <c r="C352" s="139"/>
      <c r="D352" s="139"/>
      <c r="E352" s="18"/>
      <c r="F352" s="107"/>
      <c r="G352" s="107"/>
      <c r="H352" s="48"/>
      <c r="I352" s="48"/>
      <c r="J352" s="48"/>
      <c r="K352" s="48"/>
      <c r="R352" s="139"/>
    </row>
    <row r="353">
      <c r="B353" s="139"/>
      <c r="C353" s="139"/>
      <c r="D353" s="139"/>
      <c r="E353" s="18"/>
      <c r="F353" s="107"/>
      <c r="G353" s="107"/>
      <c r="H353" s="48"/>
      <c r="I353" s="48"/>
      <c r="J353" s="48"/>
      <c r="K353" s="48"/>
      <c r="R353" s="139"/>
    </row>
    <row r="354">
      <c r="B354" s="139"/>
      <c r="C354" s="139"/>
      <c r="D354" s="139"/>
      <c r="E354" s="18"/>
      <c r="F354" s="107"/>
      <c r="G354" s="107"/>
      <c r="H354" s="48"/>
      <c r="I354" s="48"/>
      <c r="J354" s="48"/>
      <c r="K354" s="48"/>
      <c r="R354" s="139"/>
    </row>
    <row r="355">
      <c r="B355" s="139"/>
      <c r="C355" s="139"/>
      <c r="D355" s="139"/>
      <c r="E355" s="18"/>
      <c r="F355" s="107"/>
      <c r="G355" s="107"/>
      <c r="H355" s="48"/>
      <c r="I355" s="48"/>
      <c r="J355" s="48"/>
      <c r="K355" s="48"/>
      <c r="R355" s="139"/>
    </row>
    <row r="356">
      <c r="B356" s="139"/>
      <c r="C356" s="139"/>
      <c r="D356" s="139"/>
      <c r="E356" s="18"/>
      <c r="F356" s="107"/>
      <c r="G356" s="107"/>
      <c r="H356" s="48"/>
      <c r="I356" s="48"/>
      <c r="J356" s="48"/>
      <c r="K356" s="48"/>
      <c r="R356" s="139"/>
    </row>
    <row r="357">
      <c r="B357" s="139"/>
      <c r="C357" s="139"/>
      <c r="D357" s="139"/>
      <c r="E357" s="18"/>
      <c r="F357" s="107"/>
      <c r="G357" s="107"/>
      <c r="H357" s="48"/>
      <c r="I357" s="48"/>
      <c r="J357" s="48"/>
      <c r="K357" s="48"/>
      <c r="R357" s="139"/>
    </row>
    <row r="358">
      <c r="B358" s="139"/>
      <c r="C358" s="139"/>
      <c r="D358" s="139"/>
      <c r="E358" s="18"/>
      <c r="F358" s="107"/>
      <c r="G358" s="107"/>
      <c r="H358" s="48"/>
      <c r="I358" s="48"/>
      <c r="J358" s="48"/>
      <c r="K358" s="48"/>
      <c r="R358" s="139"/>
    </row>
    <row r="359">
      <c r="B359" s="139"/>
      <c r="C359" s="139"/>
      <c r="D359" s="139"/>
      <c r="E359" s="18"/>
      <c r="F359" s="107"/>
      <c r="G359" s="107"/>
      <c r="H359" s="48"/>
      <c r="I359" s="48"/>
      <c r="J359" s="48"/>
      <c r="K359" s="48"/>
      <c r="R359" s="139"/>
    </row>
    <row r="360">
      <c r="B360" s="139"/>
      <c r="C360" s="139"/>
      <c r="D360" s="139"/>
      <c r="E360" s="18"/>
      <c r="F360" s="107"/>
      <c r="G360" s="107"/>
      <c r="H360" s="48"/>
      <c r="I360" s="48"/>
      <c r="J360" s="48"/>
      <c r="K360" s="48"/>
      <c r="R360" s="139"/>
    </row>
    <row r="361">
      <c r="B361" s="139"/>
      <c r="C361" s="139"/>
      <c r="D361" s="139"/>
      <c r="E361" s="18"/>
      <c r="F361" s="107"/>
      <c r="G361" s="107"/>
      <c r="H361" s="48"/>
      <c r="I361" s="48"/>
      <c r="J361" s="48"/>
      <c r="K361" s="48"/>
      <c r="R361" s="139"/>
    </row>
    <row r="362">
      <c r="B362" s="139"/>
      <c r="C362" s="139"/>
      <c r="D362" s="139"/>
      <c r="E362" s="18"/>
      <c r="F362" s="107"/>
      <c r="G362" s="107"/>
      <c r="H362" s="48"/>
      <c r="I362" s="48"/>
      <c r="J362" s="48"/>
      <c r="K362" s="48"/>
      <c r="R362" s="139"/>
    </row>
    <row r="363">
      <c r="B363" s="139"/>
      <c r="C363" s="139"/>
      <c r="D363" s="139"/>
      <c r="E363" s="18"/>
      <c r="F363" s="107"/>
      <c r="G363" s="107"/>
      <c r="H363" s="48"/>
      <c r="I363" s="48"/>
      <c r="J363" s="48"/>
      <c r="K363" s="48"/>
      <c r="R363" s="139"/>
    </row>
    <row r="364">
      <c r="B364" s="139"/>
      <c r="C364" s="139"/>
      <c r="D364" s="139"/>
      <c r="E364" s="18"/>
      <c r="F364" s="107"/>
      <c r="G364" s="107"/>
      <c r="H364" s="48"/>
      <c r="I364" s="48"/>
      <c r="J364" s="48"/>
      <c r="K364" s="48"/>
      <c r="R364" s="139"/>
    </row>
    <row r="365">
      <c r="B365" s="139"/>
      <c r="C365" s="139"/>
      <c r="D365" s="139"/>
      <c r="E365" s="18"/>
      <c r="F365" s="107"/>
      <c r="G365" s="107"/>
      <c r="H365" s="48"/>
      <c r="I365" s="48"/>
      <c r="J365" s="48"/>
      <c r="K365" s="48"/>
      <c r="R365" s="139"/>
    </row>
    <row r="366">
      <c r="B366" s="139"/>
      <c r="C366" s="139"/>
      <c r="D366" s="139"/>
      <c r="E366" s="18"/>
      <c r="F366" s="107"/>
      <c r="G366" s="107"/>
      <c r="H366" s="48"/>
      <c r="I366" s="48"/>
      <c r="J366" s="48"/>
      <c r="K366" s="48"/>
      <c r="R366" s="139"/>
    </row>
    <row r="367">
      <c r="B367" s="139"/>
      <c r="C367" s="139"/>
      <c r="D367" s="139"/>
      <c r="E367" s="18"/>
      <c r="F367" s="107"/>
      <c r="G367" s="107"/>
      <c r="H367" s="48"/>
      <c r="I367" s="48"/>
      <c r="J367" s="48"/>
      <c r="K367" s="48"/>
      <c r="R367" s="139"/>
    </row>
    <row r="368">
      <c r="B368" s="139"/>
      <c r="C368" s="139"/>
      <c r="D368" s="139"/>
      <c r="E368" s="18"/>
      <c r="F368" s="107"/>
      <c r="G368" s="107"/>
      <c r="H368" s="48"/>
      <c r="I368" s="48"/>
      <c r="J368" s="48"/>
      <c r="K368" s="48"/>
      <c r="R368" s="139"/>
    </row>
    <row r="369">
      <c r="B369" s="139"/>
      <c r="C369" s="139"/>
      <c r="D369" s="139"/>
      <c r="E369" s="18"/>
      <c r="F369" s="107"/>
      <c r="G369" s="107"/>
      <c r="H369" s="48"/>
      <c r="I369" s="48"/>
      <c r="J369" s="48"/>
      <c r="K369" s="48"/>
      <c r="R369" s="139"/>
    </row>
    <row r="370">
      <c r="B370" s="139"/>
      <c r="C370" s="139"/>
      <c r="D370" s="139"/>
      <c r="E370" s="18"/>
      <c r="F370" s="107"/>
      <c r="G370" s="107"/>
      <c r="H370" s="48"/>
      <c r="I370" s="48"/>
      <c r="J370" s="48"/>
      <c r="K370" s="48"/>
      <c r="R370" s="139"/>
    </row>
    <row r="371">
      <c r="B371" s="139"/>
      <c r="C371" s="139"/>
      <c r="D371" s="139"/>
      <c r="E371" s="18"/>
      <c r="F371" s="107"/>
      <c r="G371" s="107"/>
      <c r="H371" s="48"/>
      <c r="I371" s="48"/>
      <c r="J371" s="48"/>
      <c r="K371" s="48"/>
      <c r="R371" s="139"/>
    </row>
    <row r="372">
      <c r="B372" s="139"/>
      <c r="C372" s="139"/>
      <c r="D372" s="139"/>
      <c r="E372" s="18"/>
      <c r="F372" s="107"/>
      <c r="G372" s="107"/>
      <c r="H372" s="48"/>
      <c r="I372" s="48"/>
      <c r="J372" s="48"/>
      <c r="K372" s="48"/>
      <c r="R372" s="139"/>
    </row>
    <row r="373">
      <c r="B373" s="139"/>
      <c r="C373" s="139"/>
      <c r="D373" s="139"/>
      <c r="E373" s="18"/>
      <c r="F373" s="107"/>
      <c r="G373" s="107"/>
      <c r="H373" s="48"/>
      <c r="I373" s="48"/>
      <c r="J373" s="48"/>
      <c r="K373" s="48"/>
      <c r="R373" s="139"/>
    </row>
    <row r="374">
      <c r="B374" s="139"/>
      <c r="C374" s="139"/>
      <c r="D374" s="139"/>
      <c r="E374" s="18"/>
      <c r="F374" s="107"/>
      <c r="G374" s="107"/>
      <c r="H374" s="48"/>
      <c r="I374" s="48"/>
      <c r="J374" s="48"/>
      <c r="K374" s="48"/>
      <c r="R374" s="139"/>
    </row>
    <row r="375">
      <c r="B375" s="139"/>
      <c r="C375" s="139"/>
      <c r="D375" s="139"/>
      <c r="E375" s="18"/>
      <c r="F375" s="107"/>
      <c r="G375" s="107"/>
      <c r="H375" s="48"/>
      <c r="I375" s="48"/>
      <c r="J375" s="48"/>
      <c r="K375" s="48"/>
      <c r="R375" s="139"/>
    </row>
    <row r="376">
      <c r="B376" s="139"/>
      <c r="C376" s="139"/>
      <c r="D376" s="139"/>
      <c r="E376" s="18"/>
      <c r="F376" s="107"/>
      <c r="G376" s="107"/>
      <c r="H376" s="48"/>
      <c r="I376" s="48"/>
      <c r="J376" s="48"/>
      <c r="K376" s="48"/>
      <c r="R376" s="139"/>
    </row>
    <row r="377">
      <c r="B377" s="139"/>
      <c r="C377" s="139"/>
      <c r="D377" s="139"/>
      <c r="E377" s="18"/>
      <c r="F377" s="107"/>
      <c r="G377" s="107"/>
      <c r="H377" s="48"/>
      <c r="I377" s="48"/>
      <c r="J377" s="48"/>
      <c r="K377" s="48"/>
      <c r="R377" s="139"/>
    </row>
    <row r="378">
      <c r="B378" s="139"/>
      <c r="C378" s="139"/>
      <c r="D378" s="139"/>
      <c r="E378" s="18"/>
      <c r="F378" s="107"/>
      <c r="G378" s="107"/>
      <c r="H378" s="48"/>
      <c r="I378" s="48"/>
      <c r="J378" s="48"/>
      <c r="K378" s="48"/>
      <c r="R378" s="139"/>
    </row>
    <row r="379">
      <c r="B379" s="139"/>
      <c r="C379" s="139"/>
      <c r="D379" s="139"/>
      <c r="E379" s="18"/>
      <c r="F379" s="107"/>
      <c r="G379" s="107"/>
      <c r="H379" s="48"/>
      <c r="I379" s="48"/>
      <c r="J379" s="48"/>
      <c r="K379" s="48"/>
      <c r="R379" s="139"/>
    </row>
    <row r="380">
      <c r="B380" s="139"/>
      <c r="C380" s="139"/>
      <c r="D380" s="139"/>
      <c r="E380" s="18"/>
      <c r="F380" s="107"/>
      <c r="G380" s="107"/>
      <c r="H380" s="48"/>
      <c r="I380" s="48"/>
      <c r="J380" s="48"/>
      <c r="K380" s="48"/>
      <c r="R380" s="139"/>
    </row>
    <row r="381">
      <c r="B381" s="139"/>
      <c r="C381" s="139"/>
      <c r="D381" s="139"/>
      <c r="E381" s="18"/>
      <c r="F381" s="107"/>
      <c r="G381" s="107"/>
      <c r="H381" s="48"/>
      <c r="I381" s="48"/>
      <c r="J381" s="48"/>
      <c r="K381" s="48"/>
      <c r="R381" s="139"/>
    </row>
    <row r="382">
      <c r="B382" s="139"/>
      <c r="C382" s="139"/>
      <c r="D382" s="139"/>
      <c r="E382" s="18"/>
      <c r="F382" s="107"/>
      <c r="G382" s="107"/>
      <c r="H382" s="48"/>
      <c r="I382" s="48"/>
      <c r="J382" s="48"/>
      <c r="K382" s="48"/>
      <c r="R382" s="139"/>
    </row>
    <row r="383">
      <c r="B383" s="139"/>
      <c r="C383" s="139"/>
      <c r="D383" s="139"/>
      <c r="E383" s="18"/>
      <c r="F383" s="107"/>
      <c r="G383" s="107"/>
      <c r="H383" s="48"/>
      <c r="I383" s="48"/>
      <c r="J383" s="48"/>
      <c r="K383" s="48"/>
      <c r="R383" s="139"/>
    </row>
    <row r="384">
      <c r="B384" s="139"/>
      <c r="C384" s="139"/>
      <c r="D384" s="139"/>
      <c r="E384" s="18"/>
      <c r="F384" s="107"/>
      <c r="G384" s="107"/>
      <c r="H384" s="48"/>
      <c r="I384" s="48"/>
      <c r="J384" s="48"/>
      <c r="K384" s="48"/>
      <c r="R384" s="139"/>
    </row>
    <row r="385">
      <c r="B385" s="139"/>
      <c r="C385" s="139"/>
      <c r="D385" s="139"/>
      <c r="E385" s="18"/>
      <c r="F385" s="107"/>
      <c r="G385" s="107"/>
      <c r="H385" s="48"/>
      <c r="I385" s="48"/>
      <c r="J385" s="48"/>
      <c r="K385" s="48"/>
      <c r="R385" s="139"/>
    </row>
    <row r="386">
      <c r="B386" s="139"/>
      <c r="C386" s="139"/>
      <c r="D386" s="139"/>
      <c r="E386" s="18"/>
      <c r="F386" s="107"/>
      <c r="G386" s="107"/>
      <c r="H386" s="48"/>
      <c r="I386" s="48"/>
      <c r="J386" s="48"/>
      <c r="K386" s="48"/>
      <c r="R386" s="139"/>
    </row>
    <row r="387">
      <c r="B387" s="139"/>
      <c r="C387" s="139"/>
      <c r="D387" s="139"/>
      <c r="E387" s="18"/>
      <c r="F387" s="107"/>
      <c r="G387" s="107"/>
      <c r="H387" s="48"/>
      <c r="I387" s="48"/>
      <c r="J387" s="48"/>
      <c r="K387" s="48"/>
      <c r="R387" s="139"/>
    </row>
    <row r="388">
      <c r="B388" s="139"/>
      <c r="C388" s="139"/>
      <c r="D388" s="139"/>
      <c r="E388" s="18"/>
      <c r="F388" s="107"/>
      <c r="G388" s="107"/>
      <c r="H388" s="48"/>
      <c r="I388" s="48"/>
      <c r="J388" s="48"/>
      <c r="K388" s="48"/>
      <c r="R388" s="139"/>
    </row>
    <row r="389">
      <c r="B389" s="139"/>
      <c r="C389" s="139"/>
      <c r="D389" s="139"/>
      <c r="E389" s="18"/>
      <c r="F389" s="107"/>
      <c r="G389" s="107"/>
      <c r="H389" s="48"/>
      <c r="I389" s="48"/>
      <c r="J389" s="48"/>
      <c r="K389" s="48"/>
      <c r="R389" s="139"/>
    </row>
    <row r="390">
      <c r="B390" s="139"/>
      <c r="C390" s="139"/>
      <c r="D390" s="139"/>
      <c r="E390" s="18"/>
      <c r="F390" s="107"/>
      <c r="G390" s="107"/>
      <c r="H390" s="48"/>
      <c r="I390" s="48"/>
      <c r="J390" s="48"/>
      <c r="K390" s="48"/>
      <c r="R390" s="139"/>
    </row>
    <row r="391">
      <c r="B391" s="139"/>
      <c r="C391" s="139"/>
      <c r="D391" s="139"/>
      <c r="E391" s="18"/>
      <c r="F391" s="107"/>
      <c r="G391" s="107"/>
      <c r="H391" s="48"/>
      <c r="I391" s="48"/>
      <c r="J391" s="48"/>
      <c r="K391" s="48"/>
      <c r="R391" s="139"/>
    </row>
    <row r="392">
      <c r="B392" s="139"/>
      <c r="C392" s="139"/>
      <c r="D392" s="139"/>
      <c r="E392" s="18"/>
      <c r="F392" s="107"/>
      <c r="G392" s="107"/>
      <c r="H392" s="48"/>
      <c r="I392" s="48"/>
      <c r="J392" s="48"/>
      <c r="K392" s="48"/>
      <c r="R392" s="139"/>
    </row>
    <row r="393">
      <c r="B393" s="139"/>
      <c r="C393" s="139"/>
      <c r="D393" s="139"/>
      <c r="E393" s="18"/>
      <c r="F393" s="107"/>
      <c r="G393" s="107"/>
      <c r="H393" s="48"/>
      <c r="I393" s="48"/>
      <c r="J393" s="48"/>
      <c r="K393" s="48"/>
      <c r="R393" s="139"/>
    </row>
    <row r="394">
      <c r="B394" s="139"/>
      <c r="C394" s="139"/>
      <c r="D394" s="139"/>
      <c r="E394" s="18"/>
      <c r="F394" s="107"/>
      <c r="G394" s="107"/>
      <c r="H394" s="48"/>
      <c r="I394" s="48"/>
      <c r="J394" s="48"/>
      <c r="K394" s="48"/>
      <c r="R394" s="139"/>
    </row>
    <row r="395">
      <c r="B395" s="139"/>
      <c r="C395" s="139"/>
      <c r="D395" s="139"/>
      <c r="E395" s="18"/>
      <c r="F395" s="107"/>
      <c r="G395" s="107"/>
      <c r="H395" s="48"/>
      <c r="I395" s="48"/>
      <c r="J395" s="48"/>
      <c r="K395" s="48"/>
      <c r="R395" s="139"/>
    </row>
    <row r="396">
      <c r="B396" s="139"/>
      <c r="C396" s="139"/>
      <c r="D396" s="139"/>
      <c r="E396" s="18"/>
      <c r="F396" s="107"/>
      <c r="G396" s="107"/>
      <c r="H396" s="48"/>
      <c r="I396" s="48"/>
      <c r="J396" s="48"/>
      <c r="K396" s="48"/>
      <c r="R396" s="139"/>
    </row>
    <row r="397">
      <c r="B397" s="139"/>
      <c r="C397" s="139"/>
      <c r="D397" s="139"/>
      <c r="E397" s="18"/>
      <c r="F397" s="107"/>
      <c r="G397" s="107"/>
      <c r="H397" s="48"/>
      <c r="I397" s="48"/>
      <c r="J397" s="48"/>
      <c r="K397" s="48"/>
      <c r="R397" s="139"/>
    </row>
    <row r="398">
      <c r="B398" s="139"/>
      <c r="C398" s="139"/>
      <c r="D398" s="139"/>
      <c r="E398" s="18"/>
      <c r="F398" s="107"/>
      <c r="G398" s="107"/>
      <c r="H398" s="48"/>
      <c r="I398" s="48"/>
      <c r="J398" s="48"/>
      <c r="K398" s="48"/>
      <c r="R398" s="139"/>
    </row>
    <row r="399">
      <c r="B399" s="139"/>
      <c r="C399" s="139"/>
      <c r="D399" s="139"/>
      <c r="E399" s="18"/>
      <c r="F399" s="107"/>
      <c r="G399" s="107"/>
      <c r="H399" s="48"/>
      <c r="I399" s="48"/>
      <c r="J399" s="48"/>
      <c r="K399" s="48"/>
      <c r="R399" s="139"/>
    </row>
    <row r="400">
      <c r="B400" s="139"/>
      <c r="C400" s="139"/>
      <c r="D400" s="139"/>
      <c r="E400" s="18"/>
      <c r="F400" s="107"/>
      <c r="G400" s="107"/>
      <c r="H400" s="48"/>
      <c r="I400" s="48"/>
      <c r="J400" s="48"/>
      <c r="K400" s="48"/>
      <c r="R400" s="139"/>
    </row>
    <row r="401">
      <c r="B401" s="139"/>
      <c r="C401" s="139"/>
      <c r="D401" s="139"/>
      <c r="E401" s="18"/>
      <c r="F401" s="107"/>
      <c r="G401" s="107"/>
      <c r="H401" s="48"/>
      <c r="I401" s="48"/>
      <c r="J401" s="48"/>
      <c r="K401" s="48"/>
      <c r="R401" s="139"/>
    </row>
    <row r="402">
      <c r="B402" s="139"/>
      <c r="C402" s="139"/>
      <c r="D402" s="139"/>
      <c r="E402" s="18"/>
      <c r="F402" s="107"/>
      <c r="G402" s="107"/>
      <c r="H402" s="48"/>
      <c r="I402" s="48"/>
      <c r="J402" s="48"/>
      <c r="K402" s="48"/>
      <c r="R402" s="139"/>
    </row>
    <row r="403">
      <c r="B403" s="139"/>
      <c r="C403" s="139"/>
      <c r="D403" s="139"/>
      <c r="E403" s="18"/>
      <c r="F403" s="107"/>
      <c r="G403" s="107"/>
      <c r="H403" s="48"/>
      <c r="I403" s="48"/>
      <c r="J403" s="48"/>
      <c r="K403" s="48"/>
      <c r="R403" s="139"/>
    </row>
    <row r="404">
      <c r="B404" s="139"/>
      <c r="C404" s="139"/>
      <c r="D404" s="139"/>
      <c r="E404" s="18"/>
      <c r="F404" s="107"/>
      <c r="G404" s="107"/>
      <c r="H404" s="48"/>
      <c r="I404" s="48"/>
      <c r="J404" s="48"/>
      <c r="K404" s="48"/>
      <c r="R404" s="139"/>
    </row>
    <row r="405">
      <c r="B405" s="139"/>
      <c r="C405" s="139"/>
      <c r="D405" s="139"/>
      <c r="E405" s="18"/>
      <c r="F405" s="107"/>
      <c r="G405" s="107"/>
      <c r="H405" s="48"/>
      <c r="I405" s="48"/>
      <c r="J405" s="48"/>
      <c r="K405" s="48"/>
      <c r="R405" s="139"/>
    </row>
    <row r="406">
      <c r="B406" s="139"/>
      <c r="C406" s="139"/>
      <c r="D406" s="139"/>
      <c r="E406" s="18"/>
      <c r="F406" s="107"/>
      <c r="G406" s="107"/>
      <c r="H406" s="48"/>
      <c r="I406" s="48"/>
      <c r="J406" s="48"/>
      <c r="K406" s="48"/>
      <c r="R406" s="139"/>
    </row>
    <row r="407">
      <c r="B407" s="139"/>
      <c r="C407" s="139"/>
      <c r="D407" s="139"/>
      <c r="E407" s="18"/>
      <c r="F407" s="107"/>
      <c r="G407" s="107"/>
      <c r="H407" s="48"/>
      <c r="I407" s="48"/>
      <c r="J407" s="48"/>
      <c r="K407" s="48"/>
      <c r="R407" s="139"/>
    </row>
    <row r="408">
      <c r="B408" s="139"/>
      <c r="C408" s="139"/>
      <c r="D408" s="139"/>
      <c r="E408" s="18"/>
      <c r="F408" s="107"/>
      <c r="G408" s="107"/>
      <c r="H408" s="48"/>
      <c r="I408" s="48"/>
      <c r="J408" s="48"/>
      <c r="K408" s="48"/>
      <c r="R408" s="139"/>
    </row>
    <row r="409">
      <c r="B409" s="139"/>
      <c r="C409" s="139"/>
      <c r="D409" s="139"/>
      <c r="E409" s="18"/>
      <c r="F409" s="107"/>
      <c r="G409" s="107"/>
      <c r="H409" s="48"/>
      <c r="I409" s="48"/>
      <c r="J409" s="48"/>
      <c r="K409" s="48"/>
      <c r="R409" s="139"/>
    </row>
    <row r="410">
      <c r="B410" s="139"/>
      <c r="C410" s="139"/>
      <c r="D410" s="139"/>
      <c r="E410" s="18"/>
      <c r="F410" s="107"/>
      <c r="G410" s="107"/>
      <c r="H410" s="48"/>
      <c r="I410" s="48"/>
      <c r="J410" s="48"/>
      <c r="K410" s="48"/>
      <c r="R410" s="139"/>
    </row>
    <row r="411">
      <c r="B411" s="139"/>
      <c r="C411" s="139"/>
      <c r="D411" s="139"/>
      <c r="E411" s="18"/>
      <c r="F411" s="107"/>
      <c r="G411" s="107"/>
      <c r="H411" s="48"/>
      <c r="I411" s="48"/>
      <c r="J411" s="48"/>
      <c r="K411" s="48"/>
      <c r="R411" s="139"/>
    </row>
    <row r="412">
      <c r="B412" s="139"/>
      <c r="C412" s="139"/>
      <c r="D412" s="139"/>
      <c r="E412" s="18"/>
      <c r="F412" s="107"/>
      <c r="G412" s="107"/>
      <c r="H412" s="48"/>
      <c r="I412" s="48"/>
      <c r="J412" s="48"/>
      <c r="K412" s="48"/>
      <c r="R412" s="139"/>
    </row>
    <row r="413">
      <c r="B413" s="139"/>
      <c r="C413" s="139"/>
      <c r="D413" s="139"/>
      <c r="E413" s="18"/>
      <c r="F413" s="107"/>
      <c r="G413" s="107"/>
      <c r="H413" s="48"/>
      <c r="I413" s="48"/>
      <c r="J413" s="48"/>
      <c r="K413" s="48"/>
      <c r="R413" s="139"/>
    </row>
    <row r="414">
      <c r="B414" s="139"/>
      <c r="C414" s="139"/>
      <c r="D414" s="139"/>
      <c r="E414" s="18"/>
      <c r="F414" s="107"/>
      <c r="G414" s="107"/>
      <c r="H414" s="48"/>
      <c r="I414" s="48"/>
      <c r="J414" s="48"/>
      <c r="K414" s="48"/>
      <c r="R414" s="139"/>
    </row>
    <row r="415">
      <c r="B415" s="139"/>
      <c r="C415" s="139"/>
      <c r="D415" s="139"/>
      <c r="E415" s="18"/>
      <c r="F415" s="107"/>
      <c r="G415" s="107"/>
      <c r="H415" s="48"/>
      <c r="I415" s="48"/>
      <c r="J415" s="48"/>
      <c r="K415" s="48"/>
      <c r="R415" s="139"/>
    </row>
    <row r="416">
      <c r="B416" s="139"/>
      <c r="C416" s="139"/>
      <c r="D416" s="139"/>
      <c r="E416" s="18"/>
      <c r="F416" s="107"/>
      <c r="G416" s="107"/>
      <c r="H416" s="48"/>
      <c r="I416" s="48"/>
      <c r="J416" s="48"/>
      <c r="K416" s="48"/>
      <c r="R416" s="139"/>
    </row>
    <row r="417">
      <c r="B417" s="139"/>
      <c r="C417" s="139"/>
      <c r="D417" s="139"/>
      <c r="E417" s="18"/>
      <c r="F417" s="107"/>
      <c r="G417" s="107"/>
      <c r="H417" s="48"/>
      <c r="I417" s="48"/>
      <c r="J417" s="48"/>
      <c r="K417" s="48"/>
      <c r="R417" s="139"/>
    </row>
    <row r="418">
      <c r="B418" s="139"/>
      <c r="C418" s="139"/>
      <c r="D418" s="139"/>
      <c r="E418" s="18"/>
      <c r="F418" s="107"/>
      <c r="G418" s="107"/>
      <c r="H418" s="48"/>
      <c r="I418" s="48"/>
      <c r="J418" s="48"/>
      <c r="K418" s="48"/>
      <c r="R418" s="139"/>
    </row>
    <row r="419">
      <c r="B419" s="139"/>
      <c r="C419" s="139"/>
      <c r="D419" s="139"/>
      <c r="E419" s="18"/>
      <c r="F419" s="107"/>
      <c r="G419" s="107"/>
      <c r="H419" s="48"/>
      <c r="I419" s="48"/>
      <c r="J419" s="48"/>
      <c r="K419" s="48"/>
      <c r="R419" s="139"/>
    </row>
    <row r="420">
      <c r="B420" s="139"/>
      <c r="C420" s="139"/>
      <c r="D420" s="139"/>
      <c r="E420" s="18"/>
      <c r="F420" s="107"/>
      <c r="G420" s="107"/>
      <c r="H420" s="48"/>
      <c r="I420" s="48"/>
      <c r="J420" s="48"/>
      <c r="K420" s="48"/>
      <c r="R420" s="139"/>
    </row>
    <row r="421">
      <c r="B421" s="139"/>
      <c r="C421" s="139"/>
      <c r="D421" s="139"/>
      <c r="E421" s="18"/>
      <c r="F421" s="107"/>
      <c r="G421" s="107"/>
      <c r="H421" s="48"/>
      <c r="I421" s="48"/>
      <c r="J421" s="48"/>
      <c r="K421" s="48"/>
      <c r="R421" s="139"/>
    </row>
    <row r="422">
      <c r="B422" s="139"/>
      <c r="C422" s="139"/>
      <c r="D422" s="139"/>
      <c r="E422" s="18"/>
      <c r="F422" s="107"/>
      <c r="G422" s="107"/>
      <c r="H422" s="48"/>
      <c r="I422" s="48"/>
      <c r="J422" s="48"/>
      <c r="K422" s="48"/>
      <c r="R422" s="139"/>
    </row>
    <row r="423">
      <c r="B423" s="139"/>
      <c r="C423" s="139"/>
      <c r="D423" s="139"/>
      <c r="E423" s="18"/>
      <c r="F423" s="107"/>
      <c r="G423" s="107"/>
      <c r="H423" s="48"/>
      <c r="I423" s="48"/>
      <c r="J423" s="48"/>
      <c r="K423" s="48"/>
      <c r="R423" s="139"/>
    </row>
    <row r="424">
      <c r="B424" s="139"/>
      <c r="C424" s="139"/>
      <c r="D424" s="139"/>
      <c r="E424" s="18"/>
      <c r="F424" s="107"/>
      <c r="G424" s="107"/>
      <c r="H424" s="48"/>
      <c r="I424" s="48"/>
      <c r="J424" s="48"/>
      <c r="K424" s="48"/>
      <c r="R424" s="139"/>
    </row>
    <row r="425">
      <c r="B425" s="139"/>
      <c r="C425" s="139"/>
      <c r="D425" s="139"/>
      <c r="E425" s="18"/>
      <c r="F425" s="107"/>
      <c r="G425" s="107"/>
      <c r="H425" s="48"/>
      <c r="I425" s="48"/>
      <c r="J425" s="48"/>
      <c r="K425" s="48"/>
      <c r="R425" s="139"/>
    </row>
    <row r="426">
      <c r="B426" s="139"/>
      <c r="C426" s="139"/>
      <c r="D426" s="139"/>
      <c r="E426" s="18"/>
      <c r="F426" s="107"/>
      <c r="G426" s="107"/>
      <c r="H426" s="48"/>
      <c r="I426" s="48"/>
      <c r="J426" s="48"/>
      <c r="K426" s="48"/>
      <c r="R426" s="139"/>
    </row>
    <row r="427">
      <c r="B427" s="139"/>
      <c r="C427" s="139"/>
      <c r="D427" s="139"/>
      <c r="E427" s="18"/>
      <c r="F427" s="107"/>
      <c r="G427" s="107"/>
      <c r="H427" s="48"/>
      <c r="I427" s="48"/>
      <c r="J427" s="48"/>
      <c r="K427" s="48"/>
      <c r="R427" s="139"/>
    </row>
    <row r="428">
      <c r="B428" s="139"/>
      <c r="C428" s="139"/>
      <c r="D428" s="139"/>
      <c r="E428" s="18"/>
      <c r="F428" s="107"/>
      <c r="G428" s="107"/>
      <c r="H428" s="48"/>
      <c r="I428" s="48"/>
      <c r="J428" s="48"/>
      <c r="K428" s="48"/>
      <c r="R428" s="139"/>
    </row>
    <row r="429">
      <c r="B429" s="139"/>
      <c r="C429" s="139"/>
      <c r="D429" s="139"/>
      <c r="E429" s="18"/>
      <c r="F429" s="107"/>
      <c r="G429" s="107"/>
      <c r="H429" s="48"/>
      <c r="I429" s="48"/>
      <c r="J429" s="48"/>
      <c r="K429" s="48"/>
      <c r="R429" s="139"/>
    </row>
    <row r="430">
      <c r="B430" s="139"/>
      <c r="C430" s="139"/>
      <c r="D430" s="139"/>
      <c r="E430" s="18"/>
      <c r="F430" s="107"/>
      <c r="G430" s="107"/>
      <c r="H430" s="48"/>
      <c r="I430" s="48"/>
      <c r="J430" s="48"/>
      <c r="K430" s="48"/>
      <c r="R430" s="139"/>
    </row>
    <row r="431">
      <c r="B431" s="139"/>
      <c r="C431" s="139"/>
      <c r="D431" s="139"/>
      <c r="E431" s="18"/>
      <c r="F431" s="107"/>
      <c r="G431" s="107"/>
      <c r="H431" s="48"/>
      <c r="I431" s="48"/>
      <c r="J431" s="48"/>
      <c r="K431" s="48"/>
      <c r="R431" s="139"/>
    </row>
    <row r="432">
      <c r="B432" s="139"/>
      <c r="C432" s="139"/>
      <c r="D432" s="139"/>
      <c r="E432" s="18"/>
      <c r="F432" s="107"/>
      <c r="G432" s="107"/>
      <c r="H432" s="48"/>
      <c r="I432" s="48"/>
      <c r="J432" s="48"/>
      <c r="K432" s="48"/>
      <c r="R432" s="139"/>
    </row>
    <row r="433">
      <c r="B433" s="139"/>
      <c r="C433" s="139"/>
      <c r="D433" s="139"/>
      <c r="E433" s="18"/>
      <c r="F433" s="107"/>
      <c r="G433" s="107"/>
      <c r="H433" s="48"/>
      <c r="I433" s="48"/>
      <c r="J433" s="48"/>
      <c r="K433" s="48"/>
      <c r="R433" s="139"/>
    </row>
    <row r="434">
      <c r="B434" s="139"/>
      <c r="C434" s="139"/>
      <c r="D434" s="139"/>
      <c r="E434" s="18"/>
      <c r="F434" s="107"/>
      <c r="G434" s="107"/>
      <c r="H434" s="48"/>
      <c r="I434" s="48"/>
      <c r="J434" s="48"/>
      <c r="K434" s="48"/>
      <c r="R434" s="139"/>
    </row>
    <row r="435">
      <c r="B435" s="139"/>
      <c r="C435" s="139"/>
      <c r="D435" s="139"/>
      <c r="E435" s="18"/>
      <c r="F435" s="107"/>
      <c r="G435" s="107"/>
      <c r="H435" s="48"/>
      <c r="I435" s="48"/>
      <c r="J435" s="48"/>
      <c r="K435" s="48"/>
      <c r="R435" s="139"/>
    </row>
    <row r="436">
      <c r="B436" s="139"/>
      <c r="C436" s="139"/>
      <c r="D436" s="139"/>
      <c r="E436" s="18"/>
      <c r="F436" s="107"/>
      <c r="G436" s="107"/>
      <c r="H436" s="48"/>
      <c r="I436" s="48"/>
      <c r="J436" s="48"/>
      <c r="K436" s="48"/>
      <c r="R436" s="139"/>
    </row>
    <row r="437">
      <c r="B437" s="139"/>
      <c r="C437" s="139"/>
      <c r="D437" s="139"/>
      <c r="E437" s="18"/>
      <c r="F437" s="107"/>
      <c r="G437" s="107"/>
      <c r="H437" s="48"/>
      <c r="I437" s="48"/>
      <c r="J437" s="48"/>
      <c r="K437" s="48"/>
      <c r="R437" s="139"/>
    </row>
    <row r="438">
      <c r="B438" s="139"/>
      <c r="C438" s="139"/>
      <c r="D438" s="139"/>
      <c r="E438" s="18"/>
      <c r="F438" s="107"/>
      <c r="G438" s="107"/>
      <c r="H438" s="48"/>
      <c r="I438" s="48"/>
      <c r="J438" s="48"/>
      <c r="K438" s="48"/>
      <c r="R438" s="139"/>
    </row>
    <row r="439">
      <c r="B439" s="139"/>
      <c r="C439" s="139"/>
      <c r="D439" s="139"/>
      <c r="E439" s="18"/>
      <c r="F439" s="107"/>
      <c r="G439" s="107"/>
      <c r="H439" s="48"/>
      <c r="I439" s="48"/>
      <c r="J439" s="48"/>
      <c r="K439" s="48"/>
      <c r="R439" s="139"/>
    </row>
    <row r="440">
      <c r="B440" s="139"/>
      <c r="C440" s="139"/>
      <c r="D440" s="139"/>
      <c r="E440" s="18"/>
      <c r="F440" s="107"/>
      <c r="G440" s="107"/>
      <c r="H440" s="48"/>
      <c r="I440" s="48"/>
      <c r="J440" s="48"/>
      <c r="K440" s="48"/>
      <c r="R440" s="139"/>
    </row>
    <row r="441">
      <c r="B441" s="139"/>
      <c r="C441" s="139"/>
      <c r="D441" s="139"/>
      <c r="E441" s="18"/>
      <c r="F441" s="107"/>
      <c r="G441" s="107"/>
      <c r="H441" s="48"/>
      <c r="I441" s="48"/>
      <c r="J441" s="48"/>
      <c r="K441" s="48"/>
      <c r="R441" s="139"/>
    </row>
    <row r="442">
      <c r="B442" s="139"/>
      <c r="C442" s="139"/>
      <c r="D442" s="139"/>
      <c r="E442" s="18"/>
      <c r="F442" s="107"/>
      <c r="G442" s="107"/>
      <c r="H442" s="48"/>
      <c r="I442" s="48"/>
      <c r="J442" s="48"/>
      <c r="K442" s="48"/>
      <c r="R442" s="139"/>
    </row>
    <row r="443">
      <c r="B443" s="139"/>
      <c r="C443" s="139"/>
      <c r="D443" s="139"/>
      <c r="E443" s="18"/>
      <c r="F443" s="107"/>
      <c r="G443" s="107"/>
      <c r="H443" s="48"/>
      <c r="I443" s="48"/>
      <c r="J443" s="48"/>
      <c r="K443" s="48"/>
      <c r="R443" s="139"/>
    </row>
    <row r="444">
      <c r="B444" s="139"/>
      <c r="C444" s="139"/>
      <c r="D444" s="139"/>
      <c r="E444" s="18"/>
      <c r="F444" s="107"/>
      <c r="G444" s="107"/>
      <c r="H444" s="48"/>
      <c r="I444" s="48"/>
      <c r="J444" s="48"/>
      <c r="K444" s="48"/>
      <c r="R444" s="139"/>
    </row>
    <row r="445">
      <c r="B445" s="139"/>
      <c r="C445" s="139"/>
      <c r="D445" s="139"/>
      <c r="E445" s="18"/>
      <c r="F445" s="107"/>
      <c r="G445" s="107"/>
      <c r="H445" s="48"/>
      <c r="I445" s="48"/>
      <c r="J445" s="48"/>
      <c r="K445" s="48"/>
      <c r="R445" s="139"/>
    </row>
    <row r="446">
      <c r="B446" s="139"/>
      <c r="C446" s="139"/>
      <c r="D446" s="139"/>
      <c r="E446" s="18"/>
      <c r="F446" s="107"/>
      <c r="G446" s="107"/>
      <c r="H446" s="48"/>
      <c r="I446" s="48"/>
      <c r="J446" s="48"/>
      <c r="K446" s="48"/>
      <c r="R446" s="139"/>
    </row>
    <row r="447">
      <c r="B447" s="139"/>
      <c r="C447" s="139"/>
      <c r="D447" s="139"/>
      <c r="E447" s="18"/>
      <c r="F447" s="107"/>
      <c r="G447" s="107"/>
      <c r="H447" s="48"/>
      <c r="I447" s="48"/>
      <c r="J447" s="48"/>
      <c r="K447" s="48"/>
      <c r="R447" s="139"/>
    </row>
    <row r="448">
      <c r="B448" s="139"/>
      <c r="C448" s="139"/>
      <c r="D448" s="139"/>
      <c r="E448" s="18"/>
      <c r="F448" s="107"/>
      <c r="G448" s="107"/>
      <c r="H448" s="48"/>
      <c r="I448" s="48"/>
      <c r="J448" s="48"/>
      <c r="K448" s="48"/>
      <c r="R448" s="139"/>
    </row>
    <row r="449">
      <c r="B449" s="139"/>
      <c r="C449" s="139"/>
      <c r="D449" s="139"/>
      <c r="E449" s="18"/>
      <c r="F449" s="107"/>
      <c r="G449" s="107"/>
      <c r="H449" s="48"/>
      <c r="I449" s="48"/>
      <c r="J449" s="48"/>
      <c r="K449" s="48"/>
      <c r="R449" s="139"/>
    </row>
    <row r="450">
      <c r="B450" s="139"/>
      <c r="C450" s="139"/>
      <c r="D450" s="139"/>
      <c r="E450" s="18"/>
      <c r="F450" s="107"/>
      <c r="G450" s="107"/>
      <c r="H450" s="48"/>
      <c r="I450" s="48"/>
      <c r="J450" s="48"/>
      <c r="K450" s="48"/>
      <c r="R450" s="139"/>
    </row>
    <row r="451">
      <c r="B451" s="139"/>
      <c r="C451" s="139"/>
      <c r="D451" s="139"/>
      <c r="E451" s="18"/>
      <c r="F451" s="107"/>
      <c r="G451" s="107"/>
      <c r="H451" s="48"/>
      <c r="I451" s="48"/>
      <c r="J451" s="48"/>
      <c r="K451" s="48"/>
      <c r="R451" s="139"/>
    </row>
    <row r="452">
      <c r="B452" s="139"/>
      <c r="C452" s="139"/>
      <c r="D452" s="139"/>
      <c r="E452" s="18"/>
      <c r="F452" s="107"/>
      <c r="G452" s="107"/>
      <c r="H452" s="48"/>
      <c r="I452" s="48"/>
      <c r="J452" s="48"/>
      <c r="K452" s="48"/>
      <c r="R452" s="139"/>
    </row>
    <row r="453">
      <c r="B453" s="139"/>
      <c r="C453" s="139"/>
      <c r="D453" s="139"/>
      <c r="E453" s="18"/>
      <c r="F453" s="107"/>
      <c r="G453" s="107"/>
      <c r="H453" s="48"/>
      <c r="I453" s="48"/>
      <c r="J453" s="48"/>
      <c r="K453" s="48"/>
      <c r="R453" s="139"/>
    </row>
    <row r="454">
      <c r="B454" s="139"/>
      <c r="C454" s="139"/>
      <c r="D454" s="139"/>
      <c r="E454" s="18"/>
      <c r="F454" s="107"/>
      <c r="G454" s="107"/>
      <c r="H454" s="48"/>
      <c r="I454" s="48"/>
      <c r="J454" s="48"/>
      <c r="K454" s="48"/>
      <c r="R454" s="139"/>
    </row>
    <row r="455">
      <c r="B455" s="139"/>
      <c r="C455" s="139"/>
      <c r="D455" s="139"/>
      <c r="E455" s="18"/>
      <c r="F455" s="107"/>
      <c r="G455" s="107"/>
      <c r="H455" s="48"/>
      <c r="I455" s="48"/>
      <c r="J455" s="48"/>
      <c r="K455" s="48"/>
      <c r="R455" s="139"/>
    </row>
    <row r="456">
      <c r="B456" s="139"/>
      <c r="C456" s="139"/>
      <c r="D456" s="139"/>
      <c r="E456" s="18"/>
      <c r="F456" s="107"/>
      <c r="G456" s="107"/>
      <c r="H456" s="48"/>
      <c r="I456" s="48"/>
      <c r="J456" s="48"/>
      <c r="K456" s="48"/>
      <c r="R456" s="139"/>
    </row>
    <row r="457">
      <c r="B457" s="139"/>
      <c r="C457" s="139"/>
      <c r="D457" s="139"/>
      <c r="E457" s="18"/>
      <c r="F457" s="107"/>
      <c r="G457" s="107"/>
      <c r="H457" s="48"/>
      <c r="I457" s="48"/>
      <c r="J457" s="48"/>
      <c r="K457" s="48"/>
      <c r="R457" s="139"/>
    </row>
    <row r="458">
      <c r="B458" s="139"/>
      <c r="C458" s="139"/>
      <c r="D458" s="139"/>
      <c r="E458" s="18"/>
      <c r="F458" s="107"/>
      <c r="G458" s="107"/>
      <c r="H458" s="48"/>
      <c r="I458" s="48"/>
      <c r="J458" s="48"/>
      <c r="K458" s="48"/>
      <c r="R458" s="139"/>
    </row>
    <row r="459">
      <c r="B459" s="139"/>
      <c r="C459" s="139"/>
      <c r="D459" s="139"/>
      <c r="E459" s="18"/>
      <c r="F459" s="107"/>
      <c r="G459" s="107"/>
      <c r="H459" s="48"/>
      <c r="I459" s="48"/>
      <c r="J459" s="48"/>
      <c r="K459" s="48"/>
      <c r="R459" s="139"/>
    </row>
    <row r="460">
      <c r="B460" s="139"/>
      <c r="C460" s="139"/>
      <c r="D460" s="139"/>
      <c r="E460" s="18"/>
      <c r="F460" s="107"/>
      <c r="G460" s="107"/>
      <c r="H460" s="48"/>
      <c r="I460" s="48"/>
      <c r="J460" s="48"/>
      <c r="K460" s="48"/>
      <c r="R460" s="139"/>
    </row>
    <row r="461">
      <c r="B461" s="139"/>
      <c r="C461" s="139"/>
      <c r="D461" s="139"/>
      <c r="E461" s="18"/>
      <c r="F461" s="107"/>
      <c r="G461" s="107"/>
      <c r="H461" s="48"/>
      <c r="I461" s="48"/>
      <c r="J461" s="48"/>
      <c r="K461" s="48"/>
      <c r="R461" s="139"/>
    </row>
    <row r="462">
      <c r="B462" s="139"/>
      <c r="C462" s="139"/>
      <c r="D462" s="139"/>
      <c r="E462" s="18"/>
      <c r="F462" s="107"/>
      <c r="G462" s="107"/>
      <c r="H462" s="48"/>
      <c r="I462" s="48"/>
      <c r="J462" s="48"/>
      <c r="K462" s="48"/>
      <c r="R462" s="139"/>
    </row>
    <row r="463">
      <c r="B463" s="139"/>
      <c r="C463" s="139"/>
      <c r="D463" s="139"/>
      <c r="E463" s="18"/>
      <c r="F463" s="107"/>
      <c r="G463" s="107"/>
      <c r="H463" s="48"/>
      <c r="I463" s="48"/>
      <c r="J463" s="48"/>
      <c r="K463" s="48"/>
      <c r="R463" s="139"/>
    </row>
    <row r="464">
      <c r="B464" s="139"/>
      <c r="C464" s="139"/>
      <c r="D464" s="139"/>
      <c r="E464" s="18"/>
      <c r="F464" s="107"/>
      <c r="G464" s="107"/>
      <c r="H464" s="48"/>
      <c r="I464" s="48"/>
      <c r="J464" s="48"/>
      <c r="K464" s="48"/>
      <c r="R464" s="139"/>
    </row>
    <row r="465">
      <c r="B465" s="139"/>
      <c r="C465" s="139"/>
      <c r="D465" s="139"/>
      <c r="E465" s="18"/>
      <c r="F465" s="107"/>
      <c r="G465" s="107"/>
      <c r="H465" s="48"/>
      <c r="I465" s="48"/>
      <c r="J465" s="48"/>
      <c r="K465" s="48"/>
      <c r="R465" s="139"/>
    </row>
    <row r="466">
      <c r="B466" s="139"/>
      <c r="C466" s="139"/>
      <c r="D466" s="139"/>
      <c r="E466" s="18"/>
      <c r="F466" s="107"/>
      <c r="G466" s="107"/>
      <c r="H466" s="48"/>
      <c r="I466" s="48"/>
      <c r="J466" s="48"/>
      <c r="K466" s="48"/>
      <c r="R466" s="139"/>
    </row>
    <row r="467">
      <c r="B467" s="139"/>
      <c r="C467" s="139"/>
      <c r="D467" s="139"/>
      <c r="E467" s="18"/>
      <c r="F467" s="107"/>
      <c r="G467" s="107"/>
      <c r="H467" s="48"/>
      <c r="I467" s="48"/>
      <c r="J467" s="48"/>
      <c r="K467" s="48"/>
      <c r="R467" s="139"/>
    </row>
    <row r="468">
      <c r="B468" s="139"/>
      <c r="C468" s="139"/>
      <c r="D468" s="139"/>
      <c r="E468" s="18"/>
      <c r="F468" s="107"/>
      <c r="G468" s="107"/>
      <c r="H468" s="48"/>
      <c r="I468" s="48"/>
      <c r="J468" s="48"/>
      <c r="K468" s="48"/>
      <c r="R468" s="139"/>
    </row>
    <row r="469">
      <c r="B469" s="139"/>
      <c r="C469" s="139"/>
      <c r="D469" s="139"/>
      <c r="E469" s="18"/>
      <c r="F469" s="107"/>
      <c r="G469" s="107"/>
      <c r="H469" s="48"/>
      <c r="I469" s="48"/>
      <c r="J469" s="48"/>
      <c r="K469" s="48"/>
      <c r="R469" s="139"/>
    </row>
    <row r="470">
      <c r="B470" s="139"/>
      <c r="C470" s="139"/>
      <c r="D470" s="139"/>
      <c r="E470" s="18"/>
      <c r="F470" s="107"/>
      <c r="G470" s="107"/>
      <c r="H470" s="48"/>
      <c r="I470" s="48"/>
      <c r="J470" s="48"/>
      <c r="K470" s="48"/>
      <c r="R470" s="139"/>
    </row>
    <row r="471">
      <c r="B471" s="139"/>
      <c r="C471" s="139"/>
      <c r="D471" s="139"/>
      <c r="E471" s="18"/>
      <c r="F471" s="107"/>
      <c r="G471" s="107"/>
      <c r="H471" s="48"/>
      <c r="I471" s="48"/>
      <c r="J471" s="48"/>
      <c r="K471" s="48"/>
      <c r="R471" s="139"/>
    </row>
    <row r="472">
      <c r="B472" s="139"/>
      <c r="C472" s="139"/>
      <c r="D472" s="139"/>
      <c r="E472" s="18"/>
      <c r="F472" s="107"/>
      <c r="G472" s="107"/>
      <c r="H472" s="48"/>
      <c r="I472" s="48"/>
      <c r="J472" s="48"/>
      <c r="K472" s="48"/>
      <c r="R472" s="139"/>
    </row>
    <row r="473">
      <c r="B473" s="139"/>
      <c r="C473" s="139"/>
      <c r="D473" s="139"/>
      <c r="E473" s="18"/>
      <c r="F473" s="107"/>
      <c r="G473" s="107"/>
      <c r="H473" s="48"/>
      <c r="I473" s="48"/>
      <c r="J473" s="48"/>
      <c r="K473" s="48"/>
      <c r="R473" s="139"/>
    </row>
    <row r="474">
      <c r="B474" s="139"/>
      <c r="C474" s="139"/>
      <c r="D474" s="139"/>
      <c r="E474" s="18"/>
      <c r="F474" s="107"/>
      <c r="G474" s="107"/>
      <c r="H474" s="48"/>
      <c r="I474" s="48"/>
      <c r="J474" s="48"/>
      <c r="K474" s="48"/>
      <c r="R474" s="139"/>
    </row>
    <row r="475">
      <c r="B475" s="139"/>
      <c r="C475" s="139"/>
      <c r="D475" s="139"/>
      <c r="E475" s="18"/>
      <c r="F475" s="107"/>
      <c r="G475" s="107"/>
      <c r="H475" s="48"/>
      <c r="I475" s="48"/>
      <c r="J475" s="48"/>
      <c r="K475" s="48"/>
      <c r="R475" s="139"/>
    </row>
    <row r="476">
      <c r="B476" s="139"/>
      <c r="C476" s="139"/>
      <c r="D476" s="139"/>
      <c r="E476" s="18"/>
      <c r="F476" s="107"/>
      <c r="G476" s="107"/>
      <c r="H476" s="48"/>
      <c r="I476" s="48"/>
      <c r="J476" s="48"/>
      <c r="K476" s="48"/>
      <c r="R476" s="139"/>
    </row>
    <row r="477">
      <c r="B477" s="139"/>
      <c r="C477" s="139"/>
      <c r="D477" s="139"/>
      <c r="E477" s="18"/>
      <c r="F477" s="107"/>
      <c r="G477" s="107"/>
      <c r="H477" s="48"/>
      <c r="I477" s="48"/>
      <c r="J477" s="48"/>
      <c r="K477" s="48"/>
      <c r="R477" s="139"/>
    </row>
    <row r="478">
      <c r="B478" s="139"/>
      <c r="C478" s="139"/>
      <c r="D478" s="139"/>
      <c r="E478" s="18"/>
      <c r="F478" s="107"/>
      <c r="G478" s="107"/>
      <c r="H478" s="48"/>
      <c r="I478" s="48"/>
      <c r="J478" s="48"/>
      <c r="K478" s="48"/>
      <c r="R478" s="139"/>
    </row>
    <row r="479">
      <c r="B479" s="139"/>
      <c r="C479" s="139"/>
      <c r="D479" s="139"/>
      <c r="E479" s="18"/>
      <c r="F479" s="107"/>
      <c r="G479" s="107"/>
      <c r="H479" s="48"/>
      <c r="I479" s="48"/>
      <c r="J479" s="48"/>
      <c r="K479" s="48"/>
      <c r="R479" s="139"/>
    </row>
    <row r="480">
      <c r="B480" s="139"/>
      <c r="C480" s="139"/>
      <c r="D480" s="139"/>
      <c r="E480" s="18"/>
      <c r="F480" s="107"/>
      <c r="G480" s="107"/>
      <c r="H480" s="48"/>
      <c r="I480" s="48"/>
      <c r="J480" s="48"/>
      <c r="K480" s="48"/>
      <c r="R480" s="139"/>
    </row>
    <row r="481">
      <c r="B481" s="139"/>
      <c r="C481" s="139"/>
      <c r="D481" s="139"/>
      <c r="E481" s="18"/>
      <c r="F481" s="107"/>
      <c r="G481" s="107"/>
      <c r="H481" s="48"/>
      <c r="I481" s="48"/>
      <c r="J481" s="48"/>
      <c r="K481" s="48"/>
      <c r="R481" s="139"/>
    </row>
    <row r="482">
      <c r="B482" s="139"/>
      <c r="C482" s="139"/>
      <c r="D482" s="139"/>
      <c r="E482" s="18"/>
      <c r="F482" s="107"/>
      <c r="G482" s="107"/>
      <c r="H482" s="48"/>
      <c r="I482" s="48"/>
      <c r="J482" s="48"/>
      <c r="K482" s="48"/>
      <c r="R482" s="139"/>
    </row>
    <row r="483">
      <c r="B483" s="139"/>
      <c r="C483" s="139"/>
      <c r="D483" s="139"/>
      <c r="E483" s="18"/>
      <c r="F483" s="107"/>
      <c r="G483" s="107"/>
      <c r="H483" s="48"/>
      <c r="I483" s="48"/>
      <c r="J483" s="48"/>
      <c r="K483" s="48"/>
      <c r="R483" s="139"/>
    </row>
    <row r="484">
      <c r="B484" s="139"/>
      <c r="C484" s="139"/>
      <c r="D484" s="139"/>
      <c r="E484" s="18"/>
      <c r="F484" s="107"/>
      <c r="G484" s="107"/>
      <c r="H484" s="48"/>
      <c r="I484" s="48"/>
      <c r="J484" s="48"/>
      <c r="K484" s="48"/>
      <c r="R484" s="139"/>
    </row>
    <row r="485">
      <c r="B485" s="139"/>
      <c r="C485" s="139"/>
      <c r="D485" s="139"/>
      <c r="E485" s="18"/>
      <c r="F485" s="107"/>
      <c r="G485" s="107"/>
      <c r="H485" s="48"/>
      <c r="I485" s="48"/>
      <c r="J485" s="48"/>
      <c r="K485" s="48"/>
      <c r="R485" s="139"/>
    </row>
    <row r="486">
      <c r="B486" s="139"/>
      <c r="C486" s="139"/>
      <c r="D486" s="139"/>
      <c r="E486" s="18"/>
      <c r="F486" s="107"/>
      <c r="G486" s="107"/>
      <c r="H486" s="48"/>
      <c r="I486" s="48"/>
      <c r="J486" s="48"/>
      <c r="K486" s="48"/>
      <c r="R486" s="139"/>
    </row>
    <row r="487">
      <c r="B487" s="139"/>
      <c r="C487" s="139"/>
      <c r="D487" s="139"/>
      <c r="E487" s="18"/>
      <c r="F487" s="107"/>
      <c r="G487" s="107"/>
      <c r="H487" s="48"/>
      <c r="I487" s="48"/>
      <c r="J487" s="48"/>
      <c r="K487" s="48"/>
      <c r="R487" s="139"/>
    </row>
    <row r="488">
      <c r="B488" s="139"/>
      <c r="C488" s="139"/>
      <c r="D488" s="139"/>
      <c r="E488" s="18"/>
      <c r="F488" s="107"/>
      <c r="G488" s="107"/>
      <c r="H488" s="48"/>
      <c r="I488" s="48"/>
      <c r="J488" s="48"/>
      <c r="K488" s="48"/>
      <c r="R488" s="139"/>
    </row>
    <row r="489">
      <c r="B489" s="139"/>
      <c r="C489" s="139"/>
      <c r="D489" s="139"/>
      <c r="E489" s="18"/>
      <c r="F489" s="107"/>
      <c r="G489" s="107"/>
      <c r="H489" s="48"/>
      <c r="I489" s="48"/>
      <c r="J489" s="48"/>
      <c r="K489" s="48"/>
      <c r="R489" s="139"/>
    </row>
    <row r="490">
      <c r="B490" s="139"/>
      <c r="C490" s="139"/>
      <c r="D490" s="139"/>
      <c r="E490" s="18"/>
      <c r="F490" s="107"/>
      <c r="G490" s="107"/>
      <c r="H490" s="48"/>
      <c r="I490" s="48"/>
      <c r="J490" s="48"/>
      <c r="K490" s="48"/>
      <c r="R490" s="139"/>
    </row>
    <row r="491">
      <c r="B491" s="139"/>
      <c r="C491" s="139"/>
      <c r="D491" s="139"/>
      <c r="E491" s="18"/>
      <c r="F491" s="107"/>
      <c r="G491" s="107"/>
      <c r="H491" s="48"/>
      <c r="I491" s="48"/>
      <c r="J491" s="48"/>
      <c r="K491" s="48"/>
      <c r="R491" s="139"/>
    </row>
    <row r="492">
      <c r="B492" s="139"/>
      <c r="C492" s="139"/>
      <c r="D492" s="139"/>
      <c r="E492" s="18"/>
      <c r="F492" s="107"/>
      <c r="G492" s="107"/>
      <c r="H492" s="48"/>
      <c r="I492" s="48"/>
      <c r="J492" s="48"/>
      <c r="K492" s="48"/>
      <c r="R492" s="139"/>
    </row>
    <row r="493">
      <c r="B493" s="139"/>
      <c r="C493" s="139"/>
      <c r="D493" s="139"/>
      <c r="E493" s="18"/>
      <c r="F493" s="107"/>
      <c r="G493" s="107"/>
      <c r="H493" s="48"/>
      <c r="I493" s="48"/>
      <c r="J493" s="48"/>
      <c r="K493" s="48"/>
      <c r="R493" s="139"/>
    </row>
    <row r="494">
      <c r="B494" s="139"/>
      <c r="C494" s="139"/>
      <c r="D494" s="139"/>
      <c r="E494" s="18"/>
      <c r="F494" s="107"/>
      <c r="G494" s="107"/>
      <c r="H494" s="48"/>
      <c r="I494" s="48"/>
      <c r="J494" s="48"/>
      <c r="K494" s="48"/>
      <c r="R494" s="139"/>
    </row>
    <row r="495">
      <c r="B495" s="139"/>
      <c r="C495" s="139"/>
      <c r="D495" s="139"/>
      <c r="E495" s="18"/>
      <c r="F495" s="107"/>
      <c r="G495" s="107"/>
      <c r="H495" s="48"/>
      <c r="I495" s="48"/>
      <c r="J495" s="48"/>
      <c r="K495" s="48"/>
      <c r="R495" s="139"/>
    </row>
    <row r="496">
      <c r="B496" s="139"/>
      <c r="C496" s="139"/>
      <c r="D496" s="139"/>
      <c r="E496" s="18"/>
      <c r="F496" s="107"/>
      <c r="G496" s="107"/>
      <c r="H496" s="48"/>
      <c r="I496" s="48"/>
      <c r="J496" s="48"/>
      <c r="K496" s="48"/>
      <c r="R496" s="139"/>
    </row>
    <row r="497">
      <c r="B497" s="139"/>
      <c r="C497" s="139"/>
      <c r="D497" s="139"/>
      <c r="E497" s="18"/>
      <c r="F497" s="107"/>
      <c r="G497" s="107"/>
      <c r="H497" s="48"/>
      <c r="I497" s="48"/>
      <c r="J497" s="48"/>
      <c r="K497" s="48"/>
      <c r="R497" s="139"/>
    </row>
    <row r="498">
      <c r="B498" s="139"/>
      <c r="C498" s="139"/>
      <c r="D498" s="139"/>
      <c r="E498" s="18"/>
      <c r="F498" s="107"/>
      <c r="G498" s="107"/>
      <c r="H498" s="48"/>
      <c r="I498" s="48"/>
      <c r="J498" s="48"/>
      <c r="K498" s="48"/>
      <c r="R498" s="139"/>
    </row>
    <row r="499">
      <c r="B499" s="139"/>
      <c r="C499" s="139"/>
      <c r="D499" s="139"/>
      <c r="E499" s="18"/>
      <c r="F499" s="107"/>
      <c r="G499" s="107"/>
      <c r="H499" s="48"/>
      <c r="I499" s="48"/>
      <c r="J499" s="48"/>
      <c r="K499" s="48"/>
      <c r="R499" s="139"/>
    </row>
    <row r="500">
      <c r="B500" s="139"/>
      <c r="C500" s="139"/>
      <c r="D500" s="139"/>
      <c r="E500" s="18"/>
      <c r="F500" s="107"/>
      <c r="G500" s="107"/>
      <c r="H500" s="48"/>
      <c r="I500" s="48"/>
      <c r="J500" s="48"/>
      <c r="K500" s="48"/>
      <c r="R500" s="139"/>
    </row>
    <row r="501">
      <c r="B501" s="139"/>
      <c r="C501" s="139"/>
      <c r="D501" s="139"/>
      <c r="E501" s="18"/>
      <c r="F501" s="107"/>
      <c r="G501" s="107"/>
      <c r="H501" s="48"/>
      <c r="I501" s="48"/>
      <c r="J501" s="48"/>
      <c r="K501" s="48"/>
      <c r="R501" s="139"/>
    </row>
    <row r="502">
      <c r="B502" s="139"/>
      <c r="C502" s="139"/>
      <c r="D502" s="139"/>
      <c r="E502" s="18"/>
      <c r="F502" s="107"/>
      <c r="G502" s="107"/>
      <c r="H502" s="48"/>
      <c r="I502" s="48"/>
      <c r="J502" s="48"/>
      <c r="K502" s="48"/>
      <c r="R502" s="139"/>
    </row>
    <row r="503">
      <c r="B503" s="139"/>
      <c r="C503" s="139"/>
      <c r="D503" s="139"/>
      <c r="E503" s="18"/>
      <c r="F503" s="107"/>
      <c r="G503" s="107"/>
      <c r="H503" s="48"/>
      <c r="I503" s="48"/>
      <c r="J503" s="48"/>
      <c r="K503" s="48"/>
      <c r="R503" s="139"/>
    </row>
    <row r="504">
      <c r="B504" s="139"/>
      <c r="C504" s="139"/>
      <c r="D504" s="139"/>
      <c r="E504" s="18"/>
      <c r="F504" s="107"/>
      <c r="G504" s="107"/>
      <c r="H504" s="48"/>
      <c r="I504" s="48"/>
      <c r="J504" s="48"/>
      <c r="K504" s="48"/>
      <c r="R504" s="139"/>
    </row>
    <row r="505">
      <c r="B505" s="139"/>
      <c r="C505" s="139"/>
      <c r="D505" s="139"/>
      <c r="E505" s="18"/>
      <c r="F505" s="107"/>
      <c r="G505" s="107"/>
      <c r="H505" s="48"/>
      <c r="I505" s="48"/>
      <c r="J505" s="48"/>
      <c r="K505" s="48"/>
      <c r="R505" s="139"/>
    </row>
    <row r="506">
      <c r="B506" s="139"/>
      <c r="C506" s="139"/>
      <c r="D506" s="139"/>
      <c r="E506" s="18"/>
      <c r="F506" s="107"/>
      <c r="G506" s="107"/>
      <c r="H506" s="48"/>
      <c r="I506" s="48"/>
      <c r="J506" s="48"/>
      <c r="K506" s="48"/>
      <c r="R506" s="139"/>
    </row>
    <row r="507">
      <c r="B507" s="139"/>
      <c r="C507" s="139"/>
      <c r="D507" s="139"/>
      <c r="E507" s="18"/>
      <c r="F507" s="107"/>
      <c r="G507" s="107"/>
      <c r="H507" s="48"/>
      <c r="I507" s="48"/>
      <c r="J507" s="48"/>
      <c r="K507" s="48"/>
      <c r="R507" s="139"/>
    </row>
    <row r="508">
      <c r="B508" s="139"/>
      <c r="C508" s="139"/>
      <c r="D508" s="139"/>
      <c r="E508" s="18"/>
      <c r="F508" s="107"/>
      <c r="G508" s="107"/>
      <c r="H508" s="48"/>
      <c r="I508" s="48"/>
      <c r="J508" s="48"/>
      <c r="K508" s="48"/>
      <c r="R508" s="139"/>
    </row>
    <row r="509">
      <c r="B509" s="139"/>
      <c r="C509" s="139"/>
      <c r="D509" s="139"/>
      <c r="E509" s="18"/>
      <c r="F509" s="107"/>
      <c r="G509" s="107"/>
      <c r="H509" s="48"/>
      <c r="I509" s="48"/>
      <c r="J509" s="48"/>
      <c r="K509" s="48"/>
      <c r="R509" s="139"/>
    </row>
    <row r="510">
      <c r="B510" s="139"/>
      <c r="C510" s="139"/>
      <c r="D510" s="139"/>
      <c r="E510" s="18"/>
      <c r="F510" s="107"/>
      <c r="G510" s="107"/>
      <c r="H510" s="48"/>
      <c r="I510" s="48"/>
      <c r="J510" s="48"/>
      <c r="K510" s="48"/>
      <c r="R510" s="139"/>
    </row>
    <row r="511">
      <c r="B511" s="139"/>
      <c r="C511" s="139"/>
      <c r="D511" s="139"/>
      <c r="E511" s="18"/>
      <c r="F511" s="107"/>
      <c r="G511" s="107"/>
      <c r="H511" s="48"/>
      <c r="I511" s="48"/>
      <c r="J511" s="48"/>
      <c r="K511" s="48"/>
      <c r="R511" s="139"/>
    </row>
    <row r="512">
      <c r="B512" s="139"/>
      <c r="C512" s="139"/>
      <c r="D512" s="139"/>
      <c r="E512" s="18"/>
      <c r="F512" s="107"/>
      <c r="G512" s="107"/>
      <c r="H512" s="48"/>
      <c r="I512" s="48"/>
      <c r="J512" s="48"/>
      <c r="K512" s="48"/>
      <c r="R512" s="139"/>
    </row>
    <row r="513">
      <c r="B513" s="139"/>
      <c r="C513" s="139"/>
      <c r="D513" s="139"/>
      <c r="E513" s="18"/>
      <c r="F513" s="107"/>
      <c r="G513" s="107"/>
      <c r="H513" s="48"/>
      <c r="I513" s="48"/>
      <c r="J513" s="48"/>
      <c r="K513" s="48"/>
      <c r="R513" s="139"/>
    </row>
    <row r="514">
      <c r="B514" s="139"/>
      <c r="C514" s="139"/>
      <c r="D514" s="139"/>
      <c r="E514" s="18"/>
      <c r="F514" s="107"/>
      <c r="G514" s="107"/>
      <c r="H514" s="48"/>
      <c r="I514" s="48"/>
      <c r="J514" s="48"/>
      <c r="K514" s="48"/>
      <c r="R514" s="139"/>
    </row>
    <row r="515">
      <c r="B515" s="139"/>
      <c r="C515" s="139"/>
      <c r="D515" s="139"/>
      <c r="E515" s="18"/>
      <c r="F515" s="107"/>
      <c r="G515" s="107"/>
      <c r="H515" s="48"/>
      <c r="I515" s="48"/>
      <c r="J515" s="48"/>
      <c r="K515" s="48"/>
      <c r="R515" s="139"/>
    </row>
    <row r="516">
      <c r="B516" s="139"/>
      <c r="C516" s="139"/>
      <c r="D516" s="139"/>
      <c r="E516" s="18"/>
      <c r="F516" s="107"/>
      <c r="G516" s="107"/>
      <c r="H516" s="48"/>
      <c r="I516" s="48"/>
      <c r="J516" s="48"/>
      <c r="K516" s="48"/>
      <c r="R516" s="139"/>
    </row>
    <row r="517">
      <c r="B517" s="139"/>
      <c r="C517" s="139"/>
      <c r="D517" s="139"/>
      <c r="E517" s="18"/>
      <c r="F517" s="107"/>
      <c r="G517" s="107"/>
      <c r="H517" s="48"/>
      <c r="I517" s="48"/>
      <c r="J517" s="48"/>
      <c r="K517" s="48"/>
      <c r="R517" s="139"/>
    </row>
    <row r="518">
      <c r="B518" s="139"/>
      <c r="C518" s="139"/>
      <c r="D518" s="139"/>
      <c r="E518" s="18"/>
      <c r="F518" s="107"/>
      <c r="G518" s="107"/>
      <c r="H518" s="48"/>
      <c r="I518" s="48"/>
      <c r="J518" s="48"/>
      <c r="K518" s="48"/>
      <c r="R518" s="139"/>
    </row>
    <row r="519">
      <c r="B519" s="139"/>
      <c r="C519" s="139"/>
      <c r="D519" s="139"/>
      <c r="E519" s="18"/>
      <c r="F519" s="107"/>
      <c r="G519" s="107"/>
      <c r="H519" s="48"/>
      <c r="I519" s="48"/>
      <c r="J519" s="48"/>
      <c r="K519" s="48"/>
      <c r="R519" s="139"/>
    </row>
    <row r="520">
      <c r="B520" s="139"/>
      <c r="C520" s="139"/>
      <c r="D520" s="139"/>
      <c r="E520" s="18"/>
      <c r="F520" s="107"/>
      <c r="G520" s="107"/>
      <c r="H520" s="48"/>
      <c r="I520" s="48"/>
      <c r="J520" s="48"/>
      <c r="K520" s="48"/>
      <c r="R520" s="139"/>
    </row>
    <row r="521">
      <c r="B521" s="139"/>
      <c r="C521" s="139"/>
      <c r="D521" s="139"/>
      <c r="E521" s="18"/>
      <c r="F521" s="107"/>
      <c r="G521" s="107"/>
      <c r="H521" s="48"/>
      <c r="I521" s="48"/>
      <c r="J521" s="48"/>
      <c r="K521" s="48"/>
      <c r="R521" s="139"/>
    </row>
    <row r="522">
      <c r="B522" s="139"/>
      <c r="C522" s="139"/>
      <c r="D522" s="139"/>
      <c r="E522" s="18"/>
      <c r="F522" s="107"/>
      <c r="G522" s="107"/>
      <c r="H522" s="48"/>
      <c r="I522" s="48"/>
      <c r="J522" s="48"/>
      <c r="K522" s="48"/>
      <c r="R522" s="139"/>
    </row>
    <row r="523">
      <c r="B523" s="139"/>
      <c r="C523" s="139"/>
      <c r="D523" s="139"/>
      <c r="E523" s="18"/>
      <c r="F523" s="107"/>
      <c r="G523" s="107"/>
      <c r="H523" s="48"/>
      <c r="I523" s="48"/>
      <c r="J523" s="48"/>
      <c r="K523" s="48"/>
      <c r="R523" s="139"/>
    </row>
    <row r="524">
      <c r="B524" s="139"/>
      <c r="C524" s="139"/>
      <c r="D524" s="139"/>
      <c r="E524" s="18"/>
      <c r="F524" s="107"/>
      <c r="G524" s="107"/>
      <c r="H524" s="48"/>
      <c r="I524" s="48"/>
      <c r="J524" s="48"/>
      <c r="K524" s="48"/>
      <c r="R524" s="139"/>
    </row>
    <row r="525">
      <c r="B525" s="139"/>
      <c r="C525" s="139"/>
      <c r="D525" s="139"/>
      <c r="E525" s="18"/>
      <c r="F525" s="107"/>
      <c r="G525" s="107"/>
      <c r="H525" s="48"/>
      <c r="I525" s="48"/>
      <c r="J525" s="48"/>
      <c r="K525" s="48"/>
      <c r="R525" s="139"/>
    </row>
    <row r="526">
      <c r="B526" s="139"/>
      <c r="C526" s="139"/>
      <c r="D526" s="139"/>
      <c r="E526" s="18"/>
      <c r="F526" s="107"/>
      <c r="G526" s="107"/>
      <c r="H526" s="48"/>
      <c r="I526" s="48"/>
      <c r="J526" s="48"/>
      <c r="K526" s="48"/>
      <c r="R526" s="139"/>
    </row>
    <row r="527">
      <c r="B527" s="139"/>
      <c r="C527" s="139"/>
      <c r="D527" s="139"/>
      <c r="E527" s="18"/>
      <c r="F527" s="107"/>
      <c r="G527" s="107"/>
      <c r="H527" s="48"/>
      <c r="I527" s="48"/>
      <c r="J527" s="48"/>
      <c r="K527" s="48"/>
      <c r="R527" s="139"/>
    </row>
    <row r="528">
      <c r="B528" s="139"/>
      <c r="C528" s="139"/>
      <c r="D528" s="139"/>
      <c r="E528" s="18"/>
      <c r="F528" s="107"/>
      <c r="G528" s="107"/>
      <c r="H528" s="48"/>
      <c r="I528" s="48"/>
      <c r="J528" s="48"/>
      <c r="K528" s="48"/>
      <c r="R528" s="139"/>
    </row>
    <row r="529">
      <c r="B529" s="139"/>
      <c r="C529" s="139"/>
      <c r="D529" s="139"/>
      <c r="E529" s="18"/>
      <c r="F529" s="107"/>
      <c r="G529" s="107"/>
      <c r="H529" s="48"/>
      <c r="I529" s="48"/>
      <c r="J529" s="48"/>
      <c r="K529" s="48"/>
      <c r="R529" s="139"/>
    </row>
    <row r="530">
      <c r="B530" s="139"/>
      <c r="C530" s="139"/>
      <c r="D530" s="139"/>
      <c r="E530" s="18"/>
      <c r="F530" s="107"/>
      <c r="G530" s="107"/>
      <c r="H530" s="48"/>
      <c r="I530" s="48"/>
      <c r="J530" s="48"/>
      <c r="K530" s="48"/>
      <c r="R530" s="139"/>
    </row>
    <row r="531">
      <c r="B531" s="139"/>
      <c r="C531" s="139"/>
      <c r="D531" s="139"/>
      <c r="E531" s="18"/>
      <c r="F531" s="107"/>
      <c r="G531" s="107"/>
      <c r="H531" s="48"/>
      <c r="I531" s="48"/>
      <c r="J531" s="48"/>
      <c r="K531" s="48"/>
      <c r="R531" s="139"/>
    </row>
    <row r="532">
      <c r="B532" s="139"/>
      <c r="C532" s="139"/>
      <c r="D532" s="139"/>
      <c r="E532" s="18"/>
      <c r="F532" s="107"/>
      <c r="G532" s="107"/>
      <c r="H532" s="48"/>
      <c r="I532" s="48"/>
      <c r="J532" s="48"/>
      <c r="K532" s="48"/>
      <c r="R532" s="139"/>
    </row>
    <row r="533">
      <c r="B533" s="139"/>
      <c r="C533" s="139"/>
      <c r="D533" s="139"/>
      <c r="E533" s="18"/>
      <c r="F533" s="107"/>
      <c r="G533" s="107"/>
      <c r="H533" s="48"/>
      <c r="I533" s="48"/>
      <c r="J533" s="48"/>
      <c r="K533" s="48"/>
      <c r="R533" s="139"/>
    </row>
    <row r="534">
      <c r="B534" s="139"/>
      <c r="C534" s="139"/>
      <c r="D534" s="139"/>
      <c r="E534" s="18"/>
      <c r="F534" s="107"/>
      <c r="G534" s="107"/>
      <c r="H534" s="48"/>
      <c r="I534" s="48"/>
      <c r="J534" s="48"/>
      <c r="K534" s="48"/>
      <c r="R534" s="139"/>
    </row>
    <row r="535">
      <c r="B535" s="139"/>
      <c r="C535" s="139"/>
      <c r="D535" s="139"/>
      <c r="E535" s="18"/>
      <c r="F535" s="107"/>
      <c r="G535" s="107"/>
      <c r="H535" s="48"/>
      <c r="I535" s="48"/>
      <c r="J535" s="48"/>
      <c r="K535" s="48"/>
      <c r="R535" s="139"/>
    </row>
    <row r="536">
      <c r="B536" s="139"/>
      <c r="C536" s="139"/>
      <c r="D536" s="139"/>
      <c r="E536" s="18"/>
      <c r="F536" s="107"/>
      <c r="G536" s="107"/>
      <c r="H536" s="48"/>
      <c r="I536" s="48"/>
      <c r="J536" s="48"/>
      <c r="K536" s="48"/>
      <c r="R536" s="139"/>
    </row>
    <row r="537">
      <c r="B537" s="139"/>
      <c r="C537" s="139"/>
      <c r="D537" s="139"/>
      <c r="E537" s="18"/>
      <c r="F537" s="107"/>
      <c r="G537" s="107"/>
      <c r="H537" s="48"/>
      <c r="I537" s="48"/>
      <c r="J537" s="48"/>
      <c r="K537" s="48"/>
      <c r="R537" s="139"/>
    </row>
    <row r="538">
      <c r="B538" s="139"/>
      <c r="C538" s="139"/>
      <c r="D538" s="139"/>
      <c r="E538" s="18"/>
      <c r="F538" s="107"/>
      <c r="G538" s="107"/>
      <c r="H538" s="48"/>
      <c r="I538" s="48"/>
      <c r="J538" s="48"/>
      <c r="K538" s="48"/>
      <c r="R538" s="139"/>
    </row>
    <row r="539">
      <c r="B539" s="139"/>
      <c r="C539" s="139"/>
      <c r="D539" s="139"/>
      <c r="E539" s="18"/>
      <c r="F539" s="107"/>
      <c r="G539" s="107"/>
      <c r="H539" s="48"/>
      <c r="I539" s="48"/>
      <c r="J539" s="48"/>
      <c r="K539" s="48"/>
      <c r="R539" s="139"/>
    </row>
    <row r="540">
      <c r="B540" s="139"/>
      <c r="C540" s="139"/>
      <c r="D540" s="139"/>
      <c r="E540" s="18"/>
      <c r="F540" s="107"/>
      <c r="G540" s="107"/>
      <c r="H540" s="48"/>
      <c r="I540" s="48"/>
      <c r="J540" s="48"/>
      <c r="K540" s="48"/>
      <c r="R540" s="139"/>
    </row>
    <row r="541">
      <c r="B541" s="139"/>
      <c r="C541" s="139"/>
      <c r="D541" s="139"/>
      <c r="E541" s="18"/>
      <c r="F541" s="107"/>
      <c r="G541" s="107"/>
      <c r="H541" s="48"/>
      <c r="I541" s="48"/>
      <c r="J541" s="48"/>
      <c r="K541" s="48"/>
      <c r="R541" s="139"/>
    </row>
    <row r="542">
      <c r="B542" s="139"/>
      <c r="C542" s="139"/>
      <c r="D542" s="139"/>
      <c r="E542" s="18"/>
      <c r="F542" s="107"/>
      <c r="G542" s="107"/>
      <c r="H542" s="48"/>
      <c r="I542" s="48"/>
      <c r="J542" s="48"/>
      <c r="K542" s="48"/>
      <c r="R542" s="139"/>
    </row>
    <row r="543">
      <c r="B543" s="139"/>
      <c r="C543" s="139"/>
      <c r="D543" s="139"/>
      <c r="E543" s="18"/>
      <c r="F543" s="107"/>
      <c r="G543" s="107"/>
      <c r="H543" s="48"/>
      <c r="I543" s="48"/>
      <c r="J543" s="48"/>
      <c r="K543" s="48"/>
      <c r="R543" s="139"/>
    </row>
    <row r="544">
      <c r="B544" s="139"/>
      <c r="C544" s="139"/>
      <c r="D544" s="139"/>
      <c r="E544" s="18"/>
      <c r="F544" s="107"/>
      <c r="G544" s="107"/>
      <c r="H544" s="48"/>
      <c r="I544" s="48"/>
      <c r="J544" s="48"/>
      <c r="K544" s="48"/>
      <c r="R544" s="139"/>
    </row>
    <row r="545">
      <c r="B545" s="139"/>
      <c r="C545" s="139"/>
      <c r="D545" s="139"/>
      <c r="E545" s="18"/>
      <c r="F545" s="107"/>
      <c r="G545" s="107"/>
      <c r="H545" s="48"/>
      <c r="I545" s="48"/>
      <c r="J545" s="48"/>
      <c r="K545" s="48"/>
      <c r="R545" s="139"/>
    </row>
    <row r="546">
      <c r="B546" s="139"/>
      <c r="C546" s="139"/>
      <c r="D546" s="139"/>
      <c r="E546" s="18"/>
      <c r="F546" s="107"/>
      <c r="G546" s="107"/>
      <c r="H546" s="48"/>
      <c r="I546" s="48"/>
      <c r="J546" s="48"/>
      <c r="K546" s="48"/>
      <c r="R546" s="139"/>
    </row>
    <row r="547">
      <c r="B547" s="139"/>
      <c r="C547" s="139"/>
      <c r="D547" s="139"/>
      <c r="E547" s="18"/>
      <c r="F547" s="107"/>
      <c r="G547" s="107"/>
      <c r="H547" s="48"/>
      <c r="I547" s="48"/>
      <c r="J547" s="48"/>
      <c r="K547" s="48"/>
      <c r="R547" s="139"/>
    </row>
    <row r="548">
      <c r="B548" s="139"/>
      <c r="C548" s="139"/>
      <c r="D548" s="139"/>
      <c r="E548" s="18"/>
      <c r="F548" s="107"/>
      <c r="G548" s="107"/>
      <c r="H548" s="48"/>
      <c r="I548" s="48"/>
      <c r="J548" s="48"/>
      <c r="K548" s="48"/>
      <c r="R548" s="139"/>
    </row>
    <row r="549">
      <c r="B549" s="139"/>
      <c r="C549" s="139"/>
      <c r="D549" s="139"/>
      <c r="E549" s="18"/>
      <c r="F549" s="107"/>
      <c r="G549" s="107"/>
      <c r="H549" s="48"/>
      <c r="I549" s="48"/>
      <c r="J549" s="48"/>
      <c r="K549" s="48"/>
      <c r="R549" s="139"/>
    </row>
    <row r="550">
      <c r="B550" s="139"/>
      <c r="C550" s="139"/>
      <c r="D550" s="139"/>
      <c r="E550" s="18"/>
      <c r="F550" s="107"/>
      <c r="G550" s="107"/>
      <c r="H550" s="48"/>
      <c r="I550" s="48"/>
      <c r="J550" s="48"/>
      <c r="K550" s="48"/>
      <c r="R550" s="139"/>
    </row>
    <row r="551">
      <c r="B551" s="139"/>
      <c r="C551" s="139"/>
      <c r="D551" s="139"/>
      <c r="E551" s="18"/>
      <c r="F551" s="107"/>
      <c r="G551" s="107"/>
      <c r="H551" s="48"/>
      <c r="I551" s="48"/>
      <c r="J551" s="48"/>
      <c r="K551" s="48"/>
      <c r="R551" s="139"/>
    </row>
    <row r="552">
      <c r="B552" s="139"/>
      <c r="C552" s="139"/>
      <c r="D552" s="139"/>
      <c r="E552" s="18"/>
      <c r="F552" s="107"/>
      <c r="G552" s="107"/>
      <c r="H552" s="48"/>
      <c r="I552" s="48"/>
      <c r="J552" s="48"/>
      <c r="K552" s="48"/>
      <c r="R552" s="139"/>
    </row>
    <row r="553">
      <c r="B553" s="139"/>
      <c r="C553" s="139"/>
      <c r="D553" s="139"/>
      <c r="E553" s="18"/>
      <c r="F553" s="107"/>
      <c r="G553" s="107"/>
      <c r="H553" s="48"/>
      <c r="I553" s="48"/>
      <c r="J553" s="48"/>
      <c r="K553" s="48"/>
      <c r="R553" s="139"/>
    </row>
    <row r="554">
      <c r="B554" s="139"/>
      <c r="C554" s="139"/>
      <c r="D554" s="139"/>
      <c r="E554" s="18"/>
      <c r="F554" s="107"/>
      <c r="G554" s="107"/>
      <c r="H554" s="48"/>
      <c r="I554" s="48"/>
      <c r="J554" s="48"/>
      <c r="K554" s="48"/>
      <c r="R554" s="139"/>
    </row>
    <row r="555">
      <c r="B555" s="139"/>
      <c r="C555" s="139"/>
      <c r="D555" s="139"/>
      <c r="E555" s="18"/>
      <c r="F555" s="107"/>
      <c r="G555" s="107"/>
      <c r="H555" s="48"/>
      <c r="I555" s="48"/>
      <c r="J555" s="48"/>
      <c r="K555" s="48"/>
      <c r="R555" s="139"/>
    </row>
    <row r="556">
      <c r="B556" s="139"/>
      <c r="C556" s="139"/>
      <c r="D556" s="139"/>
      <c r="E556" s="18"/>
      <c r="F556" s="107"/>
      <c r="G556" s="107"/>
      <c r="H556" s="48"/>
      <c r="I556" s="48"/>
      <c r="J556" s="48"/>
      <c r="K556" s="48"/>
      <c r="R556" s="139"/>
    </row>
    <row r="557">
      <c r="B557" s="139"/>
      <c r="C557" s="139"/>
      <c r="D557" s="139"/>
      <c r="E557" s="18"/>
      <c r="F557" s="107"/>
      <c r="G557" s="107"/>
      <c r="H557" s="48"/>
      <c r="I557" s="48"/>
      <c r="J557" s="48"/>
      <c r="K557" s="48"/>
      <c r="R557" s="139"/>
    </row>
    <row r="558">
      <c r="B558" s="139"/>
      <c r="C558" s="139"/>
      <c r="D558" s="139"/>
      <c r="E558" s="18"/>
      <c r="F558" s="107"/>
      <c r="G558" s="107"/>
      <c r="H558" s="48"/>
      <c r="I558" s="48"/>
      <c r="J558" s="48"/>
      <c r="K558" s="48"/>
      <c r="R558" s="139"/>
    </row>
    <row r="559">
      <c r="B559" s="139"/>
      <c r="C559" s="139"/>
      <c r="D559" s="139"/>
      <c r="E559" s="18"/>
      <c r="F559" s="107"/>
      <c r="G559" s="107"/>
      <c r="H559" s="48"/>
      <c r="I559" s="48"/>
      <c r="J559" s="48"/>
      <c r="K559" s="48"/>
      <c r="R559" s="139"/>
    </row>
    <row r="560">
      <c r="B560" s="139"/>
      <c r="C560" s="139"/>
      <c r="D560" s="139"/>
      <c r="E560" s="18"/>
      <c r="F560" s="107"/>
      <c r="G560" s="107"/>
      <c r="H560" s="48"/>
      <c r="I560" s="48"/>
      <c r="J560" s="48"/>
      <c r="K560" s="48"/>
      <c r="R560" s="139"/>
    </row>
    <row r="561">
      <c r="B561" s="139"/>
      <c r="C561" s="139"/>
      <c r="D561" s="139"/>
      <c r="E561" s="18"/>
      <c r="F561" s="107"/>
      <c r="G561" s="107"/>
      <c r="H561" s="48"/>
      <c r="I561" s="48"/>
      <c r="J561" s="48"/>
      <c r="K561" s="48"/>
      <c r="R561" s="139"/>
    </row>
    <row r="562">
      <c r="B562" s="139"/>
      <c r="C562" s="139"/>
      <c r="D562" s="139"/>
      <c r="E562" s="18"/>
      <c r="F562" s="107"/>
      <c r="G562" s="107"/>
      <c r="H562" s="48"/>
      <c r="I562" s="48"/>
      <c r="J562" s="48"/>
      <c r="K562" s="48"/>
      <c r="R562" s="139"/>
    </row>
    <row r="563">
      <c r="B563" s="139"/>
      <c r="C563" s="139"/>
      <c r="D563" s="139"/>
      <c r="E563" s="18"/>
      <c r="F563" s="107"/>
      <c r="G563" s="107"/>
      <c r="H563" s="48"/>
      <c r="I563" s="48"/>
      <c r="J563" s="48"/>
      <c r="K563" s="48"/>
      <c r="R563" s="139"/>
    </row>
    <row r="564">
      <c r="B564" s="139"/>
      <c r="C564" s="139"/>
      <c r="D564" s="139"/>
      <c r="E564" s="18"/>
      <c r="F564" s="107"/>
      <c r="G564" s="107"/>
      <c r="H564" s="48"/>
      <c r="I564" s="48"/>
      <c r="J564" s="48"/>
      <c r="K564" s="48"/>
      <c r="R564" s="139"/>
    </row>
    <row r="565">
      <c r="B565" s="139"/>
      <c r="C565" s="139"/>
      <c r="D565" s="139"/>
      <c r="E565" s="18"/>
      <c r="F565" s="107"/>
      <c r="G565" s="107"/>
      <c r="H565" s="48"/>
      <c r="I565" s="48"/>
      <c r="J565" s="48"/>
      <c r="K565" s="48"/>
      <c r="R565" s="139"/>
    </row>
    <row r="566">
      <c r="B566" s="139"/>
      <c r="C566" s="139"/>
      <c r="D566" s="139"/>
      <c r="E566" s="18"/>
      <c r="F566" s="107"/>
      <c r="G566" s="107"/>
      <c r="H566" s="48"/>
      <c r="I566" s="48"/>
      <c r="J566" s="48"/>
      <c r="K566" s="48"/>
      <c r="R566" s="139"/>
    </row>
    <row r="567">
      <c r="B567" s="139"/>
      <c r="C567" s="139"/>
      <c r="D567" s="139"/>
      <c r="E567" s="18"/>
      <c r="F567" s="107"/>
      <c r="G567" s="107"/>
      <c r="H567" s="48"/>
      <c r="I567" s="48"/>
      <c r="J567" s="48"/>
      <c r="K567" s="48"/>
      <c r="R567" s="139"/>
    </row>
    <row r="568">
      <c r="B568" s="139"/>
      <c r="C568" s="139"/>
      <c r="D568" s="139"/>
      <c r="E568" s="18"/>
      <c r="F568" s="107"/>
      <c r="G568" s="107"/>
      <c r="H568" s="48"/>
      <c r="I568" s="48"/>
      <c r="J568" s="48"/>
      <c r="K568" s="48"/>
      <c r="R568" s="139"/>
    </row>
    <row r="569">
      <c r="B569" s="139"/>
      <c r="C569" s="139"/>
      <c r="D569" s="139"/>
      <c r="E569" s="18"/>
      <c r="F569" s="107"/>
      <c r="G569" s="107"/>
      <c r="H569" s="48"/>
      <c r="I569" s="48"/>
      <c r="J569" s="48"/>
      <c r="K569" s="48"/>
      <c r="R569" s="139"/>
    </row>
    <row r="570">
      <c r="B570" s="139"/>
      <c r="C570" s="139"/>
      <c r="D570" s="139"/>
      <c r="E570" s="18"/>
      <c r="F570" s="107"/>
      <c r="G570" s="107"/>
      <c r="H570" s="48"/>
      <c r="I570" s="48"/>
      <c r="J570" s="48"/>
      <c r="K570" s="48"/>
      <c r="R570" s="139"/>
    </row>
    <row r="571">
      <c r="B571" s="139"/>
      <c r="C571" s="139"/>
      <c r="D571" s="139"/>
      <c r="E571" s="18"/>
      <c r="F571" s="107"/>
      <c r="G571" s="107"/>
      <c r="H571" s="48"/>
      <c r="I571" s="48"/>
      <c r="J571" s="48"/>
      <c r="K571" s="48"/>
      <c r="R571" s="139"/>
    </row>
    <row r="572">
      <c r="B572" s="139"/>
      <c r="C572" s="139"/>
      <c r="D572" s="139"/>
      <c r="E572" s="18"/>
      <c r="F572" s="107"/>
      <c r="G572" s="107"/>
      <c r="H572" s="48"/>
      <c r="I572" s="48"/>
      <c r="J572" s="48"/>
      <c r="K572" s="48"/>
      <c r="R572" s="139"/>
    </row>
    <row r="573">
      <c r="B573" s="139"/>
      <c r="C573" s="139"/>
      <c r="D573" s="139"/>
      <c r="E573" s="18"/>
      <c r="F573" s="107"/>
      <c r="G573" s="107"/>
      <c r="H573" s="48"/>
      <c r="I573" s="48"/>
      <c r="J573" s="48"/>
      <c r="K573" s="48"/>
      <c r="R573" s="139"/>
    </row>
    <row r="574">
      <c r="B574" s="139"/>
      <c r="C574" s="139"/>
      <c r="D574" s="139"/>
      <c r="E574" s="18"/>
      <c r="F574" s="107"/>
      <c r="G574" s="107"/>
      <c r="H574" s="48"/>
      <c r="I574" s="48"/>
      <c r="J574" s="48"/>
      <c r="K574" s="48"/>
      <c r="R574" s="139"/>
    </row>
    <row r="575">
      <c r="B575" s="139"/>
      <c r="C575" s="139"/>
      <c r="D575" s="139"/>
      <c r="E575" s="18"/>
      <c r="F575" s="107"/>
      <c r="G575" s="107"/>
      <c r="H575" s="48"/>
      <c r="I575" s="48"/>
      <c r="J575" s="48"/>
      <c r="K575" s="48"/>
      <c r="R575" s="139"/>
    </row>
    <row r="576">
      <c r="B576" s="139"/>
      <c r="C576" s="139"/>
      <c r="D576" s="139"/>
      <c r="E576" s="18"/>
      <c r="F576" s="107"/>
      <c r="G576" s="107"/>
      <c r="H576" s="48"/>
      <c r="I576" s="48"/>
      <c r="J576" s="48"/>
      <c r="K576" s="48"/>
      <c r="R576" s="139"/>
    </row>
    <row r="577">
      <c r="B577" s="139"/>
      <c r="C577" s="139"/>
      <c r="D577" s="139"/>
      <c r="E577" s="18"/>
      <c r="F577" s="107"/>
      <c r="G577" s="107"/>
      <c r="H577" s="48"/>
      <c r="I577" s="48"/>
      <c r="J577" s="48"/>
      <c r="K577" s="48"/>
      <c r="R577" s="139"/>
    </row>
    <row r="578">
      <c r="B578" s="139"/>
      <c r="C578" s="139"/>
      <c r="D578" s="139"/>
      <c r="E578" s="18"/>
      <c r="F578" s="107"/>
      <c r="G578" s="107"/>
      <c r="H578" s="48"/>
      <c r="I578" s="48"/>
      <c r="J578" s="48"/>
      <c r="K578" s="48"/>
      <c r="R578" s="139"/>
    </row>
    <row r="579">
      <c r="B579" s="139"/>
      <c r="C579" s="139"/>
      <c r="D579" s="139"/>
      <c r="E579" s="18"/>
      <c r="F579" s="107"/>
      <c r="G579" s="107"/>
      <c r="H579" s="48"/>
      <c r="I579" s="48"/>
      <c r="J579" s="48"/>
      <c r="K579" s="48"/>
      <c r="R579" s="139"/>
    </row>
    <row r="580">
      <c r="B580" s="139"/>
      <c r="C580" s="139"/>
      <c r="D580" s="139"/>
      <c r="E580" s="18"/>
      <c r="F580" s="107"/>
      <c r="G580" s="107"/>
      <c r="H580" s="48"/>
      <c r="I580" s="48"/>
      <c r="J580" s="48"/>
      <c r="K580" s="48"/>
      <c r="R580" s="139"/>
    </row>
    <row r="581">
      <c r="B581" s="139"/>
      <c r="C581" s="139"/>
      <c r="D581" s="139"/>
      <c r="E581" s="18"/>
      <c r="F581" s="107"/>
      <c r="G581" s="107"/>
      <c r="H581" s="48"/>
      <c r="I581" s="48"/>
      <c r="J581" s="48"/>
      <c r="K581" s="48"/>
      <c r="R581" s="139"/>
    </row>
    <row r="582">
      <c r="B582" s="139"/>
      <c r="C582" s="139"/>
      <c r="D582" s="139"/>
      <c r="E582" s="18"/>
      <c r="F582" s="107"/>
      <c r="G582" s="107"/>
      <c r="H582" s="48"/>
      <c r="I582" s="48"/>
      <c r="J582" s="48"/>
      <c r="K582" s="48"/>
      <c r="R582" s="139"/>
    </row>
    <row r="583">
      <c r="B583" s="139"/>
      <c r="C583" s="139"/>
      <c r="D583" s="139"/>
      <c r="E583" s="18"/>
      <c r="F583" s="107"/>
      <c r="G583" s="107"/>
      <c r="H583" s="48"/>
      <c r="I583" s="48"/>
      <c r="J583" s="48"/>
      <c r="K583" s="48"/>
      <c r="R583" s="139"/>
    </row>
    <row r="584">
      <c r="B584" s="139"/>
      <c r="C584" s="139"/>
      <c r="D584" s="139"/>
      <c r="E584" s="18"/>
      <c r="F584" s="107"/>
      <c r="G584" s="107"/>
      <c r="H584" s="48"/>
      <c r="I584" s="48"/>
      <c r="J584" s="48"/>
      <c r="K584" s="48"/>
      <c r="R584" s="139"/>
    </row>
    <row r="585">
      <c r="B585" s="139"/>
      <c r="C585" s="139"/>
      <c r="D585" s="139"/>
      <c r="E585" s="18"/>
      <c r="F585" s="107"/>
      <c r="G585" s="107"/>
      <c r="H585" s="48"/>
      <c r="I585" s="48"/>
      <c r="J585" s="48"/>
      <c r="K585" s="48"/>
      <c r="R585" s="139"/>
    </row>
    <row r="586">
      <c r="B586" s="139"/>
      <c r="C586" s="139"/>
      <c r="D586" s="139"/>
      <c r="E586" s="18"/>
      <c r="F586" s="107"/>
      <c r="G586" s="107"/>
      <c r="H586" s="48"/>
      <c r="I586" s="48"/>
      <c r="J586" s="48"/>
      <c r="K586" s="48"/>
      <c r="R586" s="139"/>
    </row>
    <row r="587">
      <c r="B587" s="139"/>
      <c r="C587" s="139"/>
      <c r="D587" s="139"/>
      <c r="E587" s="18"/>
      <c r="F587" s="107"/>
      <c r="G587" s="107"/>
      <c r="H587" s="48"/>
      <c r="I587" s="48"/>
      <c r="J587" s="48"/>
      <c r="K587" s="48"/>
      <c r="R587" s="139"/>
    </row>
    <row r="588">
      <c r="B588" s="139"/>
      <c r="C588" s="139"/>
      <c r="D588" s="139"/>
      <c r="E588" s="18"/>
      <c r="F588" s="107"/>
      <c r="G588" s="107"/>
      <c r="H588" s="48"/>
      <c r="I588" s="48"/>
      <c r="J588" s="48"/>
      <c r="K588" s="48"/>
      <c r="R588" s="139"/>
    </row>
    <row r="589">
      <c r="B589" s="139"/>
      <c r="C589" s="139"/>
      <c r="D589" s="139"/>
      <c r="E589" s="18"/>
      <c r="F589" s="107"/>
      <c r="G589" s="107"/>
      <c r="H589" s="48"/>
      <c r="I589" s="48"/>
      <c r="J589" s="48"/>
      <c r="K589" s="48"/>
      <c r="R589" s="139"/>
    </row>
    <row r="590">
      <c r="B590" s="139"/>
      <c r="C590" s="139"/>
      <c r="D590" s="139"/>
      <c r="E590" s="18"/>
      <c r="F590" s="107"/>
      <c r="G590" s="107"/>
      <c r="H590" s="48"/>
      <c r="I590" s="48"/>
      <c r="J590" s="48"/>
      <c r="K590" s="48"/>
      <c r="R590" s="139"/>
    </row>
    <row r="591">
      <c r="B591" s="139"/>
      <c r="C591" s="139"/>
      <c r="D591" s="139"/>
      <c r="E591" s="18"/>
      <c r="F591" s="107"/>
      <c r="G591" s="107"/>
      <c r="H591" s="48"/>
      <c r="I591" s="48"/>
      <c r="J591" s="48"/>
      <c r="K591" s="48"/>
      <c r="R591" s="139"/>
    </row>
    <row r="592">
      <c r="B592" s="139"/>
      <c r="C592" s="139"/>
      <c r="D592" s="139"/>
      <c r="E592" s="18"/>
      <c r="F592" s="107"/>
      <c r="G592" s="107"/>
      <c r="H592" s="48"/>
      <c r="I592" s="48"/>
      <c r="J592" s="48"/>
      <c r="K592" s="48"/>
      <c r="R592" s="139"/>
    </row>
    <row r="593">
      <c r="B593" s="139"/>
      <c r="C593" s="139"/>
      <c r="D593" s="139"/>
      <c r="E593" s="18"/>
      <c r="F593" s="107"/>
      <c r="G593" s="107"/>
      <c r="H593" s="48"/>
      <c r="I593" s="48"/>
      <c r="J593" s="48"/>
      <c r="K593" s="48"/>
      <c r="R593" s="139"/>
    </row>
    <row r="594">
      <c r="B594" s="139"/>
      <c r="C594" s="139"/>
      <c r="D594" s="139"/>
      <c r="E594" s="18"/>
      <c r="F594" s="107"/>
      <c r="G594" s="107"/>
      <c r="H594" s="48"/>
      <c r="I594" s="48"/>
      <c r="J594" s="48"/>
      <c r="K594" s="48"/>
      <c r="R594" s="139"/>
    </row>
    <row r="595">
      <c r="B595" s="139"/>
      <c r="C595" s="139"/>
      <c r="D595" s="139"/>
      <c r="E595" s="18"/>
      <c r="F595" s="107"/>
      <c r="G595" s="107"/>
      <c r="H595" s="48"/>
      <c r="I595" s="48"/>
      <c r="J595" s="48"/>
      <c r="K595" s="48"/>
      <c r="R595" s="139"/>
    </row>
    <row r="596">
      <c r="B596" s="139"/>
      <c r="C596" s="139"/>
      <c r="D596" s="139"/>
      <c r="E596" s="18"/>
      <c r="F596" s="107"/>
      <c r="G596" s="107"/>
      <c r="H596" s="48"/>
      <c r="I596" s="48"/>
      <c r="J596" s="48"/>
      <c r="K596" s="48"/>
      <c r="R596" s="139"/>
    </row>
    <row r="597">
      <c r="B597" s="139"/>
      <c r="C597" s="139"/>
      <c r="D597" s="139"/>
      <c r="E597" s="18"/>
      <c r="F597" s="107"/>
      <c r="G597" s="107"/>
      <c r="H597" s="48"/>
      <c r="I597" s="48"/>
      <c r="J597" s="48"/>
      <c r="K597" s="48"/>
      <c r="R597" s="139"/>
    </row>
    <row r="598">
      <c r="B598" s="139"/>
      <c r="C598" s="139"/>
      <c r="D598" s="139"/>
      <c r="E598" s="18"/>
      <c r="F598" s="107"/>
      <c r="G598" s="107"/>
      <c r="H598" s="48"/>
      <c r="I598" s="48"/>
      <c r="J598" s="48"/>
      <c r="K598" s="48"/>
      <c r="R598" s="139"/>
    </row>
    <row r="599">
      <c r="B599" s="139"/>
      <c r="C599" s="139"/>
      <c r="D599" s="139"/>
      <c r="E599" s="18"/>
      <c r="F599" s="107"/>
      <c r="G599" s="107"/>
      <c r="H599" s="48"/>
      <c r="I599" s="48"/>
      <c r="J599" s="48"/>
      <c r="K599" s="48"/>
      <c r="R599" s="139"/>
    </row>
    <row r="600">
      <c r="B600" s="139"/>
      <c r="C600" s="139"/>
      <c r="D600" s="139"/>
      <c r="E600" s="18"/>
      <c r="F600" s="107"/>
      <c r="G600" s="107"/>
      <c r="H600" s="48"/>
      <c r="I600" s="48"/>
      <c r="J600" s="48"/>
      <c r="K600" s="48"/>
      <c r="R600" s="139"/>
    </row>
    <row r="601">
      <c r="B601" s="139"/>
      <c r="C601" s="139"/>
      <c r="D601" s="139"/>
      <c r="E601" s="18"/>
      <c r="F601" s="107"/>
      <c r="G601" s="107"/>
      <c r="H601" s="48"/>
      <c r="I601" s="48"/>
      <c r="J601" s="48"/>
      <c r="K601" s="48"/>
      <c r="R601" s="139"/>
    </row>
    <row r="602">
      <c r="B602" s="139"/>
      <c r="C602" s="139"/>
      <c r="D602" s="139"/>
      <c r="E602" s="18"/>
      <c r="F602" s="107"/>
      <c r="G602" s="107"/>
      <c r="H602" s="48"/>
      <c r="I602" s="48"/>
      <c r="J602" s="48"/>
      <c r="K602" s="48"/>
      <c r="R602" s="139"/>
    </row>
    <row r="603">
      <c r="B603" s="139"/>
      <c r="C603" s="139"/>
      <c r="D603" s="139"/>
      <c r="E603" s="18"/>
      <c r="F603" s="107"/>
      <c r="G603" s="107"/>
      <c r="H603" s="48"/>
      <c r="I603" s="48"/>
      <c r="J603" s="48"/>
      <c r="K603" s="48"/>
      <c r="R603" s="139"/>
    </row>
    <row r="604">
      <c r="B604" s="139"/>
      <c r="C604" s="139"/>
      <c r="D604" s="139"/>
      <c r="E604" s="18"/>
      <c r="F604" s="107"/>
      <c r="G604" s="107"/>
      <c r="H604" s="48"/>
      <c r="I604" s="48"/>
      <c r="J604" s="48"/>
      <c r="K604" s="48"/>
      <c r="R604" s="139"/>
    </row>
    <row r="605">
      <c r="B605" s="139"/>
      <c r="C605" s="139"/>
      <c r="D605" s="139"/>
      <c r="E605" s="18"/>
      <c r="F605" s="107"/>
      <c r="G605" s="107"/>
      <c r="H605" s="48"/>
      <c r="I605" s="48"/>
      <c r="J605" s="48"/>
      <c r="K605" s="48"/>
      <c r="R605" s="139"/>
    </row>
    <row r="606">
      <c r="B606" s="139"/>
      <c r="C606" s="139"/>
      <c r="D606" s="139"/>
      <c r="E606" s="18"/>
      <c r="F606" s="107"/>
      <c r="G606" s="107"/>
      <c r="H606" s="48"/>
      <c r="I606" s="48"/>
      <c r="J606" s="48"/>
      <c r="K606" s="48"/>
      <c r="R606" s="139"/>
    </row>
    <row r="607">
      <c r="B607" s="139"/>
      <c r="C607" s="139"/>
      <c r="D607" s="139"/>
      <c r="E607" s="18"/>
      <c r="F607" s="107"/>
      <c r="G607" s="107"/>
      <c r="H607" s="48"/>
      <c r="I607" s="48"/>
      <c r="J607" s="48"/>
      <c r="K607" s="48"/>
      <c r="R607" s="139"/>
    </row>
    <row r="608">
      <c r="B608" s="139"/>
      <c r="C608" s="139"/>
      <c r="D608" s="139"/>
      <c r="E608" s="18"/>
      <c r="F608" s="107"/>
      <c r="G608" s="107"/>
      <c r="H608" s="48"/>
      <c r="I608" s="48"/>
      <c r="J608" s="48"/>
      <c r="K608" s="48"/>
      <c r="R608" s="139"/>
    </row>
    <row r="609">
      <c r="B609" s="139"/>
      <c r="C609" s="139"/>
      <c r="D609" s="139"/>
      <c r="E609" s="18"/>
      <c r="F609" s="107"/>
      <c r="G609" s="107"/>
      <c r="H609" s="48"/>
      <c r="I609" s="48"/>
      <c r="J609" s="48"/>
      <c r="K609" s="48"/>
      <c r="R609" s="139"/>
    </row>
    <row r="610">
      <c r="B610" s="139"/>
      <c r="C610" s="139"/>
      <c r="D610" s="139"/>
      <c r="E610" s="18"/>
      <c r="F610" s="107"/>
      <c r="G610" s="107"/>
      <c r="H610" s="48"/>
      <c r="I610" s="48"/>
      <c r="J610" s="48"/>
      <c r="K610" s="48"/>
      <c r="R610" s="139"/>
    </row>
    <row r="611">
      <c r="B611" s="139"/>
      <c r="C611" s="139"/>
      <c r="D611" s="139"/>
      <c r="E611" s="18"/>
      <c r="F611" s="107"/>
      <c r="G611" s="107"/>
      <c r="H611" s="48"/>
      <c r="I611" s="48"/>
      <c r="J611" s="48"/>
      <c r="K611" s="48"/>
      <c r="R611" s="139"/>
    </row>
    <row r="612">
      <c r="B612" s="139"/>
      <c r="C612" s="139"/>
      <c r="D612" s="139"/>
      <c r="E612" s="18"/>
      <c r="F612" s="107"/>
      <c r="G612" s="107"/>
      <c r="H612" s="48"/>
      <c r="I612" s="48"/>
      <c r="J612" s="48"/>
      <c r="K612" s="48"/>
      <c r="R612" s="139"/>
    </row>
    <row r="613">
      <c r="B613" s="139"/>
      <c r="C613" s="139"/>
      <c r="D613" s="139"/>
      <c r="E613" s="18"/>
      <c r="F613" s="107"/>
      <c r="G613" s="107"/>
      <c r="H613" s="48"/>
      <c r="I613" s="48"/>
      <c r="J613" s="48"/>
      <c r="K613" s="48"/>
      <c r="R613" s="139"/>
    </row>
    <row r="614">
      <c r="B614" s="139"/>
      <c r="C614" s="139"/>
      <c r="D614" s="139"/>
      <c r="E614" s="18"/>
      <c r="F614" s="107"/>
      <c r="G614" s="107"/>
      <c r="H614" s="48"/>
      <c r="I614" s="48"/>
      <c r="J614" s="48"/>
      <c r="K614" s="48"/>
      <c r="R614" s="139"/>
    </row>
    <row r="615">
      <c r="B615" s="139"/>
      <c r="C615" s="139"/>
      <c r="D615" s="139"/>
      <c r="E615" s="18"/>
      <c r="F615" s="107"/>
      <c r="G615" s="107"/>
      <c r="H615" s="48"/>
      <c r="I615" s="48"/>
      <c r="J615" s="48"/>
      <c r="K615" s="48"/>
      <c r="R615" s="139"/>
    </row>
    <row r="616">
      <c r="B616" s="139"/>
      <c r="C616" s="139"/>
      <c r="D616" s="139"/>
      <c r="E616" s="18"/>
      <c r="F616" s="107"/>
      <c r="G616" s="107"/>
      <c r="H616" s="48"/>
      <c r="I616" s="48"/>
      <c r="J616" s="48"/>
      <c r="K616" s="48"/>
      <c r="R616" s="139"/>
    </row>
    <row r="617">
      <c r="B617" s="139"/>
      <c r="C617" s="139"/>
      <c r="D617" s="139"/>
      <c r="E617" s="18"/>
      <c r="F617" s="107"/>
      <c r="G617" s="107"/>
      <c r="H617" s="48"/>
      <c r="I617" s="48"/>
      <c r="J617" s="48"/>
      <c r="K617" s="48"/>
      <c r="R617" s="139"/>
    </row>
    <row r="618">
      <c r="B618" s="139"/>
      <c r="C618" s="139"/>
      <c r="D618" s="139"/>
      <c r="E618" s="18"/>
      <c r="F618" s="107"/>
      <c r="G618" s="107"/>
      <c r="H618" s="48"/>
      <c r="I618" s="48"/>
      <c r="J618" s="48"/>
      <c r="K618" s="48"/>
      <c r="R618" s="139"/>
    </row>
    <row r="619">
      <c r="B619" s="139"/>
      <c r="C619" s="139"/>
      <c r="D619" s="139"/>
      <c r="E619" s="18"/>
      <c r="F619" s="107"/>
      <c r="G619" s="107"/>
      <c r="H619" s="48"/>
      <c r="I619" s="48"/>
      <c r="J619" s="48"/>
      <c r="K619" s="48"/>
      <c r="R619" s="139"/>
    </row>
    <row r="620">
      <c r="B620" s="139"/>
      <c r="C620" s="139"/>
      <c r="D620" s="139"/>
      <c r="E620" s="18"/>
      <c r="F620" s="107"/>
      <c r="G620" s="107"/>
      <c r="H620" s="48"/>
      <c r="I620" s="48"/>
      <c r="J620" s="48"/>
      <c r="K620" s="48"/>
      <c r="R620" s="139"/>
    </row>
    <row r="621">
      <c r="B621" s="139"/>
      <c r="C621" s="139"/>
      <c r="D621" s="139"/>
      <c r="E621" s="18"/>
      <c r="F621" s="107"/>
      <c r="G621" s="107"/>
      <c r="H621" s="48"/>
      <c r="I621" s="48"/>
      <c r="J621" s="48"/>
      <c r="K621" s="48"/>
      <c r="R621" s="139"/>
    </row>
    <row r="622">
      <c r="B622" s="139"/>
      <c r="C622" s="139"/>
      <c r="D622" s="139"/>
      <c r="E622" s="18"/>
      <c r="F622" s="107"/>
      <c r="G622" s="107"/>
      <c r="H622" s="48"/>
      <c r="I622" s="48"/>
      <c r="J622" s="48"/>
      <c r="K622" s="48"/>
      <c r="R622" s="139"/>
    </row>
    <row r="623">
      <c r="B623" s="139"/>
      <c r="C623" s="139"/>
      <c r="D623" s="139"/>
      <c r="E623" s="18"/>
      <c r="F623" s="107"/>
      <c r="G623" s="107"/>
      <c r="H623" s="48"/>
      <c r="I623" s="48"/>
      <c r="J623" s="48"/>
      <c r="K623" s="48"/>
      <c r="R623" s="139"/>
    </row>
    <row r="624">
      <c r="B624" s="139"/>
      <c r="C624" s="139"/>
      <c r="D624" s="139"/>
      <c r="E624" s="18"/>
      <c r="F624" s="107"/>
      <c r="G624" s="107"/>
      <c r="H624" s="48"/>
      <c r="I624" s="48"/>
      <c r="J624" s="48"/>
      <c r="K624" s="48"/>
      <c r="R624" s="139"/>
    </row>
    <row r="625">
      <c r="B625" s="139"/>
      <c r="C625" s="139"/>
      <c r="D625" s="139"/>
      <c r="E625" s="18"/>
      <c r="F625" s="107"/>
      <c r="G625" s="107"/>
      <c r="H625" s="48"/>
      <c r="I625" s="48"/>
      <c r="J625" s="48"/>
      <c r="K625" s="48"/>
      <c r="R625" s="139"/>
    </row>
    <row r="626">
      <c r="B626" s="139"/>
      <c r="C626" s="139"/>
      <c r="D626" s="139"/>
      <c r="E626" s="18"/>
      <c r="F626" s="107"/>
      <c r="G626" s="107"/>
      <c r="H626" s="48"/>
      <c r="I626" s="48"/>
      <c r="J626" s="48"/>
      <c r="K626" s="48"/>
      <c r="R626" s="139"/>
    </row>
    <row r="627">
      <c r="B627" s="139"/>
      <c r="C627" s="139"/>
      <c r="D627" s="139"/>
      <c r="E627" s="18"/>
      <c r="F627" s="107"/>
      <c r="G627" s="107"/>
      <c r="H627" s="48"/>
      <c r="I627" s="48"/>
      <c r="J627" s="48"/>
      <c r="K627" s="48"/>
      <c r="R627" s="139"/>
    </row>
    <row r="628">
      <c r="B628" s="139"/>
      <c r="C628" s="139"/>
      <c r="D628" s="139"/>
      <c r="E628" s="18"/>
      <c r="F628" s="107"/>
      <c r="G628" s="107"/>
      <c r="H628" s="48"/>
      <c r="I628" s="48"/>
      <c r="J628" s="48"/>
      <c r="K628" s="48"/>
      <c r="R628" s="139"/>
    </row>
    <row r="629">
      <c r="B629" s="139"/>
      <c r="C629" s="139"/>
      <c r="D629" s="139"/>
      <c r="E629" s="18"/>
      <c r="F629" s="107"/>
      <c r="G629" s="107"/>
      <c r="H629" s="48"/>
      <c r="I629" s="48"/>
      <c r="J629" s="48"/>
      <c r="K629" s="48"/>
      <c r="R629" s="139"/>
    </row>
    <row r="630">
      <c r="B630" s="139"/>
      <c r="C630" s="139"/>
      <c r="D630" s="139"/>
      <c r="E630" s="18"/>
      <c r="F630" s="107"/>
      <c r="G630" s="107"/>
      <c r="H630" s="48"/>
      <c r="I630" s="48"/>
      <c r="J630" s="48"/>
      <c r="K630" s="48"/>
      <c r="R630" s="139"/>
    </row>
    <row r="631">
      <c r="B631" s="139"/>
      <c r="C631" s="139"/>
      <c r="D631" s="139"/>
      <c r="E631" s="18"/>
      <c r="F631" s="107"/>
      <c r="G631" s="107"/>
      <c r="H631" s="48"/>
      <c r="I631" s="48"/>
      <c r="J631" s="48"/>
      <c r="K631" s="48"/>
      <c r="R631" s="139"/>
    </row>
    <row r="632">
      <c r="B632" s="139"/>
      <c r="C632" s="139"/>
      <c r="D632" s="139"/>
      <c r="E632" s="18"/>
      <c r="F632" s="107"/>
      <c r="G632" s="107"/>
      <c r="H632" s="48"/>
      <c r="I632" s="48"/>
      <c r="J632" s="48"/>
      <c r="K632" s="48"/>
      <c r="R632" s="139"/>
    </row>
    <row r="633">
      <c r="B633" s="139"/>
      <c r="C633" s="139"/>
      <c r="D633" s="139"/>
      <c r="E633" s="18"/>
      <c r="F633" s="107"/>
      <c r="G633" s="107"/>
      <c r="H633" s="48"/>
      <c r="I633" s="48"/>
      <c r="J633" s="48"/>
      <c r="K633" s="48"/>
      <c r="R633" s="139"/>
    </row>
    <row r="634">
      <c r="B634" s="139"/>
      <c r="C634" s="139"/>
      <c r="D634" s="139"/>
      <c r="E634" s="18"/>
      <c r="F634" s="107"/>
      <c r="G634" s="107"/>
      <c r="H634" s="48"/>
      <c r="I634" s="48"/>
      <c r="J634" s="48"/>
      <c r="K634" s="48"/>
      <c r="R634" s="139"/>
    </row>
    <row r="635">
      <c r="B635" s="139"/>
      <c r="C635" s="139"/>
      <c r="D635" s="139"/>
      <c r="E635" s="18"/>
      <c r="F635" s="107"/>
      <c r="G635" s="107"/>
      <c r="H635" s="48"/>
      <c r="I635" s="48"/>
      <c r="J635" s="48"/>
      <c r="K635" s="48"/>
      <c r="R635" s="139"/>
    </row>
    <row r="636">
      <c r="B636" s="139"/>
      <c r="C636" s="139"/>
      <c r="D636" s="139"/>
      <c r="E636" s="18"/>
      <c r="F636" s="107"/>
      <c r="G636" s="107"/>
      <c r="H636" s="48"/>
      <c r="I636" s="48"/>
      <c r="J636" s="48"/>
      <c r="K636" s="48"/>
      <c r="R636" s="139"/>
    </row>
    <row r="637">
      <c r="B637" s="139"/>
      <c r="C637" s="139"/>
      <c r="D637" s="139"/>
      <c r="E637" s="18"/>
      <c r="F637" s="107"/>
      <c r="G637" s="107"/>
      <c r="H637" s="48"/>
      <c r="I637" s="48"/>
      <c r="J637" s="48"/>
      <c r="K637" s="48"/>
      <c r="R637" s="139"/>
    </row>
    <row r="638">
      <c r="B638" s="139"/>
      <c r="C638" s="139"/>
      <c r="D638" s="139"/>
      <c r="E638" s="18"/>
      <c r="F638" s="107"/>
      <c r="G638" s="107"/>
      <c r="H638" s="48"/>
      <c r="I638" s="48"/>
      <c r="J638" s="48"/>
      <c r="K638" s="48"/>
      <c r="R638" s="139"/>
    </row>
    <row r="639">
      <c r="B639" s="139"/>
      <c r="C639" s="139"/>
      <c r="D639" s="139"/>
      <c r="E639" s="18"/>
      <c r="F639" s="107"/>
      <c r="G639" s="107"/>
      <c r="H639" s="48"/>
      <c r="I639" s="48"/>
      <c r="J639" s="48"/>
      <c r="K639" s="48"/>
      <c r="R639" s="139"/>
    </row>
    <row r="640">
      <c r="B640" s="139"/>
      <c r="C640" s="139"/>
      <c r="D640" s="139"/>
      <c r="E640" s="18"/>
      <c r="F640" s="107"/>
      <c r="G640" s="107"/>
      <c r="H640" s="48"/>
      <c r="I640" s="48"/>
      <c r="J640" s="48"/>
      <c r="K640" s="48"/>
      <c r="R640" s="139"/>
    </row>
    <row r="641">
      <c r="B641" s="139"/>
      <c r="C641" s="139"/>
      <c r="D641" s="139"/>
      <c r="E641" s="18"/>
      <c r="F641" s="107"/>
      <c r="G641" s="107"/>
      <c r="H641" s="48"/>
      <c r="I641" s="48"/>
      <c r="J641" s="48"/>
      <c r="K641" s="48"/>
      <c r="R641" s="139"/>
    </row>
    <row r="642">
      <c r="B642" s="139"/>
      <c r="C642" s="139"/>
      <c r="D642" s="139"/>
      <c r="E642" s="18"/>
      <c r="F642" s="107"/>
      <c r="G642" s="107"/>
      <c r="H642" s="48"/>
      <c r="I642" s="48"/>
      <c r="J642" s="48"/>
      <c r="K642" s="48"/>
      <c r="R642" s="139"/>
    </row>
    <row r="643">
      <c r="B643" s="139"/>
      <c r="C643" s="139"/>
      <c r="D643" s="139"/>
      <c r="E643" s="18"/>
      <c r="F643" s="107"/>
      <c r="G643" s="107"/>
      <c r="H643" s="48"/>
      <c r="I643" s="48"/>
      <c r="J643" s="48"/>
      <c r="K643" s="48"/>
      <c r="R643" s="139"/>
    </row>
    <row r="644">
      <c r="B644" s="139"/>
      <c r="C644" s="139"/>
      <c r="D644" s="139"/>
      <c r="E644" s="18"/>
      <c r="F644" s="107"/>
      <c r="G644" s="107"/>
      <c r="H644" s="48"/>
      <c r="I644" s="48"/>
      <c r="J644" s="48"/>
      <c r="K644" s="48"/>
      <c r="R644" s="139"/>
    </row>
    <row r="645">
      <c r="B645" s="139"/>
      <c r="C645" s="139"/>
      <c r="D645" s="139"/>
      <c r="E645" s="18"/>
      <c r="F645" s="107"/>
      <c r="G645" s="107"/>
      <c r="H645" s="48"/>
      <c r="I645" s="48"/>
      <c r="J645" s="48"/>
      <c r="K645" s="48"/>
      <c r="R645" s="139"/>
    </row>
    <row r="646">
      <c r="B646" s="139"/>
      <c r="C646" s="139"/>
      <c r="D646" s="139"/>
      <c r="E646" s="18"/>
      <c r="F646" s="107"/>
      <c r="G646" s="107"/>
      <c r="H646" s="48"/>
      <c r="I646" s="48"/>
      <c r="J646" s="48"/>
      <c r="K646" s="48"/>
      <c r="R646" s="139"/>
    </row>
    <row r="647">
      <c r="B647" s="139"/>
      <c r="C647" s="139"/>
      <c r="D647" s="139"/>
      <c r="E647" s="18"/>
      <c r="F647" s="107"/>
      <c r="G647" s="107"/>
      <c r="H647" s="48"/>
      <c r="I647" s="48"/>
      <c r="J647" s="48"/>
      <c r="K647" s="48"/>
      <c r="R647" s="139"/>
    </row>
    <row r="648">
      <c r="B648" s="139"/>
      <c r="C648" s="139"/>
      <c r="D648" s="139"/>
      <c r="E648" s="18"/>
      <c r="F648" s="107"/>
      <c r="G648" s="107"/>
      <c r="H648" s="48"/>
      <c r="I648" s="48"/>
      <c r="J648" s="48"/>
      <c r="K648" s="48"/>
      <c r="R648" s="139"/>
    </row>
    <row r="649">
      <c r="B649" s="139"/>
      <c r="C649" s="139"/>
      <c r="D649" s="139"/>
      <c r="E649" s="18"/>
      <c r="F649" s="107"/>
      <c r="G649" s="107"/>
      <c r="H649" s="48"/>
      <c r="I649" s="48"/>
      <c r="J649" s="48"/>
      <c r="K649" s="48"/>
      <c r="R649" s="139"/>
    </row>
    <row r="650">
      <c r="B650" s="139"/>
      <c r="C650" s="139"/>
      <c r="D650" s="139"/>
      <c r="E650" s="18"/>
      <c r="F650" s="107"/>
      <c r="G650" s="107"/>
      <c r="H650" s="48"/>
      <c r="I650" s="48"/>
      <c r="J650" s="48"/>
      <c r="K650" s="48"/>
      <c r="R650" s="139"/>
    </row>
    <row r="651">
      <c r="B651" s="139"/>
      <c r="C651" s="139"/>
      <c r="D651" s="139"/>
      <c r="E651" s="18"/>
      <c r="F651" s="107"/>
      <c r="G651" s="107"/>
      <c r="H651" s="48"/>
      <c r="I651" s="48"/>
      <c r="J651" s="48"/>
      <c r="K651" s="48"/>
      <c r="R651" s="139"/>
    </row>
    <row r="652">
      <c r="B652" s="139"/>
      <c r="C652" s="139"/>
      <c r="D652" s="139"/>
      <c r="E652" s="18"/>
      <c r="F652" s="107"/>
      <c r="G652" s="107"/>
      <c r="H652" s="48"/>
      <c r="I652" s="48"/>
      <c r="J652" s="48"/>
      <c r="K652" s="48"/>
      <c r="R652" s="139"/>
    </row>
    <row r="653">
      <c r="B653" s="139"/>
      <c r="C653" s="139"/>
      <c r="D653" s="139"/>
      <c r="E653" s="18"/>
      <c r="F653" s="107"/>
      <c r="G653" s="107"/>
      <c r="H653" s="48"/>
      <c r="I653" s="48"/>
      <c r="J653" s="48"/>
      <c r="K653" s="48"/>
      <c r="R653" s="139"/>
    </row>
    <row r="654">
      <c r="B654" s="139"/>
      <c r="C654" s="139"/>
      <c r="D654" s="139"/>
      <c r="E654" s="18"/>
      <c r="F654" s="107"/>
      <c r="G654" s="107"/>
      <c r="H654" s="48"/>
      <c r="I654" s="48"/>
      <c r="J654" s="48"/>
      <c r="K654" s="48"/>
      <c r="R654" s="139"/>
    </row>
    <row r="655">
      <c r="B655" s="139"/>
      <c r="C655" s="139"/>
      <c r="D655" s="139"/>
      <c r="E655" s="18"/>
      <c r="F655" s="107"/>
      <c r="G655" s="107"/>
      <c r="H655" s="48"/>
      <c r="I655" s="48"/>
      <c r="J655" s="48"/>
      <c r="K655" s="48"/>
      <c r="R655" s="139"/>
    </row>
    <row r="656">
      <c r="B656" s="139"/>
      <c r="C656" s="139"/>
      <c r="D656" s="139"/>
      <c r="E656" s="18"/>
      <c r="F656" s="107"/>
      <c r="G656" s="107"/>
      <c r="H656" s="48"/>
      <c r="I656" s="48"/>
      <c r="J656" s="48"/>
      <c r="K656" s="48"/>
      <c r="R656" s="139"/>
    </row>
    <row r="657">
      <c r="B657" s="139"/>
      <c r="C657" s="139"/>
      <c r="D657" s="139"/>
      <c r="E657" s="18"/>
      <c r="F657" s="107"/>
      <c r="G657" s="107"/>
      <c r="H657" s="48"/>
      <c r="I657" s="48"/>
      <c r="J657" s="48"/>
      <c r="K657" s="48"/>
      <c r="R657" s="139"/>
    </row>
    <row r="658">
      <c r="B658" s="139"/>
      <c r="C658" s="139"/>
      <c r="D658" s="139"/>
      <c r="E658" s="18"/>
      <c r="F658" s="107"/>
      <c r="G658" s="107"/>
      <c r="H658" s="48"/>
      <c r="I658" s="48"/>
      <c r="J658" s="48"/>
      <c r="K658" s="48"/>
      <c r="R658" s="139"/>
    </row>
    <row r="659">
      <c r="B659" s="139"/>
      <c r="C659" s="139"/>
      <c r="D659" s="139"/>
      <c r="E659" s="18"/>
      <c r="F659" s="107"/>
      <c r="G659" s="107"/>
      <c r="H659" s="48"/>
      <c r="I659" s="48"/>
      <c r="J659" s="48"/>
      <c r="K659" s="48"/>
      <c r="R659" s="139"/>
    </row>
    <row r="660">
      <c r="B660" s="139"/>
      <c r="C660" s="139"/>
      <c r="D660" s="139"/>
      <c r="E660" s="18"/>
      <c r="F660" s="107"/>
      <c r="G660" s="107"/>
      <c r="H660" s="48"/>
      <c r="I660" s="48"/>
      <c r="J660" s="48"/>
      <c r="K660" s="48"/>
      <c r="R660" s="139"/>
    </row>
    <row r="661">
      <c r="B661" s="139"/>
      <c r="C661" s="139"/>
      <c r="D661" s="139"/>
      <c r="E661" s="18"/>
      <c r="F661" s="107"/>
      <c r="G661" s="107"/>
      <c r="H661" s="48"/>
      <c r="I661" s="48"/>
      <c r="J661" s="48"/>
      <c r="K661" s="48"/>
      <c r="R661" s="139"/>
    </row>
    <row r="662">
      <c r="B662" s="139"/>
      <c r="C662" s="139"/>
      <c r="D662" s="139"/>
      <c r="E662" s="18"/>
      <c r="F662" s="107"/>
      <c r="G662" s="107"/>
      <c r="H662" s="48"/>
      <c r="I662" s="48"/>
      <c r="J662" s="48"/>
      <c r="K662" s="48"/>
      <c r="R662" s="139"/>
    </row>
    <row r="663">
      <c r="B663" s="139"/>
      <c r="C663" s="139"/>
      <c r="D663" s="139"/>
      <c r="E663" s="18"/>
      <c r="F663" s="107"/>
      <c r="G663" s="107"/>
      <c r="H663" s="48"/>
      <c r="I663" s="48"/>
      <c r="J663" s="48"/>
      <c r="K663" s="48"/>
      <c r="R663" s="139"/>
    </row>
    <row r="664">
      <c r="B664" s="139"/>
      <c r="C664" s="139"/>
      <c r="D664" s="139"/>
      <c r="E664" s="18"/>
      <c r="F664" s="107"/>
      <c r="G664" s="107"/>
      <c r="H664" s="48"/>
      <c r="I664" s="48"/>
      <c r="J664" s="48"/>
      <c r="K664" s="48"/>
      <c r="R664" s="139"/>
    </row>
    <row r="665">
      <c r="B665" s="139"/>
      <c r="C665" s="139"/>
      <c r="D665" s="139"/>
      <c r="E665" s="18"/>
      <c r="F665" s="107"/>
      <c r="G665" s="107"/>
      <c r="H665" s="48"/>
      <c r="I665" s="48"/>
      <c r="J665" s="48"/>
      <c r="K665" s="48"/>
      <c r="R665" s="139"/>
    </row>
    <row r="666">
      <c r="B666" s="139"/>
      <c r="C666" s="139"/>
      <c r="D666" s="139"/>
      <c r="E666" s="18"/>
      <c r="F666" s="107"/>
      <c r="G666" s="107"/>
      <c r="H666" s="48"/>
      <c r="I666" s="48"/>
      <c r="J666" s="48"/>
      <c r="K666" s="48"/>
      <c r="R666" s="139"/>
    </row>
    <row r="667">
      <c r="B667" s="139"/>
      <c r="C667" s="139"/>
      <c r="D667" s="139"/>
      <c r="E667" s="18"/>
      <c r="F667" s="107"/>
      <c r="G667" s="107"/>
      <c r="H667" s="48"/>
      <c r="I667" s="48"/>
      <c r="J667" s="48"/>
      <c r="K667" s="48"/>
      <c r="R667" s="139"/>
    </row>
    <row r="668">
      <c r="B668" s="139"/>
      <c r="C668" s="139"/>
      <c r="D668" s="139"/>
      <c r="E668" s="18"/>
      <c r="F668" s="107"/>
      <c r="G668" s="107"/>
      <c r="H668" s="48"/>
      <c r="I668" s="48"/>
      <c r="J668" s="48"/>
      <c r="K668" s="48"/>
      <c r="R668" s="139"/>
    </row>
    <row r="669">
      <c r="B669" s="139"/>
      <c r="C669" s="139"/>
      <c r="D669" s="139"/>
      <c r="E669" s="18"/>
      <c r="F669" s="107"/>
      <c r="G669" s="107"/>
      <c r="H669" s="48"/>
      <c r="I669" s="48"/>
      <c r="J669" s="48"/>
      <c r="K669" s="48"/>
      <c r="R669" s="139"/>
    </row>
    <row r="670">
      <c r="B670" s="139"/>
      <c r="C670" s="139"/>
      <c r="D670" s="139"/>
      <c r="E670" s="18"/>
      <c r="F670" s="107"/>
      <c r="G670" s="107"/>
      <c r="H670" s="48"/>
      <c r="I670" s="48"/>
      <c r="J670" s="48"/>
      <c r="K670" s="48"/>
      <c r="R670" s="139"/>
    </row>
    <row r="671">
      <c r="B671" s="139"/>
      <c r="C671" s="139"/>
      <c r="D671" s="139"/>
      <c r="E671" s="18"/>
      <c r="F671" s="107"/>
      <c r="G671" s="107"/>
      <c r="H671" s="48"/>
      <c r="I671" s="48"/>
      <c r="J671" s="48"/>
      <c r="K671" s="48"/>
      <c r="R671" s="139"/>
    </row>
    <row r="672">
      <c r="B672" s="139"/>
      <c r="C672" s="139"/>
      <c r="D672" s="139"/>
      <c r="E672" s="18"/>
      <c r="F672" s="107"/>
      <c r="G672" s="107"/>
      <c r="H672" s="48"/>
      <c r="I672" s="48"/>
      <c r="J672" s="48"/>
      <c r="K672" s="48"/>
      <c r="R672" s="139"/>
    </row>
    <row r="673">
      <c r="B673" s="139"/>
      <c r="C673" s="139"/>
      <c r="D673" s="139"/>
      <c r="E673" s="18"/>
      <c r="F673" s="107"/>
      <c r="G673" s="107"/>
      <c r="H673" s="48"/>
      <c r="I673" s="48"/>
      <c r="J673" s="48"/>
      <c r="K673" s="48"/>
      <c r="R673" s="139"/>
    </row>
    <row r="674">
      <c r="B674" s="139"/>
      <c r="C674" s="139"/>
      <c r="D674" s="139"/>
      <c r="E674" s="18"/>
      <c r="F674" s="107"/>
      <c r="G674" s="107"/>
      <c r="H674" s="48"/>
      <c r="I674" s="48"/>
      <c r="J674" s="48"/>
      <c r="K674" s="48"/>
      <c r="R674" s="139"/>
    </row>
    <row r="675">
      <c r="B675" s="139"/>
      <c r="C675" s="139"/>
      <c r="D675" s="139"/>
      <c r="E675" s="18"/>
      <c r="F675" s="107"/>
      <c r="G675" s="107"/>
      <c r="H675" s="48"/>
      <c r="I675" s="48"/>
      <c r="J675" s="48"/>
      <c r="K675" s="48"/>
      <c r="R675" s="139"/>
    </row>
    <row r="676">
      <c r="B676" s="139"/>
      <c r="C676" s="139"/>
      <c r="D676" s="139"/>
      <c r="E676" s="18"/>
      <c r="F676" s="107"/>
      <c r="G676" s="107"/>
      <c r="H676" s="48"/>
      <c r="I676" s="48"/>
      <c r="J676" s="48"/>
      <c r="K676" s="48"/>
      <c r="R676" s="139"/>
    </row>
    <row r="677">
      <c r="B677" s="139"/>
      <c r="C677" s="139"/>
      <c r="D677" s="139"/>
      <c r="E677" s="18"/>
      <c r="F677" s="107"/>
      <c r="G677" s="107"/>
      <c r="H677" s="48"/>
      <c r="I677" s="48"/>
      <c r="J677" s="48"/>
      <c r="K677" s="48"/>
      <c r="R677" s="139"/>
    </row>
    <row r="678">
      <c r="B678" s="139"/>
      <c r="C678" s="139"/>
      <c r="D678" s="139"/>
      <c r="E678" s="18"/>
      <c r="F678" s="107"/>
      <c r="G678" s="107"/>
      <c r="H678" s="48"/>
      <c r="I678" s="48"/>
      <c r="J678" s="48"/>
      <c r="K678" s="48"/>
      <c r="R678" s="139"/>
    </row>
    <row r="679">
      <c r="B679" s="139"/>
      <c r="C679" s="139"/>
      <c r="D679" s="139"/>
      <c r="E679" s="18"/>
      <c r="F679" s="107"/>
      <c r="G679" s="107"/>
      <c r="H679" s="48"/>
      <c r="I679" s="48"/>
      <c r="J679" s="48"/>
      <c r="K679" s="48"/>
      <c r="R679" s="139"/>
    </row>
    <row r="680">
      <c r="B680" s="139"/>
      <c r="C680" s="139"/>
      <c r="D680" s="139"/>
      <c r="E680" s="18"/>
      <c r="F680" s="107"/>
      <c r="G680" s="107"/>
      <c r="H680" s="48"/>
      <c r="I680" s="48"/>
      <c r="J680" s="48"/>
      <c r="K680" s="48"/>
      <c r="R680" s="139"/>
    </row>
    <row r="681">
      <c r="B681" s="139"/>
      <c r="C681" s="139"/>
      <c r="D681" s="139"/>
      <c r="E681" s="18"/>
      <c r="F681" s="107"/>
      <c r="G681" s="107"/>
      <c r="H681" s="48"/>
      <c r="I681" s="48"/>
      <c r="J681" s="48"/>
      <c r="K681" s="48"/>
      <c r="R681" s="139"/>
    </row>
    <row r="682">
      <c r="B682" s="139"/>
      <c r="C682" s="139"/>
      <c r="D682" s="139"/>
      <c r="E682" s="18"/>
      <c r="F682" s="107"/>
      <c r="G682" s="107"/>
      <c r="H682" s="48"/>
      <c r="I682" s="48"/>
      <c r="J682" s="48"/>
      <c r="K682" s="48"/>
      <c r="R682" s="139"/>
    </row>
    <row r="683">
      <c r="B683" s="139"/>
      <c r="C683" s="139"/>
      <c r="D683" s="139"/>
      <c r="E683" s="18"/>
      <c r="F683" s="107"/>
      <c r="G683" s="107"/>
      <c r="H683" s="48"/>
      <c r="I683" s="48"/>
      <c r="J683" s="48"/>
      <c r="K683" s="48"/>
      <c r="R683" s="139"/>
    </row>
    <row r="684">
      <c r="B684" s="139"/>
      <c r="C684" s="139"/>
      <c r="D684" s="139"/>
      <c r="E684" s="18"/>
      <c r="F684" s="107"/>
      <c r="G684" s="107"/>
      <c r="H684" s="48"/>
      <c r="I684" s="48"/>
      <c r="J684" s="48"/>
      <c r="K684" s="48"/>
      <c r="R684" s="139"/>
    </row>
    <row r="685">
      <c r="B685" s="139"/>
      <c r="C685" s="139"/>
      <c r="D685" s="139"/>
      <c r="E685" s="18"/>
      <c r="F685" s="107"/>
      <c r="G685" s="107"/>
      <c r="H685" s="48"/>
      <c r="I685" s="48"/>
      <c r="J685" s="48"/>
      <c r="K685" s="48"/>
      <c r="R685" s="139"/>
    </row>
    <row r="686">
      <c r="B686" s="139"/>
      <c r="C686" s="139"/>
      <c r="D686" s="139"/>
      <c r="E686" s="18"/>
      <c r="F686" s="107"/>
      <c r="G686" s="107"/>
      <c r="H686" s="48"/>
      <c r="I686" s="48"/>
      <c r="J686" s="48"/>
      <c r="K686" s="48"/>
      <c r="R686" s="139"/>
    </row>
    <row r="687">
      <c r="B687" s="139"/>
      <c r="C687" s="139"/>
      <c r="D687" s="139"/>
      <c r="E687" s="18"/>
      <c r="F687" s="107"/>
      <c r="G687" s="107"/>
      <c r="H687" s="48"/>
      <c r="I687" s="48"/>
      <c r="J687" s="48"/>
      <c r="K687" s="48"/>
      <c r="R687" s="139"/>
    </row>
    <row r="688">
      <c r="B688" s="139"/>
      <c r="C688" s="139"/>
      <c r="D688" s="139"/>
      <c r="E688" s="18"/>
      <c r="F688" s="107"/>
      <c r="G688" s="107"/>
      <c r="H688" s="48"/>
      <c r="I688" s="48"/>
      <c r="J688" s="48"/>
      <c r="K688" s="48"/>
      <c r="R688" s="139"/>
    </row>
    <row r="689">
      <c r="B689" s="139"/>
      <c r="C689" s="139"/>
      <c r="D689" s="139"/>
      <c r="E689" s="18"/>
      <c r="F689" s="107"/>
      <c r="G689" s="107"/>
      <c r="H689" s="48"/>
      <c r="I689" s="48"/>
      <c r="J689" s="48"/>
      <c r="K689" s="48"/>
      <c r="R689" s="139"/>
    </row>
    <row r="690">
      <c r="B690" s="139"/>
      <c r="C690" s="139"/>
      <c r="D690" s="139"/>
      <c r="E690" s="18"/>
      <c r="F690" s="107"/>
      <c r="G690" s="107"/>
      <c r="H690" s="48"/>
      <c r="I690" s="48"/>
      <c r="J690" s="48"/>
      <c r="K690" s="48"/>
      <c r="R690" s="139"/>
    </row>
    <row r="691">
      <c r="B691" s="139"/>
      <c r="C691" s="139"/>
      <c r="D691" s="139"/>
      <c r="E691" s="18"/>
      <c r="F691" s="107"/>
      <c r="G691" s="107"/>
      <c r="H691" s="48"/>
      <c r="I691" s="48"/>
      <c r="J691" s="48"/>
      <c r="K691" s="48"/>
      <c r="R691" s="139"/>
    </row>
    <row r="692">
      <c r="B692" s="139"/>
      <c r="C692" s="139"/>
      <c r="D692" s="139"/>
      <c r="E692" s="18"/>
      <c r="F692" s="107"/>
      <c r="G692" s="107"/>
      <c r="H692" s="48"/>
      <c r="I692" s="48"/>
      <c r="J692" s="48"/>
      <c r="K692" s="48"/>
      <c r="R692" s="139"/>
    </row>
    <row r="693">
      <c r="B693" s="139"/>
      <c r="C693" s="139"/>
      <c r="D693" s="139"/>
      <c r="E693" s="18"/>
      <c r="F693" s="107"/>
      <c r="G693" s="107"/>
      <c r="H693" s="48"/>
      <c r="I693" s="48"/>
      <c r="J693" s="48"/>
      <c r="K693" s="48"/>
      <c r="R693" s="139"/>
    </row>
    <row r="694">
      <c r="B694" s="139"/>
      <c r="C694" s="139"/>
      <c r="D694" s="139"/>
      <c r="E694" s="18"/>
      <c r="F694" s="107"/>
      <c r="G694" s="107"/>
      <c r="H694" s="48"/>
      <c r="I694" s="48"/>
      <c r="J694" s="48"/>
      <c r="K694" s="48"/>
      <c r="R694" s="139"/>
    </row>
    <row r="695">
      <c r="B695" s="139"/>
      <c r="C695" s="139"/>
      <c r="D695" s="139"/>
      <c r="E695" s="18"/>
      <c r="F695" s="107"/>
      <c r="G695" s="107"/>
      <c r="H695" s="48"/>
      <c r="I695" s="48"/>
      <c r="J695" s="48"/>
      <c r="K695" s="48"/>
      <c r="R695" s="139"/>
    </row>
    <row r="696">
      <c r="B696" s="139"/>
      <c r="C696" s="139"/>
      <c r="D696" s="139"/>
      <c r="E696" s="18"/>
      <c r="F696" s="107"/>
      <c r="G696" s="107"/>
      <c r="H696" s="48"/>
      <c r="I696" s="48"/>
      <c r="J696" s="48"/>
      <c r="K696" s="48"/>
      <c r="R696" s="139"/>
    </row>
    <row r="697">
      <c r="B697" s="139"/>
      <c r="C697" s="139"/>
      <c r="D697" s="139"/>
      <c r="E697" s="18"/>
      <c r="F697" s="107"/>
      <c r="G697" s="107"/>
      <c r="H697" s="48"/>
      <c r="I697" s="48"/>
      <c r="J697" s="48"/>
      <c r="K697" s="48"/>
      <c r="R697" s="139"/>
    </row>
    <row r="698">
      <c r="B698" s="139"/>
      <c r="C698" s="139"/>
      <c r="D698" s="139"/>
      <c r="E698" s="18"/>
      <c r="F698" s="107"/>
      <c r="G698" s="107"/>
      <c r="H698" s="48"/>
      <c r="I698" s="48"/>
      <c r="J698" s="48"/>
      <c r="K698" s="48"/>
      <c r="R698" s="139"/>
    </row>
    <row r="699">
      <c r="B699" s="139"/>
      <c r="C699" s="139"/>
      <c r="D699" s="139"/>
      <c r="E699" s="18"/>
      <c r="F699" s="107"/>
      <c r="G699" s="107"/>
      <c r="H699" s="48"/>
      <c r="I699" s="48"/>
      <c r="J699" s="48"/>
      <c r="K699" s="48"/>
      <c r="R699" s="139"/>
    </row>
    <row r="700">
      <c r="B700" s="139"/>
      <c r="C700" s="139"/>
      <c r="D700" s="139"/>
      <c r="E700" s="18"/>
      <c r="F700" s="107"/>
      <c r="G700" s="107"/>
      <c r="H700" s="48"/>
      <c r="I700" s="48"/>
      <c r="J700" s="48"/>
      <c r="K700" s="48"/>
      <c r="R700" s="139"/>
    </row>
    <row r="701">
      <c r="B701" s="139"/>
      <c r="C701" s="139"/>
      <c r="D701" s="139"/>
      <c r="E701" s="18"/>
      <c r="F701" s="107"/>
      <c r="G701" s="107"/>
      <c r="H701" s="48"/>
      <c r="I701" s="48"/>
      <c r="J701" s="48"/>
      <c r="K701" s="48"/>
      <c r="R701" s="139"/>
    </row>
    <row r="702">
      <c r="B702" s="139"/>
      <c r="C702" s="139"/>
      <c r="D702" s="139"/>
      <c r="E702" s="18"/>
      <c r="F702" s="107"/>
      <c r="G702" s="107"/>
      <c r="H702" s="48"/>
      <c r="I702" s="48"/>
      <c r="J702" s="48"/>
      <c r="K702" s="48"/>
      <c r="R702" s="139"/>
    </row>
    <row r="703">
      <c r="B703" s="139"/>
      <c r="C703" s="139"/>
      <c r="D703" s="139"/>
      <c r="E703" s="18"/>
      <c r="F703" s="107"/>
      <c r="G703" s="107"/>
      <c r="H703" s="48"/>
      <c r="I703" s="48"/>
      <c r="J703" s="48"/>
      <c r="K703" s="48"/>
      <c r="R703" s="139"/>
    </row>
    <row r="704">
      <c r="B704" s="139"/>
      <c r="C704" s="139"/>
      <c r="D704" s="139"/>
      <c r="E704" s="18"/>
      <c r="F704" s="107"/>
      <c r="G704" s="107"/>
      <c r="H704" s="48"/>
      <c r="I704" s="48"/>
      <c r="J704" s="48"/>
      <c r="K704" s="48"/>
      <c r="R704" s="139"/>
    </row>
    <row r="705">
      <c r="B705" s="139"/>
      <c r="C705" s="139"/>
      <c r="D705" s="139"/>
      <c r="E705" s="18"/>
      <c r="F705" s="107"/>
      <c r="G705" s="107"/>
      <c r="H705" s="48"/>
      <c r="I705" s="48"/>
      <c r="J705" s="48"/>
      <c r="K705" s="48"/>
      <c r="R705" s="139"/>
    </row>
    <row r="706">
      <c r="B706" s="139"/>
      <c r="C706" s="139"/>
      <c r="D706" s="139"/>
      <c r="E706" s="18"/>
      <c r="F706" s="107"/>
      <c r="G706" s="107"/>
      <c r="H706" s="48"/>
      <c r="I706" s="48"/>
      <c r="J706" s="48"/>
      <c r="K706" s="48"/>
      <c r="R706" s="139"/>
    </row>
    <row r="707">
      <c r="B707" s="139"/>
      <c r="C707" s="139"/>
      <c r="D707" s="139"/>
      <c r="E707" s="18"/>
      <c r="F707" s="107"/>
      <c r="G707" s="107"/>
      <c r="H707" s="48"/>
      <c r="I707" s="48"/>
      <c r="J707" s="48"/>
      <c r="K707" s="48"/>
      <c r="R707" s="139"/>
    </row>
    <row r="708">
      <c r="B708" s="139"/>
      <c r="C708" s="139"/>
      <c r="D708" s="139"/>
      <c r="E708" s="18"/>
      <c r="F708" s="107"/>
      <c r="G708" s="107"/>
      <c r="H708" s="48"/>
      <c r="I708" s="48"/>
      <c r="J708" s="48"/>
      <c r="K708" s="48"/>
      <c r="R708" s="139"/>
    </row>
    <row r="709">
      <c r="B709" s="139"/>
      <c r="C709" s="139"/>
      <c r="D709" s="139"/>
      <c r="E709" s="18"/>
      <c r="F709" s="107"/>
      <c r="G709" s="107"/>
      <c r="H709" s="48"/>
      <c r="I709" s="48"/>
      <c r="J709" s="48"/>
      <c r="K709" s="48"/>
      <c r="R709" s="139"/>
    </row>
    <row r="710">
      <c r="B710" s="139"/>
      <c r="C710" s="139"/>
      <c r="D710" s="139"/>
      <c r="E710" s="18"/>
      <c r="F710" s="107"/>
      <c r="G710" s="107"/>
      <c r="H710" s="48"/>
      <c r="I710" s="48"/>
      <c r="J710" s="48"/>
      <c r="K710" s="48"/>
      <c r="R710" s="139"/>
    </row>
    <row r="711">
      <c r="B711" s="139"/>
      <c r="C711" s="139"/>
      <c r="D711" s="139"/>
      <c r="E711" s="18"/>
      <c r="F711" s="107"/>
      <c r="G711" s="107"/>
      <c r="H711" s="48"/>
      <c r="I711" s="48"/>
      <c r="J711" s="48"/>
      <c r="K711" s="48"/>
      <c r="R711" s="139"/>
    </row>
    <row r="712">
      <c r="B712" s="139"/>
      <c r="C712" s="139"/>
      <c r="D712" s="139"/>
      <c r="E712" s="18"/>
      <c r="F712" s="107"/>
      <c r="G712" s="107"/>
      <c r="H712" s="48"/>
      <c r="I712" s="48"/>
      <c r="J712" s="48"/>
      <c r="K712" s="48"/>
      <c r="R712" s="139"/>
    </row>
    <row r="713">
      <c r="B713" s="139"/>
      <c r="C713" s="139"/>
      <c r="D713" s="139"/>
      <c r="E713" s="18"/>
      <c r="F713" s="107"/>
      <c r="G713" s="107"/>
      <c r="H713" s="48"/>
      <c r="I713" s="48"/>
      <c r="J713" s="48"/>
      <c r="K713" s="48"/>
      <c r="R713" s="139"/>
    </row>
    <row r="714">
      <c r="B714" s="139"/>
      <c r="C714" s="139"/>
      <c r="D714" s="139"/>
      <c r="E714" s="18"/>
      <c r="F714" s="107"/>
      <c r="G714" s="107"/>
      <c r="H714" s="48"/>
      <c r="I714" s="48"/>
      <c r="J714" s="48"/>
      <c r="K714" s="48"/>
      <c r="R714" s="139"/>
    </row>
    <row r="715">
      <c r="B715" s="139"/>
      <c r="C715" s="139"/>
      <c r="D715" s="139"/>
      <c r="E715" s="18"/>
      <c r="F715" s="107"/>
      <c r="G715" s="107"/>
      <c r="H715" s="48"/>
      <c r="I715" s="48"/>
      <c r="J715" s="48"/>
      <c r="K715" s="48"/>
      <c r="R715" s="139"/>
    </row>
    <row r="716">
      <c r="B716" s="139"/>
      <c r="C716" s="139"/>
      <c r="D716" s="139"/>
      <c r="E716" s="18"/>
      <c r="F716" s="107"/>
      <c r="G716" s="107"/>
      <c r="H716" s="48"/>
      <c r="I716" s="48"/>
      <c r="J716" s="48"/>
      <c r="K716" s="48"/>
      <c r="R716" s="139"/>
    </row>
    <row r="717">
      <c r="B717" s="139"/>
      <c r="C717" s="139"/>
      <c r="D717" s="139"/>
      <c r="E717" s="18"/>
      <c r="F717" s="107"/>
      <c r="G717" s="107"/>
      <c r="H717" s="48"/>
      <c r="I717" s="48"/>
      <c r="J717" s="48"/>
      <c r="K717" s="48"/>
      <c r="R717" s="139"/>
    </row>
    <row r="718">
      <c r="B718" s="139"/>
      <c r="C718" s="139"/>
      <c r="D718" s="139"/>
      <c r="E718" s="18"/>
      <c r="F718" s="107"/>
      <c r="G718" s="107"/>
      <c r="H718" s="48"/>
      <c r="I718" s="48"/>
      <c r="J718" s="48"/>
      <c r="K718" s="48"/>
      <c r="R718" s="139"/>
    </row>
    <row r="719">
      <c r="B719" s="139"/>
      <c r="C719" s="139"/>
      <c r="D719" s="139"/>
      <c r="E719" s="18"/>
      <c r="F719" s="107"/>
      <c r="G719" s="107"/>
      <c r="H719" s="48"/>
      <c r="I719" s="48"/>
      <c r="J719" s="48"/>
      <c r="K719" s="48"/>
      <c r="R719" s="139"/>
    </row>
    <row r="720">
      <c r="B720" s="139"/>
      <c r="C720" s="139"/>
      <c r="D720" s="139"/>
      <c r="E720" s="18"/>
      <c r="F720" s="107"/>
      <c r="G720" s="107"/>
      <c r="H720" s="48"/>
      <c r="I720" s="48"/>
      <c r="J720" s="48"/>
      <c r="K720" s="48"/>
      <c r="R720" s="139"/>
    </row>
    <row r="721">
      <c r="B721" s="139"/>
      <c r="C721" s="139"/>
      <c r="D721" s="139"/>
      <c r="E721" s="18"/>
      <c r="F721" s="107"/>
      <c r="G721" s="107"/>
      <c r="H721" s="48"/>
      <c r="I721" s="48"/>
      <c r="J721" s="48"/>
      <c r="K721" s="48"/>
      <c r="R721" s="139"/>
    </row>
    <row r="722">
      <c r="B722" s="139"/>
      <c r="C722" s="139"/>
      <c r="D722" s="139"/>
      <c r="E722" s="18"/>
      <c r="F722" s="107"/>
      <c r="G722" s="107"/>
      <c r="H722" s="48"/>
      <c r="I722" s="48"/>
      <c r="J722" s="48"/>
      <c r="K722" s="48"/>
      <c r="R722" s="139"/>
    </row>
    <row r="723">
      <c r="B723" s="139"/>
      <c r="C723" s="139"/>
      <c r="D723" s="139"/>
      <c r="E723" s="18"/>
      <c r="F723" s="107"/>
      <c r="G723" s="107"/>
      <c r="H723" s="48"/>
      <c r="I723" s="48"/>
      <c r="J723" s="48"/>
      <c r="K723" s="48"/>
      <c r="R723" s="139"/>
    </row>
    <row r="724">
      <c r="B724" s="139"/>
      <c r="C724" s="139"/>
      <c r="D724" s="139"/>
      <c r="E724" s="18"/>
      <c r="F724" s="107"/>
      <c r="G724" s="107"/>
      <c r="H724" s="48"/>
      <c r="I724" s="48"/>
      <c r="J724" s="48"/>
      <c r="K724" s="48"/>
      <c r="R724" s="139"/>
    </row>
    <row r="725">
      <c r="B725" s="139"/>
      <c r="C725" s="139"/>
      <c r="D725" s="139"/>
      <c r="E725" s="18"/>
      <c r="F725" s="107"/>
      <c r="G725" s="107"/>
      <c r="H725" s="48"/>
      <c r="I725" s="48"/>
      <c r="J725" s="48"/>
      <c r="K725" s="48"/>
      <c r="R725" s="139"/>
    </row>
    <row r="726">
      <c r="B726" s="139"/>
      <c r="C726" s="139"/>
      <c r="D726" s="139"/>
      <c r="E726" s="18"/>
      <c r="F726" s="107"/>
      <c r="G726" s="107"/>
      <c r="H726" s="48"/>
      <c r="I726" s="48"/>
      <c r="J726" s="48"/>
      <c r="K726" s="48"/>
      <c r="R726" s="139"/>
    </row>
    <row r="727">
      <c r="B727" s="139"/>
      <c r="C727" s="139"/>
      <c r="D727" s="139"/>
      <c r="E727" s="18"/>
      <c r="F727" s="107"/>
      <c r="G727" s="107"/>
      <c r="H727" s="48"/>
      <c r="I727" s="48"/>
      <c r="J727" s="48"/>
      <c r="K727" s="48"/>
      <c r="R727" s="139"/>
    </row>
    <row r="728">
      <c r="B728" s="139"/>
      <c r="C728" s="139"/>
      <c r="D728" s="139"/>
      <c r="E728" s="18"/>
      <c r="F728" s="107"/>
      <c r="G728" s="107"/>
      <c r="H728" s="48"/>
      <c r="I728" s="48"/>
      <c r="J728" s="48"/>
      <c r="K728" s="48"/>
      <c r="R728" s="139"/>
    </row>
    <row r="729">
      <c r="B729" s="139"/>
      <c r="C729" s="139"/>
      <c r="D729" s="139"/>
      <c r="E729" s="18"/>
      <c r="F729" s="107"/>
      <c r="G729" s="107"/>
      <c r="H729" s="48"/>
      <c r="I729" s="48"/>
      <c r="J729" s="48"/>
      <c r="K729" s="48"/>
      <c r="R729" s="139"/>
    </row>
    <row r="730">
      <c r="B730" s="139"/>
      <c r="C730" s="139"/>
      <c r="D730" s="139"/>
      <c r="E730" s="18"/>
      <c r="F730" s="107"/>
      <c r="G730" s="107"/>
      <c r="H730" s="48"/>
      <c r="I730" s="48"/>
      <c r="J730" s="48"/>
      <c r="K730" s="48"/>
      <c r="R730" s="139"/>
    </row>
    <row r="731">
      <c r="B731" s="139"/>
      <c r="C731" s="139"/>
      <c r="D731" s="139"/>
      <c r="E731" s="18"/>
      <c r="F731" s="107"/>
      <c r="G731" s="107"/>
      <c r="H731" s="48"/>
      <c r="I731" s="48"/>
      <c r="J731" s="48"/>
      <c r="K731" s="48"/>
      <c r="R731" s="139"/>
    </row>
    <row r="732">
      <c r="B732" s="139"/>
      <c r="C732" s="139"/>
      <c r="D732" s="139"/>
      <c r="E732" s="18"/>
      <c r="F732" s="107"/>
      <c r="G732" s="107"/>
      <c r="H732" s="48"/>
      <c r="I732" s="48"/>
      <c r="J732" s="48"/>
      <c r="K732" s="48"/>
      <c r="R732" s="139"/>
    </row>
    <row r="733">
      <c r="B733" s="139"/>
      <c r="C733" s="139"/>
      <c r="D733" s="139"/>
      <c r="E733" s="18"/>
      <c r="F733" s="107"/>
      <c r="G733" s="107"/>
      <c r="H733" s="48"/>
      <c r="I733" s="48"/>
      <c r="J733" s="48"/>
      <c r="K733" s="48"/>
      <c r="R733" s="139"/>
    </row>
    <row r="734">
      <c r="B734" s="139"/>
      <c r="C734" s="139"/>
      <c r="D734" s="139"/>
      <c r="E734" s="18"/>
      <c r="F734" s="107"/>
      <c r="G734" s="107"/>
      <c r="H734" s="48"/>
      <c r="I734" s="48"/>
      <c r="J734" s="48"/>
      <c r="K734" s="48"/>
      <c r="R734" s="139"/>
    </row>
    <row r="735">
      <c r="B735" s="139"/>
      <c r="C735" s="139"/>
      <c r="D735" s="139"/>
      <c r="E735" s="18"/>
      <c r="F735" s="107"/>
      <c r="G735" s="107"/>
      <c r="H735" s="48"/>
      <c r="I735" s="48"/>
      <c r="J735" s="48"/>
      <c r="K735" s="48"/>
      <c r="R735" s="139"/>
    </row>
    <row r="736">
      <c r="B736" s="139"/>
      <c r="C736" s="139"/>
      <c r="D736" s="139"/>
      <c r="E736" s="18"/>
      <c r="F736" s="107"/>
      <c r="G736" s="107"/>
      <c r="H736" s="48"/>
      <c r="I736" s="48"/>
      <c r="J736" s="48"/>
      <c r="K736" s="48"/>
      <c r="R736" s="139"/>
    </row>
    <row r="737">
      <c r="B737" s="139"/>
      <c r="C737" s="139"/>
      <c r="D737" s="139"/>
      <c r="E737" s="18"/>
      <c r="F737" s="107"/>
      <c r="G737" s="107"/>
      <c r="H737" s="48"/>
      <c r="I737" s="48"/>
      <c r="J737" s="48"/>
      <c r="K737" s="48"/>
      <c r="R737" s="139"/>
    </row>
    <row r="738">
      <c r="B738" s="139"/>
      <c r="C738" s="139"/>
      <c r="D738" s="139"/>
      <c r="E738" s="18"/>
      <c r="F738" s="107"/>
      <c r="G738" s="107"/>
      <c r="H738" s="48"/>
      <c r="I738" s="48"/>
      <c r="J738" s="48"/>
      <c r="K738" s="48"/>
      <c r="R738" s="139"/>
    </row>
    <row r="739">
      <c r="B739" s="139"/>
      <c r="C739" s="139"/>
      <c r="D739" s="139"/>
      <c r="E739" s="18"/>
      <c r="F739" s="107"/>
      <c r="G739" s="107"/>
      <c r="H739" s="48"/>
      <c r="I739" s="48"/>
      <c r="J739" s="48"/>
      <c r="K739" s="48"/>
      <c r="R739" s="139"/>
    </row>
    <row r="740">
      <c r="B740" s="139"/>
      <c r="C740" s="139"/>
      <c r="D740" s="139"/>
      <c r="E740" s="18"/>
      <c r="F740" s="107"/>
      <c r="G740" s="107"/>
      <c r="H740" s="48"/>
      <c r="I740" s="48"/>
      <c r="J740" s="48"/>
      <c r="K740" s="48"/>
      <c r="R740" s="139"/>
    </row>
    <row r="741">
      <c r="B741" s="139"/>
      <c r="C741" s="139"/>
      <c r="D741" s="139"/>
      <c r="E741" s="18"/>
      <c r="F741" s="107"/>
      <c r="G741" s="107"/>
      <c r="H741" s="48"/>
      <c r="I741" s="48"/>
      <c r="J741" s="48"/>
      <c r="K741" s="48"/>
      <c r="R741" s="139"/>
    </row>
    <row r="742">
      <c r="B742" s="139"/>
      <c r="C742" s="139"/>
      <c r="D742" s="139"/>
      <c r="E742" s="18"/>
      <c r="F742" s="107"/>
      <c r="G742" s="107"/>
      <c r="H742" s="48"/>
      <c r="I742" s="48"/>
      <c r="J742" s="48"/>
      <c r="K742" s="48"/>
      <c r="R742" s="139"/>
    </row>
    <row r="743">
      <c r="B743" s="139"/>
      <c r="C743" s="139"/>
      <c r="D743" s="139"/>
      <c r="E743" s="18"/>
      <c r="F743" s="107"/>
      <c r="G743" s="107"/>
      <c r="H743" s="48"/>
      <c r="I743" s="48"/>
      <c r="J743" s="48"/>
      <c r="K743" s="48"/>
      <c r="R743" s="139"/>
    </row>
    <row r="744">
      <c r="B744" s="139"/>
      <c r="C744" s="139"/>
      <c r="D744" s="139"/>
      <c r="E744" s="18"/>
      <c r="F744" s="107"/>
      <c r="G744" s="107"/>
      <c r="H744" s="48"/>
      <c r="I744" s="48"/>
      <c r="J744" s="48"/>
      <c r="K744" s="48"/>
      <c r="R744" s="139"/>
    </row>
    <row r="745">
      <c r="B745" s="139"/>
      <c r="C745" s="139"/>
      <c r="D745" s="139"/>
      <c r="E745" s="18"/>
      <c r="F745" s="107"/>
      <c r="G745" s="107"/>
      <c r="H745" s="48"/>
      <c r="I745" s="48"/>
      <c r="J745" s="48"/>
      <c r="K745" s="48"/>
      <c r="R745" s="139"/>
    </row>
    <row r="746">
      <c r="B746" s="139"/>
      <c r="C746" s="139"/>
      <c r="D746" s="139"/>
      <c r="E746" s="18"/>
      <c r="F746" s="107"/>
      <c r="G746" s="107"/>
      <c r="H746" s="48"/>
      <c r="I746" s="48"/>
      <c r="J746" s="48"/>
      <c r="K746" s="48"/>
      <c r="R746" s="139"/>
    </row>
    <row r="747">
      <c r="B747" s="139"/>
      <c r="C747" s="139"/>
      <c r="D747" s="139"/>
      <c r="E747" s="18"/>
      <c r="F747" s="107"/>
      <c r="G747" s="107"/>
      <c r="H747" s="48"/>
      <c r="I747" s="48"/>
      <c r="J747" s="48"/>
      <c r="K747" s="48"/>
      <c r="R747" s="139"/>
    </row>
    <row r="748">
      <c r="B748" s="139"/>
      <c r="C748" s="139"/>
      <c r="D748" s="139"/>
      <c r="E748" s="18"/>
      <c r="F748" s="107"/>
      <c r="G748" s="107"/>
      <c r="H748" s="48"/>
      <c r="I748" s="48"/>
      <c r="J748" s="48"/>
      <c r="K748" s="48"/>
      <c r="R748" s="139"/>
    </row>
    <row r="749">
      <c r="B749" s="139"/>
      <c r="C749" s="139"/>
      <c r="D749" s="139"/>
      <c r="E749" s="18"/>
      <c r="F749" s="107"/>
      <c r="G749" s="107"/>
      <c r="H749" s="48"/>
      <c r="I749" s="48"/>
      <c r="J749" s="48"/>
      <c r="K749" s="48"/>
      <c r="R749" s="139"/>
    </row>
    <row r="750">
      <c r="B750" s="139"/>
      <c r="C750" s="139"/>
      <c r="D750" s="139"/>
      <c r="E750" s="18"/>
      <c r="F750" s="107"/>
      <c r="G750" s="107"/>
      <c r="H750" s="48"/>
      <c r="I750" s="48"/>
      <c r="J750" s="48"/>
      <c r="K750" s="48"/>
      <c r="R750" s="139"/>
    </row>
    <row r="751">
      <c r="B751" s="139"/>
      <c r="C751" s="139"/>
      <c r="D751" s="139"/>
      <c r="E751" s="18"/>
      <c r="F751" s="107"/>
      <c r="G751" s="107"/>
      <c r="H751" s="48"/>
      <c r="I751" s="48"/>
      <c r="J751" s="48"/>
      <c r="K751" s="48"/>
      <c r="R751" s="139"/>
    </row>
    <row r="752">
      <c r="B752" s="139"/>
      <c r="C752" s="139"/>
      <c r="D752" s="139"/>
      <c r="E752" s="18"/>
      <c r="F752" s="107"/>
      <c r="G752" s="107"/>
      <c r="H752" s="48"/>
      <c r="I752" s="48"/>
      <c r="J752" s="48"/>
      <c r="K752" s="48"/>
      <c r="R752" s="139"/>
    </row>
    <row r="753">
      <c r="B753" s="139"/>
      <c r="C753" s="139"/>
      <c r="D753" s="139"/>
      <c r="E753" s="18"/>
      <c r="F753" s="107"/>
      <c r="G753" s="107"/>
      <c r="H753" s="48"/>
      <c r="I753" s="48"/>
      <c r="J753" s="48"/>
      <c r="K753" s="48"/>
      <c r="R753" s="139"/>
    </row>
    <row r="754">
      <c r="B754" s="139"/>
      <c r="C754" s="139"/>
      <c r="D754" s="139"/>
      <c r="E754" s="18"/>
      <c r="F754" s="107"/>
      <c r="G754" s="107"/>
      <c r="H754" s="48"/>
      <c r="I754" s="48"/>
      <c r="J754" s="48"/>
      <c r="K754" s="48"/>
      <c r="R754" s="139"/>
    </row>
    <row r="755">
      <c r="B755" s="139"/>
      <c r="C755" s="139"/>
      <c r="D755" s="139"/>
      <c r="E755" s="18"/>
      <c r="F755" s="107"/>
      <c r="G755" s="107"/>
      <c r="H755" s="48"/>
      <c r="I755" s="48"/>
      <c r="J755" s="48"/>
      <c r="K755" s="48"/>
      <c r="R755" s="139"/>
    </row>
    <row r="756">
      <c r="B756" s="139"/>
      <c r="C756" s="139"/>
      <c r="D756" s="139"/>
      <c r="E756" s="18"/>
      <c r="F756" s="107"/>
      <c r="G756" s="107"/>
      <c r="H756" s="48"/>
      <c r="I756" s="48"/>
      <c r="J756" s="48"/>
      <c r="K756" s="48"/>
      <c r="R756" s="139"/>
    </row>
    <row r="757">
      <c r="B757" s="139"/>
      <c r="C757" s="139"/>
      <c r="D757" s="139"/>
      <c r="E757" s="18"/>
      <c r="F757" s="107"/>
      <c r="G757" s="107"/>
      <c r="H757" s="48"/>
      <c r="I757" s="48"/>
      <c r="J757" s="48"/>
      <c r="K757" s="48"/>
      <c r="R757" s="139"/>
    </row>
    <row r="758">
      <c r="B758" s="139"/>
      <c r="C758" s="139"/>
      <c r="D758" s="139"/>
      <c r="E758" s="18"/>
      <c r="F758" s="107"/>
      <c r="G758" s="107"/>
      <c r="H758" s="48"/>
      <c r="I758" s="48"/>
      <c r="J758" s="48"/>
      <c r="K758" s="48"/>
      <c r="R758" s="139"/>
    </row>
    <row r="759">
      <c r="B759" s="139"/>
      <c r="C759" s="139"/>
      <c r="D759" s="139"/>
      <c r="E759" s="18"/>
      <c r="F759" s="107"/>
      <c r="G759" s="107"/>
      <c r="H759" s="48"/>
      <c r="I759" s="48"/>
      <c r="J759" s="48"/>
      <c r="K759" s="48"/>
      <c r="R759" s="139"/>
    </row>
    <row r="760">
      <c r="B760" s="139"/>
      <c r="C760" s="139"/>
      <c r="D760" s="139"/>
      <c r="E760" s="18"/>
      <c r="F760" s="107"/>
      <c r="G760" s="107"/>
      <c r="H760" s="48"/>
      <c r="I760" s="48"/>
      <c r="J760" s="48"/>
      <c r="K760" s="48"/>
      <c r="R760" s="139"/>
    </row>
    <row r="761">
      <c r="B761" s="139"/>
      <c r="C761" s="139"/>
      <c r="D761" s="139"/>
      <c r="E761" s="18"/>
      <c r="F761" s="107"/>
      <c r="G761" s="107"/>
      <c r="H761" s="48"/>
      <c r="I761" s="48"/>
      <c r="J761" s="48"/>
      <c r="K761" s="48"/>
      <c r="R761" s="139"/>
    </row>
    <row r="762">
      <c r="B762" s="139"/>
      <c r="C762" s="139"/>
      <c r="D762" s="139"/>
      <c r="E762" s="18"/>
      <c r="F762" s="107"/>
      <c r="G762" s="107"/>
      <c r="H762" s="48"/>
      <c r="I762" s="48"/>
      <c r="J762" s="48"/>
      <c r="K762" s="48"/>
      <c r="R762" s="139"/>
    </row>
    <row r="763">
      <c r="B763" s="139"/>
      <c r="C763" s="139"/>
      <c r="D763" s="139"/>
      <c r="E763" s="18"/>
      <c r="F763" s="107"/>
      <c r="G763" s="107"/>
      <c r="H763" s="48"/>
      <c r="I763" s="48"/>
      <c r="J763" s="48"/>
      <c r="K763" s="48"/>
      <c r="R763" s="139"/>
    </row>
    <row r="764">
      <c r="B764" s="139"/>
      <c r="C764" s="139"/>
      <c r="D764" s="139"/>
      <c r="E764" s="18"/>
      <c r="F764" s="107"/>
      <c r="G764" s="107"/>
      <c r="H764" s="48"/>
      <c r="I764" s="48"/>
      <c r="J764" s="48"/>
      <c r="K764" s="48"/>
      <c r="R764" s="139"/>
    </row>
    <row r="765">
      <c r="B765" s="139"/>
      <c r="C765" s="139"/>
      <c r="D765" s="139"/>
      <c r="E765" s="18"/>
      <c r="F765" s="107"/>
      <c r="G765" s="107"/>
      <c r="H765" s="48"/>
      <c r="I765" s="48"/>
      <c r="J765" s="48"/>
      <c r="K765" s="48"/>
      <c r="R765" s="139"/>
    </row>
    <row r="766">
      <c r="B766" s="139"/>
      <c r="C766" s="139"/>
      <c r="D766" s="139"/>
      <c r="E766" s="18"/>
      <c r="F766" s="107"/>
      <c r="G766" s="107"/>
      <c r="H766" s="48"/>
      <c r="I766" s="48"/>
      <c r="J766" s="48"/>
      <c r="K766" s="48"/>
      <c r="R766" s="139"/>
    </row>
    <row r="767">
      <c r="B767" s="139"/>
      <c r="C767" s="139"/>
      <c r="D767" s="139"/>
      <c r="E767" s="18"/>
      <c r="F767" s="107"/>
      <c r="G767" s="107"/>
      <c r="H767" s="48"/>
      <c r="I767" s="48"/>
      <c r="J767" s="48"/>
      <c r="K767" s="48"/>
      <c r="R767" s="139"/>
    </row>
    <row r="768">
      <c r="B768" s="139"/>
      <c r="C768" s="139"/>
      <c r="D768" s="139"/>
      <c r="E768" s="18"/>
      <c r="F768" s="107"/>
      <c r="G768" s="107"/>
      <c r="H768" s="48"/>
      <c r="I768" s="48"/>
      <c r="J768" s="48"/>
      <c r="K768" s="48"/>
      <c r="R768" s="139"/>
    </row>
    <row r="769">
      <c r="B769" s="139"/>
      <c r="C769" s="139"/>
      <c r="D769" s="139"/>
      <c r="E769" s="18"/>
      <c r="F769" s="107"/>
      <c r="G769" s="107"/>
      <c r="H769" s="48"/>
      <c r="I769" s="48"/>
      <c r="J769" s="48"/>
      <c r="K769" s="48"/>
      <c r="R769" s="139"/>
    </row>
    <row r="770">
      <c r="B770" s="139"/>
      <c r="C770" s="139"/>
      <c r="D770" s="139"/>
      <c r="E770" s="18"/>
      <c r="F770" s="107"/>
      <c r="G770" s="107"/>
      <c r="H770" s="48"/>
      <c r="I770" s="48"/>
      <c r="J770" s="48"/>
      <c r="K770" s="48"/>
      <c r="R770" s="139"/>
    </row>
    <row r="771">
      <c r="B771" s="139"/>
      <c r="C771" s="139"/>
      <c r="D771" s="139"/>
      <c r="E771" s="18"/>
      <c r="F771" s="107"/>
      <c r="G771" s="107"/>
      <c r="H771" s="48"/>
      <c r="I771" s="48"/>
      <c r="J771" s="48"/>
      <c r="K771" s="48"/>
      <c r="R771" s="139"/>
    </row>
    <row r="772">
      <c r="B772" s="139"/>
      <c r="C772" s="139"/>
      <c r="D772" s="139"/>
      <c r="E772" s="18"/>
      <c r="F772" s="107"/>
      <c r="G772" s="107"/>
      <c r="H772" s="48"/>
      <c r="I772" s="48"/>
      <c r="J772" s="48"/>
      <c r="K772" s="48"/>
      <c r="R772" s="139"/>
    </row>
    <row r="773">
      <c r="B773" s="139"/>
      <c r="C773" s="139"/>
      <c r="D773" s="139"/>
      <c r="E773" s="18"/>
      <c r="F773" s="107"/>
      <c r="G773" s="107"/>
      <c r="H773" s="48"/>
      <c r="I773" s="48"/>
      <c r="J773" s="48"/>
      <c r="K773" s="48"/>
      <c r="R773" s="139"/>
    </row>
    <row r="774">
      <c r="B774" s="139"/>
      <c r="C774" s="139"/>
      <c r="D774" s="139"/>
      <c r="E774" s="18"/>
      <c r="F774" s="107"/>
      <c r="G774" s="107"/>
      <c r="H774" s="48"/>
      <c r="I774" s="48"/>
      <c r="J774" s="48"/>
      <c r="K774" s="48"/>
      <c r="R774" s="139"/>
    </row>
    <row r="775">
      <c r="B775" s="139"/>
      <c r="C775" s="139"/>
      <c r="D775" s="139"/>
      <c r="E775" s="18"/>
      <c r="F775" s="107"/>
      <c r="G775" s="107"/>
      <c r="H775" s="48"/>
      <c r="I775" s="48"/>
      <c r="J775" s="48"/>
      <c r="K775" s="48"/>
      <c r="R775" s="139"/>
    </row>
    <row r="776">
      <c r="B776" s="139"/>
      <c r="C776" s="139"/>
      <c r="D776" s="139"/>
      <c r="E776" s="18"/>
      <c r="F776" s="107"/>
      <c r="G776" s="107"/>
      <c r="H776" s="48"/>
      <c r="I776" s="48"/>
      <c r="J776" s="48"/>
      <c r="K776" s="48"/>
      <c r="R776" s="139"/>
    </row>
    <row r="777">
      <c r="B777" s="139"/>
      <c r="C777" s="139"/>
      <c r="D777" s="139"/>
      <c r="E777" s="18"/>
      <c r="F777" s="107"/>
      <c r="G777" s="107"/>
      <c r="H777" s="48"/>
      <c r="I777" s="48"/>
      <c r="J777" s="48"/>
      <c r="K777" s="48"/>
      <c r="R777" s="139"/>
    </row>
    <row r="778">
      <c r="B778" s="139"/>
      <c r="C778" s="139"/>
      <c r="D778" s="139"/>
      <c r="E778" s="18"/>
      <c r="F778" s="107"/>
      <c r="G778" s="107"/>
      <c r="H778" s="48"/>
      <c r="I778" s="48"/>
      <c r="J778" s="48"/>
      <c r="K778" s="48"/>
      <c r="R778" s="139"/>
    </row>
    <row r="779">
      <c r="B779" s="139"/>
      <c r="C779" s="139"/>
      <c r="D779" s="139"/>
      <c r="E779" s="18"/>
      <c r="F779" s="107"/>
      <c r="G779" s="107"/>
      <c r="H779" s="48"/>
      <c r="I779" s="48"/>
      <c r="J779" s="48"/>
      <c r="K779" s="48"/>
      <c r="R779" s="139"/>
    </row>
    <row r="780">
      <c r="B780" s="139"/>
      <c r="C780" s="139"/>
      <c r="D780" s="139"/>
      <c r="E780" s="18"/>
      <c r="F780" s="107"/>
      <c r="G780" s="107"/>
      <c r="H780" s="48"/>
      <c r="I780" s="48"/>
      <c r="J780" s="48"/>
      <c r="K780" s="48"/>
      <c r="R780" s="139"/>
    </row>
    <row r="781">
      <c r="B781" s="139"/>
      <c r="C781" s="139"/>
      <c r="D781" s="139"/>
      <c r="E781" s="18"/>
      <c r="F781" s="107"/>
      <c r="G781" s="107"/>
      <c r="H781" s="48"/>
      <c r="I781" s="48"/>
      <c r="J781" s="48"/>
      <c r="K781" s="48"/>
      <c r="R781" s="139"/>
    </row>
    <row r="782">
      <c r="B782" s="139"/>
      <c r="C782" s="139"/>
      <c r="D782" s="139"/>
      <c r="E782" s="18"/>
      <c r="F782" s="107"/>
      <c r="G782" s="107"/>
      <c r="H782" s="48"/>
      <c r="I782" s="48"/>
      <c r="J782" s="48"/>
      <c r="K782" s="48"/>
      <c r="R782" s="139"/>
    </row>
    <row r="783">
      <c r="B783" s="139"/>
      <c r="C783" s="139"/>
      <c r="D783" s="139"/>
      <c r="E783" s="18"/>
      <c r="F783" s="107"/>
      <c r="G783" s="107"/>
      <c r="H783" s="48"/>
      <c r="I783" s="48"/>
      <c r="J783" s="48"/>
      <c r="K783" s="48"/>
      <c r="R783" s="139"/>
    </row>
    <row r="784">
      <c r="B784" s="139"/>
      <c r="C784" s="139"/>
      <c r="D784" s="139"/>
      <c r="E784" s="18"/>
      <c r="F784" s="107"/>
      <c r="G784" s="107"/>
      <c r="H784" s="48"/>
      <c r="I784" s="48"/>
      <c r="J784" s="48"/>
      <c r="K784" s="48"/>
      <c r="R784" s="139"/>
    </row>
    <row r="785">
      <c r="B785" s="139"/>
      <c r="C785" s="139"/>
      <c r="D785" s="139"/>
      <c r="E785" s="18"/>
      <c r="F785" s="107"/>
      <c r="G785" s="107"/>
      <c r="H785" s="48"/>
      <c r="I785" s="48"/>
      <c r="J785" s="48"/>
      <c r="K785" s="48"/>
      <c r="R785" s="139"/>
    </row>
    <row r="786">
      <c r="B786" s="139"/>
      <c r="C786" s="139"/>
      <c r="D786" s="139"/>
      <c r="E786" s="18"/>
      <c r="F786" s="107"/>
      <c r="G786" s="107"/>
      <c r="H786" s="48"/>
      <c r="I786" s="48"/>
      <c r="J786" s="48"/>
      <c r="K786" s="48"/>
      <c r="R786" s="139"/>
    </row>
    <row r="787">
      <c r="B787" s="139"/>
      <c r="C787" s="139"/>
      <c r="D787" s="139"/>
      <c r="E787" s="18"/>
      <c r="F787" s="107"/>
      <c r="G787" s="107"/>
      <c r="H787" s="48"/>
      <c r="I787" s="48"/>
      <c r="J787" s="48"/>
      <c r="K787" s="48"/>
      <c r="R787" s="139"/>
    </row>
    <row r="788">
      <c r="B788" s="139"/>
      <c r="C788" s="139"/>
      <c r="D788" s="139"/>
      <c r="E788" s="18"/>
      <c r="F788" s="107"/>
      <c r="G788" s="107"/>
      <c r="H788" s="48"/>
      <c r="I788" s="48"/>
      <c r="J788" s="48"/>
      <c r="K788" s="48"/>
      <c r="R788" s="139"/>
    </row>
    <row r="789">
      <c r="B789" s="139"/>
      <c r="C789" s="139"/>
      <c r="D789" s="139"/>
      <c r="E789" s="18"/>
      <c r="F789" s="107"/>
      <c r="G789" s="107"/>
      <c r="H789" s="48"/>
      <c r="I789" s="48"/>
      <c r="J789" s="48"/>
      <c r="K789" s="48"/>
      <c r="R789" s="139"/>
    </row>
    <row r="790">
      <c r="B790" s="139"/>
      <c r="C790" s="139"/>
      <c r="D790" s="139"/>
      <c r="E790" s="18"/>
      <c r="F790" s="107"/>
      <c r="G790" s="107"/>
      <c r="H790" s="48"/>
      <c r="I790" s="48"/>
      <c r="J790" s="48"/>
      <c r="K790" s="48"/>
      <c r="R790" s="139"/>
    </row>
    <row r="791">
      <c r="B791" s="139"/>
      <c r="C791" s="139"/>
      <c r="D791" s="139"/>
      <c r="E791" s="18"/>
      <c r="F791" s="107"/>
      <c r="G791" s="107"/>
      <c r="H791" s="48"/>
      <c r="I791" s="48"/>
      <c r="J791" s="48"/>
      <c r="K791" s="48"/>
      <c r="R791" s="139"/>
    </row>
    <row r="792">
      <c r="B792" s="139"/>
      <c r="C792" s="139"/>
      <c r="D792" s="139"/>
      <c r="E792" s="18"/>
      <c r="F792" s="107"/>
      <c r="G792" s="107"/>
      <c r="H792" s="48"/>
      <c r="I792" s="48"/>
      <c r="J792" s="48"/>
      <c r="K792" s="48"/>
      <c r="R792" s="139"/>
    </row>
    <row r="793">
      <c r="B793" s="139"/>
      <c r="C793" s="139"/>
      <c r="D793" s="139"/>
      <c r="E793" s="18"/>
      <c r="F793" s="107"/>
      <c r="G793" s="107"/>
      <c r="H793" s="48"/>
      <c r="I793" s="48"/>
      <c r="J793" s="48"/>
      <c r="K793" s="48"/>
      <c r="R793" s="139"/>
    </row>
    <row r="794">
      <c r="B794" s="139"/>
      <c r="C794" s="139"/>
      <c r="D794" s="139"/>
      <c r="E794" s="18"/>
      <c r="F794" s="107"/>
      <c r="G794" s="107"/>
      <c r="H794" s="48"/>
      <c r="I794" s="48"/>
      <c r="J794" s="48"/>
      <c r="K794" s="48"/>
      <c r="R794" s="139"/>
    </row>
    <row r="795">
      <c r="B795" s="139"/>
      <c r="C795" s="139"/>
      <c r="D795" s="139"/>
      <c r="E795" s="18"/>
      <c r="F795" s="107"/>
      <c r="G795" s="107"/>
      <c r="H795" s="48"/>
      <c r="I795" s="48"/>
      <c r="J795" s="48"/>
      <c r="K795" s="48"/>
      <c r="R795" s="139"/>
    </row>
    <row r="796">
      <c r="B796" s="139"/>
      <c r="C796" s="139"/>
      <c r="D796" s="139"/>
      <c r="E796" s="18"/>
      <c r="F796" s="107"/>
      <c r="G796" s="107"/>
      <c r="H796" s="48"/>
      <c r="I796" s="48"/>
      <c r="J796" s="48"/>
      <c r="K796" s="48"/>
      <c r="R796" s="139"/>
    </row>
    <row r="797">
      <c r="B797" s="139"/>
      <c r="C797" s="139"/>
      <c r="D797" s="139"/>
      <c r="E797" s="18"/>
      <c r="F797" s="107"/>
      <c r="G797" s="107"/>
      <c r="H797" s="48"/>
      <c r="I797" s="48"/>
      <c r="J797" s="48"/>
      <c r="K797" s="48"/>
      <c r="R797" s="139"/>
    </row>
    <row r="798">
      <c r="B798" s="139"/>
      <c r="C798" s="139"/>
      <c r="D798" s="139"/>
      <c r="E798" s="18"/>
      <c r="F798" s="107"/>
      <c r="G798" s="107"/>
      <c r="H798" s="48"/>
      <c r="I798" s="48"/>
      <c r="J798" s="48"/>
      <c r="K798" s="48"/>
      <c r="R798" s="139"/>
    </row>
    <row r="799">
      <c r="B799" s="139"/>
      <c r="C799" s="139"/>
      <c r="D799" s="139"/>
      <c r="E799" s="18"/>
      <c r="F799" s="107"/>
      <c r="G799" s="107"/>
      <c r="H799" s="48"/>
      <c r="I799" s="48"/>
      <c r="J799" s="48"/>
      <c r="K799" s="48"/>
      <c r="R799" s="139"/>
    </row>
    <row r="800">
      <c r="B800" s="139"/>
      <c r="C800" s="139"/>
      <c r="D800" s="139"/>
      <c r="E800" s="18"/>
      <c r="F800" s="107"/>
      <c r="G800" s="107"/>
      <c r="H800" s="48"/>
      <c r="I800" s="48"/>
      <c r="J800" s="48"/>
      <c r="K800" s="48"/>
      <c r="R800" s="139"/>
    </row>
    <row r="801">
      <c r="B801" s="139"/>
      <c r="C801" s="139"/>
      <c r="D801" s="139"/>
      <c r="E801" s="18"/>
      <c r="F801" s="107"/>
      <c r="G801" s="107"/>
      <c r="H801" s="48"/>
      <c r="I801" s="48"/>
      <c r="J801" s="48"/>
      <c r="K801" s="48"/>
      <c r="R801" s="139"/>
    </row>
    <row r="802">
      <c r="B802" s="139"/>
      <c r="C802" s="139"/>
      <c r="D802" s="139"/>
      <c r="E802" s="18"/>
      <c r="F802" s="107"/>
      <c r="G802" s="107"/>
      <c r="H802" s="48"/>
      <c r="I802" s="48"/>
      <c r="J802" s="48"/>
      <c r="K802" s="48"/>
      <c r="R802" s="139"/>
    </row>
    <row r="803">
      <c r="B803" s="139"/>
      <c r="C803" s="139"/>
      <c r="D803" s="139"/>
      <c r="E803" s="18"/>
      <c r="F803" s="107"/>
      <c r="G803" s="107"/>
      <c r="H803" s="48"/>
      <c r="I803" s="48"/>
      <c r="J803" s="48"/>
      <c r="K803" s="48"/>
      <c r="R803" s="139"/>
    </row>
    <row r="804">
      <c r="B804" s="139"/>
      <c r="C804" s="139"/>
      <c r="D804" s="139"/>
      <c r="E804" s="18"/>
      <c r="F804" s="107"/>
      <c r="G804" s="107"/>
      <c r="H804" s="48"/>
      <c r="I804" s="48"/>
      <c r="J804" s="48"/>
      <c r="K804" s="48"/>
      <c r="R804" s="139"/>
    </row>
    <row r="805">
      <c r="B805" s="139"/>
      <c r="C805" s="139"/>
      <c r="D805" s="139"/>
      <c r="E805" s="18"/>
      <c r="F805" s="107"/>
      <c r="G805" s="107"/>
      <c r="H805" s="48"/>
      <c r="I805" s="48"/>
      <c r="J805" s="48"/>
      <c r="K805" s="48"/>
      <c r="R805" s="139"/>
    </row>
    <row r="806">
      <c r="B806" s="139"/>
      <c r="C806" s="139"/>
      <c r="D806" s="139"/>
      <c r="E806" s="18"/>
      <c r="F806" s="107"/>
      <c r="G806" s="107"/>
      <c r="H806" s="48"/>
      <c r="I806" s="48"/>
      <c r="J806" s="48"/>
      <c r="K806" s="48"/>
      <c r="R806" s="139"/>
    </row>
    <row r="807">
      <c r="B807" s="139"/>
      <c r="C807" s="139"/>
      <c r="D807" s="139"/>
      <c r="E807" s="18"/>
      <c r="F807" s="107"/>
      <c r="G807" s="107"/>
      <c r="H807" s="48"/>
      <c r="I807" s="48"/>
      <c r="J807" s="48"/>
      <c r="K807" s="48"/>
      <c r="R807" s="139"/>
    </row>
    <row r="808">
      <c r="B808" s="139"/>
      <c r="C808" s="139"/>
      <c r="D808" s="139"/>
      <c r="E808" s="18"/>
      <c r="F808" s="107"/>
      <c r="G808" s="107"/>
      <c r="H808" s="48"/>
      <c r="I808" s="48"/>
      <c r="J808" s="48"/>
      <c r="K808" s="48"/>
      <c r="R808" s="139"/>
    </row>
    <row r="809">
      <c r="B809" s="139"/>
      <c r="C809" s="139"/>
      <c r="D809" s="139"/>
      <c r="E809" s="18"/>
      <c r="F809" s="107"/>
      <c r="G809" s="107"/>
      <c r="H809" s="48"/>
      <c r="I809" s="48"/>
      <c r="J809" s="48"/>
      <c r="K809" s="48"/>
      <c r="R809" s="139"/>
    </row>
    <row r="810">
      <c r="B810" s="139"/>
      <c r="C810" s="139"/>
      <c r="D810" s="139"/>
      <c r="E810" s="18"/>
      <c r="F810" s="107"/>
      <c r="G810" s="107"/>
      <c r="H810" s="48"/>
      <c r="I810" s="48"/>
      <c r="J810" s="48"/>
      <c r="K810" s="48"/>
      <c r="R810" s="139"/>
    </row>
    <row r="811">
      <c r="B811" s="139"/>
      <c r="C811" s="139"/>
      <c r="D811" s="139"/>
      <c r="E811" s="18"/>
      <c r="F811" s="107"/>
      <c r="G811" s="107"/>
      <c r="H811" s="48"/>
      <c r="I811" s="48"/>
      <c r="J811" s="48"/>
      <c r="K811" s="48"/>
      <c r="R811" s="139"/>
    </row>
    <row r="812">
      <c r="B812" s="139"/>
      <c r="C812" s="139"/>
      <c r="D812" s="139"/>
      <c r="E812" s="18"/>
      <c r="F812" s="107"/>
      <c r="G812" s="107"/>
      <c r="H812" s="48"/>
      <c r="I812" s="48"/>
      <c r="J812" s="48"/>
      <c r="K812" s="48"/>
      <c r="R812" s="139"/>
    </row>
    <row r="813">
      <c r="B813" s="139"/>
      <c r="C813" s="139"/>
      <c r="D813" s="139"/>
      <c r="E813" s="18"/>
      <c r="F813" s="107"/>
      <c r="G813" s="107"/>
      <c r="H813" s="48"/>
      <c r="I813" s="48"/>
      <c r="J813" s="48"/>
      <c r="K813" s="48"/>
      <c r="R813" s="139"/>
    </row>
    <row r="814">
      <c r="B814" s="139"/>
      <c r="C814" s="139"/>
      <c r="D814" s="139"/>
      <c r="E814" s="18"/>
      <c r="F814" s="107"/>
      <c r="G814" s="107"/>
      <c r="H814" s="48"/>
      <c r="I814" s="48"/>
      <c r="J814" s="48"/>
      <c r="K814" s="48"/>
      <c r="R814" s="139"/>
    </row>
    <row r="815">
      <c r="B815" s="139"/>
      <c r="C815" s="139"/>
      <c r="D815" s="139"/>
      <c r="E815" s="18"/>
      <c r="F815" s="107"/>
      <c r="G815" s="107"/>
      <c r="H815" s="48"/>
      <c r="I815" s="48"/>
      <c r="J815" s="48"/>
      <c r="K815" s="48"/>
      <c r="R815" s="139"/>
    </row>
    <row r="816">
      <c r="B816" s="139"/>
      <c r="C816" s="139"/>
      <c r="D816" s="139"/>
      <c r="E816" s="18"/>
      <c r="F816" s="107"/>
      <c r="G816" s="107"/>
      <c r="H816" s="48"/>
      <c r="I816" s="48"/>
      <c r="J816" s="48"/>
      <c r="K816" s="48"/>
      <c r="R816" s="139"/>
    </row>
    <row r="817">
      <c r="B817" s="139"/>
      <c r="C817" s="139"/>
      <c r="D817" s="139"/>
      <c r="E817" s="18"/>
      <c r="F817" s="107"/>
      <c r="G817" s="107"/>
      <c r="H817" s="48"/>
      <c r="I817" s="48"/>
      <c r="J817" s="48"/>
      <c r="K817" s="48"/>
      <c r="R817" s="139"/>
    </row>
    <row r="818">
      <c r="B818" s="139"/>
      <c r="C818" s="139"/>
      <c r="D818" s="139"/>
      <c r="E818" s="18"/>
      <c r="F818" s="107"/>
      <c r="G818" s="107"/>
      <c r="H818" s="48"/>
      <c r="I818" s="48"/>
      <c r="J818" s="48"/>
      <c r="K818" s="48"/>
      <c r="R818" s="139"/>
    </row>
    <row r="819">
      <c r="B819" s="139"/>
      <c r="C819" s="139"/>
      <c r="D819" s="139"/>
      <c r="E819" s="18"/>
      <c r="F819" s="107"/>
      <c r="G819" s="107"/>
      <c r="H819" s="48"/>
      <c r="I819" s="48"/>
      <c r="J819" s="48"/>
      <c r="K819" s="48"/>
      <c r="R819" s="139"/>
    </row>
    <row r="820">
      <c r="B820" s="139"/>
      <c r="C820" s="139"/>
      <c r="D820" s="139"/>
      <c r="E820" s="18"/>
      <c r="F820" s="107"/>
      <c r="G820" s="107"/>
      <c r="H820" s="48"/>
      <c r="I820" s="48"/>
      <c r="J820" s="48"/>
      <c r="K820" s="48"/>
      <c r="R820" s="139"/>
    </row>
    <row r="821">
      <c r="B821" s="139"/>
      <c r="C821" s="139"/>
      <c r="D821" s="139"/>
      <c r="E821" s="18"/>
      <c r="F821" s="107"/>
      <c r="G821" s="107"/>
      <c r="H821" s="48"/>
      <c r="I821" s="48"/>
      <c r="J821" s="48"/>
      <c r="K821" s="48"/>
      <c r="R821" s="139"/>
    </row>
    <row r="822">
      <c r="B822" s="139"/>
      <c r="C822" s="139"/>
      <c r="D822" s="139"/>
      <c r="E822" s="18"/>
      <c r="F822" s="107"/>
      <c r="G822" s="107"/>
      <c r="H822" s="48"/>
      <c r="I822" s="48"/>
      <c r="J822" s="48"/>
      <c r="K822" s="48"/>
      <c r="R822" s="139"/>
    </row>
    <row r="823">
      <c r="B823" s="139"/>
      <c r="C823" s="139"/>
      <c r="D823" s="139"/>
      <c r="E823" s="18"/>
      <c r="F823" s="107"/>
      <c r="G823" s="107"/>
      <c r="H823" s="48"/>
      <c r="I823" s="48"/>
      <c r="J823" s="48"/>
      <c r="K823" s="48"/>
      <c r="R823" s="139"/>
    </row>
    <row r="824">
      <c r="B824" s="139"/>
      <c r="C824" s="139"/>
      <c r="D824" s="139"/>
      <c r="E824" s="18"/>
      <c r="F824" s="107"/>
      <c r="G824" s="107"/>
      <c r="H824" s="48"/>
      <c r="I824" s="48"/>
      <c r="J824" s="48"/>
      <c r="K824" s="48"/>
      <c r="R824" s="139"/>
    </row>
    <row r="825">
      <c r="B825" s="139"/>
      <c r="C825" s="139"/>
      <c r="D825" s="139"/>
      <c r="E825" s="18"/>
      <c r="F825" s="107"/>
      <c r="G825" s="107"/>
      <c r="H825" s="48"/>
      <c r="I825" s="48"/>
      <c r="J825" s="48"/>
      <c r="K825" s="48"/>
      <c r="R825" s="139"/>
    </row>
    <row r="826">
      <c r="B826" s="139"/>
      <c r="C826" s="139"/>
      <c r="D826" s="139"/>
      <c r="E826" s="18"/>
      <c r="F826" s="107"/>
      <c r="G826" s="107"/>
      <c r="H826" s="48"/>
      <c r="I826" s="48"/>
      <c r="J826" s="48"/>
      <c r="K826" s="48"/>
      <c r="R826" s="139"/>
    </row>
    <row r="827">
      <c r="B827" s="139"/>
      <c r="C827" s="139"/>
      <c r="D827" s="139"/>
      <c r="E827" s="18"/>
      <c r="F827" s="107"/>
      <c r="G827" s="107"/>
      <c r="H827" s="48"/>
      <c r="I827" s="48"/>
      <c r="J827" s="48"/>
      <c r="K827" s="48"/>
      <c r="R827" s="139"/>
    </row>
    <row r="828">
      <c r="B828" s="139"/>
      <c r="C828" s="139"/>
      <c r="D828" s="139"/>
      <c r="E828" s="18"/>
      <c r="F828" s="107"/>
      <c r="G828" s="107"/>
      <c r="H828" s="48"/>
      <c r="I828" s="48"/>
      <c r="J828" s="48"/>
      <c r="K828" s="48"/>
      <c r="R828" s="139"/>
    </row>
    <row r="829">
      <c r="B829" s="139"/>
      <c r="C829" s="139"/>
      <c r="D829" s="139"/>
      <c r="E829" s="18"/>
      <c r="F829" s="107"/>
      <c r="G829" s="107"/>
      <c r="H829" s="48"/>
      <c r="I829" s="48"/>
      <c r="J829" s="48"/>
      <c r="K829" s="48"/>
      <c r="R829" s="139"/>
    </row>
    <row r="830">
      <c r="B830" s="139"/>
      <c r="C830" s="139"/>
      <c r="D830" s="139"/>
      <c r="E830" s="18"/>
      <c r="F830" s="107"/>
      <c r="G830" s="107"/>
      <c r="H830" s="48"/>
      <c r="I830" s="48"/>
      <c r="J830" s="48"/>
      <c r="K830" s="48"/>
      <c r="R830" s="139"/>
    </row>
    <row r="831">
      <c r="B831" s="139"/>
      <c r="C831" s="139"/>
      <c r="D831" s="139"/>
      <c r="E831" s="18"/>
      <c r="F831" s="107"/>
      <c r="G831" s="107"/>
      <c r="H831" s="48"/>
      <c r="I831" s="48"/>
      <c r="J831" s="48"/>
      <c r="K831" s="48"/>
      <c r="R831" s="139"/>
    </row>
    <row r="832">
      <c r="B832" s="139"/>
      <c r="C832" s="139"/>
      <c r="D832" s="139"/>
      <c r="E832" s="18"/>
      <c r="F832" s="107"/>
      <c r="G832" s="107"/>
      <c r="H832" s="48"/>
      <c r="I832" s="48"/>
      <c r="J832" s="48"/>
      <c r="K832" s="48"/>
      <c r="R832" s="139"/>
    </row>
    <row r="833">
      <c r="B833" s="139"/>
      <c r="C833" s="139"/>
      <c r="D833" s="139"/>
      <c r="E833" s="18"/>
      <c r="F833" s="107"/>
      <c r="G833" s="107"/>
      <c r="H833" s="48"/>
      <c r="I833" s="48"/>
      <c r="J833" s="48"/>
      <c r="K833" s="48"/>
      <c r="R833" s="139"/>
    </row>
    <row r="834">
      <c r="B834" s="139"/>
      <c r="C834" s="139"/>
      <c r="D834" s="139"/>
      <c r="E834" s="18"/>
      <c r="F834" s="107"/>
      <c r="G834" s="107"/>
      <c r="H834" s="48"/>
      <c r="I834" s="48"/>
      <c r="J834" s="48"/>
      <c r="K834" s="48"/>
      <c r="R834" s="139"/>
    </row>
    <row r="835">
      <c r="B835" s="139"/>
      <c r="C835" s="139"/>
      <c r="D835" s="139"/>
      <c r="E835" s="18"/>
      <c r="F835" s="107"/>
      <c r="G835" s="107"/>
      <c r="H835" s="48"/>
      <c r="I835" s="48"/>
      <c r="J835" s="48"/>
      <c r="K835" s="48"/>
      <c r="R835" s="139"/>
    </row>
    <row r="836">
      <c r="B836" s="139"/>
      <c r="C836" s="139"/>
      <c r="D836" s="139"/>
      <c r="E836" s="18"/>
      <c r="F836" s="107"/>
      <c r="G836" s="107"/>
      <c r="H836" s="48"/>
      <c r="I836" s="48"/>
      <c r="J836" s="48"/>
      <c r="K836" s="48"/>
      <c r="R836" s="139"/>
    </row>
    <row r="837">
      <c r="B837" s="139"/>
      <c r="C837" s="139"/>
      <c r="D837" s="139"/>
      <c r="E837" s="18"/>
      <c r="F837" s="107"/>
      <c r="G837" s="107"/>
      <c r="H837" s="48"/>
      <c r="I837" s="48"/>
      <c r="J837" s="48"/>
      <c r="K837" s="48"/>
      <c r="R837" s="139"/>
    </row>
    <row r="838">
      <c r="B838" s="139"/>
      <c r="C838" s="139"/>
      <c r="D838" s="139"/>
      <c r="E838" s="18"/>
      <c r="F838" s="107"/>
      <c r="G838" s="107"/>
      <c r="H838" s="48"/>
      <c r="I838" s="48"/>
      <c r="J838" s="48"/>
      <c r="K838" s="48"/>
      <c r="R838" s="139"/>
    </row>
    <row r="839">
      <c r="B839" s="139"/>
      <c r="C839" s="139"/>
      <c r="D839" s="139"/>
      <c r="E839" s="18"/>
      <c r="F839" s="107"/>
      <c r="G839" s="107"/>
      <c r="H839" s="48"/>
      <c r="I839" s="48"/>
      <c r="J839" s="48"/>
      <c r="K839" s="48"/>
      <c r="R839" s="139"/>
    </row>
    <row r="840">
      <c r="B840" s="139"/>
      <c r="C840" s="139"/>
      <c r="D840" s="139"/>
      <c r="E840" s="18"/>
      <c r="F840" s="107"/>
      <c r="G840" s="107"/>
      <c r="H840" s="48"/>
      <c r="I840" s="48"/>
      <c r="J840" s="48"/>
      <c r="K840" s="48"/>
      <c r="R840" s="139"/>
    </row>
    <row r="841">
      <c r="B841" s="139"/>
      <c r="C841" s="139"/>
      <c r="D841" s="139"/>
      <c r="E841" s="18"/>
      <c r="F841" s="107"/>
      <c r="G841" s="107"/>
      <c r="H841" s="48"/>
      <c r="I841" s="48"/>
      <c r="J841" s="48"/>
      <c r="K841" s="48"/>
      <c r="R841" s="139"/>
    </row>
    <row r="842">
      <c r="B842" s="139"/>
      <c r="C842" s="139"/>
      <c r="D842" s="139"/>
      <c r="E842" s="18"/>
      <c r="F842" s="107"/>
      <c r="G842" s="107"/>
      <c r="H842" s="48"/>
      <c r="I842" s="48"/>
      <c r="J842" s="48"/>
      <c r="K842" s="48"/>
      <c r="R842" s="139"/>
    </row>
    <row r="843">
      <c r="B843" s="139"/>
      <c r="C843" s="139"/>
      <c r="D843" s="139"/>
      <c r="E843" s="18"/>
      <c r="F843" s="107"/>
      <c r="G843" s="107"/>
      <c r="H843" s="48"/>
      <c r="I843" s="48"/>
      <c r="J843" s="48"/>
      <c r="K843" s="48"/>
      <c r="R843" s="139"/>
    </row>
    <row r="844">
      <c r="B844" s="139"/>
      <c r="C844" s="139"/>
      <c r="D844" s="139"/>
      <c r="E844" s="18"/>
      <c r="F844" s="107"/>
      <c r="G844" s="107"/>
      <c r="H844" s="48"/>
      <c r="I844" s="48"/>
      <c r="J844" s="48"/>
      <c r="K844" s="48"/>
      <c r="R844" s="139"/>
    </row>
    <row r="845">
      <c r="B845" s="139"/>
      <c r="C845" s="139"/>
      <c r="D845" s="139"/>
      <c r="E845" s="18"/>
      <c r="F845" s="107"/>
      <c r="G845" s="107"/>
      <c r="H845" s="48"/>
      <c r="I845" s="48"/>
      <c r="J845" s="48"/>
      <c r="K845" s="48"/>
      <c r="R845" s="139"/>
    </row>
    <row r="846">
      <c r="B846" s="139"/>
      <c r="C846" s="139"/>
      <c r="D846" s="139"/>
      <c r="E846" s="18"/>
      <c r="F846" s="107"/>
      <c r="G846" s="107"/>
      <c r="H846" s="48"/>
      <c r="I846" s="48"/>
      <c r="J846" s="48"/>
      <c r="K846" s="48"/>
      <c r="R846" s="139"/>
    </row>
    <row r="847">
      <c r="B847" s="139"/>
      <c r="C847" s="139"/>
      <c r="D847" s="139"/>
      <c r="E847" s="18"/>
      <c r="F847" s="107"/>
      <c r="G847" s="107"/>
      <c r="H847" s="48"/>
      <c r="I847" s="48"/>
      <c r="J847" s="48"/>
      <c r="K847" s="48"/>
      <c r="R847" s="139"/>
    </row>
    <row r="848">
      <c r="B848" s="139"/>
      <c r="C848" s="139"/>
      <c r="D848" s="139"/>
      <c r="E848" s="18"/>
      <c r="F848" s="107"/>
      <c r="G848" s="107"/>
      <c r="H848" s="48"/>
      <c r="I848" s="48"/>
      <c r="J848" s="48"/>
      <c r="K848" s="48"/>
      <c r="R848" s="139"/>
    </row>
    <row r="849">
      <c r="B849" s="139"/>
      <c r="C849" s="139"/>
      <c r="D849" s="139"/>
      <c r="E849" s="18"/>
      <c r="F849" s="107"/>
      <c r="G849" s="107"/>
      <c r="H849" s="48"/>
      <c r="I849" s="48"/>
      <c r="J849" s="48"/>
      <c r="K849" s="48"/>
      <c r="R849" s="139"/>
    </row>
    <row r="850">
      <c r="B850" s="139"/>
      <c r="C850" s="139"/>
      <c r="D850" s="139"/>
      <c r="E850" s="18"/>
      <c r="F850" s="107"/>
      <c r="G850" s="107"/>
      <c r="H850" s="48"/>
      <c r="I850" s="48"/>
      <c r="J850" s="48"/>
      <c r="K850" s="48"/>
      <c r="R850" s="139"/>
    </row>
    <row r="851">
      <c r="B851" s="139"/>
      <c r="C851" s="139"/>
      <c r="D851" s="139"/>
      <c r="E851" s="18"/>
      <c r="F851" s="107"/>
      <c r="G851" s="107"/>
      <c r="H851" s="48"/>
      <c r="I851" s="48"/>
      <c r="J851" s="48"/>
      <c r="K851" s="48"/>
      <c r="R851" s="139"/>
    </row>
    <row r="852">
      <c r="B852" s="139"/>
      <c r="C852" s="139"/>
      <c r="D852" s="139"/>
      <c r="E852" s="18"/>
      <c r="F852" s="107"/>
      <c r="G852" s="107"/>
      <c r="H852" s="48"/>
      <c r="I852" s="48"/>
      <c r="J852" s="48"/>
      <c r="K852" s="48"/>
      <c r="R852" s="139"/>
    </row>
    <row r="853">
      <c r="B853" s="139"/>
      <c r="C853" s="139"/>
      <c r="D853" s="139"/>
      <c r="E853" s="18"/>
      <c r="F853" s="107"/>
      <c r="G853" s="107"/>
      <c r="H853" s="48"/>
      <c r="I853" s="48"/>
      <c r="J853" s="48"/>
      <c r="K853" s="48"/>
      <c r="R853" s="139"/>
    </row>
    <row r="854">
      <c r="B854" s="139"/>
      <c r="C854" s="139"/>
      <c r="D854" s="139"/>
      <c r="E854" s="18"/>
      <c r="F854" s="107"/>
      <c r="G854" s="107"/>
      <c r="H854" s="48"/>
      <c r="I854" s="48"/>
      <c r="J854" s="48"/>
      <c r="K854" s="48"/>
      <c r="R854" s="139"/>
    </row>
    <row r="855">
      <c r="B855" s="139"/>
      <c r="C855" s="139"/>
      <c r="D855" s="139"/>
      <c r="E855" s="18"/>
      <c r="F855" s="107"/>
      <c r="G855" s="107"/>
      <c r="H855" s="48"/>
      <c r="I855" s="48"/>
      <c r="J855" s="48"/>
      <c r="K855" s="48"/>
      <c r="R855" s="139"/>
    </row>
    <row r="856">
      <c r="B856" s="139"/>
      <c r="C856" s="139"/>
      <c r="D856" s="139"/>
      <c r="E856" s="18"/>
      <c r="F856" s="107"/>
      <c r="G856" s="107"/>
      <c r="H856" s="48"/>
      <c r="I856" s="48"/>
      <c r="J856" s="48"/>
      <c r="K856" s="48"/>
      <c r="R856" s="139"/>
    </row>
    <row r="857">
      <c r="B857" s="139"/>
      <c r="C857" s="139"/>
      <c r="D857" s="139"/>
      <c r="E857" s="18"/>
      <c r="F857" s="107"/>
      <c r="G857" s="107"/>
      <c r="H857" s="48"/>
      <c r="I857" s="48"/>
      <c r="J857" s="48"/>
      <c r="K857" s="48"/>
      <c r="R857" s="139"/>
    </row>
    <row r="858">
      <c r="B858" s="139"/>
      <c r="C858" s="139"/>
      <c r="D858" s="139"/>
      <c r="E858" s="18"/>
      <c r="F858" s="107"/>
      <c r="G858" s="107"/>
      <c r="H858" s="48"/>
      <c r="I858" s="48"/>
      <c r="J858" s="48"/>
      <c r="K858" s="48"/>
      <c r="R858" s="139"/>
    </row>
    <row r="859">
      <c r="B859" s="139"/>
      <c r="C859" s="139"/>
      <c r="D859" s="139"/>
      <c r="E859" s="18"/>
      <c r="F859" s="107"/>
      <c r="G859" s="107"/>
      <c r="H859" s="48"/>
      <c r="I859" s="48"/>
      <c r="J859" s="48"/>
      <c r="K859" s="48"/>
      <c r="R859" s="139"/>
    </row>
    <row r="860">
      <c r="B860" s="139"/>
      <c r="C860" s="139"/>
      <c r="D860" s="139"/>
      <c r="E860" s="18"/>
      <c r="F860" s="107"/>
      <c r="G860" s="107"/>
      <c r="H860" s="48"/>
      <c r="I860" s="48"/>
      <c r="J860" s="48"/>
      <c r="K860" s="48"/>
      <c r="R860" s="139"/>
    </row>
    <row r="861">
      <c r="B861" s="139"/>
      <c r="C861" s="139"/>
      <c r="D861" s="139"/>
      <c r="E861" s="18"/>
      <c r="F861" s="107"/>
      <c r="G861" s="107"/>
      <c r="H861" s="48"/>
      <c r="I861" s="48"/>
      <c r="J861" s="48"/>
      <c r="K861" s="48"/>
      <c r="R861" s="139"/>
    </row>
    <row r="862">
      <c r="B862" s="139"/>
      <c r="C862" s="139"/>
      <c r="D862" s="139"/>
      <c r="E862" s="18"/>
      <c r="F862" s="107"/>
      <c r="G862" s="107"/>
      <c r="H862" s="48"/>
      <c r="I862" s="48"/>
      <c r="J862" s="48"/>
      <c r="K862" s="48"/>
      <c r="R862" s="139"/>
    </row>
    <row r="863">
      <c r="B863" s="139"/>
      <c r="C863" s="139"/>
      <c r="D863" s="139"/>
      <c r="E863" s="18"/>
      <c r="F863" s="107"/>
      <c r="G863" s="107"/>
      <c r="H863" s="48"/>
      <c r="I863" s="48"/>
      <c r="J863" s="48"/>
      <c r="K863" s="48"/>
      <c r="R863" s="139"/>
    </row>
    <row r="864">
      <c r="B864" s="139"/>
      <c r="C864" s="139"/>
      <c r="D864" s="139"/>
      <c r="E864" s="18"/>
      <c r="F864" s="107"/>
      <c r="G864" s="107"/>
      <c r="H864" s="48"/>
      <c r="I864" s="48"/>
      <c r="J864" s="48"/>
      <c r="K864" s="48"/>
      <c r="R864" s="139"/>
    </row>
    <row r="865">
      <c r="B865" s="139"/>
      <c r="C865" s="139"/>
      <c r="D865" s="139"/>
      <c r="E865" s="18"/>
      <c r="F865" s="107"/>
      <c r="G865" s="107"/>
      <c r="H865" s="48"/>
      <c r="I865" s="48"/>
      <c r="J865" s="48"/>
      <c r="K865" s="48"/>
      <c r="R865" s="139"/>
    </row>
    <row r="866">
      <c r="B866" s="139"/>
      <c r="C866" s="139"/>
      <c r="D866" s="139"/>
      <c r="E866" s="18"/>
      <c r="F866" s="107"/>
      <c r="G866" s="107"/>
      <c r="H866" s="48"/>
      <c r="I866" s="48"/>
      <c r="J866" s="48"/>
      <c r="K866" s="48"/>
      <c r="R866" s="139"/>
    </row>
    <row r="867">
      <c r="B867" s="139"/>
      <c r="C867" s="139"/>
      <c r="D867" s="139"/>
      <c r="E867" s="18"/>
      <c r="F867" s="107"/>
      <c r="G867" s="107"/>
      <c r="H867" s="48"/>
      <c r="I867" s="48"/>
      <c r="J867" s="48"/>
      <c r="K867" s="48"/>
      <c r="R867" s="139"/>
    </row>
    <row r="868">
      <c r="B868" s="139"/>
      <c r="C868" s="139"/>
      <c r="D868" s="139"/>
      <c r="E868" s="18"/>
      <c r="F868" s="107"/>
      <c r="G868" s="107"/>
      <c r="H868" s="48"/>
      <c r="I868" s="48"/>
      <c r="J868" s="48"/>
      <c r="K868" s="48"/>
      <c r="R868" s="139"/>
    </row>
    <row r="869">
      <c r="B869" s="139"/>
      <c r="C869" s="139"/>
      <c r="D869" s="139"/>
      <c r="E869" s="18"/>
      <c r="F869" s="107"/>
      <c r="G869" s="107"/>
      <c r="H869" s="48"/>
      <c r="I869" s="48"/>
      <c r="J869" s="48"/>
      <c r="K869" s="48"/>
      <c r="R869" s="139"/>
    </row>
    <row r="870">
      <c r="B870" s="139"/>
      <c r="C870" s="139"/>
      <c r="D870" s="139"/>
      <c r="E870" s="18"/>
      <c r="F870" s="107"/>
      <c r="G870" s="107"/>
      <c r="H870" s="48"/>
      <c r="I870" s="48"/>
      <c r="J870" s="48"/>
      <c r="K870" s="48"/>
      <c r="R870" s="139"/>
    </row>
    <row r="871">
      <c r="B871" s="139"/>
      <c r="C871" s="139"/>
      <c r="D871" s="139"/>
      <c r="E871" s="18"/>
      <c r="F871" s="107"/>
      <c r="G871" s="107"/>
      <c r="H871" s="48"/>
      <c r="I871" s="48"/>
      <c r="J871" s="48"/>
      <c r="K871" s="48"/>
      <c r="R871" s="139"/>
    </row>
    <row r="872">
      <c r="B872" s="139"/>
      <c r="C872" s="139"/>
      <c r="D872" s="139"/>
      <c r="E872" s="18"/>
      <c r="F872" s="107"/>
      <c r="G872" s="107"/>
      <c r="H872" s="48"/>
      <c r="I872" s="48"/>
      <c r="J872" s="48"/>
      <c r="K872" s="48"/>
      <c r="R872" s="139"/>
    </row>
    <row r="873">
      <c r="B873" s="139"/>
      <c r="C873" s="139"/>
      <c r="D873" s="139"/>
      <c r="E873" s="18"/>
      <c r="F873" s="107"/>
      <c r="G873" s="107"/>
      <c r="H873" s="48"/>
      <c r="I873" s="48"/>
      <c r="J873" s="48"/>
      <c r="K873" s="48"/>
      <c r="R873" s="139"/>
    </row>
    <row r="874">
      <c r="B874" s="139"/>
      <c r="C874" s="139"/>
      <c r="D874" s="139"/>
      <c r="E874" s="18"/>
      <c r="F874" s="107"/>
      <c r="G874" s="107"/>
      <c r="H874" s="48"/>
      <c r="I874" s="48"/>
      <c r="J874" s="48"/>
      <c r="K874" s="48"/>
      <c r="R874" s="139"/>
    </row>
    <row r="875">
      <c r="B875" s="139"/>
      <c r="C875" s="139"/>
      <c r="D875" s="139"/>
      <c r="E875" s="18"/>
      <c r="F875" s="107"/>
      <c r="G875" s="107"/>
      <c r="H875" s="48"/>
      <c r="I875" s="48"/>
      <c r="J875" s="48"/>
      <c r="K875" s="48"/>
      <c r="R875" s="139"/>
    </row>
    <row r="876">
      <c r="B876" s="139"/>
      <c r="C876" s="139"/>
      <c r="D876" s="139"/>
      <c r="E876" s="18"/>
      <c r="F876" s="107"/>
      <c r="G876" s="107"/>
      <c r="H876" s="48"/>
      <c r="I876" s="48"/>
      <c r="J876" s="48"/>
      <c r="K876" s="48"/>
      <c r="R876" s="139"/>
    </row>
    <row r="877">
      <c r="B877" s="139"/>
      <c r="C877" s="139"/>
      <c r="D877" s="139"/>
      <c r="E877" s="18"/>
      <c r="F877" s="107"/>
      <c r="G877" s="107"/>
      <c r="H877" s="48"/>
      <c r="I877" s="48"/>
      <c r="J877" s="48"/>
      <c r="K877" s="48"/>
      <c r="R877" s="139"/>
    </row>
    <row r="878">
      <c r="B878" s="139"/>
      <c r="C878" s="139"/>
      <c r="D878" s="139"/>
      <c r="E878" s="18"/>
      <c r="F878" s="107"/>
      <c r="G878" s="107"/>
      <c r="H878" s="48"/>
      <c r="I878" s="48"/>
      <c r="J878" s="48"/>
      <c r="K878" s="48"/>
      <c r="R878" s="139"/>
    </row>
    <row r="879">
      <c r="B879" s="139"/>
      <c r="C879" s="139"/>
      <c r="D879" s="139"/>
      <c r="E879" s="18"/>
      <c r="F879" s="107"/>
      <c r="G879" s="107"/>
      <c r="H879" s="48"/>
      <c r="I879" s="48"/>
      <c r="J879" s="48"/>
      <c r="K879" s="48"/>
      <c r="R879" s="139"/>
    </row>
    <row r="880">
      <c r="B880" s="139"/>
      <c r="C880" s="139"/>
      <c r="D880" s="139"/>
      <c r="E880" s="18"/>
      <c r="F880" s="107"/>
      <c r="G880" s="107"/>
      <c r="H880" s="48"/>
      <c r="I880" s="48"/>
      <c r="J880" s="48"/>
      <c r="K880" s="48"/>
      <c r="R880" s="139"/>
    </row>
    <row r="881">
      <c r="B881" s="139"/>
      <c r="C881" s="139"/>
      <c r="D881" s="139"/>
      <c r="E881" s="18"/>
      <c r="F881" s="107"/>
      <c r="G881" s="107"/>
      <c r="H881" s="48"/>
      <c r="I881" s="48"/>
      <c r="J881" s="48"/>
      <c r="K881" s="48"/>
      <c r="R881" s="139"/>
    </row>
    <row r="882">
      <c r="B882" s="139"/>
      <c r="C882" s="139"/>
      <c r="D882" s="139"/>
      <c r="E882" s="18"/>
      <c r="F882" s="107"/>
      <c r="G882" s="107"/>
      <c r="H882" s="48"/>
      <c r="I882" s="48"/>
      <c r="J882" s="48"/>
      <c r="K882" s="48"/>
      <c r="R882" s="139"/>
    </row>
    <row r="883">
      <c r="B883" s="139"/>
      <c r="C883" s="139"/>
      <c r="D883" s="139"/>
      <c r="E883" s="18"/>
      <c r="F883" s="107"/>
      <c r="G883" s="107"/>
      <c r="H883" s="48"/>
      <c r="I883" s="48"/>
      <c r="J883" s="48"/>
      <c r="K883" s="48"/>
      <c r="R883" s="139"/>
    </row>
    <row r="884">
      <c r="B884" s="139"/>
      <c r="C884" s="139"/>
      <c r="D884" s="139"/>
      <c r="E884" s="18"/>
      <c r="F884" s="107"/>
      <c r="G884" s="107"/>
      <c r="H884" s="48"/>
      <c r="I884" s="48"/>
      <c r="J884" s="48"/>
      <c r="K884" s="48"/>
      <c r="R884" s="139"/>
    </row>
    <row r="885">
      <c r="B885" s="139"/>
      <c r="C885" s="139"/>
      <c r="D885" s="139"/>
      <c r="E885" s="18"/>
      <c r="F885" s="107"/>
      <c r="G885" s="107"/>
      <c r="H885" s="48"/>
      <c r="I885" s="48"/>
      <c r="J885" s="48"/>
      <c r="K885" s="48"/>
      <c r="R885" s="139"/>
    </row>
    <row r="886">
      <c r="B886" s="139"/>
      <c r="C886" s="139"/>
      <c r="D886" s="139"/>
      <c r="E886" s="18"/>
      <c r="F886" s="107"/>
      <c r="G886" s="107"/>
      <c r="H886" s="48"/>
      <c r="I886" s="48"/>
      <c r="J886" s="48"/>
      <c r="K886" s="48"/>
      <c r="R886" s="139"/>
    </row>
    <row r="887">
      <c r="B887" s="139"/>
      <c r="C887" s="139"/>
      <c r="D887" s="139"/>
      <c r="E887" s="18"/>
      <c r="F887" s="107"/>
      <c r="G887" s="107"/>
      <c r="H887" s="48"/>
      <c r="I887" s="48"/>
      <c r="J887" s="48"/>
      <c r="K887" s="48"/>
      <c r="R887" s="139"/>
    </row>
    <row r="888">
      <c r="B888" s="139"/>
      <c r="C888" s="139"/>
      <c r="D888" s="139"/>
      <c r="E888" s="18"/>
      <c r="F888" s="107"/>
      <c r="G888" s="107"/>
      <c r="H888" s="48"/>
      <c r="I888" s="48"/>
      <c r="J888" s="48"/>
      <c r="K888" s="48"/>
      <c r="R888" s="139"/>
    </row>
    <row r="889">
      <c r="B889" s="139"/>
      <c r="C889" s="139"/>
      <c r="D889" s="139"/>
      <c r="E889" s="18"/>
      <c r="F889" s="107"/>
      <c r="G889" s="107"/>
      <c r="H889" s="48"/>
      <c r="I889" s="48"/>
      <c r="J889" s="48"/>
      <c r="K889" s="48"/>
      <c r="R889" s="139"/>
    </row>
    <row r="890">
      <c r="B890" s="139"/>
      <c r="C890" s="139"/>
      <c r="D890" s="139"/>
      <c r="E890" s="18"/>
      <c r="F890" s="107"/>
      <c r="G890" s="107"/>
      <c r="H890" s="48"/>
      <c r="I890" s="48"/>
      <c r="J890" s="48"/>
      <c r="K890" s="48"/>
      <c r="R890" s="139"/>
    </row>
    <row r="891">
      <c r="B891" s="139"/>
      <c r="C891" s="139"/>
      <c r="D891" s="139"/>
      <c r="E891" s="18"/>
      <c r="F891" s="107"/>
      <c r="G891" s="107"/>
      <c r="H891" s="48"/>
      <c r="I891" s="48"/>
      <c r="J891" s="48"/>
      <c r="K891" s="48"/>
      <c r="R891" s="139"/>
    </row>
    <row r="892">
      <c r="B892" s="139"/>
      <c r="C892" s="139"/>
      <c r="D892" s="139"/>
      <c r="E892" s="18"/>
      <c r="F892" s="107"/>
      <c r="G892" s="107"/>
      <c r="H892" s="48"/>
      <c r="I892" s="48"/>
      <c r="J892" s="48"/>
      <c r="K892" s="48"/>
      <c r="R892" s="139"/>
    </row>
    <row r="893">
      <c r="B893" s="139"/>
      <c r="C893" s="139"/>
      <c r="D893" s="139"/>
      <c r="E893" s="18"/>
      <c r="F893" s="107"/>
      <c r="G893" s="107"/>
      <c r="H893" s="48"/>
      <c r="I893" s="48"/>
      <c r="J893" s="48"/>
      <c r="K893" s="48"/>
      <c r="R893" s="139"/>
    </row>
    <row r="894">
      <c r="B894" s="139"/>
      <c r="C894" s="139"/>
      <c r="D894" s="139"/>
      <c r="E894" s="18"/>
      <c r="F894" s="107"/>
      <c r="G894" s="107"/>
      <c r="H894" s="48"/>
      <c r="I894" s="48"/>
      <c r="J894" s="48"/>
      <c r="K894" s="48"/>
      <c r="R894" s="139"/>
    </row>
    <row r="895">
      <c r="B895" s="139"/>
      <c r="C895" s="139"/>
      <c r="D895" s="139"/>
      <c r="E895" s="18"/>
      <c r="F895" s="107"/>
      <c r="G895" s="107"/>
      <c r="H895" s="48"/>
      <c r="I895" s="48"/>
      <c r="J895" s="48"/>
      <c r="K895" s="48"/>
      <c r="R895" s="139"/>
    </row>
    <row r="896">
      <c r="B896" s="139"/>
      <c r="C896" s="139"/>
      <c r="D896" s="139"/>
      <c r="E896" s="18"/>
      <c r="F896" s="107"/>
      <c r="G896" s="107"/>
      <c r="H896" s="48"/>
      <c r="I896" s="48"/>
      <c r="J896" s="48"/>
      <c r="K896" s="48"/>
      <c r="R896" s="139"/>
    </row>
    <row r="897">
      <c r="B897" s="139"/>
      <c r="C897" s="139"/>
      <c r="D897" s="139"/>
      <c r="E897" s="18"/>
      <c r="F897" s="107"/>
      <c r="G897" s="107"/>
      <c r="H897" s="48"/>
      <c r="I897" s="48"/>
      <c r="J897" s="48"/>
      <c r="K897" s="48"/>
      <c r="R897" s="139"/>
    </row>
    <row r="898">
      <c r="B898" s="139"/>
      <c r="C898" s="139"/>
      <c r="D898" s="139"/>
      <c r="E898" s="18"/>
      <c r="F898" s="107"/>
      <c r="G898" s="107"/>
      <c r="H898" s="48"/>
      <c r="I898" s="48"/>
      <c r="J898" s="48"/>
      <c r="K898" s="48"/>
      <c r="R898" s="139"/>
    </row>
    <row r="899">
      <c r="B899" s="139"/>
      <c r="C899" s="139"/>
      <c r="D899" s="139"/>
      <c r="E899" s="18"/>
      <c r="F899" s="107"/>
      <c r="G899" s="107"/>
      <c r="H899" s="48"/>
      <c r="I899" s="48"/>
      <c r="J899" s="48"/>
      <c r="K899" s="48"/>
      <c r="R899" s="139"/>
    </row>
    <row r="900">
      <c r="B900" s="139"/>
      <c r="C900" s="139"/>
      <c r="D900" s="139"/>
      <c r="E900" s="18"/>
      <c r="F900" s="107"/>
      <c r="G900" s="107"/>
      <c r="H900" s="48"/>
      <c r="I900" s="48"/>
      <c r="J900" s="48"/>
      <c r="K900" s="48"/>
      <c r="R900" s="139"/>
    </row>
    <row r="901">
      <c r="B901" s="139"/>
      <c r="C901" s="139"/>
      <c r="D901" s="139"/>
      <c r="E901" s="18"/>
      <c r="F901" s="107"/>
      <c r="G901" s="107"/>
      <c r="H901" s="48"/>
      <c r="I901" s="48"/>
      <c r="J901" s="48"/>
      <c r="K901" s="48"/>
      <c r="R901" s="139"/>
    </row>
    <row r="902">
      <c r="B902" s="139"/>
      <c r="C902" s="139"/>
      <c r="D902" s="139"/>
      <c r="E902" s="18"/>
      <c r="F902" s="107"/>
      <c r="G902" s="107"/>
      <c r="H902" s="48"/>
      <c r="I902" s="48"/>
      <c r="J902" s="48"/>
      <c r="K902" s="48"/>
      <c r="R902" s="139"/>
    </row>
    <row r="903">
      <c r="B903" s="139"/>
      <c r="C903" s="139"/>
      <c r="D903" s="139"/>
      <c r="E903" s="18"/>
      <c r="F903" s="107"/>
      <c r="G903" s="107"/>
      <c r="H903" s="48"/>
      <c r="I903" s="48"/>
      <c r="J903" s="48"/>
      <c r="K903" s="48"/>
      <c r="R903" s="139"/>
    </row>
    <row r="904">
      <c r="B904" s="139"/>
      <c r="C904" s="139"/>
      <c r="D904" s="139"/>
      <c r="E904" s="18"/>
      <c r="F904" s="107"/>
      <c r="G904" s="107"/>
      <c r="H904" s="48"/>
      <c r="I904" s="48"/>
      <c r="J904" s="48"/>
      <c r="K904" s="48"/>
      <c r="R904" s="139"/>
    </row>
    <row r="905">
      <c r="B905" s="139"/>
      <c r="C905" s="139"/>
      <c r="D905" s="139"/>
      <c r="E905" s="18"/>
      <c r="F905" s="107"/>
      <c r="G905" s="107"/>
      <c r="H905" s="48"/>
      <c r="I905" s="48"/>
      <c r="J905" s="48"/>
      <c r="K905" s="48"/>
      <c r="R905" s="139"/>
    </row>
    <row r="906">
      <c r="B906" s="139"/>
      <c r="C906" s="139"/>
      <c r="D906" s="139"/>
      <c r="E906" s="18"/>
      <c r="F906" s="107"/>
      <c r="G906" s="107"/>
      <c r="H906" s="48"/>
      <c r="I906" s="48"/>
      <c r="J906" s="48"/>
      <c r="K906" s="48"/>
      <c r="R906" s="139"/>
    </row>
    <row r="907">
      <c r="B907" s="139"/>
      <c r="C907" s="139"/>
      <c r="D907" s="139"/>
      <c r="E907" s="18"/>
      <c r="F907" s="107"/>
      <c r="G907" s="107"/>
      <c r="H907" s="48"/>
      <c r="I907" s="48"/>
      <c r="J907" s="48"/>
      <c r="K907" s="48"/>
      <c r="R907" s="139"/>
    </row>
    <row r="908">
      <c r="B908" s="139"/>
      <c r="C908" s="139"/>
      <c r="D908" s="139"/>
      <c r="E908" s="18"/>
      <c r="F908" s="107"/>
      <c r="G908" s="107"/>
      <c r="H908" s="48"/>
      <c r="I908" s="48"/>
      <c r="J908" s="48"/>
      <c r="K908" s="48"/>
      <c r="R908" s="139"/>
    </row>
    <row r="909">
      <c r="B909" s="139"/>
      <c r="C909" s="139"/>
      <c r="D909" s="139"/>
      <c r="E909" s="18"/>
      <c r="F909" s="107"/>
      <c r="G909" s="107"/>
      <c r="H909" s="48"/>
      <c r="I909" s="48"/>
      <c r="J909" s="48"/>
      <c r="K909" s="48"/>
      <c r="R909" s="139"/>
    </row>
    <row r="910">
      <c r="B910" s="139"/>
      <c r="C910" s="139"/>
      <c r="D910" s="139"/>
      <c r="E910" s="18"/>
      <c r="F910" s="107"/>
      <c r="G910" s="107"/>
      <c r="H910" s="48"/>
      <c r="I910" s="48"/>
      <c r="J910" s="48"/>
      <c r="K910" s="48"/>
      <c r="R910" s="139"/>
    </row>
    <row r="911">
      <c r="B911" s="139"/>
      <c r="C911" s="139"/>
      <c r="D911" s="139"/>
      <c r="E911" s="18"/>
      <c r="F911" s="107"/>
      <c r="G911" s="107"/>
      <c r="H911" s="48"/>
      <c r="I911" s="48"/>
      <c r="J911" s="48"/>
      <c r="K911" s="48"/>
      <c r="R911" s="139"/>
    </row>
    <row r="912">
      <c r="B912" s="139"/>
      <c r="C912" s="139"/>
      <c r="D912" s="139"/>
      <c r="E912" s="18"/>
      <c r="F912" s="107"/>
      <c r="G912" s="107"/>
      <c r="H912" s="48"/>
      <c r="I912" s="48"/>
      <c r="J912" s="48"/>
      <c r="K912" s="48"/>
      <c r="R912" s="139"/>
    </row>
    <row r="913">
      <c r="B913" s="139"/>
      <c r="C913" s="139"/>
      <c r="D913" s="139"/>
      <c r="E913" s="18"/>
      <c r="F913" s="107"/>
      <c r="G913" s="107"/>
      <c r="H913" s="48"/>
      <c r="I913" s="48"/>
      <c r="J913" s="48"/>
      <c r="K913" s="48"/>
      <c r="R913" s="139"/>
    </row>
    <row r="914">
      <c r="B914" s="139"/>
      <c r="C914" s="139"/>
      <c r="D914" s="139"/>
      <c r="E914" s="18"/>
      <c r="F914" s="107"/>
      <c r="G914" s="107"/>
      <c r="H914" s="48"/>
      <c r="I914" s="48"/>
      <c r="J914" s="48"/>
      <c r="K914" s="48"/>
      <c r="R914" s="139"/>
    </row>
    <row r="915">
      <c r="B915" s="139"/>
      <c r="C915" s="139"/>
      <c r="D915" s="139"/>
      <c r="E915" s="18"/>
      <c r="F915" s="107"/>
      <c r="G915" s="107"/>
      <c r="H915" s="48"/>
      <c r="I915" s="48"/>
      <c r="J915" s="48"/>
      <c r="K915" s="48"/>
      <c r="R915" s="139"/>
    </row>
    <row r="916">
      <c r="B916" s="139"/>
      <c r="C916" s="139"/>
      <c r="D916" s="139"/>
      <c r="E916" s="18"/>
      <c r="F916" s="107"/>
      <c r="G916" s="107"/>
      <c r="H916" s="48"/>
      <c r="I916" s="48"/>
      <c r="J916" s="48"/>
      <c r="K916" s="48"/>
      <c r="R916" s="139"/>
    </row>
    <row r="917">
      <c r="B917" s="139"/>
      <c r="C917" s="139"/>
      <c r="D917" s="139"/>
      <c r="E917" s="18"/>
      <c r="F917" s="107"/>
      <c r="G917" s="107"/>
      <c r="H917" s="48"/>
      <c r="I917" s="48"/>
      <c r="J917" s="48"/>
      <c r="K917" s="48"/>
      <c r="R917" s="139"/>
    </row>
    <row r="918">
      <c r="B918" s="139"/>
      <c r="C918" s="139"/>
      <c r="D918" s="139"/>
      <c r="E918" s="18"/>
      <c r="F918" s="107"/>
      <c r="G918" s="107"/>
      <c r="H918" s="48"/>
      <c r="I918" s="48"/>
      <c r="J918" s="48"/>
      <c r="K918" s="48"/>
      <c r="R918" s="139"/>
    </row>
    <row r="919">
      <c r="B919" s="139"/>
      <c r="C919" s="139"/>
      <c r="D919" s="139"/>
      <c r="E919" s="18"/>
      <c r="F919" s="107"/>
      <c r="G919" s="107"/>
      <c r="H919" s="48"/>
      <c r="I919" s="48"/>
      <c r="J919" s="48"/>
      <c r="K919" s="48"/>
      <c r="R919" s="139"/>
    </row>
    <row r="920">
      <c r="B920" s="139"/>
      <c r="C920" s="139"/>
      <c r="D920" s="139"/>
      <c r="E920" s="18"/>
      <c r="F920" s="107"/>
      <c r="G920" s="107"/>
      <c r="H920" s="48"/>
      <c r="I920" s="48"/>
      <c r="J920" s="48"/>
      <c r="K920" s="48"/>
      <c r="R920" s="139"/>
    </row>
    <row r="921">
      <c r="B921" s="139"/>
      <c r="C921" s="139"/>
      <c r="D921" s="139"/>
      <c r="E921" s="18"/>
      <c r="F921" s="107"/>
      <c r="G921" s="107"/>
      <c r="H921" s="48"/>
      <c r="I921" s="48"/>
      <c r="J921" s="48"/>
      <c r="K921" s="48"/>
      <c r="R921" s="139"/>
    </row>
    <row r="922">
      <c r="B922" s="139"/>
      <c r="C922" s="139"/>
      <c r="D922" s="139"/>
      <c r="E922" s="18"/>
      <c r="F922" s="107"/>
      <c r="G922" s="107"/>
      <c r="H922" s="48"/>
      <c r="I922" s="48"/>
      <c r="J922" s="48"/>
      <c r="K922" s="48"/>
      <c r="R922" s="139"/>
    </row>
    <row r="923">
      <c r="B923" s="139"/>
      <c r="C923" s="139"/>
      <c r="D923" s="139"/>
      <c r="E923" s="18"/>
      <c r="F923" s="107"/>
      <c r="G923" s="107"/>
      <c r="H923" s="48"/>
      <c r="I923" s="48"/>
      <c r="J923" s="48"/>
      <c r="K923" s="48"/>
      <c r="R923" s="139"/>
    </row>
    <row r="924">
      <c r="B924" s="139"/>
      <c r="C924" s="139"/>
      <c r="D924" s="139"/>
      <c r="E924" s="18"/>
      <c r="F924" s="107"/>
      <c r="G924" s="107"/>
      <c r="H924" s="48"/>
      <c r="I924" s="48"/>
      <c r="J924" s="48"/>
      <c r="K924" s="48"/>
      <c r="R924" s="139"/>
    </row>
    <row r="925">
      <c r="B925" s="139"/>
      <c r="C925" s="139"/>
      <c r="D925" s="139"/>
      <c r="E925" s="18"/>
      <c r="F925" s="107"/>
      <c r="G925" s="107"/>
      <c r="H925" s="48"/>
      <c r="I925" s="48"/>
      <c r="J925" s="48"/>
      <c r="K925" s="48"/>
      <c r="R925" s="139"/>
    </row>
    <row r="926">
      <c r="B926" s="139"/>
      <c r="C926" s="139"/>
      <c r="D926" s="139"/>
      <c r="E926" s="18"/>
      <c r="F926" s="107"/>
      <c r="G926" s="107"/>
      <c r="H926" s="48"/>
      <c r="I926" s="48"/>
      <c r="J926" s="48"/>
      <c r="K926" s="48"/>
      <c r="R926" s="139"/>
    </row>
    <row r="927">
      <c r="B927" s="139"/>
      <c r="C927" s="139"/>
      <c r="D927" s="139"/>
      <c r="E927" s="18"/>
      <c r="F927" s="107"/>
      <c r="G927" s="107"/>
      <c r="H927" s="48"/>
      <c r="I927" s="48"/>
      <c r="J927" s="48"/>
      <c r="K927" s="48"/>
      <c r="R927" s="139"/>
    </row>
    <row r="928">
      <c r="B928" s="139"/>
      <c r="C928" s="139"/>
      <c r="D928" s="139"/>
      <c r="E928" s="18"/>
      <c r="F928" s="107"/>
      <c r="G928" s="107"/>
      <c r="H928" s="48"/>
      <c r="I928" s="48"/>
      <c r="J928" s="48"/>
      <c r="K928" s="48"/>
      <c r="R928" s="139"/>
    </row>
    <row r="929">
      <c r="B929" s="139"/>
      <c r="C929" s="139"/>
      <c r="D929" s="139"/>
      <c r="E929" s="18"/>
      <c r="F929" s="107"/>
      <c r="G929" s="107"/>
      <c r="H929" s="48"/>
      <c r="I929" s="48"/>
      <c r="J929" s="48"/>
      <c r="K929" s="48"/>
      <c r="R929" s="139"/>
    </row>
    <row r="930">
      <c r="B930" s="139"/>
      <c r="C930" s="139"/>
      <c r="D930" s="139"/>
      <c r="E930" s="18"/>
      <c r="F930" s="107"/>
      <c r="G930" s="107"/>
      <c r="H930" s="48"/>
      <c r="I930" s="48"/>
      <c r="J930" s="48"/>
      <c r="K930" s="48"/>
      <c r="R930" s="139"/>
    </row>
    <row r="931">
      <c r="B931" s="139"/>
      <c r="C931" s="139"/>
      <c r="D931" s="139"/>
      <c r="E931" s="18"/>
      <c r="F931" s="107"/>
      <c r="G931" s="107"/>
      <c r="H931" s="48"/>
      <c r="I931" s="48"/>
      <c r="J931" s="48"/>
      <c r="K931" s="48"/>
      <c r="R931" s="139"/>
    </row>
    <row r="932">
      <c r="B932" s="139"/>
      <c r="C932" s="139"/>
      <c r="D932" s="139"/>
      <c r="E932" s="18"/>
      <c r="F932" s="107"/>
      <c r="G932" s="107"/>
      <c r="H932" s="48"/>
      <c r="I932" s="48"/>
      <c r="J932" s="48"/>
      <c r="K932" s="48"/>
      <c r="R932" s="139"/>
    </row>
    <row r="933">
      <c r="B933" s="139"/>
      <c r="C933" s="139"/>
      <c r="D933" s="139"/>
      <c r="E933" s="18"/>
      <c r="F933" s="107"/>
      <c r="G933" s="107"/>
      <c r="H933" s="48"/>
      <c r="I933" s="48"/>
      <c r="J933" s="48"/>
      <c r="K933" s="48"/>
      <c r="R933" s="139"/>
    </row>
    <row r="934">
      <c r="B934" s="139"/>
      <c r="C934" s="139"/>
      <c r="D934" s="139"/>
      <c r="E934" s="18"/>
      <c r="F934" s="107"/>
      <c r="G934" s="107"/>
      <c r="H934" s="48"/>
      <c r="I934" s="48"/>
      <c r="J934" s="48"/>
      <c r="K934" s="48"/>
      <c r="R934" s="139"/>
    </row>
    <row r="935">
      <c r="B935" s="139"/>
      <c r="C935" s="139"/>
      <c r="D935" s="139"/>
      <c r="E935" s="18"/>
      <c r="F935" s="107"/>
      <c r="G935" s="107"/>
      <c r="H935" s="48"/>
      <c r="I935" s="48"/>
      <c r="J935" s="48"/>
      <c r="K935" s="48"/>
      <c r="R935" s="139"/>
    </row>
    <row r="936">
      <c r="B936" s="139"/>
      <c r="C936" s="139"/>
      <c r="D936" s="139"/>
      <c r="E936" s="18"/>
      <c r="F936" s="107"/>
      <c r="G936" s="107"/>
      <c r="H936" s="48"/>
      <c r="I936" s="48"/>
      <c r="J936" s="48"/>
      <c r="K936" s="48"/>
      <c r="R936" s="139"/>
    </row>
    <row r="937">
      <c r="B937" s="139"/>
      <c r="C937" s="139"/>
      <c r="D937" s="139"/>
      <c r="E937" s="18"/>
      <c r="F937" s="107"/>
      <c r="G937" s="107"/>
      <c r="H937" s="48"/>
      <c r="I937" s="48"/>
      <c r="J937" s="48"/>
      <c r="K937" s="48"/>
      <c r="R937" s="139"/>
    </row>
    <row r="938">
      <c r="B938" s="139"/>
      <c r="C938" s="139"/>
      <c r="D938" s="139"/>
      <c r="E938" s="18"/>
      <c r="F938" s="107"/>
      <c r="G938" s="107"/>
      <c r="H938" s="48"/>
      <c r="I938" s="48"/>
      <c r="J938" s="48"/>
      <c r="K938" s="48"/>
      <c r="R938" s="139"/>
    </row>
    <row r="939">
      <c r="B939" s="139"/>
      <c r="C939" s="139"/>
      <c r="D939" s="139"/>
      <c r="E939" s="18"/>
      <c r="F939" s="107"/>
      <c r="G939" s="107"/>
      <c r="H939" s="48"/>
      <c r="I939" s="48"/>
      <c r="J939" s="48"/>
      <c r="K939" s="48"/>
      <c r="R939" s="139"/>
    </row>
    <row r="940">
      <c r="B940" s="139"/>
      <c r="C940" s="139"/>
      <c r="D940" s="139"/>
      <c r="E940" s="18"/>
      <c r="F940" s="107"/>
      <c r="G940" s="107"/>
      <c r="H940" s="48"/>
      <c r="I940" s="48"/>
      <c r="J940" s="48"/>
      <c r="K940" s="48"/>
      <c r="R940" s="139"/>
    </row>
    <row r="941">
      <c r="B941" s="139"/>
      <c r="C941" s="139"/>
      <c r="D941" s="139"/>
      <c r="E941" s="18"/>
      <c r="F941" s="107"/>
      <c r="G941" s="107"/>
      <c r="H941" s="48"/>
      <c r="I941" s="48"/>
      <c r="J941" s="48"/>
      <c r="K941" s="48"/>
      <c r="R941" s="139"/>
    </row>
    <row r="942">
      <c r="B942" s="139"/>
      <c r="C942" s="139"/>
      <c r="D942" s="139"/>
      <c r="E942" s="18"/>
      <c r="F942" s="107"/>
      <c r="G942" s="107"/>
      <c r="H942" s="48"/>
      <c r="I942" s="48"/>
      <c r="J942" s="48"/>
      <c r="K942" s="48"/>
      <c r="R942" s="139"/>
    </row>
    <row r="943">
      <c r="B943" s="139"/>
      <c r="C943" s="139"/>
      <c r="D943" s="139"/>
      <c r="E943" s="18"/>
      <c r="F943" s="107"/>
      <c r="G943" s="107"/>
      <c r="H943" s="48"/>
      <c r="I943" s="48"/>
      <c r="J943" s="48"/>
      <c r="K943" s="48"/>
      <c r="R943" s="139"/>
    </row>
    <row r="944">
      <c r="B944" s="139"/>
      <c r="C944" s="139"/>
      <c r="D944" s="139"/>
      <c r="E944" s="18"/>
      <c r="F944" s="107"/>
      <c r="G944" s="107"/>
      <c r="H944" s="48"/>
      <c r="I944" s="48"/>
      <c r="J944" s="48"/>
      <c r="K944" s="48"/>
      <c r="R944" s="139"/>
    </row>
    <row r="945">
      <c r="B945" s="139"/>
      <c r="C945" s="139"/>
      <c r="D945" s="139"/>
      <c r="E945" s="18"/>
      <c r="F945" s="107"/>
      <c r="G945" s="107"/>
      <c r="H945" s="48"/>
      <c r="I945" s="48"/>
      <c r="J945" s="48"/>
      <c r="K945" s="48"/>
      <c r="R945" s="139"/>
    </row>
    <row r="946">
      <c r="B946" s="139"/>
      <c r="C946" s="139"/>
      <c r="D946" s="139"/>
      <c r="E946" s="18"/>
      <c r="F946" s="107"/>
      <c r="G946" s="107"/>
      <c r="H946" s="48"/>
      <c r="I946" s="48"/>
      <c r="J946" s="48"/>
      <c r="K946" s="48"/>
      <c r="R946" s="139"/>
    </row>
    <row r="947">
      <c r="B947" s="139"/>
      <c r="C947" s="139"/>
      <c r="D947" s="139"/>
      <c r="E947" s="18"/>
      <c r="F947" s="107"/>
      <c r="G947" s="107"/>
      <c r="H947" s="48"/>
      <c r="I947" s="48"/>
      <c r="J947" s="48"/>
      <c r="K947" s="48"/>
      <c r="R947" s="139"/>
    </row>
    <row r="948">
      <c r="B948" s="139"/>
      <c r="C948" s="139"/>
      <c r="D948" s="139"/>
      <c r="E948" s="18"/>
      <c r="F948" s="107"/>
      <c r="G948" s="107"/>
      <c r="H948" s="48"/>
      <c r="I948" s="48"/>
      <c r="J948" s="48"/>
      <c r="K948" s="48"/>
      <c r="R948" s="139"/>
    </row>
    <row r="949">
      <c r="B949" s="139"/>
      <c r="C949" s="139"/>
      <c r="D949" s="139"/>
      <c r="E949" s="18"/>
      <c r="F949" s="107"/>
      <c r="G949" s="107"/>
      <c r="H949" s="48"/>
      <c r="I949" s="48"/>
      <c r="J949" s="48"/>
      <c r="K949" s="48"/>
      <c r="R949" s="139"/>
    </row>
    <row r="950">
      <c r="B950" s="139"/>
      <c r="C950" s="139"/>
      <c r="D950" s="139"/>
      <c r="E950" s="18"/>
      <c r="F950" s="107"/>
      <c r="G950" s="107"/>
      <c r="H950" s="48"/>
      <c r="I950" s="48"/>
      <c r="J950" s="48"/>
      <c r="K950" s="48"/>
      <c r="R950" s="139"/>
    </row>
    <row r="951">
      <c r="B951" s="139"/>
      <c r="C951" s="139"/>
      <c r="D951" s="139"/>
      <c r="E951" s="18"/>
      <c r="F951" s="107"/>
      <c r="G951" s="107"/>
      <c r="H951" s="48"/>
      <c r="I951" s="48"/>
      <c r="J951" s="48"/>
      <c r="K951" s="48"/>
      <c r="R951" s="139"/>
    </row>
    <row r="952">
      <c r="B952" s="139"/>
      <c r="C952" s="139"/>
      <c r="D952" s="139"/>
      <c r="E952" s="18"/>
      <c r="F952" s="107"/>
      <c r="G952" s="107"/>
      <c r="H952" s="48"/>
      <c r="I952" s="48"/>
      <c r="J952" s="48"/>
      <c r="K952" s="48"/>
      <c r="R952" s="139"/>
    </row>
    <row r="953">
      <c r="B953" s="139"/>
      <c r="C953" s="139"/>
      <c r="D953" s="139"/>
      <c r="E953" s="18"/>
      <c r="F953" s="107"/>
      <c r="G953" s="107"/>
      <c r="H953" s="48"/>
      <c r="I953" s="48"/>
      <c r="J953" s="48"/>
      <c r="K953" s="48"/>
      <c r="R953" s="139"/>
    </row>
    <row r="954">
      <c r="B954" s="139"/>
      <c r="C954" s="139"/>
      <c r="D954" s="139"/>
      <c r="E954" s="18"/>
      <c r="F954" s="107"/>
      <c r="G954" s="107"/>
      <c r="H954" s="48"/>
      <c r="I954" s="48"/>
      <c r="J954" s="48"/>
      <c r="K954" s="48"/>
      <c r="R954" s="139"/>
    </row>
    <row r="955">
      <c r="B955" s="139"/>
      <c r="C955" s="139"/>
      <c r="D955" s="139"/>
      <c r="E955" s="18"/>
      <c r="F955" s="107"/>
      <c r="G955" s="107"/>
      <c r="H955" s="48"/>
      <c r="I955" s="48"/>
      <c r="J955" s="48"/>
      <c r="K955" s="48"/>
      <c r="R955" s="139"/>
    </row>
    <row r="956">
      <c r="B956" s="139"/>
      <c r="C956" s="139"/>
      <c r="D956" s="139"/>
      <c r="E956" s="18"/>
      <c r="F956" s="107"/>
      <c r="G956" s="107"/>
      <c r="H956" s="48"/>
      <c r="I956" s="48"/>
      <c r="J956" s="48"/>
      <c r="K956" s="48"/>
      <c r="R956" s="139"/>
    </row>
    <row r="957">
      <c r="B957" s="139"/>
      <c r="C957" s="139"/>
      <c r="D957" s="139"/>
      <c r="E957" s="18"/>
      <c r="F957" s="107"/>
      <c r="G957" s="107"/>
      <c r="H957" s="48"/>
      <c r="I957" s="48"/>
      <c r="J957" s="48"/>
      <c r="K957" s="48"/>
      <c r="R957" s="139"/>
    </row>
    <row r="958">
      <c r="B958" s="139"/>
      <c r="C958" s="139"/>
      <c r="D958" s="139"/>
      <c r="E958" s="18"/>
      <c r="F958" s="107"/>
      <c r="G958" s="107"/>
      <c r="H958" s="48"/>
      <c r="I958" s="48"/>
      <c r="J958" s="48"/>
      <c r="K958" s="48"/>
      <c r="R958" s="139"/>
    </row>
    <row r="959">
      <c r="B959" s="139"/>
      <c r="C959" s="139"/>
      <c r="D959" s="139"/>
      <c r="E959" s="18"/>
      <c r="F959" s="107"/>
      <c r="G959" s="107"/>
      <c r="H959" s="48"/>
      <c r="I959" s="48"/>
      <c r="J959" s="48"/>
      <c r="K959" s="48"/>
      <c r="R959" s="139"/>
    </row>
    <row r="960">
      <c r="B960" s="139"/>
      <c r="C960" s="139"/>
      <c r="D960" s="139"/>
      <c r="E960" s="18"/>
      <c r="F960" s="107"/>
      <c r="G960" s="107"/>
      <c r="H960" s="48"/>
      <c r="I960" s="48"/>
      <c r="J960" s="48"/>
      <c r="K960" s="48"/>
      <c r="R960" s="139"/>
    </row>
    <row r="961">
      <c r="B961" s="139"/>
      <c r="C961" s="139"/>
      <c r="D961" s="139"/>
      <c r="E961" s="18"/>
      <c r="F961" s="107"/>
      <c r="G961" s="107"/>
      <c r="H961" s="48"/>
      <c r="I961" s="48"/>
      <c r="J961" s="48"/>
      <c r="K961" s="48"/>
      <c r="R961" s="139"/>
    </row>
    <row r="962">
      <c r="B962" s="139"/>
      <c r="C962" s="139"/>
      <c r="D962" s="139"/>
      <c r="E962" s="18"/>
      <c r="F962" s="107"/>
      <c r="G962" s="107"/>
      <c r="H962" s="48"/>
      <c r="I962" s="48"/>
      <c r="J962" s="48"/>
      <c r="K962" s="48"/>
      <c r="R962" s="139"/>
    </row>
    <row r="963">
      <c r="B963" s="139"/>
      <c r="C963" s="139"/>
      <c r="D963" s="139"/>
      <c r="E963" s="18"/>
      <c r="F963" s="107"/>
      <c r="G963" s="107"/>
      <c r="H963" s="48"/>
      <c r="I963" s="48"/>
      <c r="J963" s="48"/>
      <c r="K963" s="48"/>
      <c r="R963" s="139"/>
    </row>
    <row r="964">
      <c r="B964" s="139"/>
      <c r="C964" s="139"/>
      <c r="D964" s="139"/>
      <c r="E964" s="18"/>
      <c r="F964" s="107"/>
      <c r="G964" s="107"/>
      <c r="H964" s="48"/>
      <c r="I964" s="48"/>
      <c r="J964" s="48"/>
      <c r="K964" s="48"/>
      <c r="R964" s="139"/>
    </row>
    <row r="965">
      <c r="B965" s="139"/>
      <c r="C965" s="139"/>
      <c r="D965" s="139"/>
      <c r="E965" s="18"/>
      <c r="F965" s="107"/>
      <c r="G965" s="107"/>
      <c r="H965" s="48"/>
      <c r="I965" s="48"/>
      <c r="J965" s="48"/>
      <c r="K965" s="48"/>
      <c r="R965" s="139"/>
    </row>
    <row r="966">
      <c r="B966" s="139"/>
      <c r="C966" s="139"/>
      <c r="D966" s="139"/>
      <c r="E966" s="18"/>
      <c r="F966" s="107"/>
      <c r="G966" s="107"/>
      <c r="H966" s="48"/>
      <c r="I966" s="48"/>
      <c r="J966" s="48"/>
      <c r="K966" s="48"/>
      <c r="R966" s="139"/>
    </row>
    <row r="967">
      <c r="B967" s="139"/>
      <c r="C967" s="139"/>
      <c r="D967" s="139"/>
      <c r="E967" s="18"/>
      <c r="F967" s="107"/>
      <c r="G967" s="107"/>
      <c r="H967" s="48"/>
      <c r="I967" s="48"/>
      <c r="J967" s="48"/>
      <c r="K967" s="48"/>
      <c r="R967" s="139"/>
    </row>
    <row r="968">
      <c r="B968" s="139"/>
      <c r="C968" s="139"/>
      <c r="D968" s="139"/>
      <c r="E968" s="18"/>
      <c r="F968" s="107"/>
      <c r="G968" s="107"/>
      <c r="H968" s="48"/>
      <c r="I968" s="48"/>
      <c r="J968" s="48"/>
      <c r="K968" s="48"/>
      <c r="R968" s="139"/>
    </row>
    <row r="969">
      <c r="B969" s="139"/>
      <c r="C969" s="139"/>
      <c r="D969" s="139"/>
      <c r="E969" s="18"/>
      <c r="F969" s="107"/>
      <c r="G969" s="107"/>
      <c r="H969" s="48"/>
      <c r="I969" s="48"/>
      <c r="J969" s="48"/>
      <c r="K969" s="48"/>
      <c r="R969" s="139"/>
    </row>
    <row r="970">
      <c r="B970" s="139"/>
      <c r="C970" s="139"/>
      <c r="D970" s="139"/>
      <c r="E970" s="18"/>
      <c r="F970" s="107"/>
      <c r="G970" s="107"/>
      <c r="H970" s="48"/>
      <c r="I970" s="48"/>
      <c r="J970" s="48"/>
      <c r="K970" s="48"/>
      <c r="R970" s="139"/>
    </row>
    <row r="971">
      <c r="B971" s="139"/>
      <c r="C971" s="139"/>
      <c r="D971" s="139"/>
      <c r="E971" s="18"/>
      <c r="F971" s="107"/>
      <c r="G971" s="107"/>
      <c r="H971" s="48"/>
      <c r="I971" s="48"/>
      <c r="J971" s="48"/>
      <c r="K971" s="48"/>
      <c r="R971" s="139"/>
    </row>
    <row r="972">
      <c r="B972" s="139"/>
      <c r="C972" s="139"/>
      <c r="D972" s="139"/>
      <c r="E972" s="18"/>
      <c r="F972" s="107"/>
      <c r="G972" s="107"/>
      <c r="H972" s="48"/>
      <c r="I972" s="48"/>
      <c r="J972" s="48"/>
      <c r="K972" s="48"/>
      <c r="R972" s="139"/>
    </row>
    <row r="973">
      <c r="B973" s="139"/>
      <c r="C973" s="139"/>
      <c r="D973" s="139"/>
      <c r="E973" s="18"/>
      <c r="F973" s="107"/>
      <c r="G973" s="107"/>
      <c r="H973" s="48"/>
      <c r="I973" s="48"/>
      <c r="J973" s="48"/>
      <c r="K973" s="48"/>
      <c r="R973" s="139"/>
    </row>
    <row r="974">
      <c r="B974" s="139"/>
      <c r="C974" s="139"/>
      <c r="D974" s="139"/>
      <c r="E974" s="18"/>
      <c r="F974" s="107"/>
      <c r="G974" s="107"/>
      <c r="H974" s="48"/>
      <c r="I974" s="48"/>
      <c r="J974" s="48"/>
      <c r="K974" s="48"/>
      <c r="R974" s="139"/>
    </row>
    <row r="975">
      <c r="B975" s="139"/>
      <c r="C975" s="139"/>
      <c r="D975" s="139"/>
      <c r="E975" s="18"/>
      <c r="F975" s="107"/>
      <c r="G975" s="107"/>
      <c r="H975" s="48"/>
      <c r="I975" s="48"/>
      <c r="J975" s="48"/>
      <c r="K975" s="48"/>
      <c r="R975" s="139"/>
    </row>
    <row r="976">
      <c r="B976" s="139"/>
      <c r="C976" s="139"/>
      <c r="D976" s="139"/>
      <c r="E976" s="18"/>
      <c r="F976" s="107"/>
      <c r="G976" s="107"/>
      <c r="H976" s="48"/>
      <c r="I976" s="48"/>
      <c r="J976" s="48"/>
      <c r="K976" s="48"/>
      <c r="R976" s="139"/>
    </row>
    <row r="977">
      <c r="B977" s="139"/>
      <c r="C977" s="139"/>
      <c r="D977" s="139"/>
      <c r="E977" s="18"/>
      <c r="F977" s="107"/>
      <c r="G977" s="107"/>
      <c r="H977" s="48"/>
      <c r="I977" s="48"/>
      <c r="J977" s="48"/>
      <c r="K977" s="48"/>
      <c r="R977" s="139"/>
    </row>
    <row r="978">
      <c r="B978" s="139"/>
      <c r="C978" s="139"/>
      <c r="D978" s="139"/>
      <c r="E978" s="18"/>
      <c r="F978" s="107"/>
      <c r="G978" s="107"/>
      <c r="H978" s="48"/>
      <c r="I978" s="48"/>
      <c r="J978" s="48"/>
      <c r="K978" s="48"/>
      <c r="R978" s="139"/>
    </row>
    <row r="979">
      <c r="B979" s="139"/>
      <c r="C979" s="139"/>
      <c r="D979" s="139"/>
      <c r="E979" s="18"/>
      <c r="F979" s="107"/>
      <c r="G979" s="107"/>
      <c r="H979" s="48"/>
      <c r="I979" s="48"/>
      <c r="J979" s="48"/>
      <c r="K979" s="48"/>
      <c r="R979" s="139"/>
    </row>
    <row r="980">
      <c r="B980" s="139"/>
      <c r="C980" s="139"/>
      <c r="D980" s="139"/>
      <c r="E980" s="18"/>
      <c r="F980" s="107"/>
      <c r="G980" s="107"/>
      <c r="H980" s="48"/>
      <c r="I980" s="48"/>
      <c r="J980" s="48"/>
      <c r="K980" s="48"/>
      <c r="R980" s="139"/>
    </row>
    <row r="981">
      <c r="B981" s="139"/>
      <c r="C981" s="139"/>
      <c r="D981" s="139"/>
      <c r="E981" s="18"/>
      <c r="F981" s="107"/>
      <c r="G981" s="107"/>
      <c r="H981" s="48"/>
      <c r="I981" s="48"/>
      <c r="J981" s="48"/>
      <c r="K981" s="48"/>
      <c r="R981" s="139"/>
    </row>
    <row r="982">
      <c r="B982" s="139"/>
      <c r="C982" s="139"/>
      <c r="D982" s="139"/>
      <c r="E982" s="18"/>
      <c r="F982" s="107"/>
      <c r="G982" s="107"/>
      <c r="H982" s="48"/>
      <c r="I982" s="48"/>
      <c r="J982" s="48"/>
      <c r="K982" s="48"/>
      <c r="R982" s="139"/>
    </row>
    <row r="983">
      <c r="B983" s="139"/>
      <c r="C983" s="139"/>
      <c r="D983" s="139"/>
      <c r="E983" s="18"/>
      <c r="F983" s="107"/>
      <c r="G983" s="107"/>
      <c r="H983" s="48"/>
      <c r="I983" s="48"/>
      <c r="J983" s="48"/>
      <c r="K983" s="48"/>
      <c r="R983" s="139"/>
    </row>
    <row r="984">
      <c r="B984" s="139"/>
      <c r="C984" s="139"/>
      <c r="D984" s="139"/>
      <c r="E984" s="18"/>
      <c r="F984" s="107"/>
      <c r="G984" s="107"/>
      <c r="H984" s="48"/>
      <c r="I984" s="48"/>
      <c r="J984" s="48"/>
      <c r="K984" s="48"/>
      <c r="R984" s="139"/>
    </row>
    <row r="985">
      <c r="B985" s="139"/>
      <c r="C985" s="139"/>
      <c r="D985" s="139"/>
      <c r="E985" s="18"/>
      <c r="F985" s="107"/>
      <c r="G985" s="107"/>
      <c r="H985" s="48"/>
      <c r="I985" s="48"/>
      <c r="J985" s="48"/>
      <c r="K985" s="48"/>
      <c r="R985" s="139"/>
    </row>
    <row r="986">
      <c r="B986" s="139"/>
      <c r="C986" s="139"/>
      <c r="D986" s="139"/>
      <c r="E986" s="18"/>
      <c r="F986" s="107"/>
      <c r="G986" s="107"/>
      <c r="H986" s="48"/>
      <c r="I986" s="48"/>
      <c r="J986" s="48"/>
      <c r="K986" s="48"/>
      <c r="R986" s="139"/>
    </row>
    <row r="987">
      <c r="B987" s="139"/>
      <c r="C987" s="139"/>
      <c r="D987" s="139"/>
      <c r="E987" s="18"/>
      <c r="F987" s="107"/>
      <c r="G987" s="107"/>
      <c r="H987" s="48"/>
      <c r="I987" s="48"/>
      <c r="J987" s="48"/>
      <c r="K987" s="48"/>
      <c r="R987" s="139"/>
    </row>
    <row r="988">
      <c r="B988" s="139"/>
      <c r="C988" s="139"/>
      <c r="D988" s="139"/>
      <c r="E988" s="18"/>
      <c r="F988" s="107"/>
      <c r="G988" s="107"/>
      <c r="H988" s="48"/>
      <c r="I988" s="48"/>
      <c r="J988" s="48"/>
      <c r="K988" s="48"/>
      <c r="R988" s="139"/>
    </row>
    <row r="989">
      <c r="B989" s="139"/>
      <c r="C989" s="139"/>
      <c r="D989" s="139"/>
      <c r="E989" s="18"/>
      <c r="F989" s="107"/>
      <c r="G989" s="107"/>
      <c r="H989" s="48"/>
      <c r="I989" s="48"/>
      <c r="J989" s="48"/>
      <c r="K989" s="48"/>
      <c r="R989" s="139"/>
    </row>
    <row r="990">
      <c r="B990" s="139"/>
      <c r="C990" s="139"/>
      <c r="D990" s="139"/>
      <c r="E990" s="18"/>
      <c r="F990" s="107"/>
      <c r="G990" s="107"/>
      <c r="H990" s="48"/>
      <c r="I990" s="48"/>
      <c r="J990" s="48"/>
      <c r="K990" s="48"/>
      <c r="R990" s="139"/>
    </row>
    <row r="991">
      <c r="B991" s="139"/>
      <c r="C991" s="139"/>
      <c r="D991" s="139"/>
      <c r="E991" s="18"/>
      <c r="F991" s="107"/>
      <c r="G991" s="107"/>
      <c r="H991" s="48"/>
      <c r="I991" s="48"/>
      <c r="J991" s="48"/>
      <c r="K991" s="48"/>
      <c r="R991" s="139"/>
    </row>
    <row r="992">
      <c r="B992" s="139"/>
      <c r="C992" s="139"/>
      <c r="D992" s="139"/>
      <c r="E992" s="18"/>
      <c r="F992" s="107"/>
      <c r="G992" s="107"/>
      <c r="H992" s="48"/>
      <c r="I992" s="48"/>
      <c r="J992" s="48"/>
      <c r="K992" s="48"/>
      <c r="R992" s="139"/>
    </row>
    <row r="993">
      <c r="B993" s="139"/>
      <c r="C993" s="139"/>
      <c r="D993" s="139"/>
      <c r="E993" s="18"/>
      <c r="F993" s="107"/>
      <c r="G993" s="107"/>
      <c r="H993" s="48"/>
      <c r="I993" s="48"/>
      <c r="J993" s="48"/>
      <c r="K993" s="48"/>
      <c r="R993" s="139"/>
    </row>
    <row r="994">
      <c r="B994" s="139"/>
      <c r="C994" s="139"/>
      <c r="D994" s="139"/>
      <c r="E994" s="18"/>
      <c r="F994" s="107"/>
      <c r="G994" s="107"/>
      <c r="H994" s="48"/>
      <c r="I994" s="48"/>
      <c r="J994" s="48"/>
      <c r="K994" s="48"/>
      <c r="R994" s="139"/>
    </row>
    <row r="995">
      <c r="B995" s="139"/>
      <c r="C995" s="139"/>
      <c r="D995" s="139"/>
      <c r="E995" s="18"/>
      <c r="F995" s="107"/>
      <c r="G995" s="107"/>
      <c r="H995" s="48"/>
      <c r="I995" s="48"/>
      <c r="J995" s="48"/>
      <c r="K995" s="48"/>
      <c r="R995" s="139"/>
    </row>
    <row r="996">
      <c r="B996" s="139"/>
      <c r="C996" s="139"/>
      <c r="D996" s="139"/>
      <c r="E996" s="18"/>
      <c r="F996" s="107"/>
      <c r="G996" s="107"/>
      <c r="H996" s="48"/>
      <c r="I996" s="48"/>
      <c r="J996" s="48"/>
      <c r="K996" s="48"/>
      <c r="R996" s="139"/>
    </row>
    <row r="997">
      <c r="B997" s="139"/>
      <c r="C997" s="139"/>
      <c r="D997" s="139"/>
      <c r="E997" s="18"/>
      <c r="F997" s="107"/>
      <c r="G997" s="107"/>
      <c r="H997" s="48"/>
      <c r="I997" s="48"/>
      <c r="J997" s="48"/>
      <c r="K997" s="48"/>
      <c r="R997" s="139"/>
    </row>
    <row r="998">
      <c r="B998" s="139"/>
      <c r="C998" s="139"/>
      <c r="D998" s="139"/>
      <c r="E998" s="18"/>
      <c r="F998" s="107"/>
      <c r="G998" s="107"/>
      <c r="H998" s="48"/>
      <c r="I998" s="48"/>
      <c r="J998" s="48"/>
      <c r="K998" s="48"/>
      <c r="R998" s="139"/>
    </row>
    <row r="999">
      <c r="B999" s="139"/>
      <c r="C999" s="139"/>
      <c r="D999" s="139"/>
      <c r="E999" s="18"/>
      <c r="F999" s="107"/>
      <c r="G999" s="107"/>
      <c r="H999" s="48"/>
      <c r="I999" s="48"/>
      <c r="J999" s="48"/>
      <c r="K999" s="48"/>
      <c r="R999" s="139"/>
    </row>
    <row r="1000">
      <c r="B1000" s="139"/>
      <c r="C1000" s="139"/>
      <c r="D1000" s="139"/>
      <c r="E1000" s="18"/>
      <c r="F1000" s="107"/>
      <c r="G1000" s="107"/>
      <c r="H1000" s="48"/>
      <c r="I1000" s="48"/>
      <c r="J1000" s="48"/>
      <c r="K1000" s="48"/>
      <c r="R1000" s="139"/>
    </row>
    <row r="1001">
      <c r="B1001" s="139"/>
      <c r="C1001" s="139"/>
      <c r="D1001" s="139"/>
      <c r="E1001" s="18"/>
      <c r="F1001" s="107"/>
      <c r="G1001" s="107"/>
      <c r="H1001" s="48"/>
      <c r="I1001" s="48"/>
      <c r="J1001" s="48"/>
      <c r="K1001" s="48"/>
      <c r="R1001" s="139"/>
    </row>
    <row r="1002">
      <c r="B1002" s="139"/>
      <c r="C1002" s="139"/>
      <c r="D1002" s="139"/>
      <c r="E1002" s="18"/>
      <c r="F1002" s="107"/>
      <c r="G1002" s="107"/>
      <c r="H1002" s="48"/>
      <c r="I1002" s="48"/>
      <c r="J1002" s="48"/>
      <c r="K1002" s="48"/>
      <c r="R1002" s="139"/>
    </row>
    <row r="1003">
      <c r="B1003" s="139"/>
      <c r="C1003" s="139"/>
      <c r="D1003" s="139"/>
      <c r="E1003" s="18"/>
      <c r="F1003" s="107"/>
      <c r="G1003" s="107"/>
      <c r="H1003" s="48"/>
      <c r="I1003" s="48"/>
      <c r="J1003" s="48"/>
      <c r="K1003" s="48"/>
      <c r="R1003" s="139"/>
    </row>
  </sheetData>
  <customSheetViews>
    <customSheetView guid="{13B69836-F742-47CC-9B75-0D185E1E193E}" filter="1" showAutoFilter="1">
      <autoFilter ref="$A$3:$R$108"/>
    </customSheetView>
    <customSheetView guid="{6B942B64-79AD-4D0C-9F22-0F8AB405CAAC}" filter="1" showAutoFilter="1">
      <autoFilter ref="$A$110:$F$144"/>
    </customSheetView>
  </customSheetViews>
  <mergeCells count="2">
    <mergeCell ref="L1:M1"/>
    <mergeCell ref="N1:O1"/>
  </mergeCells>
  <conditionalFormatting sqref="E1:E1003">
    <cfRule type="containsText" dxfId="0" priority="1" operator="containsText" text="Dem">
      <formula>NOT(ISERROR(SEARCH(("Dem"),(E1))))</formula>
    </cfRule>
  </conditionalFormatting>
  <conditionalFormatting sqref="E1:E1003">
    <cfRule type="containsText" dxfId="1" priority="2" operator="containsText" text="Rep">
      <formula>NOT(ISERROR(SEARCH(("Rep"),(E1))))</formula>
    </cfRule>
  </conditionalFormatting>
  <hyperlinks>
    <hyperlink r:id="rId1" ref="B4"/>
    <hyperlink r:id="rId2" ref="R4"/>
    <hyperlink r:id="rId3" ref="B5"/>
    <hyperlink r:id="rId4" ref="C5"/>
    <hyperlink r:id="rId5" ref="R5"/>
    <hyperlink r:id="rId6" ref="B6"/>
    <hyperlink r:id="rId7" ref="B7"/>
    <hyperlink r:id="rId8" ref="C7"/>
    <hyperlink r:id="rId9" ref="R7"/>
    <hyperlink r:id="rId10" ref="B8"/>
    <hyperlink r:id="rId11" ref="C8"/>
    <hyperlink r:id="rId12" ref="B9"/>
    <hyperlink r:id="rId13" ref="R9"/>
    <hyperlink r:id="rId14" ref="B10"/>
    <hyperlink r:id="rId15" ref="B11"/>
    <hyperlink r:id="rId16" ref="C11"/>
    <hyperlink r:id="rId17" ref="R11"/>
    <hyperlink r:id="rId18" ref="B12"/>
    <hyperlink r:id="rId19" ref="B13"/>
    <hyperlink r:id="rId20" ref="C13"/>
    <hyperlink r:id="rId21" ref="R13"/>
    <hyperlink r:id="rId22" ref="B14"/>
    <hyperlink r:id="rId23" ref="C14"/>
    <hyperlink r:id="rId24" ref="R14"/>
    <hyperlink r:id="rId25" ref="B15"/>
    <hyperlink r:id="rId26" ref="C15"/>
    <hyperlink r:id="rId27" ref="B16"/>
    <hyperlink r:id="rId28" ref="C16"/>
    <hyperlink r:id="rId29" ref="R16"/>
    <hyperlink r:id="rId30" ref="B17"/>
    <hyperlink r:id="rId31" ref="C17"/>
    <hyperlink r:id="rId32" ref="R17"/>
    <hyperlink r:id="rId33" ref="B18"/>
    <hyperlink r:id="rId34" ref="C18"/>
    <hyperlink r:id="rId35" ref="R18"/>
    <hyperlink r:id="rId36" ref="B19"/>
    <hyperlink r:id="rId37" ref="C19"/>
    <hyperlink r:id="rId38" ref="B20"/>
    <hyperlink r:id="rId39" ref="R20"/>
    <hyperlink r:id="rId40" ref="B21"/>
    <hyperlink r:id="rId41" ref="B22"/>
    <hyperlink r:id="rId42" ref="C22"/>
    <hyperlink r:id="rId43" ref="B23"/>
    <hyperlink r:id="rId44" ref="C23"/>
    <hyperlink r:id="rId45" ref="B24"/>
    <hyperlink r:id="rId46" ref="C24"/>
    <hyperlink r:id="rId47" ref="C25"/>
    <hyperlink r:id="rId48" ref="R25"/>
    <hyperlink r:id="rId49" ref="C26"/>
    <hyperlink r:id="rId50" ref="R26"/>
    <hyperlink r:id="rId51" ref="C27"/>
    <hyperlink r:id="rId52" ref="C28"/>
    <hyperlink r:id="rId53" ref="C29"/>
    <hyperlink r:id="rId54" ref="R31"/>
    <hyperlink r:id="rId55" ref="C32"/>
    <hyperlink r:id="rId56" ref="R32"/>
    <hyperlink r:id="rId57" ref="R33"/>
    <hyperlink r:id="rId58" ref="C34"/>
    <hyperlink r:id="rId59" ref="C35"/>
    <hyperlink r:id="rId60" ref="R35"/>
    <hyperlink r:id="rId61" ref="C36"/>
    <hyperlink r:id="rId62" ref="C37"/>
    <hyperlink r:id="rId63" ref="C38"/>
    <hyperlink r:id="rId64" ref="C39"/>
    <hyperlink r:id="rId65" ref="C40"/>
    <hyperlink r:id="rId66" ref="R41"/>
    <hyperlink r:id="rId67" ref="R42"/>
    <hyperlink r:id="rId68" ref="C45"/>
    <hyperlink r:id="rId69" ref="R45"/>
    <hyperlink r:id="rId70" ref="C49"/>
    <hyperlink r:id="rId71" ref="C51"/>
    <hyperlink r:id="rId72" ref="C52"/>
    <hyperlink r:id="rId73" ref="R52"/>
    <hyperlink r:id="rId74" ref="C54"/>
    <hyperlink r:id="rId75" ref="C55"/>
    <hyperlink r:id="rId76" ref="C56"/>
    <hyperlink r:id="rId77" ref="C58"/>
    <hyperlink r:id="rId78" ref="C59"/>
    <hyperlink r:id="rId79" ref="C60"/>
    <hyperlink r:id="rId80" ref="C62"/>
    <hyperlink r:id="rId81" ref="C63"/>
    <hyperlink r:id="rId82" ref="C65"/>
    <hyperlink r:id="rId83" ref="C67"/>
    <hyperlink r:id="rId84" ref="C69"/>
    <hyperlink r:id="rId85" ref="C71"/>
    <hyperlink r:id="rId86" ref="R71"/>
    <hyperlink r:id="rId87" ref="C73"/>
    <hyperlink r:id="rId88" ref="C74"/>
    <hyperlink r:id="rId89" ref="R74"/>
    <hyperlink r:id="rId90" ref="C75"/>
    <hyperlink r:id="rId91" ref="R75"/>
    <hyperlink r:id="rId92" ref="C77"/>
    <hyperlink r:id="rId93" ref="C78"/>
    <hyperlink r:id="rId94" ref="C79"/>
    <hyperlink r:id="rId95" ref="R83"/>
    <hyperlink r:id="rId96" ref="R84"/>
    <hyperlink r:id="rId97" ref="C85"/>
    <hyperlink r:id="rId98" ref="R85"/>
    <hyperlink r:id="rId99" ref="C87"/>
    <hyperlink r:id="rId100" ref="R87"/>
    <hyperlink r:id="rId101" ref="R90"/>
    <hyperlink r:id="rId102" ref="R95"/>
    <hyperlink r:id="rId103" ref="C96"/>
    <hyperlink r:id="rId104" ref="C97"/>
    <hyperlink r:id="rId105" ref="C98"/>
    <hyperlink r:id="rId106" ref="R99"/>
    <hyperlink r:id="rId107" ref="C103"/>
    <hyperlink r:id="rId108" ref="C107"/>
    <hyperlink r:id="rId109" ref="B110"/>
    <hyperlink r:id="rId110" ref="C110"/>
    <hyperlink r:id="rId111" ref="B111"/>
    <hyperlink r:id="rId112" ref="B112"/>
    <hyperlink r:id="rId113" ref="C112"/>
    <hyperlink r:id="rId114" ref="R112"/>
    <hyperlink r:id="rId115" ref="B113"/>
    <hyperlink r:id="rId116" ref="B114"/>
    <hyperlink r:id="rId117" ref="C114"/>
    <hyperlink r:id="rId118" ref="B115"/>
    <hyperlink r:id="rId119" ref="C115"/>
    <hyperlink r:id="rId120" ref="B116"/>
    <hyperlink r:id="rId121" ref="B117"/>
    <hyperlink r:id="rId122" ref="C117"/>
    <hyperlink r:id="rId123" ref="B118"/>
    <hyperlink r:id="rId124" ref="C118"/>
    <hyperlink r:id="rId125" ref="B119"/>
    <hyperlink r:id="rId126" ref="B120"/>
    <hyperlink r:id="rId127" ref="C120"/>
    <hyperlink r:id="rId128" ref="B121"/>
    <hyperlink r:id="rId129" ref="C121"/>
    <hyperlink r:id="rId130" ref="B122"/>
    <hyperlink r:id="rId131" ref="B123"/>
    <hyperlink r:id="rId132" ref="C123"/>
    <hyperlink r:id="rId133" ref="B124"/>
    <hyperlink r:id="rId134" ref="B125"/>
    <hyperlink r:id="rId135" ref="C125"/>
    <hyperlink r:id="rId136" ref="B126"/>
    <hyperlink r:id="rId137" ref="C126"/>
    <hyperlink r:id="rId138" ref="R126"/>
    <hyperlink r:id="rId139" ref="B127"/>
    <hyperlink r:id="rId140" ref="C127"/>
    <hyperlink r:id="rId141" ref="B128"/>
    <hyperlink r:id="rId142" ref="C128"/>
    <hyperlink r:id="rId143" ref="B129"/>
    <hyperlink r:id="rId144" ref="C129"/>
    <hyperlink r:id="rId145" ref="B130"/>
    <hyperlink r:id="rId146" ref="C130"/>
    <hyperlink r:id="rId147" ref="B131"/>
    <hyperlink r:id="rId148" ref="C131"/>
    <hyperlink r:id="rId149" ref="B132"/>
    <hyperlink r:id="rId150" ref="B133"/>
    <hyperlink r:id="rId151" ref="C133"/>
    <hyperlink r:id="rId152" ref="B134"/>
    <hyperlink r:id="rId153" ref="B135"/>
    <hyperlink r:id="rId154" ref="C135"/>
    <hyperlink r:id="rId155" ref="B136"/>
    <hyperlink r:id="rId156" ref="C136"/>
    <hyperlink r:id="rId157" ref="B137"/>
    <hyperlink r:id="rId158" ref="C137"/>
    <hyperlink r:id="rId159" ref="B138"/>
    <hyperlink r:id="rId160" ref="B139"/>
    <hyperlink r:id="rId161" ref="C139"/>
    <hyperlink r:id="rId162" ref="B140"/>
    <hyperlink r:id="rId163" ref="C140"/>
    <hyperlink r:id="rId164" ref="B141"/>
    <hyperlink r:id="rId165" ref="R141"/>
    <hyperlink r:id="rId166" ref="B142"/>
    <hyperlink r:id="rId167" ref="C142"/>
    <hyperlink r:id="rId168" ref="R142"/>
    <hyperlink r:id="rId169" ref="B143"/>
    <hyperlink r:id="rId170" ref="B144"/>
  </hyperlinks>
  <drawing r:id="rId17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3" max="3" width="14.14"/>
    <col customWidth="1" min="4" max="4" width="17.0"/>
  </cols>
  <sheetData>
    <row r="1">
      <c r="A1" s="1" t="s">
        <v>0</v>
      </c>
      <c r="B1" s="2" t="s">
        <v>1</v>
      </c>
      <c r="C1" s="2" t="s">
        <v>2</v>
      </c>
      <c r="D1" s="2" t="s">
        <v>2</v>
      </c>
      <c r="E1" s="3"/>
      <c r="F1" s="1" t="s">
        <v>3</v>
      </c>
      <c r="G1" s="1" t="s">
        <v>4</v>
      </c>
      <c r="H1" s="1" t="s">
        <v>5</v>
      </c>
      <c r="I1" s="1" t="s">
        <v>6</v>
      </c>
      <c r="J1" s="1" t="s">
        <v>7</v>
      </c>
      <c r="K1" s="1" t="s">
        <v>8</v>
      </c>
      <c r="L1" s="7" t="s">
        <v>9</v>
      </c>
      <c r="N1" s="10" t="s">
        <v>14</v>
      </c>
      <c r="P1" s="11"/>
      <c r="Q1" s="11"/>
      <c r="R1" s="17"/>
      <c r="S1" s="19"/>
      <c r="T1" s="20"/>
      <c r="U1" s="20"/>
      <c r="V1" s="20"/>
      <c r="W1" s="20"/>
      <c r="X1" s="20"/>
      <c r="Y1" s="20"/>
      <c r="Z1" s="20"/>
      <c r="AA1" s="20"/>
      <c r="AB1" s="20"/>
      <c r="AC1" s="20"/>
      <c r="AD1" s="20"/>
    </row>
    <row r="2">
      <c r="A2" s="23"/>
      <c r="B2" s="21" t="s">
        <v>27</v>
      </c>
      <c r="C2" s="21" t="s">
        <v>28</v>
      </c>
      <c r="D2" s="23"/>
      <c r="E2" s="3"/>
      <c r="F2" s="23">
        <v>43115.0</v>
      </c>
      <c r="G2" s="23"/>
      <c r="H2" s="21"/>
      <c r="I2" s="23">
        <v>43472.0</v>
      </c>
      <c r="J2" s="23">
        <v>43569.0</v>
      </c>
      <c r="K2" s="23"/>
      <c r="L2" s="26">
        <f>CountIFS($E:$E,"=Dem",$A:$A,"=House")</f>
        <v>17</v>
      </c>
      <c r="M2" s="28">
        <f>CountIFS($E:$E,"=Rep",$A:$A,"=House")</f>
        <v>20</v>
      </c>
      <c r="N2" s="26">
        <f>CountIFS($E:$E,"=Dem",$A:$A,"=Senate")</f>
        <v>6</v>
      </c>
      <c r="O2" s="28">
        <f>CountIFS($E:$E,"=Rep",$A:$A,"=Senate")</f>
        <v>14</v>
      </c>
      <c r="P2" s="11"/>
      <c r="Q2" s="11"/>
      <c r="R2" s="17"/>
      <c r="S2" s="19"/>
      <c r="T2" s="20"/>
      <c r="U2" s="20"/>
      <c r="V2" s="20"/>
      <c r="W2" s="20"/>
      <c r="X2" s="20"/>
      <c r="Y2" s="20"/>
      <c r="Z2" s="20"/>
      <c r="AA2" s="20"/>
      <c r="AB2" s="20"/>
      <c r="AC2" s="20"/>
      <c r="AD2" s="20"/>
    </row>
    <row r="3">
      <c r="A3" s="30" t="s">
        <v>29</v>
      </c>
      <c r="B3" s="30" t="s">
        <v>30</v>
      </c>
      <c r="C3" s="2" t="s">
        <v>31</v>
      </c>
      <c r="D3" s="2" t="s">
        <v>32</v>
      </c>
      <c r="E3" s="3" t="s">
        <v>33</v>
      </c>
      <c r="F3" s="30" t="s">
        <v>10</v>
      </c>
      <c r="G3" s="30" t="s">
        <v>34</v>
      </c>
      <c r="H3" s="30" t="s">
        <v>34</v>
      </c>
      <c r="I3" s="30" t="s">
        <v>34</v>
      </c>
      <c r="J3" s="30" t="s">
        <v>34</v>
      </c>
      <c r="K3" s="30" t="s">
        <v>35</v>
      </c>
      <c r="L3" s="19" t="s">
        <v>36</v>
      </c>
      <c r="M3" s="19" t="s">
        <v>37</v>
      </c>
      <c r="N3" s="19" t="s">
        <v>38</v>
      </c>
      <c r="O3" s="17" t="s">
        <v>39</v>
      </c>
      <c r="P3" s="11" t="s">
        <v>40</v>
      </c>
      <c r="Q3" s="11" t="s">
        <v>41</v>
      </c>
      <c r="R3" s="17" t="s">
        <v>42</v>
      </c>
      <c r="S3" s="19" t="s">
        <v>43</v>
      </c>
      <c r="T3" s="20"/>
      <c r="U3" s="20"/>
      <c r="V3" s="20"/>
      <c r="W3" s="20"/>
      <c r="X3" s="20"/>
      <c r="Y3" s="20"/>
      <c r="Z3" s="20"/>
      <c r="AA3" s="20"/>
      <c r="AB3" s="20"/>
      <c r="AC3" s="20"/>
      <c r="AD3" s="20"/>
    </row>
    <row r="4">
      <c r="A4" s="14" t="s">
        <v>44</v>
      </c>
      <c r="B4" s="31">
        <v>1.0</v>
      </c>
      <c r="C4" s="35" t="s">
        <v>45</v>
      </c>
      <c r="D4" s="35" t="s">
        <v>48</v>
      </c>
      <c r="E4" s="36" t="s">
        <v>49</v>
      </c>
      <c r="L4" s="37"/>
      <c r="M4" s="39" t="str">
        <f t="shared" ref="M4:M43" si="1">Concatenate("representative.",Lower(C4),".",Lower(D4),"@akleg.gov")</f>
        <v>representative.scott.kawasaki@akleg.gov</v>
      </c>
      <c r="N4" s="41"/>
      <c r="O4" s="41"/>
      <c r="P4" s="41"/>
      <c r="Q4" s="41"/>
      <c r="R4" s="41"/>
      <c r="S4" s="45" t="s">
        <v>54</v>
      </c>
    </row>
    <row r="5">
      <c r="A5" s="14" t="s">
        <v>44</v>
      </c>
      <c r="B5" s="31">
        <v>2.0</v>
      </c>
      <c r="C5" s="35" t="s">
        <v>55</v>
      </c>
      <c r="D5" s="35" t="s">
        <v>59</v>
      </c>
      <c r="E5" s="51" t="s">
        <v>53</v>
      </c>
      <c r="L5" s="39"/>
      <c r="M5" s="39" t="str">
        <f t="shared" si="1"/>
        <v>representative.steve.thompson@akleg.gov</v>
      </c>
      <c r="N5" s="41"/>
      <c r="O5" s="41"/>
      <c r="P5" s="41"/>
      <c r="Q5" s="41"/>
      <c r="R5" s="41"/>
      <c r="S5" s="31" t="s">
        <v>54</v>
      </c>
    </row>
    <row r="6">
      <c r="A6" s="14" t="s">
        <v>44</v>
      </c>
      <c r="B6" s="31">
        <v>3.0</v>
      </c>
      <c r="C6" s="35" t="s">
        <v>61</v>
      </c>
      <c r="D6" s="35" t="s">
        <v>62</v>
      </c>
      <c r="E6" s="51" t="s">
        <v>53</v>
      </c>
      <c r="L6" s="37"/>
      <c r="M6" s="39" t="str">
        <f t="shared" si="1"/>
        <v>representative.tammie.wilson@akleg.gov</v>
      </c>
      <c r="N6" s="41"/>
      <c r="O6" s="41"/>
      <c r="P6" s="41"/>
      <c r="Q6" s="41"/>
      <c r="R6" s="41"/>
      <c r="S6" s="45" t="s">
        <v>63</v>
      </c>
    </row>
    <row r="7">
      <c r="A7" s="14" t="s">
        <v>44</v>
      </c>
      <c r="B7" s="31">
        <v>4.0</v>
      </c>
      <c r="C7" s="35" t="s">
        <v>67</v>
      </c>
      <c r="D7" s="35" t="s">
        <v>68</v>
      </c>
      <c r="E7" s="36" t="s">
        <v>49</v>
      </c>
      <c r="L7" s="39"/>
      <c r="M7" s="39" t="str">
        <f t="shared" si="1"/>
        <v>representative.grier.hopkins@akleg.gov</v>
      </c>
      <c r="N7" s="41"/>
      <c r="O7" s="41"/>
      <c r="P7" s="41"/>
      <c r="Q7" s="41"/>
      <c r="R7" s="41"/>
      <c r="S7" s="31" t="s">
        <v>54</v>
      </c>
    </row>
    <row r="8">
      <c r="A8" s="14" t="s">
        <v>44</v>
      </c>
      <c r="B8" s="31">
        <v>5.0</v>
      </c>
      <c r="C8" s="35" t="s">
        <v>69</v>
      </c>
      <c r="D8" s="38" t="s">
        <v>75</v>
      </c>
      <c r="E8" s="36" t="s">
        <v>49</v>
      </c>
      <c r="L8" s="39"/>
      <c r="M8" s="39" t="str">
        <f t="shared" si="1"/>
        <v>representative.adam.wool@akleg.gov</v>
      </c>
      <c r="N8" s="41"/>
      <c r="O8" s="41"/>
      <c r="P8" s="41"/>
      <c r="Q8" s="41"/>
      <c r="R8" s="41"/>
      <c r="S8" s="31" t="s">
        <v>54</v>
      </c>
    </row>
    <row r="9">
      <c r="A9" s="14" t="s">
        <v>44</v>
      </c>
      <c r="B9" s="31">
        <v>6.0</v>
      </c>
      <c r="C9" s="35" t="s">
        <v>76</v>
      </c>
      <c r="D9" s="35" t="s">
        <v>78</v>
      </c>
      <c r="E9" s="51" t="s">
        <v>53</v>
      </c>
      <c r="L9" s="37"/>
      <c r="M9" s="39" t="str">
        <f t="shared" si="1"/>
        <v>representative.dave.talerico@akleg.gov</v>
      </c>
      <c r="N9" s="41"/>
      <c r="O9" s="41"/>
      <c r="P9" s="41"/>
      <c r="Q9" s="41"/>
      <c r="R9" s="41"/>
      <c r="S9" s="45" t="s">
        <v>79</v>
      </c>
    </row>
    <row r="10">
      <c r="A10" s="14" t="s">
        <v>44</v>
      </c>
      <c r="B10" s="31">
        <v>7.0</v>
      </c>
      <c r="C10" s="35" t="s">
        <v>84</v>
      </c>
      <c r="D10" s="35" t="s">
        <v>86</v>
      </c>
      <c r="E10" s="51" t="s">
        <v>53</v>
      </c>
      <c r="L10" s="37"/>
      <c r="M10" s="39" t="str">
        <f t="shared" si="1"/>
        <v>representative.colleen.sullivan-leonard@akleg.gov</v>
      </c>
      <c r="N10" s="41"/>
      <c r="O10" s="41"/>
      <c r="P10" s="41"/>
      <c r="Q10" s="41"/>
      <c r="R10" s="41"/>
      <c r="S10" s="45" t="s">
        <v>88</v>
      </c>
    </row>
    <row r="11">
      <c r="A11" s="14" t="s">
        <v>44</v>
      </c>
      <c r="B11" s="31">
        <v>8.0</v>
      </c>
      <c r="C11" s="35" t="s">
        <v>91</v>
      </c>
      <c r="D11" s="35" t="s">
        <v>95</v>
      </c>
      <c r="E11" s="51" t="s">
        <v>53</v>
      </c>
      <c r="L11" s="37"/>
      <c r="M11" s="39" t="str">
        <f t="shared" si="1"/>
        <v>representative.mark.neuman@akleg.gov</v>
      </c>
      <c r="N11" s="41"/>
      <c r="O11" s="41"/>
      <c r="P11" s="41"/>
      <c r="Q11" s="41"/>
      <c r="R11" s="41"/>
      <c r="S11" s="45" t="s">
        <v>96</v>
      </c>
    </row>
    <row r="12">
      <c r="A12" s="14" t="s">
        <v>44</v>
      </c>
      <c r="B12" s="31">
        <v>9.0</v>
      </c>
      <c r="C12" s="35" t="s">
        <v>98</v>
      </c>
      <c r="D12" s="35" t="s">
        <v>101</v>
      </c>
      <c r="E12" s="51" t="s">
        <v>53</v>
      </c>
      <c r="L12" s="37"/>
      <c r="M12" s="39" t="str">
        <f t="shared" si="1"/>
        <v>representative.george.rauscher@akleg.gov</v>
      </c>
      <c r="N12" s="41"/>
      <c r="O12" s="41"/>
      <c r="P12" s="41"/>
      <c r="Q12" s="41"/>
      <c r="R12" s="41"/>
      <c r="S12" s="45" t="s">
        <v>102</v>
      </c>
    </row>
    <row r="13">
      <c r="A13" s="14" t="s">
        <v>44</v>
      </c>
      <c r="B13" s="31">
        <v>10.0</v>
      </c>
      <c r="C13" s="35" t="s">
        <v>108</v>
      </c>
      <c r="D13" s="35" t="s">
        <v>112</v>
      </c>
      <c r="E13" s="51" t="s">
        <v>53</v>
      </c>
      <c r="L13" s="39"/>
      <c r="M13" s="39" t="str">
        <f t="shared" si="1"/>
        <v>representative.david.eastman@akleg.gov</v>
      </c>
      <c r="N13" s="41"/>
      <c r="O13" s="41"/>
      <c r="P13" s="41"/>
      <c r="Q13" s="41"/>
      <c r="R13" s="41"/>
      <c r="S13" s="31" t="s">
        <v>88</v>
      </c>
    </row>
    <row r="14">
      <c r="A14" s="14" t="s">
        <v>44</v>
      </c>
      <c r="B14" s="31">
        <v>11.0</v>
      </c>
      <c r="C14" s="35" t="s">
        <v>115</v>
      </c>
      <c r="D14" s="35" t="s">
        <v>118</v>
      </c>
      <c r="E14" s="51" t="s">
        <v>53</v>
      </c>
      <c r="L14" s="39"/>
      <c r="M14" s="39" t="str">
        <f t="shared" si="1"/>
        <v>representative.delena.johnson@akleg.gov</v>
      </c>
      <c r="N14" s="41"/>
      <c r="O14" s="41"/>
      <c r="P14" s="41"/>
      <c r="Q14" s="41"/>
      <c r="R14" s="41"/>
      <c r="S14" s="31" t="s">
        <v>102</v>
      </c>
    </row>
    <row r="15">
      <c r="A15" s="14" t="s">
        <v>44</v>
      </c>
      <c r="B15" s="31">
        <v>12.0</v>
      </c>
      <c r="C15" s="35" t="s">
        <v>120</v>
      </c>
      <c r="D15" s="35" t="s">
        <v>122</v>
      </c>
      <c r="E15" s="51" t="s">
        <v>53</v>
      </c>
      <c r="L15" s="39"/>
      <c r="M15" s="39" t="str">
        <f t="shared" si="1"/>
        <v>representative.cathy.tilton@akleg.gov</v>
      </c>
      <c r="N15" s="41"/>
      <c r="O15" s="41"/>
      <c r="P15" s="41"/>
      <c r="Q15" s="41"/>
      <c r="R15" s="41"/>
      <c r="S15" s="31" t="s">
        <v>88</v>
      </c>
    </row>
    <row r="16">
      <c r="A16" s="14" t="s">
        <v>44</v>
      </c>
      <c r="B16" s="31">
        <v>13.0</v>
      </c>
      <c r="C16" s="35" t="s">
        <v>123</v>
      </c>
      <c r="D16" s="35" t="s">
        <v>124</v>
      </c>
      <c r="E16" s="51" t="s">
        <v>53</v>
      </c>
      <c r="L16" s="37"/>
      <c r="M16" s="39" t="str">
        <f t="shared" si="1"/>
        <v>representative.nancy.dahlstrom@akleg.gov</v>
      </c>
      <c r="N16" s="41"/>
      <c r="O16" s="41"/>
      <c r="P16" s="41"/>
      <c r="Q16" s="41"/>
      <c r="R16" s="41"/>
      <c r="S16" s="45" t="s">
        <v>125</v>
      </c>
    </row>
    <row r="17">
      <c r="A17" s="14" t="s">
        <v>44</v>
      </c>
      <c r="B17" s="31">
        <v>14.0</v>
      </c>
      <c r="C17" s="35" t="s">
        <v>130</v>
      </c>
      <c r="D17" s="35" t="s">
        <v>131</v>
      </c>
      <c r="E17" s="51" t="s">
        <v>53</v>
      </c>
      <c r="L17" s="39"/>
      <c r="M17" s="39" t="str">
        <f t="shared" si="1"/>
        <v>representative.kelly.merrick@akleg.gov</v>
      </c>
      <c r="N17" s="41"/>
      <c r="O17" s="41"/>
      <c r="P17" s="41"/>
      <c r="Q17" s="41"/>
      <c r="R17" s="41"/>
      <c r="S17" s="31" t="s">
        <v>125</v>
      </c>
    </row>
    <row r="18">
      <c r="A18" s="14" t="s">
        <v>44</v>
      </c>
      <c r="B18" s="31">
        <v>15.0</v>
      </c>
      <c r="C18" s="35" t="s">
        <v>133</v>
      </c>
      <c r="D18" s="35" t="s">
        <v>135</v>
      </c>
      <c r="E18" s="61" t="s">
        <v>136</v>
      </c>
      <c r="L18" s="37"/>
      <c r="M18" s="39" t="str">
        <f t="shared" si="1"/>
        <v>representative.gabrielle.ledoux@akleg.gov</v>
      </c>
      <c r="N18" s="41"/>
      <c r="O18" s="41"/>
      <c r="P18" s="41"/>
      <c r="Q18" s="41"/>
      <c r="R18" s="41"/>
      <c r="S18" s="45" t="s">
        <v>142</v>
      </c>
    </row>
    <row r="19">
      <c r="A19" s="14" t="s">
        <v>44</v>
      </c>
      <c r="B19" s="31">
        <v>16.0</v>
      </c>
      <c r="C19" s="35" t="s">
        <v>144</v>
      </c>
      <c r="D19" s="35" t="s">
        <v>149</v>
      </c>
      <c r="E19" s="36" t="s">
        <v>49</v>
      </c>
      <c r="L19" s="39"/>
      <c r="M19" s="39" t="str">
        <f t="shared" si="1"/>
        <v>representative.ivy.spohnholz@akleg.gov</v>
      </c>
      <c r="N19" s="41"/>
      <c r="O19" s="41"/>
      <c r="P19" s="41"/>
      <c r="Q19" s="41"/>
      <c r="R19" s="41"/>
      <c r="S19" s="31" t="s">
        <v>142</v>
      </c>
    </row>
    <row r="20">
      <c r="A20" s="14" t="s">
        <v>44</v>
      </c>
      <c r="B20" s="31">
        <v>17.0</v>
      </c>
      <c r="C20" s="35" t="s">
        <v>109</v>
      </c>
      <c r="D20" s="35" t="s">
        <v>153</v>
      </c>
      <c r="E20" s="36" t="s">
        <v>49</v>
      </c>
      <c r="L20" s="39"/>
      <c r="M20" s="39" t="str">
        <f t="shared" si="1"/>
        <v>representative.andy.josephson@akleg.gov</v>
      </c>
      <c r="N20" s="41"/>
      <c r="O20" s="41"/>
      <c r="P20" s="41"/>
      <c r="Q20" s="41"/>
      <c r="R20" s="41"/>
      <c r="S20" s="31" t="s">
        <v>142</v>
      </c>
    </row>
    <row r="21">
      <c r="A21" s="14" t="s">
        <v>44</v>
      </c>
      <c r="B21" s="31">
        <v>18.0</v>
      </c>
      <c r="C21" s="35" t="s">
        <v>154</v>
      </c>
      <c r="D21" s="35" t="s">
        <v>156</v>
      </c>
      <c r="E21" s="36" t="s">
        <v>49</v>
      </c>
      <c r="L21" s="39"/>
      <c r="M21" s="39" t="str">
        <f t="shared" si="1"/>
        <v>representative.harriet.drummond@akleg.gov</v>
      </c>
      <c r="N21" s="41"/>
      <c r="O21" s="41"/>
      <c r="P21" s="41"/>
      <c r="Q21" s="41"/>
      <c r="R21" s="41"/>
      <c r="S21" s="31" t="s">
        <v>142</v>
      </c>
    </row>
    <row r="22">
      <c r="A22" s="14" t="s">
        <v>44</v>
      </c>
      <c r="B22" s="31">
        <v>19.0</v>
      </c>
      <c r="C22" s="35" t="s">
        <v>158</v>
      </c>
      <c r="D22" s="35" t="s">
        <v>160</v>
      </c>
      <c r="E22" s="36" t="s">
        <v>49</v>
      </c>
      <c r="L22" s="39"/>
      <c r="M22" s="39" t="str">
        <f t="shared" si="1"/>
        <v>representative.geran.tarr@akleg.gov</v>
      </c>
      <c r="N22" s="41"/>
      <c r="O22" s="41"/>
      <c r="P22" s="41"/>
      <c r="Q22" s="41"/>
      <c r="R22" s="41"/>
      <c r="S22" s="31" t="s">
        <v>142</v>
      </c>
    </row>
    <row r="23">
      <c r="A23" s="14" t="s">
        <v>44</v>
      </c>
      <c r="B23" s="31">
        <v>20.0</v>
      </c>
      <c r="C23" s="35" t="s">
        <v>161</v>
      </c>
      <c r="D23" s="35" t="s">
        <v>162</v>
      </c>
      <c r="E23" s="36" t="s">
        <v>49</v>
      </c>
      <c r="L23" s="39"/>
      <c r="M23" s="39" t="str">
        <f t="shared" si="1"/>
        <v>representative.zack.fields@akleg.gov</v>
      </c>
      <c r="N23" s="41"/>
      <c r="O23" s="41"/>
      <c r="P23" s="41"/>
      <c r="Q23" s="41"/>
      <c r="R23" s="41"/>
      <c r="S23" s="31" t="s">
        <v>142</v>
      </c>
    </row>
    <row r="24">
      <c r="A24" s="14" t="s">
        <v>44</v>
      </c>
      <c r="B24" s="31">
        <v>21.0</v>
      </c>
      <c r="C24" s="35" t="s">
        <v>163</v>
      </c>
      <c r="D24" s="35" t="s">
        <v>170</v>
      </c>
      <c r="E24" s="36" t="s">
        <v>49</v>
      </c>
      <c r="L24" s="39"/>
      <c r="M24" s="39" t="str">
        <f t="shared" si="1"/>
        <v>representative.matt.claman@akleg.gov</v>
      </c>
      <c r="N24" s="41"/>
      <c r="O24" s="41"/>
      <c r="P24" s="41"/>
      <c r="Q24" s="41"/>
      <c r="R24" s="41"/>
      <c r="S24" s="31" t="s">
        <v>142</v>
      </c>
    </row>
    <row r="25">
      <c r="A25" s="14" t="s">
        <v>44</v>
      </c>
      <c r="B25" s="31">
        <v>22.0</v>
      </c>
      <c r="C25" s="35" t="s">
        <v>171</v>
      </c>
      <c r="D25" s="35" t="s">
        <v>172</v>
      </c>
      <c r="E25" s="51" t="s">
        <v>53</v>
      </c>
      <c r="L25" s="39"/>
      <c r="M25" s="39" t="str">
        <f t="shared" si="1"/>
        <v>representative.sara.rasmussen@akleg.gov</v>
      </c>
      <c r="N25" s="41"/>
      <c r="O25" s="41"/>
      <c r="P25" s="41"/>
      <c r="Q25" s="41"/>
      <c r="R25" s="41"/>
      <c r="S25" s="31" t="s">
        <v>142</v>
      </c>
    </row>
    <row r="26">
      <c r="A26" s="14" t="s">
        <v>44</v>
      </c>
      <c r="B26" s="31">
        <v>23.0</v>
      </c>
      <c r="C26" s="35" t="s">
        <v>173</v>
      </c>
      <c r="D26" s="35" t="s">
        <v>175</v>
      </c>
      <c r="E26" s="36" t="s">
        <v>49</v>
      </c>
      <c r="F26" s="14" t="s">
        <v>176</v>
      </c>
      <c r="L26" s="39"/>
      <c r="M26" s="39" t="str">
        <f t="shared" si="1"/>
        <v>representative.chris.tuck@akleg.gov</v>
      </c>
      <c r="N26" s="41"/>
      <c r="O26" s="41"/>
      <c r="P26" s="41"/>
      <c r="Q26" s="41"/>
      <c r="R26" s="41"/>
      <c r="S26" s="31" t="s">
        <v>142</v>
      </c>
    </row>
    <row r="27">
      <c r="A27" s="14" t="s">
        <v>44</v>
      </c>
      <c r="B27" s="31">
        <v>24.0</v>
      </c>
      <c r="C27" s="35" t="s">
        <v>177</v>
      </c>
      <c r="D27" s="35" t="s">
        <v>178</v>
      </c>
      <c r="E27" s="51" t="s">
        <v>53</v>
      </c>
      <c r="L27" s="39"/>
      <c r="M27" s="39" t="str">
        <f t="shared" si="1"/>
        <v>representative.chuck.kopp@akleg.gov</v>
      </c>
      <c r="N27" s="41"/>
      <c r="O27" s="41"/>
      <c r="P27" s="41"/>
      <c r="Q27" s="41"/>
      <c r="R27" s="41"/>
      <c r="S27" s="31" t="s">
        <v>142</v>
      </c>
    </row>
    <row r="28">
      <c r="A28" s="14" t="s">
        <v>44</v>
      </c>
      <c r="B28" s="31">
        <v>25.0</v>
      </c>
      <c r="C28" s="35" t="s">
        <v>180</v>
      </c>
      <c r="D28" s="35" t="s">
        <v>181</v>
      </c>
      <c r="E28" s="51" t="s">
        <v>53</v>
      </c>
      <c r="L28" s="39"/>
      <c r="M28" s="39" t="str">
        <f t="shared" si="1"/>
        <v>representative.josh.revak@akleg.gov</v>
      </c>
      <c r="N28" s="41"/>
      <c r="O28" s="41"/>
      <c r="P28" s="41"/>
      <c r="Q28" s="41"/>
      <c r="R28" s="41"/>
      <c r="S28" s="31" t="s">
        <v>142</v>
      </c>
    </row>
    <row r="29">
      <c r="A29" s="14" t="s">
        <v>44</v>
      </c>
      <c r="B29" s="31">
        <v>26.0</v>
      </c>
      <c r="C29" s="35" t="s">
        <v>182</v>
      </c>
      <c r="D29" s="35" t="s">
        <v>183</v>
      </c>
      <c r="E29" s="51" t="s">
        <v>53</v>
      </c>
      <c r="L29" s="39"/>
      <c r="M29" s="39" t="str">
        <f t="shared" si="1"/>
        <v>representative.laddie.shaw@akleg.gov</v>
      </c>
      <c r="N29" s="41"/>
      <c r="O29" s="41"/>
      <c r="P29" s="41"/>
      <c r="Q29" s="41"/>
      <c r="R29" s="41"/>
      <c r="S29" s="31" t="s">
        <v>142</v>
      </c>
    </row>
    <row r="30">
      <c r="A30" s="14" t="s">
        <v>44</v>
      </c>
      <c r="B30" s="31">
        <v>27.0</v>
      </c>
      <c r="C30" s="35" t="s">
        <v>185</v>
      </c>
      <c r="D30" s="35" t="s">
        <v>187</v>
      </c>
      <c r="E30" s="51" t="s">
        <v>53</v>
      </c>
      <c r="L30" s="39"/>
      <c r="M30" s="39" t="str">
        <f t="shared" si="1"/>
        <v>representative.lance.pruitt@akleg.gov</v>
      </c>
      <c r="N30" s="41"/>
      <c r="O30" s="41"/>
      <c r="P30" s="41"/>
      <c r="Q30" s="41"/>
      <c r="R30" s="41"/>
      <c r="S30" s="31" t="s">
        <v>142</v>
      </c>
    </row>
    <row r="31">
      <c r="A31" s="14" t="s">
        <v>44</v>
      </c>
      <c r="B31" s="31">
        <v>28.0</v>
      </c>
      <c r="C31" s="35" t="s">
        <v>191</v>
      </c>
      <c r="D31" s="35" t="s">
        <v>194</v>
      </c>
      <c r="E31" s="51" t="s">
        <v>53</v>
      </c>
      <c r="L31" s="39"/>
      <c r="M31" s="39" t="str">
        <f t="shared" si="1"/>
        <v>representative.jennifer.johnston@akleg.gov</v>
      </c>
      <c r="N31" s="41"/>
      <c r="O31" s="41"/>
      <c r="P31" s="41"/>
      <c r="Q31" s="41"/>
      <c r="R31" s="41"/>
      <c r="S31" s="31" t="s">
        <v>142</v>
      </c>
    </row>
    <row r="32">
      <c r="A32" s="14" t="s">
        <v>44</v>
      </c>
      <c r="B32" s="31">
        <v>29.0</v>
      </c>
      <c r="C32" s="35" t="s">
        <v>195</v>
      </c>
      <c r="D32" s="35" t="s">
        <v>196</v>
      </c>
      <c r="E32" s="51" t="s">
        <v>53</v>
      </c>
      <c r="L32" s="37"/>
      <c r="M32" s="39" t="str">
        <f t="shared" si="1"/>
        <v>representative.ben.carpenter@akleg.gov</v>
      </c>
      <c r="N32" s="41"/>
      <c r="O32" s="41"/>
      <c r="P32" s="41"/>
      <c r="Q32" s="41"/>
      <c r="R32" s="41"/>
      <c r="S32" s="45" t="s">
        <v>197</v>
      </c>
    </row>
    <row r="33">
      <c r="A33" s="14" t="s">
        <v>44</v>
      </c>
      <c r="B33" s="31">
        <v>30.0</v>
      </c>
      <c r="C33" s="35" t="s">
        <v>199</v>
      </c>
      <c r="D33" s="35" t="s">
        <v>203</v>
      </c>
      <c r="E33" s="51" t="s">
        <v>53</v>
      </c>
      <c r="L33" s="37"/>
      <c r="M33" s="39" t="str">
        <f t="shared" si="1"/>
        <v>representative.gary.knopp@akleg.gov</v>
      </c>
      <c r="N33" s="41"/>
      <c r="O33" s="41"/>
      <c r="P33" s="41"/>
      <c r="Q33" s="41"/>
      <c r="R33" s="41"/>
      <c r="S33" s="45" t="s">
        <v>204</v>
      </c>
    </row>
    <row r="34">
      <c r="A34" s="14" t="s">
        <v>44</v>
      </c>
      <c r="B34" s="31">
        <v>31.0</v>
      </c>
      <c r="C34" s="35" t="s">
        <v>210</v>
      </c>
      <c r="D34" s="35" t="s">
        <v>211</v>
      </c>
      <c r="E34" s="51" t="s">
        <v>53</v>
      </c>
      <c r="L34" s="37"/>
      <c r="M34" s="39" t="str">
        <f t="shared" si="1"/>
        <v>representative.sarah.vance@akleg.gov</v>
      </c>
      <c r="N34" s="41"/>
      <c r="O34" s="41"/>
      <c r="P34" s="41"/>
      <c r="Q34" s="41"/>
      <c r="R34" s="41"/>
      <c r="S34" s="45" t="s">
        <v>213</v>
      </c>
    </row>
    <row r="35">
      <c r="A35" s="14" t="s">
        <v>44</v>
      </c>
      <c r="B35" s="31">
        <v>32.0</v>
      </c>
      <c r="C35" s="35" t="s">
        <v>216</v>
      </c>
      <c r="D35" s="35" t="s">
        <v>221</v>
      </c>
      <c r="E35" s="61" t="s">
        <v>136</v>
      </c>
      <c r="L35" s="37"/>
      <c r="M35" s="39" t="str">
        <f t="shared" si="1"/>
        <v>representative.louise.stutes@akleg.gov</v>
      </c>
      <c r="N35" s="41"/>
      <c r="O35" s="41"/>
      <c r="P35" s="41"/>
      <c r="Q35" s="41"/>
      <c r="R35" s="41"/>
      <c r="S35" s="45" t="s">
        <v>222</v>
      </c>
    </row>
    <row r="36">
      <c r="A36" s="14" t="s">
        <v>44</v>
      </c>
      <c r="B36" s="31">
        <v>33.0</v>
      </c>
      <c r="C36" s="35" t="s">
        <v>224</v>
      </c>
      <c r="D36" s="35" t="s">
        <v>227</v>
      </c>
      <c r="E36" s="36" t="s">
        <v>49</v>
      </c>
      <c r="L36" s="37"/>
      <c r="M36" s="39" t="str">
        <f t="shared" si="1"/>
        <v>representative.sam.kito@akleg.gov</v>
      </c>
      <c r="N36" s="41"/>
      <c r="O36" s="41"/>
      <c r="P36" s="41"/>
      <c r="Q36" s="41"/>
      <c r="R36" s="41"/>
      <c r="S36" s="45" t="s">
        <v>228</v>
      </c>
    </row>
    <row r="37">
      <c r="A37" s="14" t="s">
        <v>44</v>
      </c>
      <c r="B37" s="31">
        <v>34.0</v>
      </c>
      <c r="C37" s="35" t="s">
        <v>233</v>
      </c>
      <c r="D37" s="35" t="s">
        <v>234</v>
      </c>
      <c r="E37" s="36" t="s">
        <v>49</v>
      </c>
      <c r="L37" s="39"/>
      <c r="M37" s="39" t="str">
        <f t="shared" si="1"/>
        <v>representative.andi.story@akleg.gov</v>
      </c>
      <c r="N37" s="41"/>
      <c r="O37" s="41"/>
      <c r="P37" s="41"/>
      <c r="Q37" s="41"/>
      <c r="R37" s="41"/>
      <c r="S37" s="31" t="s">
        <v>228</v>
      </c>
    </row>
    <row r="38">
      <c r="A38" s="14" t="s">
        <v>44</v>
      </c>
      <c r="B38" s="31">
        <v>35.0</v>
      </c>
      <c r="C38" s="35" t="s">
        <v>235</v>
      </c>
      <c r="D38" s="35" t="s">
        <v>237</v>
      </c>
      <c r="E38" s="36" t="s">
        <v>49</v>
      </c>
      <c r="L38" s="37"/>
      <c r="M38" s="39" t="str">
        <f t="shared" si="1"/>
        <v>representative.jonathan.kreiss-tomkins@akleg.gov</v>
      </c>
      <c r="N38" s="41"/>
      <c r="O38" s="41"/>
      <c r="P38" s="41"/>
      <c r="Q38" s="41"/>
      <c r="R38" s="41"/>
      <c r="S38" s="45" t="s">
        <v>238</v>
      </c>
    </row>
    <row r="39">
      <c r="A39" s="14" t="s">
        <v>44</v>
      </c>
      <c r="B39" s="31">
        <v>36.0</v>
      </c>
      <c r="C39" s="35" t="s">
        <v>239</v>
      </c>
      <c r="D39" s="35" t="s">
        <v>242</v>
      </c>
      <c r="E39" s="65" t="s">
        <v>243</v>
      </c>
      <c r="L39" s="37"/>
      <c r="M39" s="39" t="str">
        <f t="shared" si="1"/>
        <v>representative.dan.ortiz@akleg.gov</v>
      </c>
      <c r="N39" s="41"/>
      <c r="O39" s="41"/>
      <c r="P39" s="41"/>
      <c r="Q39" s="41"/>
      <c r="R39" s="41"/>
      <c r="S39" s="45" t="s">
        <v>248</v>
      </c>
    </row>
    <row r="40">
      <c r="A40" s="14" t="s">
        <v>44</v>
      </c>
      <c r="B40" s="31">
        <v>37.0</v>
      </c>
      <c r="C40" s="35" t="s">
        <v>251</v>
      </c>
      <c r="D40" s="35" t="s">
        <v>253</v>
      </c>
      <c r="E40" s="36" t="s">
        <v>49</v>
      </c>
      <c r="F40" s="14" t="s">
        <v>254</v>
      </c>
      <c r="L40" s="37"/>
      <c r="M40" s="39" t="str">
        <f t="shared" si="1"/>
        <v>representative.bryce.edgmon@akleg.gov</v>
      </c>
      <c r="N40" s="41"/>
      <c r="O40" s="41"/>
      <c r="P40" s="41"/>
      <c r="Q40" s="41"/>
      <c r="R40" s="41"/>
      <c r="S40" s="45" t="s">
        <v>255</v>
      </c>
    </row>
    <row r="41">
      <c r="A41" s="14" t="s">
        <v>44</v>
      </c>
      <c r="B41" s="31">
        <v>38.0</v>
      </c>
      <c r="C41" s="35" t="s">
        <v>258</v>
      </c>
      <c r="D41" s="35" t="s">
        <v>263</v>
      </c>
      <c r="E41" s="36" t="s">
        <v>49</v>
      </c>
      <c r="L41" s="37"/>
      <c r="M41" s="39" t="str">
        <f t="shared" si="1"/>
        <v>representative.tiffany.zulkosky@akleg.gov</v>
      </c>
      <c r="N41" s="41"/>
      <c r="O41" s="41"/>
      <c r="P41" s="41"/>
      <c r="Q41" s="41"/>
      <c r="R41" s="41"/>
      <c r="S41" s="45" t="s">
        <v>264</v>
      </c>
    </row>
    <row r="42">
      <c r="A42" s="14" t="s">
        <v>44</v>
      </c>
      <c r="B42" s="31">
        <v>39.0</v>
      </c>
      <c r="C42" s="35" t="s">
        <v>268</v>
      </c>
      <c r="D42" s="35" t="s">
        <v>271</v>
      </c>
      <c r="E42" s="36" t="s">
        <v>49</v>
      </c>
      <c r="L42" s="37"/>
      <c r="M42" s="39" t="str">
        <f t="shared" si="1"/>
        <v>representative.neal.foster@akleg.gov</v>
      </c>
      <c r="N42" s="41"/>
      <c r="O42" s="41"/>
      <c r="P42" s="41"/>
      <c r="Q42" s="41"/>
      <c r="R42" s="41"/>
      <c r="S42" s="45" t="s">
        <v>272</v>
      </c>
    </row>
    <row r="43">
      <c r="A43" s="14" t="s">
        <v>44</v>
      </c>
      <c r="B43" s="31">
        <v>40.0</v>
      </c>
      <c r="C43" s="35" t="s">
        <v>278</v>
      </c>
      <c r="D43" s="35" t="s">
        <v>279</v>
      </c>
      <c r="E43" s="36" t="s">
        <v>49</v>
      </c>
      <c r="L43" s="37"/>
      <c r="M43" s="39" t="str">
        <f t="shared" si="1"/>
        <v>representative.john.lincoln@akleg.gov</v>
      </c>
      <c r="N43" s="41"/>
      <c r="O43" s="41"/>
      <c r="P43" s="41"/>
      <c r="Q43" s="41"/>
      <c r="R43" s="41"/>
      <c r="S43" s="45" t="s">
        <v>280</v>
      </c>
    </row>
    <row r="44">
      <c r="A44" s="70"/>
      <c r="B44" s="70"/>
      <c r="C44" s="71"/>
      <c r="D44" s="71"/>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row>
    <row r="45">
      <c r="A45" s="14" t="s">
        <v>286</v>
      </c>
      <c r="B45" s="31" t="s">
        <v>287</v>
      </c>
      <c r="C45" s="35" t="s">
        <v>288</v>
      </c>
      <c r="D45" s="35" t="s">
        <v>130</v>
      </c>
      <c r="E45" s="51" t="s">
        <v>53</v>
      </c>
      <c r="F45" s="14" t="s">
        <v>291</v>
      </c>
      <c r="L45" s="37"/>
      <c r="M45" s="39" t="str">
        <f t="shared" ref="M45:M64" si="2">Concatenate("senator.",Lower(C45),".",Lower(D45),"@akleg.gov")</f>
        <v>senator.pete.kelly@akleg.gov</v>
      </c>
      <c r="N45" s="39"/>
      <c r="O45" s="41"/>
      <c r="P45" s="41"/>
      <c r="Q45" s="41"/>
      <c r="R45" s="41"/>
      <c r="S45" s="45" t="s">
        <v>54</v>
      </c>
    </row>
    <row r="46">
      <c r="A46" s="14" t="s">
        <v>286</v>
      </c>
      <c r="B46" s="31" t="s">
        <v>294</v>
      </c>
      <c r="C46" s="35" t="s">
        <v>278</v>
      </c>
      <c r="D46" s="35" t="s">
        <v>296</v>
      </c>
      <c r="E46" s="51" t="s">
        <v>53</v>
      </c>
      <c r="L46" s="37"/>
      <c r="M46" s="39" t="str">
        <f t="shared" si="2"/>
        <v>senator.john.coghill@akleg.gov</v>
      </c>
      <c r="N46" s="39"/>
      <c r="O46" s="41"/>
      <c r="P46" s="41"/>
      <c r="Q46" s="41"/>
      <c r="R46" s="41"/>
      <c r="S46" s="45" t="s">
        <v>63</v>
      </c>
    </row>
    <row r="47">
      <c r="A47" s="14" t="s">
        <v>286</v>
      </c>
      <c r="B47" s="31" t="s">
        <v>298</v>
      </c>
      <c r="C47" s="35" t="s">
        <v>299</v>
      </c>
      <c r="D47" s="35" t="s">
        <v>302</v>
      </c>
      <c r="E47" s="51" t="s">
        <v>53</v>
      </c>
      <c r="L47" s="39"/>
      <c r="M47" s="39" t="str">
        <f t="shared" si="2"/>
        <v>senator.click.bishop@akleg.gov</v>
      </c>
      <c r="N47" s="39"/>
      <c r="O47" s="41"/>
      <c r="P47" s="41"/>
      <c r="Q47" s="41"/>
      <c r="R47" s="41"/>
      <c r="S47" s="31" t="s">
        <v>54</v>
      </c>
    </row>
    <row r="48">
      <c r="A48" s="14" t="s">
        <v>286</v>
      </c>
      <c r="B48" s="31" t="s">
        <v>303</v>
      </c>
      <c r="C48" s="35" t="s">
        <v>108</v>
      </c>
      <c r="D48" s="35" t="s">
        <v>62</v>
      </c>
      <c r="E48" s="51" t="s">
        <v>53</v>
      </c>
      <c r="L48" s="39"/>
      <c r="M48" s="39" t="str">
        <f t="shared" si="2"/>
        <v>senator.david.wilson@akleg.gov</v>
      </c>
      <c r="N48" s="39"/>
      <c r="O48" s="41"/>
      <c r="P48" s="41"/>
      <c r="Q48" s="41"/>
      <c r="R48" s="41"/>
      <c r="S48" s="31" t="s">
        <v>88</v>
      </c>
    </row>
    <row r="49">
      <c r="A49" s="14" t="s">
        <v>286</v>
      </c>
      <c r="B49" s="31" t="s">
        <v>305</v>
      </c>
      <c r="C49" s="35" t="s">
        <v>157</v>
      </c>
      <c r="D49" s="35" t="s">
        <v>308</v>
      </c>
      <c r="E49" s="51" t="s">
        <v>53</v>
      </c>
      <c r="L49" s="75"/>
      <c r="M49" s="39" t="str">
        <f t="shared" si="2"/>
        <v>senator.mike.shower@akleg.gov</v>
      </c>
      <c r="N49" s="39"/>
      <c r="O49" s="41"/>
      <c r="P49" s="41"/>
      <c r="Q49" s="41"/>
      <c r="R49" s="41"/>
      <c r="S49" s="76"/>
    </row>
    <row r="50">
      <c r="A50" s="14" t="s">
        <v>286</v>
      </c>
      <c r="B50" s="31" t="s">
        <v>310</v>
      </c>
      <c r="C50" s="35" t="s">
        <v>311</v>
      </c>
      <c r="D50" s="35" t="s">
        <v>316</v>
      </c>
      <c r="E50" s="51" t="s">
        <v>53</v>
      </c>
      <c r="L50" s="37"/>
      <c r="M50" s="39" t="str">
        <f t="shared" si="2"/>
        <v>senator.shelley.hughes@akleg.gov</v>
      </c>
      <c r="N50" s="39"/>
      <c r="O50" s="41"/>
      <c r="P50" s="41"/>
      <c r="Q50" s="41"/>
      <c r="R50" s="41"/>
      <c r="S50" s="45" t="s">
        <v>102</v>
      </c>
    </row>
    <row r="51">
      <c r="A51" s="14" t="s">
        <v>286</v>
      </c>
      <c r="B51" s="31" t="s">
        <v>318</v>
      </c>
      <c r="C51" s="35" t="s">
        <v>319</v>
      </c>
      <c r="D51" s="35" t="s">
        <v>320</v>
      </c>
      <c r="E51" s="51" t="s">
        <v>53</v>
      </c>
      <c r="L51" s="37"/>
      <c r="M51" s="39" t="str">
        <f t="shared" si="2"/>
        <v>senator.lora.reinbold@akleg.gov</v>
      </c>
      <c r="N51" s="39"/>
      <c r="O51" s="41"/>
      <c r="P51" s="41"/>
      <c r="Q51" s="41"/>
      <c r="R51" s="41"/>
      <c r="S51" s="45" t="s">
        <v>125</v>
      </c>
    </row>
    <row r="52">
      <c r="A52" s="14" t="s">
        <v>286</v>
      </c>
      <c r="B52" s="31" t="s">
        <v>324</v>
      </c>
      <c r="C52" s="35" t="s">
        <v>325</v>
      </c>
      <c r="D52" s="35" t="s">
        <v>327</v>
      </c>
      <c r="E52" s="36" t="s">
        <v>49</v>
      </c>
      <c r="L52" s="37"/>
      <c r="M52" s="39" t="str">
        <f t="shared" si="2"/>
        <v>senator.bill.wielechowski@akleg.gov</v>
      </c>
      <c r="N52" s="39"/>
      <c r="O52" s="41"/>
      <c r="P52" s="41"/>
      <c r="Q52" s="41"/>
      <c r="R52" s="41"/>
      <c r="S52" s="45" t="s">
        <v>142</v>
      </c>
    </row>
    <row r="53">
      <c r="A53" s="14" t="s">
        <v>286</v>
      </c>
      <c r="B53" s="31" t="s">
        <v>334</v>
      </c>
      <c r="C53" s="35" t="s">
        <v>335</v>
      </c>
      <c r="D53" s="35" t="s">
        <v>336</v>
      </c>
      <c r="E53" s="36" t="s">
        <v>49</v>
      </c>
      <c r="L53" s="39"/>
      <c r="M53" s="39" t="str">
        <f t="shared" si="2"/>
        <v>senator.elvi.gray-jackson@akleg.gov</v>
      </c>
      <c r="N53" s="39"/>
      <c r="O53" s="41"/>
      <c r="P53" s="41"/>
      <c r="Q53" s="41"/>
      <c r="R53" s="41"/>
      <c r="S53" s="31" t="s">
        <v>142</v>
      </c>
    </row>
    <row r="54">
      <c r="A54" s="14" t="s">
        <v>286</v>
      </c>
      <c r="B54" s="31" t="s">
        <v>337</v>
      </c>
      <c r="C54" s="35" t="s">
        <v>338</v>
      </c>
      <c r="D54" s="35" t="s">
        <v>342</v>
      </c>
      <c r="E54" s="36" t="s">
        <v>49</v>
      </c>
      <c r="L54" s="39"/>
      <c r="M54" s="39" t="str">
        <f t="shared" si="2"/>
        <v>senator.tom.begich@akleg.gov</v>
      </c>
      <c r="N54" s="39"/>
      <c r="O54" s="41"/>
      <c r="P54" s="41"/>
      <c r="Q54" s="41"/>
      <c r="R54" s="41"/>
      <c r="S54" s="31" t="s">
        <v>142</v>
      </c>
    </row>
    <row r="55">
      <c r="A55" s="14" t="s">
        <v>286</v>
      </c>
      <c r="B55" s="31" t="s">
        <v>343</v>
      </c>
      <c r="C55" s="35" t="s">
        <v>344</v>
      </c>
      <c r="D55" s="35" t="s">
        <v>352</v>
      </c>
      <c r="E55" s="51" t="s">
        <v>53</v>
      </c>
      <c r="L55" s="39"/>
      <c r="M55" s="39" t="str">
        <f t="shared" si="2"/>
        <v>senator.mia.costello@akleg.gov</v>
      </c>
      <c r="N55" s="39"/>
      <c r="O55" s="41"/>
      <c r="P55" s="41"/>
      <c r="Q55" s="41"/>
      <c r="R55" s="41"/>
      <c r="S55" s="31" t="s">
        <v>142</v>
      </c>
    </row>
    <row r="56">
      <c r="A56" s="14" t="s">
        <v>286</v>
      </c>
      <c r="B56" s="31" t="s">
        <v>353</v>
      </c>
      <c r="C56" s="35" t="s">
        <v>354</v>
      </c>
      <c r="D56" s="38" t="s">
        <v>360</v>
      </c>
      <c r="E56" s="51" t="s">
        <v>53</v>
      </c>
      <c r="L56" s="39"/>
      <c r="M56" s="39" t="str">
        <f t="shared" si="2"/>
        <v>senator.natasha.von imhof@akleg.gov</v>
      </c>
      <c r="N56" s="39"/>
      <c r="O56" s="41"/>
      <c r="P56" s="41"/>
      <c r="Q56" s="41"/>
      <c r="R56" s="41"/>
      <c r="S56" s="31" t="s">
        <v>142</v>
      </c>
    </row>
    <row r="57">
      <c r="A57" s="14" t="s">
        <v>286</v>
      </c>
      <c r="B57" s="31" t="s">
        <v>361</v>
      </c>
      <c r="C57" s="35" t="s">
        <v>173</v>
      </c>
      <c r="D57" s="35" t="s">
        <v>362</v>
      </c>
      <c r="E57" s="51" t="s">
        <v>53</v>
      </c>
      <c r="L57" s="39"/>
      <c r="M57" s="39" t="str">
        <f t="shared" si="2"/>
        <v>senator.chris.birch@akleg.gov</v>
      </c>
      <c r="N57" s="39"/>
      <c r="O57" s="41"/>
      <c r="P57" s="41"/>
      <c r="Q57" s="41"/>
      <c r="R57" s="41"/>
      <c r="S57" s="31" t="s">
        <v>142</v>
      </c>
    </row>
    <row r="58">
      <c r="A58" s="14" t="s">
        <v>286</v>
      </c>
      <c r="B58" s="31" t="s">
        <v>363</v>
      </c>
      <c r="C58" s="35" t="s">
        <v>120</v>
      </c>
      <c r="D58" s="35" t="s">
        <v>365</v>
      </c>
      <c r="E58" s="51" t="s">
        <v>53</v>
      </c>
      <c r="L58" s="39"/>
      <c r="M58" s="39" t="str">
        <f t="shared" si="2"/>
        <v>senator.cathy.giessel@akleg.gov</v>
      </c>
      <c r="N58" s="39"/>
      <c r="O58" s="41"/>
      <c r="P58" s="41"/>
      <c r="Q58" s="41"/>
      <c r="R58" s="41"/>
      <c r="S58" s="31" t="s">
        <v>142</v>
      </c>
    </row>
    <row r="59">
      <c r="A59" s="14" t="s">
        <v>286</v>
      </c>
      <c r="B59" s="31" t="s">
        <v>366</v>
      </c>
      <c r="C59" s="35" t="s">
        <v>367</v>
      </c>
      <c r="D59" s="35" t="s">
        <v>372</v>
      </c>
      <c r="E59" s="51" t="s">
        <v>53</v>
      </c>
      <c r="F59" s="14" t="s">
        <v>176</v>
      </c>
      <c r="L59" s="37"/>
      <c r="M59" s="39" t="str">
        <f t="shared" si="2"/>
        <v>senator.peter.micciche@akleg.gov</v>
      </c>
      <c r="N59" s="39"/>
      <c r="O59" s="41"/>
      <c r="P59" s="41"/>
      <c r="Q59" s="41"/>
      <c r="R59" s="41"/>
      <c r="S59" s="45" t="s">
        <v>204</v>
      </c>
    </row>
    <row r="60">
      <c r="A60" s="14" t="s">
        <v>286</v>
      </c>
      <c r="B60" s="31" t="s">
        <v>377</v>
      </c>
      <c r="C60" s="35" t="s">
        <v>199</v>
      </c>
      <c r="D60" s="35" t="s">
        <v>378</v>
      </c>
      <c r="E60" s="51" t="s">
        <v>53</v>
      </c>
      <c r="L60" s="37"/>
      <c r="M60" s="39" t="str">
        <f t="shared" si="2"/>
        <v>senator.gary.stevens@akleg.gov</v>
      </c>
      <c r="N60" s="39"/>
      <c r="O60" s="41"/>
      <c r="P60" s="41"/>
      <c r="Q60" s="41"/>
      <c r="R60" s="41"/>
      <c r="S60" s="45" t="s">
        <v>222</v>
      </c>
    </row>
    <row r="61">
      <c r="A61" s="14" t="s">
        <v>286</v>
      </c>
      <c r="B61" s="31" t="s">
        <v>385</v>
      </c>
      <c r="C61" s="35" t="s">
        <v>386</v>
      </c>
      <c r="D61" s="35" t="s">
        <v>387</v>
      </c>
      <c r="E61" s="36" t="s">
        <v>49</v>
      </c>
      <c r="L61" s="37"/>
      <c r="M61" s="39" t="str">
        <f t="shared" si="2"/>
        <v>senator.jesse.kiehl@akleg.gov</v>
      </c>
      <c r="N61" s="39"/>
      <c r="O61" s="41"/>
      <c r="P61" s="41"/>
      <c r="Q61" s="41"/>
      <c r="R61" s="41"/>
      <c r="S61" s="45" t="s">
        <v>228</v>
      </c>
    </row>
    <row r="62">
      <c r="A62" s="14" t="s">
        <v>286</v>
      </c>
      <c r="B62" s="31" t="s">
        <v>391</v>
      </c>
      <c r="C62" s="35" t="s">
        <v>392</v>
      </c>
      <c r="D62" s="35" t="s">
        <v>394</v>
      </c>
      <c r="E62" s="51" t="s">
        <v>53</v>
      </c>
      <c r="L62" s="37"/>
      <c r="M62" s="39" t="str">
        <f t="shared" si="2"/>
        <v>senator.bert.stedman@akleg.gov</v>
      </c>
      <c r="N62" s="39"/>
      <c r="O62" s="41"/>
      <c r="P62" s="41"/>
      <c r="Q62" s="41"/>
      <c r="R62" s="41"/>
      <c r="S62" s="45" t="s">
        <v>238</v>
      </c>
    </row>
    <row r="63">
      <c r="A63" s="14" t="s">
        <v>286</v>
      </c>
      <c r="B63" s="31" t="s">
        <v>399</v>
      </c>
      <c r="C63" s="35" t="s">
        <v>400</v>
      </c>
      <c r="D63" s="35" t="s">
        <v>401</v>
      </c>
      <c r="E63" s="36" t="s">
        <v>49</v>
      </c>
      <c r="L63" s="37"/>
      <c r="M63" s="39" t="str">
        <f t="shared" si="2"/>
        <v>senator.lyman.hoffman@akleg.gov</v>
      </c>
      <c r="N63" s="39"/>
      <c r="O63" s="41"/>
      <c r="P63" s="41"/>
      <c r="Q63" s="41"/>
      <c r="R63" s="41"/>
      <c r="S63" s="45" t="s">
        <v>264</v>
      </c>
    </row>
    <row r="64">
      <c r="A64" s="14" t="s">
        <v>286</v>
      </c>
      <c r="B64" s="31" t="s">
        <v>406</v>
      </c>
      <c r="C64" s="35" t="s">
        <v>407</v>
      </c>
      <c r="D64" s="35" t="s">
        <v>413</v>
      </c>
      <c r="E64" s="36" t="s">
        <v>49</v>
      </c>
      <c r="L64" s="37"/>
      <c r="M64" s="39" t="str">
        <f t="shared" si="2"/>
        <v>senator.donny.olson@akleg.gov</v>
      </c>
      <c r="N64" s="39"/>
      <c r="O64" s="41"/>
      <c r="P64" s="41"/>
      <c r="Q64" s="41"/>
      <c r="R64" s="41"/>
      <c r="S64" s="45" t="s">
        <v>414</v>
      </c>
    </row>
    <row r="65">
      <c r="A65" s="70"/>
      <c r="B65" s="70"/>
      <c r="C65" s="71"/>
      <c r="D65" s="71"/>
      <c r="E65" s="70"/>
      <c r="F65" s="70"/>
      <c r="G65" s="70"/>
      <c r="H65" s="70"/>
      <c r="I65" s="70"/>
      <c r="J65" s="70"/>
      <c r="K65" s="70"/>
      <c r="L65" s="70"/>
      <c r="M65" s="70"/>
      <c r="N65" s="70"/>
      <c r="O65" s="70"/>
      <c r="P65" s="70"/>
      <c r="Q65" s="70"/>
      <c r="R65" s="70"/>
      <c r="S65" s="70"/>
      <c r="T65" s="70"/>
      <c r="U65" s="70"/>
      <c r="V65" s="70"/>
      <c r="W65" s="70"/>
      <c r="X65" s="70"/>
      <c r="Y65" s="70"/>
      <c r="Z65" s="70"/>
      <c r="AA65" s="70"/>
      <c r="AB65" s="70"/>
      <c r="AC65" s="70"/>
      <c r="AD65" s="70"/>
    </row>
    <row r="66">
      <c r="A66" s="14" t="s">
        <v>421</v>
      </c>
      <c r="C66" s="77" t="s">
        <v>157</v>
      </c>
      <c r="D66" s="77" t="s">
        <v>426</v>
      </c>
      <c r="E66" s="51" t="s">
        <v>53</v>
      </c>
      <c r="L66" s="41"/>
      <c r="M66" s="41"/>
      <c r="N66" s="41"/>
      <c r="O66" s="41"/>
      <c r="P66" s="41"/>
      <c r="Q66" s="41"/>
      <c r="R66" s="41"/>
    </row>
    <row r="67">
      <c r="A67" s="70"/>
      <c r="B67" s="70"/>
      <c r="C67" s="71"/>
      <c r="D67" s="71"/>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row>
    <row r="68">
      <c r="A68" s="14" t="s">
        <v>427</v>
      </c>
      <c r="C68" s="77" t="s">
        <v>428</v>
      </c>
      <c r="D68" s="77" t="s">
        <v>429</v>
      </c>
      <c r="E68" s="51" t="s">
        <v>53</v>
      </c>
      <c r="L68" s="41"/>
      <c r="M68" s="41"/>
      <c r="N68" s="41"/>
      <c r="O68" s="41"/>
      <c r="P68" s="41"/>
      <c r="Q68" s="41"/>
      <c r="R68" s="41"/>
    </row>
    <row r="69">
      <c r="A69" s="70"/>
      <c r="B69" s="70"/>
      <c r="C69" s="71"/>
      <c r="D69" s="71"/>
      <c r="E69" s="70"/>
      <c r="F69" s="70"/>
      <c r="G69" s="70"/>
      <c r="H69" s="70"/>
      <c r="I69" s="70"/>
      <c r="J69" s="70"/>
      <c r="K69" s="70"/>
      <c r="L69" s="70"/>
      <c r="M69" s="70"/>
      <c r="N69" s="70"/>
      <c r="O69" s="70"/>
      <c r="P69" s="70"/>
      <c r="Q69" s="70"/>
      <c r="R69" s="70"/>
      <c r="S69" s="70"/>
      <c r="T69" s="70"/>
      <c r="U69" s="70"/>
      <c r="V69" s="70"/>
      <c r="W69" s="70"/>
      <c r="X69" s="70"/>
      <c r="Y69" s="70"/>
      <c r="Z69" s="70"/>
      <c r="AA69" s="70"/>
      <c r="AB69" s="70"/>
      <c r="AC69" s="70"/>
      <c r="AD69" s="70"/>
    </row>
    <row r="70">
      <c r="A70" s="14" t="s">
        <v>430</v>
      </c>
      <c r="B70" s="14" t="s">
        <v>431</v>
      </c>
      <c r="C70" s="77" t="s">
        <v>432</v>
      </c>
      <c r="D70" s="77" t="s">
        <v>433</v>
      </c>
      <c r="E70" s="51" t="s">
        <v>53</v>
      </c>
      <c r="L70" s="41"/>
      <c r="M70" s="41"/>
      <c r="N70" s="41"/>
      <c r="O70" s="41"/>
      <c r="P70" s="41"/>
      <c r="Q70" s="41"/>
      <c r="R70" s="41"/>
    </row>
    <row r="71">
      <c r="A71" s="14" t="s">
        <v>430</v>
      </c>
      <c r="B71" s="14" t="s">
        <v>434</v>
      </c>
      <c r="C71" s="77" t="s">
        <v>239</v>
      </c>
      <c r="D71" s="77" t="s">
        <v>435</v>
      </c>
      <c r="E71" s="51" t="s">
        <v>53</v>
      </c>
      <c r="L71" s="41"/>
      <c r="M71" s="41"/>
      <c r="N71" s="41"/>
      <c r="O71" s="41"/>
      <c r="P71" s="41"/>
      <c r="Q71" s="41"/>
      <c r="R71" s="41"/>
    </row>
    <row r="72">
      <c r="A72" s="70"/>
      <c r="B72" s="70"/>
      <c r="C72" s="71"/>
      <c r="D72" s="71"/>
      <c r="E72" s="70"/>
      <c r="F72" s="70"/>
      <c r="G72" s="70"/>
      <c r="H72" s="70"/>
      <c r="I72" s="70"/>
      <c r="J72" s="70"/>
      <c r="K72" s="70"/>
      <c r="L72" s="70"/>
      <c r="M72" s="70"/>
      <c r="N72" s="70"/>
      <c r="O72" s="70"/>
      <c r="P72" s="70"/>
      <c r="Q72" s="70"/>
      <c r="R72" s="70"/>
      <c r="S72" s="70"/>
      <c r="T72" s="70"/>
      <c r="U72" s="70"/>
      <c r="V72" s="70"/>
      <c r="W72" s="70"/>
      <c r="X72" s="70"/>
      <c r="Y72" s="70"/>
      <c r="Z72" s="70"/>
      <c r="AA72" s="70"/>
      <c r="AB72" s="70"/>
      <c r="AC72" s="70"/>
      <c r="AD72" s="70"/>
    </row>
    <row r="73">
      <c r="A73" s="14" t="s">
        <v>438</v>
      </c>
      <c r="C73" s="77" t="s">
        <v>439</v>
      </c>
      <c r="D73" s="77" t="s">
        <v>440</v>
      </c>
      <c r="E73" s="14" t="s">
        <v>441</v>
      </c>
      <c r="L73" s="41"/>
      <c r="M73" s="41"/>
      <c r="N73" s="41"/>
      <c r="O73" s="41"/>
      <c r="P73" s="41"/>
      <c r="Q73" s="41"/>
      <c r="R73" s="41"/>
    </row>
    <row r="74">
      <c r="A74" s="70"/>
      <c r="B74" s="70"/>
      <c r="C74" s="70"/>
      <c r="D74" s="70"/>
      <c r="E74" s="70"/>
      <c r="F74" s="70"/>
      <c r="G74" s="70"/>
      <c r="H74" s="70"/>
      <c r="I74" s="70"/>
      <c r="J74" s="70"/>
      <c r="K74" s="70"/>
      <c r="L74" s="70"/>
      <c r="M74" s="70"/>
      <c r="N74" s="70"/>
      <c r="O74" s="70"/>
      <c r="P74" s="70"/>
      <c r="Q74" s="70"/>
      <c r="R74" s="70"/>
      <c r="S74" s="70"/>
      <c r="T74" s="70"/>
      <c r="U74" s="70"/>
      <c r="V74" s="70"/>
      <c r="W74" s="70"/>
      <c r="X74" s="70"/>
      <c r="Y74" s="70"/>
      <c r="Z74" s="70"/>
      <c r="AA74" s="70"/>
      <c r="AB74" s="70"/>
      <c r="AC74" s="70"/>
      <c r="AD74" s="70"/>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C4"/>
    <hyperlink r:id="rId2" ref="S4"/>
    <hyperlink r:id="rId3" ref="C5"/>
    <hyperlink r:id="rId4" ref="C6"/>
    <hyperlink r:id="rId5" ref="S6"/>
    <hyperlink r:id="rId6" ref="C8"/>
    <hyperlink r:id="rId7" ref="C9"/>
    <hyperlink r:id="rId8" ref="S9"/>
    <hyperlink r:id="rId9" ref="C10"/>
    <hyperlink r:id="rId10" ref="S10"/>
    <hyperlink r:id="rId11" ref="C11"/>
    <hyperlink r:id="rId12" ref="S11"/>
    <hyperlink r:id="rId13" ref="C12"/>
    <hyperlink r:id="rId14" ref="S12"/>
    <hyperlink r:id="rId15" ref="C13"/>
    <hyperlink r:id="rId16" ref="C14"/>
    <hyperlink r:id="rId17" ref="C15"/>
    <hyperlink r:id="rId18" ref="S16"/>
    <hyperlink r:id="rId19" ref="C18"/>
    <hyperlink r:id="rId20" ref="S18"/>
    <hyperlink r:id="rId21" ref="C19"/>
    <hyperlink r:id="rId22" ref="C20"/>
    <hyperlink r:id="rId23" ref="C21"/>
    <hyperlink r:id="rId24" ref="C22"/>
    <hyperlink r:id="rId25" ref="C24"/>
    <hyperlink r:id="rId26" ref="C26"/>
    <hyperlink r:id="rId27" ref="C27"/>
    <hyperlink r:id="rId28" ref="C30"/>
    <hyperlink r:id="rId29" ref="C31"/>
    <hyperlink r:id="rId30" ref="S32"/>
    <hyperlink r:id="rId31" ref="C33"/>
    <hyperlink r:id="rId32" ref="S33"/>
    <hyperlink r:id="rId33" ref="S34"/>
    <hyperlink r:id="rId34" ref="C35"/>
    <hyperlink r:id="rId35" ref="S35"/>
    <hyperlink r:id="rId36" ref="C36"/>
    <hyperlink r:id="rId37" ref="S36"/>
    <hyperlink r:id="rId38" ref="C38"/>
    <hyperlink r:id="rId39" ref="S38"/>
    <hyperlink r:id="rId40" ref="C39"/>
    <hyperlink r:id="rId41" ref="S39"/>
    <hyperlink r:id="rId42" ref="C40"/>
    <hyperlink r:id="rId43" ref="S40"/>
    <hyperlink r:id="rId44" ref="C41"/>
    <hyperlink r:id="rId45" ref="S41"/>
    <hyperlink r:id="rId46" ref="C42"/>
    <hyperlink r:id="rId47" ref="S42"/>
    <hyperlink r:id="rId48" ref="C43"/>
    <hyperlink r:id="rId49" ref="S43"/>
    <hyperlink r:id="rId50" ref="C45"/>
    <hyperlink r:id="rId51" ref="S45"/>
    <hyperlink r:id="rId52" ref="C46"/>
    <hyperlink r:id="rId53" ref="S46"/>
    <hyperlink r:id="rId54" ref="C47"/>
    <hyperlink r:id="rId55" ref="C48"/>
    <hyperlink r:id="rId56" ref="C49"/>
    <hyperlink r:id="rId57" ref="C50"/>
    <hyperlink r:id="rId58" ref="S50"/>
    <hyperlink r:id="rId59" ref="S51"/>
    <hyperlink r:id="rId60" ref="C52"/>
    <hyperlink r:id="rId61" ref="S52"/>
    <hyperlink r:id="rId62" ref="C54"/>
    <hyperlink r:id="rId63" ref="C55"/>
    <hyperlink r:id="rId64" ref="C56"/>
    <hyperlink r:id="rId65" ref="C58"/>
    <hyperlink r:id="rId66" ref="C59"/>
    <hyperlink r:id="rId67" ref="S59"/>
    <hyperlink r:id="rId68" ref="C60"/>
    <hyperlink r:id="rId69" ref="S60"/>
    <hyperlink r:id="rId70" ref="S61"/>
    <hyperlink r:id="rId71" ref="C62"/>
    <hyperlink r:id="rId72" ref="S62"/>
    <hyperlink r:id="rId73" ref="C63"/>
    <hyperlink r:id="rId74" ref="S63"/>
    <hyperlink r:id="rId75" ref="C64"/>
    <hyperlink r:id="rId76" ref="S64"/>
  </hyperlinks>
  <drawing r:id="rId7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2" max="2" width="7.57"/>
    <col customWidth="1" min="3" max="3" width="15.14"/>
    <col customWidth="1" min="4" max="4" width="14.71"/>
    <col customWidth="1" min="10" max="11" width="16.57"/>
  </cols>
  <sheetData>
    <row r="1">
      <c r="A1" s="1" t="s">
        <v>0</v>
      </c>
      <c r="B1" s="2" t="s">
        <v>1</v>
      </c>
      <c r="C1" s="2" t="s">
        <v>2</v>
      </c>
      <c r="D1" s="2" t="s">
        <v>2</v>
      </c>
      <c r="E1" s="3"/>
      <c r="F1" s="1" t="s">
        <v>3</v>
      </c>
      <c r="G1" s="1" t="s">
        <v>4</v>
      </c>
      <c r="H1" s="1" t="s">
        <v>5</v>
      </c>
      <c r="I1" s="1" t="s">
        <v>6</v>
      </c>
      <c r="J1" s="1" t="s">
        <v>7</v>
      </c>
      <c r="K1" s="1" t="s">
        <v>8</v>
      </c>
      <c r="L1" s="30"/>
      <c r="M1" s="7" t="s">
        <v>9</v>
      </c>
      <c r="O1" s="10" t="s">
        <v>14</v>
      </c>
      <c r="Q1" s="11"/>
      <c r="R1" s="11"/>
      <c r="S1" s="19"/>
      <c r="T1" s="19"/>
      <c r="U1" s="20"/>
      <c r="V1" s="20"/>
      <c r="W1" s="20"/>
      <c r="X1" s="20"/>
      <c r="Y1" s="20"/>
      <c r="Z1" s="20"/>
      <c r="AA1" s="20"/>
      <c r="AB1" s="20"/>
      <c r="AC1" s="20"/>
      <c r="AD1" s="20"/>
      <c r="AE1" s="20"/>
    </row>
    <row r="2">
      <c r="A2" s="21" t="s">
        <v>492</v>
      </c>
      <c r="B2" s="21" t="s">
        <v>27</v>
      </c>
      <c r="C2" s="21" t="s">
        <v>493</v>
      </c>
      <c r="D2" s="23"/>
      <c r="E2" s="3"/>
      <c r="F2" s="23"/>
      <c r="G2" s="23">
        <v>43487.0</v>
      </c>
      <c r="H2" s="79">
        <f>G2-TODAY()</f>
        <v>-248</v>
      </c>
      <c r="I2" s="23">
        <v>43479.0</v>
      </c>
      <c r="J2" s="23">
        <v>43582.0</v>
      </c>
      <c r="K2" s="23"/>
      <c r="L2" s="30"/>
      <c r="M2" s="26">
        <f>CountIFS($E:$E,"=Dem",$A:$A,"=House")</f>
        <v>28</v>
      </c>
      <c r="N2" s="28">
        <f>CountIFS($E:$E,"=Rep",$A:$A,"=House")</f>
        <v>32</v>
      </c>
      <c r="O2" s="26">
        <f>CountIFS($E:$E,"=Dem",$A:$A,"=Senate")</f>
        <v>13</v>
      </c>
      <c r="P2" s="28">
        <f>CountIFS($E:$E,"=Rep",$A:$A,"=Senate")</f>
        <v>18</v>
      </c>
      <c r="Q2" s="11"/>
      <c r="R2" s="11"/>
      <c r="S2" s="19"/>
      <c r="T2" s="19"/>
      <c r="U2" s="20"/>
      <c r="V2" s="20"/>
      <c r="W2" s="20"/>
      <c r="X2" s="20"/>
      <c r="Y2" s="20"/>
      <c r="Z2" s="20"/>
      <c r="AA2" s="20"/>
      <c r="AB2" s="20"/>
      <c r="AC2" s="20"/>
      <c r="AD2" s="20"/>
      <c r="AE2" s="20"/>
    </row>
    <row r="3">
      <c r="A3" s="30" t="s">
        <v>29</v>
      </c>
      <c r="B3" s="30" t="s">
        <v>30</v>
      </c>
      <c r="C3" s="2" t="s">
        <v>31</v>
      </c>
      <c r="D3" s="2" t="s">
        <v>32</v>
      </c>
      <c r="E3" s="3" t="s">
        <v>33</v>
      </c>
      <c r="F3" s="80" t="s">
        <v>10</v>
      </c>
      <c r="G3" s="81" t="s">
        <v>34</v>
      </c>
      <c r="H3" s="81" t="s">
        <v>34</v>
      </c>
      <c r="I3" s="81" t="s">
        <v>34</v>
      </c>
      <c r="J3" s="81" t="s">
        <v>34</v>
      </c>
      <c r="K3" s="81" t="s">
        <v>34</v>
      </c>
      <c r="L3" s="30" t="s">
        <v>35</v>
      </c>
      <c r="M3" s="19" t="s">
        <v>36</v>
      </c>
      <c r="N3" s="19" t="s">
        <v>37</v>
      </c>
      <c r="O3" s="19" t="s">
        <v>38</v>
      </c>
      <c r="P3" s="17" t="s">
        <v>39</v>
      </c>
      <c r="Q3" s="11" t="s">
        <v>40</v>
      </c>
      <c r="R3" s="11" t="s">
        <v>41</v>
      </c>
      <c r="S3" s="19" t="s">
        <v>30</v>
      </c>
      <c r="T3" s="19"/>
      <c r="U3" s="20"/>
      <c r="V3" s="20"/>
      <c r="W3" s="20"/>
      <c r="X3" s="20"/>
      <c r="Y3" s="20"/>
      <c r="Z3" s="20"/>
      <c r="AA3" s="20"/>
      <c r="AB3" s="20"/>
      <c r="AC3" s="20"/>
      <c r="AD3" s="20"/>
      <c r="AE3" s="20"/>
    </row>
    <row r="4">
      <c r="A4" s="14" t="s">
        <v>44</v>
      </c>
      <c r="B4" s="82">
        <v>1.0</v>
      </c>
      <c r="C4" s="38" t="s">
        <v>108</v>
      </c>
      <c r="D4" s="38" t="s">
        <v>513</v>
      </c>
      <c r="E4" s="83" t="s">
        <v>53</v>
      </c>
      <c r="F4" s="84"/>
      <c r="G4" s="85" t="s">
        <v>515</v>
      </c>
      <c r="H4" s="85" t="s">
        <v>516</v>
      </c>
      <c r="I4" s="85" t="s">
        <v>517</v>
      </c>
      <c r="J4" s="85" t="s">
        <v>518</v>
      </c>
      <c r="K4" s="85" t="s">
        <v>519</v>
      </c>
      <c r="M4" s="86" t="s">
        <v>520</v>
      </c>
      <c r="N4" s="88" t="str">
        <f t="shared" ref="N4:N63" si="1">Concatenate(Lower(Left(C4,1)),Lower(substitute(D4," ","")),"@azleg.gov")</f>
        <v>dstringer@azleg.gov</v>
      </c>
      <c r="O4" s="89"/>
      <c r="P4" s="89"/>
      <c r="Q4" s="89"/>
      <c r="R4" s="89"/>
      <c r="S4" s="91" t="s">
        <v>523</v>
      </c>
    </row>
    <row r="5">
      <c r="A5" s="14" t="s">
        <v>44</v>
      </c>
      <c r="C5" s="38" t="s">
        <v>529</v>
      </c>
      <c r="D5" s="38" t="s">
        <v>530</v>
      </c>
      <c r="E5" s="83" t="s">
        <v>53</v>
      </c>
      <c r="F5" s="92"/>
      <c r="G5" s="85" t="s">
        <v>535</v>
      </c>
      <c r="H5" s="85" t="s">
        <v>536</v>
      </c>
      <c r="I5" s="85" t="s">
        <v>537</v>
      </c>
      <c r="J5" s="85" t="s">
        <v>519</v>
      </c>
      <c r="L5" s="85"/>
      <c r="M5" s="93" t="s">
        <v>539</v>
      </c>
      <c r="N5" s="88" t="str">
        <f t="shared" si="1"/>
        <v>ncampbell@azleg.gov</v>
      </c>
      <c r="O5" s="89"/>
      <c r="P5" s="89"/>
      <c r="Q5" s="89"/>
      <c r="R5" s="89"/>
      <c r="S5" s="91" t="s">
        <v>523</v>
      </c>
    </row>
    <row r="6">
      <c r="A6" s="14" t="s">
        <v>44</v>
      </c>
      <c r="B6" s="82">
        <v>2.0</v>
      </c>
      <c r="C6" s="38" t="s">
        <v>552</v>
      </c>
      <c r="D6" s="38" t="s">
        <v>562</v>
      </c>
      <c r="E6" s="94" t="s">
        <v>49</v>
      </c>
      <c r="F6" s="84"/>
      <c r="G6" s="85" t="s">
        <v>563</v>
      </c>
      <c r="H6" s="85" t="s">
        <v>564</v>
      </c>
      <c r="I6" s="85" t="s">
        <v>537</v>
      </c>
      <c r="J6" s="85"/>
      <c r="M6" s="93" t="s">
        <v>565</v>
      </c>
      <c r="N6" s="88" t="str">
        <f t="shared" si="1"/>
        <v>dhernandez@azleg.gov</v>
      </c>
      <c r="O6" s="89"/>
      <c r="P6" s="89"/>
      <c r="Q6" s="89"/>
      <c r="R6" s="89"/>
      <c r="S6" s="91" t="s">
        <v>566</v>
      </c>
    </row>
    <row r="7">
      <c r="A7" s="14" t="s">
        <v>44</v>
      </c>
      <c r="C7" s="38" t="s">
        <v>570</v>
      </c>
      <c r="D7" s="38" t="s">
        <v>576</v>
      </c>
      <c r="E7" s="94" t="s">
        <v>49</v>
      </c>
      <c r="F7" s="92"/>
      <c r="G7" s="85" t="s">
        <v>577</v>
      </c>
      <c r="H7" s="85" t="s">
        <v>578</v>
      </c>
      <c r="I7" s="85" t="s">
        <v>519</v>
      </c>
      <c r="J7" s="85" t="s">
        <v>519</v>
      </c>
      <c r="K7" s="85" t="s">
        <v>519</v>
      </c>
      <c r="M7" s="93" t="s">
        <v>579</v>
      </c>
      <c r="N7" s="88" t="str">
        <f t="shared" si="1"/>
        <v>rgabaldon@azleg.gov</v>
      </c>
      <c r="O7" s="89"/>
      <c r="P7" s="89"/>
      <c r="Q7" s="89"/>
      <c r="R7" s="89"/>
      <c r="S7" s="91" t="s">
        <v>580</v>
      </c>
    </row>
    <row r="8">
      <c r="A8" s="14" t="s">
        <v>44</v>
      </c>
      <c r="B8" s="82">
        <v>3.0</v>
      </c>
      <c r="C8" s="95" t="s">
        <v>587</v>
      </c>
      <c r="D8" s="95" t="s">
        <v>590</v>
      </c>
      <c r="E8" s="94" t="s">
        <v>49</v>
      </c>
      <c r="F8" s="84"/>
      <c r="G8" s="85" t="s">
        <v>591</v>
      </c>
      <c r="H8" s="85" t="s">
        <v>592</v>
      </c>
      <c r="I8" s="85" t="s">
        <v>519</v>
      </c>
      <c r="J8" s="85" t="s">
        <v>519</v>
      </c>
      <c r="K8" s="85" t="s">
        <v>519</v>
      </c>
      <c r="M8" s="93" t="s">
        <v>594</v>
      </c>
      <c r="N8" s="88" t="str">
        <f t="shared" si="1"/>
        <v>acano@azleg.gov</v>
      </c>
      <c r="O8" s="89"/>
      <c r="P8" s="89"/>
      <c r="Q8" s="89"/>
      <c r="R8" s="89"/>
      <c r="S8" s="91" t="s">
        <v>566</v>
      </c>
    </row>
    <row r="9">
      <c r="A9" s="14" t="s">
        <v>44</v>
      </c>
      <c r="C9" s="95" t="s">
        <v>598</v>
      </c>
      <c r="D9" s="95" t="s">
        <v>562</v>
      </c>
      <c r="E9" s="36" t="s">
        <v>49</v>
      </c>
      <c r="F9" s="92"/>
      <c r="G9" s="85" t="s">
        <v>600</v>
      </c>
      <c r="H9" s="85" t="s">
        <v>601</v>
      </c>
      <c r="K9" s="85"/>
      <c r="M9" s="93" t="s">
        <v>603</v>
      </c>
      <c r="N9" s="88" t="str">
        <f t="shared" si="1"/>
        <v>ahernandez@azleg.gov</v>
      </c>
      <c r="O9" s="89"/>
      <c r="P9" s="89"/>
      <c r="Q9" s="89"/>
      <c r="R9" s="89"/>
      <c r="S9" s="91" t="s">
        <v>566</v>
      </c>
    </row>
    <row r="10">
      <c r="A10" s="14" t="s">
        <v>44</v>
      </c>
      <c r="B10" s="82">
        <v>4.0</v>
      </c>
      <c r="C10" s="38" t="s">
        <v>613</v>
      </c>
      <c r="D10" s="38" t="s">
        <v>624</v>
      </c>
      <c r="E10" s="36" t="s">
        <v>49</v>
      </c>
      <c r="F10" s="84"/>
      <c r="G10" s="85" t="s">
        <v>626</v>
      </c>
      <c r="H10" s="85" t="s">
        <v>519</v>
      </c>
      <c r="I10" s="85" t="s">
        <v>519</v>
      </c>
      <c r="K10" s="85" t="s">
        <v>519</v>
      </c>
      <c r="M10" s="93" t="s">
        <v>628</v>
      </c>
      <c r="N10" s="88" t="str">
        <f t="shared" si="1"/>
        <v>cfernandez@azleg.gov</v>
      </c>
      <c r="O10" s="89"/>
      <c r="P10" s="89"/>
      <c r="Q10" s="89"/>
      <c r="R10" s="89"/>
      <c r="S10" s="91" t="s">
        <v>632</v>
      </c>
    </row>
    <row r="11">
      <c r="A11" s="14" t="s">
        <v>44</v>
      </c>
      <c r="C11" s="38" t="s">
        <v>635</v>
      </c>
      <c r="D11" s="38" t="s">
        <v>640</v>
      </c>
      <c r="E11" s="36" t="s">
        <v>49</v>
      </c>
      <c r="F11" s="92"/>
      <c r="G11" s="85" t="s">
        <v>641</v>
      </c>
      <c r="H11" s="85" t="s">
        <v>564</v>
      </c>
      <c r="I11" s="85" t="s">
        <v>642</v>
      </c>
      <c r="J11" s="85" t="s">
        <v>519</v>
      </c>
      <c r="K11" s="85" t="s">
        <v>519</v>
      </c>
      <c r="M11" s="93" t="s">
        <v>643</v>
      </c>
      <c r="N11" s="88" t="str">
        <f t="shared" si="1"/>
        <v>gpeten@azleg.gov</v>
      </c>
      <c r="O11" s="89"/>
      <c r="P11" s="89"/>
      <c r="Q11" s="89"/>
      <c r="R11" s="89"/>
      <c r="S11" s="91" t="s">
        <v>644</v>
      </c>
    </row>
    <row r="12">
      <c r="A12" s="14" t="s">
        <v>44</v>
      </c>
      <c r="B12" s="82">
        <v>5.0</v>
      </c>
      <c r="C12" s="38" t="s">
        <v>650</v>
      </c>
      <c r="D12" s="38" t="s">
        <v>651</v>
      </c>
      <c r="E12" s="51" t="s">
        <v>53</v>
      </c>
      <c r="F12" s="92"/>
      <c r="G12" s="85" t="s">
        <v>652</v>
      </c>
      <c r="H12" s="85" t="s">
        <v>653</v>
      </c>
      <c r="I12" s="85" t="s">
        <v>654</v>
      </c>
      <c r="J12" s="85" t="s">
        <v>519</v>
      </c>
      <c r="K12" s="85" t="s">
        <v>519</v>
      </c>
      <c r="M12" s="93" t="s">
        <v>655</v>
      </c>
      <c r="N12" s="88" t="str">
        <f t="shared" si="1"/>
        <v>lbiasiucci@azleg.gov</v>
      </c>
      <c r="O12" s="89"/>
      <c r="P12" s="89"/>
      <c r="Q12" s="89"/>
      <c r="R12" s="89"/>
      <c r="S12" s="91" t="s">
        <v>656</v>
      </c>
    </row>
    <row r="13">
      <c r="A13" s="14" t="s">
        <v>44</v>
      </c>
      <c r="C13" s="38" t="s">
        <v>659</v>
      </c>
      <c r="D13" s="38" t="s">
        <v>661</v>
      </c>
      <c r="E13" s="51" t="s">
        <v>53</v>
      </c>
      <c r="F13" s="84"/>
      <c r="G13" s="85" t="s">
        <v>515</v>
      </c>
      <c r="H13" s="85" t="s">
        <v>592</v>
      </c>
      <c r="I13" s="85" t="s">
        <v>662</v>
      </c>
      <c r="K13" s="85" t="s">
        <v>519</v>
      </c>
      <c r="M13" s="93" t="s">
        <v>663</v>
      </c>
      <c r="N13" s="88" t="str">
        <f t="shared" si="1"/>
        <v>rcobb@azleg.gov</v>
      </c>
      <c r="O13" s="89"/>
      <c r="P13" s="89"/>
      <c r="Q13" s="89"/>
      <c r="R13" s="89"/>
      <c r="S13" s="91" t="s">
        <v>664</v>
      </c>
    </row>
    <row r="14">
      <c r="A14" s="14" t="s">
        <v>44</v>
      </c>
      <c r="B14" s="82">
        <v>6.0</v>
      </c>
      <c r="C14" s="38" t="s">
        <v>669</v>
      </c>
      <c r="D14" s="38" t="s">
        <v>670</v>
      </c>
      <c r="E14" s="51" t="s">
        <v>53</v>
      </c>
      <c r="F14" s="92"/>
      <c r="G14" s="85" t="s">
        <v>671</v>
      </c>
      <c r="H14" s="85" t="s">
        <v>672</v>
      </c>
      <c r="I14" s="85" t="s">
        <v>518</v>
      </c>
      <c r="J14" s="85" t="s">
        <v>519</v>
      </c>
      <c r="K14" s="85" t="s">
        <v>519</v>
      </c>
      <c r="M14" s="93" t="s">
        <v>673</v>
      </c>
      <c r="N14" s="88" t="str">
        <f t="shared" si="1"/>
        <v>wblackman@azleg.gov</v>
      </c>
      <c r="O14" s="89"/>
      <c r="P14" s="89"/>
      <c r="Q14" s="89"/>
      <c r="R14" s="89"/>
      <c r="S14" s="91" t="s">
        <v>674</v>
      </c>
    </row>
    <row r="15">
      <c r="A15" s="14" t="s">
        <v>44</v>
      </c>
      <c r="C15" s="38" t="s">
        <v>419</v>
      </c>
      <c r="D15" s="38" t="s">
        <v>687</v>
      </c>
      <c r="E15" s="98" t="s">
        <v>53</v>
      </c>
      <c r="F15" s="99" t="s">
        <v>519</v>
      </c>
      <c r="G15" s="85" t="s">
        <v>688</v>
      </c>
      <c r="H15" s="85" t="s">
        <v>690</v>
      </c>
      <c r="I15" s="85" t="s">
        <v>578</v>
      </c>
      <c r="J15" s="85" t="s">
        <v>518</v>
      </c>
      <c r="K15" s="85" t="s">
        <v>519</v>
      </c>
      <c r="M15" s="93" t="s">
        <v>692</v>
      </c>
      <c r="N15" s="88" t="str">
        <f t="shared" si="1"/>
        <v>bthorpe@azleg.gov</v>
      </c>
      <c r="O15" s="89"/>
      <c r="P15" s="89"/>
      <c r="Q15" s="89"/>
      <c r="R15" s="89"/>
      <c r="S15" s="91" t="s">
        <v>694</v>
      </c>
    </row>
    <row r="16">
      <c r="A16" s="14" t="s">
        <v>44</v>
      </c>
      <c r="B16" s="82">
        <v>7.0</v>
      </c>
      <c r="C16" s="38" t="s">
        <v>710</v>
      </c>
      <c r="D16" s="38" t="s">
        <v>711</v>
      </c>
      <c r="E16" s="36" t="s">
        <v>49</v>
      </c>
      <c r="F16" s="92"/>
      <c r="G16" s="85" t="s">
        <v>535</v>
      </c>
      <c r="H16" s="85" t="s">
        <v>591</v>
      </c>
      <c r="I16" s="85" t="s">
        <v>519</v>
      </c>
      <c r="J16" s="85" t="s">
        <v>519</v>
      </c>
      <c r="K16" s="85" t="s">
        <v>519</v>
      </c>
      <c r="M16" s="93" t="s">
        <v>712</v>
      </c>
      <c r="N16" s="88" t="str">
        <f t="shared" si="1"/>
        <v>mtsosie@azleg.gov</v>
      </c>
      <c r="O16" s="89"/>
      <c r="P16" s="89"/>
      <c r="Q16" s="89"/>
      <c r="R16" s="89"/>
      <c r="S16" s="91" t="s">
        <v>713</v>
      </c>
    </row>
    <row r="17">
      <c r="A17" s="14" t="s">
        <v>44</v>
      </c>
      <c r="C17" s="38" t="s">
        <v>716</v>
      </c>
      <c r="D17" s="38" t="s">
        <v>717</v>
      </c>
      <c r="E17" s="100" t="s">
        <v>49</v>
      </c>
      <c r="F17" s="92"/>
      <c r="G17" s="85" t="s">
        <v>578</v>
      </c>
      <c r="H17" s="85" t="s">
        <v>719</v>
      </c>
      <c r="I17" s="85" t="s">
        <v>519</v>
      </c>
      <c r="J17" s="85" t="s">
        <v>519</v>
      </c>
      <c r="K17" s="85" t="s">
        <v>519</v>
      </c>
      <c r="M17" s="93" t="s">
        <v>720</v>
      </c>
      <c r="N17" s="88" t="str">
        <f t="shared" si="1"/>
        <v>ateller@azleg.gov</v>
      </c>
      <c r="O17" s="89"/>
      <c r="P17" s="89"/>
      <c r="Q17" s="89"/>
      <c r="R17" s="89"/>
      <c r="S17" s="91" t="s">
        <v>721</v>
      </c>
    </row>
    <row r="18">
      <c r="A18" s="14" t="s">
        <v>44</v>
      </c>
      <c r="B18" s="82">
        <v>8.0</v>
      </c>
      <c r="C18" s="38" t="s">
        <v>108</v>
      </c>
      <c r="D18" s="38" t="s">
        <v>731</v>
      </c>
      <c r="E18" s="51" t="s">
        <v>53</v>
      </c>
      <c r="F18" s="92"/>
      <c r="G18" s="85" t="s">
        <v>591</v>
      </c>
      <c r="H18" s="85" t="s">
        <v>732</v>
      </c>
      <c r="I18" s="85" t="s">
        <v>733</v>
      </c>
      <c r="J18" s="85" t="s">
        <v>519</v>
      </c>
      <c r="M18" s="93" t="s">
        <v>734</v>
      </c>
      <c r="N18" s="88" t="str">
        <f t="shared" si="1"/>
        <v>dcook@azleg.gov</v>
      </c>
      <c r="O18" s="89"/>
      <c r="P18" s="89"/>
      <c r="Q18" s="89"/>
      <c r="R18" s="89"/>
      <c r="S18" s="91" t="s">
        <v>735</v>
      </c>
    </row>
    <row r="19">
      <c r="A19" s="14" t="s">
        <v>44</v>
      </c>
      <c r="C19" s="38" t="s">
        <v>561</v>
      </c>
      <c r="D19" s="38" t="s">
        <v>743</v>
      </c>
      <c r="E19" s="98" t="s">
        <v>53</v>
      </c>
      <c r="F19" s="92"/>
      <c r="G19" s="85" t="s">
        <v>745</v>
      </c>
      <c r="H19" s="85" t="s">
        <v>591</v>
      </c>
      <c r="I19" s="85" t="s">
        <v>746</v>
      </c>
      <c r="J19" s="85" t="s">
        <v>519</v>
      </c>
      <c r="K19" s="85" t="s">
        <v>519</v>
      </c>
      <c r="M19" s="93" t="s">
        <v>747</v>
      </c>
      <c r="N19" s="88" t="str">
        <f t="shared" si="1"/>
        <v>tshope@azleg.gov</v>
      </c>
      <c r="O19" s="89"/>
      <c r="P19" s="89"/>
      <c r="Q19" s="89"/>
      <c r="R19" s="89"/>
      <c r="S19" s="91" t="s">
        <v>748</v>
      </c>
    </row>
    <row r="20">
      <c r="A20" s="14" t="s">
        <v>44</v>
      </c>
      <c r="B20" s="82">
        <v>9.0</v>
      </c>
      <c r="C20" s="38" t="s">
        <v>760</v>
      </c>
      <c r="D20" s="38" t="s">
        <v>761</v>
      </c>
      <c r="E20" s="36" t="s">
        <v>49</v>
      </c>
      <c r="F20" s="92"/>
      <c r="G20" s="85" t="s">
        <v>762</v>
      </c>
      <c r="H20" s="85" t="s">
        <v>592</v>
      </c>
      <c r="I20" s="85" t="s">
        <v>601</v>
      </c>
      <c r="J20" s="85" t="s">
        <v>519</v>
      </c>
      <c r="K20" s="85" t="s">
        <v>519</v>
      </c>
      <c r="M20" s="93" t="s">
        <v>763</v>
      </c>
      <c r="N20" s="88" t="str">
        <f t="shared" si="1"/>
        <v>ppowershannley@azleg.gov</v>
      </c>
      <c r="O20" s="89"/>
      <c r="P20" s="89"/>
      <c r="Q20" s="89"/>
      <c r="R20" s="89"/>
      <c r="S20" s="91" t="s">
        <v>566</v>
      </c>
    </row>
    <row r="21">
      <c r="A21" s="14" t="s">
        <v>44</v>
      </c>
      <c r="C21" s="38" t="s">
        <v>179</v>
      </c>
      <c r="D21" s="38" t="s">
        <v>769</v>
      </c>
      <c r="E21" s="36" t="s">
        <v>49</v>
      </c>
      <c r="F21" s="84"/>
      <c r="G21" s="85" t="s">
        <v>770</v>
      </c>
      <c r="H21" s="85" t="s">
        <v>519</v>
      </c>
      <c r="I21" s="85" t="s">
        <v>519</v>
      </c>
      <c r="K21" s="85" t="s">
        <v>519</v>
      </c>
      <c r="M21" s="93" t="s">
        <v>771</v>
      </c>
      <c r="N21" s="88" t="str">
        <f t="shared" si="1"/>
        <v>rfriese@azleg.gov</v>
      </c>
      <c r="O21" s="89"/>
      <c r="P21" s="89"/>
      <c r="Q21" s="89"/>
      <c r="R21" s="89"/>
      <c r="S21" s="91" t="s">
        <v>566</v>
      </c>
    </row>
    <row r="22">
      <c r="A22" s="14" t="s">
        <v>44</v>
      </c>
      <c r="B22" s="82">
        <v>10.0</v>
      </c>
      <c r="C22" s="38" t="s">
        <v>772</v>
      </c>
      <c r="D22" s="38" t="s">
        <v>773</v>
      </c>
      <c r="E22" s="36" t="s">
        <v>49</v>
      </c>
      <c r="F22" s="84"/>
      <c r="G22" s="85" t="s">
        <v>774</v>
      </c>
      <c r="H22" s="85" t="s">
        <v>775</v>
      </c>
      <c r="J22" s="85" t="s">
        <v>519</v>
      </c>
      <c r="K22" s="85" t="s">
        <v>519</v>
      </c>
      <c r="M22" s="93" t="s">
        <v>776</v>
      </c>
      <c r="N22" s="88" t="str">
        <f t="shared" si="1"/>
        <v>kengel@azleg.gov</v>
      </c>
      <c r="O22" s="89"/>
      <c r="P22" s="89"/>
      <c r="Q22" s="89"/>
      <c r="R22" s="89"/>
      <c r="S22" s="91" t="s">
        <v>566</v>
      </c>
    </row>
    <row r="23">
      <c r="A23" s="14" t="s">
        <v>44</v>
      </c>
      <c r="C23" s="38" t="s">
        <v>778</v>
      </c>
      <c r="D23" s="38" t="s">
        <v>779</v>
      </c>
      <c r="E23" s="100" t="s">
        <v>49</v>
      </c>
      <c r="F23" s="92"/>
      <c r="G23" s="85" t="s">
        <v>780</v>
      </c>
      <c r="H23" s="85" t="s">
        <v>781</v>
      </c>
      <c r="I23" s="85" t="s">
        <v>518</v>
      </c>
      <c r="J23" s="85" t="s">
        <v>519</v>
      </c>
      <c r="K23" s="85" t="s">
        <v>519</v>
      </c>
      <c r="M23" s="93" t="s">
        <v>782</v>
      </c>
      <c r="N23" s="88" t="str">
        <f t="shared" si="1"/>
        <v>ddegrazia@azleg.gov</v>
      </c>
      <c r="O23" s="89"/>
      <c r="P23" s="89"/>
      <c r="Q23" s="89"/>
      <c r="R23" s="89"/>
      <c r="S23" s="91" t="s">
        <v>566</v>
      </c>
    </row>
    <row r="24">
      <c r="A24" s="14" t="s">
        <v>44</v>
      </c>
      <c r="B24" s="82">
        <v>11.0</v>
      </c>
      <c r="C24" s="38" t="s">
        <v>787</v>
      </c>
      <c r="D24" s="38" t="s">
        <v>788</v>
      </c>
      <c r="E24" s="51" t="s">
        <v>53</v>
      </c>
      <c r="F24" s="84"/>
      <c r="G24" s="85" t="s">
        <v>671</v>
      </c>
      <c r="H24" s="85" t="s">
        <v>652</v>
      </c>
      <c r="I24" s="85" t="s">
        <v>781</v>
      </c>
      <c r="J24" s="85" t="s">
        <v>626</v>
      </c>
      <c r="K24" s="85" t="s">
        <v>789</v>
      </c>
      <c r="M24" s="93" t="s">
        <v>790</v>
      </c>
      <c r="N24" s="88" t="str">
        <f t="shared" si="1"/>
        <v>broberts@azleg.gov</v>
      </c>
      <c r="O24" s="89"/>
      <c r="P24" s="89"/>
      <c r="Q24" s="89"/>
      <c r="R24" s="89"/>
      <c r="S24" s="91" t="s">
        <v>791</v>
      </c>
    </row>
    <row r="25">
      <c r="A25" s="14" t="s">
        <v>44</v>
      </c>
      <c r="C25" s="38" t="s">
        <v>91</v>
      </c>
      <c r="D25" s="38" t="s">
        <v>795</v>
      </c>
      <c r="E25" s="51" t="s">
        <v>53</v>
      </c>
      <c r="F25" s="84"/>
      <c r="G25" s="85" t="s">
        <v>591</v>
      </c>
      <c r="H25" s="85" t="s">
        <v>781</v>
      </c>
      <c r="I25" s="85" t="s">
        <v>796</v>
      </c>
      <c r="J25" s="85" t="s">
        <v>519</v>
      </c>
      <c r="K25" s="85" t="s">
        <v>519</v>
      </c>
      <c r="M25" s="93" t="s">
        <v>797</v>
      </c>
      <c r="N25" s="88" t="str">
        <f t="shared" si="1"/>
        <v>mfinchem@azleg.gov</v>
      </c>
      <c r="O25" s="89"/>
      <c r="P25" s="89"/>
      <c r="Q25" s="89"/>
      <c r="R25" s="89"/>
      <c r="S25" s="91" t="s">
        <v>798</v>
      </c>
    </row>
    <row r="26">
      <c r="A26" s="14" t="s">
        <v>44</v>
      </c>
      <c r="B26" s="82">
        <v>12.0</v>
      </c>
      <c r="C26" s="38" t="s">
        <v>807</v>
      </c>
      <c r="D26" s="38" t="s">
        <v>810</v>
      </c>
      <c r="E26" s="51" t="s">
        <v>53</v>
      </c>
      <c r="F26" s="92"/>
      <c r="G26" s="85" t="s">
        <v>811</v>
      </c>
      <c r="H26" s="85" t="s">
        <v>812</v>
      </c>
      <c r="I26" s="85" t="s">
        <v>592</v>
      </c>
      <c r="J26" s="85" t="s">
        <v>813</v>
      </c>
      <c r="K26" s="85" t="s">
        <v>519</v>
      </c>
      <c r="M26" s="93" t="s">
        <v>814</v>
      </c>
      <c r="N26" s="88" t="str">
        <f t="shared" si="1"/>
        <v>tgrantham@azleg.gov</v>
      </c>
      <c r="O26" s="89"/>
      <c r="P26" s="89"/>
      <c r="Q26" s="89"/>
      <c r="R26" s="89"/>
      <c r="S26" s="91" t="s">
        <v>815</v>
      </c>
    </row>
    <row r="27">
      <c r="A27" s="14" t="s">
        <v>44</v>
      </c>
      <c r="C27" s="38" t="s">
        <v>646</v>
      </c>
      <c r="D27" s="38" t="s">
        <v>819</v>
      </c>
      <c r="E27" s="51" t="s">
        <v>53</v>
      </c>
      <c r="F27" s="84"/>
      <c r="G27" s="85" t="s">
        <v>780</v>
      </c>
      <c r="H27" s="85" t="s">
        <v>746</v>
      </c>
      <c r="I27" s="85" t="s">
        <v>519</v>
      </c>
      <c r="J27" s="85" t="s">
        <v>519</v>
      </c>
      <c r="K27" s="85" t="s">
        <v>519</v>
      </c>
      <c r="M27" s="93" t="s">
        <v>821</v>
      </c>
      <c r="N27" s="88" t="str">
        <f t="shared" si="1"/>
        <v>wpetersen@azleg.gov</v>
      </c>
      <c r="O27" s="89"/>
      <c r="P27" s="89"/>
      <c r="Q27" s="89"/>
      <c r="R27" s="89"/>
      <c r="S27" s="91" t="s">
        <v>815</v>
      </c>
    </row>
    <row r="28">
      <c r="A28" s="14" t="s">
        <v>44</v>
      </c>
      <c r="B28" s="82">
        <v>13.0</v>
      </c>
      <c r="C28" s="38" t="s">
        <v>225</v>
      </c>
      <c r="D28" s="38" t="s">
        <v>825</v>
      </c>
      <c r="E28" s="51" t="s">
        <v>53</v>
      </c>
      <c r="F28" s="92"/>
      <c r="G28" s="85" t="s">
        <v>826</v>
      </c>
      <c r="H28" s="85" t="s">
        <v>592</v>
      </c>
      <c r="I28" s="85" t="s">
        <v>564</v>
      </c>
      <c r="J28" s="85" t="s">
        <v>827</v>
      </c>
      <c r="K28" s="85" t="s">
        <v>519</v>
      </c>
      <c r="M28" s="93" t="s">
        <v>828</v>
      </c>
      <c r="N28" s="88" t="str">
        <f t="shared" si="1"/>
        <v>tdunn@azleg.gov</v>
      </c>
      <c r="O28" s="89"/>
      <c r="P28" s="89"/>
      <c r="Q28" s="89"/>
      <c r="R28" s="89"/>
      <c r="S28" s="91" t="s">
        <v>632</v>
      </c>
    </row>
    <row r="29">
      <c r="A29" s="14" t="s">
        <v>44</v>
      </c>
      <c r="C29" s="38" t="s">
        <v>832</v>
      </c>
      <c r="D29" s="38" t="s">
        <v>833</v>
      </c>
      <c r="E29" s="51" t="s">
        <v>53</v>
      </c>
      <c r="F29" s="92"/>
      <c r="G29" s="85" t="s">
        <v>834</v>
      </c>
      <c r="H29" s="85" t="s">
        <v>592</v>
      </c>
      <c r="I29" s="85" t="s">
        <v>719</v>
      </c>
      <c r="J29" s="85" t="s">
        <v>519</v>
      </c>
      <c r="K29" s="85" t="s">
        <v>519</v>
      </c>
      <c r="M29" s="93" t="s">
        <v>835</v>
      </c>
      <c r="N29" s="88" t="str">
        <f t="shared" si="1"/>
        <v>josborne@azleg.gov</v>
      </c>
      <c r="O29" s="89"/>
      <c r="P29" s="89"/>
      <c r="Q29" s="89"/>
      <c r="R29" s="89"/>
      <c r="S29" s="91" t="s">
        <v>836</v>
      </c>
    </row>
    <row r="30">
      <c r="A30" s="14" t="s">
        <v>44</v>
      </c>
      <c r="B30" s="82">
        <v>14.0</v>
      </c>
      <c r="C30" s="38" t="s">
        <v>364</v>
      </c>
      <c r="D30" s="38" t="s">
        <v>845</v>
      </c>
      <c r="E30" s="51" t="s">
        <v>53</v>
      </c>
      <c r="F30" s="92"/>
      <c r="G30" s="85" t="s">
        <v>780</v>
      </c>
      <c r="H30" s="85" t="s">
        <v>591</v>
      </c>
      <c r="I30" s="85" t="s">
        <v>519</v>
      </c>
      <c r="J30" s="85" t="s">
        <v>601</v>
      </c>
      <c r="K30" s="85" t="s">
        <v>746</v>
      </c>
      <c r="M30" s="93" t="s">
        <v>846</v>
      </c>
      <c r="N30" s="88" t="str">
        <f t="shared" si="1"/>
        <v>bnutt@azleg.gov</v>
      </c>
      <c r="O30" s="89"/>
      <c r="P30" s="89"/>
      <c r="Q30" s="89"/>
      <c r="R30" s="89"/>
      <c r="S30" s="91" t="s">
        <v>847</v>
      </c>
    </row>
    <row r="31">
      <c r="A31" s="14" t="s">
        <v>44</v>
      </c>
      <c r="C31" s="38" t="s">
        <v>850</v>
      </c>
      <c r="D31" s="38" t="s">
        <v>851</v>
      </c>
      <c r="E31" s="51" t="s">
        <v>53</v>
      </c>
      <c r="F31" s="92"/>
      <c r="G31" s="85" t="s">
        <v>535</v>
      </c>
      <c r="H31" s="85" t="s">
        <v>852</v>
      </c>
      <c r="I31" s="85" t="s">
        <v>854</v>
      </c>
      <c r="J31" s="85" t="s">
        <v>601</v>
      </c>
      <c r="K31" s="85" t="s">
        <v>519</v>
      </c>
      <c r="M31" s="93" t="s">
        <v>855</v>
      </c>
      <c r="N31" s="88" t="str">
        <f t="shared" si="1"/>
        <v>ggriffin@azleg.gov</v>
      </c>
      <c r="O31" s="89"/>
      <c r="P31" s="89"/>
      <c r="Q31" s="89"/>
      <c r="R31" s="89"/>
      <c r="S31" s="91" t="s">
        <v>847</v>
      </c>
    </row>
    <row r="32">
      <c r="A32" s="14" t="s">
        <v>44</v>
      </c>
      <c r="B32" s="82">
        <v>15.0</v>
      </c>
      <c r="C32" s="38" t="s">
        <v>123</v>
      </c>
      <c r="D32" s="38" t="s">
        <v>862</v>
      </c>
      <c r="E32" s="51" t="s">
        <v>53</v>
      </c>
      <c r="F32" s="84"/>
      <c r="G32" s="85" t="s">
        <v>515</v>
      </c>
      <c r="H32" s="85" t="s">
        <v>781</v>
      </c>
      <c r="I32" s="85" t="s">
        <v>863</v>
      </c>
      <c r="J32" s="85" t="s">
        <v>519</v>
      </c>
      <c r="K32" s="85" t="s">
        <v>519</v>
      </c>
      <c r="M32" s="93" t="s">
        <v>864</v>
      </c>
      <c r="N32" s="88" t="str">
        <f t="shared" si="1"/>
        <v>nbarto@azleg.gov</v>
      </c>
      <c r="O32" s="89"/>
      <c r="P32" s="89"/>
      <c r="Q32" s="89"/>
      <c r="R32" s="89"/>
      <c r="S32" s="91" t="s">
        <v>865</v>
      </c>
    </row>
    <row r="33">
      <c r="A33" s="14" t="s">
        <v>44</v>
      </c>
      <c r="C33" s="38" t="s">
        <v>278</v>
      </c>
      <c r="D33" s="38" t="s">
        <v>241</v>
      </c>
      <c r="E33" s="51" t="s">
        <v>53</v>
      </c>
      <c r="F33" s="84"/>
      <c r="G33" s="85" t="s">
        <v>876</v>
      </c>
      <c r="H33" s="85" t="s">
        <v>877</v>
      </c>
      <c r="I33" s="85" t="s">
        <v>601</v>
      </c>
      <c r="J33" s="85" t="s">
        <v>519</v>
      </c>
      <c r="K33" s="85" t="s">
        <v>519</v>
      </c>
      <c r="M33" s="93" t="s">
        <v>878</v>
      </c>
      <c r="N33" s="88" t="str">
        <f t="shared" si="1"/>
        <v>jallen@azleg.gov</v>
      </c>
      <c r="O33" s="89"/>
      <c r="P33" s="89"/>
      <c r="Q33" s="89"/>
      <c r="R33" s="89"/>
      <c r="S33" s="91" t="s">
        <v>879</v>
      </c>
    </row>
    <row r="34">
      <c r="A34" s="14" t="s">
        <v>44</v>
      </c>
      <c r="B34" s="82">
        <v>16.0</v>
      </c>
      <c r="C34" s="38" t="s">
        <v>278</v>
      </c>
      <c r="D34" s="38" t="s">
        <v>887</v>
      </c>
      <c r="E34" s="51" t="s">
        <v>53</v>
      </c>
      <c r="F34" s="92"/>
      <c r="G34" s="85" t="s">
        <v>888</v>
      </c>
      <c r="H34" s="85" t="s">
        <v>688</v>
      </c>
      <c r="I34" s="85" t="s">
        <v>626</v>
      </c>
      <c r="J34" s="85" t="s">
        <v>719</v>
      </c>
      <c r="K34" s="85" t="s">
        <v>519</v>
      </c>
      <c r="M34" s="93" t="s">
        <v>889</v>
      </c>
      <c r="N34" s="88" t="str">
        <f t="shared" si="1"/>
        <v>jfillmore@azleg.gov</v>
      </c>
      <c r="O34" s="89"/>
      <c r="P34" s="89"/>
      <c r="Q34" s="89"/>
      <c r="R34" s="89"/>
      <c r="S34" s="91" t="s">
        <v>890</v>
      </c>
    </row>
    <row r="35">
      <c r="A35" s="14" t="s">
        <v>44</v>
      </c>
      <c r="C35" s="38" t="s">
        <v>130</v>
      </c>
      <c r="D35" s="38" t="s">
        <v>895</v>
      </c>
      <c r="E35" s="51" t="s">
        <v>53</v>
      </c>
      <c r="F35" s="92"/>
      <c r="G35" s="85" t="s">
        <v>515</v>
      </c>
      <c r="H35" s="85" t="s">
        <v>897</v>
      </c>
      <c r="I35" s="85" t="s">
        <v>600</v>
      </c>
      <c r="J35" s="85" t="s">
        <v>519</v>
      </c>
      <c r="K35" s="85" t="s">
        <v>519</v>
      </c>
      <c r="M35" s="93" t="s">
        <v>898</v>
      </c>
      <c r="N35" s="88" t="str">
        <f t="shared" si="1"/>
        <v>ktownsend@azleg.gov</v>
      </c>
      <c r="O35" s="89"/>
      <c r="P35" s="89"/>
      <c r="Q35" s="89"/>
      <c r="R35" s="89"/>
      <c r="S35" s="91" t="s">
        <v>899</v>
      </c>
    </row>
    <row r="36">
      <c r="A36" s="14" t="s">
        <v>44</v>
      </c>
      <c r="B36" s="82">
        <v>17.0</v>
      </c>
      <c r="C36" s="38" t="s">
        <v>683</v>
      </c>
      <c r="D36" s="38" t="s">
        <v>910</v>
      </c>
      <c r="E36" s="98" t="s">
        <v>53</v>
      </c>
      <c r="F36" s="92"/>
      <c r="G36" s="85" t="s">
        <v>911</v>
      </c>
      <c r="H36" s="85" t="s">
        <v>912</v>
      </c>
      <c r="I36" s="85" t="s">
        <v>537</v>
      </c>
      <c r="J36" s="85" t="s">
        <v>519</v>
      </c>
      <c r="M36" s="93" t="s">
        <v>913</v>
      </c>
      <c r="N36" s="88" t="str">
        <f t="shared" si="1"/>
        <v>jweninger@azleg.gov</v>
      </c>
      <c r="O36" s="89"/>
      <c r="P36" s="89"/>
      <c r="Q36" s="89"/>
      <c r="R36" s="89"/>
      <c r="S36" s="91" t="s">
        <v>914</v>
      </c>
    </row>
    <row r="37">
      <c r="A37" s="14" t="s">
        <v>44</v>
      </c>
      <c r="C37" s="38" t="s">
        <v>191</v>
      </c>
      <c r="D37" s="38" t="s">
        <v>917</v>
      </c>
      <c r="E37" s="100" t="s">
        <v>49</v>
      </c>
      <c r="F37" s="92"/>
      <c r="G37" s="85" t="s">
        <v>515</v>
      </c>
      <c r="H37" s="85" t="s">
        <v>781</v>
      </c>
      <c r="I37" s="85" t="s">
        <v>519</v>
      </c>
      <c r="J37" s="85" t="s">
        <v>519</v>
      </c>
      <c r="K37" s="85" t="s">
        <v>519</v>
      </c>
      <c r="M37" s="93" t="s">
        <v>918</v>
      </c>
      <c r="N37" s="88" t="str">
        <f t="shared" si="1"/>
        <v>jpawlik@azleg.gov</v>
      </c>
      <c r="O37" s="89"/>
      <c r="P37" s="89"/>
      <c r="Q37" s="89"/>
      <c r="R37" s="89"/>
      <c r="S37" s="91" t="s">
        <v>914</v>
      </c>
    </row>
    <row r="38">
      <c r="A38" s="14" t="s">
        <v>44</v>
      </c>
      <c r="B38" s="82">
        <v>18.0</v>
      </c>
      <c r="C38" s="38" t="s">
        <v>191</v>
      </c>
      <c r="D38" s="38" t="s">
        <v>923</v>
      </c>
      <c r="E38" s="100" t="s">
        <v>49</v>
      </c>
      <c r="F38" s="117"/>
      <c r="G38" s="85" t="s">
        <v>641</v>
      </c>
      <c r="H38" s="85" t="s">
        <v>518</v>
      </c>
      <c r="I38" s="85" t="s">
        <v>519</v>
      </c>
      <c r="J38" s="85" t="s">
        <v>519</v>
      </c>
      <c r="K38" s="85" t="s">
        <v>519</v>
      </c>
      <c r="M38" s="93" t="s">
        <v>928</v>
      </c>
      <c r="N38" s="88" t="str">
        <f t="shared" si="1"/>
        <v>jjermaine@azleg.gov</v>
      </c>
      <c r="O38" s="89"/>
      <c r="P38" s="89"/>
      <c r="Q38" s="89"/>
      <c r="R38" s="89"/>
      <c r="S38" s="91" t="s">
        <v>929</v>
      </c>
    </row>
    <row r="39">
      <c r="A39" s="14" t="s">
        <v>44</v>
      </c>
      <c r="C39" s="38" t="s">
        <v>932</v>
      </c>
      <c r="D39" s="38" t="s">
        <v>935</v>
      </c>
      <c r="E39" s="100" t="s">
        <v>49</v>
      </c>
      <c r="F39" s="120"/>
      <c r="G39" s="85" t="s">
        <v>535</v>
      </c>
      <c r="H39" s="85" t="s">
        <v>652</v>
      </c>
      <c r="I39" s="85" t="s">
        <v>936</v>
      </c>
      <c r="J39" s="85" t="s">
        <v>519</v>
      </c>
      <c r="K39" s="85" t="s">
        <v>519</v>
      </c>
      <c r="M39" s="93" t="s">
        <v>937</v>
      </c>
      <c r="N39" s="88" t="str">
        <f t="shared" si="1"/>
        <v>depstein@azleg.gov</v>
      </c>
      <c r="O39" s="89"/>
      <c r="P39" s="89"/>
      <c r="Q39" s="89"/>
      <c r="R39" s="89"/>
      <c r="S39" s="91" t="s">
        <v>914</v>
      </c>
    </row>
    <row r="40">
      <c r="A40" s="14" t="s">
        <v>44</v>
      </c>
      <c r="B40" s="82">
        <v>19.0</v>
      </c>
      <c r="C40" s="38" t="s">
        <v>941</v>
      </c>
      <c r="D40" s="38" t="s">
        <v>942</v>
      </c>
      <c r="E40" s="100" t="s">
        <v>49</v>
      </c>
      <c r="F40" s="92"/>
      <c r="G40" s="85" t="s">
        <v>943</v>
      </c>
      <c r="H40" s="85" t="s">
        <v>626</v>
      </c>
      <c r="I40" s="85" t="s">
        <v>945</v>
      </c>
      <c r="M40" s="93" t="s">
        <v>946</v>
      </c>
      <c r="N40" s="88" t="str">
        <f t="shared" si="1"/>
        <v>despinoza@azleg.gov</v>
      </c>
      <c r="O40" s="89"/>
      <c r="P40" s="89"/>
      <c r="Q40" s="89"/>
      <c r="R40" s="89"/>
      <c r="S40" s="91" t="s">
        <v>948</v>
      </c>
    </row>
    <row r="41">
      <c r="A41" s="14" t="s">
        <v>44</v>
      </c>
      <c r="C41" s="38" t="s">
        <v>951</v>
      </c>
      <c r="D41" s="38" t="s">
        <v>952</v>
      </c>
      <c r="E41" s="100" t="s">
        <v>49</v>
      </c>
      <c r="F41" s="84"/>
      <c r="G41" s="85" t="s">
        <v>592</v>
      </c>
      <c r="H41" s="85" t="s">
        <v>518</v>
      </c>
      <c r="I41" s="85" t="s">
        <v>519</v>
      </c>
      <c r="J41" s="85" t="s">
        <v>519</v>
      </c>
      <c r="K41" s="85" t="s">
        <v>519</v>
      </c>
      <c r="M41" s="93" t="s">
        <v>953</v>
      </c>
      <c r="N41" s="88" t="str">
        <f t="shared" si="1"/>
        <v>lsierra@azleg.gov</v>
      </c>
      <c r="O41" s="89"/>
      <c r="P41" s="89"/>
      <c r="Q41" s="89"/>
      <c r="R41" s="89"/>
      <c r="S41" s="91" t="s">
        <v>929</v>
      </c>
    </row>
    <row r="42">
      <c r="A42" s="14" t="s">
        <v>44</v>
      </c>
      <c r="B42" s="82">
        <v>20.0</v>
      </c>
      <c r="C42" s="38" t="s">
        <v>496</v>
      </c>
      <c r="D42" s="38" t="s">
        <v>956</v>
      </c>
      <c r="E42" s="51" t="s">
        <v>53</v>
      </c>
      <c r="F42" s="84"/>
      <c r="G42" s="85" t="s">
        <v>957</v>
      </c>
      <c r="H42" s="85" t="s">
        <v>652</v>
      </c>
      <c r="I42" s="85" t="s">
        <v>958</v>
      </c>
      <c r="J42" s="85" t="s">
        <v>626</v>
      </c>
      <c r="K42" s="85" t="s">
        <v>519</v>
      </c>
      <c r="M42" s="93" t="s">
        <v>959</v>
      </c>
      <c r="N42" s="88" t="str">
        <f t="shared" si="1"/>
        <v>akern@azleg.gov</v>
      </c>
      <c r="O42" s="89"/>
      <c r="P42" s="89"/>
      <c r="Q42" s="89"/>
      <c r="R42" s="89"/>
      <c r="S42" s="91" t="s">
        <v>929</v>
      </c>
    </row>
    <row r="43">
      <c r="A43" s="14" t="s">
        <v>44</v>
      </c>
      <c r="C43" s="38" t="s">
        <v>962</v>
      </c>
      <c r="D43" s="38" t="s">
        <v>963</v>
      </c>
      <c r="E43" s="51" t="s">
        <v>53</v>
      </c>
      <c r="F43" s="84"/>
      <c r="G43" s="85" t="s">
        <v>688</v>
      </c>
      <c r="H43" s="85" t="s">
        <v>964</v>
      </c>
      <c r="I43" s="85" t="s">
        <v>600</v>
      </c>
      <c r="J43" s="85" t="s">
        <v>519</v>
      </c>
      <c r="K43" s="85" t="s">
        <v>519</v>
      </c>
      <c r="M43" s="93" t="s">
        <v>965</v>
      </c>
      <c r="N43" s="88" t="str">
        <f t="shared" si="1"/>
        <v>sbolick@azleg.gov</v>
      </c>
      <c r="O43" s="89"/>
      <c r="P43" s="89"/>
      <c r="Q43" s="89"/>
      <c r="R43" s="89"/>
      <c r="S43" s="91" t="s">
        <v>967</v>
      </c>
    </row>
    <row r="44">
      <c r="A44" s="14" t="s">
        <v>44</v>
      </c>
      <c r="B44" s="82">
        <v>21.0</v>
      </c>
      <c r="C44" s="38" t="s">
        <v>971</v>
      </c>
      <c r="D44" s="38" t="s">
        <v>973</v>
      </c>
      <c r="E44" s="51" t="s">
        <v>53</v>
      </c>
      <c r="F44" s="92"/>
      <c r="G44" s="85" t="s">
        <v>974</v>
      </c>
      <c r="H44" s="85" t="s">
        <v>578</v>
      </c>
      <c r="I44" s="85" t="s">
        <v>518</v>
      </c>
      <c r="J44" s="85" t="s">
        <v>519</v>
      </c>
      <c r="K44" s="85" t="s">
        <v>519</v>
      </c>
      <c r="M44" s="93" t="s">
        <v>975</v>
      </c>
      <c r="N44" s="88" t="str">
        <f t="shared" si="1"/>
        <v>kpayne@azleg.gov</v>
      </c>
      <c r="O44" s="89"/>
      <c r="P44" s="89"/>
      <c r="Q44" s="89"/>
      <c r="R44" s="89"/>
      <c r="S44" s="91" t="s">
        <v>977</v>
      </c>
    </row>
    <row r="45">
      <c r="A45" s="14" t="s">
        <v>44</v>
      </c>
      <c r="C45" s="38" t="s">
        <v>980</v>
      </c>
      <c r="D45" s="38" t="s">
        <v>982</v>
      </c>
      <c r="E45" s="51" t="s">
        <v>53</v>
      </c>
      <c r="F45" s="117"/>
      <c r="G45" s="85" t="s">
        <v>641</v>
      </c>
      <c r="H45" s="85" t="s">
        <v>984</v>
      </c>
      <c r="J45" s="85" t="s">
        <v>519</v>
      </c>
      <c r="K45" s="85" t="s">
        <v>519</v>
      </c>
      <c r="M45" s="93" t="s">
        <v>985</v>
      </c>
      <c r="N45" s="88" t="str">
        <f t="shared" si="1"/>
        <v>trivero@azleg.gov</v>
      </c>
      <c r="O45" s="89"/>
      <c r="P45" s="89"/>
      <c r="Q45" s="89"/>
      <c r="R45" s="89"/>
      <c r="S45" s="91" t="s">
        <v>967</v>
      </c>
    </row>
    <row r="46">
      <c r="A46" s="14" t="s">
        <v>44</v>
      </c>
      <c r="B46" s="82">
        <v>22.0</v>
      </c>
      <c r="C46" s="38" t="s">
        <v>195</v>
      </c>
      <c r="D46" s="38" t="s">
        <v>992</v>
      </c>
      <c r="E46" s="51" t="s">
        <v>53</v>
      </c>
      <c r="F46" s="92"/>
      <c r="G46" s="85" t="s">
        <v>993</v>
      </c>
      <c r="H46" s="85" t="s">
        <v>641</v>
      </c>
      <c r="I46" s="85" t="s">
        <v>994</v>
      </c>
      <c r="J46" s="85" t="s">
        <v>626</v>
      </c>
      <c r="K46" s="85" t="s">
        <v>519</v>
      </c>
      <c r="M46" s="93" t="s">
        <v>995</v>
      </c>
      <c r="N46" s="88" t="str">
        <f t="shared" si="1"/>
        <v>btoma@azleg.gov</v>
      </c>
      <c r="O46" s="89"/>
      <c r="P46" s="89"/>
      <c r="Q46" s="89"/>
      <c r="R46" s="89"/>
      <c r="S46" s="91" t="s">
        <v>996</v>
      </c>
    </row>
    <row r="47">
      <c r="A47" s="14" t="s">
        <v>44</v>
      </c>
      <c r="C47" s="38" t="s">
        <v>1000</v>
      </c>
      <c r="D47" s="38" t="s">
        <v>1002</v>
      </c>
      <c r="E47" s="98" t="s">
        <v>53</v>
      </c>
      <c r="F47" s="84"/>
      <c r="G47" s="85" t="s">
        <v>515</v>
      </c>
      <c r="H47" s="85" t="s">
        <v>1003</v>
      </c>
      <c r="I47" s="85" t="s">
        <v>653</v>
      </c>
      <c r="J47" s="85" t="s">
        <v>564</v>
      </c>
      <c r="K47" s="85" t="s">
        <v>519</v>
      </c>
      <c r="M47" s="93" t="s">
        <v>1005</v>
      </c>
      <c r="N47" s="88" t="str">
        <f t="shared" si="1"/>
        <v>fcarroll@azleg.gov</v>
      </c>
      <c r="O47" s="89"/>
      <c r="P47" s="89"/>
      <c r="Q47" s="89"/>
      <c r="R47" s="89"/>
      <c r="S47" s="91" t="s">
        <v>996</v>
      </c>
    </row>
    <row r="48">
      <c r="A48" s="14" t="s">
        <v>44</v>
      </c>
      <c r="B48" s="82">
        <v>23.0</v>
      </c>
      <c r="C48" s="38" t="s">
        <v>1013</v>
      </c>
      <c r="D48" s="38" t="s">
        <v>572</v>
      </c>
      <c r="E48" s="98" t="s">
        <v>53</v>
      </c>
      <c r="F48" s="92"/>
      <c r="G48" s="85" t="s">
        <v>1015</v>
      </c>
      <c r="H48" s="85" t="s">
        <v>781</v>
      </c>
      <c r="I48" s="85" t="s">
        <v>1016</v>
      </c>
      <c r="J48" s="85" t="s">
        <v>519</v>
      </c>
      <c r="K48" s="85" t="s">
        <v>519</v>
      </c>
      <c r="M48" s="93" t="s">
        <v>1017</v>
      </c>
      <c r="N48" s="88" t="str">
        <f t="shared" si="1"/>
        <v>jlawrence@azleg.gov</v>
      </c>
      <c r="O48" s="89"/>
      <c r="P48" s="89"/>
      <c r="Q48" s="89"/>
      <c r="R48" s="89"/>
      <c r="S48" s="91" t="s">
        <v>1018</v>
      </c>
    </row>
    <row r="49">
      <c r="A49" s="14" t="s">
        <v>44</v>
      </c>
      <c r="C49" s="38" t="s">
        <v>278</v>
      </c>
      <c r="D49" s="38" t="s">
        <v>1023</v>
      </c>
      <c r="E49" s="51" t="s">
        <v>53</v>
      </c>
      <c r="F49" s="117"/>
      <c r="G49" s="85" t="s">
        <v>732</v>
      </c>
      <c r="H49" s="85" t="s">
        <v>1024</v>
      </c>
      <c r="I49" s="85" t="s">
        <v>518</v>
      </c>
      <c r="J49" s="85" t="s">
        <v>519</v>
      </c>
      <c r="K49" s="85" t="s">
        <v>519</v>
      </c>
      <c r="M49" s="93" t="s">
        <v>1025</v>
      </c>
      <c r="N49" s="88" t="str">
        <f t="shared" si="1"/>
        <v>jkavanagh@azleg.gov</v>
      </c>
      <c r="O49" s="89"/>
      <c r="P49" s="89"/>
      <c r="Q49" s="89"/>
      <c r="R49" s="89"/>
      <c r="S49" s="91" t="s">
        <v>879</v>
      </c>
    </row>
    <row r="50">
      <c r="A50" s="14" t="s">
        <v>44</v>
      </c>
      <c r="B50" s="82">
        <v>24.0</v>
      </c>
      <c r="C50" s="38" t="s">
        <v>191</v>
      </c>
      <c r="D50" s="38" t="s">
        <v>1033</v>
      </c>
      <c r="E50" s="98" t="s">
        <v>53</v>
      </c>
      <c r="F50" s="84"/>
      <c r="G50" s="85" t="s">
        <v>591</v>
      </c>
      <c r="H50" s="85" t="s">
        <v>732</v>
      </c>
      <c r="I50" s="85" t="s">
        <v>519</v>
      </c>
      <c r="J50" s="85" t="s">
        <v>519</v>
      </c>
      <c r="K50" s="85" t="s">
        <v>519</v>
      </c>
      <c r="M50" s="93" t="s">
        <v>1034</v>
      </c>
      <c r="N50" s="88" t="str">
        <f t="shared" si="1"/>
        <v>jlongdon@azleg.gov</v>
      </c>
      <c r="O50" s="89"/>
      <c r="P50" s="89"/>
      <c r="Q50" s="89"/>
      <c r="R50" s="89"/>
      <c r="S50" s="91" t="s">
        <v>929</v>
      </c>
    </row>
    <row r="51">
      <c r="A51" s="14" t="s">
        <v>44</v>
      </c>
      <c r="C51" s="38" t="s">
        <v>1036</v>
      </c>
      <c r="D51" s="38" t="s">
        <v>1037</v>
      </c>
      <c r="E51" s="36" t="s">
        <v>49</v>
      </c>
      <c r="F51" s="92"/>
      <c r="G51" s="85" t="s">
        <v>671</v>
      </c>
      <c r="H51" s="85" t="s">
        <v>601</v>
      </c>
      <c r="I51" s="85" t="s">
        <v>519</v>
      </c>
      <c r="J51" s="85" t="s">
        <v>519</v>
      </c>
      <c r="K51" s="85" t="s">
        <v>519</v>
      </c>
      <c r="M51" s="93" t="s">
        <v>1038</v>
      </c>
      <c r="N51" s="88" t="str">
        <f t="shared" si="1"/>
        <v>ashah@azleg.gov</v>
      </c>
      <c r="O51" s="89"/>
      <c r="P51" s="89"/>
      <c r="Q51" s="89"/>
      <c r="R51" s="89"/>
      <c r="S51" s="91" t="s">
        <v>929</v>
      </c>
    </row>
    <row r="52">
      <c r="A52" s="14" t="s">
        <v>44</v>
      </c>
      <c r="B52" s="82">
        <v>25.0</v>
      </c>
      <c r="C52" s="38" t="s">
        <v>22</v>
      </c>
      <c r="D52" s="38" t="s">
        <v>1045</v>
      </c>
      <c r="E52" s="51" t="s">
        <v>53</v>
      </c>
      <c r="F52" s="92"/>
      <c r="G52" s="85" t="s">
        <v>1047</v>
      </c>
      <c r="H52" s="85" t="s">
        <v>591</v>
      </c>
      <c r="I52" s="85" t="s">
        <v>626</v>
      </c>
      <c r="K52" s="85" t="s">
        <v>519</v>
      </c>
      <c r="M52" s="93" t="s">
        <v>1048</v>
      </c>
      <c r="N52" s="88" t="str">
        <f t="shared" si="1"/>
        <v>mudall@azleg.gov</v>
      </c>
      <c r="O52" s="89"/>
      <c r="P52" s="89"/>
      <c r="Q52" s="89"/>
      <c r="R52" s="89"/>
      <c r="S52" s="91" t="s">
        <v>899</v>
      </c>
    </row>
    <row r="53">
      <c r="A53" s="14" t="s">
        <v>44</v>
      </c>
      <c r="C53" s="38" t="s">
        <v>1054</v>
      </c>
      <c r="D53" s="38" t="s">
        <v>1055</v>
      </c>
      <c r="E53" s="51" t="s">
        <v>53</v>
      </c>
      <c r="F53" s="84" t="s">
        <v>1056</v>
      </c>
      <c r="G53" s="85" t="s">
        <v>780</v>
      </c>
      <c r="H53" s="85" t="s">
        <v>519</v>
      </c>
      <c r="I53" s="85" t="s">
        <v>519</v>
      </c>
      <c r="J53" s="85" t="s">
        <v>519</v>
      </c>
      <c r="K53" s="85" t="s">
        <v>519</v>
      </c>
      <c r="M53" s="93" t="s">
        <v>1057</v>
      </c>
      <c r="N53" s="88" t="str">
        <f t="shared" si="1"/>
        <v>rbowers@azleg.gov</v>
      </c>
      <c r="O53" s="89"/>
      <c r="P53" s="89"/>
      <c r="Q53" s="89"/>
      <c r="R53" s="89"/>
      <c r="S53" s="91" t="s">
        <v>899</v>
      </c>
    </row>
    <row r="54">
      <c r="A54" s="14" t="s">
        <v>44</v>
      </c>
      <c r="B54" s="82">
        <v>26.0</v>
      </c>
      <c r="C54" s="38" t="s">
        <v>1063</v>
      </c>
      <c r="D54" s="38" t="s">
        <v>1066</v>
      </c>
      <c r="E54" s="36" t="s">
        <v>49</v>
      </c>
      <c r="F54" s="92"/>
      <c r="G54" s="85" t="s">
        <v>515</v>
      </c>
      <c r="H54" s="85" t="s">
        <v>1067</v>
      </c>
      <c r="I54" s="85" t="s">
        <v>518</v>
      </c>
      <c r="J54" s="85" t="s">
        <v>519</v>
      </c>
      <c r="K54" s="85" t="s">
        <v>519</v>
      </c>
      <c r="M54" s="93" t="s">
        <v>1068</v>
      </c>
      <c r="N54" s="88" t="str">
        <f t="shared" si="1"/>
        <v>iblanc@azleg.gov</v>
      </c>
      <c r="O54" s="89"/>
      <c r="P54" s="89"/>
      <c r="Q54" s="89"/>
      <c r="R54" s="89"/>
      <c r="S54" s="91" t="s">
        <v>1069</v>
      </c>
    </row>
    <row r="55">
      <c r="A55" s="14" t="s">
        <v>44</v>
      </c>
      <c r="C55" s="38" t="s">
        <v>1072</v>
      </c>
      <c r="D55" s="38" t="s">
        <v>1075</v>
      </c>
      <c r="E55" s="36" t="s">
        <v>49</v>
      </c>
      <c r="F55" s="92"/>
      <c r="G55" s="85" t="s">
        <v>780</v>
      </c>
      <c r="H55" s="85" t="s">
        <v>1076</v>
      </c>
      <c r="I55" s="85" t="s">
        <v>746</v>
      </c>
      <c r="K55" s="85" t="s">
        <v>519</v>
      </c>
      <c r="M55" s="93" t="s">
        <v>1077</v>
      </c>
      <c r="N55" s="88" t="str">
        <f t="shared" si="1"/>
        <v>asalman@azleg.gov</v>
      </c>
      <c r="O55" s="89"/>
      <c r="P55" s="89"/>
      <c r="Q55" s="89"/>
      <c r="R55" s="89"/>
      <c r="S55" s="91" t="s">
        <v>1069</v>
      </c>
    </row>
    <row r="56">
      <c r="A56" s="14" t="s">
        <v>44</v>
      </c>
      <c r="B56" s="82">
        <v>27.0</v>
      </c>
      <c r="C56" s="38" t="s">
        <v>1085</v>
      </c>
      <c r="D56" s="38" t="s">
        <v>1086</v>
      </c>
      <c r="E56" s="36" t="s">
        <v>49</v>
      </c>
      <c r="F56" s="92"/>
      <c r="G56" s="85" t="s">
        <v>1087</v>
      </c>
      <c r="H56" s="85" t="s">
        <v>600</v>
      </c>
      <c r="I56" s="85" t="s">
        <v>746</v>
      </c>
      <c r="J56" s="85" t="s">
        <v>519</v>
      </c>
      <c r="K56" s="85" t="s">
        <v>519</v>
      </c>
      <c r="M56" s="93" t="s">
        <v>1088</v>
      </c>
      <c r="N56" s="88" t="str">
        <f t="shared" si="1"/>
        <v>rbolding@azleg.gov</v>
      </c>
      <c r="O56" s="89"/>
      <c r="P56" s="89"/>
      <c r="Q56" s="89"/>
      <c r="R56" s="89"/>
      <c r="S56" s="91" t="s">
        <v>929</v>
      </c>
    </row>
    <row r="57">
      <c r="A57" s="14" t="s">
        <v>44</v>
      </c>
      <c r="C57" s="38" t="s">
        <v>941</v>
      </c>
      <c r="D57" s="38" t="s">
        <v>1094</v>
      </c>
      <c r="E57" s="36" t="s">
        <v>49</v>
      </c>
      <c r="F57" s="92"/>
      <c r="G57" s="85" t="s">
        <v>688</v>
      </c>
      <c r="H57" s="85" t="s">
        <v>781</v>
      </c>
      <c r="J57" s="85" t="s">
        <v>519</v>
      </c>
      <c r="K57" s="85" t="s">
        <v>519</v>
      </c>
      <c r="M57" s="93" t="s">
        <v>1095</v>
      </c>
      <c r="N57" s="88" t="str">
        <f t="shared" si="1"/>
        <v>drodriguez@azleg.gov</v>
      </c>
      <c r="O57" s="89"/>
      <c r="P57" s="89"/>
      <c r="Q57" s="89"/>
      <c r="R57" s="89"/>
      <c r="S57" s="91" t="s">
        <v>929</v>
      </c>
    </row>
    <row r="58">
      <c r="A58" s="14" t="s">
        <v>44</v>
      </c>
      <c r="B58" s="82">
        <v>28.0</v>
      </c>
      <c r="C58" s="38" t="s">
        <v>1101</v>
      </c>
      <c r="D58" s="38" t="s">
        <v>1102</v>
      </c>
      <c r="E58" s="100" t="s">
        <v>49</v>
      </c>
      <c r="F58" s="84"/>
      <c r="G58" s="85" t="s">
        <v>652</v>
      </c>
      <c r="H58" s="85" t="s">
        <v>653</v>
      </c>
      <c r="I58" s="85" t="s">
        <v>1103</v>
      </c>
      <c r="J58" s="85" t="s">
        <v>519</v>
      </c>
      <c r="K58" s="85" t="s">
        <v>519</v>
      </c>
      <c r="M58" s="93" t="s">
        <v>1104</v>
      </c>
      <c r="N58" s="88" t="str">
        <f t="shared" si="1"/>
        <v>kbutler@azleg.gov</v>
      </c>
      <c r="O58" s="89"/>
      <c r="P58" s="89"/>
      <c r="Q58" s="89"/>
      <c r="R58" s="89"/>
      <c r="S58" s="91" t="s">
        <v>929</v>
      </c>
    </row>
    <row r="59">
      <c r="A59" s="14" t="s">
        <v>44</v>
      </c>
      <c r="C59" s="38" t="s">
        <v>1107</v>
      </c>
      <c r="D59" s="38" t="s">
        <v>1108</v>
      </c>
      <c r="E59" s="36" t="s">
        <v>49</v>
      </c>
      <c r="F59" s="92"/>
      <c r="G59" s="85" t="s">
        <v>515</v>
      </c>
      <c r="H59" s="85" t="s">
        <v>626</v>
      </c>
      <c r="I59" s="85" t="s">
        <v>519</v>
      </c>
      <c r="J59" s="85" t="s">
        <v>519</v>
      </c>
      <c r="K59" s="85" t="s">
        <v>519</v>
      </c>
      <c r="M59" s="93" t="s">
        <v>1109</v>
      </c>
      <c r="N59" s="88" t="str">
        <f t="shared" si="1"/>
        <v>alieberman@azleg.gov</v>
      </c>
      <c r="O59" s="89"/>
      <c r="P59" s="89"/>
      <c r="Q59" s="89"/>
      <c r="R59" s="89"/>
      <c r="S59" s="91" t="s">
        <v>1110</v>
      </c>
    </row>
    <row r="60">
      <c r="A60" s="14" t="s">
        <v>44</v>
      </c>
      <c r="B60" s="82">
        <v>29.0</v>
      </c>
      <c r="C60" s="38" t="s">
        <v>1112</v>
      </c>
      <c r="D60" s="38" t="s">
        <v>1116</v>
      </c>
      <c r="E60" s="36" t="s">
        <v>49</v>
      </c>
      <c r="F60" s="92"/>
      <c r="G60" s="85" t="s">
        <v>1117</v>
      </c>
      <c r="H60" s="85" t="s">
        <v>732</v>
      </c>
      <c r="I60" s="85" t="s">
        <v>1118</v>
      </c>
      <c r="J60" s="85" t="s">
        <v>519</v>
      </c>
      <c r="K60" s="85" t="s">
        <v>519</v>
      </c>
      <c r="M60" s="93" t="s">
        <v>1119</v>
      </c>
      <c r="N60" s="88" t="str">
        <f t="shared" si="1"/>
        <v>randrade@azleg.gov</v>
      </c>
      <c r="O60" s="89"/>
      <c r="P60" s="89"/>
      <c r="Q60" s="89"/>
      <c r="R60" s="89"/>
      <c r="S60" s="91" t="s">
        <v>929</v>
      </c>
    </row>
    <row r="61">
      <c r="A61" s="14" t="s">
        <v>44</v>
      </c>
      <c r="C61" s="38" t="s">
        <v>1122</v>
      </c>
      <c r="D61" s="38" t="s">
        <v>1123</v>
      </c>
      <c r="E61" s="36" t="s">
        <v>49</v>
      </c>
      <c r="F61" s="92"/>
      <c r="G61" s="85" t="s">
        <v>1124</v>
      </c>
      <c r="H61" s="85" t="s">
        <v>653</v>
      </c>
      <c r="I61" s="85" t="s">
        <v>719</v>
      </c>
      <c r="J61" s="85" t="s">
        <v>519</v>
      </c>
      <c r="K61" s="85" t="s">
        <v>519</v>
      </c>
      <c r="M61" s="93" t="s">
        <v>1126</v>
      </c>
      <c r="N61" s="88" t="str">
        <f t="shared" si="1"/>
        <v>cchavez@azleg.gov</v>
      </c>
      <c r="O61" s="89"/>
      <c r="P61" s="89"/>
      <c r="Q61" s="89"/>
      <c r="R61" s="89"/>
      <c r="S61" s="91" t="s">
        <v>929</v>
      </c>
    </row>
    <row r="62">
      <c r="A62" s="14" t="s">
        <v>44</v>
      </c>
      <c r="B62" s="82">
        <v>30.0</v>
      </c>
      <c r="C62" s="38" t="s">
        <v>1134</v>
      </c>
      <c r="D62" s="38" t="s">
        <v>1135</v>
      </c>
      <c r="E62" s="36" t="s">
        <v>49</v>
      </c>
      <c r="F62" s="92"/>
      <c r="G62" s="85" t="s">
        <v>652</v>
      </c>
      <c r="H62" s="85" t="s">
        <v>1136</v>
      </c>
      <c r="I62" s="85" t="s">
        <v>1137</v>
      </c>
      <c r="J62" s="85" t="s">
        <v>519</v>
      </c>
      <c r="K62" s="85" t="s">
        <v>519</v>
      </c>
      <c r="M62" s="93" t="s">
        <v>1138</v>
      </c>
      <c r="N62" s="88" t="str">
        <f t="shared" si="1"/>
        <v>rmeza@azleg.gov</v>
      </c>
      <c r="O62" s="89"/>
      <c r="P62" s="89"/>
      <c r="Q62" s="89"/>
      <c r="R62" s="89"/>
      <c r="S62" s="91" t="s">
        <v>967</v>
      </c>
    </row>
    <row r="63">
      <c r="A63" s="14" t="s">
        <v>44</v>
      </c>
      <c r="C63" s="38" t="s">
        <v>1147</v>
      </c>
      <c r="D63" s="38" t="s">
        <v>1148</v>
      </c>
      <c r="E63" s="36" t="s">
        <v>49</v>
      </c>
      <c r="F63" s="92"/>
      <c r="G63" s="85" t="s">
        <v>671</v>
      </c>
      <c r="H63" s="85" t="s">
        <v>688</v>
      </c>
      <c r="I63" s="85" t="s">
        <v>537</v>
      </c>
      <c r="J63" s="85" t="s">
        <v>746</v>
      </c>
      <c r="M63" s="93" t="s">
        <v>1149</v>
      </c>
      <c r="N63" s="88" t="str">
        <f t="shared" si="1"/>
        <v>rteran@azleg.gov</v>
      </c>
      <c r="O63" s="89"/>
      <c r="P63" s="89"/>
      <c r="Q63" s="89"/>
      <c r="R63" s="89"/>
      <c r="S63" s="91" t="s">
        <v>929</v>
      </c>
    </row>
    <row r="64">
      <c r="A64" s="70"/>
      <c r="B64" s="141"/>
      <c r="C64" s="142"/>
      <c r="D64" s="142"/>
      <c r="E64" s="70"/>
      <c r="F64" s="143"/>
      <c r="G64" s="128"/>
      <c r="H64" s="128"/>
      <c r="I64" s="128"/>
      <c r="J64" s="128"/>
      <c r="K64" s="128"/>
      <c r="L64" s="70"/>
      <c r="M64" s="70"/>
      <c r="N64" s="70"/>
      <c r="O64" s="70"/>
      <c r="P64" s="70"/>
      <c r="Q64" s="70"/>
      <c r="R64" s="70"/>
      <c r="S64" s="70"/>
      <c r="T64" s="70"/>
      <c r="U64" s="70"/>
      <c r="V64" s="70"/>
      <c r="W64" s="70"/>
      <c r="X64" s="70"/>
      <c r="Y64" s="70"/>
      <c r="Z64" s="70"/>
      <c r="AA64" s="70"/>
      <c r="AB64" s="70"/>
      <c r="AC64" s="70"/>
      <c r="AD64" s="70"/>
      <c r="AE64" s="70"/>
    </row>
    <row r="65">
      <c r="A65" s="14" t="s">
        <v>286</v>
      </c>
      <c r="B65" s="144">
        <v>1.0</v>
      </c>
      <c r="C65" s="38" t="s">
        <v>1153</v>
      </c>
      <c r="D65" s="38" t="s">
        <v>1155</v>
      </c>
      <c r="E65" s="51" t="s">
        <v>53</v>
      </c>
      <c r="F65" s="84" t="s">
        <v>1156</v>
      </c>
      <c r="G65" s="85" t="s">
        <v>957</v>
      </c>
      <c r="H65" s="85" t="s">
        <v>519</v>
      </c>
      <c r="I65" s="85" t="s">
        <v>519</v>
      </c>
      <c r="J65" s="85" t="s">
        <v>519</v>
      </c>
      <c r="K65" s="85" t="s">
        <v>519</v>
      </c>
      <c r="M65" s="145" t="s">
        <v>1157</v>
      </c>
      <c r="N65" s="88" t="str">
        <f t="shared" ref="N65:N94" si="2">Concatenate(Lower(Left(C65,1)),Lower(substitute(D65," ","")),"@azleg.gov")</f>
        <v>kfann@azleg.gov</v>
      </c>
      <c r="O65" s="89"/>
      <c r="P65" s="89"/>
      <c r="Q65" s="89"/>
      <c r="R65" s="89"/>
      <c r="S65" s="91" t="s">
        <v>523</v>
      </c>
    </row>
    <row r="66">
      <c r="A66" s="14" t="s">
        <v>286</v>
      </c>
      <c r="B66" s="144">
        <v>2.0</v>
      </c>
      <c r="C66" s="38" t="s">
        <v>1162</v>
      </c>
      <c r="D66" s="38" t="s">
        <v>1164</v>
      </c>
      <c r="E66" s="36" t="s">
        <v>49</v>
      </c>
      <c r="F66" s="84"/>
      <c r="G66" s="85" t="s">
        <v>515</v>
      </c>
      <c r="H66" s="85" t="s">
        <v>1165</v>
      </c>
      <c r="I66" s="85" t="s">
        <v>781</v>
      </c>
      <c r="J66" s="85" t="s">
        <v>519</v>
      </c>
      <c r="K66" s="85" t="s">
        <v>519</v>
      </c>
      <c r="L66" s="85"/>
      <c r="M66" s="146" t="s">
        <v>1166</v>
      </c>
      <c r="N66" s="88" t="str">
        <f t="shared" si="2"/>
        <v>adalessandro@azleg.gov</v>
      </c>
      <c r="O66" s="89"/>
      <c r="P66" s="89"/>
      <c r="Q66" s="89"/>
      <c r="R66" s="89"/>
      <c r="S66" s="91" t="s">
        <v>1167</v>
      </c>
    </row>
    <row r="67">
      <c r="A67" s="14" t="s">
        <v>286</v>
      </c>
      <c r="B67" s="144">
        <v>3.0</v>
      </c>
      <c r="C67" s="38" t="s">
        <v>1172</v>
      </c>
      <c r="D67" s="38" t="s">
        <v>1151</v>
      </c>
      <c r="E67" s="36" t="s">
        <v>49</v>
      </c>
      <c r="F67" s="84"/>
      <c r="G67" s="147" t="s">
        <v>1173</v>
      </c>
      <c r="H67" s="85" t="s">
        <v>515</v>
      </c>
      <c r="I67" s="85" t="s">
        <v>652</v>
      </c>
      <c r="J67" s="85" t="s">
        <v>519</v>
      </c>
      <c r="M67" s="146" t="s">
        <v>1176</v>
      </c>
      <c r="N67" s="88" t="str">
        <f t="shared" si="2"/>
        <v>sgonzales@azleg.gov</v>
      </c>
      <c r="O67" s="89"/>
      <c r="P67" s="89"/>
      <c r="Q67" s="89"/>
      <c r="R67" s="89"/>
      <c r="S67" s="91" t="s">
        <v>566</v>
      </c>
    </row>
    <row r="68">
      <c r="A68" s="14" t="s">
        <v>286</v>
      </c>
      <c r="B68" s="144">
        <v>4.0</v>
      </c>
      <c r="C68" s="38" t="s">
        <v>432</v>
      </c>
      <c r="D68" s="38" t="s">
        <v>1178</v>
      </c>
      <c r="E68" s="36" t="s">
        <v>49</v>
      </c>
      <c r="F68" s="84" t="s">
        <v>1180</v>
      </c>
      <c r="G68" s="85" t="s">
        <v>626</v>
      </c>
      <c r="H68" s="85" t="s">
        <v>1181</v>
      </c>
      <c r="I68" s="85" t="s">
        <v>1182</v>
      </c>
      <c r="J68" s="85" t="s">
        <v>519</v>
      </c>
      <c r="K68" s="85" t="s">
        <v>519</v>
      </c>
      <c r="M68" s="145" t="s">
        <v>1183</v>
      </c>
      <c r="N68" s="88" t="str">
        <f t="shared" si="2"/>
        <v>lotondo@azleg.gov</v>
      </c>
      <c r="O68" s="89"/>
      <c r="P68" s="89"/>
      <c r="Q68" s="89"/>
      <c r="R68" s="89"/>
      <c r="S68" s="91" t="s">
        <v>632</v>
      </c>
    </row>
    <row r="69">
      <c r="A69" s="14" t="s">
        <v>286</v>
      </c>
      <c r="B69" s="144">
        <v>5.0</v>
      </c>
      <c r="C69" s="38" t="s">
        <v>1186</v>
      </c>
      <c r="D69" s="38" t="s">
        <v>1187</v>
      </c>
      <c r="E69" s="51" t="s">
        <v>53</v>
      </c>
      <c r="F69" s="84" t="s">
        <v>1188</v>
      </c>
      <c r="G69" s="85" t="s">
        <v>780</v>
      </c>
      <c r="H69" s="85" t="s">
        <v>1189</v>
      </c>
      <c r="I69" s="85" t="s">
        <v>1181</v>
      </c>
      <c r="J69" s="85" t="s">
        <v>781</v>
      </c>
      <c r="K69" s="85" t="s">
        <v>746</v>
      </c>
      <c r="M69" s="145" t="s">
        <v>1190</v>
      </c>
      <c r="N69" s="88" t="str">
        <f t="shared" si="2"/>
        <v>sborrelli@azleg.gov</v>
      </c>
      <c r="O69" s="89"/>
      <c r="P69" s="89"/>
      <c r="Q69" s="89"/>
      <c r="R69" s="89"/>
      <c r="S69" s="91" t="s">
        <v>656</v>
      </c>
    </row>
    <row r="70">
      <c r="A70" s="14" t="s">
        <v>286</v>
      </c>
      <c r="B70" s="144">
        <v>6.0</v>
      </c>
      <c r="C70" s="38" t="s">
        <v>1192</v>
      </c>
      <c r="D70" s="38" t="s">
        <v>241</v>
      </c>
      <c r="E70" s="51" t="s">
        <v>53</v>
      </c>
      <c r="F70" s="84"/>
      <c r="G70" s="85" t="s">
        <v>1047</v>
      </c>
      <c r="H70" s="85" t="s">
        <v>601</v>
      </c>
      <c r="I70" s="85" t="s">
        <v>1165</v>
      </c>
      <c r="J70" s="85" t="s">
        <v>1182</v>
      </c>
      <c r="K70" s="85" t="s">
        <v>519</v>
      </c>
      <c r="M70" s="145" t="s">
        <v>1194</v>
      </c>
      <c r="N70" s="88" t="str">
        <f t="shared" si="2"/>
        <v>sallen@azleg.gov</v>
      </c>
      <c r="O70" s="89"/>
      <c r="P70" s="89"/>
      <c r="Q70" s="89"/>
      <c r="R70" s="89"/>
      <c r="S70" s="91" t="s">
        <v>1195</v>
      </c>
    </row>
    <row r="71">
      <c r="A71" s="14" t="s">
        <v>286</v>
      </c>
      <c r="B71" s="144">
        <v>7.0</v>
      </c>
      <c r="C71" s="38" t="s">
        <v>1200</v>
      </c>
      <c r="D71" s="38" t="s">
        <v>1201</v>
      </c>
      <c r="E71" s="36" t="s">
        <v>49</v>
      </c>
      <c r="F71" s="84" t="s">
        <v>1180</v>
      </c>
      <c r="G71" s="147" t="s">
        <v>1173</v>
      </c>
      <c r="H71" s="85" t="s">
        <v>1181</v>
      </c>
      <c r="I71" s="85" t="s">
        <v>1165</v>
      </c>
      <c r="J71" s="85" t="s">
        <v>519</v>
      </c>
      <c r="K71" s="85" t="s">
        <v>519</v>
      </c>
      <c r="M71" s="145" t="s">
        <v>1203</v>
      </c>
      <c r="N71" s="88" t="str">
        <f t="shared" si="2"/>
        <v>jpeshlakai@azleg.gov</v>
      </c>
      <c r="O71" s="89"/>
      <c r="P71" s="89"/>
      <c r="Q71" s="89"/>
      <c r="R71" s="89"/>
      <c r="S71" s="91" t="s">
        <v>1204</v>
      </c>
    </row>
    <row r="72">
      <c r="A72" s="14" t="s">
        <v>286</v>
      </c>
      <c r="B72" s="144">
        <v>8.0</v>
      </c>
      <c r="C72" s="38" t="s">
        <v>1000</v>
      </c>
      <c r="D72" s="38" t="s">
        <v>1208</v>
      </c>
      <c r="E72" s="51" t="s">
        <v>53</v>
      </c>
      <c r="F72" s="84"/>
      <c r="G72" s="85" t="s">
        <v>518</v>
      </c>
      <c r="H72" s="85" t="s">
        <v>1209</v>
      </c>
      <c r="I72" s="85" t="s">
        <v>1210</v>
      </c>
      <c r="J72" s="85" t="s">
        <v>1182</v>
      </c>
      <c r="K72" s="85" t="s">
        <v>519</v>
      </c>
      <c r="M72" s="146" t="s">
        <v>1211</v>
      </c>
      <c r="N72" s="88" t="str">
        <f t="shared" si="2"/>
        <v>fpratt@azleg.gov</v>
      </c>
      <c r="O72" s="89"/>
      <c r="P72" s="89"/>
      <c r="Q72" s="89"/>
      <c r="R72" s="89"/>
      <c r="S72" s="91" t="s">
        <v>735</v>
      </c>
    </row>
    <row r="73">
      <c r="A73" s="14" t="s">
        <v>286</v>
      </c>
      <c r="B73" s="144">
        <v>9.0</v>
      </c>
      <c r="C73" s="95" t="s">
        <v>1214</v>
      </c>
      <c r="D73" s="95" t="s">
        <v>1216</v>
      </c>
      <c r="E73" s="36" t="s">
        <v>49</v>
      </c>
      <c r="F73" s="84"/>
      <c r="G73" s="85" t="s">
        <v>518</v>
      </c>
      <c r="H73" s="85" t="s">
        <v>601</v>
      </c>
      <c r="I73" s="85" t="s">
        <v>1182</v>
      </c>
      <c r="J73" s="85" t="s">
        <v>519</v>
      </c>
      <c r="K73" s="85" t="s">
        <v>519</v>
      </c>
      <c r="M73" s="145" t="s">
        <v>1217</v>
      </c>
      <c r="N73" s="88" t="str">
        <f t="shared" si="2"/>
        <v>vsteele@azleg.gov</v>
      </c>
      <c r="O73" s="89"/>
      <c r="P73" s="89"/>
      <c r="Q73" s="89"/>
      <c r="R73" s="89"/>
      <c r="S73" s="91" t="s">
        <v>566</v>
      </c>
    </row>
    <row r="74">
      <c r="A74" s="14" t="s">
        <v>286</v>
      </c>
      <c r="B74" s="144">
        <v>10.0</v>
      </c>
      <c r="C74" s="38" t="s">
        <v>108</v>
      </c>
      <c r="D74" s="38" t="s">
        <v>1130</v>
      </c>
      <c r="E74" s="36" t="s">
        <v>49</v>
      </c>
      <c r="F74" s="84" t="s">
        <v>498</v>
      </c>
      <c r="G74" s="85" t="s">
        <v>780</v>
      </c>
      <c r="H74" s="85" t="s">
        <v>746</v>
      </c>
      <c r="I74" s="85" t="s">
        <v>519</v>
      </c>
      <c r="J74" s="85" t="s">
        <v>519</v>
      </c>
      <c r="K74" s="85" t="s">
        <v>519</v>
      </c>
      <c r="M74" s="146" t="s">
        <v>1221</v>
      </c>
      <c r="N74" s="88" t="str">
        <f t="shared" si="2"/>
        <v>dbradley@azleg.gov</v>
      </c>
      <c r="O74" s="89"/>
      <c r="P74" s="89"/>
      <c r="Q74" s="89"/>
      <c r="R74" s="89"/>
      <c r="S74" s="91" t="s">
        <v>566</v>
      </c>
    </row>
    <row r="75">
      <c r="A75" s="14" t="s">
        <v>286</v>
      </c>
      <c r="B75" s="144">
        <v>11.0</v>
      </c>
      <c r="C75" s="38" t="s">
        <v>1225</v>
      </c>
      <c r="D75" s="38" t="s">
        <v>1226</v>
      </c>
      <c r="E75" s="51" t="s">
        <v>53</v>
      </c>
      <c r="F75" s="84"/>
      <c r="G75" s="85" t="s">
        <v>518</v>
      </c>
      <c r="H75" s="85" t="s">
        <v>1024</v>
      </c>
      <c r="I75" s="85" t="s">
        <v>781</v>
      </c>
      <c r="J75" s="85" t="s">
        <v>519</v>
      </c>
      <c r="K75" s="85" t="s">
        <v>519</v>
      </c>
      <c r="M75" s="146" t="s">
        <v>1229</v>
      </c>
      <c r="N75" s="88" t="str">
        <f t="shared" si="2"/>
        <v>vleach@azleg.gov</v>
      </c>
      <c r="O75" s="89"/>
      <c r="P75" s="89"/>
      <c r="Q75" s="89"/>
      <c r="R75" s="89"/>
      <c r="S75" s="91" t="s">
        <v>1230</v>
      </c>
    </row>
    <row r="76">
      <c r="A76" s="14" t="s">
        <v>286</v>
      </c>
      <c r="B76" s="144">
        <v>12.0</v>
      </c>
      <c r="C76" s="38" t="s">
        <v>1237</v>
      </c>
      <c r="D76" s="38" t="s">
        <v>1238</v>
      </c>
      <c r="E76" s="51" t="s">
        <v>53</v>
      </c>
      <c r="F76" s="84"/>
      <c r="G76" s="85" t="s">
        <v>780</v>
      </c>
      <c r="H76" s="85" t="s">
        <v>1181</v>
      </c>
      <c r="I76" s="85" t="s">
        <v>877</v>
      </c>
      <c r="K76" s="85"/>
      <c r="M76" s="145" t="s">
        <v>1239</v>
      </c>
      <c r="N76" s="88" t="str">
        <f t="shared" si="2"/>
        <v>efarnsworth@azleg.gov</v>
      </c>
      <c r="O76" s="89"/>
      <c r="P76" s="89"/>
      <c r="Q76" s="89"/>
      <c r="R76" s="89"/>
      <c r="S76" s="91" t="s">
        <v>815</v>
      </c>
    </row>
    <row r="77">
      <c r="A77" s="14" t="s">
        <v>286</v>
      </c>
      <c r="B77" s="144">
        <v>13.0</v>
      </c>
      <c r="C77" s="38" t="s">
        <v>1241</v>
      </c>
      <c r="D77" s="38" t="s">
        <v>1244</v>
      </c>
      <c r="E77" s="51" t="s">
        <v>53</v>
      </c>
      <c r="F77" s="92"/>
      <c r="G77" s="85" t="s">
        <v>626</v>
      </c>
      <c r="H77" s="85" t="s">
        <v>1181</v>
      </c>
      <c r="I77" s="85" t="s">
        <v>1245</v>
      </c>
      <c r="J77" s="85" t="s">
        <v>1182</v>
      </c>
      <c r="K77" s="85" t="s">
        <v>519</v>
      </c>
      <c r="M77" s="145" t="s">
        <v>1246</v>
      </c>
      <c r="N77" s="88" t="str">
        <f t="shared" si="2"/>
        <v>skerr@azleg.gov</v>
      </c>
      <c r="O77" s="89"/>
      <c r="P77" s="89"/>
      <c r="Q77" s="89"/>
      <c r="R77" s="89"/>
      <c r="S77" s="91" t="s">
        <v>1247</v>
      </c>
    </row>
    <row r="78">
      <c r="A78" s="14" t="s">
        <v>286</v>
      </c>
      <c r="B78" s="144">
        <v>14.0</v>
      </c>
      <c r="C78" s="38" t="s">
        <v>108</v>
      </c>
      <c r="D78" s="38" t="s">
        <v>1250</v>
      </c>
      <c r="E78" s="51" t="s">
        <v>53</v>
      </c>
      <c r="F78" s="92"/>
      <c r="G78" s="85" t="s">
        <v>662</v>
      </c>
      <c r="H78" s="85" t="s">
        <v>1165</v>
      </c>
      <c r="I78" s="85" t="s">
        <v>1182</v>
      </c>
      <c r="J78" s="85" t="s">
        <v>519</v>
      </c>
      <c r="K78" s="85" t="s">
        <v>519</v>
      </c>
      <c r="M78" s="145" t="s">
        <v>1251</v>
      </c>
      <c r="N78" s="88" t="str">
        <f t="shared" si="2"/>
        <v>dgowan@azleg.gov</v>
      </c>
      <c r="O78" s="89"/>
      <c r="P78" s="89"/>
      <c r="Q78" s="89"/>
      <c r="R78" s="89"/>
      <c r="S78" s="91" t="s">
        <v>1252</v>
      </c>
    </row>
    <row r="79">
      <c r="A79" s="14" t="s">
        <v>286</v>
      </c>
      <c r="B79" s="144">
        <v>15.0</v>
      </c>
      <c r="C79" s="38" t="s">
        <v>1255</v>
      </c>
      <c r="D79" s="38" t="s">
        <v>1256</v>
      </c>
      <c r="E79" s="51" t="s">
        <v>53</v>
      </c>
      <c r="F79" s="84"/>
      <c r="G79" s="149" t="s">
        <v>1257</v>
      </c>
      <c r="H79" s="85" t="s">
        <v>626</v>
      </c>
      <c r="I79" s="85" t="s">
        <v>1016</v>
      </c>
      <c r="J79" s="85" t="s">
        <v>519</v>
      </c>
      <c r="K79" s="85" t="s">
        <v>519</v>
      </c>
      <c r="M79" s="146" t="s">
        <v>1258</v>
      </c>
      <c r="N79" s="88" t="str">
        <f t="shared" si="2"/>
        <v>hcarter@azleg.gov</v>
      </c>
      <c r="O79" s="89"/>
      <c r="P79" s="89"/>
      <c r="Q79" s="89"/>
      <c r="R79" s="89"/>
      <c r="S79" s="91" t="s">
        <v>929</v>
      </c>
    </row>
    <row r="80">
      <c r="A80" s="14" t="s">
        <v>286</v>
      </c>
      <c r="B80" s="144">
        <v>16.0</v>
      </c>
      <c r="C80" s="38" t="s">
        <v>108</v>
      </c>
      <c r="D80" s="38" t="s">
        <v>1238</v>
      </c>
      <c r="E80" s="51" t="s">
        <v>53</v>
      </c>
      <c r="F80" s="92"/>
      <c r="G80" s="85" t="s">
        <v>1263</v>
      </c>
      <c r="H80" s="85" t="s">
        <v>1264</v>
      </c>
      <c r="I80" s="85" t="s">
        <v>652</v>
      </c>
      <c r="M80" s="146" t="s">
        <v>1265</v>
      </c>
      <c r="N80" s="88" t="str">
        <f t="shared" si="2"/>
        <v>dfarnsworth@azleg.gov</v>
      </c>
      <c r="O80" s="89"/>
      <c r="P80" s="89"/>
      <c r="Q80" s="89"/>
      <c r="R80" s="89"/>
      <c r="S80" s="91" t="s">
        <v>899</v>
      </c>
    </row>
    <row r="81">
      <c r="A81" s="14" t="s">
        <v>286</v>
      </c>
      <c r="B81" s="144">
        <v>17.0</v>
      </c>
      <c r="C81" s="38" t="s">
        <v>1267</v>
      </c>
      <c r="D81" s="38" t="s">
        <v>1269</v>
      </c>
      <c r="E81" s="51" t="s">
        <v>53</v>
      </c>
      <c r="F81" s="92"/>
      <c r="G81" s="149" t="s">
        <v>1271</v>
      </c>
      <c r="H81" s="85" t="s">
        <v>1272</v>
      </c>
      <c r="I81" s="85" t="s">
        <v>652</v>
      </c>
      <c r="M81" s="145" t="s">
        <v>1273</v>
      </c>
      <c r="N81" s="88" t="str">
        <f t="shared" si="2"/>
        <v>jmesnard@azleg.gov</v>
      </c>
      <c r="O81" s="89"/>
      <c r="P81" s="89"/>
      <c r="Q81" s="89"/>
      <c r="R81" s="89"/>
      <c r="S81" s="91" t="s">
        <v>914</v>
      </c>
    </row>
    <row r="82">
      <c r="A82" s="14" t="s">
        <v>286</v>
      </c>
      <c r="B82" s="144">
        <v>18.0</v>
      </c>
      <c r="C82" s="38" t="s">
        <v>1276</v>
      </c>
      <c r="D82" s="38" t="s">
        <v>1278</v>
      </c>
      <c r="E82" s="36" t="s">
        <v>49</v>
      </c>
      <c r="F82" s="92"/>
      <c r="G82" s="85" t="s">
        <v>626</v>
      </c>
      <c r="H82" s="85" t="s">
        <v>1264</v>
      </c>
      <c r="I82" s="85" t="s">
        <v>652</v>
      </c>
      <c r="M82" s="146" t="s">
        <v>1279</v>
      </c>
      <c r="N82" s="88" t="str">
        <f t="shared" si="2"/>
        <v>sbowie@azleg.gov</v>
      </c>
      <c r="O82" s="89"/>
      <c r="P82" s="89"/>
      <c r="Q82" s="89"/>
      <c r="R82" s="89"/>
      <c r="S82" s="91" t="s">
        <v>1280</v>
      </c>
    </row>
    <row r="83">
      <c r="A83" s="14" t="s">
        <v>286</v>
      </c>
      <c r="B83" s="144">
        <v>19.0</v>
      </c>
      <c r="C83" s="38" t="s">
        <v>1281</v>
      </c>
      <c r="D83" s="38" t="s">
        <v>1282</v>
      </c>
      <c r="E83" s="36" t="s">
        <v>49</v>
      </c>
      <c r="F83" s="84"/>
      <c r="G83" s="85" t="s">
        <v>1181</v>
      </c>
      <c r="H83" s="85" t="s">
        <v>1264</v>
      </c>
      <c r="I83" s="85" t="s">
        <v>781</v>
      </c>
      <c r="K83" s="85" t="s">
        <v>519</v>
      </c>
      <c r="M83" s="145" t="s">
        <v>1283</v>
      </c>
      <c r="N83" s="88" t="str">
        <f t="shared" si="2"/>
        <v>lcontreras@azleg.gov</v>
      </c>
      <c r="O83" s="89"/>
      <c r="P83" s="89"/>
      <c r="Q83" s="89"/>
      <c r="R83" s="89"/>
      <c r="S83" s="91" t="s">
        <v>1285</v>
      </c>
    </row>
    <row r="84">
      <c r="A84" s="14" t="s">
        <v>286</v>
      </c>
      <c r="B84" s="144">
        <v>20.0</v>
      </c>
      <c r="C84" s="38" t="s">
        <v>679</v>
      </c>
      <c r="D84" s="38" t="s">
        <v>1289</v>
      </c>
      <c r="E84" s="51" t="s">
        <v>53</v>
      </c>
      <c r="F84" s="92"/>
      <c r="G84" s="147" t="s">
        <v>1173</v>
      </c>
      <c r="H84" s="14" t="s">
        <v>888</v>
      </c>
      <c r="I84" s="85" t="s">
        <v>1264</v>
      </c>
      <c r="K84" s="85" t="s">
        <v>519</v>
      </c>
      <c r="M84" s="145" t="s">
        <v>1290</v>
      </c>
      <c r="N84" s="88" t="str">
        <f t="shared" si="2"/>
        <v>pboyer@azleg.gov</v>
      </c>
      <c r="O84" s="89"/>
      <c r="P84" s="89"/>
      <c r="Q84" s="89"/>
      <c r="R84" s="89"/>
      <c r="S84" s="91" t="s">
        <v>929</v>
      </c>
    </row>
    <row r="85">
      <c r="A85" s="14" t="s">
        <v>286</v>
      </c>
      <c r="B85" s="144">
        <v>21.0</v>
      </c>
      <c r="C85" s="38" t="s">
        <v>1291</v>
      </c>
      <c r="D85" s="38" t="s">
        <v>658</v>
      </c>
      <c r="E85" s="51" t="s">
        <v>53</v>
      </c>
      <c r="F85" s="84" t="s">
        <v>176</v>
      </c>
      <c r="G85" s="85" t="s">
        <v>745</v>
      </c>
      <c r="H85" s="85" t="s">
        <v>515</v>
      </c>
      <c r="I85" s="85" t="s">
        <v>601</v>
      </c>
      <c r="J85" s="85" t="s">
        <v>517</v>
      </c>
      <c r="K85" s="85" t="s">
        <v>746</v>
      </c>
      <c r="M85" s="150"/>
      <c r="N85" s="88" t="str">
        <f t="shared" si="2"/>
        <v>rgray@azleg.gov</v>
      </c>
      <c r="O85" s="89"/>
      <c r="P85" s="89"/>
      <c r="Q85" s="89"/>
      <c r="R85" s="89"/>
      <c r="S85" s="91" t="s">
        <v>977</v>
      </c>
    </row>
    <row r="86">
      <c r="A86" s="14" t="s">
        <v>286</v>
      </c>
      <c r="B86" s="144">
        <v>22.0</v>
      </c>
      <c r="C86" s="38" t="s">
        <v>108</v>
      </c>
      <c r="D86" s="38" t="s">
        <v>859</v>
      </c>
      <c r="E86" s="51" t="s">
        <v>53</v>
      </c>
      <c r="F86" s="84"/>
      <c r="G86" s="85" t="s">
        <v>626</v>
      </c>
      <c r="H86" s="85" t="s">
        <v>1299</v>
      </c>
      <c r="I86" s="85" t="s">
        <v>1300</v>
      </c>
      <c r="J86" s="85" t="s">
        <v>652</v>
      </c>
      <c r="M86" s="145" t="s">
        <v>1301</v>
      </c>
      <c r="N86" s="88" t="str">
        <f t="shared" si="2"/>
        <v>dlivingston@azleg.gov</v>
      </c>
      <c r="O86" s="89"/>
      <c r="P86" s="89"/>
      <c r="Q86" s="89"/>
      <c r="R86" s="89"/>
      <c r="S86" s="91" t="s">
        <v>1303</v>
      </c>
    </row>
    <row r="87">
      <c r="A87" s="14" t="s">
        <v>286</v>
      </c>
      <c r="B87" s="144">
        <v>23.0</v>
      </c>
      <c r="C87" s="38" t="s">
        <v>22</v>
      </c>
      <c r="D87" s="38" t="s">
        <v>1309</v>
      </c>
      <c r="E87" s="51" t="s">
        <v>53</v>
      </c>
      <c r="F87" s="84"/>
      <c r="G87" s="85" t="s">
        <v>626</v>
      </c>
      <c r="H87" s="85" t="s">
        <v>1264</v>
      </c>
      <c r="I87" s="85" t="s">
        <v>911</v>
      </c>
      <c r="M87" s="146" t="s">
        <v>1310</v>
      </c>
      <c r="N87" s="88" t="str">
        <f t="shared" si="2"/>
        <v>mugenti-rita@azleg.gov</v>
      </c>
      <c r="O87" s="89"/>
      <c r="P87" s="89"/>
      <c r="Q87" s="89"/>
      <c r="R87" s="89"/>
      <c r="S87" s="91" t="s">
        <v>1018</v>
      </c>
    </row>
    <row r="88">
      <c r="A88" s="14" t="s">
        <v>286</v>
      </c>
      <c r="B88" s="144">
        <v>24.0</v>
      </c>
      <c r="C88" s="38" t="s">
        <v>1313</v>
      </c>
      <c r="D88" s="38" t="s">
        <v>1314</v>
      </c>
      <c r="E88" s="36" t="s">
        <v>49</v>
      </c>
      <c r="F88" s="84"/>
      <c r="G88" s="85" t="s">
        <v>518</v>
      </c>
      <c r="H88" s="85" t="s">
        <v>626</v>
      </c>
      <c r="I88" s="85" t="s">
        <v>1264</v>
      </c>
      <c r="K88" s="85" t="s">
        <v>519</v>
      </c>
      <c r="M88" s="146" t="s">
        <v>1315</v>
      </c>
      <c r="N88" s="88" t="str">
        <f t="shared" si="2"/>
        <v>lalston@azleg.gov</v>
      </c>
      <c r="O88" s="89"/>
      <c r="P88" s="89"/>
      <c r="Q88" s="89"/>
      <c r="R88" s="89"/>
      <c r="S88" s="91" t="s">
        <v>929</v>
      </c>
    </row>
    <row r="89">
      <c r="A89" s="14" t="s">
        <v>286</v>
      </c>
      <c r="B89" s="144">
        <v>25.0</v>
      </c>
      <c r="C89" s="38" t="s">
        <v>1323</v>
      </c>
      <c r="D89" s="38" t="s">
        <v>1324</v>
      </c>
      <c r="E89" s="51" t="s">
        <v>53</v>
      </c>
      <c r="F89" s="84"/>
      <c r="G89" s="85" t="s">
        <v>515</v>
      </c>
      <c r="H89" s="85" t="s">
        <v>601</v>
      </c>
      <c r="I89" s="85" t="s">
        <v>812</v>
      </c>
      <c r="J89" s="85" t="s">
        <v>519</v>
      </c>
      <c r="M89" s="146" t="s">
        <v>1326</v>
      </c>
      <c r="N89" s="88" t="str">
        <f t="shared" si="2"/>
        <v>tpace@azleg.gov</v>
      </c>
      <c r="O89" s="89"/>
      <c r="P89" s="89"/>
      <c r="Q89" s="89"/>
      <c r="R89" s="89"/>
      <c r="S89" s="91" t="s">
        <v>899</v>
      </c>
    </row>
    <row r="90">
      <c r="A90" s="14" t="s">
        <v>286</v>
      </c>
      <c r="B90" s="144">
        <v>26.0</v>
      </c>
      <c r="C90" s="38" t="s">
        <v>1327</v>
      </c>
      <c r="D90" s="38" t="s">
        <v>1333</v>
      </c>
      <c r="E90" s="36" t="s">
        <v>49</v>
      </c>
      <c r="F90" s="92"/>
      <c r="G90" s="85" t="s">
        <v>518</v>
      </c>
      <c r="H90" s="85" t="s">
        <v>1165</v>
      </c>
      <c r="I90" s="85" t="s">
        <v>1182</v>
      </c>
      <c r="J90" s="85" t="s">
        <v>519</v>
      </c>
      <c r="K90" s="85" t="s">
        <v>519</v>
      </c>
      <c r="M90" s="146" t="s">
        <v>1335</v>
      </c>
      <c r="N90" s="88" t="str">
        <f t="shared" si="2"/>
        <v>jmendez@azleg.gov</v>
      </c>
      <c r="O90" s="89"/>
      <c r="P90" s="89"/>
      <c r="Q90" s="89"/>
      <c r="R90" s="89"/>
      <c r="S90" s="91" t="s">
        <v>1069</v>
      </c>
    </row>
    <row r="91">
      <c r="A91" s="14" t="s">
        <v>286</v>
      </c>
      <c r="B91" s="144">
        <v>27.0</v>
      </c>
      <c r="C91" s="38" t="s">
        <v>1340</v>
      </c>
      <c r="D91" s="38" t="s">
        <v>1341</v>
      </c>
      <c r="E91" s="36" t="s">
        <v>49</v>
      </c>
      <c r="F91" s="92"/>
      <c r="G91" s="85" t="s">
        <v>780</v>
      </c>
      <c r="H91" s="85" t="s">
        <v>601</v>
      </c>
      <c r="I91" s="85" t="s">
        <v>746</v>
      </c>
      <c r="J91" s="85" t="s">
        <v>519</v>
      </c>
      <c r="K91" s="85" t="s">
        <v>519</v>
      </c>
      <c r="M91" s="146" t="s">
        <v>1342</v>
      </c>
      <c r="N91" s="88" t="str">
        <f t="shared" si="2"/>
        <v>rrios@azleg.gov</v>
      </c>
      <c r="O91" s="89"/>
      <c r="P91" s="89"/>
      <c r="Q91" s="89"/>
      <c r="R91" s="89"/>
      <c r="S91" s="91" t="s">
        <v>929</v>
      </c>
    </row>
    <row r="92">
      <c r="A92" s="14" t="s">
        <v>286</v>
      </c>
      <c r="B92" s="144">
        <v>28.0</v>
      </c>
      <c r="C92" s="38" t="s">
        <v>1354</v>
      </c>
      <c r="D92" s="38" t="s">
        <v>1355</v>
      </c>
      <c r="E92" s="51" t="s">
        <v>53</v>
      </c>
      <c r="F92" s="92"/>
      <c r="G92" s="147" t="s">
        <v>1173</v>
      </c>
      <c r="H92" s="85" t="s">
        <v>863</v>
      </c>
      <c r="J92" s="85" t="s">
        <v>519</v>
      </c>
      <c r="K92" s="85" t="s">
        <v>519</v>
      </c>
      <c r="M92" s="145" t="s">
        <v>1356</v>
      </c>
      <c r="N92" s="88" t="str">
        <f t="shared" si="2"/>
        <v>kmcgee@azleg.gov</v>
      </c>
      <c r="O92" s="89"/>
      <c r="P92" s="89"/>
      <c r="Q92" s="89"/>
      <c r="R92" s="89"/>
      <c r="S92" s="91" t="s">
        <v>929</v>
      </c>
    </row>
    <row r="93">
      <c r="A93" s="14" t="s">
        <v>286</v>
      </c>
      <c r="B93" s="144">
        <v>29.0</v>
      </c>
      <c r="C93" s="38" t="s">
        <v>456</v>
      </c>
      <c r="D93" s="38" t="s">
        <v>1359</v>
      </c>
      <c r="E93" s="36" t="s">
        <v>49</v>
      </c>
      <c r="F93" s="84"/>
      <c r="G93" s="85" t="s">
        <v>780</v>
      </c>
      <c r="H93" s="85" t="s">
        <v>515</v>
      </c>
      <c r="I93" s="85" t="s">
        <v>781</v>
      </c>
      <c r="J93" s="85" t="s">
        <v>746</v>
      </c>
      <c r="K93" s="85" t="s">
        <v>519</v>
      </c>
      <c r="M93" s="145" t="s">
        <v>1360</v>
      </c>
      <c r="N93" s="88" t="str">
        <f t="shared" si="2"/>
        <v>mquezada@azleg.gov</v>
      </c>
      <c r="O93" s="89"/>
      <c r="P93" s="89"/>
      <c r="Q93" s="89"/>
      <c r="R93" s="89"/>
      <c r="S93" s="91" t="s">
        <v>929</v>
      </c>
    </row>
    <row r="94">
      <c r="A94" s="14" t="s">
        <v>286</v>
      </c>
      <c r="B94" s="144">
        <v>30.0</v>
      </c>
      <c r="C94" s="38" t="s">
        <v>1366</v>
      </c>
      <c r="D94" s="38" t="s">
        <v>1367</v>
      </c>
      <c r="E94" s="36" t="s">
        <v>49</v>
      </c>
      <c r="F94" s="92"/>
      <c r="G94" s="147" t="s">
        <v>1173</v>
      </c>
      <c r="H94" s="85" t="s">
        <v>601</v>
      </c>
      <c r="I94" s="85" t="s">
        <v>652</v>
      </c>
      <c r="J94" s="85" t="s">
        <v>519</v>
      </c>
      <c r="M94" s="146" t="s">
        <v>1368</v>
      </c>
      <c r="N94" s="88" t="str">
        <f t="shared" si="2"/>
        <v>onavarette@azleg.gov</v>
      </c>
      <c r="O94" s="89"/>
      <c r="P94" s="89"/>
      <c r="Q94" s="89"/>
      <c r="R94" s="89"/>
      <c r="S94" s="91" t="s">
        <v>929</v>
      </c>
    </row>
    <row r="95">
      <c r="A95" s="70"/>
      <c r="B95" s="141"/>
      <c r="C95" s="142"/>
      <c r="D95" s="142"/>
      <c r="E95" s="70"/>
      <c r="F95" s="143"/>
      <c r="G95" s="128"/>
      <c r="H95" s="128"/>
      <c r="I95" s="128"/>
      <c r="J95" s="128"/>
      <c r="K95" s="128"/>
      <c r="L95" s="70"/>
      <c r="M95" s="70"/>
      <c r="N95" s="70"/>
      <c r="O95" s="70"/>
      <c r="P95" s="70"/>
      <c r="Q95" s="70"/>
      <c r="R95" s="70"/>
      <c r="S95" s="70"/>
      <c r="T95" s="70"/>
      <c r="U95" s="70"/>
      <c r="V95" s="70"/>
      <c r="W95" s="70"/>
      <c r="X95" s="70"/>
      <c r="Y95" s="70"/>
      <c r="Z95" s="70"/>
      <c r="AA95" s="70"/>
      <c r="AB95" s="70"/>
      <c r="AC95" s="70"/>
      <c r="AD95" s="70"/>
      <c r="AE95" s="70"/>
    </row>
    <row r="96">
      <c r="A96" s="14" t="s">
        <v>421</v>
      </c>
      <c r="B96" s="155"/>
      <c r="C96" s="38" t="s">
        <v>1146</v>
      </c>
      <c r="D96" s="38" t="s">
        <v>1369</v>
      </c>
      <c r="E96" s="156" t="s">
        <v>53</v>
      </c>
      <c r="F96" s="92"/>
      <c r="G96" s="140"/>
      <c r="H96" s="140"/>
      <c r="I96" s="140"/>
      <c r="J96" s="140"/>
      <c r="K96" s="140"/>
      <c r="M96" s="89"/>
      <c r="N96" s="89"/>
      <c r="O96" s="89"/>
      <c r="P96" s="89"/>
      <c r="Q96" s="89"/>
      <c r="R96" s="89"/>
      <c r="S96" s="89"/>
    </row>
    <row r="97">
      <c r="A97" s="157"/>
      <c r="B97" s="141"/>
      <c r="C97" s="142"/>
      <c r="D97" s="142"/>
      <c r="E97" s="70"/>
      <c r="F97" s="143"/>
      <c r="G97" s="128"/>
      <c r="H97" s="128"/>
      <c r="I97" s="128"/>
      <c r="J97" s="128"/>
      <c r="K97" s="128"/>
      <c r="L97" s="70"/>
      <c r="M97" s="70"/>
      <c r="N97" s="70"/>
      <c r="O97" s="70"/>
      <c r="P97" s="70"/>
      <c r="Q97" s="70"/>
      <c r="R97" s="70"/>
      <c r="S97" s="70"/>
      <c r="T97" s="70"/>
      <c r="U97" s="70"/>
      <c r="V97" s="70"/>
      <c r="W97" s="70"/>
      <c r="X97" s="70"/>
      <c r="Y97" s="70"/>
      <c r="Z97" s="70"/>
      <c r="AA97" s="70"/>
      <c r="AB97" s="70"/>
      <c r="AC97" s="70"/>
      <c r="AD97" s="70"/>
      <c r="AE97" s="70"/>
    </row>
    <row r="98">
      <c r="A98" s="14" t="s">
        <v>427</v>
      </c>
      <c r="B98" s="155"/>
      <c r="C98" s="38" t="s">
        <v>338</v>
      </c>
      <c r="D98" s="38" t="s">
        <v>1370</v>
      </c>
      <c r="E98" s="159" t="s">
        <v>49</v>
      </c>
      <c r="F98" s="92"/>
      <c r="G98" s="140"/>
      <c r="H98" s="140"/>
      <c r="I98" s="140"/>
      <c r="J98" s="140"/>
      <c r="K98" s="140"/>
      <c r="M98" s="89"/>
      <c r="N98" s="89"/>
      <c r="O98" s="89"/>
      <c r="P98" s="89"/>
      <c r="Q98" s="89"/>
      <c r="R98" s="89"/>
      <c r="S98" s="89"/>
    </row>
    <row r="99">
      <c r="A99" s="14" t="s">
        <v>427</v>
      </c>
      <c r="B99" s="155"/>
      <c r="C99" s="38" t="s">
        <v>1375</v>
      </c>
      <c r="D99" s="38" t="s">
        <v>1376</v>
      </c>
      <c r="E99" s="159" t="s">
        <v>49</v>
      </c>
      <c r="F99" s="92"/>
      <c r="G99" s="140"/>
      <c r="H99" s="140"/>
      <c r="I99" s="140"/>
      <c r="J99" s="140"/>
      <c r="K99" s="140"/>
      <c r="M99" s="89"/>
      <c r="N99" s="89"/>
      <c r="O99" s="89"/>
      <c r="P99" s="89"/>
      <c r="Q99" s="89"/>
      <c r="R99" s="89"/>
      <c r="S99" s="89"/>
    </row>
    <row r="100">
      <c r="A100" s="14" t="s">
        <v>427</v>
      </c>
      <c r="B100" s="155"/>
      <c r="C100" s="38" t="s">
        <v>1377</v>
      </c>
      <c r="D100" s="38" t="s">
        <v>1378</v>
      </c>
      <c r="E100" s="159" t="s">
        <v>49</v>
      </c>
      <c r="F100" s="92"/>
      <c r="G100" s="140"/>
      <c r="H100" s="140"/>
      <c r="I100" s="140"/>
      <c r="J100" s="140"/>
      <c r="K100" s="140"/>
      <c r="M100" s="89"/>
      <c r="N100" s="89"/>
      <c r="O100" s="89"/>
      <c r="P100" s="89"/>
      <c r="Q100" s="89"/>
      <c r="R100" s="89"/>
      <c r="S100" s="89"/>
    </row>
    <row r="101">
      <c r="A101" s="14" t="s">
        <v>427</v>
      </c>
      <c r="B101" s="155"/>
      <c r="C101" s="38" t="s">
        <v>679</v>
      </c>
      <c r="D101" s="38" t="s">
        <v>1379</v>
      </c>
      <c r="E101" s="156" t="s">
        <v>53</v>
      </c>
      <c r="F101" s="92"/>
      <c r="G101" s="140"/>
      <c r="H101" s="140"/>
      <c r="I101" s="140"/>
      <c r="J101" s="140"/>
      <c r="K101" s="140"/>
      <c r="M101" s="89"/>
      <c r="N101" s="89"/>
      <c r="O101" s="89"/>
      <c r="P101" s="89"/>
      <c r="Q101" s="89"/>
      <c r="R101" s="89"/>
      <c r="S101" s="89"/>
    </row>
    <row r="102">
      <c r="A102" s="14" t="s">
        <v>427</v>
      </c>
      <c r="B102" s="155"/>
      <c r="C102" s="38" t="s">
        <v>109</v>
      </c>
      <c r="D102" s="38" t="s">
        <v>1380</v>
      </c>
      <c r="E102" s="156" t="s">
        <v>53</v>
      </c>
      <c r="F102" s="92"/>
      <c r="G102" s="140"/>
      <c r="H102" s="140"/>
      <c r="I102" s="140"/>
      <c r="J102" s="140"/>
      <c r="K102" s="140"/>
      <c r="M102" s="89"/>
      <c r="N102" s="89"/>
      <c r="O102" s="89"/>
      <c r="P102" s="89"/>
      <c r="Q102" s="89"/>
      <c r="R102" s="89"/>
      <c r="S102" s="89"/>
    </row>
    <row r="103">
      <c r="A103" s="14" t="s">
        <v>427</v>
      </c>
      <c r="B103" s="155"/>
      <c r="C103" s="38" t="s">
        <v>108</v>
      </c>
      <c r="D103" s="38" t="s">
        <v>1381</v>
      </c>
      <c r="E103" s="156" t="s">
        <v>53</v>
      </c>
      <c r="F103" s="92"/>
      <c r="G103" s="140"/>
      <c r="H103" s="140"/>
      <c r="I103" s="140"/>
      <c r="J103" s="140"/>
      <c r="K103" s="140"/>
      <c r="M103" s="89"/>
      <c r="N103" s="89"/>
      <c r="O103" s="89"/>
      <c r="P103" s="89"/>
      <c r="Q103" s="89"/>
      <c r="R103" s="89"/>
      <c r="S103" s="89"/>
    </row>
    <row r="104">
      <c r="A104" s="14" t="s">
        <v>427</v>
      </c>
      <c r="B104" s="155"/>
      <c r="C104" s="38" t="s">
        <v>1382</v>
      </c>
      <c r="D104" s="38" t="s">
        <v>1383</v>
      </c>
      <c r="E104" s="159" t="s">
        <v>49</v>
      </c>
      <c r="F104" s="92"/>
      <c r="G104" s="140"/>
      <c r="H104" s="140"/>
      <c r="I104" s="140"/>
      <c r="J104" s="140"/>
      <c r="K104" s="140"/>
      <c r="M104" s="89"/>
      <c r="N104" s="89"/>
      <c r="O104" s="89"/>
      <c r="P104" s="89"/>
      <c r="Q104" s="89"/>
      <c r="R104" s="89"/>
      <c r="S104" s="89"/>
    </row>
    <row r="105">
      <c r="A105" s="14" t="s">
        <v>427</v>
      </c>
      <c r="B105" s="155"/>
      <c r="C105" s="38" t="s">
        <v>425</v>
      </c>
      <c r="D105" s="38" t="s">
        <v>1384</v>
      </c>
      <c r="E105" s="156" t="s">
        <v>53</v>
      </c>
      <c r="F105" s="92"/>
      <c r="G105" s="140"/>
      <c r="H105" s="140"/>
      <c r="I105" s="140"/>
      <c r="J105" s="140"/>
      <c r="K105" s="140"/>
      <c r="M105" s="89"/>
      <c r="N105" s="89"/>
      <c r="O105" s="89"/>
      <c r="P105" s="89"/>
      <c r="Q105" s="89"/>
      <c r="R105" s="89"/>
      <c r="S105" s="89"/>
    </row>
    <row r="106">
      <c r="A106" s="14" t="s">
        <v>427</v>
      </c>
      <c r="B106" s="155"/>
      <c r="C106" s="38" t="s">
        <v>1385</v>
      </c>
      <c r="D106" s="38" t="s">
        <v>1386</v>
      </c>
      <c r="E106" s="159" t="s">
        <v>49</v>
      </c>
      <c r="F106" s="92"/>
      <c r="G106" s="140"/>
      <c r="H106" s="140"/>
      <c r="I106" s="140"/>
      <c r="J106" s="140"/>
      <c r="K106" s="140"/>
      <c r="M106" s="89"/>
      <c r="N106" s="89"/>
      <c r="O106" s="89"/>
      <c r="P106" s="89"/>
      <c r="Q106" s="89"/>
      <c r="R106" s="89"/>
      <c r="S106" s="89"/>
    </row>
    <row r="107">
      <c r="A107" s="70"/>
      <c r="B107" s="141"/>
      <c r="C107" s="142"/>
      <c r="D107" s="142"/>
      <c r="E107" s="70"/>
      <c r="F107" s="143"/>
      <c r="G107" s="128"/>
      <c r="H107" s="128"/>
      <c r="I107" s="128"/>
      <c r="J107" s="128"/>
      <c r="K107" s="128"/>
      <c r="L107" s="70"/>
      <c r="M107" s="70"/>
      <c r="N107" s="70"/>
      <c r="O107" s="70"/>
      <c r="P107" s="70"/>
      <c r="Q107" s="70"/>
      <c r="R107" s="70"/>
      <c r="S107" s="70"/>
      <c r="T107" s="70"/>
      <c r="U107" s="70"/>
      <c r="V107" s="70"/>
      <c r="W107" s="70"/>
      <c r="X107" s="70"/>
      <c r="Y107" s="70"/>
      <c r="Z107" s="70"/>
      <c r="AA107" s="70"/>
      <c r="AB107" s="70"/>
      <c r="AC107" s="70"/>
      <c r="AD107" s="70"/>
      <c r="AE107" s="70"/>
    </row>
    <row r="108">
      <c r="A108" s="14" t="s">
        <v>286</v>
      </c>
      <c r="B108" s="144" t="s">
        <v>431</v>
      </c>
      <c r="C108" s="38" t="s">
        <v>1387</v>
      </c>
      <c r="D108" s="38" t="s">
        <v>1388</v>
      </c>
      <c r="E108" s="14" t="s">
        <v>53</v>
      </c>
      <c r="F108" s="92"/>
      <c r="G108" s="140"/>
      <c r="H108" s="140"/>
      <c r="I108" s="140"/>
      <c r="J108" s="140"/>
      <c r="K108" s="140"/>
      <c r="M108" s="89"/>
      <c r="N108" s="89"/>
      <c r="O108" s="89"/>
      <c r="P108" s="89"/>
      <c r="Q108" s="89"/>
      <c r="R108" s="89"/>
      <c r="S108" s="89"/>
    </row>
    <row r="109">
      <c r="A109" s="14" t="s">
        <v>286</v>
      </c>
      <c r="B109" s="144" t="s">
        <v>434</v>
      </c>
      <c r="C109" s="160"/>
      <c r="D109" s="160"/>
      <c r="F109" s="92"/>
      <c r="G109" s="140"/>
      <c r="H109" s="140"/>
      <c r="I109" s="140"/>
      <c r="J109" s="140"/>
      <c r="K109" s="140"/>
      <c r="M109" s="89"/>
      <c r="N109" s="89"/>
      <c r="O109" s="89"/>
      <c r="P109" s="89"/>
      <c r="Q109" s="89"/>
      <c r="R109" s="89"/>
      <c r="S109" s="89"/>
    </row>
    <row r="110">
      <c r="A110" s="70"/>
      <c r="B110" s="141"/>
      <c r="C110" s="142"/>
      <c r="D110" s="142"/>
      <c r="E110" s="70"/>
      <c r="F110" s="143"/>
      <c r="G110" s="128"/>
      <c r="H110" s="128"/>
      <c r="I110" s="128"/>
      <c r="J110" s="128"/>
      <c r="K110" s="128"/>
      <c r="L110" s="70"/>
      <c r="M110" s="70"/>
      <c r="N110" s="70"/>
      <c r="O110" s="70"/>
      <c r="P110" s="70"/>
      <c r="Q110" s="70"/>
      <c r="R110" s="70"/>
      <c r="S110" s="70"/>
      <c r="T110" s="70"/>
      <c r="U110" s="70"/>
      <c r="V110" s="70"/>
      <c r="W110" s="70"/>
      <c r="X110" s="70"/>
      <c r="Y110" s="70"/>
      <c r="Z110" s="70"/>
      <c r="AA110" s="70"/>
      <c r="AB110" s="70"/>
      <c r="AC110" s="70"/>
      <c r="AD110" s="70"/>
      <c r="AE110" s="70"/>
    </row>
    <row r="111">
      <c r="A111" s="14" t="s">
        <v>438</v>
      </c>
      <c r="B111" s="155"/>
      <c r="C111" s="38" t="s">
        <v>91</v>
      </c>
      <c r="D111" s="38" t="s">
        <v>1390</v>
      </c>
      <c r="E111" s="161"/>
      <c r="F111" s="92"/>
      <c r="G111" s="140"/>
      <c r="H111" s="140"/>
      <c r="I111" s="140"/>
      <c r="J111" s="140"/>
      <c r="K111" s="140"/>
      <c r="M111" s="89"/>
      <c r="N111" s="89"/>
      <c r="O111" s="89"/>
      <c r="P111" s="89"/>
      <c r="Q111" s="89"/>
      <c r="R111" s="89"/>
      <c r="S111" s="89"/>
    </row>
    <row r="112">
      <c r="A112" s="70"/>
      <c r="B112" s="141"/>
      <c r="C112" s="142"/>
      <c r="D112" s="142"/>
      <c r="E112" s="70"/>
      <c r="F112" s="143"/>
      <c r="G112" s="128"/>
      <c r="H112" s="128"/>
      <c r="I112" s="128"/>
      <c r="J112" s="128"/>
      <c r="K112" s="128"/>
      <c r="L112" s="70"/>
      <c r="M112" s="70"/>
      <c r="N112" s="70"/>
      <c r="O112" s="70"/>
      <c r="P112" s="70"/>
      <c r="Q112" s="70"/>
      <c r="R112" s="70"/>
      <c r="S112" s="70"/>
      <c r="T112" s="70"/>
      <c r="U112" s="70"/>
      <c r="V112" s="70"/>
      <c r="W112" s="70"/>
      <c r="X112" s="70"/>
      <c r="Y112" s="70"/>
      <c r="Z112" s="70"/>
      <c r="AA112" s="70"/>
      <c r="AB112" s="70"/>
      <c r="AC112" s="70"/>
      <c r="AD112" s="70"/>
      <c r="AE112" s="70"/>
    </row>
    <row r="113">
      <c r="B113" s="155"/>
      <c r="C113" s="160"/>
      <c r="D113" s="160"/>
      <c r="F113" s="92"/>
      <c r="G113" s="140"/>
      <c r="H113" s="140"/>
      <c r="I113" s="140"/>
      <c r="J113" s="140"/>
      <c r="K113" s="140"/>
    </row>
    <row r="114">
      <c r="B114" s="155"/>
      <c r="C114" s="160"/>
      <c r="D114" s="160"/>
      <c r="F114" s="92"/>
      <c r="G114" s="140"/>
      <c r="H114" s="140"/>
      <c r="I114" s="140"/>
      <c r="J114" s="140"/>
      <c r="K114" s="140"/>
    </row>
    <row r="115">
      <c r="B115" s="155"/>
      <c r="C115" s="160"/>
      <c r="D115" s="160"/>
      <c r="F115" s="92"/>
      <c r="G115" s="140"/>
      <c r="H115" s="140"/>
      <c r="I115" s="140"/>
      <c r="J115" s="140"/>
      <c r="K115" s="140"/>
    </row>
    <row r="116">
      <c r="B116" s="155"/>
      <c r="C116" s="160"/>
      <c r="D116" s="160"/>
      <c r="F116" s="92"/>
      <c r="G116" s="140"/>
      <c r="H116" s="140"/>
      <c r="I116" s="140"/>
      <c r="J116" s="140"/>
      <c r="K116" s="140"/>
    </row>
    <row r="117">
      <c r="B117" s="155"/>
      <c r="C117" s="160"/>
      <c r="D117" s="160"/>
      <c r="F117" s="92"/>
      <c r="G117" s="140"/>
      <c r="H117" s="140"/>
      <c r="I117" s="140"/>
      <c r="J117" s="140"/>
      <c r="K117" s="140"/>
    </row>
    <row r="118">
      <c r="B118" s="155"/>
      <c r="C118" s="160"/>
      <c r="D118" s="160"/>
      <c r="F118" s="92"/>
      <c r="G118" s="140"/>
      <c r="H118" s="140"/>
      <c r="I118" s="140"/>
      <c r="J118" s="140"/>
      <c r="K118" s="140"/>
    </row>
    <row r="119">
      <c r="B119" s="155"/>
      <c r="C119" s="160"/>
      <c r="D119" s="160"/>
      <c r="F119" s="92"/>
      <c r="G119" s="140"/>
      <c r="H119" s="140"/>
      <c r="I119" s="140"/>
      <c r="J119" s="140"/>
      <c r="K119" s="140"/>
    </row>
    <row r="120">
      <c r="B120" s="155"/>
      <c r="C120" s="160"/>
      <c r="D120" s="160"/>
      <c r="F120" s="92"/>
      <c r="G120" s="140"/>
      <c r="H120" s="140"/>
      <c r="I120" s="140"/>
      <c r="J120" s="140"/>
      <c r="K120" s="140"/>
    </row>
    <row r="121">
      <c r="B121" s="155"/>
      <c r="C121" s="160"/>
      <c r="D121" s="160"/>
      <c r="F121" s="92"/>
      <c r="G121" s="140"/>
      <c r="H121" s="140"/>
      <c r="I121" s="140"/>
      <c r="J121" s="140"/>
      <c r="K121" s="140"/>
    </row>
    <row r="122">
      <c r="B122" s="155"/>
      <c r="C122" s="160"/>
      <c r="D122" s="160"/>
      <c r="F122" s="92"/>
      <c r="G122" s="140"/>
      <c r="H122" s="140"/>
      <c r="I122" s="140"/>
      <c r="J122" s="140"/>
      <c r="K122" s="140"/>
    </row>
    <row r="123">
      <c r="B123" s="155"/>
      <c r="C123" s="160"/>
      <c r="D123" s="160"/>
      <c r="F123" s="92"/>
      <c r="G123" s="140"/>
      <c r="H123" s="140"/>
      <c r="I123" s="140"/>
      <c r="J123" s="140"/>
      <c r="K123" s="140"/>
    </row>
    <row r="124">
      <c r="B124" s="155"/>
      <c r="C124" s="160"/>
      <c r="D124" s="160"/>
      <c r="F124" s="92"/>
      <c r="G124" s="140"/>
      <c r="H124" s="140"/>
      <c r="I124" s="140"/>
      <c r="J124" s="140"/>
      <c r="K124" s="140"/>
    </row>
    <row r="125">
      <c r="B125" s="155"/>
      <c r="C125" s="160"/>
      <c r="D125" s="160"/>
      <c r="F125" s="92"/>
      <c r="G125" s="140"/>
      <c r="H125" s="140"/>
      <c r="I125" s="140"/>
      <c r="J125" s="140"/>
      <c r="K125" s="140"/>
    </row>
    <row r="126">
      <c r="B126" s="155"/>
      <c r="C126" s="160"/>
      <c r="D126" s="160"/>
      <c r="F126" s="92"/>
      <c r="G126" s="140"/>
      <c r="H126" s="140"/>
      <c r="I126" s="140"/>
      <c r="J126" s="140"/>
      <c r="K126" s="140"/>
    </row>
    <row r="127">
      <c r="B127" s="155"/>
      <c r="C127" s="160"/>
      <c r="D127" s="160"/>
      <c r="F127" s="92"/>
      <c r="G127" s="140"/>
      <c r="H127" s="140"/>
      <c r="I127" s="140"/>
      <c r="J127" s="140"/>
      <c r="K127" s="140"/>
    </row>
    <row r="128">
      <c r="B128" s="155"/>
      <c r="C128" s="160"/>
      <c r="D128" s="160"/>
      <c r="F128" s="92"/>
      <c r="G128" s="140"/>
      <c r="H128" s="140"/>
      <c r="I128" s="140"/>
      <c r="J128" s="140"/>
      <c r="K128" s="140"/>
    </row>
    <row r="129">
      <c r="B129" s="155"/>
      <c r="C129" s="160"/>
      <c r="D129" s="160"/>
      <c r="F129" s="92"/>
      <c r="G129" s="140"/>
      <c r="H129" s="140"/>
      <c r="I129" s="140"/>
      <c r="J129" s="140"/>
      <c r="K129" s="140"/>
    </row>
    <row r="130">
      <c r="B130" s="155"/>
      <c r="C130" s="160"/>
      <c r="D130" s="160"/>
      <c r="F130" s="92"/>
      <c r="G130" s="140"/>
      <c r="H130" s="140"/>
      <c r="I130" s="140"/>
      <c r="J130" s="140"/>
      <c r="K130" s="140"/>
    </row>
    <row r="131">
      <c r="B131" s="155"/>
      <c r="C131" s="160"/>
      <c r="D131" s="160"/>
      <c r="F131" s="92"/>
      <c r="G131" s="140"/>
      <c r="H131" s="140"/>
      <c r="I131" s="140"/>
      <c r="J131" s="140"/>
      <c r="K131" s="140"/>
    </row>
    <row r="132">
      <c r="B132" s="155"/>
      <c r="C132" s="160"/>
      <c r="D132" s="160"/>
      <c r="F132" s="92"/>
      <c r="G132" s="140"/>
      <c r="H132" s="140"/>
      <c r="I132" s="140"/>
      <c r="J132" s="140"/>
      <c r="K132" s="140"/>
    </row>
    <row r="133">
      <c r="B133" s="155"/>
      <c r="C133" s="160"/>
      <c r="D133" s="160"/>
      <c r="F133" s="92"/>
      <c r="G133" s="140"/>
      <c r="H133" s="140"/>
      <c r="I133" s="140"/>
      <c r="J133" s="140"/>
      <c r="K133" s="140"/>
    </row>
    <row r="134">
      <c r="B134" s="155"/>
      <c r="C134" s="160"/>
      <c r="D134" s="160"/>
      <c r="F134" s="92"/>
      <c r="G134" s="140"/>
      <c r="H134" s="140"/>
      <c r="I134" s="140"/>
      <c r="J134" s="140"/>
      <c r="K134" s="140"/>
    </row>
    <row r="135">
      <c r="B135" s="155"/>
      <c r="C135" s="160"/>
      <c r="D135" s="160"/>
      <c r="F135" s="92"/>
      <c r="G135" s="140"/>
      <c r="H135" s="140"/>
      <c r="I135" s="140"/>
      <c r="J135" s="140"/>
      <c r="K135" s="140"/>
    </row>
    <row r="136">
      <c r="B136" s="155"/>
      <c r="C136" s="160"/>
      <c r="D136" s="160"/>
      <c r="F136" s="92"/>
      <c r="G136" s="140"/>
      <c r="H136" s="140"/>
      <c r="I136" s="140"/>
      <c r="J136" s="140"/>
      <c r="K136" s="140"/>
    </row>
    <row r="137">
      <c r="B137" s="155"/>
      <c r="C137" s="160"/>
      <c r="D137" s="160"/>
      <c r="F137" s="92"/>
      <c r="G137" s="140"/>
      <c r="H137" s="140"/>
      <c r="I137" s="140"/>
      <c r="J137" s="140"/>
      <c r="K137" s="140"/>
    </row>
    <row r="138">
      <c r="B138" s="155"/>
      <c r="C138" s="160"/>
      <c r="D138" s="160"/>
      <c r="F138" s="92"/>
      <c r="G138" s="140"/>
      <c r="H138" s="140"/>
      <c r="I138" s="140"/>
      <c r="J138" s="140"/>
      <c r="K138" s="140"/>
    </row>
    <row r="139">
      <c r="B139" s="155"/>
      <c r="C139" s="160"/>
      <c r="D139" s="160"/>
      <c r="F139" s="92"/>
      <c r="G139" s="140"/>
      <c r="H139" s="140"/>
      <c r="I139" s="140"/>
      <c r="J139" s="140"/>
      <c r="K139" s="140"/>
    </row>
    <row r="140">
      <c r="B140" s="155"/>
      <c r="C140" s="160"/>
      <c r="D140" s="160"/>
      <c r="F140" s="92"/>
      <c r="G140" s="140"/>
      <c r="H140" s="140"/>
      <c r="I140" s="140"/>
      <c r="J140" s="140"/>
      <c r="K140" s="140"/>
    </row>
    <row r="141">
      <c r="B141" s="155"/>
      <c r="C141" s="160"/>
      <c r="D141" s="160"/>
      <c r="F141" s="92"/>
      <c r="G141" s="140"/>
      <c r="H141" s="140"/>
      <c r="I141" s="140"/>
      <c r="J141" s="140"/>
      <c r="K141" s="140"/>
    </row>
    <row r="142">
      <c r="B142" s="155"/>
      <c r="C142" s="160"/>
      <c r="D142" s="160"/>
      <c r="F142" s="92"/>
      <c r="G142" s="140"/>
      <c r="H142" s="140"/>
      <c r="I142" s="140"/>
      <c r="J142" s="140"/>
      <c r="K142" s="140"/>
    </row>
    <row r="143">
      <c r="B143" s="155"/>
      <c r="C143" s="160"/>
      <c r="D143" s="160"/>
      <c r="F143" s="92"/>
      <c r="G143" s="140"/>
      <c r="H143" s="140"/>
      <c r="I143" s="140"/>
      <c r="J143" s="140"/>
      <c r="K143" s="140"/>
    </row>
    <row r="144">
      <c r="B144" s="155"/>
      <c r="C144" s="160"/>
      <c r="D144" s="160"/>
      <c r="F144" s="92"/>
      <c r="G144" s="140"/>
      <c r="H144" s="140"/>
      <c r="I144" s="140"/>
      <c r="J144" s="140"/>
      <c r="K144" s="140"/>
    </row>
    <row r="145">
      <c r="B145" s="155"/>
      <c r="C145" s="160"/>
      <c r="D145" s="160"/>
      <c r="F145" s="92"/>
      <c r="G145" s="140"/>
      <c r="H145" s="140"/>
      <c r="I145" s="140"/>
      <c r="J145" s="140"/>
      <c r="K145" s="140"/>
    </row>
    <row r="146">
      <c r="B146" s="155"/>
      <c r="C146" s="160"/>
      <c r="D146" s="160"/>
      <c r="F146" s="92"/>
      <c r="G146" s="140"/>
      <c r="H146" s="140"/>
      <c r="I146" s="140"/>
      <c r="J146" s="140"/>
      <c r="K146" s="140"/>
    </row>
    <row r="147">
      <c r="B147" s="155"/>
      <c r="C147" s="160"/>
      <c r="D147" s="160"/>
      <c r="F147" s="92"/>
      <c r="G147" s="140"/>
      <c r="H147" s="140"/>
      <c r="I147" s="140"/>
      <c r="J147" s="140"/>
      <c r="K147" s="140"/>
    </row>
    <row r="148">
      <c r="B148" s="155"/>
      <c r="C148" s="160"/>
      <c r="D148" s="160"/>
      <c r="F148" s="92"/>
      <c r="G148" s="140"/>
      <c r="H148" s="140"/>
      <c r="I148" s="140"/>
      <c r="J148" s="140"/>
      <c r="K148" s="140"/>
    </row>
    <row r="149">
      <c r="B149" s="155"/>
      <c r="C149" s="160"/>
      <c r="D149" s="160"/>
      <c r="F149" s="92"/>
      <c r="G149" s="140"/>
      <c r="H149" s="140"/>
      <c r="I149" s="140"/>
      <c r="J149" s="140"/>
      <c r="K149" s="140"/>
    </row>
    <row r="150">
      <c r="B150" s="155"/>
      <c r="C150" s="160"/>
      <c r="D150" s="160"/>
      <c r="F150" s="92"/>
      <c r="G150" s="140"/>
      <c r="H150" s="140"/>
      <c r="I150" s="140"/>
      <c r="J150" s="140"/>
      <c r="K150" s="140"/>
    </row>
    <row r="151">
      <c r="B151" s="155"/>
      <c r="C151" s="160"/>
      <c r="D151" s="160"/>
      <c r="F151" s="92"/>
      <c r="G151" s="140"/>
      <c r="H151" s="140"/>
      <c r="I151" s="140"/>
      <c r="J151" s="140"/>
      <c r="K151" s="140"/>
    </row>
    <row r="152">
      <c r="B152" s="155"/>
      <c r="C152" s="160"/>
      <c r="D152" s="160"/>
      <c r="F152" s="92"/>
      <c r="G152" s="140"/>
      <c r="H152" s="140"/>
      <c r="I152" s="140"/>
      <c r="J152" s="140"/>
      <c r="K152" s="140"/>
    </row>
    <row r="153">
      <c r="B153" s="155"/>
      <c r="C153" s="160"/>
      <c r="D153" s="160"/>
      <c r="F153" s="92"/>
      <c r="G153" s="140"/>
      <c r="H153" s="140"/>
      <c r="I153" s="140"/>
      <c r="J153" s="140"/>
      <c r="K153" s="140"/>
    </row>
    <row r="154">
      <c r="B154" s="155"/>
      <c r="C154" s="160"/>
      <c r="D154" s="160"/>
      <c r="F154" s="92"/>
      <c r="G154" s="140"/>
      <c r="H154" s="140"/>
      <c r="I154" s="140"/>
      <c r="J154" s="140"/>
      <c r="K154" s="140"/>
    </row>
    <row r="155">
      <c r="B155" s="155"/>
      <c r="C155" s="160"/>
      <c r="D155" s="160"/>
      <c r="F155" s="92"/>
      <c r="G155" s="140"/>
      <c r="H155" s="140"/>
      <c r="I155" s="140"/>
      <c r="J155" s="140"/>
      <c r="K155" s="140"/>
    </row>
    <row r="156">
      <c r="B156" s="155"/>
      <c r="C156" s="160"/>
      <c r="D156" s="160"/>
      <c r="F156" s="92"/>
      <c r="G156" s="140"/>
      <c r="H156" s="140"/>
      <c r="I156" s="140"/>
      <c r="J156" s="140"/>
      <c r="K156" s="140"/>
    </row>
    <row r="157">
      <c r="B157" s="155"/>
      <c r="C157" s="160"/>
      <c r="D157" s="160"/>
      <c r="F157" s="92"/>
      <c r="G157" s="140"/>
      <c r="H157" s="140"/>
      <c r="I157" s="140"/>
      <c r="J157" s="140"/>
      <c r="K157" s="140"/>
    </row>
    <row r="158">
      <c r="B158" s="155"/>
      <c r="C158" s="160"/>
      <c r="D158" s="160"/>
      <c r="F158" s="92"/>
      <c r="G158" s="140"/>
      <c r="H158" s="140"/>
      <c r="I158" s="140"/>
      <c r="J158" s="140"/>
      <c r="K158" s="140"/>
    </row>
    <row r="159">
      <c r="B159" s="155"/>
      <c r="C159" s="160"/>
      <c r="D159" s="160"/>
      <c r="F159" s="92"/>
      <c r="G159" s="140"/>
      <c r="H159" s="140"/>
      <c r="I159" s="140"/>
      <c r="J159" s="140"/>
      <c r="K159" s="140"/>
    </row>
    <row r="160">
      <c r="B160" s="155"/>
      <c r="C160" s="160"/>
      <c r="D160" s="160"/>
      <c r="F160" s="92"/>
      <c r="G160" s="140"/>
      <c r="H160" s="140"/>
      <c r="I160" s="140"/>
      <c r="J160" s="140"/>
      <c r="K160" s="140"/>
    </row>
    <row r="161">
      <c r="B161" s="155"/>
      <c r="C161" s="160"/>
      <c r="D161" s="160"/>
      <c r="F161" s="92"/>
      <c r="G161" s="140"/>
      <c r="H161" s="140"/>
      <c r="I161" s="140"/>
      <c r="J161" s="140"/>
      <c r="K161" s="140"/>
    </row>
    <row r="162">
      <c r="B162" s="155"/>
      <c r="C162" s="160"/>
      <c r="D162" s="160"/>
      <c r="F162" s="92"/>
      <c r="G162" s="140"/>
      <c r="H162" s="140"/>
      <c r="I162" s="140"/>
      <c r="J162" s="140"/>
      <c r="K162" s="140"/>
    </row>
    <row r="163">
      <c r="B163" s="155"/>
      <c r="C163" s="160"/>
      <c r="D163" s="160"/>
      <c r="F163" s="92"/>
      <c r="G163" s="140"/>
      <c r="H163" s="140"/>
      <c r="I163" s="140"/>
      <c r="J163" s="140"/>
      <c r="K163" s="140"/>
    </row>
    <row r="164">
      <c r="B164" s="155"/>
      <c r="C164" s="160"/>
      <c r="D164" s="160"/>
      <c r="F164" s="92"/>
      <c r="G164" s="140"/>
      <c r="H164" s="140"/>
      <c r="I164" s="140"/>
      <c r="J164" s="140"/>
      <c r="K164" s="140"/>
    </row>
    <row r="165">
      <c r="B165" s="155"/>
      <c r="C165" s="160"/>
      <c r="D165" s="160"/>
      <c r="F165" s="92"/>
      <c r="G165" s="140"/>
      <c r="H165" s="140"/>
      <c r="I165" s="140"/>
      <c r="J165" s="140"/>
      <c r="K165" s="140"/>
    </row>
    <row r="166">
      <c r="B166" s="155"/>
      <c r="C166" s="160"/>
      <c r="D166" s="160"/>
      <c r="F166" s="92"/>
      <c r="G166" s="140"/>
      <c r="H166" s="140"/>
      <c r="I166" s="140"/>
      <c r="J166" s="140"/>
      <c r="K166" s="140"/>
    </row>
    <row r="167">
      <c r="B167" s="155"/>
      <c r="C167" s="160"/>
      <c r="D167" s="160"/>
      <c r="F167" s="92"/>
      <c r="G167" s="140"/>
      <c r="H167" s="140"/>
      <c r="I167" s="140"/>
      <c r="J167" s="140"/>
      <c r="K167" s="140"/>
    </row>
    <row r="168">
      <c r="B168" s="155"/>
      <c r="C168" s="160"/>
      <c r="D168" s="160"/>
      <c r="F168" s="92"/>
      <c r="G168" s="140"/>
      <c r="H168" s="140"/>
      <c r="I168" s="140"/>
      <c r="J168" s="140"/>
      <c r="K168" s="140"/>
    </row>
    <row r="169">
      <c r="B169" s="155"/>
      <c r="C169" s="160"/>
      <c r="D169" s="160"/>
      <c r="F169" s="92"/>
      <c r="G169" s="140"/>
      <c r="H169" s="140"/>
      <c r="I169" s="140"/>
      <c r="J169" s="140"/>
      <c r="K169" s="140"/>
    </row>
    <row r="170">
      <c r="B170" s="155"/>
      <c r="C170" s="160"/>
      <c r="D170" s="160"/>
      <c r="F170" s="92"/>
      <c r="G170" s="140"/>
      <c r="H170" s="140"/>
      <c r="I170" s="140"/>
      <c r="J170" s="140"/>
      <c r="K170" s="140"/>
    </row>
    <row r="171">
      <c r="B171" s="155"/>
      <c r="C171" s="160"/>
      <c r="D171" s="160"/>
      <c r="F171" s="92"/>
      <c r="G171" s="140"/>
      <c r="H171" s="140"/>
      <c r="I171" s="140"/>
      <c r="J171" s="140"/>
      <c r="K171" s="140"/>
    </row>
    <row r="172">
      <c r="B172" s="155"/>
      <c r="C172" s="160"/>
      <c r="D172" s="160"/>
      <c r="F172" s="92"/>
      <c r="G172" s="140"/>
      <c r="H172" s="140"/>
      <c r="I172" s="140"/>
      <c r="J172" s="140"/>
      <c r="K172" s="140"/>
    </row>
    <row r="173">
      <c r="B173" s="155"/>
      <c r="C173" s="160"/>
      <c r="D173" s="160"/>
      <c r="F173" s="92"/>
      <c r="G173" s="140"/>
      <c r="H173" s="140"/>
      <c r="I173" s="140"/>
      <c r="J173" s="140"/>
      <c r="K173" s="140"/>
    </row>
    <row r="174">
      <c r="B174" s="155"/>
      <c r="C174" s="160"/>
      <c r="D174" s="160"/>
      <c r="F174" s="92"/>
      <c r="G174" s="140"/>
      <c r="H174" s="140"/>
      <c r="I174" s="140"/>
      <c r="J174" s="140"/>
      <c r="K174" s="140"/>
    </row>
    <row r="175">
      <c r="B175" s="155"/>
      <c r="C175" s="160"/>
      <c r="D175" s="160"/>
      <c r="F175" s="92"/>
      <c r="G175" s="140"/>
      <c r="H175" s="140"/>
      <c r="I175" s="140"/>
      <c r="J175" s="140"/>
      <c r="K175" s="140"/>
    </row>
    <row r="176">
      <c r="B176" s="155"/>
      <c r="C176" s="160"/>
      <c r="D176" s="160"/>
      <c r="F176" s="92"/>
      <c r="G176" s="140"/>
      <c r="H176" s="140"/>
      <c r="I176" s="140"/>
      <c r="J176" s="140"/>
      <c r="K176" s="140"/>
    </row>
    <row r="177">
      <c r="B177" s="155"/>
      <c r="C177" s="160"/>
      <c r="D177" s="160"/>
      <c r="F177" s="92"/>
      <c r="G177" s="140"/>
      <c r="H177" s="140"/>
      <c r="I177" s="140"/>
      <c r="J177" s="140"/>
      <c r="K177" s="140"/>
    </row>
    <row r="178">
      <c r="B178" s="155"/>
      <c r="C178" s="160"/>
      <c r="D178" s="160"/>
      <c r="F178" s="92"/>
      <c r="G178" s="140"/>
      <c r="H178" s="140"/>
      <c r="I178" s="140"/>
      <c r="J178" s="140"/>
      <c r="K178" s="140"/>
    </row>
    <row r="179">
      <c r="B179" s="155"/>
      <c r="C179" s="160"/>
      <c r="D179" s="160"/>
      <c r="F179" s="92"/>
      <c r="G179" s="140"/>
      <c r="H179" s="140"/>
      <c r="I179" s="140"/>
      <c r="J179" s="140"/>
      <c r="K179" s="140"/>
    </row>
    <row r="180">
      <c r="B180" s="155"/>
      <c r="C180" s="160"/>
      <c r="D180" s="160"/>
      <c r="F180" s="92"/>
      <c r="G180" s="140"/>
      <c r="H180" s="140"/>
      <c r="I180" s="140"/>
      <c r="J180" s="140"/>
      <c r="K180" s="140"/>
    </row>
    <row r="181">
      <c r="B181" s="155"/>
      <c r="C181" s="160"/>
      <c r="D181" s="160"/>
      <c r="F181" s="92"/>
      <c r="G181" s="140"/>
      <c r="H181" s="140"/>
      <c r="I181" s="140"/>
      <c r="J181" s="140"/>
      <c r="K181" s="140"/>
    </row>
    <row r="182">
      <c r="B182" s="155"/>
      <c r="C182" s="160"/>
      <c r="D182" s="160"/>
      <c r="F182" s="92"/>
      <c r="G182" s="140"/>
      <c r="H182" s="140"/>
      <c r="I182" s="140"/>
      <c r="J182" s="140"/>
      <c r="K182" s="140"/>
    </row>
    <row r="183">
      <c r="B183" s="155"/>
      <c r="C183" s="160"/>
      <c r="D183" s="160"/>
      <c r="F183" s="92"/>
      <c r="G183" s="140"/>
      <c r="H183" s="140"/>
      <c r="I183" s="140"/>
      <c r="J183" s="140"/>
      <c r="K183" s="140"/>
    </row>
    <row r="184">
      <c r="B184" s="155"/>
      <c r="C184" s="160"/>
      <c r="D184" s="160"/>
      <c r="F184" s="92"/>
      <c r="G184" s="140"/>
      <c r="H184" s="140"/>
      <c r="I184" s="140"/>
      <c r="J184" s="140"/>
      <c r="K184" s="140"/>
    </row>
    <row r="185">
      <c r="B185" s="155"/>
      <c r="C185" s="160"/>
      <c r="D185" s="160"/>
      <c r="F185" s="92"/>
      <c r="G185" s="140"/>
      <c r="H185" s="140"/>
      <c r="I185" s="140"/>
      <c r="J185" s="140"/>
      <c r="K185" s="140"/>
    </row>
    <row r="186">
      <c r="B186" s="155"/>
      <c r="C186" s="160"/>
      <c r="D186" s="160"/>
      <c r="F186" s="92"/>
      <c r="G186" s="140"/>
      <c r="H186" s="140"/>
      <c r="I186" s="140"/>
      <c r="J186" s="140"/>
      <c r="K186" s="140"/>
    </row>
    <row r="187">
      <c r="B187" s="155"/>
      <c r="C187" s="160"/>
      <c r="D187" s="160"/>
      <c r="F187" s="92"/>
      <c r="G187" s="140"/>
      <c r="H187" s="140"/>
      <c r="I187" s="140"/>
      <c r="J187" s="140"/>
      <c r="K187" s="140"/>
    </row>
    <row r="188">
      <c r="B188" s="155"/>
      <c r="C188" s="160"/>
      <c r="D188" s="160"/>
      <c r="F188" s="92"/>
      <c r="G188" s="140"/>
      <c r="H188" s="140"/>
      <c r="I188" s="140"/>
      <c r="J188" s="140"/>
      <c r="K188" s="140"/>
    </row>
    <row r="189">
      <c r="B189" s="155"/>
      <c r="C189" s="160"/>
      <c r="D189" s="160"/>
      <c r="F189" s="92"/>
      <c r="G189" s="140"/>
      <c r="H189" s="140"/>
      <c r="I189" s="140"/>
      <c r="J189" s="140"/>
      <c r="K189" s="140"/>
    </row>
    <row r="190">
      <c r="B190" s="155"/>
      <c r="C190" s="160"/>
      <c r="D190" s="160"/>
      <c r="F190" s="92"/>
      <c r="G190" s="140"/>
      <c r="H190" s="140"/>
      <c r="I190" s="140"/>
      <c r="J190" s="140"/>
      <c r="K190" s="140"/>
    </row>
    <row r="191">
      <c r="B191" s="155"/>
      <c r="C191" s="160"/>
      <c r="D191" s="160"/>
      <c r="F191" s="92"/>
      <c r="G191" s="140"/>
      <c r="H191" s="140"/>
      <c r="I191" s="140"/>
      <c r="J191" s="140"/>
      <c r="K191" s="140"/>
    </row>
    <row r="192">
      <c r="B192" s="155"/>
      <c r="C192" s="160"/>
      <c r="D192" s="160"/>
      <c r="F192" s="92"/>
      <c r="G192" s="140"/>
      <c r="H192" s="140"/>
      <c r="I192" s="140"/>
      <c r="J192" s="140"/>
      <c r="K192" s="140"/>
    </row>
    <row r="193">
      <c r="B193" s="155"/>
      <c r="C193" s="160"/>
      <c r="D193" s="160"/>
      <c r="F193" s="92"/>
      <c r="G193" s="140"/>
      <c r="H193" s="140"/>
      <c r="I193" s="140"/>
      <c r="J193" s="140"/>
      <c r="K193" s="140"/>
    </row>
    <row r="194">
      <c r="B194" s="155"/>
      <c r="C194" s="160"/>
      <c r="D194" s="160"/>
      <c r="F194" s="92"/>
      <c r="G194" s="140"/>
      <c r="H194" s="140"/>
      <c r="I194" s="140"/>
      <c r="J194" s="140"/>
      <c r="K194" s="140"/>
    </row>
    <row r="195">
      <c r="B195" s="155"/>
      <c r="C195" s="160"/>
      <c r="D195" s="160"/>
      <c r="F195" s="92"/>
      <c r="G195" s="140"/>
      <c r="H195" s="140"/>
      <c r="I195" s="140"/>
      <c r="J195" s="140"/>
      <c r="K195" s="140"/>
    </row>
    <row r="196">
      <c r="B196" s="155"/>
      <c r="C196" s="160"/>
      <c r="D196" s="160"/>
      <c r="F196" s="92"/>
      <c r="G196" s="140"/>
      <c r="H196" s="140"/>
      <c r="I196" s="140"/>
      <c r="J196" s="140"/>
      <c r="K196" s="140"/>
    </row>
    <row r="197">
      <c r="B197" s="155"/>
      <c r="C197" s="160"/>
      <c r="D197" s="160"/>
      <c r="F197" s="92"/>
      <c r="G197" s="140"/>
      <c r="H197" s="140"/>
      <c r="I197" s="140"/>
      <c r="J197" s="140"/>
      <c r="K197" s="140"/>
    </row>
    <row r="198">
      <c r="B198" s="155"/>
      <c r="C198" s="160"/>
      <c r="D198" s="160"/>
      <c r="F198" s="92"/>
      <c r="G198" s="140"/>
      <c r="H198" s="140"/>
      <c r="I198" s="140"/>
      <c r="J198" s="140"/>
      <c r="K198" s="140"/>
    </row>
    <row r="199">
      <c r="B199" s="155"/>
      <c r="C199" s="160"/>
      <c r="D199" s="160"/>
      <c r="F199" s="92"/>
      <c r="G199" s="140"/>
      <c r="H199" s="140"/>
      <c r="I199" s="140"/>
      <c r="J199" s="140"/>
      <c r="K199" s="140"/>
    </row>
    <row r="200">
      <c r="B200" s="155"/>
      <c r="C200" s="160"/>
      <c r="D200" s="160"/>
      <c r="F200" s="92"/>
      <c r="G200" s="140"/>
      <c r="H200" s="140"/>
      <c r="I200" s="140"/>
      <c r="J200" s="140"/>
      <c r="K200" s="140"/>
    </row>
    <row r="201">
      <c r="B201" s="155"/>
      <c r="C201" s="160"/>
      <c r="D201" s="160"/>
      <c r="F201" s="92"/>
      <c r="G201" s="140"/>
      <c r="H201" s="140"/>
      <c r="I201" s="140"/>
      <c r="J201" s="140"/>
      <c r="K201" s="140"/>
    </row>
    <row r="202">
      <c r="B202" s="155"/>
      <c r="C202" s="160"/>
      <c r="D202" s="160"/>
      <c r="F202" s="92"/>
      <c r="G202" s="140"/>
      <c r="H202" s="140"/>
      <c r="I202" s="140"/>
      <c r="J202" s="140"/>
      <c r="K202" s="140"/>
    </row>
    <row r="203">
      <c r="B203" s="155"/>
      <c r="C203" s="160"/>
      <c r="D203" s="160"/>
      <c r="F203" s="92"/>
      <c r="G203" s="140"/>
      <c r="H203" s="140"/>
      <c r="I203" s="140"/>
      <c r="J203" s="140"/>
      <c r="K203" s="140"/>
    </row>
    <row r="204">
      <c r="B204" s="155"/>
      <c r="C204" s="160"/>
      <c r="D204" s="160"/>
      <c r="F204" s="92"/>
      <c r="G204" s="140"/>
      <c r="H204" s="140"/>
      <c r="I204" s="140"/>
      <c r="J204" s="140"/>
      <c r="K204" s="140"/>
    </row>
    <row r="205">
      <c r="B205" s="155"/>
      <c r="C205" s="160"/>
      <c r="D205" s="160"/>
      <c r="F205" s="92"/>
      <c r="G205" s="140"/>
      <c r="H205" s="140"/>
      <c r="I205" s="140"/>
      <c r="J205" s="140"/>
      <c r="K205" s="140"/>
    </row>
    <row r="206">
      <c r="B206" s="155"/>
      <c r="C206" s="160"/>
      <c r="D206" s="160"/>
      <c r="F206" s="92"/>
      <c r="G206" s="140"/>
      <c r="H206" s="140"/>
      <c r="I206" s="140"/>
      <c r="J206" s="140"/>
      <c r="K206" s="140"/>
    </row>
    <row r="207">
      <c r="B207" s="155"/>
      <c r="C207" s="160"/>
      <c r="D207" s="160"/>
      <c r="F207" s="92"/>
      <c r="G207" s="140"/>
      <c r="H207" s="140"/>
      <c r="I207" s="140"/>
      <c r="J207" s="140"/>
      <c r="K207" s="140"/>
    </row>
    <row r="208">
      <c r="B208" s="155"/>
      <c r="C208" s="160"/>
      <c r="D208" s="160"/>
      <c r="F208" s="92"/>
      <c r="G208" s="140"/>
      <c r="H208" s="140"/>
      <c r="I208" s="140"/>
      <c r="J208" s="140"/>
      <c r="K208" s="140"/>
    </row>
    <row r="209">
      <c r="B209" s="155"/>
      <c r="C209" s="160"/>
      <c r="D209" s="160"/>
      <c r="F209" s="92"/>
      <c r="G209" s="140"/>
      <c r="H209" s="140"/>
      <c r="I209" s="140"/>
      <c r="J209" s="140"/>
      <c r="K209" s="140"/>
    </row>
    <row r="210">
      <c r="B210" s="155"/>
      <c r="C210" s="160"/>
      <c r="D210" s="160"/>
      <c r="F210" s="92"/>
      <c r="G210" s="140"/>
      <c r="H210" s="140"/>
      <c r="I210" s="140"/>
      <c r="J210" s="140"/>
      <c r="K210" s="140"/>
    </row>
    <row r="211">
      <c r="B211" s="155"/>
      <c r="C211" s="160"/>
      <c r="D211" s="160"/>
      <c r="F211" s="92"/>
      <c r="G211" s="140"/>
      <c r="H211" s="140"/>
      <c r="I211" s="140"/>
      <c r="J211" s="140"/>
      <c r="K211" s="140"/>
    </row>
    <row r="212">
      <c r="B212" s="155"/>
      <c r="C212" s="160"/>
      <c r="D212" s="160"/>
      <c r="F212" s="92"/>
      <c r="G212" s="140"/>
      <c r="H212" s="140"/>
      <c r="I212" s="140"/>
      <c r="J212" s="140"/>
      <c r="K212" s="140"/>
    </row>
    <row r="213">
      <c r="B213" s="155"/>
      <c r="C213" s="160"/>
      <c r="D213" s="160"/>
      <c r="F213" s="92"/>
      <c r="G213" s="140"/>
      <c r="H213" s="140"/>
      <c r="I213" s="140"/>
      <c r="J213" s="140"/>
      <c r="K213" s="140"/>
    </row>
    <row r="214">
      <c r="B214" s="155"/>
      <c r="C214" s="160"/>
      <c r="D214" s="160"/>
      <c r="F214" s="92"/>
      <c r="G214" s="140"/>
      <c r="H214" s="140"/>
      <c r="I214" s="140"/>
      <c r="J214" s="140"/>
      <c r="K214" s="140"/>
    </row>
    <row r="215">
      <c r="B215" s="155"/>
      <c r="C215" s="160"/>
      <c r="D215" s="160"/>
      <c r="F215" s="92"/>
      <c r="G215" s="140"/>
      <c r="H215" s="140"/>
      <c r="I215" s="140"/>
      <c r="J215" s="140"/>
      <c r="K215" s="140"/>
    </row>
    <row r="216">
      <c r="B216" s="155"/>
      <c r="C216" s="160"/>
      <c r="D216" s="160"/>
      <c r="F216" s="92"/>
      <c r="G216" s="140"/>
      <c r="H216" s="140"/>
      <c r="I216" s="140"/>
      <c r="J216" s="140"/>
      <c r="K216" s="140"/>
    </row>
    <row r="217">
      <c r="B217" s="155"/>
      <c r="C217" s="160"/>
      <c r="D217" s="160"/>
      <c r="F217" s="92"/>
      <c r="G217" s="140"/>
      <c r="H217" s="140"/>
      <c r="I217" s="140"/>
      <c r="J217" s="140"/>
      <c r="K217" s="140"/>
    </row>
    <row r="218">
      <c r="B218" s="155"/>
      <c r="C218" s="160"/>
      <c r="D218" s="160"/>
      <c r="F218" s="92"/>
      <c r="G218" s="140"/>
      <c r="H218" s="140"/>
      <c r="I218" s="140"/>
      <c r="J218" s="140"/>
      <c r="K218" s="140"/>
    </row>
    <row r="219">
      <c r="B219" s="155"/>
      <c r="C219" s="160"/>
      <c r="D219" s="160"/>
      <c r="F219" s="92"/>
      <c r="G219" s="140"/>
      <c r="H219" s="140"/>
      <c r="I219" s="140"/>
      <c r="J219" s="140"/>
      <c r="K219" s="140"/>
    </row>
    <row r="220">
      <c r="B220" s="155"/>
      <c r="C220" s="160"/>
      <c r="D220" s="160"/>
      <c r="F220" s="92"/>
      <c r="G220" s="140"/>
      <c r="H220" s="140"/>
      <c r="I220" s="140"/>
      <c r="J220" s="140"/>
      <c r="K220" s="140"/>
    </row>
    <row r="221">
      <c r="B221" s="155"/>
      <c r="C221" s="160"/>
      <c r="D221" s="160"/>
      <c r="F221" s="92"/>
      <c r="G221" s="140"/>
      <c r="H221" s="140"/>
      <c r="I221" s="140"/>
      <c r="J221" s="140"/>
      <c r="K221" s="140"/>
    </row>
    <row r="222">
      <c r="B222" s="155"/>
      <c r="C222" s="160"/>
      <c r="D222" s="160"/>
      <c r="F222" s="92"/>
      <c r="G222" s="140"/>
      <c r="H222" s="140"/>
      <c r="I222" s="140"/>
      <c r="J222" s="140"/>
      <c r="K222" s="140"/>
    </row>
    <row r="223">
      <c r="B223" s="155"/>
      <c r="C223" s="160"/>
      <c r="D223" s="160"/>
      <c r="F223" s="92"/>
      <c r="G223" s="140"/>
      <c r="H223" s="140"/>
      <c r="I223" s="140"/>
      <c r="J223" s="140"/>
      <c r="K223" s="140"/>
    </row>
    <row r="224">
      <c r="B224" s="155"/>
      <c r="C224" s="160"/>
      <c r="D224" s="160"/>
      <c r="F224" s="92"/>
      <c r="G224" s="140"/>
      <c r="H224" s="140"/>
      <c r="I224" s="140"/>
      <c r="J224" s="140"/>
      <c r="K224" s="140"/>
    </row>
    <row r="225">
      <c r="B225" s="155"/>
      <c r="C225" s="160"/>
      <c r="D225" s="160"/>
      <c r="F225" s="92"/>
      <c r="G225" s="140"/>
      <c r="H225" s="140"/>
      <c r="I225" s="140"/>
      <c r="J225" s="140"/>
      <c r="K225" s="140"/>
    </row>
    <row r="226">
      <c r="B226" s="155"/>
      <c r="C226" s="160"/>
      <c r="D226" s="160"/>
      <c r="F226" s="92"/>
      <c r="G226" s="140"/>
      <c r="H226" s="140"/>
      <c r="I226" s="140"/>
      <c r="J226" s="140"/>
      <c r="K226" s="140"/>
    </row>
    <row r="227">
      <c r="B227" s="155"/>
      <c r="C227" s="160"/>
      <c r="D227" s="160"/>
      <c r="F227" s="92"/>
      <c r="G227" s="140"/>
      <c r="H227" s="140"/>
      <c r="I227" s="140"/>
      <c r="J227" s="140"/>
      <c r="K227" s="140"/>
    </row>
    <row r="228">
      <c r="B228" s="155"/>
      <c r="C228" s="160"/>
      <c r="D228" s="160"/>
      <c r="F228" s="92"/>
      <c r="G228" s="140"/>
      <c r="H228" s="140"/>
      <c r="I228" s="140"/>
      <c r="J228" s="140"/>
      <c r="K228" s="140"/>
    </row>
    <row r="229">
      <c r="B229" s="155"/>
      <c r="C229" s="160"/>
      <c r="D229" s="160"/>
      <c r="F229" s="92"/>
      <c r="G229" s="140"/>
      <c r="H229" s="140"/>
      <c r="I229" s="140"/>
      <c r="J229" s="140"/>
      <c r="K229" s="140"/>
    </row>
    <row r="230">
      <c r="B230" s="155"/>
      <c r="C230" s="160"/>
      <c r="D230" s="160"/>
      <c r="F230" s="92"/>
      <c r="G230" s="140"/>
      <c r="H230" s="140"/>
      <c r="I230" s="140"/>
      <c r="J230" s="140"/>
      <c r="K230" s="140"/>
    </row>
    <row r="231">
      <c r="B231" s="155"/>
      <c r="C231" s="160"/>
      <c r="D231" s="160"/>
      <c r="F231" s="92"/>
      <c r="G231" s="140"/>
      <c r="H231" s="140"/>
      <c r="I231" s="140"/>
      <c r="J231" s="140"/>
      <c r="K231" s="140"/>
    </row>
    <row r="232">
      <c r="B232" s="155"/>
      <c r="C232" s="160"/>
      <c r="D232" s="160"/>
      <c r="F232" s="92"/>
      <c r="G232" s="140"/>
      <c r="H232" s="140"/>
      <c r="I232" s="140"/>
      <c r="J232" s="140"/>
      <c r="K232" s="140"/>
    </row>
    <row r="233">
      <c r="B233" s="155"/>
      <c r="C233" s="160"/>
      <c r="D233" s="160"/>
      <c r="F233" s="92"/>
      <c r="G233" s="140"/>
      <c r="H233" s="140"/>
      <c r="I233" s="140"/>
      <c r="J233" s="140"/>
      <c r="K233" s="140"/>
    </row>
    <row r="234">
      <c r="B234" s="155"/>
      <c r="C234" s="160"/>
      <c r="D234" s="160"/>
      <c r="F234" s="92"/>
      <c r="G234" s="140"/>
      <c r="H234" s="140"/>
      <c r="I234" s="140"/>
      <c r="J234" s="140"/>
      <c r="K234" s="140"/>
    </row>
    <row r="235">
      <c r="B235" s="155"/>
      <c r="C235" s="160"/>
      <c r="D235" s="160"/>
      <c r="F235" s="92"/>
      <c r="G235" s="140"/>
      <c r="H235" s="140"/>
      <c r="I235" s="140"/>
      <c r="J235" s="140"/>
      <c r="K235" s="140"/>
    </row>
    <row r="236">
      <c r="B236" s="155"/>
      <c r="C236" s="160"/>
      <c r="D236" s="160"/>
      <c r="F236" s="92"/>
      <c r="G236" s="140"/>
      <c r="H236" s="140"/>
      <c r="I236" s="140"/>
      <c r="J236" s="140"/>
      <c r="K236" s="140"/>
    </row>
    <row r="237">
      <c r="B237" s="155"/>
      <c r="C237" s="160"/>
      <c r="D237" s="160"/>
      <c r="F237" s="92"/>
      <c r="G237" s="140"/>
      <c r="H237" s="140"/>
      <c r="I237" s="140"/>
      <c r="J237" s="140"/>
      <c r="K237" s="140"/>
    </row>
    <row r="238">
      <c r="B238" s="155"/>
      <c r="C238" s="160"/>
      <c r="D238" s="160"/>
      <c r="F238" s="92"/>
      <c r="G238" s="140"/>
      <c r="H238" s="140"/>
      <c r="I238" s="140"/>
      <c r="J238" s="140"/>
      <c r="K238" s="140"/>
    </row>
    <row r="239">
      <c r="B239" s="155"/>
      <c r="C239" s="160"/>
      <c r="D239" s="160"/>
      <c r="F239" s="92"/>
      <c r="G239" s="140"/>
      <c r="H239" s="140"/>
      <c r="I239" s="140"/>
      <c r="J239" s="140"/>
      <c r="K239" s="140"/>
    </row>
    <row r="240">
      <c r="B240" s="155"/>
      <c r="C240" s="160"/>
      <c r="D240" s="160"/>
      <c r="F240" s="92"/>
      <c r="G240" s="140"/>
      <c r="H240" s="140"/>
      <c r="I240" s="140"/>
      <c r="J240" s="140"/>
      <c r="K240" s="140"/>
    </row>
    <row r="241">
      <c r="B241" s="155"/>
      <c r="C241" s="160"/>
      <c r="D241" s="160"/>
      <c r="F241" s="92"/>
      <c r="G241" s="140"/>
      <c r="H241" s="140"/>
      <c r="I241" s="140"/>
      <c r="J241" s="140"/>
      <c r="K241" s="140"/>
    </row>
    <row r="242">
      <c r="B242" s="155"/>
      <c r="C242" s="160"/>
      <c r="D242" s="160"/>
      <c r="F242" s="92"/>
      <c r="G242" s="140"/>
      <c r="H242" s="140"/>
      <c r="I242" s="140"/>
      <c r="J242" s="140"/>
      <c r="K242" s="140"/>
    </row>
    <row r="243">
      <c r="B243" s="155"/>
      <c r="C243" s="160"/>
      <c r="D243" s="160"/>
      <c r="F243" s="92"/>
      <c r="G243" s="140"/>
      <c r="H243" s="140"/>
      <c r="I243" s="140"/>
      <c r="J243" s="140"/>
      <c r="K243" s="140"/>
    </row>
    <row r="244">
      <c r="B244" s="155"/>
      <c r="C244" s="160"/>
      <c r="D244" s="160"/>
      <c r="F244" s="92"/>
      <c r="G244" s="140"/>
      <c r="H244" s="140"/>
      <c r="I244" s="140"/>
      <c r="J244" s="140"/>
      <c r="K244" s="140"/>
    </row>
    <row r="245">
      <c r="B245" s="155"/>
      <c r="C245" s="160"/>
      <c r="D245" s="160"/>
      <c r="F245" s="92"/>
      <c r="G245" s="140"/>
      <c r="H245" s="140"/>
      <c r="I245" s="140"/>
      <c r="J245" s="140"/>
      <c r="K245" s="140"/>
    </row>
    <row r="246">
      <c r="B246" s="155"/>
      <c r="C246" s="160"/>
      <c r="D246" s="160"/>
      <c r="F246" s="92"/>
      <c r="G246" s="140"/>
      <c r="H246" s="140"/>
      <c r="I246" s="140"/>
      <c r="J246" s="140"/>
      <c r="K246" s="140"/>
    </row>
    <row r="247">
      <c r="B247" s="155"/>
      <c r="C247" s="160"/>
      <c r="D247" s="160"/>
      <c r="F247" s="92"/>
      <c r="G247" s="140"/>
      <c r="H247" s="140"/>
      <c r="I247" s="140"/>
      <c r="J247" s="140"/>
      <c r="K247" s="140"/>
    </row>
    <row r="248">
      <c r="B248" s="155"/>
      <c r="C248" s="160"/>
      <c r="D248" s="160"/>
      <c r="F248" s="92"/>
      <c r="G248" s="140"/>
      <c r="H248" s="140"/>
      <c r="I248" s="140"/>
      <c r="J248" s="140"/>
      <c r="K248" s="140"/>
    </row>
    <row r="249">
      <c r="B249" s="155"/>
      <c r="C249" s="160"/>
      <c r="D249" s="160"/>
      <c r="F249" s="92"/>
      <c r="G249" s="140"/>
      <c r="H249" s="140"/>
      <c r="I249" s="140"/>
      <c r="J249" s="140"/>
      <c r="K249" s="140"/>
    </row>
    <row r="250">
      <c r="B250" s="155"/>
      <c r="C250" s="160"/>
      <c r="D250" s="160"/>
      <c r="F250" s="92"/>
      <c r="G250" s="140"/>
      <c r="H250" s="140"/>
      <c r="I250" s="140"/>
      <c r="J250" s="140"/>
      <c r="K250" s="140"/>
    </row>
    <row r="251">
      <c r="B251" s="155"/>
      <c r="C251" s="160"/>
      <c r="D251" s="160"/>
      <c r="F251" s="92"/>
      <c r="G251" s="140"/>
      <c r="H251" s="140"/>
      <c r="I251" s="140"/>
      <c r="J251" s="140"/>
      <c r="K251" s="140"/>
    </row>
    <row r="252">
      <c r="B252" s="155"/>
      <c r="C252" s="160"/>
      <c r="D252" s="160"/>
      <c r="F252" s="92"/>
      <c r="G252" s="140"/>
      <c r="H252" s="140"/>
      <c r="I252" s="140"/>
      <c r="J252" s="140"/>
      <c r="K252" s="140"/>
    </row>
    <row r="253">
      <c r="B253" s="155"/>
      <c r="C253" s="160"/>
      <c r="D253" s="160"/>
      <c r="F253" s="92"/>
      <c r="G253" s="140"/>
      <c r="H253" s="140"/>
      <c r="I253" s="140"/>
      <c r="J253" s="140"/>
      <c r="K253" s="140"/>
    </row>
    <row r="254">
      <c r="B254" s="155"/>
      <c r="C254" s="160"/>
      <c r="D254" s="160"/>
      <c r="F254" s="92"/>
      <c r="G254" s="140"/>
      <c r="H254" s="140"/>
      <c r="I254" s="140"/>
      <c r="J254" s="140"/>
      <c r="K254" s="140"/>
    </row>
    <row r="255">
      <c r="B255" s="155"/>
      <c r="C255" s="160"/>
      <c r="D255" s="160"/>
      <c r="F255" s="92"/>
      <c r="G255" s="140"/>
      <c r="H255" s="140"/>
      <c r="I255" s="140"/>
      <c r="J255" s="140"/>
      <c r="K255" s="140"/>
    </row>
    <row r="256">
      <c r="B256" s="155"/>
      <c r="C256" s="160"/>
      <c r="D256" s="160"/>
      <c r="F256" s="92"/>
      <c r="G256" s="140"/>
      <c r="H256" s="140"/>
      <c r="I256" s="140"/>
      <c r="J256" s="140"/>
      <c r="K256" s="140"/>
    </row>
    <row r="257">
      <c r="B257" s="155"/>
      <c r="C257" s="160"/>
      <c r="D257" s="160"/>
      <c r="F257" s="92"/>
      <c r="G257" s="140"/>
      <c r="H257" s="140"/>
      <c r="I257" s="140"/>
      <c r="J257" s="140"/>
      <c r="K257" s="140"/>
    </row>
    <row r="258">
      <c r="B258" s="155"/>
      <c r="C258" s="160"/>
      <c r="D258" s="160"/>
      <c r="F258" s="92"/>
      <c r="G258" s="140"/>
      <c r="H258" s="140"/>
      <c r="I258" s="140"/>
      <c r="J258" s="140"/>
      <c r="K258" s="140"/>
    </row>
    <row r="259">
      <c r="B259" s="155"/>
      <c r="C259" s="160"/>
      <c r="D259" s="160"/>
      <c r="F259" s="92"/>
      <c r="G259" s="140"/>
      <c r="H259" s="140"/>
      <c r="I259" s="140"/>
      <c r="J259" s="140"/>
      <c r="K259" s="140"/>
    </row>
    <row r="260">
      <c r="B260" s="155"/>
      <c r="C260" s="160"/>
      <c r="D260" s="160"/>
      <c r="F260" s="92"/>
      <c r="G260" s="140"/>
      <c r="H260" s="140"/>
      <c r="I260" s="140"/>
      <c r="J260" s="140"/>
      <c r="K260" s="140"/>
    </row>
    <row r="261">
      <c r="B261" s="155"/>
      <c r="C261" s="160"/>
      <c r="D261" s="160"/>
      <c r="F261" s="92"/>
      <c r="G261" s="140"/>
      <c r="H261" s="140"/>
      <c r="I261" s="140"/>
      <c r="J261" s="140"/>
      <c r="K261" s="140"/>
    </row>
    <row r="262">
      <c r="B262" s="155"/>
      <c r="C262" s="160"/>
      <c r="D262" s="160"/>
      <c r="F262" s="92"/>
      <c r="G262" s="140"/>
      <c r="H262" s="140"/>
      <c r="I262" s="140"/>
      <c r="J262" s="140"/>
      <c r="K262" s="140"/>
    </row>
    <row r="263">
      <c r="B263" s="155"/>
      <c r="C263" s="160"/>
      <c r="D263" s="160"/>
      <c r="F263" s="92"/>
      <c r="G263" s="140"/>
      <c r="H263" s="140"/>
      <c r="I263" s="140"/>
      <c r="J263" s="140"/>
      <c r="K263" s="140"/>
    </row>
    <row r="264">
      <c r="B264" s="155"/>
      <c r="C264" s="160"/>
      <c r="D264" s="160"/>
      <c r="F264" s="92"/>
      <c r="G264" s="140"/>
      <c r="H264" s="140"/>
      <c r="I264" s="140"/>
      <c r="J264" s="140"/>
      <c r="K264" s="140"/>
    </row>
    <row r="265">
      <c r="B265" s="155"/>
      <c r="C265" s="160"/>
      <c r="D265" s="160"/>
      <c r="F265" s="92"/>
      <c r="G265" s="140"/>
      <c r="H265" s="140"/>
      <c r="I265" s="140"/>
      <c r="J265" s="140"/>
      <c r="K265" s="140"/>
    </row>
    <row r="266">
      <c r="B266" s="155"/>
      <c r="C266" s="160"/>
      <c r="D266" s="160"/>
      <c r="F266" s="92"/>
      <c r="G266" s="140"/>
      <c r="H266" s="140"/>
      <c r="I266" s="140"/>
      <c r="J266" s="140"/>
      <c r="K266" s="140"/>
    </row>
    <row r="267">
      <c r="B267" s="155"/>
      <c r="C267" s="160"/>
      <c r="D267" s="160"/>
      <c r="F267" s="92"/>
      <c r="G267" s="140"/>
      <c r="H267" s="140"/>
      <c r="I267" s="140"/>
      <c r="J267" s="140"/>
      <c r="K267" s="140"/>
    </row>
    <row r="268">
      <c r="B268" s="155"/>
      <c r="C268" s="160"/>
      <c r="D268" s="160"/>
      <c r="F268" s="92"/>
      <c r="G268" s="140"/>
      <c r="H268" s="140"/>
      <c r="I268" s="140"/>
      <c r="J268" s="140"/>
      <c r="K268" s="140"/>
    </row>
    <row r="269">
      <c r="B269" s="155"/>
      <c r="C269" s="160"/>
      <c r="D269" s="160"/>
      <c r="F269" s="92"/>
      <c r="G269" s="140"/>
      <c r="H269" s="140"/>
      <c r="I269" s="140"/>
      <c r="J269" s="140"/>
      <c r="K269" s="140"/>
    </row>
    <row r="270">
      <c r="B270" s="155"/>
      <c r="C270" s="160"/>
      <c r="D270" s="160"/>
      <c r="F270" s="92"/>
      <c r="G270" s="140"/>
      <c r="H270" s="140"/>
      <c r="I270" s="140"/>
      <c r="J270" s="140"/>
      <c r="K270" s="140"/>
    </row>
    <row r="271">
      <c r="B271" s="155"/>
      <c r="C271" s="160"/>
      <c r="D271" s="160"/>
      <c r="F271" s="92"/>
      <c r="G271" s="140"/>
      <c r="H271" s="140"/>
      <c r="I271" s="140"/>
      <c r="J271" s="140"/>
      <c r="K271" s="140"/>
    </row>
    <row r="272">
      <c r="B272" s="155"/>
      <c r="C272" s="160"/>
      <c r="D272" s="160"/>
      <c r="F272" s="92"/>
      <c r="G272" s="140"/>
      <c r="H272" s="140"/>
      <c r="I272" s="140"/>
      <c r="J272" s="140"/>
      <c r="K272" s="140"/>
    </row>
    <row r="273">
      <c r="B273" s="155"/>
      <c r="C273" s="160"/>
      <c r="D273" s="160"/>
      <c r="F273" s="92"/>
      <c r="G273" s="140"/>
      <c r="H273" s="140"/>
      <c r="I273" s="140"/>
      <c r="J273" s="140"/>
      <c r="K273" s="140"/>
    </row>
    <row r="274">
      <c r="B274" s="155"/>
      <c r="C274" s="160"/>
      <c r="D274" s="160"/>
      <c r="F274" s="92"/>
      <c r="G274" s="140"/>
      <c r="H274" s="140"/>
      <c r="I274" s="140"/>
      <c r="J274" s="140"/>
      <c r="K274" s="140"/>
    </row>
    <row r="275">
      <c r="B275" s="155"/>
      <c r="C275" s="160"/>
      <c r="D275" s="160"/>
      <c r="F275" s="92"/>
      <c r="G275" s="140"/>
      <c r="H275" s="140"/>
      <c r="I275" s="140"/>
      <c r="J275" s="140"/>
      <c r="K275" s="140"/>
    </row>
    <row r="276">
      <c r="B276" s="155"/>
      <c r="C276" s="160"/>
      <c r="D276" s="160"/>
      <c r="F276" s="92"/>
      <c r="G276" s="140"/>
      <c r="H276" s="140"/>
      <c r="I276" s="140"/>
      <c r="J276" s="140"/>
      <c r="K276" s="140"/>
    </row>
    <row r="277">
      <c r="B277" s="155"/>
      <c r="C277" s="160"/>
      <c r="D277" s="160"/>
      <c r="F277" s="92"/>
      <c r="G277" s="140"/>
      <c r="H277" s="140"/>
      <c r="I277" s="140"/>
      <c r="J277" s="140"/>
      <c r="K277" s="140"/>
    </row>
    <row r="278">
      <c r="B278" s="155"/>
      <c r="C278" s="160"/>
      <c r="D278" s="160"/>
      <c r="F278" s="92"/>
      <c r="G278" s="140"/>
      <c r="H278" s="140"/>
      <c r="I278" s="140"/>
      <c r="J278" s="140"/>
      <c r="K278" s="140"/>
    </row>
    <row r="279">
      <c r="B279" s="155"/>
      <c r="C279" s="160"/>
      <c r="D279" s="160"/>
      <c r="F279" s="92"/>
      <c r="G279" s="140"/>
      <c r="H279" s="140"/>
      <c r="I279" s="140"/>
      <c r="J279" s="140"/>
      <c r="K279" s="140"/>
    </row>
    <row r="280">
      <c r="B280" s="155"/>
      <c r="C280" s="160"/>
      <c r="D280" s="160"/>
      <c r="F280" s="92"/>
      <c r="G280" s="140"/>
      <c r="H280" s="140"/>
      <c r="I280" s="140"/>
      <c r="J280" s="140"/>
      <c r="K280" s="140"/>
    </row>
    <row r="281">
      <c r="B281" s="155"/>
      <c r="C281" s="160"/>
      <c r="D281" s="160"/>
      <c r="F281" s="92"/>
      <c r="G281" s="140"/>
      <c r="H281" s="140"/>
      <c r="I281" s="140"/>
      <c r="J281" s="140"/>
      <c r="K281" s="140"/>
    </row>
    <row r="282">
      <c r="B282" s="155"/>
      <c r="C282" s="160"/>
      <c r="D282" s="160"/>
      <c r="F282" s="92"/>
      <c r="G282" s="140"/>
      <c r="H282" s="140"/>
      <c r="I282" s="140"/>
      <c r="J282" s="140"/>
      <c r="K282" s="140"/>
    </row>
    <row r="283">
      <c r="B283" s="155"/>
      <c r="C283" s="160"/>
      <c r="D283" s="160"/>
      <c r="F283" s="92"/>
      <c r="G283" s="140"/>
      <c r="H283" s="140"/>
      <c r="I283" s="140"/>
      <c r="J283" s="140"/>
      <c r="K283" s="140"/>
    </row>
    <row r="284">
      <c r="B284" s="155"/>
      <c r="C284" s="160"/>
      <c r="D284" s="160"/>
      <c r="F284" s="92"/>
      <c r="G284" s="140"/>
      <c r="H284" s="140"/>
      <c r="I284" s="140"/>
      <c r="J284" s="140"/>
      <c r="K284" s="140"/>
    </row>
    <row r="285">
      <c r="B285" s="155"/>
      <c r="C285" s="160"/>
      <c r="D285" s="160"/>
      <c r="F285" s="92"/>
      <c r="G285" s="140"/>
      <c r="H285" s="140"/>
      <c r="I285" s="140"/>
      <c r="J285" s="140"/>
      <c r="K285" s="140"/>
    </row>
    <row r="286">
      <c r="B286" s="155"/>
      <c r="C286" s="160"/>
      <c r="D286" s="160"/>
      <c r="F286" s="92"/>
      <c r="G286" s="140"/>
      <c r="H286" s="140"/>
      <c r="I286" s="140"/>
      <c r="J286" s="140"/>
      <c r="K286" s="140"/>
    </row>
    <row r="287">
      <c r="B287" s="155"/>
      <c r="C287" s="160"/>
      <c r="D287" s="160"/>
      <c r="F287" s="92"/>
      <c r="G287" s="140"/>
      <c r="H287" s="140"/>
      <c r="I287" s="140"/>
      <c r="J287" s="140"/>
      <c r="K287" s="140"/>
    </row>
    <row r="288">
      <c r="B288" s="155"/>
      <c r="C288" s="160"/>
      <c r="D288" s="160"/>
      <c r="F288" s="92"/>
      <c r="G288" s="140"/>
      <c r="H288" s="140"/>
      <c r="I288" s="140"/>
      <c r="J288" s="140"/>
      <c r="K288" s="140"/>
    </row>
    <row r="289">
      <c r="B289" s="155"/>
      <c r="C289" s="160"/>
      <c r="D289" s="160"/>
      <c r="F289" s="92"/>
      <c r="G289" s="140"/>
      <c r="H289" s="140"/>
      <c r="I289" s="140"/>
      <c r="J289" s="140"/>
      <c r="K289" s="140"/>
    </row>
    <row r="290">
      <c r="B290" s="155"/>
      <c r="C290" s="160"/>
      <c r="D290" s="160"/>
      <c r="F290" s="92"/>
      <c r="G290" s="140"/>
      <c r="H290" s="140"/>
      <c r="I290" s="140"/>
      <c r="J290" s="140"/>
      <c r="K290" s="140"/>
    </row>
    <row r="291">
      <c r="B291" s="155"/>
      <c r="C291" s="160"/>
      <c r="D291" s="160"/>
      <c r="F291" s="92"/>
      <c r="G291" s="140"/>
      <c r="H291" s="140"/>
      <c r="I291" s="140"/>
      <c r="J291" s="140"/>
      <c r="K291" s="140"/>
    </row>
    <row r="292">
      <c r="B292" s="155"/>
      <c r="C292" s="160"/>
      <c r="D292" s="160"/>
      <c r="F292" s="92"/>
      <c r="G292" s="140"/>
      <c r="H292" s="140"/>
      <c r="I292" s="140"/>
      <c r="J292" s="140"/>
      <c r="K292" s="140"/>
    </row>
    <row r="293">
      <c r="B293" s="155"/>
      <c r="C293" s="160"/>
      <c r="D293" s="160"/>
      <c r="F293" s="92"/>
      <c r="G293" s="140"/>
      <c r="H293" s="140"/>
      <c r="I293" s="140"/>
      <c r="J293" s="140"/>
      <c r="K293" s="140"/>
    </row>
    <row r="294">
      <c r="B294" s="155"/>
      <c r="C294" s="160"/>
      <c r="D294" s="160"/>
      <c r="F294" s="92"/>
      <c r="G294" s="140"/>
      <c r="H294" s="140"/>
      <c r="I294" s="140"/>
      <c r="J294" s="140"/>
      <c r="K294" s="140"/>
    </row>
    <row r="295">
      <c r="B295" s="155"/>
      <c r="C295" s="160"/>
      <c r="D295" s="160"/>
      <c r="F295" s="92"/>
      <c r="G295" s="140"/>
      <c r="H295" s="140"/>
      <c r="I295" s="140"/>
      <c r="J295" s="140"/>
      <c r="K295" s="140"/>
    </row>
    <row r="296">
      <c r="B296" s="155"/>
      <c r="C296" s="160"/>
      <c r="D296" s="160"/>
      <c r="F296" s="92"/>
      <c r="G296" s="140"/>
      <c r="H296" s="140"/>
      <c r="I296" s="140"/>
      <c r="J296" s="140"/>
      <c r="K296" s="140"/>
    </row>
    <row r="297">
      <c r="B297" s="155"/>
      <c r="C297" s="160"/>
      <c r="D297" s="160"/>
      <c r="F297" s="92"/>
      <c r="G297" s="140"/>
      <c r="H297" s="140"/>
      <c r="I297" s="140"/>
      <c r="J297" s="140"/>
      <c r="K297" s="140"/>
    </row>
    <row r="298">
      <c r="B298" s="155"/>
      <c r="C298" s="160"/>
      <c r="D298" s="160"/>
      <c r="F298" s="92"/>
      <c r="G298" s="140"/>
      <c r="H298" s="140"/>
      <c r="I298" s="140"/>
      <c r="J298" s="140"/>
      <c r="K298" s="140"/>
    </row>
    <row r="299">
      <c r="B299" s="155"/>
      <c r="C299" s="160"/>
      <c r="D299" s="160"/>
      <c r="F299" s="92"/>
      <c r="G299" s="140"/>
      <c r="H299" s="140"/>
      <c r="I299" s="140"/>
      <c r="J299" s="140"/>
      <c r="K299" s="140"/>
    </row>
    <row r="300">
      <c r="B300" s="155"/>
      <c r="C300" s="160"/>
      <c r="D300" s="160"/>
      <c r="F300" s="92"/>
      <c r="G300" s="140"/>
      <c r="H300" s="140"/>
      <c r="I300" s="140"/>
      <c r="J300" s="140"/>
      <c r="K300" s="140"/>
    </row>
    <row r="301">
      <c r="B301" s="155"/>
      <c r="C301" s="160"/>
      <c r="D301" s="160"/>
      <c r="F301" s="92"/>
      <c r="G301" s="140"/>
      <c r="H301" s="140"/>
      <c r="I301" s="140"/>
      <c r="J301" s="140"/>
      <c r="K301" s="140"/>
    </row>
    <row r="302">
      <c r="B302" s="155"/>
      <c r="C302" s="160"/>
      <c r="D302" s="160"/>
      <c r="F302" s="92"/>
      <c r="G302" s="140"/>
      <c r="H302" s="140"/>
      <c r="I302" s="140"/>
      <c r="J302" s="140"/>
      <c r="K302" s="140"/>
    </row>
    <row r="303">
      <c r="B303" s="155"/>
      <c r="C303" s="160"/>
      <c r="D303" s="160"/>
      <c r="F303" s="92"/>
      <c r="G303" s="140"/>
      <c r="H303" s="140"/>
      <c r="I303" s="140"/>
      <c r="J303" s="140"/>
      <c r="K303" s="140"/>
    </row>
    <row r="304">
      <c r="B304" s="155"/>
      <c r="C304" s="160"/>
      <c r="D304" s="160"/>
      <c r="F304" s="92"/>
      <c r="G304" s="140"/>
      <c r="H304" s="140"/>
      <c r="I304" s="140"/>
      <c r="J304" s="140"/>
      <c r="K304" s="140"/>
    </row>
    <row r="305">
      <c r="B305" s="155"/>
      <c r="C305" s="160"/>
      <c r="D305" s="160"/>
      <c r="F305" s="92"/>
      <c r="G305" s="140"/>
      <c r="H305" s="140"/>
      <c r="I305" s="140"/>
      <c r="J305" s="140"/>
      <c r="K305" s="140"/>
    </row>
    <row r="306">
      <c r="B306" s="155"/>
      <c r="C306" s="160"/>
      <c r="D306" s="160"/>
      <c r="F306" s="92"/>
      <c r="G306" s="140"/>
      <c r="H306" s="140"/>
      <c r="I306" s="140"/>
      <c r="J306" s="140"/>
      <c r="K306" s="140"/>
    </row>
    <row r="307">
      <c r="B307" s="155"/>
      <c r="C307" s="160"/>
      <c r="D307" s="160"/>
      <c r="F307" s="92"/>
      <c r="G307" s="140"/>
      <c r="H307" s="140"/>
      <c r="I307" s="140"/>
      <c r="J307" s="140"/>
      <c r="K307" s="140"/>
    </row>
    <row r="308">
      <c r="B308" s="155"/>
      <c r="C308" s="160"/>
      <c r="D308" s="160"/>
      <c r="F308" s="92"/>
      <c r="G308" s="140"/>
      <c r="H308" s="140"/>
      <c r="I308" s="140"/>
      <c r="J308" s="140"/>
      <c r="K308" s="140"/>
    </row>
    <row r="309">
      <c r="B309" s="155"/>
      <c r="C309" s="160"/>
      <c r="D309" s="160"/>
      <c r="F309" s="92"/>
      <c r="G309" s="140"/>
      <c r="H309" s="140"/>
      <c r="I309" s="140"/>
      <c r="J309" s="140"/>
      <c r="K309" s="140"/>
    </row>
    <row r="310">
      <c r="B310" s="155"/>
      <c r="C310" s="160"/>
      <c r="D310" s="160"/>
      <c r="F310" s="92"/>
      <c r="G310" s="140"/>
      <c r="H310" s="140"/>
      <c r="I310" s="140"/>
      <c r="J310" s="140"/>
      <c r="K310" s="140"/>
    </row>
    <row r="311">
      <c r="B311" s="155"/>
      <c r="C311" s="160"/>
      <c r="D311" s="160"/>
      <c r="F311" s="92"/>
      <c r="G311" s="140"/>
      <c r="H311" s="140"/>
      <c r="I311" s="140"/>
      <c r="J311" s="140"/>
      <c r="K311" s="140"/>
    </row>
    <row r="312">
      <c r="B312" s="155"/>
      <c r="C312" s="160"/>
      <c r="D312" s="160"/>
      <c r="F312" s="92"/>
      <c r="G312" s="140"/>
      <c r="H312" s="140"/>
      <c r="I312" s="140"/>
      <c r="J312" s="140"/>
      <c r="K312" s="140"/>
    </row>
    <row r="313">
      <c r="B313" s="155"/>
      <c r="C313" s="160"/>
      <c r="D313" s="160"/>
      <c r="F313" s="92"/>
      <c r="G313" s="140"/>
      <c r="H313" s="140"/>
      <c r="I313" s="140"/>
      <c r="J313" s="140"/>
      <c r="K313" s="140"/>
    </row>
    <row r="314">
      <c r="B314" s="155"/>
      <c r="C314" s="160"/>
      <c r="D314" s="160"/>
      <c r="F314" s="92"/>
      <c r="G314" s="140"/>
      <c r="H314" s="140"/>
      <c r="I314" s="140"/>
      <c r="J314" s="140"/>
      <c r="K314" s="140"/>
    </row>
    <row r="315">
      <c r="B315" s="155"/>
      <c r="C315" s="160"/>
      <c r="D315" s="160"/>
      <c r="F315" s="92"/>
      <c r="G315" s="140"/>
      <c r="H315" s="140"/>
      <c r="I315" s="140"/>
      <c r="J315" s="140"/>
      <c r="K315" s="140"/>
    </row>
    <row r="316">
      <c r="B316" s="155"/>
      <c r="C316" s="160"/>
      <c r="D316" s="160"/>
      <c r="F316" s="92"/>
      <c r="G316" s="140"/>
      <c r="H316" s="140"/>
      <c r="I316" s="140"/>
      <c r="J316" s="140"/>
      <c r="K316" s="140"/>
    </row>
    <row r="317">
      <c r="B317" s="155"/>
      <c r="C317" s="160"/>
      <c r="D317" s="160"/>
      <c r="F317" s="92"/>
      <c r="G317" s="140"/>
      <c r="H317" s="140"/>
      <c r="I317" s="140"/>
      <c r="J317" s="140"/>
      <c r="K317" s="140"/>
    </row>
    <row r="318">
      <c r="B318" s="155"/>
      <c r="C318" s="160"/>
      <c r="D318" s="160"/>
      <c r="F318" s="92"/>
      <c r="G318" s="140"/>
      <c r="H318" s="140"/>
      <c r="I318" s="140"/>
      <c r="J318" s="140"/>
      <c r="K318" s="140"/>
    </row>
    <row r="319">
      <c r="B319" s="155"/>
      <c r="C319" s="160"/>
      <c r="D319" s="160"/>
      <c r="F319" s="92"/>
      <c r="G319" s="140"/>
      <c r="H319" s="140"/>
      <c r="I319" s="140"/>
      <c r="J319" s="140"/>
      <c r="K319" s="140"/>
    </row>
    <row r="320">
      <c r="B320" s="155"/>
      <c r="C320" s="160"/>
      <c r="D320" s="160"/>
      <c r="F320" s="92"/>
      <c r="G320" s="140"/>
      <c r="H320" s="140"/>
      <c r="I320" s="140"/>
      <c r="J320" s="140"/>
      <c r="K320" s="140"/>
    </row>
    <row r="321">
      <c r="B321" s="155"/>
      <c r="C321" s="160"/>
      <c r="D321" s="160"/>
      <c r="F321" s="92"/>
      <c r="G321" s="140"/>
      <c r="H321" s="140"/>
      <c r="I321" s="140"/>
      <c r="J321" s="140"/>
      <c r="K321" s="140"/>
    </row>
    <row r="322">
      <c r="B322" s="155"/>
      <c r="C322" s="160"/>
      <c r="D322" s="160"/>
      <c r="F322" s="92"/>
      <c r="G322" s="140"/>
      <c r="H322" s="140"/>
      <c r="I322" s="140"/>
      <c r="J322" s="140"/>
      <c r="K322" s="140"/>
    </row>
    <row r="323">
      <c r="B323" s="155"/>
      <c r="C323" s="160"/>
      <c r="D323" s="160"/>
      <c r="F323" s="92"/>
      <c r="G323" s="140"/>
      <c r="H323" s="140"/>
      <c r="I323" s="140"/>
      <c r="J323" s="140"/>
      <c r="K323" s="140"/>
    </row>
    <row r="324">
      <c r="B324" s="155"/>
      <c r="C324" s="160"/>
      <c r="D324" s="160"/>
      <c r="F324" s="92"/>
      <c r="G324" s="140"/>
      <c r="H324" s="140"/>
      <c r="I324" s="140"/>
      <c r="J324" s="140"/>
      <c r="K324" s="140"/>
    </row>
    <row r="325">
      <c r="B325" s="155"/>
      <c r="C325" s="160"/>
      <c r="D325" s="160"/>
      <c r="F325" s="92"/>
      <c r="G325" s="140"/>
      <c r="H325" s="140"/>
      <c r="I325" s="140"/>
      <c r="J325" s="140"/>
      <c r="K325" s="140"/>
    </row>
    <row r="326">
      <c r="B326" s="155"/>
      <c r="C326" s="160"/>
      <c r="D326" s="160"/>
      <c r="F326" s="92"/>
      <c r="G326" s="140"/>
      <c r="H326" s="140"/>
      <c r="I326" s="140"/>
      <c r="J326" s="140"/>
      <c r="K326" s="140"/>
    </row>
    <row r="327">
      <c r="B327" s="155"/>
      <c r="C327" s="160"/>
      <c r="D327" s="160"/>
      <c r="F327" s="92"/>
      <c r="G327" s="140"/>
      <c r="H327" s="140"/>
      <c r="I327" s="140"/>
      <c r="J327" s="140"/>
      <c r="K327" s="140"/>
    </row>
    <row r="328">
      <c r="B328" s="155"/>
      <c r="C328" s="160"/>
      <c r="D328" s="160"/>
      <c r="F328" s="92"/>
      <c r="G328" s="140"/>
      <c r="H328" s="140"/>
      <c r="I328" s="140"/>
      <c r="J328" s="140"/>
      <c r="K328" s="140"/>
    </row>
    <row r="329">
      <c r="B329" s="155"/>
      <c r="C329" s="160"/>
      <c r="D329" s="160"/>
      <c r="F329" s="92"/>
      <c r="G329" s="140"/>
      <c r="H329" s="140"/>
      <c r="I329" s="140"/>
      <c r="J329" s="140"/>
      <c r="K329" s="140"/>
    </row>
    <row r="330">
      <c r="B330" s="155"/>
      <c r="C330" s="160"/>
      <c r="D330" s="160"/>
      <c r="F330" s="92"/>
      <c r="G330" s="140"/>
      <c r="H330" s="140"/>
      <c r="I330" s="140"/>
      <c r="J330" s="140"/>
      <c r="K330" s="140"/>
    </row>
    <row r="331">
      <c r="B331" s="155"/>
      <c r="C331" s="160"/>
      <c r="D331" s="160"/>
      <c r="F331" s="92"/>
      <c r="G331" s="140"/>
      <c r="H331" s="140"/>
      <c r="I331" s="140"/>
      <c r="J331" s="140"/>
      <c r="K331" s="140"/>
    </row>
    <row r="332">
      <c r="B332" s="155"/>
      <c r="C332" s="160"/>
      <c r="D332" s="160"/>
      <c r="F332" s="92"/>
      <c r="G332" s="140"/>
      <c r="H332" s="140"/>
      <c r="I332" s="140"/>
      <c r="J332" s="140"/>
      <c r="K332" s="140"/>
    </row>
    <row r="333">
      <c r="B333" s="155"/>
      <c r="C333" s="160"/>
      <c r="D333" s="160"/>
      <c r="F333" s="92"/>
      <c r="G333" s="140"/>
      <c r="H333" s="140"/>
      <c r="I333" s="140"/>
      <c r="J333" s="140"/>
      <c r="K333" s="140"/>
    </row>
    <row r="334">
      <c r="B334" s="155"/>
      <c r="C334" s="160"/>
      <c r="D334" s="160"/>
      <c r="F334" s="92"/>
      <c r="G334" s="140"/>
      <c r="H334" s="140"/>
      <c r="I334" s="140"/>
      <c r="J334" s="140"/>
      <c r="K334" s="140"/>
    </row>
    <row r="335">
      <c r="B335" s="155"/>
      <c r="C335" s="160"/>
      <c r="D335" s="160"/>
      <c r="F335" s="92"/>
      <c r="G335" s="140"/>
      <c r="H335" s="140"/>
      <c r="I335" s="140"/>
      <c r="J335" s="140"/>
      <c r="K335" s="140"/>
    </row>
    <row r="336">
      <c r="B336" s="155"/>
      <c r="C336" s="160"/>
      <c r="D336" s="160"/>
      <c r="F336" s="92"/>
      <c r="G336" s="140"/>
      <c r="H336" s="140"/>
      <c r="I336" s="140"/>
      <c r="J336" s="140"/>
      <c r="K336" s="140"/>
    </row>
    <row r="337">
      <c r="B337" s="155"/>
      <c r="C337" s="160"/>
      <c r="D337" s="160"/>
      <c r="F337" s="92"/>
      <c r="G337" s="140"/>
      <c r="H337" s="140"/>
      <c r="I337" s="140"/>
      <c r="J337" s="140"/>
      <c r="K337" s="140"/>
    </row>
    <row r="338">
      <c r="B338" s="155"/>
      <c r="C338" s="160"/>
      <c r="D338" s="160"/>
      <c r="F338" s="92"/>
      <c r="G338" s="140"/>
      <c r="H338" s="140"/>
      <c r="I338" s="140"/>
      <c r="J338" s="140"/>
      <c r="K338" s="140"/>
    </row>
    <row r="339">
      <c r="B339" s="155"/>
      <c r="C339" s="160"/>
      <c r="D339" s="160"/>
      <c r="F339" s="92"/>
      <c r="G339" s="140"/>
      <c r="H339" s="140"/>
      <c r="I339" s="140"/>
      <c r="J339" s="140"/>
      <c r="K339" s="140"/>
    </row>
    <row r="340">
      <c r="B340" s="155"/>
      <c r="C340" s="160"/>
      <c r="D340" s="160"/>
      <c r="F340" s="92"/>
      <c r="G340" s="140"/>
      <c r="H340" s="140"/>
      <c r="I340" s="140"/>
      <c r="J340" s="140"/>
      <c r="K340" s="140"/>
    </row>
    <row r="341">
      <c r="B341" s="155"/>
      <c r="C341" s="160"/>
      <c r="D341" s="160"/>
      <c r="F341" s="92"/>
      <c r="G341" s="140"/>
      <c r="H341" s="140"/>
      <c r="I341" s="140"/>
      <c r="J341" s="140"/>
      <c r="K341" s="140"/>
    </row>
    <row r="342">
      <c r="B342" s="155"/>
      <c r="C342" s="160"/>
      <c r="D342" s="160"/>
      <c r="F342" s="92"/>
      <c r="G342" s="140"/>
      <c r="H342" s="140"/>
      <c r="I342" s="140"/>
      <c r="J342" s="140"/>
      <c r="K342" s="140"/>
    </row>
    <row r="343">
      <c r="B343" s="155"/>
      <c r="C343" s="160"/>
      <c r="D343" s="160"/>
      <c r="F343" s="92"/>
      <c r="G343" s="140"/>
      <c r="H343" s="140"/>
      <c r="I343" s="140"/>
      <c r="J343" s="140"/>
      <c r="K343" s="140"/>
    </row>
    <row r="344">
      <c r="B344" s="155"/>
      <c r="C344" s="160"/>
      <c r="D344" s="160"/>
      <c r="F344" s="92"/>
      <c r="G344" s="140"/>
      <c r="H344" s="140"/>
      <c r="I344" s="140"/>
      <c r="J344" s="140"/>
      <c r="K344" s="140"/>
    </row>
    <row r="345">
      <c r="B345" s="155"/>
      <c r="C345" s="160"/>
      <c r="D345" s="160"/>
      <c r="F345" s="92"/>
      <c r="G345" s="140"/>
      <c r="H345" s="140"/>
      <c r="I345" s="140"/>
      <c r="J345" s="140"/>
      <c r="K345" s="140"/>
    </row>
    <row r="346">
      <c r="B346" s="155"/>
      <c r="C346" s="160"/>
      <c r="D346" s="160"/>
      <c r="F346" s="92"/>
      <c r="G346" s="140"/>
      <c r="H346" s="140"/>
      <c r="I346" s="140"/>
      <c r="J346" s="140"/>
      <c r="K346" s="140"/>
    </row>
    <row r="347">
      <c r="B347" s="155"/>
      <c r="C347" s="160"/>
      <c r="D347" s="160"/>
      <c r="F347" s="92"/>
      <c r="G347" s="140"/>
      <c r="H347" s="140"/>
      <c r="I347" s="140"/>
      <c r="J347" s="140"/>
      <c r="K347" s="140"/>
    </row>
    <row r="348">
      <c r="B348" s="155"/>
      <c r="C348" s="160"/>
      <c r="D348" s="160"/>
      <c r="F348" s="92"/>
      <c r="G348" s="140"/>
      <c r="H348" s="140"/>
      <c r="I348" s="140"/>
      <c r="J348" s="140"/>
      <c r="K348" s="140"/>
    </row>
    <row r="349">
      <c r="B349" s="155"/>
      <c r="C349" s="160"/>
      <c r="D349" s="160"/>
      <c r="F349" s="92"/>
      <c r="G349" s="140"/>
      <c r="H349" s="140"/>
      <c r="I349" s="140"/>
      <c r="J349" s="140"/>
      <c r="K349" s="140"/>
    </row>
    <row r="350">
      <c r="B350" s="155"/>
      <c r="C350" s="160"/>
      <c r="D350" s="160"/>
      <c r="F350" s="92"/>
      <c r="G350" s="140"/>
      <c r="H350" s="140"/>
      <c r="I350" s="140"/>
      <c r="J350" s="140"/>
      <c r="K350" s="140"/>
    </row>
    <row r="351">
      <c r="B351" s="155"/>
      <c r="C351" s="160"/>
      <c r="D351" s="160"/>
      <c r="F351" s="92"/>
      <c r="G351" s="140"/>
      <c r="H351" s="140"/>
      <c r="I351" s="140"/>
      <c r="J351" s="140"/>
      <c r="K351" s="140"/>
    </row>
    <row r="352">
      <c r="B352" s="155"/>
      <c r="C352" s="160"/>
      <c r="D352" s="160"/>
      <c r="F352" s="92"/>
      <c r="G352" s="140"/>
      <c r="H352" s="140"/>
      <c r="I352" s="140"/>
      <c r="J352" s="140"/>
      <c r="K352" s="140"/>
    </row>
    <row r="353">
      <c r="B353" s="155"/>
      <c r="C353" s="160"/>
      <c r="D353" s="160"/>
      <c r="F353" s="92"/>
      <c r="G353" s="140"/>
      <c r="H353" s="140"/>
      <c r="I353" s="140"/>
      <c r="J353" s="140"/>
      <c r="K353" s="140"/>
    </row>
    <row r="354">
      <c r="B354" s="155"/>
      <c r="C354" s="160"/>
      <c r="D354" s="160"/>
      <c r="F354" s="92"/>
      <c r="G354" s="140"/>
      <c r="H354" s="140"/>
      <c r="I354" s="140"/>
      <c r="J354" s="140"/>
      <c r="K354" s="140"/>
    </row>
    <row r="355">
      <c r="B355" s="155"/>
      <c r="C355" s="160"/>
      <c r="D355" s="160"/>
      <c r="F355" s="92"/>
      <c r="G355" s="140"/>
      <c r="H355" s="140"/>
      <c r="I355" s="140"/>
      <c r="J355" s="140"/>
      <c r="K355" s="140"/>
    </row>
    <row r="356">
      <c r="B356" s="155"/>
      <c r="C356" s="160"/>
      <c r="D356" s="160"/>
      <c r="F356" s="92"/>
      <c r="G356" s="140"/>
      <c r="H356" s="140"/>
      <c r="I356" s="140"/>
      <c r="J356" s="140"/>
      <c r="K356" s="140"/>
    </row>
    <row r="357">
      <c r="B357" s="155"/>
      <c r="C357" s="160"/>
      <c r="D357" s="160"/>
      <c r="F357" s="92"/>
      <c r="G357" s="140"/>
      <c r="H357" s="140"/>
      <c r="I357" s="140"/>
      <c r="J357" s="140"/>
      <c r="K357" s="140"/>
    </row>
    <row r="358">
      <c r="B358" s="155"/>
      <c r="C358" s="160"/>
      <c r="D358" s="160"/>
      <c r="F358" s="92"/>
      <c r="G358" s="140"/>
      <c r="H358" s="140"/>
      <c r="I358" s="140"/>
      <c r="J358" s="140"/>
      <c r="K358" s="140"/>
    </row>
    <row r="359">
      <c r="B359" s="155"/>
      <c r="C359" s="160"/>
      <c r="D359" s="160"/>
      <c r="F359" s="92"/>
      <c r="G359" s="140"/>
      <c r="H359" s="140"/>
      <c r="I359" s="140"/>
      <c r="J359" s="140"/>
      <c r="K359" s="140"/>
    </row>
    <row r="360">
      <c r="B360" s="155"/>
      <c r="C360" s="160"/>
      <c r="D360" s="160"/>
      <c r="F360" s="92"/>
      <c r="G360" s="140"/>
      <c r="H360" s="140"/>
      <c r="I360" s="140"/>
      <c r="J360" s="140"/>
      <c r="K360" s="140"/>
    </row>
    <row r="361">
      <c r="B361" s="155"/>
      <c r="C361" s="160"/>
      <c r="D361" s="160"/>
      <c r="F361" s="92"/>
      <c r="G361" s="140"/>
      <c r="H361" s="140"/>
      <c r="I361" s="140"/>
      <c r="J361" s="140"/>
      <c r="K361" s="140"/>
    </row>
    <row r="362">
      <c r="B362" s="155"/>
      <c r="C362" s="160"/>
      <c r="D362" s="160"/>
      <c r="F362" s="92"/>
      <c r="G362" s="140"/>
      <c r="H362" s="140"/>
      <c r="I362" s="140"/>
      <c r="J362" s="140"/>
      <c r="K362" s="140"/>
    </row>
    <row r="363">
      <c r="B363" s="155"/>
      <c r="C363" s="160"/>
      <c r="D363" s="160"/>
      <c r="F363" s="92"/>
      <c r="G363" s="140"/>
      <c r="H363" s="140"/>
      <c r="I363" s="140"/>
      <c r="J363" s="140"/>
      <c r="K363" s="140"/>
    </row>
    <row r="364">
      <c r="B364" s="155"/>
      <c r="C364" s="160"/>
      <c r="D364" s="160"/>
      <c r="F364" s="92"/>
      <c r="G364" s="140"/>
      <c r="H364" s="140"/>
      <c r="I364" s="140"/>
      <c r="J364" s="140"/>
      <c r="K364" s="140"/>
    </row>
    <row r="365">
      <c r="B365" s="155"/>
      <c r="C365" s="160"/>
      <c r="D365" s="160"/>
      <c r="F365" s="92"/>
      <c r="G365" s="140"/>
      <c r="H365" s="140"/>
      <c r="I365" s="140"/>
      <c r="J365" s="140"/>
      <c r="K365" s="140"/>
    </row>
    <row r="366">
      <c r="B366" s="155"/>
      <c r="C366" s="160"/>
      <c r="D366" s="160"/>
      <c r="F366" s="92"/>
      <c r="G366" s="140"/>
      <c r="H366" s="140"/>
      <c r="I366" s="140"/>
      <c r="J366" s="140"/>
      <c r="K366" s="140"/>
    </row>
    <row r="367">
      <c r="B367" s="155"/>
      <c r="C367" s="160"/>
      <c r="D367" s="160"/>
      <c r="F367" s="92"/>
      <c r="G367" s="140"/>
      <c r="H367" s="140"/>
      <c r="I367" s="140"/>
      <c r="J367" s="140"/>
      <c r="K367" s="140"/>
    </row>
    <row r="368">
      <c r="B368" s="155"/>
      <c r="C368" s="160"/>
      <c r="D368" s="160"/>
      <c r="F368" s="92"/>
      <c r="G368" s="140"/>
      <c r="H368" s="140"/>
      <c r="I368" s="140"/>
      <c r="J368" s="140"/>
      <c r="K368" s="140"/>
    </row>
    <row r="369">
      <c r="B369" s="155"/>
      <c r="C369" s="160"/>
      <c r="D369" s="160"/>
      <c r="F369" s="92"/>
      <c r="G369" s="140"/>
      <c r="H369" s="140"/>
      <c r="I369" s="140"/>
      <c r="J369" s="140"/>
      <c r="K369" s="140"/>
    </row>
    <row r="370">
      <c r="B370" s="155"/>
      <c r="C370" s="160"/>
      <c r="D370" s="160"/>
      <c r="F370" s="92"/>
      <c r="G370" s="140"/>
      <c r="H370" s="140"/>
      <c r="I370" s="140"/>
      <c r="J370" s="140"/>
      <c r="K370" s="140"/>
    </row>
    <row r="371">
      <c r="B371" s="155"/>
      <c r="C371" s="160"/>
      <c r="D371" s="160"/>
      <c r="F371" s="92"/>
      <c r="G371" s="140"/>
      <c r="H371" s="140"/>
      <c r="I371" s="140"/>
      <c r="J371" s="140"/>
      <c r="K371" s="140"/>
    </row>
    <row r="372">
      <c r="B372" s="155"/>
      <c r="C372" s="160"/>
      <c r="D372" s="160"/>
      <c r="F372" s="92"/>
      <c r="G372" s="140"/>
      <c r="H372" s="140"/>
      <c r="I372" s="140"/>
      <c r="J372" s="140"/>
      <c r="K372" s="140"/>
    </row>
    <row r="373">
      <c r="B373" s="155"/>
      <c r="C373" s="160"/>
      <c r="D373" s="160"/>
      <c r="F373" s="92"/>
      <c r="G373" s="140"/>
      <c r="H373" s="140"/>
      <c r="I373" s="140"/>
      <c r="J373" s="140"/>
      <c r="K373" s="140"/>
    </row>
    <row r="374">
      <c r="B374" s="155"/>
      <c r="C374" s="160"/>
      <c r="D374" s="160"/>
      <c r="F374" s="92"/>
      <c r="G374" s="140"/>
      <c r="H374" s="140"/>
      <c r="I374" s="140"/>
      <c r="J374" s="140"/>
      <c r="K374" s="140"/>
    </row>
    <row r="375">
      <c r="B375" s="155"/>
      <c r="C375" s="160"/>
      <c r="D375" s="160"/>
      <c r="F375" s="92"/>
      <c r="G375" s="140"/>
      <c r="H375" s="140"/>
      <c r="I375" s="140"/>
      <c r="J375" s="140"/>
      <c r="K375" s="140"/>
    </row>
    <row r="376">
      <c r="B376" s="155"/>
      <c r="C376" s="160"/>
      <c r="D376" s="160"/>
      <c r="F376" s="92"/>
      <c r="G376" s="140"/>
      <c r="H376" s="140"/>
      <c r="I376" s="140"/>
      <c r="J376" s="140"/>
      <c r="K376" s="140"/>
    </row>
    <row r="377">
      <c r="B377" s="155"/>
      <c r="C377" s="160"/>
      <c r="D377" s="160"/>
      <c r="F377" s="92"/>
      <c r="G377" s="140"/>
      <c r="H377" s="140"/>
      <c r="I377" s="140"/>
      <c r="J377" s="140"/>
      <c r="K377" s="140"/>
    </row>
    <row r="378">
      <c r="B378" s="155"/>
      <c r="C378" s="160"/>
      <c r="D378" s="160"/>
      <c r="F378" s="92"/>
      <c r="G378" s="140"/>
      <c r="H378" s="140"/>
      <c r="I378" s="140"/>
      <c r="J378" s="140"/>
      <c r="K378" s="140"/>
    </row>
    <row r="379">
      <c r="B379" s="155"/>
      <c r="C379" s="160"/>
      <c r="D379" s="160"/>
      <c r="F379" s="92"/>
      <c r="G379" s="140"/>
      <c r="H379" s="140"/>
      <c r="I379" s="140"/>
      <c r="J379" s="140"/>
      <c r="K379" s="140"/>
    </row>
    <row r="380">
      <c r="B380" s="155"/>
      <c r="C380" s="160"/>
      <c r="D380" s="160"/>
      <c r="F380" s="92"/>
      <c r="G380" s="140"/>
      <c r="H380" s="140"/>
      <c r="I380" s="140"/>
      <c r="J380" s="140"/>
      <c r="K380" s="140"/>
    </row>
    <row r="381">
      <c r="B381" s="155"/>
      <c r="C381" s="160"/>
      <c r="D381" s="160"/>
      <c r="F381" s="92"/>
      <c r="G381" s="140"/>
      <c r="H381" s="140"/>
      <c r="I381" s="140"/>
      <c r="J381" s="140"/>
      <c r="K381" s="140"/>
    </row>
    <row r="382">
      <c r="B382" s="155"/>
      <c r="C382" s="160"/>
      <c r="D382" s="160"/>
      <c r="F382" s="92"/>
      <c r="G382" s="140"/>
      <c r="H382" s="140"/>
      <c r="I382" s="140"/>
      <c r="J382" s="140"/>
      <c r="K382" s="140"/>
    </row>
    <row r="383">
      <c r="B383" s="155"/>
      <c r="C383" s="160"/>
      <c r="D383" s="160"/>
      <c r="F383" s="92"/>
      <c r="G383" s="140"/>
      <c r="H383" s="140"/>
      <c r="I383" s="140"/>
      <c r="J383" s="140"/>
      <c r="K383" s="140"/>
    </row>
    <row r="384">
      <c r="B384" s="155"/>
      <c r="C384" s="160"/>
      <c r="D384" s="160"/>
      <c r="F384" s="92"/>
      <c r="G384" s="140"/>
      <c r="H384" s="140"/>
      <c r="I384" s="140"/>
      <c r="J384" s="140"/>
      <c r="K384" s="140"/>
    </row>
    <row r="385">
      <c r="B385" s="155"/>
      <c r="C385" s="160"/>
      <c r="D385" s="160"/>
      <c r="F385" s="92"/>
      <c r="G385" s="140"/>
      <c r="H385" s="140"/>
      <c r="I385" s="140"/>
      <c r="J385" s="140"/>
      <c r="K385" s="140"/>
    </row>
    <row r="386">
      <c r="B386" s="155"/>
      <c r="C386" s="160"/>
      <c r="D386" s="160"/>
      <c r="F386" s="92"/>
      <c r="G386" s="140"/>
      <c r="H386" s="140"/>
      <c r="I386" s="140"/>
      <c r="J386" s="140"/>
      <c r="K386" s="140"/>
    </row>
    <row r="387">
      <c r="B387" s="155"/>
      <c r="C387" s="160"/>
      <c r="D387" s="160"/>
      <c r="F387" s="92"/>
      <c r="G387" s="140"/>
      <c r="H387" s="140"/>
      <c r="I387" s="140"/>
      <c r="J387" s="140"/>
      <c r="K387" s="140"/>
    </row>
    <row r="388">
      <c r="B388" s="155"/>
      <c r="C388" s="160"/>
      <c r="D388" s="160"/>
      <c r="F388" s="92"/>
      <c r="G388" s="140"/>
      <c r="H388" s="140"/>
      <c r="I388" s="140"/>
      <c r="J388" s="140"/>
      <c r="K388" s="140"/>
    </row>
    <row r="389">
      <c r="B389" s="155"/>
      <c r="C389" s="160"/>
      <c r="D389" s="160"/>
      <c r="F389" s="92"/>
      <c r="G389" s="140"/>
      <c r="H389" s="140"/>
      <c r="I389" s="140"/>
      <c r="J389" s="140"/>
      <c r="K389" s="140"/>
    </row>
    <row r="390">
      <c r="B390" s="155"/>
      <c r="C390" s="160"/>
      <c r="D390" s="160"/>
      <c r="F390" s="92"/>
      <c r="G390" s="140"/>
      <c r="H390" s="140"/>
      <c r="I390" s="140"/>
      <c r="J390" s="140"/>
      <c r="K390" s="140"/>
    </row>
    <row r="391">
      <c r="B391" s="155"/>
      <c r="C391" s="160"/>
      <c r="D391" s="160"/>
      <c r="F391" s="92"/>
      <c r="G391" s="140"/>
      <c r="H391" s="140"/>
      <c r="I391" s="140"/>
      <c r="J391" s="140"/>
      <c r="K391" s="140"/>
    </row>
    <row r="392">
      <c r="B392" s="155"/>
      <c r="C392" s="160"/>
      <c r="D392" s="160"/>
      <c r="F392" s="92"/>
      <c r="G392" s="140"/>
      <c r="H392" s="140"/>
      <c r="I392" s="140"/>
      <c r="J392" s="140"/>
      <c r="K392" s="140"/>
    </row>
    <row r="393">
      <c r="B393" s="155"/>
      <c r="C393" s="160"/>
      <c r="D393" s="160"/>
      <c r="F393" s="92"/>
      <c r="G393" s="140"/>
      <c r="H393" s="140"/>
      <c r="I393" s="140"/>
      <c r="J393" s="140"/>
      <c r="K393" s="140"/>
    </row>
    <row r="394">
      <c r="B394" s="155"/>
      <c r="C394" s="160"/>
      <c r="D394" s="160"/>
      <c r="F394" s="92"/>
      <c r="G394" s="140"/>
      <c r="H394" s="140"/>
      <c r="I394" s="140"/>
      <c r="J394" s="140"/>
      <c r="K394" s="140"/>
    </row>
    <row r="395">
      <c r="B395" s="155"/>
      <c r="C395" s="160"/>
      <c r="D395" s="160"/>
      <c r="F395" s="92"/>
      <c r="G395" s="140"/>
      <c r="H395" s="140"/>
      <c r="I395" s="140"/>
      <c r="J395" s="140"/>
      <c r="K395" s="140"/>
    </row>
    <row r="396">
      <c r="B396" s="155"/>
      <c r="C396" s="160"/>
      <c r="D396" s="160"/>
      <c r="F396" s="92"/>
      <c r="G396" s="140"/>
      <c r="H396" s="140"/>
      <c r="I396" s="140"/>
      <c r="J396" s="140"/>
      <c r="K396" s="140"/>
    </row>
    <row r="397">
      <c r="B397" s="155"/>
      <c r="C397" s="160"/>
      <c r="D397" s="160"/>
      <c r="F397" s="92"/>
      <c r="G397" s="140"/>
      <c r="H397" s="140"/>
      <c r="I397" s="140"/>
      <c r="J397" s="140"/>
      <c r="K397" s="140"/>
    </row>
    <row r="398">
      <c r="B398" s="155"/>
      <c r="C398" s="160"/>
      <c r="D398" s="160"/>
      <c r="F398" s="92"/>
      <c r="G398" s="140"/>
      <c r="H398" s="140"/>
      <c r="I398" s="140"/>
      <c r="J398" s="140"/>
      <c r="K398" s="140"/>
    </row>
    <row r="399">
      <c r="B399" s="155"/>
      <c r="C399" s="160"/>
      <c r="D399" s="160"/>
      <c r="F399" s="92"/>
      <c r="G399" s="140"/>
      <c r="H399" s="140"/>
      <c r="I399" s="140"/>
      <c r="J399" s="140"/>
      <c r="K399" s="140"/>
    </row>
    <row r="400">
      <c r="B400" s="155"/>
      <c r="C400" s="160"/>
      <c r="D400" s="160"/>
      <c r="F400" s="92"/>
      <c r="G400" s="140"/>
      <c r="H400" s="140"/>
      <c r="I400" s="140"/>
      <c r="J400" s="140"/>
      <c r="K400" s="140"/>
    </row>
    <row r="401">
      <c r="B401" s="155"/>
      <c r="C401" s="160"/>
      <c r="D401" s="160"/>
      <c r="F401" s="92"/>
      <c r="G401" s="140"/>
      <c r="H401" s="140"/>
      <c r="I401" s="140"/>
      <c r="J401" s="140"/>
      <c r="K401" s="140"/>
    </row>
    <row r="402">
      <c r="B402" s="155"/>
      <c r="C402" s="160"/>
      <c r="D402" s="160"/>
      <c r="F402" s="92"/>
      <c r="G402" s="140"/>
      <c r="H402" s="140"/>
      <c r="I402" s="140"/>
      <c r="J402" s="140"/>
      <c r="K402" s="140"/>
    </row>
    <row r="403">
      <c r="B403" s="155"/>
      <c r="C403" s="160"/>
      <c r="D403" s="160"/>
      <c r="F403" s="92"/>
      <c r="G403" s="140"/>
      <c r="H403" s="140"/>
      <c r="I403" s="140"/>
      <c r="J403" s="140"/>
      <c r="K403" s="140"/>
    </row>
    <row r="404">
      <c r="B404" s="155"/>
      <c r="C404" s="160"/>
      <c r="D404" s="160"/>
      <c r="F404" s="92"/>
      <c r="G404" s="140"/>
      <c r="H404" s="140"/>
      <c r="I404" s="140"/>
      <c r="J404" s="140"/>
      <c r="K404" s="140"/>
    </row>
    <row r="405">
      <c r="B405" s="155"/>
      <c r="C405" s="160"/>
      <c r="D405" s="160"/>
      <c r="F405" s="92"/>
      <c r="G405" s="140"/>
      <c r="H405" s="140"/>
      <c r="I405" s="140"/>
      <c r="J405" s="140"/>
      <c r="K405" s="140"/>
    </row>
    <row r="406">
      <c r="B406" s="155"/>
      <c r="C406" s="160"/>
      <c r="D406" s="160"/>
      <c r="F406" s="92"/>
      <c r="G406" s="140"/>
      <c r="H406" s="140"/>
      <c r="I406" s="140"/>
      <c r="J406" s="140"/>
      <c r="K406" s="140"/>
    </row>
    <row r="407">
      <c r="B407" s="155"/>
      <c r="C407" s="160"/>
      <c r="D407" s="160"/>
      <c r="F407" s="92"/>
      <c r="G407" s="140"/>
      <c r="H407" s="140"/>
      <c r="I407" s="140"/>
      <c r="J407" s="140"/>
      <c r="K407" s="140"/>
    </row>
    <row r="408">
      <c r="B408" s="155"/>
      <c r="C408" s="160"/>
      <c r="D408" s="160"/>
      <c r="F408" s="92"/>
      <c r="G408" s="140"/>
      <c r="H408" s="140"/>
      <c r="I408" s="140"/>
      <c r="J408" s="140"/>
      <c r="K408" s="140"/>
    </row>
    <row r="409">
      <c r="B409" s="155"/>
      <c r="C409" s="160"/>
      <c r="D409" s="160"/>
      <c r="F409" s="92"/>
      <c r="G409" s="140"/>
      <c r="H409" s="140"/>
      <c r="I409" s="140"/>
      <c r="J409" s="140"/>
      <c r="K409" s="140"/>
    </row>
    <row r="410">
      <c r="B410" s="155"/>
      <c r="C410" s="160"/>
      <c r="D410" s="160"/>
      <c r="F410" s="92"/>
      <c r="G410" s="140"/>
      <c r="H410" s="140"/>
      <c r="I410" s="140"/>
      <c r="J410" s="140"/>
      <c r="K410" s="140"/>
    </row>
    <row r="411">
      <c r="B411" s="155"/>
      <c r="C411" s="160"/>
      <c r="D411" s="160"/>
      <c r="F411" s="92"/>
      <c r="G411" s="140"/>
      <c r="H411" s="140"/>
      <c r="I411" s="140"/>
      <c r="J411" s="140"/>
      <c r="K411" s="140"/>
    </row>
    <row r="412">
      <c r="B412" s="155"/>
      <c r="C412" s="160"/>
      <c r="D412" s="160"/>
      <c r="F412" s="92"/>
      <c r="G412" s="140"/>
      <c r="H412" s="140"/>
      <c r="I412" s="140"/>
      <c r="J412" s="140"/>
      <c r="K412" s="140"/>
    </row>
    <row r="413">
      <c r="B413" s="155"/>
      <c r="C413" s="160"/>
      <c r="D413" s="160"/>
      <c r="F413" s="92"/>
      <c r="G413" s="140"/>
      <c r="H413" s="140"/>
      <c r="I413" s="140"/>
      <c r="J413" s="140"/>
      <c r="K413" s="140"/>
    </row>
    <row r="414">
      <c r="B414" s="155"/>
      <c r="C414" s="160"/>
      <c r="D414" s="160"/>
      <c r="F414" s="92"/>
      <c r="G414" s="140"/>
      <c r="H414" s="140"/>
      <c r="I414" s="140"/>
      <c r="J414" s="140"/>
      <c r="K414" s="140"/>
    </row>
    <row r="415">
      <c r="B415" s="155"/>
      <c r="C415" s="160"/>
      <c r="D415" s="160"/>
      <c r="F415" s="92"/>
      <c r="G415" s="140"/>
      <c r="H415" s="140"/>
      <c r="I415" s="140"/>
      <c r="J415" s="140"/>
      <c r="K415" s="140"/>
    </row>
    <row r="416">
      <c r="B416" s="155"/>
      <c r="C416" s="160"/>
      <c r="D416" s="160"/>
      <c r="F416" s="92"/>
      <c r="G416" s="140"/>
      <c r="H416" s="140"/>
      <c r="I416" s="140"/>
      <c r="J416" s="140"/>
      <c r="K416" s="140"/>
    </row>
    <row r="417">
      <c r="B417" s="155"/>
      <c r="C417" s="160"/>
      <c r="D417" s="160"/>
      <c r="F417" s="92"/>
      <c r="G417" s="140"/>
      <c r="H417" s="140"/>
      <c r="I417" s="140"/>
      <c r="J417" s="140"/>
      <c r="K417" s="140"/>
    </row>
    <row r="418">
      <c r="B418" s="155"/>
      <c r="C418" s="160"/>
      <c r="D418" s="160"/>
      <c r="F418" s="92"/>
      <c r="G418" s="140"/>
      <c r="H418" s="140"/>
      <c r="I418" s="140"/>
      <c r="J418" s="140"/>
      <c r="K418" s="140"/>
    </row>
    <row r="419">
      <c r="B419" s="155"/>
      <c r="C419" s="160"/>
      <c r="D419" s="160"/>
      <c r="F419" s="92"/>
      <c r="G419" s="140"/>
      <c r="H419" s="140"/>
      <c r="I419" s="140"/>
      <c r="J419" s="140"/>
      <c r="K419" s="140"/>
    </row>
    <row r="420">
      <c r="B420" s="155"/>
      <c r="C420" s="160"/>
      <c r="D420" s="160"/>
      <c r="F420" s="92"/>
      <c r="G420" s="140"/>
      <c r="H420" s="140"/>
      <c r="I420" s="140"/>
      <c r="J420" s="140"/>
      <c r="K420" s="140"/>
    </row>
    <row r="421">
      <c r="B421" s="155"/>
      <c r="C421" s="160"/>
      <c r="D421" s="160"/>
      <c r="F421" s="92"/>
      <c r="G421" s="140"/>
      <c r="H421" s="140"/>
      <c r="I421" s="140"/>
      <c r="J421" s="140"/>
      <c r="K421" s="140"/>
    </row>
    <row r="422">
      <c r="B422" s="155"/>
      <c r="C422" s="160"/>
      <c r="D422" s="160"/>
      <c r="F422" s="92"/>
      <c r="G422" s="140"/>
      <c r="H422" s="140"/>
      <c r="I422" s="140"/>
      <c r="J422" s="140"/>
      <c r="K422" s="140"/>
    </row>
    <row r="423">
      <c r="B423" s="155"/>
      <c r="C423" s="160"/>
      <c r="D423" s="160"/>
      <c r="F423" s="92"/>
      <c r="G423" s="140"/>
      <c r="H423" s="140"/>
      <c r="I423" s="140"/>
      <c r="J423" s="140"/>
      <c r="K423" s="140"/>
    </row>
    <row r="424">
      <c r="B424" s="155"/>
      <c r="C424" s="160"/>
      <c r="D424" s="160"/>
      <c r="F424" s="92"/>
      <c r="G424" s="140"/>
      <c r="H424" s="140"/>
      <c r="I424" s="140"/>
      <c r="J424" s="140"/>
      <c r="K424" s="140"/>
    </row>
    <row r="425">
      <c r="B425" s="155"/>
      <c r="C425" s="160"/>
      <c r="D425" s="160"/>
      <c r="F425" s="92"/>
      <c r="G425" s="140"/>
      <c r="H425" s="140"/>
      <c r="I425" s="140"/>
      <c r="J425" s="140"/>
      <c r="K425" s="140"/>
    </row>
    <row r="426">
      <c r="B426" s="155"/>
      <c r="C426" s="160"/>
      <c r="D426" s="160"/>
      <c r="F426" s="92"/>
      <c r="G426" s="140"/>
      <c r="H426" s="140"/>
      <c r="I426" s="140"/>
      <c r="J426" s="140"/>
      <c r="K426" s="140"/>
    </row>
    <row r="427">
      <c r="B427" s="155"/>
      <c r="C427" s="160"/>
      <c r="D427" s="160"/>
      <c r="F427" s="92"/>
      <c r="G427" s="140"/>
      <c r="H427" s="140"/>
      <c r="I427" s="140"/>
      <c r="J427" s="140"/>
      <c r="K427" s="140"/>
    </row>
    <row r="428">
      <c r="B428" s="155"/>
      <c r="C428" s="160"/>
      <c r="D428" s="160"/>
      <c r="F428" s="92"/>
      <c r="G428" s="140"/>
      <c r="H428" s="140"/>
      <c r="I428" s="140"/>
      <c r="J428" s="140"/>
      <c r="K428" s="140"/>
    </row>
    <row r="429">
      <c r="B429" s="155"/>
      <c r="C429" s="160"/>
      <c r="D429" s="160"/>
      <c r="F429" s="92"/>
      <c r="G429" s="140"/>
      <c r="H429" s="140"/>
      <c r="I429" s="140"/>
      <c r="J429" s="140"/>
      <c r="K429" s="140"/>
    </row>
    <row r="430">
      <c r="B430" s="155"/>
      <c r="C430" s="160"/>
      <c r="D430" s="160"/>
      <c r="F430" s="92"/>
      <c r="G430" s="140"/>
      <c r="H430" s="140"/>
      <c r="I430" s="140"/>
      <c r="J430" s="140"/>
      <c r="K430" s="140"/>
    </row>
    <row r="431">
      <c r="B431" s="155"/>
      <c r="C431" s="160"/>
      <c r="D431" s="160"/>
      <c r="F431" s="92"/>
      <c r="G431" s="140"/>
      <c r="H431" s="140"/>
      <c r="I431" s="140"/>
      <c r="J431" s="140"/>
      <c r="K431" s="140"/>
    </row>
    <row r="432">
      <c r="B432" s="155"/>
      <c r="C432" s="160"/>
      <c r="D432" s="160"/>
      <c r="F432" s="92"/>
      <c r="G432" s="140"/>
      <c r="H432" s="140"/>
      <c r="I432" s="140"/>
      <c r="J432" s="140"/>
      <c r="K432" s="140"/>
    </row>
    <row r="433">
      <c r="B433" s="155"/>
      <c r="C433" s="160"/>
      <c r="D433" s="160"/>
      <c r="F433" s="92"/>
      <c r="G433" s="140"/>
      <c r="H433" s="140"/>
      <c r="I433" s="140"/>
      <c r="J433" s="140"/>
      <c r="K433" s="140"/>
    </row>
    <row r="434">
      <c r="B434" s="155"/>
      <c r="C434" s="160"/>
      <c r="D434" s="160"/>
      <c r="F434" s="92"/>
      <c r="G434" s="140"/>
      <c r="H434" s="140"/>
      <c r="I434" s="140"/>
      <c r="J434" s="140"/>
      <c r="K434" s="140"/>
    </row>
    <row r="435">
      <c r="B435" s="155"/>
      <c r="C435" s="160"/>
      <c r="D435" s="160"/>
      <c r="F435" s="92"/>
      <c r="G435" s="140"/>
      <c r="H435" s="140"/>
      <c r="I435" s="140"/>
      <c r="J435" s="140"/>
      <c r="K435" s="140"/>
    </row>
    <row r="436">
      <c r="B436" s="155"/>
      <c r="C436" s="160"/>
      <c r="D436" s="160"/>
      <c r="F436" s="92"/>
      <c r="G436" s="140"/>
      <c r="H436" s="140"/>
      <c r="I436" s="140"/>
      <c r="J436" s="140"/>
      <c r="K436" s="140"/>
    </row>
    <row r="437">
      <c r="B437" s="155"/>
      <c r="C437" s="160"/>
      <c r="D437" s="160"/>
      <c r="F437" s="92"/>
      <c r="G437" s="140"/>
      <c r="H437" s="140"/>
      <c r="I437" s="140"/>
      <c r="J437" s="140"/>
      <c r="K437" s="140"/>
    </row>
    <row r="438">
      <c r="B438" s="155"/>
      <c r="C438" s="160"/>
      <c r="D438" s="160"/>
      <c r="F438" s="92"/>
      <c r="G438" s="140"/>
      <c r="H438" s="140"/>
      <c r="I438" s="140"/>
      <c r="J438" s="140"/>
      <c r="K438" s="140"/>
    </row>
    <row r="439">
      <c r="B439" s="155"/>
      <c r="C439" s="160"/>
      <c r="D439" s="160"/>
      <c r="F439" s="92"/>
      <c r="G439" s="140"/>
      <c r="H439" s="140"/>
      <c r="I439" s="140"/>
      <c r="J439" s="140"/>
      <c r="K439" s="140"/>
    </row>
    <row r="440">
      <c r="B440" s="155"/>
      <c r="C440" s="160"/>
      <c r="D440" s="160"/>
      <c r="F440" s="92"/>
      <c r="G440" s="140"/>
      <c r="H440" s="140"/>
      <c r="I440" s="140"/>
      <c r="J440" s="140"/>
      <c r="K440" s="140"/>
    </row>
    <row r="441">
      <c r="B441" s="155"/>
      <c r="C441" s="160"/>
      <c r="D441" s="160"/>
      <c r="F441" s="92"/>
      <c r="G441" s="140"/>
      <c r="H441" s="140"/>
      <c r="I441" s="140"/>
      <c r="J441" s="140"/>
      <c r="K441" s="140"/>
    </row>
    <row r="442">
      <c r="B442" s="155"/>
      <c r="C442" s="160"/>
      <c r="D442" s="160"/>
      <c r="F442" s="92"/>
      <c r="G442" s="140"/>
      <c r="H442" s="140"/>
      <c r="I442" s="140"/>
      <c r="J442" s="140"/>
      <c r="K442" s="140"/>
    </row>
    <row r="443">
      <c r="B443" s="155"/>
      <c r="C443" s="160"/>
      <c r="D443" s="160"/>
      <c r="F443" s="92"/>
      <c r="G443" s="140"/>
      <c r="H443" s="140"/>
      <c r="I443" s="140"/>
      <c r="J443" s="140"/>
      <c r="K443" s="140"/>
    </row>
    <row r="444">
      <c r="B444" s="155"/>
      <c r="C444" s="160"/>
      <c r="D444" s="160"/>
      <c r="F444" s="92"/>
      <c r="G444" s="140"/>
      <c r="H444" s="140"/>
      <c r="I444" s="140"/>
      <c r="J444" s="140"/>
      <c r="K444" s="140"/>
    </row>
    <row r="445">
      <c r="B445" s="155"/>
      <c r="C445" s="160"/>
      <c r="D445" s="160"/>
      <c r="F445" s="92"/>
      <c r="G445" s="140"/>
      <c r="H445" s="140"/>
      <c r="I445" s="140"/>
      <c r="J445" s="140"/>
      <c r="K445" s="140"/>
    </row>
    <row r="446">
      <c r="B446" s="155"/>
      <c r="C446" s="160"/>
      <c r="D446" s="160"/>
      <c r="F446" s="92"/>
      <c r="G446" s="140"/>
      <c r="H446" s="140"/>
      <c r="I446" s="140"/>
      <c r="J446" s="140"/>
      <c r="K446" s="140"/>
    </row>
    <row r="447">
      <c r="B447" s="155"/>
      <c r="C447" s="160"/>
      <c r="D447" s="160"/>
      <c r="F447" s="92"/>
      <c r="G447" s="140"/>
      <c r="H447" s="140"/>
      <c r="I447" s="140"/>
      <c r="J447" s="140"/>
      <c r="K447" s="140"/>
    </row>
    <row r="448">
      <c r="B448" s="155"/>
      <c r="C448" s="160"/>
      <c r="D448" s="160"/>
      <c r="F448" s="92"/>
      <c r="G448" s="140"/>
      <c r="H448" s="140"/>
      <c r="I448" s="140"/>
      <c r="J448" s="140"/>
      <c r="K448" s="140"/>
    </row>
    <row r="449">
      <c r="B449" s="155"/>
      <c r="C449" s="160"/>
      <c r="D449" s="160"/>
      <c r="F449" s="92"/>
      <c r="G449" s="140"/>
      <c r="H449" s="140"/>
      <c r="I449" s="140"/>
      <c r="J449" s="140"/>
      <c r="K449" s="140"/>
    </row>
    <row r="450">
      <c r="B450" s="155"/>
      <c r="C450" s="160"/>
      <c r="D450" s="160"/>
      <c r="F450" s="92"/>
      <c r="G450" s="140"/>
      <c r="H450" s="140"/>
      <c r="I450" s="140"/>
      <c r="J450" s="140"/>
      <c r="K450" s="140"/>
    </row>
    <row r="451">
      <c r="B451" s="155"/>
      <c r="C451" s="160"/>
      <c r="D451" s="160"/>
      <c r="F451" s="92"/>
      <c r="G451" s="140"/>
      <c r="H451" s="140"/>
      <c r="I451" s="140"/>
      <c r="J451" s="140"/>
      <c r="K451" s="140"/>
    </row>
    <row r="452">
      <c r="B452" s="155"/>
      <c r="C452" s="160"/>
      <c r="D452" s="160"/>
      <c r="F452" s="92"/>
      <c r="G452" s="140"/>
      <c r="H452" s="140"/>
      <c r="I452" s="140"/>
      <c r="J452" s="140"/>
      <c r="K452" s="140"/>
    </row>
    <row r="453">
      <c r="B453" s="155"/>
      <c r="C453" s="160"/>
      <c r="D453" s="160"/>
      <c r="F453" s="92"/>
      <c r="G453" s="140"/>
      <c r="H453" s="140"/>
      <c r="I453" s="140"/>
      <c r="J453" s="140"/>
      <c r="K453" s="140"/>
    </row>
    <row r="454">
      <c r="B454" s="155"/>
      <c r="C454" s="160"/>
      <c r="D454" s="160"/>
      <c r="F454" s="92"/>
      <c r="G454" s="140"/>
      <c r="H454" s="140"/>
      <c r="I454" s="140"/>
      <c r="J454" s="140"/>
      <c r="K454" s="140"/>
    </row>
    <row r="455">
      <c r="B455" s="155"/>
      <c r="C455" s="160"/>
      <c r="D455" s="160"/>
      <c r="F455" s="92"/>
      <c r="G455" s="140"/>
      <c r="H455" s="140"/>
      <c r="I455" s="140"/>
      <c r="J455" s="140"/>
      <c r="K455" s="140"/>
    </row>
    <row r="456">
      <c r="B456" s="155"/>
      <c r="C456" s="160"/>
      <c r="D456" s="160"/>
      <c r="F456" s="92"/>
      <c r="G456" s="140"/>
      <c r="H456" s="140"/>
      <c r="I456" s="140"/>
      <c r="J456" s="140"/>
      <c r="K456" s="140"/>
    </row>
    <row r="457">
      <c r="B457" s="155"/>
      <c r="C457" s="160"/>
      <c r="D457" s="160"/>
      <c r="F457" s="92"/>
      <c r="G457" s="140"/>
      <c r="H457" s="140"/>
      <c r="I457" s="140"/>
      <c r="J457" s="140"/>
      <c r="K457" s="140"/>
    </row>
    <row r="458">
      <c r="B458" s="155"/>
      <c r="C458" s="160"/>
      <c r="D458" s="160"/>
      <c r="F458" s="92"/>
      <c r="G458" s="140"/>
      <c r="H458" s="140"/>
      <c r="I458" s="140"/>
      <c r="J458" s="140"/>
      <c r="K458" s="140"/>
    </row>
    <row r="459">
      <c r="B459" s="155"/>
      <c r="C459" s="160"/>
      <c r="D459" s="160"/>
      <c r="F459" s="92"/>
      <c r="G459" s="140"/>
      <c r="H459" s="140"/>
      <c r="I459" s="140"/>
      <c r="J459" s="140"/>
      <c r="K459" s="140"/>
    </row>
    <row r="460">
      <c r="B460" s="155"/>
      <c r="C460" s="160"/>
      <c r="D460" s="160"/>
      <c r="F460" s="92"/>
      <c r="G460" s="140"/>
      <c r="H460" s="140"/>
      <c r="I460" s="140"/>
      <c r="J460" s="140"/>
      <c r="K460" s="140"/>
    </row>
    <row r="461">
      <c r="B461" s="155"/>
      <c r="C461" s="160"/>
      <c r="D461" s="160"/>
      <c r="F461" s="92"/>
      <c r="G461" s="140"/>
      <c r="H461" s="140"/>
      <c r="I461" s="140"/>
      <c r="J461" s="140"/>
      <c r="K461" s="140"/>
    </row>
    <row r="462">
      <c r="B462" s="155"/>
      <c r="C462" s="160"/>
      <c r="D462" s="160"/>
      <c r="F462" s="92"/>
      <c r="G462" s="140"/>
      <c r="H462" s="140"/>
      <c r="I462" s="140"/>
      <c r="J462" s="140"/>
      <c r="K462" s="140"/>
    </row>
    <row r="463">
      <c r="B463" s="155"/>
      <c r="C463" s="160"/>
      <c r="D463" s="160"/>
      <c r="F463" s="92"/>
      <c r="G463" s="140"/>
      <c r="H463" s="140"/>
      <c r="I463" s="140"/>
      <c r="J463" s="140"/>
      <c r="K463" s="140"/>
    </row>
    <row r="464">
      <c r="B464" s="155"/>
      <c r="C464" s="160"/>
      <c r="D464" s="160"/>
      <c r="F464" s="92"/>
      <c r="G464" s="140"/>
      <c r="H464" s="140"/>
      <c r="I464" s="140"/>
      <c r="J464" s="140"/>
      <c r="K464" s="140"/>
    </row>
    <row r="465">
      <c r="B465" s="155"/>
      <c r="C465" s="160"/>
      <c r="D465" s="160"/>
      <c r="F465" s="92"/>
      <c r="G465" s="140"/>
      <c r="H465" s="140"/>
      <c r="I465" s="140"/>
      <c r="J465" s="140"/>
      <c r="K465" s="140"/>
    </row>
    <row r="466">
      <c r="B466" s="155"/>
      <c r="C466" s="160"/>
      <c r="D466" s="160"/>
      <c r="F466" s="92"/>
      <c r="G466" s="140"/>
      <c r="H466" s="140"/>
      <c r="I466" s="140"/>
      <c r="J466" s="140"/>
      <c r="K466" s="140"/>
    </row>
    <row r="467">
      <c r="B467" s="155"/>
      <c r="C467" s="160"/>
      <c r="D467" s="160"/>
      <c r="F467" s="92"/>
      <c r="G467" s="140"/>
      <c r="H467" s="140"/>
      <c r="I467" s="140"/>
      <c r="J467" s="140"/>
      <c r="K467" s="140"/>
    </row>
    <row r="468">
      <c r="B468" s="155"/>
      <c r="C468" s="160"/>
      <c r="D468" s="160"/>
      <c r="F468" s="92"/>
      <c r="G468" s="140"/>
      <c r="H468" s="140"/>
      <c r="I468" s="140"/>
      <c r="J468" s="140"/>
      <c r="K468" s="140"/>
    </row>
    <row r="469">
      <c r="B469" s="155"/>
      <c r="C469" s="160"/>
      <c r="D469" s="160"/>
      <c r="F469" s="92"/>
      <c r="G469" s="140"/>
      <c r="H469" s="140"/>
      <c r="I469" s="140"/>
      <c r="J469" s="140"/>
      <c r="K469" s="140"/>
    </row>
    <row r="470">
      <c r="B470" s="155"/>
      <c r="C470" s="160"/>
      <c r="D470" s="160"/>
      <c r="F470" s="92"/>
      <c r="G470" s="140"/>
      <c r="H470" s="140"/>
      <c r="I470" s="140"/>
      <c r="J470" s="140"/>
      <c r="K470" s="140"/>
    </row>
    <row r="471">
      <c r="B471" s="155"/>
      <c r="C471" s="160"/>
      <c r="D471" s="160"/>
      <c r="F471" s="92"/>
      <c r="G471" s="140"/>
      <c r="H471" s="140"/>
      <c r="I471" s="140"/>
      <c r="J471" s="140"/>
      <c r="K471" s="140"/>
    </row>
    <row r="472">
      <c r="B472" s="155"/>
      <c r="C472" s="160"/>
      <c r="D472" s="160"/>
      <c r="F472" s="92"/>
      <c r="G472" s="140"/>
      <c r="H472" s="140"/>
      <c r="I472" s="140"/>
      <c r="J472" s="140"/>
      <c r="K472" s="140"/>
    </row>
    <row r="473">
      <c r="B473" s="155"/>
      <c r="C473" s="160"/>
      <c r="D473" s="160"/>
      <c r="F473" s="92"/>
      <c r="G473" s="140"/>
      <c r="H473" s="140"/>
      <c r="I473" s="140"/>
      <c r="J473" s="140"/>
      <c r="K473" s="140"/>
    </row>
    <row r="474">
      <c r="B474" s="155"/>
      <c r="C474" s="160"/>
      <c r="D474" s="160"/>
      <c r="F474" s="92"/>
      <c r="G474" s="140"/>
      <c r="H474" s="140"/>
      <c r="I474" s="140"/>
      <c r="J474" s="140"/>
      <c r="K474" s="140"/>
    </row>
    <row r="475">
      <c r="B475" s="155"/>
      <c r="C475" s="160"/>
      <c r="D475" s="160"/>
      <c r="F475" s="92"/>
      <c r="G475" s="140"/>
      <c r="H475" s="140"/>
      <c r="I475" s="140"/>
      <c r="J475" s="140"/>
      <c r="K475" s="140"/>
    </row>
    <row r="476">
      <c r="B476" s="155"/>
      <c r="C476" s="160"/>
      <c r="D476" s="160"/>
      <c r="F476" s="92"/>
      <c r="G476" s="140"/>
      <c r="H476" s="140"/>
      <c r="I476" s="140"/>
      <c r="J476" s="140"/>
      <c r="K476" s="140"/>
    </row>
    <row r="477">
      <c r="B477" s="155"/>
      <c r="C477" s="160"/>
      <c r="D477" s="160"/>
      <c r="F477" s="92"/>
      <c r="G477" s="140"/>
      <c r="H477" s="140"/>
      <c r="I477" s="140"/>
      <c r="J477" s="140"/>
      <c r="K477" s="140"/>
    </row>
    <row r="478">
      <c r="B478" s="155"/>
      <c r="C478" s="160"/>
      <c r="D478" s="160"/>
      <c r="F478" s="92"/>
      <c r="G478" s="140"/>
      <c r="H478" s="140"/>
      <c r="I478" s="140"/>
      <c r="J478" s="140"/>
      <c r="K478" s="140"/>
    </row>
    <row r="479">
      <c r="B479" s="155"/>
      <c r="C479" s="160"/>
      <c r="D479" s="160"/>
      <c r="F479" s="92"/>
      <c r="G479" s="140"/>
      <c r="H479" s="140"/>
      <c r="I479" s="140"/>
      <c r="J479" s="140"/>
      <c r="K479" s="140"/>
    </row>
    <row r="480">
      <c r="B480" s="155"/>
      <c r="C480" s="160"/>
      <c r="D480" s="160"/>
      <c r="F480" s="92"/>
      <c r="G480" s="140"/>
      <c r="H480" s="140"/>
      <c r="I480" s="140"/>
      <c r="J480" s="140"/>
      <c r="K480" s="140"/>
    </row>
    <row r="481">
      <c r="B481" s="155"/>
      <c r="C481" s="160"/>
      <c r="D481" s="160"/>
      <c r="F481" s="92"/>
      <c r="G481" s="140"/>
      <c r="H481" s="140"/>
      <c r="I481" s="140"/>
      <c r="J481" s="140"/>
      <c r="K481" s="140"/>
    </row>
    <row r="482">
      <c r="B482" s="155"/>
      <c r="C482" s="160"/>
      <c r="D482" s="160"/>
      <c r="F482" s="92"/>
      <c r="G482" s="140"/>
      <c r="H482" s="140"/>
      <c r="I482" s="140"/>
      <c r="J482" s="140"/>
      <c r="K482" s="140"/>
    </row>
    <row r="483">
      <c r="B483" s="155"/>
      <c r="C483" s="160"/>
      <c r="D483" s="160"/>
      <c r="F483" s="92"/>
      <c r="G483" s="140"/>
      <c r="H483" s="140"/>
      <c r="I483" s="140"/>
      <c r="J483" s="140"/>
      <c r="K483" s="140"/>
    </row>
    <row r="484">
      <c r="B484" s="155"/>
      <c r="C484" s="160"/>
      <c r="D484" s="160"/>
      <c r="F484" s="92"/>
      <c r="G484" s="140"/>
      <c r="H484" s="140"/>
      <c r="I484" s="140"/>
      <c r="J484" s="140"/>
      <c r="K484" s="140"/>
    </row>
    <row r="485">
      <c r="B485" s="155"/>
      <c r="C485" s="160"/>
      <c r="D485" s="160"/>
      <c r="F485" s="92"/>
      <c r="G485" s="140"/>
      <c r="H485" s="140"/>
      <c r="I485" s="140"/>
      <c r="J485" s="140"/>
      <c r="K485" s="140"/>
    </row>
    <row r="486">
      <c r="B486" s="155"/>
      <c r="C486" s="160"/>
      <c r="D486" s="160"/>
      <c r="F486" s="92"/>
      <c r="G486" s="140"/>
      <c r="H486" s="140"/>
      <c r="I486" s="140"/>
      <c r="J486" s="140"/>
      <c r="K486" s="140"/>
    </row>
    <row r="487">
      <c r="B487" s="155"/>
      <c r="C487" s="160"/>
      <c r="D487" s="160"/>
      <c r="F487" s="92"/>
      <c r="G487" s="140"/>
      <c r="H487" s="140"/>
      <c r="I487" s="140"/>
      <c r="J487" s="140"/>
      <c r="K487" s="140"/>
    </row>
    <row r="488">
      <c r="B488" s="155"/>
      <c r="C488" s="160"/>
      <c r="D488" s="160"/>
      <c r="F488" s="92"/>
      <c r="G488" s="140"/>
      <c r="H488" s="140"/>
      <c r="I488" s="140"/>
      <c r="J488" s="140"/>
      <c r="K488" s="140"/>
    </row>
    <row r="489">
      <c r="B489" s="155"/>
      <c r="C489" s="160"/>
      <c r="D489" s="160"/>
      <c r="F489" s="92"/>
      <c r="G489" s="140"/>
      <c r="H489" s="140"/>
      <c r="I489" s="140"/>
      <c r="J489" s="140"/>
      <c r="K489" s="140"/>
    </row>
    <row r="490">
      <c r="B490" s="155"/>
      <c r="C490" s="160"/>
      <c r="D490" s="160"/>
      <c r="F490" s="92"/>
      <c r="G490" s="140"/>
      <c r="H490" s="140"/>
      <c r="I490" s="140"/>
      <c r="J490" s="140"/>
      <c r="K490" s="140"/>
    </row>
    <row r="491">
      <c r="B491" s="155"/>
      <c r="C491" s="160"/>
      <c r="D491" s="160"/>
      <c r="F491" s="92"/>
      <c r="G491" s="140"/>
      <c r="H491" s="140"/>
      <c r="I491" s="140"/>
      <c r="J491" s="140"/>
      <c r="K491" s="140"/>
    </row>
    <row r="492">
      <c r="B492" s="155"/>
      <c r="C492" s="160"/>
      <c r="D492" s="160"/>
      <c r="F492" s="92"/>
      <c r="G492" s="140"/>
      <c r="H492" s="140"/>
      <c r="I492" s="140"/>
      <c r="J492" s="140"/>
      <c r="K492" s="140"/>
    </row>
    <row r="493">
      <c r="B493" s="155"/>
      <c r="C493" s="160"/>
      <c r="D493" s="160"/>
      <c r="F493" s="92"/>
      <c r="G493" s="140"/>
      <c r="H493" s="140"/>
      <c r="I493" s="140"/>
      <c r="J493" s="140"/>
      <c r="K493" s="140"/>
    </row>
    <row r="494">
      <c r="B494" s="155"/>
      <c r="C494" s="160"/>
      <c r="D494" s="160"/>
      <c r="F494" s="92"/>
      <c r="G494" s="140"/>
      <c r="H494" s="140"/>
      <c r="I494" s="140"/>
      <c r="J494" s="140"/>
      <c r="K494" s="140"/>
    </row>
    <row r="495">
      <c r="B495" s="155"/>
      <c r="C495" s="160"/>
      <c r="D495" s="160"/>
      <c r="F495" s="92"/>
      <c r="G495" s="140"/>
      <c r="H495" s="140"/>
      <c r="I495" s="140"/>
      <c r="J495" s="140"/>
      <c r="K495" s="140"/>
    </row>
    <row r="496">
      <c r="B496" s="155"/>
      <c r="C496" s="160"/>
      <c r="D496" s="160"/>
      <c r="F496" s="92"/>
      <c r="G496" s="140"/>
      <c r="H496" s="140"/>
      <c r="I496" s="140"/>
      <c r="J496" s="140"/>
      <c r="K496" s="140"/>
    </row>
    <row r="497">
      <c r="B497" s="155"/>
      <c r="C497" s="160"/>
      <c r="D497" s="160"/>
      <c r="F497" s="92"/>
      <c r="G497" s="140"/>
      <c r="H497" s="140"/>
      <c r="I497" s="140"/>
      <c r="J497" s="140"/>
      <c r="K497" s="140"/>
    </row>
    <row r="498">
      <c r="B498" s="155"/>
      <c r="C498" s="160"/>
      <c r="D498" s="160"/>
      <c r="F498" s="92"/>
      <c r="G498" s="140"/>
      <c r="H498" s="140"/>
      <c r="I498" s="140"/>
      <c r="J498" s="140"/>
      <c r="K498" s="140"/>
    </row>
    <row r="499">
      <c r="B499" s="155"/>
      <c r="C499" s="160"/>
      <c r="D499" s="160"/>
      <c r="F499" s="92"/>
      <c r="G499" s="140"/>
      <c r="H499" s="140"/>
      <c r="I499" s="140"/>
      <c r="J499" s="140"/>
      <c r="K499" s="140"/>
    </row>
    <row r="500">
      <c r="B500" s="155"/>
      <c r="C500" s="160"/>
      <c r="D500" s="160"/>
      <c r="F500" s="92"/>
      <c r="G500" s="140"/>
      <c r="H500" s="140"/>
      <c r="I500" s="140"/>
      <c r="J500" s="140"/>
      <c r="K500" s="140"/>
    </row>
    <row r="501">
      <c r="B501" s="155"/>
      <c r="C501" s="160"/>
      <c r="D501" s="160"/>
      <c r="F501" s="92"/>
      <c r="G501" s="140"/>
      <c r="H501" s="140"/>
      <c r="I501" s="140"/>
      <c r="J501" s="140"/>
      <c r="K501" s="140"/>
    </row>
    <row r="502">
      <c r="B502" s="155"/>
      <c r="C502" s="160"/>
      <c r="D502" s="160"/>
      <c r="F502" s="92"/>
      <c r="G502" s="140"/>
      <c r="H502" s="140"/>
      <c r="I502" s="140"/>
      <c r="J502" s="140"/>
      <c r="K502" s="140"/>
    </row>
    <row r="503">
      <c r="B503" s="155"/>
      <c r="C503" s="160"/>
      <c r="D503" s="160"/>
      <c r="F503" s="92"/>
      <c r="G503" s="140"/>
      <c r="H503" s="140"/>
      <c r="I503" s="140"/>
      <c r="J503" s="140"/>
      <c r="K503" s="140"/>
    </row>
    <row r="504">
      <c r="B504" s="155"/>
      <c r="C504" s="160"/>
      <c r="D504" s="160"/>
      <c r="F504" s="92"/>
      <c r="G504" s="140"/>
      <c r="H504" s="140"/>
      <c r="I504" s="140"/>
      <c r="J504" s="140"/>
      <c r="K504" s="140"/>
    </row>
    <row r="505">
      <c r="B505" s="155"/>
      <c r="C505" s="160"/>
      <c r="D505" s="160"/>
      <c r="F505" s="92"/>
      <c r="G505" s="140"/>
      <c r="H505" s="140"/>
      <c r="I505" s="140"/>
      <c r="J505" s="140"/>
      <c r="K505" s="140"/>
    </row>
    <row r="506">
      <c r="B506" s="155"/>
      <c r="C506" s="160"/>
      <c r="D506" s="160"/>
      <c r="F506" s="92"/>
      <c r="G506" s="140"/>
      <c r="H506" s="140"/>
      <c r="I506" s="140"/>
      <c r="J506" s="140"/>
      <c r="K506" s="140"/>
    </row>
    <row r="507">
      <c r="B507" s="155"/>
      <c r="C507" s="160"/>
      <c r="D507" s="160"/>
      <c r="F507" s="92"/>
      <c r="G507" s="140"/>
      <c r="H507" s="140"/>
      <c r="I507" s="140"/>
      <c r="J507" s="140"/>
      <c r="K507" s="140"/>
    </row>
    <row r="508">
      <c r="B508" s="155"/>
      <c r="C508" s="160"/>
      <c r="D508" s="160"/>
      <c r="F508" s="92"/>
      <c r="G508" s="140"/>
      <c r="H508" s="140"/>
      <c r="I508" s="140"/>
      <c r="J508" s="140"/>
      <c r="K508" s="140"/>
    </row>
    <row r="509">
      <c r="B509" s="155"/>
      <c r="C509" s="160"/>
      <c r="D509" s="160"/>
      <c r="F509" s="92"/>
      <c r="G509" s="140"/>
      <c r="H509" s="140"/>
      <c r="I509" s="140"/>
      <c r="J509" s="140"/>
      <c r="K509" s="140"/>
    </row>
    <row r="510">
      <c r="B510" s="155"/>
      <c r="C510" s="160"/>
      <c r="D510" s="160"/>
      <c r="F510" s="92"/>
      <c r="G510" s="140"/>
      <c r="H510" s="140"/>
      <c r="I510" s="140"/>
      <c r="J510" s="140"/>
      <c r="K510" s="140"/>
    </row>
    <row r="511">
      <c r="B511" s="155"/>
      <c r="C511" s="160"/>
      <c r="D511" s="160"/>
      <c r="F511" s="92"/>
      <c r="G511" s="140"/>
      <c r="H511" s="140"/>
      <c r="I511" s="140"/>
      <c r="J511" s="140"/>
      <c r="K511" s="140"/>
    </row>
    <row r="512">
      <c r="B512" s="155"/>
      <c r="C512" s="160"/>
      <c r="D512" s="160"/>
      <c r="F512" s="92"/>
      <c r="G512" s="140"/>
      <c r="H512" s="140"/>
      <c r="I512" s="140"/>
      <c r="J512" s="140"/>
      <c r="K512" s="140"/>
    </row>
    <row r="513">
      <c r="B513" s="155"/>
      <c r="C513" s="160"/>
      <c r="D513" s="160"/>
      <c r="F513" s="92"/>
      <c r="G513" s="140"/>
      <c r="H513" s="140"/>
      <c r="I513" s="140"/>
      <c r="J513" s="140"/>
      <c r="K513" s="140"/>
    </row>
    <row r="514">
      <c r="B514" s="155"/>
      <c r="C514" s="160"/>
      <c r="D514" s="160"/>
      <c r="F514" s="92"/>
      <c r="G514" s="140"/>
      <c r="H514" s="140"/>
      <c r="I514" s="140"/>
      <c r="J514" s="140"/>
      <c r="K514" s="140"/>
    </row>
    <row r="515">
      <c r="B515" s="155"/>
      <c r="C515" s="160"/>
      <c r="D515" s="160"/>
      <c r="F515" s="92"/>
      <c r="G515" s="140"/>
      <c r="H515" s="140"/>
      <c r="I515" s="140"/>
      <c r="J515" s="140"/>
      <c r="K515" s="140"/>
    </row>
    <row r="516">
      <c r="B516" s="155"/>
      <c r="C516" s="160"/>
      <c r="D516" s="160"/>
      <c r="F516" s="92"/>
      <c r="G516" s="140"/>
      <c r="H516" s="140"/>
      <c r="I516" s="140"/>
      <c r="J516" s="140"/>
      <c r="K516" s="140"/>
    </row>
    <row r="517">
      <c r="B517" s="155"/>
      <c r="C517" s="160"/>
      <c r="D517" s="160"/>
      <c r="F517" s="92"/>
      <c r="G517" s="140"/>
      <c r="H517" s="140"/>
      <c r="I517" s="140"/>
      <c r="J517" s="140"/>
      <c r="K517" s="140"/>
    </row>
    <row r="518">
      <c r="B518" s="155"/>
      <c r="C518" s="160"/>
      <c r="D518" s="160"/>
      <c r="F518" s="92"/>
      <c r="G518" s="140"/>
      <c r="H518" s="140"/>
      <c r="I518" s="140"/>
      <c r="J518" s="140"/>
      <c r="K518" s="140"/>
    </row>
    <row r="519">
      <c r="B519" s="155"/>
      <c r="C519" s="160"/>
      <c r="D519" s="160"/>
      <c r="F519" s="92"/>
      <c r="G519" s="140"/>
      <c r="H519" s="140"/>
      <c r="I519" s="140"/>
      <c r="J519" s="140"/>
      <c r="K519" s="140"/>
    </row>
    <row r="520">
      <c r="B520" s="155"/>
      <c r="C520" s="160"/>
      <c r="D520" s="160"/>
      <c r="F520" s="92"/>
      <c r="G520" s="140"/>
      <c r="H520" s="140"/>
      <c r="I520" s="140"/>
      <c r="J520" s="140"/>
      <c r="K520" s="140"/>
    </row>
    <row r="521">
      <c r="B521" s="155"/>
      <c r="C521" s="160"/>
      <c r="D521" s="160"/>
      <c r="F521" s="92"/>
      <c r="G521" s="140"/>
      <c r="H521" s="140"/>
      <c r="I521" s="140"/>
      <c r="J521" s="140"/>
      <c r="K521" s="140"/>
    </row>
    <row r="522">
      <c r="B522" s="155"/>
      <c r="C522" s="160"/>
      <c r="D522" s="160"/>
      <c r="F522" s="92"/>
      <c r="G522" s="140"/>
      <c r="H522" s="140"/>
      <c r="I522" s="140"/>
      <c r="J522" s="140"/>
      <c r="K522" s="140"/>
    </row>
    <row r="523">
      <c r="B523" s="155"/>
      <c r="C523" s="160"/>
      <c r="D523" s="160"/>
      <c r="F523" s="92"/>
      <c r="G523" s="140"/>
      <c r="H523" s="140"/>
      <c r="I523" s="140"/>
      <c r="J523" s="140"/>
      <c r="K523" s="140"/>
    </row>
    <row r="524">
      <c r="B524" s="155"/>
      <c r="C524" s="160"/>
      <c r="D524" s="160"/>
      <c r="F524" s="92"/>
      <c r="G524" s="140"/>
      <c r="H524" s="140"/>
      <c r="I524" s="140"/>
      <c r="J524" s="140"/>
      <c r="K524" s="140"/>
    </row>
    <row r="525">
      <c r="B525" s="155"/>
      <c r="C525" s="160"/>
      <c r="D525" s="160"/>
      <c r="F525" s="92"/>
      <c r="G525" s="140"/>
      <c r="H525" s="140"/>
      <c r="I525" s="140"/>
      <c r="J525" s="140"/>
      <c r="K525" s="140"/>
    </row>
    <row r="526">
      <c r="B526" s="155"/>
      <c r="C526" s="160"/>
      <c r="D526" s="160"/>
      <c r="F526" s="92"/>
      <c r="G526" s="140"/>
      <c r="H526" s="140"/>
      <c r="I526" s="140"/>
      <c r="J526" s="140"/>
      <c r="K526" s="140"/>
    </row>
    <row r="527">
      <c r="B527" s="155"/>
      <c r="C527" s="160"/>
      <c r="D527" s="160"/>
      <c r="F527" s="92"/>
      <c r="G527" s="140"/>
      <c r="H527" s="140"/>
      <c r="I527" s="140"/>
      <c r="J527" s="140"/>
      <c r="K527" s="140"/>
    </row>
    <row r="528">
      <c r="B528" s="155"/>
      <c r="C528" s="160"/>
      <c r="D528" s="160"/>
      <c r="F528" s="92"/>
      <c r="G528" s="140"/>
      <c r="H528" s="140"/>
      <c r="I528" s="140"/>
      <c r="J528" s="140"/>
      <c r="K528" s="140"/>
    </row>
    <row r="529">
      <c r="B529" s="155"/>
      <c r="C529" s="160"/>
      <c r="D529" s="160"/>
      <c r="F529" s="92"/>
      <c r="G529" s="140"/>
      <c r="H529" s="140"/>
      <c r="I529" s="140"/>
      <c r="J529" s="140"/>
      <c r="K529" s="140"/>
    </row>
    <row r="530">
      <c r="B530" s="155"/>
      <c r="C530" s="160"/>
      <c r="D530" s="160"/>
      <c r="F530" s="92"/>
      <c r="G530" s="140"/>
      <c r="H530" s="140"/>
      <c r="I530" s="140"/>
      <c r="J530" s="140"/>
      <c r="K530" s="140"/>
    </row>
    <row r="531">
      <c r="B531" s="155"/>
      <c r="C531" s="160"/>
      <c r="D531" s="160"/>
      <c r="F531" s="92"/>
      <c r="G531" s="140"/>
      <c r="H531" s="140"/>
      <c r="I531" s="140"/>
      <c r="J531" s="140"/>
      <c r="K531" s="140"/>
    </row>
    <row r="532">
      <c r="B532" s="155"/>
      <c r="C532" s="160"/>
      <c r="D532" s="160"/>
      <c r="F532" s="92"/>
      <c r="G532" s="140"/>
      <c r="H532" s="140"/>
      <c r="I532" s="140"/>
      <c r="J532" s="140"/>
      <c r="K532" s="140"/>
    </row>
    <row r="533">
      <c r="B533" s="155"/>
      <c r="C533" s="160"/>
      <c r="D533" s="160"/>
      <c r="F533" s="92"/>
      <c r="G533" s="140"/>
      <c r="H533" s="140"/>
      <c r="I533" s="140"/>
      <c r="J533" s="140"/>
      <c r="K533" s="140"/>
    </row>
    <row r="534">
      <c r="B534" s="155"/>
      <c r="C534" s="160"/>
      <c r="D534" s="160"/>
      <c r="F534" s="92"/>
      <c r="G534" s="140"/>
      <c r="H534" s="140"/>
      <c r="I534" s="140"/>
      <c r="J534" s="140"/>
      <c r="K534" s="140"/>
    </row>
    <row r="535">
      <c r="B535" s="155"/>
      <c r="C535" s="160"/>
      <c r="D535" s="160"/>
      <c r="F535" s="92"/>
      <c r="G535" s="140"/>
      <c r="H535" s="140"/>
      <c r="I535" s="140"/>
      <c r="J535" s="140"/>
      <c r="K535" s="140"/>
    </row>
    <row r="536">
      <c r="B536" s="155"/>
      <c r="C536" s="160"/>
      <c r="D536" s="160"/>
      <c r="F536" s="92"/>
      <c r="G536" s="140"/>
      <c r="H536" s="140"/>
      <c r="I536" s="140"/>
      <c r="J536" s="140"/>
      <c r="K536" s="140"/>
    </row>
    <row r="537">
      <c r="B537" s="155"/>
      <c r="C537" s="160"/>
      <c r="D537" s="160"/>
      <c r="F537" s="92"/>
      <c r="G537" s="140"/>
      <c r="H537" s="140"/>
      <c r="I537" s="140"/>
      <c r="J537" s="140"/>
      <c r="K537" s="140"/>
    </row>
    <row r="538">
      <c r="B538" s="155"/>
      <c r="C538" s="160"/>
      <c r="D538" s="160"/>
      <c r="F538" s="92"/>
      <c r="G538" s="140"/>
      <c r="H538" s="140"/>
      <c r="I538" s="140"/>
      <c r="J538" s="140"/>
      <c r="K538" s="140"/>
    </row>
    <row r="539">
      <c r="B539" s="155"/>
      <c r="C539" s="160"/>
      <c r="D539" s="160"/>
      <c r="F539" s="92"/>
      <c r="G539" s="140"/>
      <c r="H539" s="140"/>
      <c r="I539" s="140"/>
      <c r="J539" s="140"/>
      <c r="K539" s="140"/>
    </row>
    <row r="540">
      <c r="B540" s="155"/>
      <c r="C540" s="160"/>
      <c r="D540" s="160"/>
      <c r="F540" s="92"/>
      <c r="G540" s="140"/>
      <c r="H540" s="140"/>
      <c r="I540" s="140"/>
      <c r="J540" s="140"/>
      <c r="K540" s="140"/>
    </row>
    <row r="541">
      <c r="B541" s="155"/>
      <c r="C541" s="160"/>
      <c r="D541" s="160"/>
      <c r="F541" s="92"/>
      <c r="G541" s="140"/>
      <c r="H541" s="140"/>
      <c r="I541" s="140"/>
      <c r="J541" s="140"/>
      <c r="K541" s="140"/>
    </row>
    <row r="542">
      <c r="B542" s="155"/>
      <c r="C542" s="160"/>
      <c r="D542" s="160"/>
      <c r="F542" s="92"/>
      <c r="G542" s="140"/>
      <c r="H542" s="140"/>
      <c r="I542" s="140"/>
      <c r="J542" s="140"/>
      <c r="K542" s="140"/>
    </row>
    <row r="543">
      <c r="B543" s="155"/>
      <c r="C543" s="160"/>
      <c r="D543" s="160"/>
      <c r="F543" s="92"/>
      <c r="G543" s="140"/>
      <c r="H543" s="140"/>
      <c r="I543" s="140"/>
      <c r="J543" s="140"/>
      <c r="K543" s="140"/>
    </row>
    <row r="544">
      <c r="B544" s="155"/>
      <c r="C544" s="160"/>
      <c r="D544" s="160"/>
      <c r="F544" s="92"/>
      <c r="G544" s="140"/>
      <c r="H544" s="140"/>
      <c r="I544" s="140"/>
      <c r="J544" s="140"/>
      <c r="K544" s="140"/>
    </row>
    <row r="545">
      <c r="B545" s="155"/>
      <c r="C545" s="160"/>
      <c r="D545" s="160"/>
      <c r="F545" s="92"/>
      <c r="G545" s="140"/>
      <c r="H545" s="140"/>
      <c r="I545" s="140"/>
      <c r="J545" s="140"/>
      <c r="K545" s="140"/>
    </row>
    <row r="546">
      <c r="B546" s="155"/>
      <c r="C546" s="160"/>
      <c r="D546" s="160"/>
      <c r="F546" s="92"/>
      <c r="G546" s="140"/>
      <c r="H546" s="140"/>
      <c r="I546" s="140"/>
      <c r="J546" s="140"/>
      <c r="K546" s="140"/>
    </row>
    <row r="547">
      <c r="B547" s="155"/>
      <c r="C547" s="160"/>
      <c r="D547" s="160"/>
      <c r="F547" s="92"/>
      <c r="G547" s="140"/>
      <c r="H547" s="140"/>
      <c r="I547" s="140"/>
      <c r="J547" s="140"/>
      <c r="K547" s="140"/>
    </row>
    <row r="548">
      <c r="B548" s="155"/>
      <c r="C548" s="160"/>
      <c r="D548" s="160"/>
      <c r="F548" s="92"/>
      <c r="G548" s="140"/>
      <c r="H548" s="140"/>
      <c r="I548" s="140"/>
      <c r="J548" s="140"/>
      <c r="K548" s="140"/>
    </row>
    <row r="549">
      <c r="B549" s="155"/>
      <c r="C549" s="160"/>
      <c r="D549" s="160"/>
      <c r="F549" s="92"/>
      <c r="G549" s="140"/>
      <c r="H549" s="140"/>
      <c r="I549" s="140"/>
      <c r="J549" s="140"/>
      <c r="K549" s="140"/>
    </row>
    <row r="550">
      <c r="B550" s="155"/>
      <c r="C550" s="160"/>
      <c r="D550" s="160"/>
      <c r="F550" s="92"/>
      <c r="G550" s="140"/>
      <c r="H550" s="140"/>
      <c r="I550" s="140"/>
      <c r="J550" s="140"/>
      <c r="K550" s="140"/>
    </row>
    <row r="551">
      <c r="B551" s="155"/>
      <c r="C551" s="160"/>
      <c r="D551" s="160"/>
      <c r="F551" s="92"/>
      <c r="G551" s="140"/>
      <c r="H551" s="140"/>
      <c r="I551" s="140"/>
      <c r="J551" s="140"/>
      <c r="K551" s="140"/>
    </row>
    <row r="552">
      <c r="B552" s="155"/>
      <c r="C552" s="160"/>
      <c r="D552" s="160"/>
      <c r="F552" s="92"/>
      <c r="G552" s="140"/>
      <c r="H552" s="140"/>
      <c r="I552" s="140"/>
      <c r="J552" s="140"/>
      <c r="K552" s="140"/>
    </row>
    <row r="553">
      <c r="B553" s="155"/>
      <c r="C553" s="160"/>
      <c r="D553" s="160"/>
      <c r="F553" s="92"/>
      <c r="G553" s="140"/>
      <c r="H553" s="140"/>
      <c r="I553" s="140"/>
      <c r="J553" s="140"/>
      <c r="K553" s="140"/>
    </row>
    <row r="554">
      <c r="B554" s="155"/>
      <c r="C554" s="160"/>
      <c r="D554" s="160"/>
      <c r="F554" s="92"/>
      <c r="G554" s="140"/>
      <c r="H554" s="140"/>
      <c r="I554" s="140"/>
      <c r="J554" s="140"/>
      <c r="K554" s="140"/>
    </row>
    <row r="555">
      <c r="B555" s="155"/>
      <c r="C555" s="160"/>
      <c r="D555" s="160"/>
      <c r="F555" s="92"/>
      <c r="G555" s="140"/>
      <c r="H555" s="140"/>
      <c r="I555" s="140"/>
      <c r="J555" s="140"/>
      <c r="K555" s="140"/>
    </row>
    <row r="556">
      <c r="B556" s="155"/>
      <c r="C556" s="160"/>
      <c r="D556" s="160"/>
      <c r="F556" s="92"/>
      <c r="G556" s="140"/>
      <c r="H556" s="140"/>
      <c r="I556" s="140"/>
      <c r="J556" s="140"/>
      <c r="K556" s="140"/>
    </row>
    <row r="557">
      <c r="B557" s="155"/>
      <c r="C557" s="160"/>
      <c r="D557" s="160"/>
      <c r="F557" s="92"/>
      <c r="G557" s="140"/>
      <c r="H557" s="140"/>
      <c r="I557" s="140"/>
      <c r="J557" s="140"/>
      <c r="K557" s="140"/>
    </row>
    <row r="558">
      <c r="B558" s="155"/>
      <c r="C558" s="160"/>
      <c r="D558" s="160"/>
      <c r="F558" s="92"/>
      <c r="G558" s="140"/>
      <c r="H558" s="140"/>
      <c r="I558" s="140"/>
      <c r="J558" s="140"/>
      <c r="K558" s="140"/>
    </row>
    <row r="559">
      <c r="B559" s="155"/>
      <c r="C559" s="160"/>
      <c r="D559" s="160"/>
      <c r="F559" s="92"/>
      <c r="G559" s="140"/>
      <c r="H559" s="140"/>
      <c r="I559" s="140"/>
      <c r="J559" s="140"/>
      <c r="K559" s="140"/>
    </row>
    <row r="560">
      <c r="B560" s="155"/>
      <c r="C560" s="160"/>
      <c r="D560" s="160"/>
      <c r="F560" s="92"/>
      <c r="G560" s="140"/>
      <c r="H560" s="140"/>
      <c r="I560" s="140"/>
      <c r="J560" s="140"/>
      <c r="K560" s="140"/>
    </row>
    <row r="561">
      <c r="B561" s="155"/>
      <c r="C561" s="160"/>
      <c r="D561" s="160"/>
      <c r="F561" s="92"/>
      <c r="G561" s="140"/>
      <c r="H561" s="140"/>
      <c r="I561" s="140"/>
      <c r="J561" s="140"/>
      <c r="K561" s="140"/>
    </row>
    <row r="562">
      <c r="B562" s="155"/>
      <c r="C562" s="160"/>
      <c r="D562" s="160"/>
      <c r="F562" s="92"/>
      <c r="G562" s="140"/>
      <c r="H562" s="140"/>
      <c r="I562" s="140"/>
      <c r="J562" s="140"/>
      <c r="K562" s="140"/>
    </row>
    <row r="563">
      <c r="B563" s="155"/>
      <c r="C563" s="160"/>
      <c r="D563" s="160"/>
      <c r="F563" s="92"/>
      <c r="G563" s="140"/>
      <c r="H563" s="140"/>
      <c r="I563" s="140"/>
      <c r="J563" s="140"/>
      <c r="K563" s="140"/>
    </row>
    <row r="564">
      <c r="B564" s="155"/>
      <c r="C564" s="160"/>
      <c r="D564" s="160"/>
      <c r="F564" s="92"/>
      <c r="G564" s="140"/>
      <c r="H564" s="140"/>
      <c r="I564" s="140"/>
      <c r="J564" s="140"/>
      <c r="K564" s="140"/>
    </row>
    <row r="565">
      <c r="B565" s="155"/>
      <c r="C565" s="160"/>
      <c r="D565" s="160"/>
      <c r="F565" s="92"/>
      <c r="G565" s="140"/>
      <c r="H565" s="140"/>
      <c r="I565" s="140"/>
      <c r="J565" s="140"/>
      <c r="K565" s="140"/>
    </row>
    <row r="566">
      <c r="B566" s="155"/>
      <c r="C566" s="160"/>
      <c r="D566" s="160"/>
      <c r="F566" s="92"/>
      <c r="G566" s="140"/>
      <c r="H566" s="140"/>
      <c r="I566" s="140"/>
      <c r="J566" s="140"/>
      <c r="K566" s="140"/>
    </row>
    <row r="567">
      <c r="B567" s="155"/>
      <c r="C567" s="160"/>
      <c r="D567" s="160"/>
      <c r="F567" s="92"/>
      <c r="G567" s="140"/>
      <c r="H567" s="140"/>
      <c r="I567" s="140"/>
      <c r="J567" s="140"/>
      <c r="K567" s="140"/>
    </row>
    <row r="568">
      <c r="B568" s="155"/>
      <c r="C568" s="160"/>
      <c r="D568" s="160"/>
      <c r="F568" s="92"/>
      <c r="G568" s="140"/>
      <c r="H568" s="140"/>
      <c r="I568" s="140"/>
      <c r="J568" s="140"/>
      <c r="K568" s="140"/>
    </row>
    <row r="569">
      <c r="B569" s="155"/>
      <c r="C569" s="160"/>
      <c r="D569" s="160"/>
      <c r="F569" s="92"/>
      <c r="G569" s="140"/>
      <c r="H569" s="140"/>
      <c r="I569" s="140"/>
      <c r="J569" s="140"/>
      <c r="K569" s="140"/>
    </row>
    <row r="570">
      <c r="B570" s="155"/>
      <c r="C570" s="160"/>
      <c r="D570" s="160"/>
      <c r="F570" s="92"/>
      <c r="G570" s="140"/>
      <c r="H570" s="140"/>
      <c r="I570" s="140"/>
      <c r="J570" s="140"/>
      <c r="K570" s="140"/>
    </row>
    <row r="571">
      <c r="B571" s="155"/>
      <c r="C571" s="160"/>
      <c r="D571" s="160"/>
      <c r="F571" s="92"/>
      <c r="G571" s="140"/>
      <c r="H571" s="140"/>
      <c r="I571" s="140"/>
      <c r="J571" s="140"/>
      <c r="K571" s="140"/>
    </row>
    <row r="572">
      <c r="B572" s="155"/>
      <c r="C572" s="160"/>
      <c r="D572" s="160"/>
      <c r="F572" s="92"/>
      <c r="G572" s="140"/>
      <c r="H572" s="140"/>
      <c r="I572" s="140"/>
      <c r="J572" s="140"/>
      <c r="K572" s="140"/>
    </row>
    <row r="573">
      <c r="B573" s="155"/>
      <c r="C573" s="160"/>
      <c r="D573" s="160"/>
      <c r="F573" s="92"/>
      <c r="G573" s="140"/>
      <c r="H573" s="140"/>
      <c r="I573" s="140"/>
      <c r="J573" s="140"/>
      <c r="K573" s="140"/>
    </row>
    <row r="574">
      <c r="B574" s="155"/>
      <c r="C574" s="160"/>
      <c r="D574" s="160"/>
      <c r="F574" s="92"/>
      <c r="G574" s="140"/>
      <c r="H574" s="140"/>
      <c r="I574" s="140"/>
      <c r="J574" s="140"/>
      <c r="K574" s="140"/>
    </row>
    <row r="575">
      <c r="B575" s="155"/>
      <c r="C575" s="160"/>
      <c r="D575" s="160"/>
      <c r="F575" s="92"/>
      <c r="G575" s="140"/>
      <c r="H575" s="140"/>
      <c r="I575" s="140"/>
      <c r="J575" s="140"/>
      <c r="K575" s="140"/>
    </row>
    <row r="576">
      <c r="B576" s="155"/>
      <c r="C576" s="160"/>
      <c r="D576" s="160"/>
      <c r="F576" s="92"/>
      <c r="G576" s="140"/>
      <c r="H576" s="140"/>
      <c r="I576" s="140"/>
      <c r="J576" s="140"/>
      <c r="K576" s="140"/>
    </row>
    <row r="577">
      <c r="B577" s="155"/>
      <c r="C577" s="160"/>
      <c r="D577" s="160"/>
      <c r="F577" s="92"/>
      <c r="G577" s="140"/>
      <c r="H577" s="140"/>
      <c r="I577" s="140"/>
      <c r="J577" s="140"/>
      <c r="K577" s="140"/>
    </row>
    <row r="578">
      <c r="B578" s="155"/>
      <c r="C578" s="160"/>
      <c r="D578" s="160"/>
      <c r="F578" s="92"/>
      <c r="G578" s="140"/>
      <c r="H578" s="140"/>
      <c r="I578" s="140"/>
      <c r="J578" s="140"/>
      <c r="K578" s="140"/>
    </row>
    <row r="579">
      <c r="B579" s="155"/>
      <c r="C579" s="160"/>
      <c r="D579" s="160"/>
      <c r="F579" s="92"/>
      <c r="G579" s="140"/>
      <c r="H579" s="140"/>
      <c r="I579" s="140"/>
      <c r="J579" s="140"/>
      <c r="K579" s="140"/>
    </row>
    <row r="580">
      <c r="B580" s="155"/>
      <c r="C580" s="160"/>
      <c r="D580" s="160"/>
      <c r="F580" s="92"/>
      <c r="G580" s="140"/>
      <c r="H580" s="140"/>
      <c r="I580" s="140"/>
      <c r="J580" s="140"/>
      <c r="K580" s="140"/>
    </row>
    <row r="581">
      <c r="B581" s="155"/>
      <c r="C581" s="160"/>
      <c r="D581" s="160"/>
      <c r="F581" s="92"/>
      <c r="G581" s="140"/>
      <c r="H581" s="140"/>
      <c r="I581" s="140"/>
      <c r="J581" s="140"/>
      <c r="K581" s="140"/>
    </row>
    <row r="582">
      <c r="B582" s="155"/>
      <c r="C582" s="160"/>
      <c r="D582" s="160"/>
      <c r="F582" s="92"/>
      <c r="G582" s="140"/>
      <c r="H582" s="140"/>
      <c r="I582" s="140"/>
      <c r="J582" s="140"/>
      <c r="K582" s="140"/>
    </row>
    <row r="583">
      <c r="B583" s="155"/>
      <c r="C583" s="160"/>
      <c r="D583" s="160"/>
      <c r="F583" s="92"/>
      <c r="G583" s="140"/>
      <c r="H583" s="140"/>
      <c r="I583" s="140"/>
      <c r="J583" s="140"/>
      <c r="K583" s="140"/>
    </row>
    <row r="584">
      <c r="B584" s="155"/>
      <c r="C584" s="160"/>
      <c r="D584" s="160"/>
      <c r="F584" s="92"/>
      <c r="G584" s="140"/>
      <c r="H584" s="140"/>
      <c r="I584" s="140"/>
      <c r="J584" s="140"/>
      <c r="K584" s="140"/>
    </row>
    <row r="585">
      <c r="B585" s="155"/>
      <c r="C585" s="160"/>
      <c r="D585" s="160"/>
      <c r="F585" s="92"/>
      <c r="G585" s="140"/>
      <c r="H585" s="140"/>
      <c r="I585" s="140"/>
      <c r="J585" s="140"/>
      <c r="K585" s="140"/>
    </row>
    <row r="586">
      <c r="B586" s="155"/>
      <c r="C586" s="160"/>
      <c r="D586" s="160"/>
      <c r="F586" s="92"/>
      <c r="G586" s="140"/>
      <c r="H586" s="140"/>
      <c r="I586" s="140"/>
      <c r="J586" s="140"/>
      <c r="K586" s="140"/>
    </row>
    <row r="587">
      <c r="B587" s="155"/>
      <c r="C587" s="160"/>
      <c r="D587" s="160"/>
      <c r="F587" s="92"/>
      <c r="G587" s="140"/>
      <c r="H587" s="140"/>
      <c r="I587" s="140"/>
      <c r="J587" s="140"/>
      <c r="K587" s="140"/>
    </row>
    <row r="588">
      <c r="B588" s="155"/>
      <c r="C588" s="160"/>
      <c r="D588" s="160"/>
      <c r="F588" s="92"/>
      <c r="G588" s="140"/>
      <c r="H588" s="140"/>
      <c r="I588" s="140"/>
      <c r="J588" s="140"/>
      <c r="K588" s="140"/>
    </row>
    <row r="589">
      <c r="B589" s="155"/>
      <c r="C589" s="160"/>
      <c r="D589" s="160"/>
      <c r="F589" s="92"/>
      <c r="G589" s="140"/>
      <c r="H589" s="140"/>
      <c r="I589" s="140"/>
      <c r="J589" s="140"/>
      <c r="K589" s="140"/>
    </row>
    <row r="590">
      <c r="B590" s="155"/>
      <c r="C590" s="160"/>
      <c r="D590" s="160"/>
      <c r="F590" s="92"/>
      <c r="G590" s="140"/>
      <c r="H590" s="140"/>
      <c r="I590" s="140"/>
      <c r="J590" s="140"/>
      <c r="K590" s="140"/>
    </row>
    <row r="591">
      <c r="B591" s="155"/>
      <c r="C591" s="160"/>
      <c r="D591" s="160"/>
      <c r="F591" s="92"/>
      <c r="G591" s="140"/>
      <c r="H591" s="140"/>
      <c r="I591" s="140"/>
      <c r="J591" s="140"/>
      <c r="K591" s="140"/>
    </row>
    <row r="592">
      <c r="B592" s="155"/>
      <c r="C592" s="160"/>
      <c r="D592" s="160"/>
      <c r="F592" s="92"/>
      <c r="G592" s="140"/>
      <c r="H592" s="140"/>
      <c r="I592" s="140"/>
      <c r="J592" s="140"/>
      <c r="K592" s="140"/>
    </row>
    <row r="593">
      <c r="B593" s="155"/>
      <c r="C593" s="160"/>
      <c r="D593" s="160"/>
      <c r="F593" s="92"/>
      <c r="G593" s="140"/>
      <c r="H593" s="140"/>
      <c r="I593" s="140"/>
      <c r="J593" s="140"/>
      <c r="K593" s="140"/>
    </row>
    <row r="594">
      <c r="B594" s="155"/>
      <c r="C594" s="160"/>
      <c r="D594" s="160"/>
      <c r="F594" s="92"/>
      <c r="G594" s="140"/>
      <c r="H594" s="140"/>
      <c r="I594" s="140"/>
      <c r="J594" s="140"/>
      <c r="K594" s="140"/>
    </row>
    <row r="595">
      <c r="B595" s="155"/>
      <c r="C595" s="160"/>
      <c r="D595" s="160"/>
      <c r="F595" s="92"/>
      <c r="G595" s="140"/>
      <c r="H595" s="140"/>
      <c r="I595" s="140"/>
      <c r="J595" s="140"/>
      <c r="K595" s="140"/>
    </row>
    <row r="596">
      <c r="B596" s="155"/>
      <c r="C596" s="160"/>
      <c r="D596" s="160"/>
      <c r="F596" s="92"/>
      <c r="G596" s="140"/>
      <c r="H596" s="140"/>
      <c r="I596" s="140"/>
      <c r="J596" s="140"/>
      <c r="K596" s="140"/>
    </row>
    <row r="597">
      <c r="B597" s="155"/>
      <c r="C597" s="160"/>
      <c r="D597" s="160"/>
      <c r="F597" s="92"/>
      <c r="G597" s="140"/>
      <c r="H597" s="140"/>
      <c r="I597" s="140"/>
      <c r="J597" s="140"/>
      <c r="K597" s="140"/>
    </row>
    <row r="598">
      <c r="B598" s="155"/>
      <c r="C598" s="160"/>
      <c r="D598" s="160"/>
      <c r="F598" s="92"/>
      <c r="G598" s="140"/>
      <c r="H598" s="140"/>
      <c r="I598" s="140"/>
      <c r="J598" s="140"/>
      <c r="K598" s="140"/>
    </row>
    <row r="599">
      <c r="B599" s="155"/>
      <c r="C599" s="160"/>
      <c r="D599" s="160"/>
      <c r="F599" s="92"/>
      <c r="G599" s="140"/>
      <c r="H599" s="140"/>
      <c r="I599" s="140"/>
      <c r="J599" s="140"/>
      <c r="K599" s="140"/>
    </row>
    <row r="600">
      <c r="B600" s="155"/>
      <c r="C600" s="160"/>
      <c r="D600" s="160"/>
      <c r="F600" s="92"/>
      <c r="G600" s="140"/>
      <c r="H600" s="140"/>
      <c r="I600" s="140"/>
      <c r="J600" s="140"/>
      <c r="K600" s="140"/>
    </row>
    <row r="601">
      <c r="B601" s="155"/>
      <c r="C601" s="160"/>
      <c r="D601" s="160"/>
      <c r="F601" s="92"/>
      <c r="G601" s="140"/>
      <c r="H601" s="140"/>
      <c r="I601" s="140"/>
      <c r="J601" s="140"/>
      <c r="K601" s="140"/>
    </row>
    <row r="602">
      <c r="B602" s="155"/>
      <c r="C602" s="160"/>
      <c r="D602" s="160"/>
      <c r="F602" s="92"/>
      <c r="G602" s="140"/>
      <c r="H602" s="140"/>
      <c r="I602" s="140"/>
      <c r="J602" s="140"/>
      <c r="K602" s="140"/>
    </row>
    <row r="603">
      <c r="B603" s="155"/>
      <c r="C603" s="160"/>
      <c r="D603" s="160"/>
      <c r="F603" s="92"/>
      <c r="G603" s="140"/>
      <c r="H603" s="140"/>
      <c r="I603" s="140"/>
      <c r="J603" s="140"/>
      <c r="K603" s="140"/>
    </row>
    <row r="604">
      <c r="B604" s="155"/>
      <c r="C604" s="160"/>
      <c r="D604" s="160"/>
      <c r="F604" s="92"/>
      <c r="G604" s="140"/>
      <c r="H604" s="140"/>
      <c r="I604" s="140"/>
      <c r="J604" s="140"/>
      <c r="K604" s="140"/>
    </row>
    <row r="605">
      <c r="B605" s="155"/>
      <c r="C605" s="160"/>
      <c r="D605" s="160"/>
      <c r="F605" s="92"/>
      <c r="G605" s="140"/>
      <c r="H605" s="140"/>
      <c r="I605" s="140"/>
      <c r="J605" s="140"/>
      <c r="K605" s="140"/>
    </row>
    <row r="606">
      <c r="B606" s="155"/>
      <c r="C606" s="160"/>
      <c r="D606" s="160"/>
      <c r="F606" s="92"/>
      <c r="G606" s="140"/>
      <c r="H606" s="140"/>
      <c r="I606" s="140"/>
      <c r="J606" s="140"/>
      <c r="K606" s="140"/>
    </row>
    <row r="607">
      <c r="B607" s="155"/>
      <c r="C607" s="160"/>
      <c r="D607" s="160"/>
      <c r="F607" s="92"/>
      <c r="G607" s="140"/>
      <c r="H607" s="140"/>
      <c r="I607" s="140"/>
      <c r="J607" s="140"/>
      <c r="K607" s="140"/>
    </row>
    <row r="608">
      <c r="B608" s="155"/>
      <c r="C608" s="160"/>
      <c r="D608" s="160"/>
      <c r="F608" s="92"/>
      <c r="G608" s="140"/>
      <c r="H608" s="140"/>
      <c r="I608" s="140"/>
      <c r="J608" s="140"/>
      <c r="K608" s="140"/>
    </row>
    <row r="609">
      <c r="B609" s="155"/>
      <c r="C609" s="160"/>
      <c r="D609" s="160"/>
      <c r="F609" s="92"/>
      <c r="G609" s="140"/>
      <c r="H609" s="140"/>
      <c r="I609" s="140"/>
      <c r="J609" s="140"/>
      <c r="K609" s="140"/>
    </row>
    <row r="610">
      <c r="B610" s="155"/>
      <c r="C610" s="160"/>
      <c r="D610" s="160"/>
      <c r="F610" s="92"/>
      <c r="G610" s="140"/>
      <c r="H610" s="140"/>
      <c r="I610" s="140"/>
      <c r="J610" s="140"/>
      <c r="K610" s="140"/>
    </row>
    <row r="611">
      <c r="B611" s="155"/>
      <c r="C611" s="160"/>
      <c r="D611" s="160"/>
      <c r="F611" s="92"/>
      <c r="G611" s="140"/>
      <c r="H611" s="140"/>
      <c r="I611" s="140"/>
      <c r="J611" s="140"/>
      <c r="K611" s="140"/>
    </row>
    <row r="612">
      <c r="B612" s="155"/>
      <c r="C612" s="160"/>
      <c r="D612" s="160"/>
      <c r="F612" s="92"/>
      <c r="G612" s="140"/>
      <c r="H612" s="140"/>
      <c r="I612" s="140"/>
      <c r="J612" s="140"/>
      <c r="K612" s="140"/>
    </row>
    <row r="613">
      <c r="B613" s="155"/>
      <c r="C613" s="160"/>
      <c r="D613" s="160"/>
      <c r="F613" s="92"/>
      <c r="G613" s="140"/>
      <c r="H613" s="140"/>
      <c r="I613" s="140"/>
      <c r="J613" s="140"/>
      <c r="K613" s="140"/>
    </row>
    <row r="614">
      <c r="B614" s="155"/>
      <c r="C614" s="160"/>
      <c r="D614" s="160"/>
      <c r="F614" s="92"/>
      <c r="G614" s="140"/>
      <c r="H614" s="140"/>
      <c r="I614" s="140"/>
      <c r="J614" s="140"/>
      <c r="K614" s="140"/>
    </row>
    <row r="615">
      <c r="B615" s="155"/>
      <c r="C615" s="160"/>
      <c r="D615" s="160"/>
      <c r="F615" s="92"/>
      <c r="G615" s="140"/>
      <c r="H615" s="140"/>
      <c r="I615" s="140"/>
      <c r="J615" s="140"/>
      <c r="K615" s="140"/>
    </row>
    <row r="616">
      <c r="B616" s="155"/>
      <c r="C616" s="160"/>
      <c r="D616" s="160"/>
      <c r="F616" s="92"/>
      <c r="G616" s="140"/>
      <c r="H616" s="140"/>
      <c r="I616" s="140"/>
      <c r="J616" s="140"/>
      <c r="K616" s="140"/>
    </row>
    <row r="617">
      <c r="B617" s="155"/>
      <c r="C617" s="160"/>
      <c r="D617" s="160"/>
      <c r="F617" s="92"/>
      <c r="G617" s="140"/>
      <c r="H617" s="140"/>
      <c r="I617" s="140"/>
      <c r="J617" s="140"/>
      <c r="K617" s="140"/>
    </row>
    <row r="618">
      <c r="B618" s="155"/>
      <c r="C618" s="160"/>
      <c r="D618" s="160"/>
      <c r="F618" s="92"/>
      <c r="G618" s="140"/>
      <c r="H618" s="140"/>
      <c r="I618" s="140"/>
      <c r="J618" s="140"/>
      <c r="K618" s="140"/>
    </row>
    <row r="619">
      <c r="B619" s="155"/>
      <c r="C619" s="160"/>
      <c r="D619" s="160"/>
      <c r="F619" s="92"/>
      <c r="G619" s="140"/>
      <c r="H619" s="140"/>
      <c r="I619" s="140"/>
      <c r="J619" s="140"/>
      <c r="K619" s="140"/>
    </row>
    <row r="620">
      <c r="B620" s="155"/>
      <c r="C620" s="160"/>
      <c r="D620" s="160"/>
      <c r="F620" s="92"/>
      <c r="G620" s="140"/>
      <c r="H620" s="140"/>
      <c r="I620" s="140"/>
      <c r="J620" s="140"/>
      <c r="K620" s="140"/>
    </row>
    <row r="621">
      <c r="B621" s="155"/>
      <c r="C621" s="160"/>
      <c r="D621" s="160"/>
      <c r="F621" s="92"/>
      <c r="G621" s="140"/>
      <c r="H621" s="140"/>
      <c r="I621" s="140"/>
      <c r="J621" s="140"/>
      <c r="K621" s="140"/>
    </row>
    <row r="622">
      <c r="B622" s="155"/>
      <c r="C622" s="160"/>
      <c r="D622" s="160"/>
      <c r="F622" s="92"/>
      <c r="G622" s="140"/>
      <c r="H622" s="140"/>
      <c r="I622" s="140"/>
      <c r="J622" s="140"/>
      <c r="K622" s="140"/>
    </row>
    <row r="623">
      <c r="B623" s="155"/>
      <c r="C623" s="160"/>
      <c r="D623" s="160"/>
      <c r="F623" s="92"/>
      <c r="G623" s="140"/>
      <c r="H623" s="140"/>
      <c r="I623" s="140"/>
      <c r="J623" s="140"/>
      <c r="K623" s="140"/>
    </row>
    <row r="624">
      <c r="B624" s="155"/>
      <c r="C624" s="160"/>
      <c r="D624" s="160"/>
      <c r="F624" s="92"/>
      <c r="G624" s="140"/>
      <c r="H624" s="140"/>
      <c r="I624" s="140"/>
      <c r="J624" s="140"/>
      <c r="K624" s="140"/>
    </row>
    <row r="625">
      <c r="B625" s="155"/>
      <c r="C625" s="160"/>
      <c r="D625" s="160"/>
      <c r="F625" s="92"/>
      <c r="G625" s="140"/>
      <c r="H625" s="140"/>
      <c r="I625" s="140"/>
      <c r="J625" s="140"/>
      <c r="K625" s="140"/>
    </row>
    <row r="626">
      <c r="B626" s="155"/>
      <c r="C626" s="160"/>
      <c r="D626" s="160"/>
      <c r="F626" s="92"/>
      <c r="G626" s="140"/>
      <c r="H626" s="140"/>
      <c r="I626" s="140"/>
      <c r="J626" s="140"/>
      <c r="K626" s="140"/>
    </row>
    <row r="627">
      <c r="B627" s="155"/>
      <c r="C627" s="160"/>
      <c r="D627" s="160"/>
      <c r="F627" s="92"/>
      <c r="G627" s="140"/>
      <c r="H627" s="140"/>
      <c r="I627" s="140"/>
      <c r="J627" s="140"/>
      <c r="K627" s="140"/>
    </row>
    <row r="628">
      <c r="B628" s="155"/>
      <c r="C628" s="160"/>
      <c r="D628" s="160"/>
      <c r="F628" s="92"/>
      <c r="G628" s="140"/>
      <c r="H628" s="140"/>
      <c r="I628" s="140"/>
      <c r="J628" s="140"/>
      <c r="K628" s="140"/>
    </row>
    <row r="629">
      <c r="B629" s="155"/>
      <c r="C629" s="160"/>
      <c r="D629" s="160"/>
      <c r="F629" s="92"/>
      <c r="G629" s="140"/>
      <c r="H629" s="140"/>
      <c r="I629" s="140"/>
      <c r="J629" s="140"/>
      <c r="K629" s="140"/>
    </row>
    <row r="630">
      <c r="B630" s="155"/>
      <c r="C630" s="160"/>
      <c r="D630" s="160"/>
      <c r="F630" s="92"/>
      <c r="G630" s="140"/>
      <c r="H630" s="140"/>
      <c r="I630" s="140"/>
      <c r="J630" s="140"/>
      <c r="K630" s="140"/>
    </row>
    <row r="631">
      <c r="B631" s="155"/>
      <c r="C631" s="160"/>
      <c r="D631" s="160"/>
      <c r="F631" s="92"/>
      <c r="G631" s="140"/>
      <c r="H631" s="140"/>
      <c r="I631" s="140"/>
      <c r="J631" s="140"/>
      <c r="K631" s="140"/>
    </row>
    <row r="632">
      <c r="B632" s="155"/>
      <c r="C632" s="160"/>
      <c r="D632" s="160"/>
      <c r="F632" s="92"/>
      <c r="G632" s="140"/>
      <c r="H632" s="140"/>
      <c r="I632" s="140"/>
      <c r="J632" s="140"/>
      <c r="K632" s="140"/>
    </row>
    <row r="633">
      <c r="B633" s="155"/>
      <c r="C633" s="160"/>
      <c r="D633" s="160"/>
      <c r="F633" s="92"/>
      <c r="G633" s="140"/>
      <c r="H633" s="140"/>
      <c r="I633" s="140"/>
      <c r="J633" s="140"/>
      <c r="K633" s="140"/>
    </row>
    <row r="634">
      <c r="B634" s="155"/>
      <c r="C634" s="160"/>
      <c r="D634" s="160"/>
      <c r="F634" s="92"/>
      <c r="G634" s="140"/>
      <c r="H634" s="140"/>
      <c r="I634" s="140"/>
      <c r="J634" s="140"/>
      <c r="K634" s="140"/>
    </row>
    <row r="635">
      <c r="B635" s="155"/>
      <c r="C635" s="160"/>
      <c r="D635" s="160"/>
      <c r="F635" s="92"/>
      <c r="G635" s="140"/>
      <c r="H635" s="140"/>
      <c r="I635" s="140"/>
      <c r="J635" s="140"/>
      <c r="K635" s="140"/>
    </row>
    <row r="636">
      <c r="B636" s="155"/>
      <c r="C636" s="160"/>
      <c r="D636" s="160"/>
      <c r="F636" s="92"/>
      <c r="G636" s="140"/>
      <c r="H636" s="140"/>
      <c r="I636" s="140"/>
      <c r="J636" s="140"/>
      <c r="K636" s="140"/>
    </row>
    <row r="637">
      <c r="B637" s="155"/>
      <c r="C637" s="160"/>
      <c r="D637" s="160"/>
      <c r="F637" s="92"/>
      <c r="G637" s="140"/>
      <c r="H637" s="140"/>
      <c r="I637" s="140"/>
      <c r="J637" s="140"/>
      <c r="K637" s="140"/>
    </row>
    <row r="638">
      <c r="B638" s="155"/>
      <c r="C638" s="160"/>
      <c r="D638" s="160"/>
      <c r="F638" s="92"/>
      <c r="G638" s="140"/>
      <c r="H638" s="140"/>
      <c r="I638" s="140"/>
      <c r="J638" s="140"/>
      <c r="K638" s="140"/>
    </row>
    <row r="639">
      <c r="B639" s="155"/>
      <c r="C639" s="160"/>
      <c r="D639" s="160"/>
      <c r="F639" s="92"/>
      <c r="G639" s="140"/>
      <c r="H639" s="140"/>
      <c r="I639" s="140"/>
      <c r="J639" s="140"/>
      <c r="K639" s="140"/>
    </row>
    <row r="640">
      <c r="B640" s="155"/>
      <c r="C640" s="160"/>
      <c r="D640" s="160"/>
      <c r="F640" s="92"/>
      <c r="G640" s="140"/>
      <c r="H640" s="140"/>
      <c r="I640" s="140"/>
      <c r="J640" s="140"/>
      <c r="K640" s="140"/>
    </row>
    <row r="641">
      <c r="B641" s="155"/>
      <c r="C641" s="160"/>
      <c r="D641" s="160"/>
      <c r="F641" s="92"/>
      <c r="G641" s="140"/>
      <c r="H641" s="140"/>
      <c r="I641" s="140"/>
      <c r="J641" s="140"/>
      <c r="K641" s="140"/>
    </row>
    <row r="642">
      <c r="B642" s="155"/>
      <c r="C642" s="160"/>
      <c r="D642" s="160"/>
      <c r="F642" s="92"/>
      <c r="G642" s="140"/>
      <c r="H642" s="140"/>
      <c r="I642" s="140"/>
      <c r="J642" s="140"/>
      <c r="K642" s="140"/>
    </row>
    <row r="643">
      <c r="B643" s="155"/>
      <c r="C643" s="160"/>
      <c r="D643" s="160"/>
      <c r="F643" s="92"/>
      <c r="G643" s="140"/>
      <c r="H643" s="140"/>
      <c r="I643" s="140"/>
      <c r="J643" s="140"/>
      <c r="K643" s="140"/>
    </row>
    <row r="644">
      <c r="B644" s="155"/>
      <c r="C644" s="160"/>
      <c r="D644" s="160"/>
      <c r="F644" s="92"/>
      <c r="G644" s="140"/>
      <c r="H644" s="140"/>
      <c r="I644" s="140"/>
      <c r="J644" s="140"/>
      <c r="K644" s="140"/>
    </row>
    <row r="645">
      <c r="B645" s="155"/>
      <c r="C645" s="160"/>
      <c r="D645" s="160"/>
      <c r="F645" s="92"/>
      <c r="G645" s="140"/>
      <c r="H645" s="140"/>
      <c r="I645" s="140"/>
      <c r="J645" s="140"/>
      <c r="K645" s="140"/>
    </row>
    <row r="646">
      <c r="B646" s="155"/>
      <c r="C646" s="160"/>
      <c r="D646" s="160"/>
      <c r="F646" s="92"/>
      <c r="G646" s="140"/>
      <c r="H646" s="140"/>
      <c r="I646" s="140"/>
      <c r="J646" s="140"/>
      <c r="K646" s="140"/>
    </row>
    <row r="647">
      <c r="B647" s="155"/>
      <c r="C647" s="160"/>
      <c r="D647" s="160"/>
      <c r="F647" s="92"/>
      <c r="G647" s="140"/>
      <c r="H647" s="140"/>
      <c r="I647" s="140"/>
      <c r="J647" s="140"/>
      <c r="K647" s="140"/>
    </row>
    <row r="648">
      <c r="B648" s="155"/>
      <c r="C648" s="160"/>
      <c r="D648" s="160"/>
      <c r="F648" s="92"/>
      <c r="G648" s="140"/>
      <c r="H648" s="140"/>
      <c r="I648" s="140"/>
      <c r="J648" s="140"/>
      <c r="K648" s="140"/>
    </row>
    <row r="649">
      <c r="B649" s="155"/>
      <c r="C649" s="160"/>
      <c r="D649" s="160"/>
      <c r="F649" s="92"/>
      <c r="G649" s="140"/>
      <c r="H649" s="140"/>
      <c r="I649" s="140"/>
      <c r="J649" s="140"/>
      <c r="K649" s="140"/>
    </row>
    <row r="650">
      <c r="B650" s="155"/>
      <c r="C650" s="160"/>
      <c r="D650" s="160"/>
      <c r="F650" s="92"/>
      <c r="G650" s="140"/>
      <c r="H650" s="140"/>
      <c r="I650" s="140"/>
      <c r="J650" s="140"/>
      <c r="K650" s="140"/>
    </row>
    <row r="651">
      <c r="B651" s="155"/>
      <c r="C651" s="160"/>
      <c r="D651" s="160"/>
      <c r="F651" s="92"/>
      <c r="G651" s="140"/>
      <c r="H651" s="140"/>
      <c r="I651" s="140"/>
      <c r="J651" s="140"/>
      <c r="K651" s="140"/>
    </row>
    <row r="652">
      <c r="B652" s="155"/>
      <c r="C652" s="160"/>
      <c r="D652" s="160"/>
      <c r="F652" s="92"/>
      <c r="G652" s="140"/>
      <c r="H652" s="140"/>
      <c r="I652" s="140"/>
      <c r="J652" s="140"/>
      <c r="K652" s="140"/>
    </row>
    <row r="653">
      <c r="B653" s="155"/>
      <c r="C653" s="160"/>
      <c r="D653" s="160"/>
      <c r="F653" s="92"/>
      <c r="G653" s="140"/>
      <c r="H653" s="140"/>
      <c r="I653" s="140"/>
      <c r="J653" s="140"/>
      <c r="K653" s="140"/>
    </row>
    <row r="654">
      <c r="B654" s="155"/>
      <c r="C654" s="160"/>
      <c r="D654" s="160"/>
      <c r="F654" s="92"/>
      <c r="G654" s="140"/>
      <c r="H654" s="140"/>
      <c r="I654" s="140"/>
      <c r="J654" s="140"/>
      <c r="K654" s="140"/>
    </row>
    <row r="655">
      <c r="B655" s="155"/>
      <c r="C655" s="160"/>
      <c r="D655" s="160"/>
      <c r="F655" s="92"/>
      <c r="G655" s="140"/>
      <c r="H655" s="140"/>
      <c r="I655" s="140"/>
      <c r="J655" s="140"/>
      <c r="K655" s="140"/>
    </row>
    <row r="656">
      <c r="B656" s="155"/>
      <c r="C656" s="160"/>
      <c r="D656" s="160"/>
      <c r="F656" s="92"/>
      <c r="G656" s="140"/>
      <c r="H656" s="140"/>
      <c r="I656" s="140"/>
      <c r="J656" s="140"/>
      <c r="K656" s="140"/>
    </row>
    <row r="657">
      <c r="B657" s="155"/>
      <c r="C657" s="160"/>
      <c r="D657" s="160"/>
      <c r="F657" s="92"/>
      <c r="G657" s="140"/>
      <c r="H657" s="140"/>
      <c r="I657" s="140"/>
      <c r="J657" s="140"/>
      <c r="K657" s="140"/>
    </row>
    <row r="658">
      <c r="B658" s="155"/>
      <c r="C658" s="160"/>
      <c r="D658" s="160"/>
      <c r="F658" s="92"/>
      <c r="G658" s="140"/>
      <c r="H658" s="140"/>
      <c r="I658" s="140"/>
      <c r="J658" s="140"/>
      <c r="K658" s="140"/>
    </row>
    <row r="659">
      <c r="B659" s="155"/>
      <c r="C659" s="160"/>
      <c r="D659" s="160"/>
      <c r="F659" s="92"/>
      <c r="G659" s="140"/>
      <c r="H659" s="140"/>
      <c r="I659" s="140"/>
      <c r="J659" s="140"/>
      <c r="K659" s="140"/>
    </row>
    <row r="660">
      <c r="B660" s="155"/>
      <c r="C660" s="160"/>
      <c r="D660" s="160"/>
      <c r="F660" s="92"/>
      <c r="G660" s="140"/>
      <c r="H660" s="140"/>
      <c r="I660" s="140"/>
      <c r="J660" s="140"/>
      <c r="K660" s="140"/>
    </row>
    <row r="661">
      <c r="B661" s="155"/>
      <c r="C661" s="160"/>
      <c r="D661" s="160"/>
      <c r="F661" s="92"/>
      <c r="G661" s="140"/>
      <c r="H661" s="140"/>
      <c r="I661" s="140"/>
      <c r="J661" s="140"/>
      <c r="K661" s="140"/>
    </row>
    <row r="662">
      <c r="B662" s="155"/>
      <c r="C662" s="160"/>
      <c r="D662" s="160"/>
      <c r="F662" s="92"/>
      <c r="G662" s="140"/>
      <c r="H662" s="140"/>
      <c r="I662" s="140"/>
      <c r="J662" s="140"/>
      <c r="K662" s="140"/>
    </row>
    <row r="663">
      <c r="B663" s="155"/>
      <c r="C663" s="160"/>
      <c r="D663" s="160"/>
      <c r="F663" s="92"/>
      <c r="G663" s="140"/>
      <c r="H663" s="140"/>
      <c r="I663" s="140"/>
      <c r="J663" s="140"/>
      <c r="K663" s="140"/>
    </row>
    <row r="664">
      <c r="B664" s="155"/>
      <c r="C664" s="160"/>
      <c r="D664" s="160"/>
      <c r="F664" s="92"/>
      <c r="G664" s="140"/>
      <c r="H664" s="140"/>
      <c r="I664" s="140"/>
      <c r="J664" s="140"/>
      <c r="K664" s="140"/>
    </row>
    <row r="665">
      <c r="B665" s="155"/>
      <c r="C665" s="160"/>
      <c r="D665" s="160"/>
      <c r="F665" s="92"/>
      <c r="G665" s="140"/>
      <c r="H665" s="140"/>
      <c r="I665" s="140"/>
      <c r="J665" s="140"/>
      <c r="K665" s="140"/>
    </row>
    <row r="666">
      <c r="B666" s="155"/>
      <c r="C666" s="160"/>
      <c r="D666" s="160"/>
      <c r="F666" s="92"/>
      <c r="G666" s="140"/>
      <c r="H666" s="140"/>
      <c r="I666" s="140"/>
      <c r="J666" s="140"/>
      <c r="K666" s="140"/>
    </row>
    <row r="667">
      <c r="B667" s="155"/>
      <c r="C667" s="160"/>
      <c r="D667" s="160"/>
      <c r="F667" s="92"/>
      <c r="G667" s="140"/>
      <c r="H667" s="140"/>
      <c r="I667" s="140"/>
      <c r="J667" s="140"/>
      <c r="K667" s="140"/>
    </row>
    <row r="668">
      <c r="B668" s="155"/>
      <c r="C668" s="160"/>
      <c r="D668" s="160"/>
      <c r="F668" s="92"/>
      <c r="G668" s="140"/>
      <c r="H668" s="140"/>
      <c r="I668" s="140"/>
      <c r="J668" s="140"/>
      <c r="K668" s="140"/>
    </row>
    <row r="669">
      <c r="B669" s="155"/>
      <c r="C669" s="160"/>
      <c r="D669" s="160"/>
      <c r="F669" s="92"/>
      <c r="G669" s="140"/>
      <c r="H669" s="140"/>
      <c r="I669" s="140"/>
      <c r="J669" s="140"/>
      <c r="K669" s="140"/>
    </row>
    <row r="670">
      <c r="B670" s="155"/>
      <c r="C670" s="160"/>
      <c r="D670" s="160"/>
      <c r="F670" s="92"/>
      <c r="G670" s="140"/>
      <c r="H670" s="140"/>
      <c r="I670" s="140"/>
      <c r="J670" s="140"/>
      <c r="K670" s="140"/>
    </row>
    <row r="671">
      <c r="B671" s="155"/>
      <c r="C671" s="160"/>
      <c r="D671" s="160"/>
      <c r="F671" s="92"/>
      <c r="G671" s="140"/>
      <c r="H671" s="140"/>
      <c r="I671" s="140"/>
      <c r="J671" s="140"/>
      <c r="K671" s="140"/>
    </row>
    <row r="672">
      <c r="B672" s="155"/>
      <c r="C672" s="160"/>
      <c r="D672" s="160"/>
      <c r="F672" s="92"/>
      <c r="G672" s="140"/>
      <c r="H672" s="140"/>
      <c r="I672" s="140"/>
      <c r="J672" s="140"/>
      <c r="K672" s="140"/>
    </row>
    <row r="673">
      <c r="B673" s="155"/>
      <c r="C673" s="160"/>
      <c r="D673" s="160"/>
      <c r="F673" s="92"/>
      <c r="G673" s="140"/>
      <c r="H673" s="140"/>
      <c r="I673" s="140"/>
      <c r="J673" s="140"/>
      <c r="K673" s="140"/>
    </row>
    <row r="674">
      <c r="B674" s="155"/>
      <c r="C674" s="160"/>
      <c r="D674" s="160"/>
      <c r="F674" s="92"/>
      <c r="G674" s="140"/>
      <c r="H674" s="140"/>
      <c r="I674" s="140"/>
      <c r="J674" s="140"/>
      <c r="K674" s="140"/>
    </row>
    <row r="675">
      <c r="B675" s="155"/>
      <c r="C675" s="160"/>
      <c r="D675" s="160"/>
      <c r="F675" s="92"/>
      <c r="G675" s="140"/>
      <c r="H675" s="140"/>
      <c r="I675" s="140"/>
      <c r="J675" s="140"/>
      <c r="K675" s="140"/>
    </row>
    <row r="676">
      <c r="B676" s="155"/>
      <c r="C676" s="160"/>
      <c r="D676" s="160"/>
      <c r="F676" s="92"/>
      <c r="G676" s="140"/>
      <c r="H676" s="140"/>
      <c r="I676" s="140"/>
      <c r="J676" s="140"/>
      <c r="K676" s="140"/>
    </row>
    <row r="677">
      <c r="B677" s="155"/>
      <c r="C677" s="160"/>
      <c r="D677" s="160"/>
      <c r="F677" s="92"/>
      <c r="G677" s="140"/>
      <c r="H677" s="140"/>
      <c r="I677" s="140"/>
      <c r="J677" s="140"/>
      <c r="K677" s="140"/>
    </row>
    <row r="678">
      <c r="B678" s="155"/>
      <c r="C678" s="160"/>
      <c r="D678" s="160"/>
      <c r="F678" s="92"/>
      <c r="G678" s="140"/>
      <c r="H678" s="140"/>
      <c r="I678" s="140"/>
      <c r="J678" s="140"/>
      <c r="K678" s="140"/>
    </row>
    <row r="679">
      <c r="B679" s="155"/>
      <c r="C679" s="160"/>
      <c r="D679" s="160"/>
      <c r="F679" s="92"/>
      <c r="G679" s="140"/>
      <c r="H679" s="140"/>
      <c r="I679" s="140"/>
      <c r="J679" s="140"/>
      <c r="K679" s="140"/>
    </row>
    <row r="680">
      <c r="B680" s="155"/>
      <c r="C680" s="160"/>
      <c r="D680" s="160"/>
      <c r="F680" s="92"/>
      <c r="G680" s="140"/>
      <c r="H680" s="140"/>
      <c r="I680" s="140"/>
      <c r="J680" s="140"/>
      <c r="K680" s="140"/>
    </row>
    <row r="681">
      <c r="B681" s="155"/>
      <c r="C681" s="160"/>
      <c r="D681" s="160"/>
      <c r="F681" s="92"/>
      <c r="G681" s="140"/>
      <c r="H681" s="140"/>
      <c r="I681" s="140"/>
      <c r="J681" s="140"/>
      <c r="K681" s="140"/>
    </row>
    <row r="682">
      <c r="B682" s="155"/>
      <c r="C682" s="160"/>
      <c r="D682" s="160"/>
      <c r="F682" s="92"/>
      <c r="G682" s="140"/>
      <c r="H682" s="140"/>
      <c r="I682" s="140"/>
      <c r="J682" s="140"/>
      <c r="K682" s="140"/>
    </row>
    <row r="683">
      <c r="B683" s="155"/>
      <c r="C683" s="160"/>
      <c r="D683" s="160"/>
      <c r="F683" s="92"/>
      <c r="G683" s="140"/>
      <c r="H683" s="140"/>
      <c r="I683" s="140"/>
      <c r="J683" s="140"/>
      <c r="K683" s="140"/>
    </row>
    <row r="684">
      <c r="B684" s="155"/>
      <c r="C684" s="160"/>
      <c r="D684" s="160"/>
      <c r="F684" s="92"/>
      <c r="G684" s="140"/>
      <c r="H684" s="140"/>
      <c r="I684" s="140"/>
      <c r="J684" s="140"/>
      <c r="K684" s="140"/>
    </row>
    <row r="685">
      <c r="B685" s="155"/>
      <c r="C685" s="160"/>
      <c r="D685" s="160"/>
      <c r="F685" s="92"/>
      <c r="G685" s="140"/>
      <c r="H685" s="140"/>
      <c r="I685" s="140"/>
      <c r="J685" s="140"/>
      <c r="K685" s="140"/>
    </row>
    <row r="686">
      <c r="B686" s="155"/>
      <c r="C686" s="160"/>
      <c r="D686" s="160"/>
      <c r="F686" s="92"/>
      <c r="G686" s="140"/>
      <c r="H686" s="140"/>
      <c r="I686" s="140"/>
      <c r="J686" s="140"/>
      <c r="K686" s="140"/>
    </row>
    <row r="687">
      <c r="B687" s="155"/>
      <c r="C687" s="160"/>
      <c r="D687" s="160"/>
      <c r="F687" s="92"/>
      <c r="G687" s="140"/>
      <c r="H687" s="140"/>
      <c r="I687" s="140"/>
      <c r="J687" s="140"/>
      <c r="K687" s="140"/>
    </row>
    <row r="688">
      <c r="B688" s="155"/>
      <c r="C688" s="160"/>
      <c r="D688" s="160"/>
      <c r="F688" s="92"/>
      <c r="G688" s="140"/>
      <c r="H688" s="140"/>
      <c r="I688" s="140"/>
      <c r="J688" s="140"/>
      <c r="K688" s="140"/>
    </row>
    <row r="689">
      <c r="B689" s="155"/>
      <c r="C689" s="160"/>
      <c r="D689" s="160"/>
      <c r="F689" s="92"/>
      <c r="G689" s="140"/>
      <c r="H689" s="140"/>
      <c r="I689" s="140"/>
      <c r="J689" s="140"/>
      <c r="K689" s="140"/>
    </row>
    <row r="690">
      <c r="B690" s="155"/>
      <c r="C690" s="160"/>
      <c r="D690" s="160"/>
      <c r="F690" s="92"/>
      <c r="G690" s="140"/>
      <c r="H690" s="140"/>
      <c r="I690" s="140"/>
      <c r="J690" s="140"/>
      <c r="K690" s="140"/>
    </row>
    <row r="691">
      <c r="B691" s="155"/>
      <c r="C691" s="160"/>
      <c r="D691" s="160"/>
      <c r="F691" s="92"/>
      <c r="G691" s="140"/>
      <c r="H691" s="140"/>
      <c r="I691" s="140"/>
      <c r="J691" s="140"/>
      <c r="K691" s="140"/>
    </row>
    <row r="692">
      <c r="B692" s="155"/>
      <c r="C692" s="160"/>
      <c r="D692" s="160"/>
      <c r="F692" s="92"/>
      <c r="G692" s="140"/>
      <c r="H692" s="140"/>
      <c r="I692" s="140"/>
      <c r="J692" s="140"/>
      <c r="K692" s="140"/>
    </row>
    <row r="693">
      <c r="B693" s="155"/>
      <c r="C693" s="160"/>
      <c r="D693" s="160"/>
      <c r="F693" s="92"/>
      <c r="G693" s="140"/>
      <c r="H693" s="140"/>
      <c r="I693" s="140"/>
      <c r="J693" s="140"/>
      <c r="K693" s="140"/>
    </row>
    <row r="694">
      <c r="B694" s="155"/>
      <c r="C694" s="160"/>
      <c r="D694" s="160"/>
      <c r="F694" s="92"/>
      <c r="G694" s="140"/>
      <c r="H694" s="140"/>
      <c r="I694" s="140"/>
      <c r="J694" s="140"/>
      <c r="K694" s="140"/>
    </row>
    <row r="695">
      <c r="B695" s="155"/>
      <c r="C695" s="160"/>
      <c r="D695" s="160"/>
      <c r="F695" s="92"/>
      <c r="G695" s="140"/>
      <c r="H695" s="140"/>
      <c r="I695" s="140"/>
      <c r="J695" s="140"/>
      <c r="K695" s="140"/>
    </row>
    <row r="696">
      <c r="B696" s="155"/>
      <c r="C696" s="160"/>
      <c r="D696" s="160"/>
      <c r="F696" s="92"/>
      <c r="G696" s="140"/>
      <c r="H696" s="140"/>
      <c r="I696" s="140"/>
      <c r="J696" s="140"/>
      <c r="K696" s="140"/>
    </row>
    <row r="697">
      <c r="B697" s="155"/>
      <c r="C697" s="160"/>
      <c r="D697" s="160"/>
      <c r="F697" s="92"/>
      <c r="G697" s="140"/>
      <c r="H697" s="140"/>
      <c r="I697" s="140"/>
      <c r="J697" s="140"/>
      <c r="K697" s="140"/>
    </row>
    <row r="698">
      <c r="B698" s="155"/>
      <c r="C698" s="160"/>
      <c r="D698" s="160"/>
      <c r="F698" s="92"/>
      <c r="G698" s="140"/>
      <c r="H698" s="140"/>
      <c r="I698" s="140"/>
      <c r="J698" s="140"/>
      <c r="K698" s="140"/>
    </row>
    <row r="699">
      <c r="B699" s="155"/>
      <c r="C699" s="160"/>
      <c r="D699" s="160"/>
      <c r="F699" s="92"/>
      <c r="G699" s="140"/>
      <c r="H699" s="140"/>
      <c r="I699" s="140"/>
      <c r="J699" s="140"/>
      <c r="K699" s="140"/>
    </row>
    <row r="700">
      <c r="B700" s="155"/>
      <c r="C700" s="160"/>
      <c r="D700" s="160"/>
      <c r="F700" s="92"/>
      <c r="G700" s="140"/>
      <c r="H700" s="140"/>
      <c r="I700" s="140"/>
      <c r="J700" s="140"/>
      <c r="K700" s="140"/>
    </row>
    <row r="701">
      <c r="B701" s="155"/>
      <c r="C701" s="160"/>
      <c r="D701" s="160"/>
      <c r="F701" s="92"/>
      <c r="G701" s="140"/>
      <c r="H701" s="140"/>
      <c r="I701" s="140"/>
      <c r="J701" s="140"/>
      <c r="K701" s="140"/>
    </row>
    <row r="702">
      <c r="B702" s="155"/>
      <c r="C702" s="160"/>
      <c r="D702" s="160"/>
      <c r="F702" s="92"/>
      <c r="G702" s="140"/>
      <c r="H702" s="140"/>
      <c r="I702" s="140"/>
      <c r="J702" s="140"/>
      <c r="K702" s="140"/>
    </row>
    <row r="703">
      <c r="B703" s="155"/>
      <c r="C703" s="160"/>
      <c r="D703" s="160"/>
      <c r="F703" s="92"/>
      <c r="G703" s="140"/>
      <c r="H703" s="140"/>
      <c r="I703" s="140"/>
      <c r="J703" s="140"/>
      <c r="K703" s="140"/>
    </row>
    <row r="704">
      <c r="B704" s="155"/>
      <c r="C704" s="160"/>
      <c r="D704" s="160"/>
      <c r="F704" s="92"/>
      <c r="G704" s="140"/>
      <c r="H704" s="140"/>
      <c r="I704" s="140"/>
      <c r="J704" s="140"/>
      <c r="K704" s="140"/>
    </row>
    <row r="705">
      <c r="B705" s="155"/>
      <c r="C705" s="160"/>
      <c r="D705" s="160"/>
      <c r="F705" s="92"/>
      <c r="G705" s="140"/>
      <c r="H705" s="140"/>
      <c r="I705" s="140"/>
      <c r="J705" s="140"/>
      <c r="K705" s="140"/>
    </row>
    <row r="706">
      <c r="B706" s="155"/>
      <c r="C706" s="160"/>
      <c r="D706" s="160"/>
      <c r="F706" s="92"/>
      <c r="G706" s="140"/>
      <c r="H706" s="140"/>
      <c r="I706" s="140"/>
      <c r="J706" s="140"/>
      <c r="K706" s="140"/>
    </row>
    <row r="707">
      <c r="B707" s="155"/>
      <c r="C707" s="160"/>
      <c r="D707" s="160"/>
      <c r="F707" s="92"/>
      <c r="G707" s="140"/>
      <c r="H707" s="140"/>
      <c r="I707" s="140"/>
      <c r="J707" s="140"/>
      <c r="K707" s="140"/>
    </row>
    <row r="708">
      <c r="B708" s="155"/>
      <c r="C708" s="160"/>
      <c r="D708" s="160"/>
      <c r="F708" s="92"/>
      <c r="G708" s="140"/>
      <c r="H708" s="140"/>
      <c r="I708" s="140"/>
      <c r="J708" s="140"/>
      <c r="K708" s="140"/>
    </row>
    <row r="709">
      <c r="B709" s="155"/>
      <c r="C709" s="160"/>
      <c r="D709" s="160"/>
      <c r="F709" s="92"/>
      <c r="G709" s="140"/>
      <c r="H709" s="140"/>
      <c r="I709" s="140"/>
      <c r="J709" s="140"/>
      <c r="K709" s="140"/>
    </row>
    <row r="710">
      <c r="B710" s="155"/>
      <c r="C710" s="160"/>
      <c r="D710" s="160"/>
      <c r="F710" s="92"/>
      <c r="G710" s="140"/>
      <c r="H710" s="140"/>
      <c r="I710" s="140"/>
      <c r="J710" s="140"/>
      <c r="K710" s="140"/>
    </row>
    <row r="711">
      <c r="B711" s="155"/>
      <c r="C711" s="160"/>
      <c r="D711" s="160"/>
      <c r="F711" s="92"/>
      <c r="G711" s="140"/>
      <c r="H711" s="140"/>
      <c r="I711" s="140"/>
      <c r="J711" s="140"/>
      <c r="K711" s="140"/>
    </row>
    <row r="712">
      <c r="B712" s="155"/>
      <c r="C712" s="160"/>
      <c r="D712" s="160"/>
      <c r="F712" s="92"/>
      <c r="G712" s="140"/>
      <c r="H712" s="140"/>
      <c r="I712" s="140"/>
      <c r="J712" s="140"/>
      <c r="K712" s="140"/>
    </row>
    <row r="713">
      <c r="B713" s="155"/>
      <c r="C713" s="160"/>
      <c r="D713" s="160"/>
      <c r="F713" s="92"/>
      <c r="G713" s="140"/>
      <c r="H713" s="140"/>
      <c r="I713" s="140"/>
      <c r="J713" s="140"/>
      <c r="K713" s="140"/>
    </row>
    <row r="714">
      <c r="B714" s="155"/>
      <c r="C714" s="160"/>
      <c r="D714" s="160"/>
      <c r="F714" s="92"/>
      <c r="G714" s="140"/>
      <c r="H714" s="140"/>
      <c r="I714" s="140"/>
      <c r="J714" s="140"/>
      <c r="K714" s="140"/>
    </row>
    <row r="715">
      <c r="B715" s="155"/>
      <c r="C715" s="160"/>
      <c r="D715" s="160"/>
      <c r="F715" s="92"/>
      <c r="G715" s="140"/>
      <c r="H715" s="140"/>
      <c r="I715" s="140"/>
      <c r="J715" s="140"/>
      <c r="K715" s="140"/>
    </row>
    <row r="716">
      <c r="B716" s="155"/>
      <c r="C716" s="160"/>
      <c r="D716" s="160"/>
      <c r="F716" s="92"/>
      <c r="G716" s="140"/>
      <c r="H716" s="140"/>
      <c r="I716" s="140"/>
      <c r="J716" s="140"/>
      <c r="K716" s="140"/>
    </row>
    <row r="717">
      <c r="B717" s="155"/>
      <c r="C717" s="160"/>
      <c r="D717" s="160"/>
      <c r="F717" s="92"/>
      <c r="G717" s="140"/>
      <c r="H717" s="140"/>
      <c r="I717" s="140"/>
      <c r="J717" s="140"/>
      <c r="K717" s="140"/>
    </row>
    <row r="718">
      <c r="B718" s="155"/>
      <c r="C718" s="160"/>
      <c r="D718" s="160"/>
      <c r="F718" s="92"/>
      <c r="G718" s="140"/>
      <c r="H718" s="140"/>
      <c r="I718" s="140"/>
      <c r="J718" s="140"/>
      <c r="K718" s="140"/>
    </row>
    <row r="719">
      <c r="B719" s="155"/>
      <c r="C719" s="160"/>
      <c r="D719" s="160"/>
      <c r="F719" s="92"/>
      <c r="G719" s="140"/>
      <c r="H719" s="140"/>
      <c r="I719" s="140"/>
      <c r="J719" s="140"/>
      <c r="K719" s="140"/>
    </row>
    <row r="720">
      <c r="B720" s="155"/>
      <c r="C720" s="160"/>
      <c r="D720" s="160"/>
      <c r="F720" s="92"/>
      <c r="G720" s="140"/>
      <c r="H720" s="140"/>
      <c r="I720" s="140"/>
      <c r="J720" s="140"/>
      <c r="K720" s="140"/>
    </row>
    <row r="721">
      <c r="B721" s="155"/>
      <c r="C721" s="160"/>
      <c r="D721" s="160"/>
      <c r="F721" s="92"/>
      <c r="G721" s="140"/>
      <c r="H721" s="140"/>
      <c r="I721" s="140"/>
      <c r="J721" s="140"/>
      <c r="K721" s="140"/>
    </row>
    <row r="722">
      <c r="B722" s="155"/>
      <c r="C722" s="160"/>
      <c r="D722" s="160"/>
      <c r="F722" s="92"/>
      <c r="G722" s="140"/>
      <c r="H722" s="140"/>
      <c r="I722" s="140"/>
      <c r="J722" s="140"/>
      <c r="K722" s="140"/>
    </row>
    <row r="723">
      <c r="B723" s="155"/>
      <c r="C723" s="160"/>
      <c r="D723" s="160"/>
      <c r="F723" s="92"/>
      <c r="G723" s="140"/>
      <c r="H723" s="140"/>
      <c r="I723" s="140"/>
      <c r="J723" s="140"/>
      <c r="K723" s="140"/>
    </row>
    <row r="724">
      <c r="B724" s="155"/>
      <c r="C724" s="160"/>
      <c r="D724" s="160"/>
      <c r="F724" s="92"/>
      <c r="G724" s="140"/>
      <c r="H724" s="140"/>
      <c r="I724" s="140"/>
      <c r="J724" s="140"/>
      <c r="K724" s="140"/>
    </row>
    <row r="725">
      <c r="B725" s="155"/>
      <c r="C725" s="160"/>
      <c r="D725" s="160"/>
      <c r="F725" s="92"/>
      <c r="G725" s="140"/>
      <c r="H725" s="140"/>
      <c r="I725" s="140"/>
      <c r="J725" s="140"/>
      <c r="K725" s="140"/>
    </row>
    <row r="726">
      <c r="B726" s="155"/>
      <c r="C726" s="160"/>
      <c r="D726" s="160"/>
      <c r="F726" s="92"/>
      <c r="G726" s="140"/>
      <c r="H726" s="140"/>
      <c r="I726" s="140"/>
      <c r="J726" s="140"/>
      <c r="K726" s="140"/>
    </row>
    <row r="727">
      <c r="B727" s="155"/>
      <c r="C727" s="160"/>
      <c r="D727" s="160"/>
      <c r="F727" s="92"/>
      <c r="G727" s="140"/>
      <c r="H727" s="140"/>
      <c r="I727" s="140"/>
      <c r="J727" s="140"/>
      <c r="K727" s="140"/>
    </row>
    <row r="728">
      <c r="B728" s="155"/>
      <c r="C728" s="160"/>
      <c r="D728" s="160"/>
      <c r="F728" s="92"/>
      <c r="G728" s="140"/>
      <c r="H728" s="140"/>
      <c r="I728" s="140"/>
      <c r="J728" s="140"/>
      <c r="K728" s="140"/>
    </row>
    <row r="729">
      <c r="B729" s="155"/>
      <c r="C729" s="160"/>
      <c r="D729" s="160"/>
      <c r="F729" s="92"/>
      <c r="G729" s="140"/>
      <c r="H729" s="140"/>
      <c r="I729" s="140"/>
      <c r="J729" s="140"/>
      <c r="K729" s="140"/>
    </row>
    <row r="730">
      <c r="B730" s="155"/>
      <c r="C730" s="160"/>
      <c r="D730" s="160"/>
      <c r="F730" s="92"/>
      <c r="G730" s="140"/>
      <c r="H730" s="140"/>
      <c r="I730" s="140"/>
      <c r="J730" s="140"/>
      <c r="K730" s="140"/>
    </row>
    <row r="731">
      <c r="B731" s="155"/>
      <c r="C731" s="160"/>
      <c r="D731" s="160"/>
      <c r="F731" s="92"/>
      <c r="G731" s="140"/>
      <c r="H731" s="140"/>
      <c r="I731" s="140"/>
      <c r="J731" s="140"/>
      <c r="K731" s="140"/>
    </row>
    <row r="732">
      <c r="B732" s="155"/>
      <c r="C732" s="160"/>
      <c r="D732" s="160"/>
      <c r="F732" s="92"/>
      <c r="G732" s="140"/>
      <c r="H732" s="140"/>
      <c r="I732" s="140"/>
      <c r="J732" s="140"/>
      <c r="K732" s="140"/>
    </row>
    <row r="733">
      <c r="B733" s="155"/>
      <c r="C733" s="160"/>
      <c r="D733" s="160"/>
      <c r="F733" s="92"/>
      <c r="G733" s="140"/>
      <c r="H733" s="140"/>
      <c r="I733" s="140"/>
      <c r="J733" s="140"/>
      <c r="K733" s="140"/>
    </row>
    <row r="734">
      <c r="B734" s="155"/>
      <c r="C734" s="160"/>
      <c r="D734" s="160"/>
      <c r="F734" s="92"/>
      <c r="G734" s="140"/>
      <c r="H734" s="140"/>
      <c r="I734" s="140"/>
      <c r="J734" s="140"/>
      <c r="K734" s="140"/>
    </row>
    <row r="735">
      <c r="B735" s="155"/>
      <c r="C735" s="160"/>
      <c r="D735" s="160"/>
      <c r="F735" s="92"/>
      <c r="G735" s="140"/>
      <c r="H735" s="140"/>
      <c r="I735" s="140"/>
      <c r="J735" s="140"/>
      <c r="K735" s="140"/>
    </row>
    <row r="736">
      <c r="B736" s="155"/>
      <c r="C736" s="160"/>
      <c r="D736" s="160"/>
      <c r="F736" s="92"/>
      <c r="G736" s="140"/>
      <c r="H736" s="140"/>
      <c r="I736" s="140"/>
      <c r="J736" s="140"/>
      <c r="K736" s="140"/>
    </row>
    <row r="737">
      <c r="B737" s="155"/>
      <c r="C737" s="160"/>
      <c r="D737" s="160"/>
      <c r="F737" s="92"/>
      <c r="G737" s="140"/>
      <c r="H737" s="140"/>
      <c r="I737" s="140"/>
      <c r="J737" s="140"/>
      <c r="K737" s="140"/>
    </row>
    <row r="738">
      <c r="B738" s="155"/>
      <c r="C738" s="160"/>
      <c r="D738" s="160"/>
      <c r="F738" s="92"/>
      <c r="G738" s="140"/>
      <c r="H738" s="140"/>
      <c r="I738" s="140"/>
      <c r="J738" s="140"/>
      <c r="K738" s="140"/>
    </row>
    <row r="739">
      <c r="B739" s="155"/>
      <c r="C739" s="160"/>
      <c r="D739" s="160"/>
      <c r="F739" s="92"/>
      <c r="G739" s="140"/>
      <c r="H739" s="140"/>
      <c r="I739" s="140"/>
      <c r="J739" s="140"/>
      <c r="K739" s="140"/>
    </row>
    <row r="740">
      <c r="B740" s="155"/>
      <c r="C740" s="160"/>
      <c r="D740" s="160"/>
      <c r="F740" s="92"/>
      <c r="G740" s="140"/>
      <c r="H740" s="140"/>
      <c r="I740" s="140"/>
      <c r="J740" s="140"/>
      <c r="K740" s="140"/>
    </row>
    <row r="741">
      <c r="B741" s="155"/>
      <c r="C741" s="160"/>
      <c r="D741" s="160"/>
      <c r="F741" s="92"/>
      <c r="G741" s="140"/>
      <c r="H741" s="140"/>
      <c r="I741" s="140"/>
      <c r="J741" s="140"/>
      <c r="K741" s="140"/>
    </row>
    <row r="742">
      <c r="B742" s="155"/>
      <c r="C742" s="160"/>
      <c r="D742" s="160"/>
      <c r="F742" s="92"/>
      <c r="G742" s="140"/>
      <c r="H742" s="140"/>
      <c r="I742" s="140"/>
      <c r="J742" s="140"/>
      <c r="K742" s="140"/>
    </row>
    <row r="743">
      <c r="B743" s="155"/>
      <c r="C743" s="160"/>
      <c r="D743" s="160"/>
      <c r="F743" s="92"/>
      <c r="G743" s="140"/>
      <c r="H743" s="140"/>
      <c r="I743" s="140"/>
      <c r="J743" s="140"/>
      <c r="K743" s="140"/>
    </row>
    <row r="744">
      <c r="B744" s="155"/>
      <c r="C744" s="160"/>
      <c r="D744" s="160"/>
      <c r="F744" s="92"/>
      <c r="G744" s="140"/>
      <c r="H744" s="140"/>
      <c r="I744" s="140"/>
      <c r="J744" s="140"/>
      <c r="K744" s="140"/>
    </row>
    <row r="745">
      <c r="B745" s="155"/>
      <c r="C745" s="160"/>
      <c r="D745" s="160"/>
      <c r="F745" s="92"/>
      <c r="G745" s="140"/>
      <c r="H745" s="140"/>
      <c r="I745" s="140"/>
      <c r="J745" s="140"/>
      <c r="K745" s="140"/>
    </row>
    <row r="746">
      <c r="B746" s="155"/>
      <c r="C746" s="160"/>
      <c r="D746" s="160"/>
      <c r="F746" s="92"/>
      <c r="G746" s="140"/>
      <c r="H746" s="140"/>
      <c r="I746" s="140"/>
      <c r="J746" s="140"/>
      <c r="K746" s="140"/>
    </row>
    <row r="747">
      <c r="B747" s="155"/>
      <c r="C747" s="160"/>
      <c r="D747" s="160"/>
      <c r="F747" s="92"/>
      <c r="G747" s="140"/>
      <c r="H747" s="140"/>
      <c r="I747" s="140"/>
      <c r="J747" s="140"/>
      <c r="K747" s="140"/>
    </row>
    <row r="748">
      <c r="B748" s="155"/>
      <c r="C748" s="160"/>
      <c r="D748" s="160"/>
      <c r="F748" s="92"/>
      <c r="G748" s="140"/>
      <c r="H748" s="140"/>
      <c r="I748" s="140"/>
      <c r="J748" s="140"/>
      <c r="K748" s="140"/>
    </row>
    <row r="749">
      <c r="B749" s="155"/>
      <c r="C749" s="160"/>
      <c r="D749" s="160"/>
      <c r="F749" s="92"/>
      <c r="G749" s="140"/>
      <c r="H749" s="140"/>
      <c r="I749" s="140"/>
      <c r="J749" s="140"/>
      <c r="K749" s="140"/>
    </row>
    <row r="750">
      <c r="B750" s="155"/>
      <c r="C750" s="160"/>
      <c r="D750" s="160"/>
      <c r="F750" s="92"/>
      <c r="G750" s="140"/>
      <c r="H750" s="140"/>
      <c r="I750" s="140"/>
      <c r="J750" s="140"/>
      <c r="K750" s="140"/>
    </row>
    <row r="751">
      <c r="B751" s="155"/>
      <c r="C751" s="160"/>
      <c r="D751" s="160"/>
      <c r="F751" s="92"/>
      <c r="G751" s="140"/>
      <c r="H751" s="140"/>
      <c r="I751" s="140"/>
      <c r="J751" s="140"/>
      <c r="K751" s="140"/>
    </row>
    <row r="752">
      <c r="B752" s="155"/>
      <c r="C752" s="160"/>
      <c r="D752" s="160"/>
      <c r="F752" s="92"/>
      <c r="G752" s="140"/>
      <c r="H752" s="140"/>
      <c r="I752" s="140"/>
      <c r="J752" s="140"/>
      <c r="K752" s="140"/>
    </row>
    <row r="753">
      <c r="B753" s="155"/>
      <c r="C753" s="160"/>
      <c r="D753" s="160"/>
      <c r="F753" s="92"/>
      <c r="G753" s="140"/>
      <c r="H753" s="140"/>
      <c r="I753" s="140"/>
      <c r="J753" s="140"/>
      <c r="K753" s="140"/>
    </row>
    <row r="754">
      <c r="B754" s="155"/>
      <c r="C754" s="160"/>
      <c r="D754" s="160"/>
      <c r="F754" s="92"/>
      <c r="G754" s="140"/>
      <c r="H754" s="140"/>
      <c r="I754" s="140"/>
      <c r="J754" s="140"/>
      <c r="K754" s="140"/>
    </row>
    <row r="755">
      <c r="B755" s="155"/>
      <c r="C755" s="160"/>
      <c r="D755" s="160"/>
      <c r="F755" s="92"/>
      <c r="G755" s="140"/>
      <c r="H755" s="140"/>
      <c r="I755" s="140"/>
      <c r="J755" s="140"/>
      <c r="K755" s="140"/>
    </row>
    <row r="756">
      <c r="B756" s="155"/>
      <c r="C756" s="160"/>
      <c r="D756" s="160"/>
      <c r="F756" s="92"/>
      <c r="G756" s="140"/>
      <c r="H756" s="140"/>
      <c r="I756" s="140"/>
      <c r="J756" s="140"/>
      <c r="K756" s="140"/>
    </row>
    <row r="757">
      <c r="B757" s="155"/>
      <c r="C757" s="160"/>
      <c r="D757" s="160"/>
      <c r="F757" s="92"/>
      <c r="G757" s="140"/>
      <c r="H757" s="140"/>
      <c r="I757" s="140"/>
      <c r="J757" s="140"/>
      <c r="K757" s="140"/>
    </row>
    <row r="758">
      <c r="B758" s="155"/>
      <c r="C758" s="160"/>
      <c r="D758" s="160"/>
      <c r="F758" s="92"/>
      <c r="G758" s="140"/>
      <c r="H758" s="140"/>
      <c r="I758" s="140"/>
      <c r="J758" s="140"/>
      <c r="K758" s="140"/>
    </row>
    <row r="759">
      <c r="B759" s="155"/>
      <c r="C759" s="160"/>
      <c r="D759" s="160"/>
      <c r="F759" s="92"/>
      <c r="G759" s="140"/>
      <c r="H759" s="140"/>
      <c r="I759" s="140"/>
      <c r="J759" s="140"/>
      <c r="K759" s="140"/>
    </row>
    <row r="760">
      <c r="B760" s="155"/>
      <c r="C760" s="160"/>
      <c r="D760" s="160"/>
      <c r="F760" s="92"/>
      <c r="G760" s="140"/>
      <c r="H760" s="140"/>
      <c r="I760" s="140"/>
      <c r="J760" s="140"/>
      <c r="K760" s="140"/>
    </row>
    <row r="761">
      <c r="B761" s="155"/>
      <c r="C761" s="160"/>
      <c r="D761" s="160"/>
      <c r="F761" s="92"/>
      <c r="G761" s="140"/>
      <c r="H761" s="140"/>
      <c r="I761" s="140"/>
      <c r="J761" s="140"/>
      <c r="K761" s="140"/>
    </row>
    <row r="762">
      <c r="B762" s="155"/>
      <c r="C762" s="160"/>
      <c r="D762" s="160"/>
      <c r="F762" s="92"/>
      <c r="G762" s="140"/>
      <c r="H762" s="140"/>
      <c r="I762" s="140"/>
      <c r="J762" s="140"/>
      <c r="K762" s="140"/>
    </row>
    <row r="763">
      <c r="B763" s="155"/>
      <c r="C763" s="160"/>
      <c r="D763" s="160"/>
      <c r="F763" s="92"/>
      <c r="G763" s="140"/>
      <c r="H763" s="140"/>
      <c r="I763" s="140"/>
      <c r="J763" s="140"/>
      <c r="K763" s="140"/>
    </row>
    <row r="764">
      <c r="B764" s="155"/>
      <c r="C764" s="160"/>
      <c r="D764" s="160"/>
      <c r="F764" s="92"/>
      <c r="G764" s="140"/>
      <c r="H764" s="140"/>
      <c r="I764" s="140"/>
      <c r="J764" s="140"/>
      <c r="K764" s="140"/>
    </row>
    <row r="765">
      <c r="B765" s="155"/>
      <c r="C765" s="160"/>
      <c r="D765" s="160"/>
      <c r="F765" s="92"/>
      <c r="G765" s="140"/>
      <c r="H765" s="140"/>
      <c r="I765" s="140"/>
      <c r="J765" s="140"/>
      <c r="K765" s="140"/>
    </row>
    <row r="766">
      <c r="B766" s="155"/>
      <c r="C766" s="160"/>
      <c r="D766" s="160"/>
      <c r="F766" s="92"/>
      <c r="G766" s="140"/>
      <c r="H766" s="140"/>
      <c r="I766" s="140"/>
      <c r="J766" s="140"/>
      <c r="K766" s="140"/>
    </row>
    <row r="767">
      <c r="B767" s="155"/>
      <c r="C767" s="160"/>
      <c r="D767" s="160"/>
      <c r="F767" s="92"/>
      <c r="G767" s="140"/>
      <c r="H767" s="140"/>
      <c r="I767" s="140"/>
      <c r="J767" s="140"/>
      <c r="K767" s="140"/>
    </row>
    <row r="768">
      <c r="B768" s="155"/>
      <c r="C768" s="160"/>
      <c r="D768" s="160"/>
      <c r="F768" s="92"/>
      <c r="G768" s="140"/>
      <c r="H768" s="140"/>
      <c r="I768" s="140"/>
      <c r="J768" s="140"/>
      <c r="K768" s="140"/>
    </row>
    <row r="769">
      <c r="B769" s="155"/>
      <c r="C769" s="160"/>
      <c r="D769" s="160"/>
      <c r="F769" s="92"/>
      <c r="G769" s="140"/>
      <c r="H769" s="140"/>
      <c r="I769" s="140"/>
      <c r="J769" s="140"/>
      <c r="K769" s="140"/>
    </row>
    <row r="770">
      <c r="B770" s="155"/>
      <c r="C770" s="160"/>
      <c r="D770" s="160"/>
      <c r="F770" s="92"/>
      <c r="G770" s="140"/>
      <c r="H770" s="140"/>
      <c r="I770" s="140"/>
      <c r="J770" s="140"/>
      <c r="K770" s="140"/>
    </row>
    <row r="771">
      <c r="B771" s="155"/>
      <c r="C771" s="160"/>
      <c r="D771" s="160"/>
      <c r="F771" s="92"/>
      <c r="G771" s="140"/>
      <c r="H771" s="140"/>
      <c r="I771" s="140"/>
      <c r="J771" s="140"/>
      <c r="K771" s="140"/>
    </row>
    <row r="772">
      <c r="B772" s="155"/>
      <c r="C772" s="160"/>
      <c r="D772" s="160"/>
      <c r="F772" s="92"/>
      <c r="G772" s="140"/>
      <c r="H772" s="140"/>
      <c r="I772" s="140"/>
      <c r="J772" s="140"/>
      <c r="K772" s="140"/>
    </row>
    <row r="773">
      <c r="B773" s="155"/>
      <c r="C773" s="160"/>
      <c r="D773" s="160"/>
      <c r="F773" s="92"/>
      <c r="G773" s="140"/>
      <c r="H773" s="140"/>
      <c r="I773" s="140"/>
      <c r="J773" s="140"/>
      <c r="K773" s="140"/>
    </row>
    <row r="774">
      <c r="B774" s="155"/>
      <c r="C774" s="160"/>
      <c r="D774" s="160"/>
      <c r="F774" s="92"/>
      <c r="G774" s="140"/>
      <c r="H774" s="140"/>
      <c r="I774" s="140"/>
      <c r="J774" s="140"/>
      <c r="K774" s="140"/>
    </row>
    <row r="775">
      <c r="B775" s="155"/>
      <c r="C775" s="160"/>
      <c r="D775" s="160"/>
      <c r="F775" s="92"/>
      <c r="G775" s="140"/>
      <c r="H775" s="140"/>
      <c r="I775" s="140"/>
      <c r="J775" s="140"/>
      <c r="K775" s="140"/>
    </row>
    <row r="776">
      <c r="B776" s="155"/>
      <c r="C776" s="160"/>
      <c r="D776" s="160"/>
      <c r="F776" s="92"/>
      <c r="G776" s="140"/>
      <c r="H776" s="140"/>
      <c r="I776" s="140"/>
      <c r="J776" s="140"/>
      <c r="K776" s="140"/>
    </row>
    <row r="777">
      <c r="B777" s="155"/>
      <c r="C777" s="160"/>
      <c r="D777" s="160"/>
      <c r="F777" s="92"/>
      <c r="G777" s="140"/>
      <c r="H777" s="140"/>
      <c r="I777" s="140"/>
      <c r="J777" s="140"/>
      <c r="K777" s="140"/>
    </row>
    <row r="778">
      <c r="B778" s="155"/>
      <c r="C778" s="160"/>
      <c r="D778" s="160"/>
      <c r="F778" s="92"/>
      <c r="G778" s="140"/>
      <c r="H778" s="140"/>
      <c r="I778" s="140"/>
      <c r="J778" s="140"/>
      <c r="K778" s="140"/>
    </row>
    <row r="779">
      <c r="B779" s="155"/>
      <c r="C779" s="160"/>
      <c r="D779" s="160"/>
      <c r="F779" s="92"/>
      <c r="G779" s="140"/>
      <c r="H779" s="140"/>
      <c r="I779" s="140"/>
      <c r="J779" s="140"/>
      <c r="K779" s="140"/>
    </row>
    <row r="780">
      <c r="B780" s="155"/>
      <c r="C780" s="160"/>
      <c r="D780" s="160"/>
      <c r="F780" s="92"/>
      <c r="G780" s="140"/>
      <c r="H780" s="140"/>
      <c r="I780" s="140"/>
      <c r="J780" s="140"/>
      <c r="K780" s="140"/>
    </row>
    <row r="781">
      <c r="B781" s="155"/>
      <c r="C781" s="160"/>
      <c r="D781" s="160"/>
      <c r="F781" s="92"/>
      <c r="G781" s="140"/>
      <c r="H781" s="140"/>
      <c r="I781" s="140"/>
      <c r="J781" s="140"/>
      <c r="K781" s="140"/>
    </row>
    <row r="782">
      <c r="B782" s="155"/>
      <c r="C782" s="160"/>
      <c r="D782" s="160"/>
      <c r="F782" s="92"/>
      <c r="G782" s="140"/>
      <c r="H782" s="140"/>
      <c r="I782" s="140"/>
      <c r="J782" s="140"/>
      <c r="K782" s="140"/>
    </row>
    <row r="783">
      <c r="B783" s="155"/>
      <c r="C783" s="160"/>
      <c r="D783" s="160"/>
      <c r="F783" s="92"/>
      <c r="G783" s="140"/>
      <c r="H783" s="140"/>
      <c r="I783" s="140"/>
      <c r="J783" s="140"/>
      <c r="K783" s="140"/>
    </row>
    <row r="784">
      <c r="B784" s="155"/>
      <c r="C784" s="160"/>
      <c r="D784" s="160"/>
      <c r="F784" s="92"/>
      <c r="G784" s="140"/>
      <c r="H784" s="140"/>
      <c r="I784" s="140"/>
      <c r="J784" s="140"/>
      <c r="K784" s="140"/>
    </row>
    <row r="785">
      <c r="B785" s="155"/>
      <c r="C785" s="160"/>
      <c r="D785" s="160"/>
      <c r="F785" s="92"/>
      <c r="G785" s="140"/>
      <c r="H785" s="140"/>
      <c r="I785" s="140"/>
      <c r="J785" s="140"/>
      <c r="K785" s="140"/>
    </row>
    <row r="786">
      <c r="B786" s="155"/>
      <c r="C786" s="160"/>
      <c r="D786" s="160"/>
      <c r="F786" s="92"/>
      <c r="G786" s="140"/>
      <c r="H786" s="140"/>
      <c r="I786" s="140"/>
      <c r="J786" s="140"/>
      <c r="K786" s="140"/>
    </row>
    <row r="787">
      <c r="B787" s="155"/>
      <c r="C787" s="160"/>
      <c r="D787" s="160"/>
      <c r="F787" s="92"/>
      <c r="G787" s="140"/>
      <c r="H787" s="140"/>
      <c r="I787" s="140"/>
      <c r="J787" s="140"/>
      <c r="K787" s="140"/>
    </row>
    <row r="788">
      <c r="B788" s="155"/>
      <c r="C788" s="160"/>
      <c r="D788" s="160"/>
      <c r="F788" s="92"/>
      <c r="G788" s="140"/>
      <c r="H788" s="140"/>
      <c r="I788" s="140"/>
      <c r="J788" s="140"/>
      <c r="K788" s="140"/>
    </row>
    <row r="789">
      <c r="B789" s="155"/>
      <c r="C789" s="160"/>
      <c r="D789" s="160"/>
      <c r="F789" s="92"/>
      <c r="G789" s="140"/>
      <c r="H789" s="140"/>
      <c r="I789" s="140"/>
      <c r="J789" s="140"/>
      <c r="K789" s="140"/>
    </row>
    <row r="790">
      <c r="B790" s="155"/>
      <c r="C790" s="160"/>
      <c r="D790" s="160"/>
      <c r="F790" s="92"/>
      <c r="G790" s="140"/>
      <c r="H790" s="140"/>
      <c r="I790" s="140"/>
      <c r="J790" s="140"/>
      <c r="K790" s="140"/>
    </row>
    <row r="791">
      <c r="B791" s="155"/>
      <c r="C791" s="160"/>
      <c r="D791" s="160"/>
      <c r="F791" s="92"/>
      <c r="G791" s="140"/>
      <c r="H791" s="140"/>
      <c r="I791" s="140"/>
      <c r="J791" s="140"/>
      <c r="K791" s="140"/>
    </row>
    <row r="792">
      <c r="B792" s="155"/>
      <c r="C792" s="160"/>
      <c r="D792" s="160"/>
      <c r="F792" s="92"/>
      <c r="G792" s="140"/>
      <c r="H792" s="140"/>
      <c r="I792" s="140"/>
      <c r="J792" s="140"/>
      <c r="K792" s="140"/>
    </row>
    <row r="793">
      <c r="B793" s="155"/>
      <c r="C793" s="160"/>
      <c r="D793" s="160"/>
      <c r="F793" s="92"/>
      <c r="G793" s="140"/>
      <c r="H793" s="140"/>
      <c r="I793" s="140"/>
      <c r="J793" s="140"/>
      <c r="K793" s="140"/>
    </row>
    <row r="794">
      <c r="B794" s="155"/>
      <c r="C794" s="160"/>
      <c r="D794" s="160"/>
      <c r="F794" s="92"/>
      <c r="G794" s="140"/>
      <c r="H794" s="140"/>
      <c r="I794" s="140"/>
      <c r="J794" s="140"/>
      <c r="K794" s="140"/>
    </row>
    <row r="795">
      <c r="B795" s="155"/>
      <c r="C795" s="160"/>
      <c r="D795" s="160"/>
      <c r="F795" s="92"/>
      <c r="G795" s="140"/>
      <c r="H795" s="140"/>
      <c r="I795" s="140"/>
      <c r="J795" s="140"/>
      <c r="K795" s="140"/>
    </row>
    <row r="796">
      <c r="B796" s="155"/>
      <c r="C796" s="160"/>
      <c r="D796" s="160"/>
      <c r="F796" s="92"/>
      <c r="G796" s="140"/>
      <c r="H796" s="140"/>
      <c r="I796" s="140"/>
      <c r="J796" s="140"/>
      <c r="K796" s="140"/>
    </row>
    <row r="797">
      <c r="B797" s="155"/>
      <c r="C797" s="160"/>
      <c r="D797" s="160"/>
      <c r="F797" s="92"/>
      <c r="G797" s="140"/>
      <c r="H797" s="140"/>
      <c r="I797" s="140"/>
      <c r="J797" s="140"/>
      <c r="K797" s="140"/>
    </row>
    <row r="798">
      <c r="B798" s="155"/>
      <c r="C798" s="160"/>
      <c r="D798" s="160"/>
      <c r="F798" s="92"/>
      <c r="G798" s="140"/>
      <c r="H798" s="140"/>
      <c r="I798" s="140"/>
      <c r="J798" s="140"/>
      <c r="K798" s="140"/>
    </row>
    <row r="799">
      <c r="B799" s="155"/>
      <c r="C799" s="160"/>
      <c r="D799" s="160"/>
      <c r="F799" s="92"/>
      <c r="G799" s="140"/>
      <c r="H799" s="140"/>
      <c r="I799" s="140"/>
      <c r="J799" s="140"/>
      <c r="K799" s="140"/>
    </row>
    <row r="800">
      <c r="B800" s="155"/>
      <c r="C800" s="160"/>
      <c r="D800" s="160"/>
      <c r="F800" s="92"/>
      <c r="G800" s="140"/>
      <c r="H800" s="140"/>
      <c r="I800" s="140"/>
      <c r="J800" s="140"/>
      <c r="K800" s="140"/>
    </row>
    <row r="801">
      <c r="B801" s="155"/>
      <c r="C801" s="160"/>
      <c r="D801" s="160"/>
      <c r="F801" s="92"/>
      <c r="G801" s="140"/>
      <c r="H801" s="140"/>
      <c r="I801" s="140"/>
      <c r="J801" s="140"/>
      <c r="K801" s="140"/>
    </row>
    <row r="802">
      <c r="B802" s="155"/>
      <c r="C802" s="160"/>
      <c r="D802" s="160"/>
      <c r="F802" s="92"/>
      <c r="G802" s="140"/>
      <c r="H802" s="140"/>
      <c r="I802" s="140"/>
      <c r="J802" s="140"/>
      <c r="K802" s="140"/>
    </row>
    <row r="803">
      <c r="B803" s="155"/>
      <c r="C803" s="160"/>
      <c r="D803" s="160"/>
      <c r="F803" s="92"/>
      <c r="G803" s="140"/>
      <c r="H803" s="140"/>
      <c r="I803" s="140"/>
      <c r="J803" s="140"/>
      <c r="K803" s="140"/>
    </row>
    <row r="804">
      <c r="B804" s="155"/>
      <c r="C804" s="160"/>
      <c r="D804" s="160"/>
      <c r="F804" s="92"/>
      <c r="G804" s="140"/>
      <c r="H804" s="140"/>
      <c r="I804" s="140"/>
      <c r="J804" s="140"/>
      <c r="K804" s="140"/>
    </row>
    <row r="805">
      <c r="B805" s="155"/>
      <c r="C805" s="160"/>
      <c r="D805" s="160"/>
      <c r="F805" s="92"/>
      <c r="G805" s="140"/>
      <c r="H805" s="140"/>
      <c r="I805" s="140"/>
      <c r="J805" s="140"/>
      <c r="K805" s="140"/>
    </row>
    <row r="806">
      <c r="B806" s="155"/>
      <c r="C806" s="160"/>
      <c r="D806" s="160"/>
      <c r="F806" s="92"/>
      <c r="G806" s="140"/>
      <c r="H806" s="140"/>
      <c r="I806" s="140"/>
      <c r="J806" s="140"/>
      <c r="K806" s="140"/>
    </row>
    <row r="807">
      <c r="B807" s="155"/>
      <c r="C807" s="160"/>
      <c r="D807" s="160"/>
      <c r="F807" s="92"/>
      <c r="G807" s="140"/>
      <c r="H807" s="140"/>
      <c r="I807" s="140"/>
      <c r="J807" s="140"/>
      <c r="K807" s="140"/>
    </row>
    <row r="808">
      <c r="B808" s="155"/>
      <c r="C808" s="160"/>
      <c r="D808" s="160"/>
      <c r="F808" s="92"/>
      <c r="G808" s="140"/>
      <c r="H808" s="140"/>
      <c r="I808" s="140"/>
      <c r="J808" s="140"/>
      <c r="K808" s="140"/>
    </row>
    <row r="809">
      <c r="B809" s="155"/>
      <c r="C809" s="160"/>
      <c r="D809" s="160"/>
      <c r="F809" s="92"/>
      <c r="G809" s="140"/>
      <c r="H809" s="140"/>
      <c r="I809" s="140"/>
      <c r="J809" s="140"/>
      <c r="K809" s="140"/>
    </row>
    <row r="810">
      <c r="B810" s="155"/>
      <c r="C810" s="160"/>
      <c r="D810" s="160"/>
      <c r="F810" s="92"/>
      <c r="G810" s="140"/>
      <c r="H810" s="140"/>
      <c r="I810" s="140"/>
      <c r="J810" s="140"/>
      <c r="K810" s="140"/>
    </row>
    <row r="811">
      <c r="B811" s="155"/>
      <c r="C811" s="160"/>
      <c r="D811" s="160"/>
      <c r="F811" s="92"/>
      <c r="G811" s="140"/>
      <c r="H811" s="140"/>
      <c r="I811" s="140"/>
      <c r="J811" s="140"/>
      <c r="K811" s="140"/>
    </row>
    <row r="812">
      <c r="B812" s="155"/>
      <c r="C812" s="160"/>
      <c r="D812" s="160"/>
      <c r="F812" s="92"/>
      <c r="G812" s="140"/>
      <c r="H812" s="140"/>
      <c r="I812" s="140"/>
      <c r="J812" s="140"/>
      <c r="K812" s="140"/>
    </row>
    <row r="813">
      <c r="B813" s="155"/>
      <c r="C813" s="160"/>
      <c r="D813" s="160"/>
      <c r="F813" s="92"/>
      <c r="G813" s="140"/>
      <c r="H813" s="140"/>
      <c r="I813" s="140"/>
      <c r="J813" s="140"/>
      <c r="K813" s="140"/>
    </row>
    <row r="814">
      <c r="B814" s="155"/>
      <c r="C814" s="160"/>
      <c r="D814" s="160"/>
      <c r="F814" s="92"/>
      <c r="G814" s="140"/>
      <c r="H814" s="140"/>
      <c r="I814" s="140"/>
      <c r="J814" s="140"/>
      <c r="K814" s="140"/>
    </row>
    <row r="815">
      <c r="B815" s="155"/>
      <c r="C815" s="160"/>
      <c r="D815" s="160"/>
      <c r="F815" s="92"/>
      <c r="G815" s="140"/>
      <c r="H815" s="140"/>
      <c r="I815" s="140"/>
      <c r="J815" s="140"/>
      <c r="K815" s="140"/>
    </row>
    <row r="816">
      <c r="B816" s="155"/>
      <c r="C816" s="160"/>
      <c r="D816" s="160"/>
      <c r="F816" s="92"/>
      <c r="G816" s="140"/>
      <c r="H816" s="140"/>
      <c r="I816" s="140"/>
      <c r="J816" s="140"/>
      <c r="K816" s="140"/>
    </row>
    <row r="817">
      <c r="B817" s="155"/>
      <c r="C817" s="160"/>
      <c r="D817" s="160"/>
      <c r="F817" s="92"/>
      <c r="G817" s="140"/>
      <c r="H817" s="140"/>
      <c r="I817" s="140"/>
      <c r="J817" s="140"/>
      <c r="K817" s="140"/>
    </row>
    <row r="818">
      <c r="B818" s="155"/>
      <c r="C818" s="160"/>
      <c r="D818" s="160"/>
      <c r="F818" s="92"/>
      <c r="G818" s="140"/>
      <c r="H818" s="140"/>
      <c r="I818" s="140"/>
      <c r="J818" s="140"/>
      <c r="K818" s="140"/>
    </row>
    <row r="819">
      <c r="B819" s="155"/>
      <c r="C819" s="160"/>
      <c r="D819" s="160"/>
      <c r="F819" s="92"/>
      <c r="G819" s="140"/>
      <c r="H819" s="140"/>
      <c r="I819" s="140"/>
      <c r="J819" s="140"/>
      <c r="K819" s="140"/>
    </row>
    <row r="820">
      <c r="B820" s="155"/>
      <c r="C820" s="160"/>
      <c r="D820" s="160"/>
      <c r="F820" s="92"/>
      <c r="G820" s="140"/>
      <c r="H820" s="140"/>
      <c r="I820" s="140"/>
      <c r="J820" s="140"/>
      <c r="K820" s="140"/>
    </row>
    <row r="821">
      <c r="B821" s="155"/>
      <c r="C821" s="160"/>
      <c r="D821" s="160"/>
      <c r="F821" s="92"/>
      <c r="G821" s="140"/>
      <c r="H821" s="140"/>
      <c r="I821" s="140"/>
      <c r="J821" s="140"/>
      <c r="K821" s="140"/>
    </row>
    <row r="822">
      <c r="B822" s="155"/>
      <c r="C822" s="160"/>
      <c r="D822" s="160"/>
      <c r="F822" s="92"/>
      <c r="G822" s="140"/>
      <c r="H822" s="140"/>
      <c r="I822" s="140"/>
      <c r="J822" s="140"/>
      <c r="K822" s="140"/>
    </row>
    <row r="823">
      <c r="B823" s="155"/>
      <c r="C823" s="160"/>
      <c r="D823" s="160"/>
      <c r="F823" s="92"/>
      <c r="G823" s="140"/>
      <c r="H823" s="140"/>
      <c r="I823" s="140"/>
      <c r="J823" s="140"/>
      <c r="K823" s="140"/>
    </row>
    <row r="824">
      <c r="B824" s="155"/>
      <c r="C824" s="160"/>
      <c r="D824" s="160"/>
      <c r="F824" s="92"/>
      <c r="G824" s="140"/>
      <c r="H824" s="140"/>
      <c r="I824" s="140"/>
      <c r="J824" s="140"/>
      <c r="K824" s="140"/>
    </row>
    <row r="825">
      <c r="B825" s="155"/>
      <c r="C825" s="160"/>
      <c r="D825" s="160"/>
      <c r="F825" s="92"/>
      <c r="G825" s="140"/>
      <c r="H825" s="140"/>
      <c r="I825" s="140"/>
      <c r="J825" s="140"/>
      <c r="K825" s="140"/>
    </row>
    <row r="826">
      <c r="B826" s="155"/>
      <c r="C826" s="160"/>
      <c r="D826" s="160"/>
      <c r="F826" s="92"/>
      <c r="G826" s="140"/>
      <c r="H826" s="140"/>
      <c r="I826" s="140"/>
      <c r="J826" s="140"/>
      <c r="K826" s="140"/>
    </row>
    <row r="827">
      <c r="B827" s="155"/>
      <c r="C827" s="160"/>
      <c r="D827" s="160"/>
      <c r="F827" s="92"/>
      <c r="G827" s="140"/>
      <c r="H827" s="140"/>
      <c r="I827" s="140"/>
      <c r="J827" s="140"/>
      <c r="K827" s="140"/>
    </row>
    <row r="828">
      <c r="B828" s="155"/>
      <c r="C828" s="160"/>
      <c r="D828" s="160"/>
      <c r="F828" s="92"/>
      <c r="G828" s="140"/>
      <c r="H828" s="140"/>
      <c r="I828" s="140"/>
      <c r="J828" s="140"/>
      <c r="K828" s="140"/>
    </row>
    <row r="829">
      <c r="B829" s="155"/>
      <c r="C829" s="160"/>
      <c r="D829" s="160"/>
      <c r="F829" s="92"/>
      <c r="G829" s="140"/>
      <c r="H829" s="140"/>
      <c r="I829" s="140"/>
      <c r="J829" s="140"/>
      <c r="K829" s="140"/>
    </row>
    <row r="830">
      <c r="B830" s="155"/>
      <c r="C830" s="160"/>
      <c r="D830" s="160"/>
      <c r="F830" s="92"/>
      <c r="G830" s="140"/>
      <c r="H830" s="140"/>
      <c r="I830" s="140"/>
      <c r="J830" s="140"/>
      <c r="K830" s="140"/>
    </row>
    <row r="831">
      <c r="B831" s="155"/>
      <c r="C831" s="160"/>
      <c r="D831" s="160"/>
      <c r="F831" s="92"/>
      <c r="G831" s="140"/>
      <c r="H831" s="140"/>
      <c r="I831" s="140"/>
      <c r="J831" s="140"/>
      <c r="K831" s="140"/>
    </row>
    <row r="832">
      <c r="B832" s="155"/>
      <c r="C832" s="160"/>
      <c r="D832" s="160"/>
      <c r="F832" s="92"/>
      <c r="G832" s="140"/>
      <c r="H832" s="140"/>
      <c r="I832" s="140"/>
      <c r="J832" s="140"/>
      <c r="K832" s="140"/>
    </row>
    <row r="833">
      <c r="B833" s="155"/>
      <c r="C833" s="160"/>
      <c r="D833" s="160"/>
      <c r="F833" s="92"/>
      <c r="G833" s="140"/>
      <c r="H833" s="140"/>
      <c r="I833" s="140"/>
      <c r="J833" s="140"/>
      <c r="K833" s="140"/>
    </row>
    <row r="834">
      <c r="B834" s="155"/>
      <c r="C834" s="160"/>
      <c r="D834" s="160"/>
      <c r="F834" s="92"/>
      <c r="G834" s="140"/>
      <c r="H834" s="140"/>
      <c r="I834" s="140"/>
      <c r="J834" s="140"/>
      <c r="K834" s="140"/>
    </row>
    <row r="835">
      <c r="B835" s="155"/>
      <c r="C835" s="160"/>
      <c r="D835" s="160"/>
      <c r="F835" s="92"/>
      <c r="G835" s="140"/>
      <c r="H835" s="140"/>
      <c r="I835" s="140"/>
      <c r="J835" s="140"/>
      <c r="K835" s="140"/>
    </row>
    <row r="836">
      <c r="B836" s="155"/>
      <c r="C836" s="160"/>
      <c r="D836" s="160"/>
      <c r="F836" s="92"/>
      <c r="G836" s="140"/>
      <c r="H836" s="140"/>
      <c r="I836" s="140"/>
      <c r="J836" s="140"/>
      <c r="K836" s="140"/>
    </row>
    <row r="837">
      <c r="B837" s="155"/>
      <c r="C837" s="160"/>
      <c r="D837" s="160"/>
      <c r="F837" s="92"/>
      <c r="G837" s="140"/>
      <c r="H837" s="140"/>
      <c r="I837" s="140"/>
      <c r="J837" s="140"/>
      <c r="K837" s="140"/>
    </row>
    <row r="838">
      <c r="B838" s="155"/>
      <c r="C838" s="160"/>
      <c r="D838" s="160"/>
      <c r="F838" s="92"/>
      <c r="G838" s="140"/>
      <c r="H838" s="140"/>
      <c r="I838" s="140"/>
      <c r="J838" s="140"/>
      <c r="K838" s="140"/>
    </row>
    <row r="839">
      <c r="B839" s="155"/>
      <c r="C839" s="160"/>
      <c r="D839" s="160"/>
      <c r="F839" s="92"/>
      <c r="G839" s="140"/>
      <c r="H839" s="140"/>
      <c r="I839" s="140"/>
      <c r="J839" s="140"/>
      <c r="K839" s="140"/>
    </row>
    <row r="840">
      <c r="B840" s="155"/>
      <c r="C840" s="160"/>
      <c r="D840" s="160"/>
      <c r="F840" s="92"/>
      <c r="G840" s="140"/>
      <c r="H840" s="140"/>
      <c r="I840" s="140"/>
      <c r="J840" s="140"/>
      <c r="K840" s="140"/>
    </row>
    <row r="841">
      <c r="B841" s="155"/>
      <c r="C841" s="160"/>
      <c r="D841" s="160"/>
      <c r="F841" s="92"/>
      <c r="G841" s="140"/>
      <c r="H841" s="140"/>
      <c r="I841" s="140"/>
      <c r="J841" s="140"/>
      <c r="K841" s="140"/>
    </row>
    <row r="842">
      <c r="B842" s="155"/>
      <c r="C842" s="160"/>
      <c r="D842" s="160"/>
      <c r="F842" s="92"/>
      <c r="G842" s="140"/>
      <c r="H842" s="140"/>
      <c r="I842" s="140"/>
      <c r="J842" s="140"/>
      <c r="K842" s="140"/>
    </row>
    <row r="843">
      <c r="B843" s="155"/>
      <c r="C843" s="160"/>
      <c r="D843" s="160"/>
      <c r="F843" s="92"/>
      <c r="G843" s="140"/>
      <c r="H843" s="140"/>
      <c r="I843" s="140"/>
      <c r="J843" s="140"/>
      <c r="K843" s="140"/>
    </row>
    <row r="844">
      <c r="B844" s="155"/>
      <c r="C844" s="160"/>
      <c r="D844" s="160"/>
      <c r="F844" s="92"/>
      <c r="G844" s="140"/>
      <c r="H844" s="140"/>
      <c r="I844" s="140"/>
      <c r="J844" s="140"/>
      <c r="K844" s="140"/>
    </row>
    <row r="845">
      <c r="B845" s="155"/>
      <c r="C845" s="160"/>
      <c r="D845" s="160"/>
      <c r="F845" s="92"/>
      <c r="G845" s="140"/>
      <c r="H845" s="140"/>
      <c r="I845" s="140"/>
      <c r="J845" s="140"/>
      <c r="K845" s="140"/>
    </row>
    <row r="846">
      <c r="B846" s="155"/>
      <c r="C846" s="160"/>
      <c r="D846" s="160"/>
      <c r="F846" s="92"/>
      <c r="G846" s="140"/>
      <c r="H846" s="140"/>
      <c r="I846" s="140"/>
      <c r="J846" s="140"/>
      <c r="K846" s="140"/>
    </row>
    <row r="847">
      <c r="B847" s="155"/>
      <c r="C847" s="160"/>
      <c r="D847" s="160"/>
      <c r="F847" s="92"/>
      <c r="G847" s="140"/>
      <c r="H847" s="140"/>
      <c r="I847" s="140"/>
      <c r="J847" s="140"/>
      <c r="K847" s="140"/>
    </row>
    <row r="848">
      <c r="B848" s="155"/>
      <c r="C848" s="160"/>
      <c r="D848" s="160"/>
      <c r="F848" s="92"/>
      <c r="G848" s="140"/>
      <c r="H848" s="140"/>
      <c r="I848" s="140"/>
      <c r="J848" s="140"/>
      <c r="K848" s="140"/>
    </row>
    <row r="849">
      <c r="B849" s="155"/>
      <c r="C849" s="160"/>
      <c r="D849" s="160"/>
      <c r="F849" s="92"/>
      <c r="G849" s="140"/>
      <c r="H849" s="140"/>
      <c r="I849" s="140"/>
      <c r="J849" s="140"/>
      <c r="K849" s="140"/>
    </row>
    <row r="850">
      <c r="B850" s="155"/>
      <c r="C850" s="160"/>
      <c r="D850" s="160"/>
      <c r="F850" s="92"/>
      <c r="G850" s="140"/>
      <c r="H850" s="140"/>
      <c r="I850" s="140"/>
      <c r="J850" s="140"/>
      <c r="K850" s="140"/>
    </row>
    <row r="851">
      <c r="B851" s="155"/>
      <c r="C851" s="160"/>
      <c r="D851" s="160"/>
      <c r="F851" s="92"/>
      <c r="G851" s="140"/>
      <c r="H851" s="140"/>
      <c r="I851" s="140"/>
      <c r="J851" s="140"/>
      <c r="K851" s="140"/>
    </row>
    <row r="852">
      <c r="B852" s="155"/>
      <c r="C852" s="160"/>
      <c r="D852" s="160"/>
      <c r="F852" s="92"/>
      <c r="G852" s="140"/>
      <c r="H852" s="140"/>
      <c r="I852" s="140"/>
      <c r="J852" s="140"/>
      <c r="K852" s="140"/>
    </row>
    <row r="853">
      <c r="B853" s="155"/>
      <c r="C853" s="160"/>
      <c r="D853" s="160"/>
      <c r="F853" s="92"/>
      <c r="G853" s="140"/>
      <c r="H853" s="140"/>
      <c r="I853" s="140"/>
      <c r="J853" s="140"/>
      <c r="K853" s="140"/>
    </row>
    <row r="854">
      <c r="B854" s="155"/>
      <c r="C854" s="160"/>
      <c r="D854" s="160"/>
      <c r="F854" s="92"/>
      <c r="G854" s="140"/>
      <c r="H854" s="140"/>
      <c r="I854" s="140"/>
      <c r="J854" s="140"/>
      <c r="K854" s="140"/>
    </row>
    <row r="855">
      <c r="B855" s="155"/>
      <c r="C855" s="160"/>
      <c r="D855" s="160"/>
      <c r="F855" s="92"/>
      <c r="G855" s="140"/>
      <c r="H855" s="140"/>
      <c r="I855" s="140"/>
      <c r="J855" s="140"/>
      <c r="K855" s="140"/>
    </row>
    <row r="856">
      <c r="B856" s="155"/>
      <c r="C856" s="160"/>
      <c r="D856" s="160"/>
      <c r="F856" s="92"/>
      <c r="G856" s="140"/>
      <c r="H856" s="140"/>
      <c r="I856" s="140"/>
      <c r="J856" s="140"/>
      <c r="K856" s="140"/>
    </row>
    <row r="857">
      <c r="B857" s="155"/>
      <c r="C857" s="160"/>
      <c r="D857" s="160"/>
      <c r="F857" s="92"/>
      <c r="G857" s="140"/>
      <c r="H857" s="140"/>
      <c r="I857" s="140"/>
      <c r="J857" s="140"/>
      <c r="K857" s="140"/>
    </row>
    <row r="858">
      <c r="B858" s="155"/>
      <c r="C858" s="160"/>
      <c r="D858" s="160"/>
      <c r="F858" s="92"/>
      <c r="G858" s="140"/>
      <c r="H858" s="140"/>
      <c r="I858" s="140"/>
      <c r="J858" s="140"/>
      <c r="K858" s="140"/>
    </row>
    <row r="859">
      <c r="B859" s="155"/>
      <c r="C859" s="160"/>
      <c r="D859" s="160"/>
      <c r="F859" s="92"/>
      <c r="G859" s="140"/>
      <c r="H859" s="140"/>
      <c r="I859" s="140"/>
      <c r="J859" s="140"/>
      <c r="K859" s="140"/>
    </row>
    <row r="860">
      <c r="B860" s="155"/>
      <c r="C860" s="160"/>
      <c r="D860" s="160"/>
      <c r="F860" s="92"/>
      <c r="G860" s="140"/>
      <c r="H860" s="140"/>
      <c r="I860" s="140"/>
      <c r="J860" s="140"/>
      <c r="K860" s="140"/>
    </row>
    <row r="861">
      <c r="B861" s="155"/>
      <c r="C861" s="160"/>
      <c r="D861" s="160"/>
      <c r="F861" s="92"/>
      <c r="G861" s="140"/>
      <c r="H861" s="140"/>
      <c r="I861" s="140"/>
      <c r="J861" s="140"/>
      <c r="K861" s="140"/>
    </row>
    <row r="862">
      <c r="B862" s="155"/>
      <c r="C862" s="160"/>
      <c r="D862" s="160"/>
      <c r="F862" s="92"/>
      <c r="G862" s="140"/>
      <c r="H862" s="140"/>
      <c r="I862" s="140"/>
      <c r="J862" s="140"/>
      <c r="K862" s="140"/>
    </row>
    <row r="863">
      <c r="B863" s="155"/>
      <c r="C863" s="160"/>
      <c r="D863" s="160"/>
      <c r="F863" s="92"/>
      <c r="G863" s="140"/>
      <c r="H863" s="140"/>
      <c r="I863" s="140"/>
      <c r="J863" s="140"/>
      <c r="K863" s="140"/>
    </row>
    <row r="864">
      <c r="B864" s="155"/>
      <c r="C864" s="160"/>
      <c r="D864" s="160"/>
      <c r="F864" s="92"/>
      <c r="G864" s="140"/>
      <c r="H864" s="140"/>
      <c r="I864" s="140"/>
      <c r="J864" s="140"/>
      <c r="K864" s="140"/>
    </row>
    <row r="865">
      <c r="B865" s="155"/>
      <c r="C865" s="160"/>
      <c r="D865" s="160"/>
      <c r="F865" s="92"/>
      <c r="G865" s="140"/>
      <c r="H865" s="140"/>
      <c r="I865" s="140"/>
      <c r="J865" s="140"/>
      <c r="K865" s="140"/>
    </row>
    <row r="866">
      <c r="B866" s="155"/>
      <c r="C866" s="160"/>
      <c r="D866" s="160"/>
      <c r="F866" s="92"/>
      <c r="G866" s="140"/>
      <c r="H866" s="140"/>
      <c r="I866" s="140"/>
      <c r="J866" s="140"/>
      <c r="K866" s="140"/>
    </row>
    <row r="867">
      <c r="B867" s="155"/>
      <c r="C867" s="160"/>
      <c r="D867" s="160"/>
      <c r="F867" s="92"/>
      <c r="G867" s="140"/>
      <c r="H867" s="140"/>
      <c r="I867" s="140"/>
      <c r="J867" s="140"/>
      <c r="K867" s="140"/>
    </row>
    <row r="868">
      <c r="B868" s="155"/>
      <c r="C868" s="160"/>
      <c r="D868" s="160"/>
      <c r="F868" s="92"/>
      <c r="G868" s="140"/>
      <c r="H868" s="140"/>
      <c r="I868" s="140"/>
      <c r="J868" s="140"/>
      <c r="K868" s="140"/>
    </row>
    <row r="869">
      <c r="B869" s="155"/>
      <c r="C869" s="160"/>
      <c r="D869" s="160"/>
      <c r="F869" s="92"/>
      <c r="G869" s="140"/>
      <c r="H869" s="140"/>
      <c r="I869" s="140"/>
      <c r="J869" s="140"/>
      <c r="K869" s="140"/>
    </row>
    <row r="870">
      <c r="B870" s="155"/>
      <c r="C870" s="160"/>
      <c r="D870" s="160"/>
      <c r="F870" s="92"/>
      <c r="G870" s="140"/>
      <c r="H870" s="140"/>
      <c r="I870" s="140"/>
      <c r="J870" s="140"/>
      <c r="K870" s="140"/>
    </row>
    <row r="871">
      <c r="B871" s="155"/>
      <c r="C871" s="160"/>
      <c r="D871" s="160"/>
      <c r="F871" s="92"/>
      <c r="G871" s="140"/>
      <c r="H871" s="140"/>
      <c r="I871" s="140"/>
      <c r="J871" s="140"/>
      <c r="K871" s="140"/>
    </row>
    <row r="872">
      <c r="B872" s="155"/>
      <c r="C872" s="160"/>
      <c r="D872" s="160"/>
      <c r="F872" s="92"/>
      <c r="G872" s="140"/>
      <c r="H872" s="140"/>
      <c r="I872" s="140"/>
      <c r="J872" s="140"/>
      <c r="K872" s="140"/>
    </row>
    <row r="873">
      <c r="B873" s="155"/>
      <c r="C873" s="160"/>
      <c r="D873" s="160"/>
      <c r="F873" s="92"/>
      <c r="G873" s="140"/>
      <c r="H873" s="140"/>
      <c r="I873" s="140"/>
      <c r="J873" s="140"/>
      <c r="K873" s="140"/>
    </row>
    <row r="874">
      <c r="B874" s="155"/>
      <c r="C874" s="160"/>
      <c r="D874" s="160"/>
      <c r="F874" s="92"/>
      <c r="G874" s="140"/>
      <c r="H874" s="140"/>
      <c r="I874" s="140"/>
      <c r="J874" s="140"/>
      <c r="K874" s="140"/>
    </row>
    <row r="875">
      <c r="B875" s="155"/>
      <c r="C875" s="160"/>
      <c r="D875" s="160"/>
      <c r="F875" s="92"/>
      <c r="G875" s="140"/>
      <c r="H875" s="140"/>
      <c r="I875" s="140"/>
      <c r="J875" s="140"/>
      <c r="K875" s="140"/>
    </row>
    <row r="876">
      <c r="B876" s="155"/>
      <c r="C876" s="160"/>
      <c r="D876" s="160"/>
      <c r="F876" s="92"/>
      <c r="G876" s="140"/>
      <c r="H876" s="140"/>
      <c r="I876" s="140"/>
      <c r="J876" s="140"/>
      <c r="K876" s="140"/>
    </row>
    <row r="877">
      <c r="B877" s="155"/>
      <c r="C877" s="160"/>
      <c r="D877" s="160"/>
      <c r="F877" s="92"/>
      <c r="G877" s="140"/>
      <c r="H877" s="140"/>
      <c r="I877" s="140"/>
      <c r="J877" s="140"/>
      <c r="K877" s="140"/>
    </row>
    <row r="878">
      <c r="B878" s="155"/>
      <c r="C878" s="160"/>
      <c r="D878" s="160"/>
      <c r="F878" s="92"/>
      <c r="G878" s="140"/>
      <c r="H878" s="140"/>
      <c r="I878" s="140"/>
      <c r="J878" s="140"/>
      <c r="K878" s="140"/>
    </row>
    <row r="879">
      <c r="B879" s="155"/>
      <c r="C879" s="160"/>
      <c r="D879" s="160"/>
      <c r="F879" s="92"/>
      <c r="G879" s="140"/>
      <c r="H879" s="140"/>
      <c r="I879" s="140"/>
      <c r="J879" s="140"/>
      <c r="K879" s="140"/>
    </row>
    <row r="880">
      <c r="B880" s="155"/>
      <c r="C880" s="160"/>
      <c r="D880" s="160"/>
      <c r="F880" s="92"/>
      <c r="G880" s="140"/>
      <c r="H880" s="140"/>
      <c r="I880" s="140"/>
      <c r="J880" s="140"/>
      <c r="K880" s="140"/>
    </row>
    <row r="881">
      <c r="B881" s="155"/>
      <c r="C881" s="160"/>
      <c r="D881" s="160"/>
      <c r="F881" s="92"/>
      <c r="G881" s="140"/>
      <c r="H881" s="140"/>
      <c r="I881" s="140"/>
      <c r="J881" s="140"/>
      <c r="K881" s="140"/>
    </row>
    <row r="882">
      <c r="B882" s="155"/>
      <c r="C882" s="160"/>
      <c r="D882" s="160"/>
      <c r="F882" s="92"/>
      <c r="G882" s="140"/>
      <c r="H882" s="140"/>
      <c r="I882" s="140"/>
      <c r="J882" s="140"/>
      <c r="K882" s="140"/>
    </row>
    <row r="883">
      <c r="B883" s="155"/>
      <c r="C883" s="160"/>
      <c r="D883" s="160"/>
      <c r="F883" s="92"/>
      <c r="G883" s="140"/>
      <c r="H883" s="140"/>
      <c r="I883" s="140"/>
      <c r="J883" s="140"/>
      <c r="K883" s="140"/>
    </row>
    <row r="884">
      <c r="B884" s="155"/>
      <c r="C884" s="160"/>
      <c r="D884" s="160"/>
      <c r="F884" s="92"/>
      <c r="G884" s="140"/>
      <c r="H884" s="140"/>
      <c r="I884" s="140"/>
      <c r="J884" s="140"/>
      <c r="K884" s="140"/>
    </row>
    <row r="885">
      <c r="B885" s="155"/>
      <c r="C885" s="160"/>
      <c r="D885" s="160"/>
      <c r="F885" s="92"/>
      <c r="G885" s="140"/>
      <c r="H885" s="140"/>
      <c r="I885" s="140"/>
      <c r="J885" s="140"/>
      <c r="K885" s="140"/>
    </row>
    <row r="886">
      <c r="B886" s="155"/>
      <c r="C886" s="160"/>
      <c r="D886" s="160"/>
      <c r="F886" s="92"/>
      <c r="G886" s="140"/>
      <c r="H886" s="140"/>
      <c r="I886" s="140"/>
      <c r="J886" s="140"/>
      <c r="K886" s="140"/>
    </row>
    <row r="887">
      <c r="B887" s="155"/>
      <c r="C887" s="160"/>
      <c r="D887" s="160"/>
      <c r="F887" s="92"/>
      <c r="G887" s="140"/>
      <c r="H887" s="140"/>
      <c r="I887" s="140"/>
      <c r="J887" s="140"/>
      <c r="K887" s="140"/>
    </row>
    <row r="888">
      <c r="B888" s="155"/>
      <c r="C888" s="160"/>
      <c r="D888" s="160"/>
      <c r="F888" s="92"/>
      <c r="G888" s="140"/>
      <c r="H888" s="140"/>
      <c r="I888" s="140"/>
      <c r="J888" s="140"/>
      <c r="K888" s="140"/>
    </row>
    <row r="889">
      <c r="B889" s="155"/>
      <c r="C889" s="160"/>
      <c r="D889" s="160"/>
      <c r="F889" s="92"/>
      <c r="G889" s="140"/>
      <c r="H889" s="140"/>
      <c r="I889" s="140"/>
      <c r="J889" s="140"/>
      <c r="K889" s="140"/>
    </row>
    <row r="890">
      <c r="B890" s="155"/>
      <c r="C890" s="160"/>
      <c r="D890" s="160"/>
      <c r="F890" s="92"/>
      <c r="G890" s="140"/>
      <c r="H890" s="140"/>
      <c r="I890" s="140"/>
      <c r="J890" s="140"/>
      <c r="K890" s="140"/>
    </row>
    <row r="891">
      <c r="B891" s="155"/>
      <c r="C891" s="160"/>
      <c r="D891" s="160"/>
      <c r="F891" s="92"/>
      <c r="G891" s="140"/>
      <c r="H891" s="140"/>
      <c r="I891" s="140"/>
      <c r="J891" s="140"/>
      <c r="K891" s="140"/>
    </row>
    <row r="892">
      <c r="B892" s="155"/>
      <c r="C892" s="160"/>
      <c r="D892" s="160"/>
      <c r="F892" s="92"/>
      <c r="G892" s="140"/>
      <c r="H892" s="140"/>
      <c r="I892" s="140"/>
      <c r="J892" s="140"/>
      <c r="K892" s="140"/>
    </row>
    <row r="893">
      <c r="B893" s="155"/>
      <c r="C893" s="160"/>
      <c r="D893" s="160"/>
      <c r="F893" s="92"/>
      <c r="G893" s="140"/>
      <c r="H893" s="140"/>
      <c r="I893" s="140"/>
      <c r="J893" s="140"/>
      <c r="K893" s="140"/>
    </row>
    <row r="894">
      <c r="B894" s="155"/>
      <c r="C894" s="160"/>
      <c r="D894" s="160"/>
      <c r="F894" s="92"/>
      <c r="G894" s="140"/>
      <c r="H894" s="140"/>
      <c r="I894" s="140"/>
      <c r="J894" s="140"/>
      <c r="K894" s="140"/>
    </row>
    <row r="895">
      <c r="B895" s="155"/>
      <c r="C895" s="160"/>
      <c r="D895" s="160"/>
      <c r="F895" s="92"/>
      <c r="G895" s="140"/>
      <c r="H895" s="140"/>
      <c r="I895" s="140"/>
      <c r="J895" s="140"/>
      <c r="K895" s="140"/>
    </row>
    <row r="896">
      <c r="B896" s="155"/>
      <c r="C896" s="160"/>
      <c r="D896" s="160"/>
      <c r="F896" s="92"/>
      <c r="G896" s="140"/>
      <c r="H896" s="140"/>
      <c r="I896" s="140"/>
      <c r="J896" s="140"/>
      <c r="K896" s="140"/>
    </row>
    <row r="897">
      <c r="B897" s="155"/>
      <c r="C897" s="160"/>
      <c r="D897" s="160"/>
      <c r="F897" s="92"/>
      <c r="G897" s="140"/>
      <c r="H897" s="140"/>
      <c r="I897" s="140"/>
      <c r="J897" s="140"/>
      <c r="K897" s="140"/>
    </row>
    <row r="898">
      <c r="B898" s="155"/>
      <c r="C898" s="160"/>
      <c r="D898" s="160"/>
      <c r="F898" s="92"/>
      <c r="G898" s="140"/>
      <c r="H898" s="140"/>
      <c r="I898" s="140"/>
      <c r="J898" s="140"/>
      <c r="K898" s="140"/>
    </row>
    <row r="899">
      <c r="B899" s="155"/>
      <c r="C899" s="160"/>
      <c r="D899" s="160"/>
      <c r="F899" s="92"/>
      <c r="G899" s="140"/>
      <c r="H899" s="140"/>
      <c r="I899" s="140"/>
      <c r="J899" s="140"/>
      <c r="K899" s="140"/>
    </row>
    <row r="900">
      <c r="B900" s="155"/>
      <c r="C900" s="160"/>
      <c r="D900" s="160"/>
      <c r="F900" s="92"/>
      <c r="G900" s="140"/>
      <c r="H900" s="140"/>
      <c r="I900" s="140"/>
      <c r="J900" s="140"/>
      <c r="K900" s="140"/>
    </row>
    <row r="901">
      <c r="B901" s="155"/>
      <c r="C901" s="160"/>
      <c r="D901" s="160"/>
      <c r="F901" s="92"/>
      <c r="G901" s="140"/>
      <c r="H901" s="140"/>
      <c r="I901" s="140"/>
      <c r="J901" s="140"/>
      <c r="K901" s="140"/>
    </row>
    <row r="902">
      <c r="B902" s="155"/>
      <c r="C902" s="160"/>
      <c r="D902" s="160"/>
      <c r="F902" s="92"/>
      <c r="G902" s="140"/>
      <c r="H902" s="140"/>
      <c r="I902" s="140"/>
      <c r="J902" s="140"/>
      <c r="K902" s="140"/>
    </row>
    <row r="903">
      <c r="B903" s="155"/>
      <c r="C903" s="160"/>
      <c r="D903" s="160"/>
      <c r="F903" s="92"/>
      <c r="G903" s="140"/>
      <c r="H903" s="140"/>
      <c r="I903" s="140"/>
      <c r="J903" s="140"/>
      <c r="K903" s="140"/>
    </row>
    <row r="904">
      <c r="B904" s="155"/>
      <c r="C904" s="160"/>
      <c r="D904" s="160"/>
      <c r="F904" s="92"/>
      <c r="G904" s="140"/>
      <c r="H904" s="140"/>
      <c r="I904" s="140"/>
      <c r="J904" s="140"/>
      <c r="K904" s="140"/>
    </row>
    <row r="905">
      <c r="B905" s="155"/>
      <c r="C905" s="160"/>
      <c r="D905" s="160"/>
      <c r="F905" s="92"/>
      <c r="G905" s="140"/>
      <c r="H905" s="140"/>
      <c r="I905" s="140"/>
      <c r="J905" s="140"/>
      <c r="K905" s="140"/>
    </row>
    <row r="906">
      <c r="B906" s="155"/>
      <c r="C906" s="160"/>
      <c r="D906" s="160"/>
      <c r="F906" s="92"/>
      <c r="G906" s="140"/>
      <c r="H906" s="140"/>
      <c r="I906" s="140"/>
      <c r="J906" s="140"/>
      <c r="K906" s="140"/>
    </row>
    <row r="907">
      <c r="B907" s="155"/>
      <c r="C907" s="160"/>
      <c r="D907" s="160"/>
      <c r="F907" s="92"/>
      <c r="G907" s="140"/>
      <c r="H907" s="140"/>
      <c r="I907" s="140"/>
      <c r="J907" s="140"/>
      <c r="K907" s="140"/>
    </row>
    <row r="908">
      <c r="B908" s="155"/>
      <c r="C908" s="160"/>
      <c r="D908" s="160"/>
      <c r="F908" s="92"/>
      <c r="G908" s="140"/>
      <c r="H908" s="140"/>
      <c r="I908" s="140"/>
      <c r="J908" s="140"/>
      <c r="K908" s="140"/>
    </row>
    <row r="909">
      <c r="B909" s="155"/>
      <c r="C909" s="160"/>
      <c r="D909" s="160"/>
      <c r="F909" s="92"/>
      <c r="G909" s="140"/>
      <c r="H909" s="140"/>
      <c r="I909" s="140"/>
      <c r="J909" s="140"/>
      <c r="K909" s="140"/>
    </row>
    <row r="910">
      <c r="B910" s="155"/>
      <c r="C910" s="160"/>
      <c r="D910" s="160"/>
      <c r="F910" s="92"/>
      <c r="G910" s="140"/>
      <c r="H910" s="140"/>
      <c r="I910" s="140"/>
      <c r="J910" s="140"/>
      <c r="K910" s="140"/>
    </row>
    <row r="911">
      <c r="B911" s="155"/>
      <c r="C911" s="160"/>
      <c r="D911" s="160"/>
      <c r="F911" s="92"/>
      <c r="G911" s="140"/>
      <c r="H911" s="140"/>
      <c r="I911" s="140"/>
      <c r="J911" s="140"/>
      <c r="K911" s="140"/>
    </row>
    <row r="912">
      <c r="B912" s="155"/>
      <c r="C912" s="160"/>
      <c r="D912" s="160"/>
      <c r="F912" s="92"/>
      <c r="G912" s="140"/>
      <c r="H912" s="140"/>
      <c r="I912" s="140"/>
      <c r="J912" s="140"/>
      <c r="K912" s="140"/>
    </row>
    <row r="913">
      <c r="B913" s="155"/>
      <c r="C913" s="160"/>
      <c r="D913" s="160"/>
      <c r="F913" s="92"/>
      <c r="G913" s="140"/>
      <c r="H913" s="140"/>
      <c r="I913" s="140"/>
      <c r="J913" s="140"/>
      <c r="K913" s="140"/>
    </row>
    <row r="914">
      <c r="B914" s="155"/>
      <c r="C914" s="160"/>
      <c r="D914" s="160"/>
      <c r="F914" s="92"/>
      <c r="G914" s="140"/>
      <c r="H914" s="140"/>
      <c r="I914" s="140"/>
      <c r="J914" s="140"/>
      <c r="K914" s="140"/>
    </row>
    <row r="915">
      <c r="B915" s="155"/>
      <c r="C915" s="160"/>
      <c r="D915" s="160"/>
      <c r="F915" s="92"/>
      <c r="G915" s="140"/>
      <c r="H915" s="140"/>
      <c r="I915" s="140"/>
      <c r="J915" s="140"/>
      <c r="K915" s="140"/>
    </row>
    <row r="916">
      <c r="B916" s="155"/>
      <c r="C916" s="160"/>
      <c r="D916" s="160"/>
      <c r="F916" s="92"/>
      <c r="G916" s="140"/>
      <c r="H916" s="140"/>
      <c r="I916" s="140"/>
      <c r="J916" s="140"/>
      <c r="K916" s="140"/>
    </row>
    <row r="917">
      <c r="B917" s="155"/>
      <c r="C917" s="160"/>
      <c r="D917" s="160"/>
      <c r="F917" s="92"/>
      <c r="G917" s="140"/>
      <c r="H917" s="140"/>
      <c r="I917" s="140"/>
      <c r="J917" s="140"/>
      <c r="K917" s="140"/>
    </row>
    <row r="918">
      <c r="B918" s="155"/>
      <c r="C918" s="160"/>
      <c r="D918" s="160"/>
      <c r="F918" s="92"/>
      <c r="G918" s="140"/>
      <c r="H918" s="140"/>
      <c r="I918" s="140"/>
      <c r="J918" s="140"/>
      <c r="K918" s="140"/>
    </row>
    <row r="919">
      <c r="B919" s="155"/>
      <c r="C919" s="160"/>
      <c r="D919" s="160"/>
      <c r="F919" s="92"/>
      <c r="G919" s="140"/>
      <c r="H919" s="140"/>
      <c r="I919" s="140"/>
      <c r="J919" s="140"/>
      <c r="K919" s="140"/>
    </row>
    <row r="920">
      <c r="B920" s="155"/>
      <c r="C920" s="160"/>
      <c r="D920" s="160"/>
      <c r="F920" s="92"/>
      <c r="G920" s="140"/>
      <c r="H920" s="140"/>
      <c r="I920" s="140"/>
      <c r="J920" s="140"/>
      <c r="K920" s="140"/>
    </row>
    <row r="921">
      <c r="B921" s="155"/>
      <c r="C921" s="160"/>
      <c r="D921" s="160"/>
      <c r="F921" s="92"/>
      <c r="G921" s="140"/>
      <c r="H921" s="140"/>
      <c r="I921" s="140"/>
      <c r="J921" s="140"/>
      <c r="K921" s="140"/>
    </row>
    <row r="922">
      <c r="B922" s="155"/>
      <c r="C922" s="160"/>
      <c r="D922" s="160"/>
      <c r="F922" s="92"/>
      <c r="G922" s="140"/>
      <c r="H922" s="140"/>
      <c r="I922" s="140"/>
      <c r="J922" s="140"/>
      <c r="K922" s="140"/>
    </row>
    <row r="923">
      <c r="B923" s="155"/>
      <c r="C923" s="160"/>
      <c r="D923" s="160"/>
      <c r="F923" s="92"/>
      <c r="G923" s="140"/>
      <c r="H923" s="140"/>
      <c r="I923" s="140"/>
      <c r="J923" s="140"/>
      <c r="K923" s="140"/>
    </row>
    <row r="924">
      <c r="B924" s="155"/>
      <c r="C924" s="160"/>
      <c r="D924" s="160"/>
      <c r="F924" s="92"/>
      <c r="G924" s="140"/>
      <c r="H924" s="140"/>
      <c r="I924" s="140"/>
      <c r="J924" s="140"/>
      <c r="K924" s="140"/>
    </row>
    <row r="925">
      <c r="B925" s="155"/>
      <c r="C925" s="160"/>
      <c r="D925" s="160"/>
      <c r="F925" s="92"/>
      <c r="G925" s="140"/>
      <c r="H925" s="140"/>
      <c r="I925" s="140"/>
      <c r="J925" s="140"/>
      <c r="K925" s="140"/>
    </row>
    <row r="926">
      <c r="B926" s="155"/>
      <c r="C926" s="160"/>
      <c r="D926" s="160"/>
      <c r="F926" s="92"/>
      <c r="G926" s="140"/>
      <c r="H926" s="140"/>
      <c r="I926" s="140"/>
      <c r="J926" s="140"/>
      <c r="K926" s="140"/>
    </row>
    <row r="927">
      <c r="B927" s="155"/>
      <c r="C927" s="160"/>
      <c r="D927" s="160"/>
      <c r="F927" s="92"/>
      <c r="G927" s="140"/>
      <c r="H927" s="140"/>
      <c r="I927" s="140"/>
      <c r="J927" s="140"/>
      <c r="K927" s="140"/>
    </row>
    <row r="928">
      <c r="B928" s="155"/>
      <c r="C928" s="160"/>
      <c r="D928" s="160"/>
      <c r="F928" s="92"/>
      <c r="G928" s="140"/>
      <c r="H928" s="140"/>
      <c r="I928" s="140"/>
      <c r="J928" s="140"/>
      <c r="K928" s="140"/>
    </row>
    <row r="929">
      <c r="B929" s="155"/>
      <c r="C929" s="160"/>
      <c r="D929" s="160"/>
      <c r="F929" s="92"/>
      <c r="G929" s="140"/>
      <c r="H929" s="140"/>
      <c r="I929" s="140"/>
      <c r="J929" s="140"/>
      <c r="K929" s="140"/>
    </row>
    <row r="930">
      <c r="B930" s="155"/>
      <c r="C930" s="160"/>
      <c r="D930" s="160"/>
      <c r="F930" s="92"/>
      <c r="G930" s="140"/>
      <c r="H930" s="140"/>
      <c r="I930" s="140"/>
      <c r="J930" s="140"/>
      <c r="K930" s="140"/>
    </row>
    <row r="931">
      <c r="B931" s="155"/>
      <c r="C931" s="160"/>
      <c r="D931" s="160"/>
      <c r="F931" s="92"/>
      <c r="G931" s="140"/>
      <c r="H931" s="140"/>
      <c r="I931" s="140"/>
      <c r="J931" s="140"/>
      <c r="K931" s="140"/>
    </row>
    <row r="932">
      <c r="B932" s="155"/>
      <c r="C932" s="160"/>
      <c r="D932" s="160"/>
      <c r="F932" s="92"/>
      <c r="G932" s="140"/>
      <c r="H932" s="140"/>
      <c r="I932" s="140"/>
      <c r="J932" s="140"/>
      <c r="K932" s="140"/>
    </row>
    <row r="933">
      <c r="B933" s="155"/>
      <c r="C933" s="160"/>
      <c r="D933" s="160"/>
      <c r="F933" s="92"/>
      <c r="G933" s="140"/>
      <c r="H933" s="140"/>
      <c r="I933" s="140"/>
      <c r="J933" s="140"/>
      <c r="K933" s="140"/>
    </row>
    <row r="934">
      <c r="B934" s="155"/>
      <c r="C934" s="160"/>
      <c r="D934" s="160"/>
      <c r="F934" s="92"/>
      <c r="G934" s="140"/>
      <c r="H934" s="140"/>
      <c r="I934" s="140"/>
      <c r="J934" s="140"/>
      <c r="K934" s="140"/>
    </row>
    <row r="935">
      <c r="B935" s="155"/>
      <c r="C935" s="160"/>
      <c r="D935" s="160"/>
      <c r="F935" s="92"/>
      <c r="G935" s="140"/>
      <c r="H935" s="140"/>
      <c r="I935" s="140"/>
      <c r="J935" s="140"/>
      <c r="K935" s="140"/>
    </row>
    <row r="936">
      <c r="B936" s="155"/>
      <c r="C936" s="160"/>
      <c r="D936" s="160"/>
      <c r="F936" s="92"/>
      <c r="G936" s="140"/>
      <c r="H936" s="140"/>
      <c r="I936" s="140"/>
      <c r="J936" s="140"/>
      <c r="K936" s="140"/>
    </row>
    <row r="937">
      <c r="B937" s="155"/>
      <c r="C937" s="160"/>
      <c r="D937" s="160"/>
      <c r="F937" s="92"/>
      <c r="G937" s="140"/>
      <c r="H937" s="140"/>
      <c r="I937" s="140"/>
      <c r="J937" s="140"/>
      <c r="K937" s="140"/>
    </row>
    <row r="938">
      <c r="B938" s="155"/>
      <c r="C938" s="160"/>
      <c r="D938" s="160"/>
      <c r="F938" s="92"/>
      <c r="G938" s="140"/>
      <c r="H938" s="140"/>
      <c r="I938" s="140"/>
      <c r="J938" s="140"/>
      <c r="K938" s="140"/>
    </row>
    <row r="939">
      <c r="B939" s="155"/>
      <c r="C939" s="160"/>
      <c r="D939" s="160"/>
      <c r="F939" s="92"/>
      <c r="G939" s="140"/>
      <c r="H939" s="140"/>
      <c r="I939" s="140"/>
      <c r="J939" s="140"/>
      <c r="K939" s="140"/>
    </row>
    <row r="940">
      <c r="B940" s="155"/>
      <c r="C940" s="160"/>
      <c r="D940" s="160"/>
      <c r="F940" s="92"/>
      <c r="G940" s="140"/>
      <c r="H940" s="140"/>
      <c r="I940" s="140"/>
      <c r="J940" s="140"/>
      <c r="K940" s="140"/>
    </row>
    <row r="941">
      <c r="B941" s="155"/>
      <c r="C941" s="160"/>
      <c r="D941" s="160"/>
      <c r="F941" s="92"/>
      <c r="G941" s="140"/>
      <c r="H941" s="140"/>
      <c r="I941" s="140"/>
      <c r="J941" s="140"/>
      <c r="K941" s="140"/>
    </row>
    <row r="942">
      <c r="B942" s="155"/>
      <c r="C942" s="160"/>
      <c r="D942" s="160"/>
      <c r="F942" s="92"/>
      <c r="G942" s="140"/>
      <c r="H942" s="140"/>
      <c r="I942" s="140"/>
      <c r="J942" s="140"/>
      <c r="K942" s="140"/>
    </row>
    <row r="943">
      <c r="B943" s="155"/>
      <c r="C943" s="160"/>
      <c r="D943" s="160"/>
      <c r="F943" s="92"/>
      <c r="G943" s="140"/>
      <c r="H943" s="140"/>
      <c r="I943" s="140"/>
      <c r="J943" s="140"/>
      <c r="K943" s="140"/>
    </row>
    <row r="944">
      <c r="B944" s="155"/>
      <c r="C944" s="160"/>
      <c r="D944" s="160"/>
      <c r="F944" s="92"/>
      <c r="G944" s="140"/>
      <c r="H944" s="140"/>
      <c r="I944" s="140"/>
      <c r="J944" s="140"/>
      <c r="K944" s="140"/>
    </row>
    <row r="945">
      <c r="B945" s="155"/>
      <c r="C945" s="160"/>
      <c r="D945" s="160"/>
      <c r="F945" s="92"/>
      <c r="G945" s="140"/>
      <c r="H945" s="140"/>
      <c r="I945" s="140"/>
      <c r="J945" s="140"/>
      <c r="K945" s="140"/>
    </row>
    <row r="946">
      <c r="B946" s="155"/>
      <c r="C946" s="160"/>
      <c r="D946" s="160"/>
      <c r="F946" s="92"/>
      <c r="G946" s="140"/>
      <c r="H946" s="140"/>
      <c r="I946" s="140"/>
      <c r="J946" s="140"/>
      <c r="K946" s="140"/>
    </row>
    <row r="947">
      <c r="B947" s="155"/>
      <c r="C947" s="160"/>
      <c r="D947" s="160"/>
      <c r="F947" s="92"/>
      <c r="G947" s="140"/>
      <c r="H947" s="140"/>
      <c r="I947" s="140"/>
      <c r="J947" s="140"/>
      <c r="K947" s="140"/>
    </row>
    <row r="948">
      <c r="B948" s="155"/>
      <c r="C948" s="160"/>
      <c r="D948" s="160"/>
      <c r="F948" s="92"/>
      <c r="G948" s="140"/>
      <c r="H948" s="140"/>
      <c r="I948" s="140"/>
      <c r="J948" s="140"/>
      <c r="K948" s="140"/>
    </row>
    <row r="949">
      <c r="B949" s="155"/>
      <c r="C949" s="160"/>
      <c r="D949" s="160"/>
      <c r="F949" s="92"/>
      <c r="G949" s="140"/>
      <c r="H949" s="140"/>
      <c r="I949" s="140"/>
      <c r="J949" s="140"/>
      <c r="K949" s="140"/>
    </row>
    <row r="950">
      <c r="B950" s="155"/>
      <c r="C950" s="160"/>
      <c r="D950" s="160"/>
      <c r="F950" s="92"/>
      <c r="G950" s="140"/>
      <c r="H950" s="140"/>
      <c r="I950" s="140"/>
      <c r="J950" s="140"/>
      <c r="K950" s="140"/>
    </row>
    <row r="951">
      <c r="B951" s="155"/>
      <c r="C951" s="160"/>
      <c r="D951" s="160"/>
      <c r="F951" s="92"/>
      <c r="G951" s="140"/>
      <c r="H951" s="140"/>
      <c r="I951" s="140"/>
      <c r="J951" s="140"/>
      <c r="K951" s="140"/>
    </row>
    <row r="952">
      <c r="B952" s="155"/>
      <c r="C952" s="160"/>
      <c r="D952" s="160"/>
      <c r="F952" s="92"/>
      <c r="G952" s="140"/>
      <c r="H952" s="140"/>
      <c r="I952" s="140"/>
      <c r="J952" s="140"/>
      <c r="K952" s="140"/>
    </row>
    <row r="953">
      <c r="B953" s="155"/>
      <c r="C953" s="160"/>
      <c r="D953" s="160"/>
      <c r="F953" s="92"/>
      <c r="G953" s="140"/>
      <c r="H953" s="140"/>
      <c r="I953" s="140"/>
      <c r="J953" s="140"/>
      <c r="K953" s="140"/>
    </row>
    <row r="954">
      <c r="B954" s="155"/>
      <c r="C954" s="160"/>
      <c r="D954" s="160"/>
      <c r="F954" s="92"/>
      <c r="G954" s="140"/>
      <c r="H954" s="140"/>
      <c r="I954" s="140"/>
      <c r="J954" s="140"/>
      <c r="K954" s="140"/>
    </row>
    <row r="955">
      <c r="B955" s="155"/>
      <c r="C955" s="160"/>
      <c r="D955" s="160"/>
      <c r="F955" s="92"/>
      <c r="G955" s="140"/>
      <c r="H955" s="140"/>
      <c r="I955" s="140"/>
      <c r="J955" s="140"/>
      <c r="K955" s="140"/>
    </row>
    <row r="956">
      <c r="B956" s="155"/>
      <c r="C956" s="160"/>
      <c r="D956" s="160"/>
      <c r="F956" s="92"/>
      <c r="G956" s="140"/>
      <c r="H956" s="140"/>
      <c r="I956" s="140"/>
      <c r="J956" s="140"/>
      <c r="K956" s="140"/>
    </row>
    <row r="957">
      <c r="B957" s="155"/>
      <c r="C957" s="160"/>
      <c r="D957" s="160"/>
      <c r="F957" s="92"/>
      <c r="G957" s="140"/>
      <c r="H957" s="140"/>
      <c r="I957" s="140"/>
      <c r="J957" s="140"/>
      <c r="K957" s="140"/>
    </row>
    <row r="958">
      <c r="B958" s="155"/>
      <c r="C958" s="160"/>
      <c r="D958" s="160"/>
      <c r="F958" s="92"/>
      <c r="G958" s="140"/>
      <c r="H958" s="140"/>
      <c r="I958" s="140"/>
      <c r="J958" s="140"/>
      <c r="K958" s="140"/>
    </row>
    <row r="959">
      <c r="B959" s="155"/>
      <c r="C959" s="160"/>
      <c r="D959" s="160"/>
      <c r="F959" s="92"/>
      <c r="G959" s="140"/>
      <c r="H959" s="140"/>
      <c r="I959" s="140"/>
      <c r="J959" s="140"/>
      <c r="K959" s="140"/>
    </row>
    <row r="960">
      <c r="B960" s="155"/>
      <c r="C960" s="160"/>
      <c r="D960" s="160"/>
      <c r="F960" s="92"/>
      <c r="G960" s="140"/>
      <c r="H960" s="140"/>
      <c r="I960" s="140"/>
      <c r="J960" s="140"/>
      <c r="K960" s="140"/>
    </row>
    <row r="961">
      <c r="B961" s="155"/>
      <c r="C961" s="160"/>
      <c r="D961" s="160"/>
      <c r="F961" s="92"/>
      <c r="G961" s="140"/>
      <c r="H961" s="140"/>
      <c r="I961" s="140"/>
      <c r="J961" s="140"/>
      <c r="K961" s="140"/>
    </row>
    <row r="962">
      <c r="B962" s="155"/>
      <c r="C962" s="160"/>
      <c r="D962" s="160"/>
      <c r="F962" s="92"/>
      <c r="G962" s="140"/>
      <c r="H962" s="140"/>
      <c r="I962" s="140"/>
      <c r="J962" s="140"/>
      <c r="K962" s="140"/>
    </row>
    <row r="963">
      <c r="B963" s="155"/>
      <c r="C963" s="160"/>
      <c r="D963" s="160"/>
      <c r="F963" s="92"/>
      <c r="G963" s="140"/>
      <c r="H963" s="140"/>
      <c r="I963" s="140"/>
      <c r="J963" s="140"/>
      <c r="K963" s="140"/>
    </row>
    <row r="964">
      <c r="B964" s="155"/>
      <c r="C964" s="160"/>
      <c r="D964" s="160"/>
      <c r="F964" s="92"/>
      <c r="G964" s="140"/>
      <c r="H964" s="140"/>
      <c r="I964" s="140"/>
      <c r="J964" s="140"/>
      <c r="K964" s="140"/>
    </row>
    <row r="965">
      <c r="B965" s="155"/>
      <c r="C965" s="160"/>
      <c r="D965" s="160"/>
      <c r="F965" s="92"/>
      <c r="G965" s="140"/>
      <c r="H965" s="140"/>
      <c r="I965" s="140"/>
      <c r="J965" s="140"/>
      <c r="K965" s="140"/>
    </row>
    <row r="966">
      <c r="B966" s="155"/>
      <c r="C966" s="160"/>
      <c r="D966" s="160"/>
      <c r="F966" s="92"/>
      <c r="G966" s="140"/>
      <c r="H966" s="140"/>
      <c r="I966" s="140"/>
      <c r="J966" s="140"/>
      <c r="K966" s="140"/>
    </row>
    <row r="967">
      <c r="B967" s="155"/>
      <c r="C967" s="160"/>
      <c r="D967" s="160"/>
      <c r="F967" s="92"/>
      <c r="G967" s="140"/>
      <c r="H967" s="140"/>
      <c r="I967" s="140"/>
      <c r="J967" s="140"/>
      <c r="K967" s="140"/>
    </row>
    <row r="968">
      <c r="B968" s="155"/>
      <c r="C968" s="160"/>
      <c r="D968" s="160"/>
      <c r="F968" s="92"/>
      <c r="G968" s="140"/>
      <c r="H968" s="140"/>
      <c r="I968" s="140"/>
      <c r="J968" s="140"/>
      <c r="K968" s="140"/>
    </row>
    <row r="969">
      <c r="B969" s="155"/>
      <c r="C969" s="160"/>
      <c r="D969" s="160"/>
      <c r="F969" s="92"/>
      <c r="G969" s="140"/>
      <c r="H969" s="140"/>
      <c r="I969" s="140"/>
      <c r="J969" s="140"/>
      <c r="K969" s="140"/>
    </row>
    <row r="970">
      <c r="B970" s="155"/>
      <c r="C970" s="160"/>
      <c r="D970" s="160"/>
      <c r="F970" s="92"/>
      <c r="G970" s="140"/>
      <c r="H970" s="140"/>
      <c r="I970" s="140"/>
      <c r="J970" s="140"/>
      <c r="K970" s="140"/>
    </row>
    <row r="971">
      <c r="B971" s="155"/>
      <c r="C971" s="160"/>
      <c r="D971" s="160"/>
      <c r="F971" s="92"/>
      <c r="G971" s="140"/>
      <c r="H971" s="140"/>
      <c r="I971" s="140"/>
      <c r="J971" s="140"/>
      <c r="K971" s="140"/>
    </row>
    <row r="972">
      <c r="B972" s="155"/>
      <c r="C972" s="160"/>
      <c r="D972" s="160"/>
      <c r="F972" s="92"/>
      <c r="G972" s="140"/>
      <c r="H972" s="140"/>
      <c r="I972" s="140"/>
      <c r="J972" s="140"/>
      <c r="K972" s="140"/>
    </row>
    <row r="973">
      <c r="B973" s="155"/>
      <c r="C973" s="160"/>
      <c r="D973" s="160"/>
      <c r="F973" s="92"/>
      <c r="G973" s="140"/>
      <c r="H973" s="140"/>
      <c r="I973" s="140"/>
      <c r="J973" s="140"/>
      <c r="K973" s="140"/>
    </row>
    <row r="974">
      <c r="B974" s="155"/>
      <c r="C974" s="160"/>
      <c r="D974" s="160"/>
      <c r="F974" s="92"/>
      <c r="G974" s="140"/>
      <c r="H974" s="140"/>
      <c r="I974" s="140"/>
      <c r="J974" s="140"/>
      <c r="K974" s="140"/>
    </row>
    <row r="975">
      <c r="B975" s="155"/>
      <c r="C975" s="160"/>
      <c r="D975" s="160"/>
      <c r="F975" s="92"/>
      <c r="G975" s="140"/>
      <c r="H975" s="140"/>
      <c r="I975" s="140"/>
      <c r="J975" s="140"/>
      <c r="K975" s="140"/>
    </row>
    <row r="976">
      <c r="B976" s="155"/>
      <c r="C976" s="160"/>
      <c r="D976" s="160"/>
      <c r="F976" s="92"/>
      <c r="G976" s="140"/>
      <c r="H976" s="140"/>
      <c r="I976" s="140"/>
      <c r="J976" s="140"/>
      <c r="K976" s="140"/>
    </row>
    <row r="977">
      <c r="B977" s="155"/>
      <c r="C977" s="160"/>
      <c r="D977" s="160"/>
      <c r="F977" s="92"/>
      <c r="G977" s="140"/>
      <c r="H977" s="140"/>
      <c r="I977" s="140"/>
      <c r="J977" s="140"/>
      <c r="K977" s="140"/>
    </row>
    <row r="978">
      <c r="B978" s="155"/>
      <c r="C978" s="160"/>
      <c r="D978" s="160"/>
      <c r="F978" s="92"/>
      <c r="G978" s="140"/>
      <c r="H978" s="140"/>
      <c r="I978" s="140"/>
      <c r="J978" s="140"/>
      <c r="K978" s="140"/>
    </row>
    <row r="979">
      <c r="B979" s="155"/>
      <c r="C979" s="160"/>
      <c r="D979" s="160"/>
      <c r="F979" s="92"/>
      <c r="G979" s="140"/>
      <c r="H979" s="140"/>
      <c r="I979" s="140"/>
      <c r="J979" s="140"/>
      <c r="K979" s="140"/>
    </row>
    <row r="980">
      <c r="B980" s="155"/>
      <c r="C980" s="160"/>
      <c r="D980" s="160"/>
      <c r="F980" s="92"/>
      <c r="G980" s="140"/>
      <c r="H980" s="140"/>
      <c r="I980" s="140"/>
      <c r="J980" s="140"/>
      <c r="K980" s="140"/>
    </row>
    <row r="981">
      <c r="B981" s="155"/>
      <c r="C981" s="160"/>
      <c r="D981" s="160"/>
      <c r="F981" s="92"/>
      <c r="G981" s="140"/>
      <c r="H981" s="140"/>
      <c r="I981" s="140"/>
      <c r="J981" s="140"/>
      <c r="K981" s="140"/>
    </row>
    <row r="982">
      <c r="B982" s="155"/>
      <c r="C982" s="160"/>
      <c r="D982" s="160"/>
      <c r="F982" s="92"/>
      <c r="G982" s="140"/>
      <c r="H982" s="140"/>
      <c r="I982" s="140"/>
      <c r="J982" s="140"/>
      <c r="K982" s="140"/>
    </row>
    <row r="983">
      <c r="B983" s="155"/>
      <c r="C983" s="160"/>
      <c r="D983" s="160"/>
      <c r="F983" s="92"/>
      <c r="G983" s="140"/>
      <c r="H983" s="140"/>
      <c r="I983" s="140"/>
      <c r="J983" s="140"/>
      <c r="K983" s="140"/>
    </row>
    <row r="984">
      <c r="B984" s="155"/>
      <c r="C984" s="160"/>
      <c r="D984" s="160"/>
      <c r="F984" s="92"/>
      <c r="G984" s="140"/>
      <c r="H984" s="140"/>
      <c r="I984" s="140"/>
      <c r="J984" s="140"/>
      <c r="K984" s="140"/>
    </row>
    <row r="985">
      <c r="B985" s="155"/>
      <c r="C985" s="160"/>
      <c r="D985" s="160"/>
      <c r="F985" s="92"/>
      <c r="G985" s="140"/>
      <c r="H985" s="140"/>
      <c r="I985" s="140"/>
      <c r="J985" s="140"/>
      <c r="K985" s="140"/>
    </row>
    <row r="986">
      <c r="B986" s="155"/>
      <c r="C986" s="160"/>
      <c r="D986" s="160"/>
      <c r="F986" s="92"/>
      <c r="G986" s="140"/>
      <c r="H986" s="140"/>
      <c r="I986" s="140"/>
      <c r="J986" s="140"/>
      <c r="K986" s="140"/>
    </row>
    <row r="987">
      <c r="B987" s="155"/>
      <c r="C987" s="160"/>
      <c r="D987" s="160"/>
      <c r="F987" s="92"/>
      <c r="G987" s="140"/>
      <c r="H987" s="140"/>
      <c r="I987" s="140"/>
      <c r="J987" s="140"/>
      <c r="K987" s="140"/>
    </row>
    <row r="988">
      <c r="B988" s="155"/>
      <c r="C988" s="160"/>
      <c r="D988" s="160"/>
      <c r="F988" s="92"/>
      <c r="G988" s="140"/>
      <c r="H988" s="140"/>
      <c r="I988" s="140"/>
      <c r="J988" s="140"/>
      <c r="K988" s="140"/>
    </row>
    <row r="989">
      <c r="B989" s="155"/>
      <c r="C989" s="160"/>
      <c r="D989" s="160"/>
      <c r="F989" s="92"/>
      <c r="G989" s="140"/>
      <c r="H989" s="140"/>
      <c r="I989" s="140"/>
      <c r="J989" s="140"/>
      <c r="K989" s="140"/>
    </row>
    <row r="990">
      <c r="B990" s="155"/>
      <c r="C990" s="160"/>
      <c r="D990" s="160"/>
      <c r="F990" s="92"/>
      <c r="G990" s="140"/>
      <c r="H990" s="140"/>
      <c r="I990" s="140"/>
      <c r="J990" s="140"/>
      <c r="K990" s="140"/>
    </row>
    <row r="991">
      <c r="B991" s="155"/>
      <c r="C991" s="160"/>
      <c r="D991" s="160"/>
      <c r="F991" s="92"/>
      <c r="G991" s="140"/>
      <c r="H991" s="140"/>
      <c r="I991" s="140"/>
      <c r="J991" s="140"/>
      <c r="K991" s="140"/>
    </row>
    <row r="992">
      <c r="B992" s="155"/>
      <c r="C992" s="160"/>
      <c r="D992" s="160"/>
      <c r="F992" s="92"/>
      <c r="G992" s="140"/>
      <c r="H992" s="140"/>
      <c r="I992" s="140"/>
      <c r="J992" s="140"/>
      <c r="K992" s="140"/>
    </row>
    <row r="993">
      <c r="B993" s="155"/>
      <c r="C993" s="160"/>
      <c r="D993" s="160"/>
      <c r="F993" s="92"/>
      <c r="G993" s="140"/>
      <c r="H993" s="140"/>
      <c r="I993" s="140"/>
      <c r="J993" s="140"/>
      <c r="K993" s="140"/>
    </row>
    <row r="994">
      <c r="B994" s="155"/>
      <c r="C994" s="160"/>
      <c r="D994" s="160"/>
      <c r="F994" s="92"/>
      <c r="G994" s="140"/>
      <c r="H994" s="140"/>
      <c r="I994" s="140"/>
      <c r="J994" s="140"/>
      <c r="K994" s="140"/>
    </row>
    <row r="995">
      <c r="B995" s="155"/>
      <c r="C995" s="160"/>
      <c r="D995" s="160"/>
      <c r="F995" s="92"/>
      <c r="G995" s="140"/>
      <c r="H995" s="140"/>
      <c r="I995" s="140"/>
      <c r="J995" s="140"/>
      <c r="K995" s="140"/>
    </row>
    <row r="996">
      <c r="B996" s="155"/>
      <c r="C996" s="160"/>
      <c r="D996" s="160"/>
      <c r="F996" s="92"/>
      <c r="G996" s="140"/>
      <c r="H996" s="140"/>
      <c r="I996" s="140"/>
      <c r="J996" s="140"/>
      <c r="K996" s="140"/>
    </row>
    <row r="997">
      <c r="B997" s="155"/>
      <c r="C997" s="160"/>
      <c r="D997" s="160"/>
      <c r="F997" s="92"/>
      <c r="G997" s="140"/>
      <c r="H997" s="140"/>
      <c r="I997" s="140"/>
      <c r="J997" s="140"/>
      <c r="K997" s="140"/>
    </row>
    <row r="998">
      <c r="B998" s="155"/>
      <c r="C998" s="160"/>
      <c r="D998" s="160"/>
      <c r="F998" s="92"/>
      <c r="G998" s="140"/>
      <c r="H998" s="140"/>
      <c r="I998" s="140"/>
      <c r="J998" s="140"/>
      <c r="K998" s="140"/>
    </row>
    <row r="999">
      <c r="B999" s="155"/>
      <c r="C999" s="160"/>
      <c r="D999" s="160"/>
      <c r="F999" s="92"/>
      <c r="G999" s="140"/>
      <c r="H999" s="140"/>
      <c r="I999" s="140"/>
      <c r="J999" s="140"/>
      <c r="K999" s="140"/>
    </row>
    <row r="1000">
      <c r="B1000" s="155"/>
      <c r="C1000" s="160"/>
      <c r="D1000" s="160"/>
      <c r="F1000" s="92"/>
      <c r="G1000" s="140"/>
      <c r="H1000" s="140"/>
      <c r="I1000" s="140"/>
      <c r="J1000" s="140"/>
      <c r="K1000" s="140"/>
    </row>
    <row r="1001">
      <c r="B1001" s="155"/>
      <c r="C1001" s="160"/>
      <c r="D1001" s="160"/>
      <c r="F1001" s="92"/>
      <c r="G1001" s="140"/>
      <c r="H1001" s="140"/>
      <c r="I1001" s="140"/>
      <c r="J1001" s="140"/>
      <c r="K1001" s="140"/>
    </row>
    <row r="1002">
      <c r="B1002" s="155"/>
      <c r="C1002" s="160"/>
      <c r="D1002" s="160"/>
      <c r="F1002" s="92"/>
      <c r="G1002" s="140"/>
      <c r="H1002" s="140"/>
      <c r="I1002" s="140"/>
      <c r="J1002" s="140"/>
      <c r="K1002" s="140"/>
    </row>
    <row r="1003">
      <c r="B1003" s="155"/>
      <c r="C1003" s="160"/>
      <c r="D1003" s="160"/>
      <c r="F1003" s="92"/>
      <c r="G1003" s="140"/>
      <c r="H1003" s="140"/>
      <c r="I1003" s="140"/>
      <c r="J1003" s="140"/>
      <c r="K1003" s="140"/>
    </row>
    <row r="1004">
      <c r="B1004" s="155"/>
      <c r="C1004" s="160"/>
      <c r="D1004" s="160"/>
      <c r="F1004" s="92"/>
      <c r="G1004" s="140"/>
      <c r="H1004" s="140"/>
      <c r="I1004" s="140"/>
      <c r="J1004" s="140"/>
      <c r="K1004" s="140"/>
    </row>
  </sheetData>
  <mergeCells count="32">
    <mergeCell ref="B36:B37"/>
    <mergeCell ref="B42:B43"/>
    <mergeCell ref="B40:B41"/>
    <mergeCell ref="B32:B33"/>
    <mergeCell ref="B30:B31"/>
    <mergeCell ref="B28:B29"/>
    <mergeCell ref="B18:B19"/>
    <mergeCell ref="B56:B57"/>
    <mergeCell ref="B58:B59"/>
    <mergeCell ref="B20:B21"/>
    <mergeCell ref="B22:B23"/>
    <mergeCell ref="B60:B61"/>
    <mergeCell ref="B62:B63"/>
    <mergeCell ref="B10:B11"/>
    <mergeCell ref="B16:B17"/>
    <mergeCell ref="B14:B15"/>
    <mergeCell ref="B12:B13"/>
    <mergeCell ref="B48:B49"/>
    <mergeCell ref="B50:B51"/>
    <mergeCell ref="B34:B35"/>
    <mergeCell ref="B38:B39"/>
    <mergeCell ref="B44:B45"/>
    <mergeCell ref="B46:B47"/>
    <mergeCell ref="B54:B55"/>
    <mergeCell ref="B52:B53"/>
    <mergeCell ref="M1:N1"/>
    <mergeCell ref="O1:P1"/>
    <mergeCell ref="B8:B9"/>
    <mergeCell ref="B4:B5"/>
    <mergeCell ref="B6:B7"/>
    <mergeCell ref="B26:B27"/>
    <mergeCell ref="B24:B25"/>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B4"/>
    <hyperlink r:id="rId2" ref="C4"/>
    <hyperlink r:id="rId3" ref="S4"/>
    <hyperlink r:id="rId4" ref="C5"/>
    <hyperlink r:id="rId5" ref="S5"/>
    <hyperlink r:id="rId6" ref="B6"/>
    <hyperlink r:id="rId7" ref="C6"/>
    <hyperlink r:id="rId8" ref="S6"/>
    <hyperlink r:id="rId9" ref="C7"/>
    <hyperlink r:id="rId10" ref="S7"/>
    <hyperlink r:id="rId11" ref="B8"/>
    <hyperlink r:id="rId12" ref="C8"/>
    <hyperlink r:id="rId13" ref="S8"/>
    <hyperlink r:id="rId14" ref="C9"/>
    <hyperlink r:id="rId15" ref="S9"/>
    <hyperlink r:id="rId16" ref="B10"/>
    <hyperlink r:id="rId17" ref="C10"/>
    <hyperlink r:id="rId18" ref="S10"/>
    <hyperlink r:id="rId19" ref="C11"/>
    <hyperlink r:id="rId20" ref="S11"/>
    <hyperlink r:id="rId21" ref="B12"/>
    <hyperlink r:id="rId22" ref="S12"/>
    <hyperlink r:id="rId23" ref="C13"/>
    <hyperlink r:id="rId24" ref="S13"/>
    <hyperlink r:id="rId25" ref="B14"/>
    <hyperlink r:id="rId26" ref="S14"/>
    <hyperlink r:id="rId27" ref="C15"/>
    <hyperlink r:id="rId28" ref="S15"/>
    <hyperlink r:id="rId29" ref="B16"/>
    <hyperlink r:id="rId30" ref="S16"/>
    <hyperlink r:id="rId31" ref="S17"/>
    <hyperlink r:id="rId32" ref="B18"/>
    <hyperlink r:id="rId33" ref="S18"/>
    <hyperlink r:id="rId34" ref="S19"/>
    <hyperlink r:id="rId35" ref="B20"/>
    <hyperlink r:id="rId36" ref="S20"/>
    <hyperlink r:id="rId37" ref="C21"/>
    <hyperlink r:id="rId38" ref="S21"/>
    <hyperlink r:id="rId39" ref="B22"/>
    <hyperlink r:id="rId40" ref="C22"/>
    <hyperlink r:id="rId41" ref="S22"/>
    <hyperlink r:id="rId42" ref="S23"/>
    <hyperlink r:id="rId43" ref="B24"/>
    <hyperlink r:id="rId44" ref="S24"/>
    <hyperlink r:id="rId45" ref="C25"/>
    <hyperlink r:id="rId46" ref="S25"/>
    <hyperlink r:id="rId47" ref="B26"/>
    <hyperlink r:id="rId48" ref="C26"/>
    <hyperlink r:id="rId49" ref="S26"/>
    <hyperlink r:id="rId50" ref="S27"/>
    <hyperlink r:id="rId51" ref="B28"/>
    <hyperlink r:id="rId52" ref="C28"/>
    <hyperlink r:id="rId53" ref="S28"/>
    <hyperlink r:id="rId54" ref="S29"/>
    <hyperlink r:id="rId55" ref="B30"/>
    <hyperlink r:id="rId56" ref="C30"/>
    <hyperlink r:id="rId57" ref="S30"/>
    <hyperlink r:id="rId58" ref="S31"/>
    <hyperlink r:id="rId59" ref="B32"/>
    <hyperlink r:id="rId60" ref="S32"/>
    <hyperlink r:id="rId61" ref="C33"/>
    <hyperlink r:id="rId62" ref="S33"/>
    <hyperlink r:id="rId63" ref="B34"/>
    <hyperlink r:id="rId64" ref="S34"/>
    <hyperlink r:id="rId65" ref="C35"/>
    <hyperlink r:id="rId66" ref="S35"/>
    <hyperlink r:id="rId67" ref="B36"/>
    <hyperlink r:id="rId68" ref="C36"/>
    <hyperlink r:id="rId69" ref="S36"/>
    <hyperlink r:id="rId70" ref="S37"/>
    <hyperlink r:id="rId71" ref="B38"/>
    <hyperlink r:id="rId72" ref="S38"/>
    <hyperlink r:id="rId73" ref="C39"/>
    <hyperlink r:id="rId74" ref="S39"/>
    <hyperlink r:id="rId75" ref="B40"/>
    <hyperlink r:id="rId76" ref="C40"/>
    <hyperlink r:id="rId77" ref="S40"/>
    <hyperlink r:id="rId78" ref="S41"/>
    <hyperlink r:id="rId79" ref="B42"/>
    <hyperlink r:id="rId80" ref="S42"/>
    <hyperlink r:id="rId81" ref="S43"/>
    <hyperlink r:id="rId82" ref="B44"/>
    <hyperlink r:id="rId83" ref="C44"/>
    <hyperlink r:id="rId84" ref="S44"/>
    <hyperlink r:id="rId85" ref="C45"/>
    <hyperlink r:id="rId86" ref="S45"/>
    <hyperlink r:id="rId87" ref="B46"/>
    <hyperlink r:id="rId88" ref="C46"/>
    <hyperlink r:id="rId89" ref="S46"/>
    <hyperlink r:id="rId90" ref="S47"/>
    <hyperlink r:id="rId91" ref="B48"/>
    <hyperlink r:id="rId92" ref="C48"/>
    <hyperlink r:id="rId93" ref="S48"/>
    <hyperlink r:id="rId94" ref="S49"/>
    <hyperlink r:id="rId95" ref="B50"/>
    <hyperlink r:id="rId96" ref="S50"/>
    <hyperlink r:id="rId97" ref="S51"/>
    <hyperlink r:id="rId98" ref="B52"/>
    <hyperlink r:id="rId99" ref="C52"/>
    <hyperlink r:id="rId100" ref="S52"/>
    <hyperlink r:id="rId101" ref="C53"/>
    <hyperlink r:id="rId102" ref="S53"/>
    <hyperlink r:id="rId103" ref="B54"/>
    <hyperlink r:id="rId104" ref="C54"/>
    <hyperlink r:id="rId105" ref="S54"/>
    <hyperlink r:id="rId106" ref="C55"/>
    <hyperlink r:id="rId107" ref="S55"/>
    <hyperlink r:id="rId108" ref="B56"/>
    <hyperlink r:id="rId109" ref="C56"/>
    <hyperlink r:id="rId110" ref="S56"/>
    <hyperlink r:id="rId111" ref="S57"/>
    <hyperlink r:id="rId112" ref="B58"/>
    <hyperlink r:id="rId113" ref="S58"/>
    <hyperlink r:id="rId114" ref="S59"/>
    <hyperlink r:id="rId115" ref="B60"/>
    <hyperlink r:id="rId116" ref="C60"/>
    <hyperlink r:id="rId117" ref="S60"/>
    <hyperlink r:id="rId118" ref="C61"/>
    <hyperlink r:id="rId119" ref="S61"/>
    <hyperlink r:id="rId120" ref="B62"/>
    <hyperlink r:id="rId121" ref="S62"/>
    <hyperlink r:id="rId122" ref="S63"/>
    <hyperlink r:id="rId123" ref="B65"/>
    <hyperlink r:id="rId124" ref="C65"/>
    <hyperlink r:id="rId125" ref="S65"/>
    <hyperlink r:id="rId126" ref="B66"/>
    <hyperlink r:id="rId127" ref="C66"/>
    <hyperlink r:id="rId128" ref="S66"/>
    <hyperlink r:id="rId129" ref="B67"/>
    <hyperlink r:id="rId130" ref="S67"/>
    <hyperlink r:id="rId131" ref="B68"/>
    <hyperlink r:id="rId132" ref="C68"/>
    <hyperlink r:id="rId133" ref="S68"/>
    <hyperlink r:id="rId134" ref="B69"/>
    <hyperlink r:id="rId135" ref="C69"/>
    <hyperlink r:id="rId136" ref="S69"/>
    <hyperlink r:id="rId137" ref="B70"/>
    <hyperlink r:id="rId138" ref="C70"/>
    <hyperlink r:id="rId139" ref="S70"/>
    <hyperlink r:id="rId140" ref="B71"/>
    <hyperlink r:id="rId141" ref="C71"/>
    <hyperlink r:id="rId142" ref="S71"/>
    <hyperlink r:id="rId143" ref="B72"/>
    <hyperlink r:id="rId144" ref="C72"/>
    <hyperlink r:id="rId145" ref="S72"/>
    <hyperlink r:id="rId146" ref="B73"/>
    <hyperlink r:id="rId147" ref="C73"/>
    <hyperlink r:id="rId148" ref="S73"/>
    <hyperlink r:id="rId149" ref="B74"/>
    <hyperlink r:id="rId150" ref="S74"/>
    <hyperlink r:id="rId151" ref="B75"/>
    <hyperlink r:id="rId152" ref="S75"/>
    <hyperlink r:id="rId153" ref="B76"/>
    <hyperlink r:id="rId154" ref="S76"/>
    <hyperlink r:id="rId155" ref="B77"/>
    <hyperlink r:id="rId156" ref="C77"/>
    <hyperlink r:id="rId157" ref="S77"/>
    <hyperlink r:id="rId158" ref="B78"/>
    <hyperlink r:id="rId159" ref="S78"/>
    <hyperlink r:id="rId160" ref="B79"/>
    <hyperlink r:id="rId161" ref="S79"/>
    <hyperlink r:id="rId162" ref="B80"/>
    <hyperlink r:id="rId163" ref="S80"/>
    <hyperlink r:id="rId164" ref="B81"/>
    <hyperlink r:id="rId165" ref="S81"/>
    <hyperlink r:id="rId166" ref="B82"/>
    <hyperlink r:id="rId167" ref="C82"/>
    <hyperlink r:id="rId168" ref="S82"/>
    <hyperlink r:id="rId169" ref="B83"/>
    <hyperlink r:id="rId170" ref="S83"/>
    <hyperlink r:id="rId171" ref="B84"/>
    <hyperlink r:id="rId172" ref="S84"/>
    <hyperlink r:id="rId173" ref="B85"/>
    <hyperlink r:id="rId174" ref="C85"/>
    <hyperlink r:id="rId175" ref="S85"/>
    <hyperlink r:id="rId176" ref="B86"/>
    <hyperlink r:id="rId177" ref="S86"/>
    <hyperlink r:id="rId178" ref="B87"/>
    <hyperlink r:id="rId179" ref="S87"/>
    <hyperlink r:id="rId180" ref="B88"/>
    <hyperlink r:id="rId181" ref="S88"/>
    <hyperlink r:id="rId182" ref="B89"/>
    <hyperlink r:id="rId183" ref="S89"/>
    <hyperlink r:id="rId184" ref="B90"/>
    <hyperlink r:id="rId185" ref="C90"/>
    <hyperlink r:id="rId186" ref="S90"/>
    <hyperlink r:id="rId187" ref="B91"/>
    <hyperlink r:id="rId188" ref="S91"/>
    <hyperlink r:id="rId189" ref="B92"/>
    <hyperlink r:id="rId190" ref="C92"/>
    <hyperlink r:id="rId191" ref="S92"/>
    <hyperlink r:id="rId192" ref="B93"/>
    <hyperlink r:id="rId193" ref="C93"/>
    <hyperlink r:id="rId194" ref="S93"/>
    <hyperlink r:id="rId195" ref="B94"/>
    <hyperlink r:id="rId196" ref="S94"/>
  </hyperlinks>
  <drawing r:id="rId19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2" max="2" width="9.57"/>
  </cols>
  <sheetData>
    <row r="1">
      <c r="A1" s="1" t="s">
        <v>0</v>
      </c>
      <c r="B1" s="2" t="s">
        <v>1</v>
      </c>
      <c r="C1" s="2" t="s">
        <v>2</v>
      </c>
      <c r="D1" s="2" t="s">
        <v>2</v>
      </c>
      <c r="E1" s="2"/>
      <c r="F1" s="1" t="s">
        <v>3</v>
      </c>
      <c r="G1" s="1" t="s">
        <v>4</v>
      </c>
      <c r="H1" s="1" t="s">
        <v>5</v>
      </c>
      <c r="I1" s="1" t="s">
        <v>6</v>
      </c>
      <c r="J1" s="1" t="s">
        <v>7</v>
      </c>
      <c r="K1" s="1" t="s">
        <v>8</v>
      </c>
      <c r="L1" s="7" t="s">
        <v>9</v>
      </c>
      <c r="N1" s="10" t="s">
        <v>14</v>
      </c>
      <c r="P1" s="11"/>
      <c r="Q1" s="11"/>
      <c r="R1" s="17"/>
      <c r="S1" s="19"/>
      <c r="T1" s="20"/>
      <c r="U1" s="20"/>
      <c r="V1" s="20"/>
      <c r="W1" s="20"/>
      <c r="X1" s="20"/>
      <c r="Y1" s="20"/>
      <c r="Z1" s="20"/>
      <c r="AA1" s="20"/>
      <c r="AB1" s="20"/>
      <c r="AC1" s="20"/>
      <c r="AD1" s="20"/>
    </row>
    <row r="2">
      <c r="A2" s="14" t="s">
        <v>492</v>
      </c>
      <c r="B2" s="21" t="s">
        <v>785</v>
      </c>
      <c r="C2" s="21" t="s">
        <v>786</v>
      </c>
      <c r="D2" s="23"/>
      <c r="E2" s="2"/>
      <c r="F2" s="23">
        <v>43419.0</v>
      </c>
      <c r="G2" s="23">
        <v>43535.0</v>
      </c>
      <c r="H2" s="79">
        <f>G2-TODAY()</f>
        <v>-200</v>
      </c>
      <c r="I2" s="23">
        <v>43479.0</v>
      </c>
      <c r="J2" s="23">
        <v>43538.0</v>
      </c>
      <c r="K2" s="23"/>
      <c r="L2" s="26">
        <f>CountIFS($E:$E,"=Dem",$A:$A,"=House")</f>
        <v>24</v>
      </c>
      <c r="M2" s="28">
        <f>CountIFS($E:$E,"=Rep",$A:$A,"=House")</f>
        <v>76</v>
      </c>
      <c r="N2" s="26">
        <f>CountIFS($E:$E,"=Dem",$A:$A,"=Senate")</f>
        <v>9</v>
      </c>
      <c r="O2" s="28">
        <f>CountIFS($E:$E,"=Rep",$A:$A,"=Senate")</f>
        <v>26</v>
      </c>
      <c r="P2" s="11"/>
      <c r="Q2" s="11"/>
      <c r="R2" s="17"/>
      <c r="S2" s="19"/>
      <c r="T2" s="20"/>
      <c r="U2" s="20"/>
      <c r="V2" s="20"/>
      <c r="W2" s="20"/>
      <c r="X2" s="20"/>
      <c r="Y2" s="20"/>
      <c r="Z2" s="20"/>
      <c r="AA2" s="20"/>
      <c r="AB2" s="20"/>
      <c r="AC2" s="20"/>
      <c r="AD2" s="20"/>
    </row>
    <row r="3">
      <c r="A3" s="30" t="s">
        <v>29</v>
      </c>
      <c r="B3" s="30" t="s">
        <v>30</v>
      </c>
      <c r="C3" s="2" t="s">
        <v>799</v>
      </c>
      <c r="D3" s="2" t="s">
        <v>800</v>
      </c>
      <c r="E3" s="2" t="s">
        <v>33</v>
      </c>
      <c r="F3" s="30" t="s">
        <v>10</v>
      </c>
      <c r="G3" s="30" t="s">
        <v>34</v>
      </c>
      <c r="H3" s="30" t="s">
        <v>34</v>
      </c>
      <c r="I3" s="30" t="s">
        <v>34</v>
      </c>
      <c r="J3" s="30" t="s">
        <v>34</v>
      </c>
      <c r="K3" s="30" t="s">
        <v>35</v>
      </c>
      <c r="L3" s="19" t="s">
        <v>36</v>
      </c>
      <c r="M3" s="19" t="s">
        <v>37</v>
      </c>
      <c r="N3" s="19" t="s">
        <v>38</v>
      </c>
      <c r="O3" s="17" t="s">
        <v>39</v>
      </c>
      <c r="P3" s="11" t="s">
        <v>40</v>
      </c>
      <c r="Q3" s="11" t="s">
        <v>41</v>
      </c>
      <c r="R3" s="17" t="s">
        <v>42</v>
      </c>
      <c r="S3" s="19"/>
      <c r="T3" s="20"/>
      <c r="U3" s="20"/>
      <c r="V3" s="20"/>
      <c r="W3" s="20"/>
      <c r="X3" s="20"/>
      <c r="Y3" s="20"/>
      <c r="Z3" s="20"/>
      <c r="AA3" s="20"/>
      <c r="AB3" s="20"/>
      <c r="AC3" s="20"/>
      <c r="AD3" s="20"/>
    </row>
    <row r="4">
      <c r="A4" s="14" t="s">
        <v>44</v>
      </c>
      <c r="B4" s="31">
        <v>1.0</v>
      </c>
      <c r="C4" s="35" t="s">
        <v>801</v>
      </c>
      <c r="D4" s="35" t="s">
        <v>803</v>
      </c>
      <c r="E4" s="51" t="s">
        <v>53</v>
      </c>
      <c r="F4" s="109"/>
      <c r="G4" s="110" t="s">
        <v>806</v>
      </c>
      <c r="H4" s="111" t="s">
        <v>809</v>
      </c>
      <c r="I4" s="111" t="s">
        <v>816</v>
      </c>
      <c r="K4" s="112"/>
      <c r="L4" s="113" t="s">
        <v>824</v>
      </c>
      <c r="M4" s="39" t="str">
        <f t="shared" ref="M4:M72" si="1">Concatenate(Lower(C4),".",Lower(D4),"@arkansashouse.org")</f>
        <v>carol.dalby@arkansashouse.org</v>
      </c>
      <c r="N4" s="89"/>
      <c r="O4" s="89"/>
      <c r="P4" s="89"/>
      <c r="Q4" s="88">
        <v>2032.0</v>
      </c>
      <c r="R4" s="89"/>
    </row>
    <row r="5">
      <c r="A5" s="14" t="s">
        <v>44</v>
      </c>
      <c r="B5" s="31">
        <v>2.0</v>
      </c>
      <c r="C5" s="35" t="s">
        <v>831</v>
      </c>
      <c r="D5" s="35" t="s">
        <v>837</v>
      </c>
      <c r="E5" s="51" t="s">
        <v>53</v>
      </c>
      <c r="F5" s="109"/>
      <c r="G5" s="115" t="s">
        <v>838</v>
      </c>
      <c r="H5" s="111" t="s">
        <v>840</v>
      </c>
      <c r="K5" s="112"/>
      <c r="L5" s="116" t="s">
        <v>841</v>
      </c>
      <c r="M5" s="39" t="str">
        <f t="shared" si="1"/>
        <v>lane.jean@arkansashouse.org</v>
      </c>
      <c r="N5" s="89"/>
      <c r="O5" s="89"/>
      <c r="P5" s="89"/>
      <c r="Q5" s="88">
        <v>2026.0</v>
      </c>
      <c r="R5" s="89"/>
    </row>
    <row r="6">
      <c r="A6" s="14" t="s">
        <v>44</v>
      </c>
      <c r="B6" s="31">
        <v>3.0</v>
      </c>
      <c r="C6" s="35" t="s">
        <v>100</v>
      </c>
      <c r="D6" s="35" t="s">
        <v>853</v>
      </c>
      <c r="E6" s="51" t="s">
        <v>53</v>
      </c>
      <c r="F6" s="109"/>
      <c r="G6" s="111" t="s">
        <v>856</v>
      </c>
      <c r="H6" s="111" t="s">
        <v>857</v>
      </c>
      <c r="I6" s="111" t="s">
        <v>858</v>
      </c>
      <c r="K6" s="112"/>
      <c r="L6" s="116" t="s">
        <v>866</v>
      </c>
      <c r="M6" s="39" t="str">
        <f t="shared" si="1"/>
        <v>danny.watson@arkansashouse.org</v>
      </c>
      <c r="N6" s="89"/>
      <c r="O6" s="89"/>
      <c r="P6" s="89"/>
      <c r="Q6" s="88">
        <v>2032.0</v>
      </c>
      <c r="R6" s="89"/>
    </row>
    <row r="7">
      <c r="A7" s="14" t="s">
        <v>44</v>
      </c>
      <c r="B7" s="31">
        <v>4.0</v>
      </c>
      <c r="C7" s="35" t="s">
        <v>867</v>
      </c>
      <c r="D7" s="35" t="s">
        <v>869</v>
      </c>
      <c r="E7" s="51" t="s">
        <v>53</v>
      </c>
      <c r="F7" s="109"/>
      <c r="G7" s="111" t="s">
        <v>870</v>
      </c>
      <c r="H7" s="115" t="s">
        <v>871</v>
      </c>
      <c r="I7" s="111" t="s">
        <v>872</v>
      </c>
      <c r="K7" s="112"/>
      <c r="L7" s="116" t="s">
        <v>880</v>
      </c>
      <c r="M7" s="39" t="str">
        <f t="shared" si="1"/>
        <v>deann.vaught@arkansashouse.org</v>
      </c>
      <c r="N7" s="89"/>
      <c r="O7" s="89"/>
      <c r="P7" s="89"/>
      <c r="Q7" s="88">
        <v>2030.0</v>
      </c>
      <c r="R7" s="89"/>
    </row>
    <row r="8">
      <c r="A8" s="14" t="s">
        <v>44</v>
      </c>
      <c r="B8" s="31">
        <v>5.0</v>
      </c>
      <c r="C8" s="35" t="s">
        <v>108</v>
      </c>
      <c r="D8" s="35" t="s">
        <v>883</v>
      </c>
      <c r="E8" s="36" t="s">
        <v>49</v>
      </c>
      <c r="F8" s="109"/>
      <c r="G8" s="115" t="s">
        <v>884</v>
      </c>
      <c r="H8" s="115" t="s">
        <v>885</v>
      </c>
      <c r="I8" s="111" t="s">
        <v>886</v>
      </c>
      <c r="J8" s="111" t="s">
        <v>816</v>
      </c>
      <c r="K8" s="112"/>
      <c r="L8" s="116" t="s">
        <v>894</v>
      </c>
      <c r="M8" s="39" t="str">
        <f t="shared" si="1"/>
        <v>david.fielding@arkansashouse.org</v>
      </c>
      <c r="N8" s="89"/>
      <c r="O8" s="89"/>
      <c r="P8" s="89"/>
      <c r="Q8" s="88">
        <v>2026.0</v>
      </c>
      <c r="R8" s="89"/>
    </row>
    <row r="9">
      <c r="A9" s="14" t="s">
        <v>44</v>
      </c>
      <c r="B9" s="31">
        <v>6.0</v>
      </c>
      <c r="C9" s="35" t="s">
        <v>896</v>
      </c>
      <c r="D9" s="35" t="s">
        <v>901</v>
      </c>
      <c r="E9" s="51" t="s">
        <v>53</v>
      </c>
      <c r="F9" s="109"/>
      <c r="G9" s="111" t="s">
        <v>872</v>
      </c>
      <c r="H9" s="111" t="s">
        <v>908</v>
      </c>
      <c r="I9" s="111" t="s">
        <v>916</v>
      </c>
      <c r="J9" s="111" t="s">
        <v>922</v>
      </c>
      <c r="K9" s="112"/>
      <c r="L9" s="113" t="s">
        <v>925</v>
      </c>
      <c r="M9" s="39" t="str">
        <f t="shared" si="1"/>
        <v>matthew.shepherd@arkansashouse.org</v>
      </c>
      <c r="N9" s="89"/>
      <c r="O9" s="89"/>
      <c r="P9" s="89"/>
      <c r="Q9" s="88">
        <v>2026.0</v>
      </c>
      <c r="R9" s="89"/>
    </row>
    <row r="10">
      <c r="A10" s="14" t="s">
        <v>44</v>
      </c>
      <c r="B10" s="31">
        <v>7.0</v>
      </c>
      <c r="C10" s="35" t="s">
        <v>927</v>
      </c>
      <c r="D10" s="35" t="s">
        <v>931</v>
      </c>
      <c r="E10" s="51" t="s">
        <v>53</v>
      </c>
      <c r="F10" s="109"/>
      <c r="G10" s="118"/>
      <c r="H10" s="119"/>
      <c r="K10" s="112"/>
      <c r="L10" s="88"/>
      <c r="M10" s="39" t="str">
        <f t="shared" si="1"/>
        <v>sonia.eubanks@arkansashouse.org</v>
      </c>
      <c r="N10" s="89"/>
      <c r="O10" s="89"/>
      <c r="P10" s="89"/>
      <c r="Q10" s="88">
        <v>2032.0</v>
      </c>
      <c r="R10" s="89"/>
    </row>
    <row r="11">
      <c r="A11" s="14" t="s">
        <v>44</v>
      </c>
      <c r="B11" s="31">
        <v>8.0</v>
      </c>
      <c r="C11" s="35" t="s">
        <v>683</v>
      </c>
      <c r="D11" s="35" t="s">
        <v>938</v>
      </c>
      <c r="E11" s="51" t="s">
        <v>53</v>
      </c>
      <c r="F11" s="109"/>
      <c r="G11" s="121" t="s">
        <v>939</v>
      </c>
      <c r="H11" s="111" t="s">
        <v>886</v>
      </c>
      <c r="I11" s="111" t="s">
        <v>950</v>
      </c>
      <c r="J11" s="111" t="s">
        <v>954</v>
      </c>
      <c r="K11" s="112"/>
      <c r="L11" s="116" t="s">
        <v>960</v>
      </c>
      <c r="M11" s="39" t="str">
        <f t="shared" si="1"/>
        <v>jeff.wardlaw@arkansashouse.org</v>
      </c>
      <c r="N11" s="89"/>
      <c r="O11" s="89"/>
      <c r="P11" s="89"/>
      <c r="Q11" s="88">
        <v>2026.0</v>
      </c>
      <c r="R11" s="89"/>
    </row>
    <row r="12">
      <c r="A12" s="14" t="s">
        <v>44</v>
      </c>
      <c r="B12" s="31">
        <v>9.0</v>
      </c>
      <c r="C12" s="35" t="s">
        <v>961</v>
      </c>
      <c r="D12" s="35" t="s">
        <v>969</v>
      </c>
      <c r="E12" s="36" t="s">
        <v>49</v>
      </c>
      <c r="F12" s="109"/>
      <c r="G12" s="111" t="s">
        <v>954</v>
      </c>
      <c r="H12" s="111" t="s">
        <v>809</v>
      </c>
      <c r="I12" s="111" t="s">
        <v>976</v>
      </c>
      <c r="K12" s="112"/>
      <c r="L12" s="116" t="s">
        <v>979</v>
      </c>
      <c r="M12" s="39" t="str">
        <f t="shared" si="1"/>
        <v>leanne.burch@arkansashouse.org</v>
      </c>
      <c r="N12" s="89"/>
      <c r="O12" s="89"/>
      <c r="P12" s="89"/>
      <c r="Q12" s="88">
        <v>2032.0</v>
      </c>
      <c r="R12" s="89"/>
    </row>
    <row r="13">
      <c r="A13" s="14" t="s">
        <v>44</v>
      </c>
      <c r="B13" s="31">
        <v>10.0</v>
      </c>
      <c r="C13" s="35" t="s">
        <v>157</v>
      </c>
      <c r="D13" s="35" t="s">
        <v>986</v>
      </c>
      <c r="E13" s="51" t="s">
        <v>53</v>
      </c>
      <c r="F13" s="109"/>
      <c r="G13" s="111" t="s">
        <v>872</v>
      </c>
      <c r="H13" s="111" t="s">
        <v>816</v>
      </c>
      <c r="K13" s="112"/>
      <c r="L13" s="116" t="s">
        <v>990</v>
      </c>
      <c r="M13" s="39" t="str">
        <f t="shared" si="1"/>
        <v>mike.holcomb@arkansashouse.org</v>
      </c>
      <c r="N13" s="89"/>
      <c r="O13" s="89"/>
      <c r="P13" s="89"/>
      <c r="Q13" s="88">
        <v>2028.0</v>
      </c>
      <c r="R13" s="89"/>
    </row>
    <row r="14">
      <c r="A14" s="14" t="s">
        <v>44</v>
      </c>
      <c r="B14" s="31">
        <v>11.0</v>
      </c>
      <c r="C14" s="38" t="s">
        <v>428</v>
      </c>
      <c r="D14" s="38" t="s">
        <v>991</v>
      </c>
      <c r="E14" s="36" t="s">
        <v>49</v>
      </c>
      <c r="F14" s="109"/>
      <c r="G14" s="122"/>
      <c r="H14" s="123"/>
      <c r="K14" s="124" t="s">
        <v>998</v>
      </c>
      <c r="L14" s="116" t="s">
        <v>999</v>
      </c>
      <c r="M14" s="39" t="str">
        <f t="shared" si="1"/>
        <v>don.glover@arkansashouse.org</v>
      </c>
      <c r="N14" s="89"/>
      <c r="O14" s="89"/>
      <c r="P14" s="89"/>
      <c r="Q14" s="88">
        <v>2028.0</v>
      </c>
      <c r="R14" s="89"/>
    </row>
    <row r="15">
      <c r="A15" s="14" t="s">
        <v>44</v>
      </c>
      <c r="B15" s="31">
        <v>12.0</v>
      </c>
      <c r="C15" s="38" t="s">
        <v>173</v>
      </c>
      <c r="D15" s="38" t="s">
        <v>1001</v>
      </c>
      <c r="E15" s="100" t="s">
        <v>49</v>
      </c>
      <c r="F15" s="109"/>
      <c r="G15" s="121" t="s">
        <v>1004</v>
      </c>
      <c r="H15" s="111" t="s">
        <v>886</v>
      </c>
      <c r="I15" s="111" t="s">
        <v>950</v>
      </c>
      <c r="K15" s="112"/>
      <c r="L15" s="116" t="s">
        <v>1014</v>
      </c>
      <c r="M15" s="39" t="str">
        <f t="shared" si="1"/>
        <v>chris.richey@arkansashouse.org</v>
      </c>
      <c r="N15" s="89"/>
      <c r="O15" s="89"/>
      <c r="P15" s="89"/>
      <c r="Q15" s="88">
        <v>2028.0</v>
      </c>
      <c r="R15" s="89"/>
    </row>
    <row r="16">
      <c r="A16" s="14" t="s">
        <v>44</v>
      </c>
      <c r="B16" s="31">
        <v>13.0</v>
      </c>
      <c r="C16" s="35" t="s">
        <v>108</v>
      </c>
      <c r="D16" s="35" t="s">
        <v>1020</v>
      </c>
      <c r="E16" s="51" t="s">
        <v>53</v>
      </c>
      <c r="F16" s="109"/>
      <c r="G16" s="111" t="s">
        <v>1021</v>
      </c>
      <c r="H16" s="111" t="s">
        <v>1022</v>
      </c>
      <c r="I16" s="111" t="s">
        <v>1029</v>
      </c>
      <c r="J16" s="111" t="s">
        <v>1035</v>
      </c>
      <c r="K16" s="112"/>
      <c r="L16" s="116" t="s">
        <v>1039</v>
      </c>
      <c r="M16" s="39" t="str">
        <f t="shared" si="1"/>
        <v>david.hillman@arkansashouse.org</v>
      </c>
      <c r="N16" s="89"/>
      <c r="O16" s="89"/>
      <c r="P16" s="89"/>
      <c r="Q16" s="88">
        <v>2028.0</v>
      </c>
      <c r="R16" s="89"/>
    </row>
    <row r="17">
      <c r="A17" s="14" t="s">
        <v>44</v>
      </c>
      <c r="B17" s="31">
        <v>14.0</v>
      </c>
      <c r="C17" s="35" t="s">
        <v>1040</v>
      </c>
      <c r="D17" s="35" t="s">
        <v>1043</v>
      </c>
      <c r="E17" s="51" t="s">
        <v>53</v>
      </c>
      <c r="F17" s="109"/>
      <c r="G17" s="115" t="s">
        <v>1044</v>
      </c>
      <c r="H17" s="111" t="s">
        <v>816</v>
      </c>
      <c r="K17" s="112"/>
      <c r="L17" s="116" t="s">
        <v>1046</v>
      </c>
      <c r="M17" s="39" t="str">
        <f t="shared" si="1"/>
        <v>roger.lynch@arkansashouse.org</v>
      </c>
      <c r="N17" s="89"/>
      <c r="O17" s="89"/>
      <c r="P17" s="89"/>
      <c r="Q17" s="88">
        <v>2032.0</v>
      </c>
      <c r="R17" s="89"/>
    </row>
    <row r="18">
      <c r="A18" s="14" t="s">
        <v>44</v>
      </c>
      <c r="B18" s="31">
        <v>15.0</v>
      </c>
      <c r="C18" s="35" t="s">
        <v>1049</v>
      </c>
      <c r="D18" s="35" t="s">
        <v>1052</v>
      </c>
      <c r="E18" s="51" t="s">
        <v>53</v>
      </c>
      <c r="F18" s="126" t="s">
        <v>176</v>
      </c>
      <c r="G18" s="111" t="s">
        <v>1061</v>
      </c>
      <c r="H18" s="111" t="s">
        <v>950</v>
      </c>
      <c r="I18" s="111" t="s">
        <v>908</v>
      </c>
      <c r="J18" s="111" t="s">
        <v>916</v>
      </c>
      <c r="K18" s="112"/>
      <c r="L18" s="116" t="s">
        <v>1073</v>
      </c>
      <c r="M18" s="39" t="str">
        <f t="shared" si="1"/>
        <v>ken.bragg@arkansashouse.org</v>
      </c>
      <c r="N18" s="89"/>
      <c r="O18" s="89"/>
      <c r="P18" s="89"/>
      <c r="Q18" s="88">
        <v>2028.0</v>
      </c>
      <c r="R18" s="89"/>
    </row>
    <row r="19">
      <c r="A19" s="14" t="s">
        <v>44</v>
      </c>
      <c r="B19" s="31">
        <v>16.0</v>
      </c>
      <c r="C19" s="35" t="s">
        <v>1049</v>
      </c>
      <c r="D19" s="35" t="s">
        <v>1079</v>
      </c>
      <c r="E19" s="36" t="s">
        <v>49</v>
      </c>
      <c r="F19" s="109"/>
      <c r="G19" s="111" t="s">
        <v>1080</v>
      </c>
      <c r="H19" s="115" t="s">
        <v>1081</v>
      </c>
      <c r="I19" s="111" t="s">
        <v>1083</v>
      </c>
      <c r="J19" s="111" t="s">
        <v>1029</v>
      </c>
      <c r="K19" s="112"/>
      <c r="L19" s="116" t="s">
        <v>1089</v>
      </c>
      <c r="M19" s="39" t="str">
        <f t="shared" si="1"/>
        <v>ken.ferguson@arkansashouse.org</v>
      </c>
      <c r="N19" s="89"/>
      <c r="O19" s="89"/>
      <c r="P19" s="89"/>
      <c r="Q19" s="88">
        <v>2030.0</v>
      </c>
      <c r="R19" s="89"/>
    </row>
    <row r="20">
      <c r="A20" s="14" t="s">
        <v>44</v>
      </c>
      <c r="B20" s="31">
        <v>17.0</v>
      </c>
      <c r="C20" s="35" t="s">
        <v>1092</v>
      </c>
      <c r="D20" s="35" t="s">
        <v>1096</v>
      </c>
      <c r="E20" s="36" t="s">
        <v>49</v>
      </c>
      <c r="F20" s="109"/>
      <c r="G20" s="111" t="s">
        <v>1097</v>
      </c>
      <c r="H20" s="111" t="s">
        <v>809</v>
      </c>
      <c r="I20" s="111" t="s">
        <v>1100</v>
      </c>
      <c r="J20" s="111" t="s">
        <v>856</v>
      </c>
      <c r="K20" s="112"/>
      <c r="L20" s="116" t="s">
        <v>1111</v>
      </c>
      <c r="M20" s="39" t="str">
        <f t="shared" si="1"/>
        <v>vivian.flowers@arkansashouse.org</v>
      </c>
      <c r="N20" s="89"/>
      <c r="O20" s="89"/>
      <c r="P20" s="89"/>
      <c r="Q20" s="88">
        <v>2030.0</v>
      </c>
      <c r="R20" s="89"/>
    </row>
    <row r="21">
      <c r="A21" s="14" t="s">
        <v>44</v>
      </c>
      <c r="B21" s="31">
        <v>18.0</v>
      </c>
      <c r="C21" s="35" t="s">
        <v>1112</v>
      </c>
      <c r="D21" s="35" t="s">
        <v>1114</v>
      </c>
      <c r="E21" s="51" t="s">
        <v>53</v>
      </c>
      <c r="F21" s="109"/>
      <c r="G21" s="110" t="s">
        <v>1115</v>
      </c>
      <c r="H21" s="111" t="s">
        <v>916</v>
      </c>
      <c r="I21" s="111" t="s">
        <v>954</v>
      </c>
      <c r="J21" s="111" t="s">
        <v>1129</v>
      </c>
      <c r="K21" s="112"/>
      <c r="L21" s="113" t="s">
        <v>1144</v>
      </c>
      <c r="M21" s="39" t="str">
        <f t="shared" si="1"/>
        <v>richard.womack@arkansashouse.org</v>
      </c>
      <c r="N21" s="89"/>
      <c r="O21" s="89"/>
      <c r="P21" s="89"/>
      <c r="Q21" s="88">
        <v>2028.0</v>
      </c>
      <c r="R21" s="89"/>
    </row>
    <row r="22">
      <c r="A22" s="14" t="s">
        <v>44</v>
      </c>
      <c r="B22" s="31">
        <v>19.0</v>
      </c>
      <c r="C22" s="35" t="s">
        <v>786</v>
      </c>
      <c r="D22" s="35" t="s">
        <v>1151</v>
      </c>
      <c r="E22" s="51" t="s">
        <v>53</v>
      </c>
      <c r="F22" s="109"/>
      <c r="G22" s="121" t="s">
        <v>1152</v>
      </c>
      <c r="H22" s="111" t="s">
        <v>1061</v>
      </c>
      <c r="I22" s="111" t="s">
        <v>954</v>
      </c>
      <c r="J22" s="111" t="s">
        <v>809</v>
      </c>
      <c r="K22" s="112"/>
      <c r="L22" s="116" t="s">
        <v>1154</v>
      </c>
      <c r="M22" s="39" t="str">
        <f t="shared" si="1"/>
        <v>justin.gonzales@arkansashouse.org</v>
      </c>
      <c r="N22" s="89"/>
      <c r="O22" s="89"/>
      <c r="P22" s="89"/>
      <c r="Q22" s="88">
        <v>2030.0</v>
      </c>
      <c r="R22" s="89"/>
    </row>
    <row r="23">
      <c r="A23" s="14" t="s">
        <v>44</v>
      </c>
      <c r="B23" s="31">
        <v>20.0</v>
      </c>
      <c r="C23" s="35" t="s">
        <v>278</v>
      </c>
      <c r="D23" s="35" t="s">
        <v>1158</v>
      </c>
      <c r="E23" s="51" t="s">
        <v>53</v>
      </c>
      <c r="F23" s="109"/>
      <c r="G23" s="110" t="s">
        <v>922</v>
      </c>
      <c r="H23" s="111" t="s">
        <v>954</v>
      </c>
      <c r="I23" s="115" t="s">
        <v>1159</v>
      </c>
      <c r="K23" s="112"/>
      <c r="L23" s="116" t="s">
        <v>1160</v>
      </c>
      <c r="M23" s="39" t="str">
        <f t="shared" si="1"/>
        <v>john.maddox@arkansashouse.org</v>
      </c>
      <c r="N23" s="89"/>
      <c r="O23" s="89"/>
      <c r="P23" s="89"/>
      <c r="Q23" s="88">
        <v>2032.0</v>
      </c>
      <c r="R23" s="89"/>
    </row>
    <row r="24">
      <c r="A24" s="14" t="s">
        <v>44</v>
      </c>
      <c r="B24" s="31">
        <v>21.0</v>
      </c>
      <c r="C24" s="35" t="s">
        <v>1161</v>
      </c>
      <c r="D24" s="35" t="s">
        <v>1163</v>
      </c>
      <c r="E24" s="51" t="s">
        <v>53</v>
      </c>
      <c r="F24" s="109"/>
      <c r="G24" s="111" t="s">
        <v>954</v>
      </c>
      <c r="H24" s="115" t="s">
        <v>1168</v>
      </c>
      <c r="I24" s="111" t="s">
        <v>1169</v>
      </c>
      <c r="K24" s="112"/>
      <c r="L24" s="113" t="s">
        <v>1170</v>
      </c>
      <c r="M24" s="39" t="str">
        <f t="shared" si="1"/>
        <v>marcus.richmond@arkansashouse.org</v>
      </c>
      <c r="N24" s="89"/>
      <c r="O24" s="89"/>
      <c r="P24" s="89"/>
      <c r="Q24" s="88">
        <v>2030.0</v>
      </c>
      <c r="R24" s="89"/>
    </row>
    <row r="25">
      <c r="A25" s="14" t="s">
        <v>44</v>
      </c>
      <c r="B25" s="31">
        <v>22.0</v>
      </c>
      <c r="C25" s="35" t="s">
        <v>1171</v>
      </c>
      <c r="D25" s="35" t="s">
        <v>1174</v>
      </c>
      <c r="E25" s="51" t="s">
        <v>53</v>
      </c>
      <c r="F25" s="109"/>
      <c r="G25" s="111" t="s">
        <v>1175</v>
      </c>
      <c r="H25" s="111" t="s">
        <v>976</v>
      </c>
      <c r="I25" s="111" t="s">
        <v>1177</v>
      </c>
      <c r="J25" s="111" t="s">
        <v>856</v>
      </c>
      <c r="K25" s="112"/>
      <c r="L25" s="116" t="s">
        <v>1179</v>
      </c>
      <c r="M25" s="39" t="str">
        <f t="shared" si="1"/>
        <v>mickey.gates@arkansashouse.org</v>
      </c>
      <c r="N25" s="89"/>
      <c r="O25" s="89"/>
      <c r="P25" s="89"/>
      <c r="Q25" s="88">
        <v>2030.0</v>
      </c>
      <c r="R25" s="89"/>
    </row>
    <row r="26">
      <c r="A26" s="14" t="s">
        <v>44</v>
      </c>
      <c r="B26" s="31">
        <v>23.0</v>
      </c>
      <c r="C26" s="35" t="s">
        <v>1184</v>
      </c>
      <c r="D26" s="35" t="s">
        <v>1185</v>
      </c>
      <c r="E26" s="51" t="s">
        <v>53</v>
      </c>
      <c r="F26" s="109"/>
      <c r="G26" s="110" t="s">
        <v>922</v>
      </c>
      <c r="H26" s="111" t="s">
        <v>816</v>
      </c>
      <c r="I26" s="111" t="s">
        <v>1029</v>
      </c>
      <c r="K26" s="112"/>
      <c r="L26" s="116" t="s">
        <v>1191</v>
      </c>
      <c r="M26" s="39" t="str">
        <f t="shared" si="1"/>
        <v>lanny.fite@arkansashouse.org</v>
      </c>
      <c r="N26" s="89"/>
      <c r="O26" s="89"/>
      <c r="P26" s="89"/>
      <c r="Q26" s="88">
        <v>2030.0</v>
      </c>
      <c r="R26" s="89"/>
    </row>
    <row r="27">
      <c r="A27" s="14" t="s">
        <v>44</v>
      </c>
      <c r="B27" s="31">
        <v>24.0</v>
      </c>
      <c r="C27" s="35" t="s">
        <v>1193</v>
      </c>
      <c r="D27" s="35" t="s">
        <v>1196</v>
      </c>
      <c r="E27" s="51" t="s">
        <v>53</v>
      </c>
      <c r="F27" s="109"/>
      <c r="G27" s="115" t="s">
        <v>1197</v>
      </c>
      <c r="H27" s="115" t="s">
        <v>1198</v>
      </c>
      <c r="I27" s="111" t="s">
        <v>1199</v>
      </c>
      <c r="K27" s="112"/>
      <c r="L27" s="116" t="s">
        <v>1202</v>
      </c>
      <c r="M27" s="39" t="str">
        <f t="shared" si="1"/>
        <v>bruce.cozart@arkansashouse.org</v>
      </c>
      <c r="N27" s="89"/>
      <c r="O27" s="89"/>
      <c r="P27" s="89"/>
      <c r="Q27" s="88">
        <v>2030.0</v>
      </c>
      <c r="R27" s="89"/>
    </row>
    <row r="28">
      <c r="A28" s="14" t="s">
        <v>44</v>
      </c>
      <c r="B28" s="31">
        <v>25.0</v>
      </c>
      <c r="C28" s="35" t="s">
        <v>1205</v>
      </c>
      <c r="D28" s="35" t="s">
        <v>646</v>
      </c>
      <c r="E28" s="51" t="s">
        <v>53</v>
      </c>
      <c r="F28" s="109"/>
      <c r="G28" s="115" t="s">
        <v>1206</v>
      </c>
      <c r="H28" s="111" t="s">
        <v>1175</v>
      </c>
      <c r="I28" s="111" t="s">
        <v>1207</v>
      </c>
      <c r="K28" s="112"/>
      <c r="L28" s="116" t="s">
        <v>1212</v>
      </c>
      <c r="M28" s="39" t="str">
        <f t="shared" si="1"/>
        <v>les.warren@arkansashouse.org</v>
      </c>
      <c r="N28" s="89"/>
      <c r="O28" s="89"/>
      <c r="P28" s="89"/>
      <c r="Q28" s="88">
        <v>2028.0</v>
      </c>
      <c r="R28" s="89"/>
    </row>
    <row r="29">
      <c r="A29" s="14" t="s">
        <v>44</v>
      </c>
      <c r="B29" s="31">
        <v>26.0</v>
      </c>
      <c r="C29" s="35" t="s">
        <v>1213</v>
      </c>
      <c r="D29" s="35" t="s">
        <v>1215</v>
      </c>
      <c r="E29" s="51" t="s">
        <v>53</v>
      </c>
      <c r="F29" s="109"/>
      <c r="G29" s="110" t="s">
        <v>922</v>
      </c>
      <c r="H29" s="115" t="s">
        <v>1218</v>
      </c>
      <c r="I29" s="115" t="s">
        <v>1219</v>
      </c>
      <c r="J29" s="111" t="s">
        <v>1199</v>
      </c>
      <c r="K29" s="112"/>
      <c r="L29" s="116" t="s">
        <v>1220</v>
      </c>
      <c r="M29" s="39" t="str">
        <f t="shared" si="1"/>
        <v>laurie.rushing@arkansashouse.org</v>
      </c>
      <c r="N29" s="89"/>
      <c r="O29" s="89"/>
      <c r="P29" s="89"/>
      <c r="Q29" s="88">
        <v>2032.0</v>
      </c>
      <c r="R29" s="89"/>
    </row>
    <row r="30">
      <c r="A30" s="14" t="s">
        <v>44</v>
      </c>
      <c r="B30" s="31">
        <v>27.0</v>
      </c>
      <c r="C30" s="35" t="s">
        <v>109</v>
      </c>
      <c r="D30" s="35" t="s">
        <v>1222</v>
      </c>
      <c r="E30" s="51" t="s">
        <v>53</v>
      </c>
      <c r="F30" s="109"/>
      <c r="G30" s="115" t="s">
        <v>1223</v>
      </c>
      <c r="H30" s="115" t="s">
        <v>1224</v>
      </c>
      <c r="I30" s="111" t="s">
        <v>809</v>
      </c>
      <c r="K30" s="124" t="s">
        <v>1227</v>
      </c>
      <c r="L30" s="113" t="s">
        <v>1228</v>
      </c>
      <c r="M30" s="39" t="str">
        <f t="shared" si="1"/>
        <v>andy.mayberry@arkansashouse.org</v>
      </c>
      <c r="N30" s="89"/>
      <c r="O30" s="89"/>
      <c r="P30" s="89"/>
      <c r="Q30" s="88">
        <v>2032.0</v>
      </c>
      <c r="R30" s="89"/>
    </row>
    <row r="31">
      <c r="A31" s="14" t="s">
        <v>44</v>
      </c>
      <c r="B31" s="31">
        <v>28.0</v>
      </c>
      <c r="C31" s="38" t="s">
        <v>1231</v>
      </c>
      <c r="D31" s="38" t="s">
        <v>130</v>
      </c>
      <c r="E31" s="51" t="s">
        <v>53</v>
      </c>
      <c r="F31" s="109"/>
      <c r="G31" s="122"/>
      <c r="H31" s="123"/>
      <c r="K31" s="124" t="s">
        <v>1232</v>
      </c>
      <c r="L31" s="148" t="s">
        <v>1233</v>
      </c>
      <c r="M31" s="39" t="str">
        <f t="shared" si="1"/>
        <v>jason.kelly@arkansashouse.org</v>
      </c>
      <c r="N31" s="89"/>
      <c r="O31" s="89"/>
      <c r="P31" s="89"/>
      <c r="Q31" s="88">
        <v>2026.0</v>
      </c>
      <c r="R31" s="89"/>
    </row>
    <row r="32">
      <c r="A32" s="14" t="s">
        <v>44</v>
      </c>
      <c r="B32" s="31">
        <v>29.0</v>
      </c>
      <c r="C32" s="38" t="s">
        <v>1234</v>
      </c>
      <c r="D32" s="38" t="s">
        <v>1235</v>
      </c>
      <c r="E32" s="36" t="s">
        <v>49</v>
      </c>
      <c r="F32" s="109"/>
      <c r="G32" s="115" t="s">
        <v>1236</v>
      </c>
      <c r="H32" s="111" t="s">
        <v>1115</v>
      </c>
      <c r="I32" s="111" t="s">
        <v>954</v>
      </c>
      <c r="K32" s="112"/>
      <c r="L32" s="116" t="s">
        <v>1240</v>
      </c>
      <c r="M32" s="39" t="str">
        <f t="shared" si="1"/>
        <v>fredrick.love@arkansashouse.org</v>
      </c>
      <c r="N32" s="89"/>
      <c r="O32" s="89"/>
      <c r="P32" s="89"/>
      <c r="Q32" s="88">
        <v>2026.0</v>
      </c>
      <c r="R32" s="89"/>
    </row>
    <row r="33">
      <c r="A33" s="14" t="s">
        <v>44</v>
      </c>
      <c r="B33" s="31">
        <v>30.0</v>
      </c>
      <c r="C33" s="38" t="s">
        <v>1242</v>
      </c>
      <c r="D33" s="38" t="s">
        <v>241</v>
      </c>
      <c r="E33" s="36" t="s">
        <v>49</v>
      </c>
      <c r="F33" s="109"/>
      <c r="G33" s="115" t="s">
        <v>1243</v>
      </c>
      <c r="H33" s="111" t="s">
        <v>1207</v>
      </c>
      <c r="I33" s="111" t="s">
        <v>1248</v>
      </c>
      <c r="J33" s="111" t="s">
        <v>1249</v>
      </c>
      <c r="K33" s="112"/>
      <c r="L33" s="116" t="s">
        <v>1253</v>
      </c>
      <c r="M33" s="39" t="str">
        <f t="shared" si="1"/>
        <v>fred.allen@arkansashouse.org</v>
      </c>
      <c r="N33" s="89"/>
      <c r="O33" s="89"/>
      <c r="P33" s="89"/>
      <c r="Q33" s="88">
        <v>2032.0</v>
      </c>
      <c r="R33" s="89"/>
    </row>
    <row r="34">
      <c r="A34" s="14" t="s">
        <v>44</v>
      </c>
      <c r="B34" s="31">
        <v>31.0</v>
      </c>
      <c r="C34" s="38" t="s">
        <v>109</v>
      </c>
      <c r="D34" s="38" t="s">
        <v>1254</v>
      </c>
      <c r="E34" s="51" t="s">
        <v>53</v>
      </c>
      <c r="F34" s="109"/>
      <c r="G34" s="111" t="s">
        <v>1177</v>
      </c>
      <c r="H34" s="111" t="s">
        <v>954</v>
      </c>
      <c r="I34" s="111" t="s">
        <v>1259</v>
      </c>
      <c r="K34" s="112"/>
      <c r="L34" s="113" t="s">
        <v>1260</v>
      </c>
      <c r="M34" s="39" t="str">
        <f t="shared" si="1"/>
        <v>andy.davis@arkansashouse.org</v>
      </c>
      <c r="N34" s="89"/>
      <c r="O34" s="89"/>
      <c r="P34" s="89"/>
      <c r="Q34" s="88">
        <v>2028.0</v>
      </c>
      <c r="R34" s="89"/>
    </row>
    <row r="35">
      <c r="A35" s="14" t="s">
        <v>44</v>
      </c>
      <c r="B35" s="31">
        <v>32.0</v>
      </c>
      <c r="C35" s="38" t="s">
        <v>476</v>
      </c>
      <c r="D35" s="38" t="s">
        <v>1261</v>
      </c>
      <c r="E35" s="51" t="s">
        <v>53</v>
      </c>
      <c r="F35" s="109"/>
      <c r="G35" s="115" t="s">
        <v>1262</v>
      </c>
      <c r="H35" s="111" t="s">
        <v>858</v>
      </c>
      <c r="I35" s="111" t="s">
        <v>1035</v>
      </c>
      <c r="K35" s="112"/>
      <c r="L35" s="116" t="s">
        <v>1266</v>
      </c>
      <c r="M35" s="39" t="str">
        <f t="shared" si="1"/>
        <v>jim.sorvillo@arkansashouse.org</v>
      </c>
      <c r="N35" s="89"/>
      <c r="O35" s="89"/>
      <c r="P35" s="89"/>
      <c r="Q35" s="88">
        <v>2030.0</v>
      </c>
      <c r="R35" s="89"/>
    </row>
    <row r="36">
      <c r="A36" s="14" t="s">
        <v>44</v>
      </c>
      <c r="B36" s="31">
        <v>33.0</v>
      </c>
      <c r="C36" s="38" t="s">
        <v>1268</v>
      </c>
      <c r="D36" s="38" t="s">
        <v>1270</v>
      </c>
      <c r="E36" s="36" t="s">
        <v>49</v>
      </c>
      <c r="F36" s="109"/>
      <c r="G36" s="118"/>
      <c r="H36" s="119"/>
      <c r="K36" s="124" t="s">
        <v>1232</v>
      </c>
      <c r="L36" s="116" t="s">
        <v>1274</v>
      </c>
      <c r="M36" s="39" t="str">
        <f t="shared" si="1"/>
        <v>tippi.mccullough@arkansashouse.org</v>
      </c>
      <c r="N36" s="89"/>
      <c r="O36" s="89"/>
      <c r="P36" s="89"/>
      <c r="Q36" s="88">
        <v>2028.0</v>
      </c>
      <c r="R36" s="89"/>
    </row>
    <row r="37">
      <c r="A37" s="14" t="s">
        <v>44</v>
      </c>
      <c r="B37" s="31">
        <v>34.0</v>
      </c>
      <c r="C37" s="38" t="s">
        <v>278</v>
      </c>
      <c r="D37" s="38" t="s">
        <v>1275</v>
      </c>
      <c r="E37" s="36" t="s">
        <v>49</v>
      </c>
      <c r="F37" s="109"/>
      <c r="G37" s="111" t="s">
        <v>1177</v>
      </c>
      <c r="H37" s="111" t="s">
        <v>856</v>
      </c>
      <c r="I37" s="111" t="s">
        <v>1277</v>
      </c>
      <c r="J37" s="111" t="s">
        <v>1249</v>
      </c>
      <c r="K37" s="112"/>
      <c r="L37" s="113" t="s">
        <v>1284</v>
      </c>
      <c r="M37" s="39" t="str">
        <f t="shared" si="1"/>
        <v>john.walker@arkansashouse.org</v>
      </c>
      <c r="N37" s="89"/>
      <c r="O37" s="89"/>
      <c r="P37" s="89"/>
      <c r="Q37" s="88">
        <v>2026.0</v>
      </c>
      <c r="R37" s="89"/>
    </row>
    <row r="38">
      <c r="A38" s="14" t="s">
        <v>44</v>
      </c>
      <c r="B38" s="31">
        <v>35.0</v>
      </c>
      <c r="C38" s="38" t="s">
        <v>80</v>
      </c>
      <c r="D38" s="38" t="s">
        <v>137</v>
      </c>
      <c r="E38" s="36" t="s">
        <v>49</v>
      </c>
      <c r="F38" s="109"/>
      <c r="G38" s="122"/>
      <c r="H38" s="123"/>
      <c r="K38" s="124" t="s">
        <v>1232</v>
      </c>
      <c r="L38" s="116" t="s">
        <v>1286</v>
      </c>
      <c r="M38" s="39" t="str">
        <f t="shared" si="1"/>
        <v>andrew.collins@arkansashouse.org</v>
      </c>
      <c r="N38" s="89"/>
      <c r="O38" s="89"/>
      <c r="P38" s="89"/>
      <c r="Q38" s="88">
        <v>2030.0</v>
      </c>
      <c r="R38" s="89"/>
    </row>
    <row r="39">
      <c r="A39" s="14" t="s">
        <v>44</v>
      </c>
      <c r="B39" s="31">
        <v>36.0</v>
      </c>
      <c r="C39" s="38" t="s">
        <v>1287</v>
      </c>
      <c r="D39" s="38" t="s">
        <v>1288</v>
      </c>
      <c r="E39" s="36" t="s">
        <v>49</v>
      </c>
      <c r="F39" s="109"/>
      <c r="G39" s="110" t="s">
        <v>922</v>
      </c>
      <c r="H39" s="111" t="s">
        <v>856</v>
      </c>
      <c r="I39" s="111" t="s">
        <v>954</v>
      </c>
      <c r="J39" s="111" t="s">
        <v>1292</v>
      </c>
      <c r="K39" s="112"/>
      <c r="L39" s="116" t="s">
        <v>1293</v>
      </c>
      <c r="M39" s="39" t="str">
        <f t="shared" si="1"/>
        <v>charles.blake@arkansashouse.org</v>
      </c>
      <c r="N39" s="89"/>
      <c r="O39" s="89"/>
      <c r="P39" s="89"/>
      <c r="Q39" s="88">
        <v>2030.0</v>
      </c>
      <c r="R39" s="89"/>
    </row>
    <row r="40">
      <c r="A40" s="14" t="s">
        <v>44</v>
      </c>
      <c r="B40" s="31">
        <v>37.0</v>
      </c>
      <c r="C40" s="38" t="s">
        <v>283</v>
      </c>
      <c r="D40" s="38" t="s">
        <v>45</v>
      </c>
      <c r="E40" s="36" t="s">
        <v>49</v>
      </c>
      <c r="F40" s="151" t="s">
        <v>1294</v>
      </c>
      <c r="G40" s="118"/>
      <c r="H40" s="119"/>
      <c r="K40" s="124" t="s">
        <v>1232</v>
      </c>
      <c r="L40" s="116" t="s">
        <v>1295</v>
      </c>
      <c r="M40" s="39" t="str">
        <f t="shared" si="1"/>
        <v>jamie.scott@arkansashouse.org</v>
      </c>
      <c r="N40" s="89"/>
      <c r="O40" s="89"/>
      <c r="P40" s="89"/>
      <c r="Q40" s="88">
        <v>2028.0</v>
      </c>
      <c r="R40" s="89"/>
    </row>
    <row r="41">
      <c r="A41" s="14" t="s">
        <v>44</v>
      </c>
      <c r="B41" s="31">
        <v>38.0</v>
      </c>
      <c r="C41" s="38" t="s">
        <v>1296</v>
      </c>
      <c r="D41" s="38" t="s">
        <v>1297</v>
      </c>
      <c r="E41" s="51" t="s">
        <v>53</v>
      </c>
      <c r="F41" s="109"/>
      <c r="G41" s="115" t="s">
        <v>1298</v>
      </c>
      <c r="H41" s="111" t="s">
        <v>1035</v>
      </c>
      <c r="I41" s="111" t="s">
        <v>1302</v>
      </c>
      <c r="K41" s="112"/>
      <c r="L41" s="116" t="s">
        <v>1304</v>
      </c>
      <c r="M41" s="39" t="str">
        <f t="shared" si="1"/>
        <v>carlton.wing@arkansashouse.org</v>
      </c>
      <c r="N41" s="89"/>
      <c r="O41" s="89"/>
      <c r="P41" s="89"/>
      <c r="Q41" s="88">
        <v>2032.0</v>
      </c>
      <c r="R41" s="89"/>
    </row>
    <row r="42">
      <c r="A42" s="14" t="s">
        <v>44</v>
      </c>
      <c r="B42" s="31">
        <v>39.0</v>
      </c>
      <c r="C42" s="38" t="s">
        <v>91</v>
      </c>
      <c r="D42" s="38" t="s">
        <v>1305</v>
      </c>
      <c r="E42" s="51" t="s">
        <v>53</v>
      </c>
      <c r="F42" s="109"/>
      <c r="G42" s="111" t="s">
        <v>1306</v>
      </c>
      <c r="H42" s="111" t="s">
        <v>1307</v>
      </c>
      <c r="I42" s="115" t="s">
        <v>1308</v>
      </c>
      <c r="J42" s="111" t="s">
        <v>1177</v>
      </c>
      <c r="K42" s="112"/>
      <c r="L42" s="113" t="s">
        <v>1311</v>
      </c>
      <c r="M42" s="39" t="str">
        <f t="shared" si="1"/>
        <v>mark.lowery@arkansashouse.org</v>
      </c>
      <c r="N42" s="89"/>
      <c r="O42" s="89"/>
      <c r="P42" s="89"/>
      <c r="Q42" s="88">
        <v>2028.0</v>
      </c>
      <c r="R42" s="89"/>
    </row>
    <row r="43">
      <c r="A43" s="14" t="s">
        <v>44</v>
      </c>
      <c r="B43" s="31">
        <v>40.0</v>
      </c>
      <c r="C43" s="38" t="s">
        <v>1312</v>
      </c>
      <c r="D43" s="38" t="s">
        <v>44</v>
      </c>
      <c r="E43" s="51" t="s">
        <v>53</v>
      </c>
      <c r="F43" s="109"/>
      <c r="G43" s="110" t="s">
        <v>922</v>
      </c>
      <c r="H43" s="115" t="s">
        <v>1316</v>
      </c>
      <c r="I43" s="115" t="s">
        <v>1317</v>
      </c>
      <c r="J43" s="111" t="s">
        <v>1318</v>
      </c>
      <c r="K43" s="112"/>
      <c r="L43" s="116" t="s">
        <v>1319</v>
      </c>
      <c r="M43" s="39" t="str">
        <f t="shared" si="1"/>
        <v>douglas.house@arkansashouse.org</v>
      </c>
      <c r="N43" s="89"/>
      <c r="O43" s="89"/>
      <c r="P43" s="89"/>
      <c r="Q43" s="88">
        <v>2028.0</v>
      </c>
      <c r="R43" s="89"/>
    </row>
    <row r="44">
      <c r="A44" s="14" t="s">
        <v>44</v>
      </c>
      <c r="B44" s="31">
        <v>41.0</v>
      </c>
      <c r="C44" s="38" t="s">
        <v>1320</v>
      </c>
      <c r="D44" s="38" t="s">
        <v>447</v>
      </c>
      <c r="E44" s="51" t="s">
        <v>53</v>
      </c>
      <c r="F44" s="109"/>
      <c r="G44" s="115" t="s">
        <v>1321</v>
      </c>
      <c r="H44" s="111" t="s">
        <v>1322</v>
      </c>
      <c r="I44" s="111" t="s">
        <v>1325</v>
      </c>
      <c r="J44" s="111" t="s">
        <v>1035</v>
      </c>
      <c r="K44" s="112"/>
      <c r="L44" s="116" t="s">
        <v>1328</v>
      </c>
      <c r="M44" s="39" t="str">
        <f t="shared" si="1"/>
        <v>karilyn.brown@arkansashouse.org</v>
      </c>
      <c r="N44" s="89"/>
      <c r="O44" s="89"/>
      <c r="P44" s="89"/>
      <c r="Q44" s="88">
        <v>2030.0</v>
      </c>
      <c r="R44" s="89"/>
    </row>
    <row r="45">
      <c r="A45" s="14" t="s">
        <v>44</v>
      </c>
      <c r="B45" s="31">
        <v>42.0</v>
      </c>
      <c r="C45" s="38" t="s">
        <v>91</v>
      </c>
      <c r="D45" s="38" t="s">
        <v>1329</v>
      </c>
      <c r="E45" s="36" t="s">
        <v>49</v>
      </c>
      <c r="F45" s="109"/>
      <c r="G45" s="122"/>
      <c r="H45" s="123"/>
      <c r="K45" s="124" t="s">
        <v>1232</v>
      </c>
      <c r="L45" s="116" t="s">
        <v>1330</v>
      </c>
      <c r="M45" s="39" t="str">
        <f t="shared" si="1"/>
        <v>mark.perry@arkansashouse.org</v>
      </c>
      <c r="N45" s="89"/>
      <c r="O45" s="89"/>
      <c r="P45" s="89"/>
      <c r="Q45" s="88">
        <v>2030.0</v>
      </c>
      <c r="R45" s="89"/>
    </row>
    <row r="46">
      <c r="A46" s="14" t="s">
        <v>44</v>
      </c>
      <c r="B46" s="31">
        <v>43.0</v>
      </c>
      <c r="C46" s="38" t="s">
        <v>1331</v>
      </c>
      <c r="D46" s="38" t="s">
        <v>1332</v>
      </c>
      <c r="E46" s="51" t="s">
        <v>53</v>
      </c>
      <c r="F46" s="109"/>
      <c r="G46" s="118"/>
      <c r="H46" s="119"/>
      <c r="K46" s="124" t="s">
        <v>1232</v>
      </c>
      <c r="L46" s="116" t="s">
        <v>1334</v>
      </c>
      <c r="M46" s="39" t="str">
        <f t="shared" si="1"/>
        <v>brian.evans@arkansashouse.org</v>
      </c>
      <c r="N46" s="89"/>
      <c r="O46" s="89"/>
      <c r="P46" s="89"/>
      <c r="Q46" s="88">
        <v>2030.0</v>
      </c>
      <c r="R46" s="89"/>
    </row>
    <row r="47">
      <c r="A47" s="14" t="s">
        <v>44</v>
      </c>
      <c r="B47" s="31">
        <v>44.0</v>
      </c>
      <c r="C47" s="38" t="s">
        <v>1204</v>
      </c>
      <c r="D47" s="38" t="s">
        <v>1336</v>
      </c>
      <c r="E47" s="51" t="s">
        <v>53</v>
      </c>
      <c r="F47" s="109"/>
      <c r="G47" s="118"/>
      <c r="H47" s="119"/>
      <c r="K47" s="124" t="s">
        <v>1232</v>
      </c>
      <c r="L47" s="116" t="s">
        <v>1337</v>
      </c>
      <c r="M47" s="39" t="str">
        <f t="shared" si="1"/>
        <v>cameron.cooper@arkansashouse.org</v>
      </c>
      <c r="N47" s="89"/>
      <c r="O47" s="89"/>
      <c r="P47" s="89"/>
      <c r="Q47" s="88">
        <v>2028.0</v>
      </c>
      <c r="R47" s="89"/>
    </row>
    <row r="48">
      <c r="A48" s="14" t="s">
        <v>44</v>
      </c>
      <c r="B48" s="31">
        <v>45.0</v>
      </c>
      <c r="C48" s="38" t="s">
        <v>476</v>
      </c>
      <c r="D48" s="38" t="s">
        <v>1338</v>
      </c>
      <c r="E48" s="51" t="s">
        <v>53</v>
      </c>
      <c r="F48" s="12" t="s">
        <v>1056</v>
      </c>
      <c r="G48" s="110" t="s">
        <v>922</v>
      </c>
      <c r="H48" s="111" t="s">
        <v>816</v>
      </c>
      <c r="K48" s="112"/>
      <c r="L48" s="113" t="s">
        <v>1343</v>
      </c>
      <c r="M48" s="39" t="str">
        <f t="shared" si="1"/>
        <v>jim.wooten@arkansashouse.org</v>
      </c>
      <c r="N48" s="89"/>
      <c r="O48" s="89"/>
      <c r="P48" s="89"/>
      <c r="Q48" s="88">
        <v>2026.0</v>
      </c>
      <c r="R48" s="89"/>
    </row>
    <row r="49">
      <c r="A49" s="14" t="s">
        <v>44</v>
      </c>
      <c r="B49" s="31">
        <v>46.0</v>
      </c>
      <c r="C49" s="38" t="s">
        <v>1205</v>
      </c>
      <c r="D49" s="38" t="s">
        <v>1344</v>
      </c>
      <c r="E49" s="51" t="s">
        <v>53</v>
      </c>
      <c r="F49" s="109"/>
      <c r="G49" s="115" t="s">
        <v>1345</v>
      </c>
      <c r="H49" s="111" t="s">
        <v>1346</v>
      </c>
      <c r="I49" s="115" t="s">
        <v>1347</v>
      </c>
      <c r="J49" s="111" t="s">
        <v>1348</v>
      </c>
      <c r="K49" s="112"/>
      <c r="L49" s="116" t="s">
        <v>1349</v>
      </c>
      <c r="M49" s="39" t="str">
        <f t="shared" si="1"/>
        <v>les.eaves@arkansashouse.org</v>
      </c>
      <c r="N49" s="89"/>
      <c r="O49" s="89"/>
      <c r="P49" s="89"/>
      <c r="Q49" s="88">
        <v>2030.0</v>
      </c>
      <c r="R49" s="89"/>
    </row>
    <row r="50">
      <c r="A50" s="14" t="s">
        <v>44</v>
      </c>
      <c r="B50" s="31">
        <v>47.0</v>
      </c>
      <c r="C50" s="38" t="s">
        <v>373</v>
      </c>
      <c r="D50" s="38" t="s">
        <v>1350</v>
      </c>
      <c r="E50" s="51" t="s">
        <v>53</v>
      </c>
      <c r="F50" s="109"/>
      <c r="G50" s="122"/>
      <c r="H50" s="123"/>
      <c r="K50" s="124" t="s">
        <v>1232</v>
      </c>
      <c r="L50" s="113" t="s">
        <v>1351</v>
      </c>
      <c r="M50" s="39" t="str">
        <f t="shared" si="1"/>
        <v>craig.christiansen@arkansashouse.org</v>
      </c>
      <c r="N50" s="89"/>
      <c r="O50" s="89"/>
      <c r="P50" s="89"/>
      <c r="Q50" s="88">
        <v>2030.0</v>
      </c>
      <c r="R50" s="89"/>
    </row>
    <row r="51">
      <c r="A51" s="14" t="s">
        <v>44</v>
      </c>
      <c r="B51" s="31">
        <v>48.0</v>
      </c>
      <c r="C51" s="38" t="s">
        <v>1085</v>
      </c>
      <c r="D51" s="38" t="s">
        <v>1352</v>
      </c>
      <c r="E51" s="36" t="s">
        <v>49</v>
      </c>
      <c r="F51" s="109"/>
      <c r="G51" s="115" t="s">
        <v>1353</v>
      </c>
      <c r="H51" s="111" t="s">
        <v>1061</v>
      </c>
      <c r="I51" s="111" t="s">
        <v>950</v>
      </c>
      <c r="J51" s="111" t="s">
        <v>916</v>
      </c>
      <c r="K51" s="112"/>
      <c r="L51" s="116" t="s">
        <v>1358</v>
      </c>
      <c r="M51" s="39" t="str">
        <f t="shared" si="1"/>
        <v>reginald.murdock@arkansashouse.org</v>
      </c>
      <c r="N51" s="89"/>
      <c r="O51" s="89"/>
      <c r="P51" s="89"/>
      <c r="Q51" s="88">
        <v>2026.0</v>
      </c>
      <c r="R51" s="89"/>
    </row>
    <row r="52">
      <c r="A52" s="14" t="s">
        <v>44</v>
      </c>
      <c r="B52" s="31">
        <v>49.0</v>
      </c>
      <c r="C52" s="38" t="s">
        <v>55</v>
      </c>
      <c r="D52" s="38" t="s">
        <v>1361</v>
      </c>
      <c r="E52" s="51" t="s">
        <v>53</v>
      </c>
      <c r="F52" s="109"/>
      <c r="G52" s="115" t="s">
        <v>1362</v>
      </c>
      <c r="H52" s="111" t="s">
        <v>1175</v>
      </c>
      <c r="I52" s="111" t="s">
        <v>858</v>
      </c>
      <c r="J52" s="111" t="s">
        <v>856</v>
      </c>
      <c r="K52" s="112"/>
      <c r="L52" s="116" t="s">
        <v>1371</v>
      </c>
      <c r="M52" s="39" t="str">
        <f t="shared" si="1"/>
        <v>steve.hollowell@arkansashouse.org</v>
      </c>
      <c r="N52" s="89"/>
      <c r="O52" s="89"/>
      <c r="P52" s="89"/>
      <c r="Q52" s="88">
        <v>2032.0</v>
      </c>
      <c r="R52" s="89"/>
    </row>
    <row r="53">
      <c r="A53" s="14" t="s">
        <v>44</v>
      </c>
      <c r="B53" s="31">
        <v>50.0</v>
      </c>
      <c r="C53" s="38" t="s">
        <v>1373</v>
      </c>
      <c r="D53" s="38" t="s">
        <v>1374</v>
      </c>
      <c r="E53" s="36" t="s">
        <v>49</v>
      </c>
      <c r="F53" s="109"/>
      <c r="G53" s="110" t="s">
        <v>922</v>
      </c>
      <c r="H53" s="111" t="s">
        <v>1389</v>
      </c>
      <c r="I53" s="111" t="s">
        <v>872</v>
      </c>
      <c r="J53" s="111" t="s">
        <v>1249</v>
      </c>
      <c r="K53" s="112"/>
      <c r="L53" s="116" t="s">
        <v>1394</v>
      </c>
      <c r="M53" s="39" t="str">
        <f t="shared" si="1"/>
        <v>milton.nicks@arkansashouse.org</v>
      </c>
      <c r="N53" s="89"/>
      <c r="O53" s="89"/>
      <c r="P53" s="89"/>
      <c r="Q53" s="88">
        <v>2030.0</v>
      </c>
      <c r="R53" s="89"/>
    </row>
    <row r="54">
      <c r="A54" s="14" t="s">
        <v>44</v>
      </c>
      <c r="B54" s="31">
        <v>51.0</v>
      </c>
      <c r="C54" s="38" t="s">
        <v>1395</v>
      </c>
      <c r="D54" s="38" t="s">
        <v>1079</v>
      </c>
      <c r="E54" s="36" t="s">
        <v>49</v>
      </c>
      <c r="F54" s="109"/>
      <c r="G54" s="110" t="s">
        <v>1396</v>
      </c>
      <c r="H54" s="111" t="s">
        <v>1397</v>
      </c>
      <c r="I54" s="111" t="s">
        <v>1398</v>
      </c>
      <c r="K54" s="112"/>
      <c r="L54" s="116" t="s">
        <v>1399</v>
      </c>
      <c r="M54" s="39" t="str">
        <f t="shared" si="1"/>
        <v>deborah.ferguson@arkansashouse.org</v>
      </c>
      <c r="N54" s="89"/>
      <c r="O54" s="89"/>
      <c r="P54" s="89"/>
      <c r="Q54" s="88">
        <v>2028.0</v>
      </c>
      <c r="R54" s="89"/>
    </row>
    <row r="55">
      <c r="A55" s="14" t="s">
        <v>44</v>
      </c>
      <c r="B55" s="31">
        <v>52.0</v>
      </c>
      <c r="C55" s="38" t="s">
        <v>1402</v>
      </c>
      <c r="D55" s="38" t="s">
        <v>1403</v>
      </c>
      <c r="E55" s="51" t="s">
        <v>53</v>
      </c>
      <c r="F55" s="109"/>
      <c r="G55" s="121" t="s">
        <v>1404</v>
      </c>
      <c r="H55" s="111" t="s">
        <v>1405</v>
      </c>
      <c r="I55" s="111" t="s">
        <v>1409</v>
      </c>
      <c r="K55" s="112"/>
      <c r="L55" s="116" t="s">
        <v>1414</v>
      </c>
      <c r="M55" s="39" t="str">
        <f t="shared" si="1"/>
        <v>dwight.tosh@arkansashouse.org</v>
      </c>
      <c r="N55" s="89"/>
      <c r="O55" s="89"/>
      <c r="P55" s="89"/>
      <c r="Q55" s="88">
        <v>2030.0</v>
      </c>
      <c r="R55" s="89"/>
    </row>
    <row r="56">
      <c r="A56" s="14" t="s">
        <v>44</v>
      </c>
      <c r="B56" s="31">
        <v>53.0</v>
      </c>
      <c r="C56" s="38" t="s">
        <v>239</v>
      </c>
      <c r="D56" s="38" t="s">
        <v>435</v>
      </c>
      <c r="E56" s="51" t="s">
        <v>53</v>
      </c>
      <c r="F56" s="109"/>
      <c r="G56" s="115" t="s">
        <v>1415</v>
      </c>
      <c r="H56" s="111" t="s">
        <v>1416</v>
      </c>
      <c r="I56" s="111" t="s">
        <v>1417</v>
      </c>
      <c r="J56" s="111" t="s">
        <v>1177</v>
      </c>
      <c r="K56" s="112"/>
      <c r="L56" s="113" t="s">
        <v>1420</v>
      </c>
      <c r="M56" s="39" t="str">
        <f t="shared" si="1"/>
        <v>dan.sullivan@arkansashouse.org</v>
      </c>
      <c r="N56" s="89"/>
      <c r="O56" s="89"/>
      <c r="P56" s="89"/>
      <c r="Q56" s="88">
        <v>2030.0</v>
      </c>
      <c r="R56" s="89"/>
    </row>
    <row r="57">
      <c r="A57" s="14" t="s">
        <v>44</v>
      </c>
      <c r="B57" s="31">
        <v>54.0</v>
      </c>
      <c r="C57" s="38" t="s">
        <v>1421</v>
      </c>
      <c r="D57" s="38" t="s">
        <v>1422</v>
      </c>
      <c r="E57" s="51" t="s">
        <v>53</v>
      </c>
      <c r="F57" s="109"/>
      <c r="G57" s="115" t="s">
        <v>1423</v>
      </c>
      <c r="H57" s="111" t="s">
        <v>1207</v>
      </c>
      <c r="I57" s="111" t="s">
        <v>1035</v>
      </c>
      <c r="K57" s="112"/>
      <c r="L57" s="113" t="s">
        <v>1427</v>
      </c>
      <c r="M57" s="39" t="str">
        <f t="shared" si="1"/>
        <v>johnny.rye@arkansashouse.org</v>
      </c>
      <c r="N57" s="89"/>
      <c r="O57" s="89"/>
      <c r="P57" s="89"/>
      <c r="Q57" s="88">
        <v>2032.0</v>
      </c>
      <c r="R57" s="89"/>
    </row>
    <row r="58">
      <c r="A58" s="14" t="s">
        <v>44</v>
      </c>
      <c r="B58" s="31">
        <v>55.0</v>
      </c>
      <c r="C58" s="38" t="s">
        <v>1428</v>
      </c>
      <c r="D58" s="38" t="s">
        <v>1429</v>
      </c>
      <c r="E58" s="36" t="s">
        <v>49</v>
      </c>
      <c r="F58" s="109"/>
      <c r="G58" s="115" t="s">
        <v>1430</v>
      </c>
      <c r="H58" s="111" t="s">
        <v>954</v>
      </c>
      <c r="I58" s="111" t="s">
        <v>872</v>
      </c>
      <c r="K58" s="112"/>
      <c r="L58" s="116" t="s">
        <v>1434</v>
      </c>
      <c r="M58" s="39" t="str">
        <f t="shared" si="1"/>
        <v>monte.hodges@arkansashouse.org</v>
      </c>
      <c r="N58" s="89"/>
      <c r="O58" s="89"/>
      <c r="P58" s="89"/>
      <c r="Q58" s="88">
        <v>2028.0</v>
      </c>
      <c r="R58" s="89"/>
    </row>
    <row r="59">
      <c r="A59" s="14" t="s">
        <v>44</v>
      </c>
      <c r="B59" s="31">
        <v>56.0</v>
      </c>
      <c r="C59" s="38" t="s">
        <v>622</v>
      </c>
      <c r="D59" s="38" t="s">
        <v>1435</v>
      </c>
      <c r="E59" s="51" t="s">
        <v>53</v>
      </c>
      <c r="F59" s="109"/>
      <c r="G59" s="115" t="s">
        <v>1436</v>
      </c>
      <c r="H59" s="111" t="s">
        <v>886</v>
      </c>
      <c r="I59" s="111" t="s">
        <v>954</v>
      </c>
      <c r="K59" s="112"/>
      <c r="L59" s="113" t="s">
        <v>1440</v>
      </c>
      <c r="M59" s="39" t="str">
        <f t="shared" si="1"/>
        <v>joe.jett@arkansashouse.org</v>
      </c>
      <c r="N59" s="89"/>
      <c r="O59" s="89"/>
      <c r="P59" s="89"/>
      <c r="Q59" s="88">
        <v>2028.0</v>
      </c>
      <c r="R59" s="89"/>
    </row>
    <row r="60">
      <c r="A60" s="14" t="s">
        <v>44</v>
      </c>
      <c r="B60" s="31">
        <v>57.0</v>
      </c>
      <c r="C60" s="38" t="s">
        <v>455</v>
      </c>
      <c r="D60" s="38" t="s">
        <v>1441</v>
      </c>
      <c r="E60" s="51" t="s">
        <v>53</v>
      </c>
      <c r="F60" s="109"/>
      <c r="G60" s="121" t="s">
        <v>1442</v>
      </c>
      <c r="H60" s="110" t="s">
        <v>922</v>
      </c>
      <c r="I60" s="111" t="s">
        <v>816</v>
      </c>
      <c r="K60" s="112"/>
      <c r="L60" s="116" t="s">
        <v>1449</v>
      </c>
      <c r="M60" s="39" t="str">
        <f t="shared" si="1"/>
        <v>jimmy.gazaway@arkansashouse.org</v>
      </c>
      <c r="N60" s="89"/>
      <c r="O60" s="89"/>
      <c r="P60" s="89"/>
      <c r="Q60" s="88">
        <v>2032.0</v>
      </c>
      <c r="R60" s="89"/>
    </row>
    <row r="61">
      <c r="A61" s="14" t="s">
        <v>44</v>
      </c>
      <c r="B61" s="31">
        <v>58.0</v>
      </c>
      <c r="C61" s="38" t="s">
        <v>1450</v>
      </c>
      <c r="D61" s="38" t="s">
        <v>1451</v>
      </c>
      <c r="E61" s="51" t="s">
        <v>53</v>
      </c>
      <c r="F61" s="109"/>
      <c r="G61" s="121" t="s">
        <v>1452</v>
      </c>
      <c r="H61" s="111" t="s">
        <v>1453</v>
      </c>
      <c r="I61" s="111" t="s">
        <v>954</v>
      </c>
      <c r="J61" s="110" t="s">
        <v>922</v>
      </c>
      <c r="K61" s="112"/>
      <c r="L61" s="116" t="s">
        <v>1456</v>
      </c>
      <c r="M61" s="39" t="str">
        <f t="shared" si="1"/>
        <v>brandt.smith@arkansashouse.org</v>
      </c>
      <c r="N61" s="89"/>
      <c r="O61" s="89"/>
      <c r="P61" s="89"/>
      <c r="Q61" s="88">
        <v>2030.0</v>
      </c>
      <c r="R61" s="89"/>
    </row>
    <row r="62">
      <c r="A62" s="14" t="s">
        <v>44</v>
      </c>
      <c r="B62" s="31">
        <v>59.0</v>
      </c>
      <c r="C62" s="38" t="s">
        <v>792</v>
      </c>
      <c r="D62" s="38" t="s">
        <v>1457</v>
      </c>
      <c r="E62" s="51" t="s">
        <v>53</v>
      </c>
      <c r="F62" s="109"/>
      <c r="G62" s="110" t="s">
        <v>1115</v>
      </c>
      <c r="H62" s="110" t="s">
        <v>1461</v>
      </c>
      <c r="I62" s="115" t="s">
        <v>1462</v>
      </c>
      <c r="J62" s="111" t="s">
        <v>1464</v>
      </c>
      <c r="K62" s="112"/>
      <c r="L62" s="113" t="s">
        <v>1465</v>
      </c>
      <c r="M62" s="39" t="str">
        <f t="shared" si="1"/>
        <v>jack.ladyman@arkansashouse.org</v>
      </c>
      <c r="N62" s="89"/>
      <c r="O62" s="89"/>
      <c r="P62" s="89"/>
      <c r="Q62" s="88">
        <v>2030.0</v>
      </c>
      <c r="R62" s="89"/>
    </row>
    <row r="63">
      <c r="A63" s="14" t="s">
        <v>44</v>
      </c>
      <c r="B63" s="31">
        <v>60.0</v>
      </c>
      <c r="C63" s="38" t="s">
        <v>1466</v>
      </c>
      <c r="D63" s="38" t="s">
        <v>1467</v>
      </c>
      <c r="E63" s="51" t="s">
        <v>53</v>
      </c>
      <c r="F63" s="109"/>
      <c r="G63" s="115" t="s">
        <v>1468</v>
      </c>
      <c r="H63" s="111" t="s">
        <v>1083</v>
      </c>
      <c r="I63" s="111" t="s">
        <v>1322</v>
      </c>
      <c r="K63" s="112"/>
      <c r="L63" s="113" t="s">
        <v>1470</v>
      </c>
      <c r="M63" s="39" t="str">
        <f t="shared" si="1"/>
        <v>frances.cavenaugh@arkansashouse.org</v>
      </c>
      <c r="N63" s="89"/>
      <c r="O63" s="89"/>
      <c r="P63" s="89"/>
      <c r="Q63" s="88">
        <v>2032.0</v>
      </c>
      <c r="R63" s="89"/>
    </row>
    <row r="64">
      <c r="A64" s="14" t="s">
        <v>44</v>
      </c>
      <c r="B64" s="31">
        <v>61.0</v>
      </c>
      <c r="C64" s="38" t="s">
        <v>902</v>
      </c>
      <c r="D64" s="38" t="s">
        <v>1254</v>
      </c>
      <c r="E64" s="98" t="s">
        <v>1471</v>
      </c>
      <c r="F64" s="109"/>
      <c r="G64" s="122"/>
      <c r="H64" s="123"/>
      <c r="K64" s="124" t="s">
        <v>1232</v>
      </c>
      <c r="L64" s="113" t="s">
        <v>1472</v>
      </c>
      <c r="M64" s="39" t="str">
        <f t="shared" si="1"/>
        <v>marsh.davis@arkansashouse.org</v>
      </c>
      <c r="N64" s="89"/>
      <c r="O64" s="89"/>
      <c r="P64" s="89"/>
      <c r="Q64" s="88">
        <v>2028.0</v>
      </c>
      <c r="R64" s="89"/>
    </row>
    <row r="65">
      <c r="A65" s="14" t="s">
        <v>44</v>
      </c>
      <c r="B65" s="31">
        <v>62.0</v>
      </c>
      <c r="C65" s="38" t="s">
        <v>22</v>
      </c>
      <c r="D65" s="38" t="s">
        <v>658</v>
      </c>
      <c r="E65" s="51" t="s">
        <v>53</v>
      </c>
      <c r="F65" s="109"/>
      <c r="G65" s="110" t="s">
        <v>922</v>
      </c>
      <c r="H65" s="110" t="s">
        <v>1475</v>
      </c>
      <c r="I65" s="111" t="s">
        <v>1477</v>
      </c>
      <c r="K65" s="112"/>
      <c r="L65" s="116" t="s">
        <v>1481</v>
      </c>
      <c r="M65" s="39" t="str">
        <f t="shared" si="1"/>
        <v>michelle.gray@arkansashouse.org</v>
      </c>
      <c r="N65" s="89"/>
      <c r="O65" s="89"/>
      <c r="P65" s="89"/>
      <c r="Q65" s="88">
        <v>2030.0</v>
      </c>
      <c r="R65" s="89"/>
    </row>
    <row r="66">
      <c r="A66" s="14" t="s">
        <v>44</v>
      </c>
      <c r="B66" s="31">
        <v>63.0</v>
      </c>
      <c r="C66" s="38" t="s">
        <v>1482</v>
      </c>
      <c r="D66" s="38" t="s">
        <v>1451</v>
      </c>
      <c r="E66" s="51" t="s">
        <v>53</v>
      </c>
      <c r="F66" s="109"/>
      <c r="G66" s="118"/>
      <c r="H66" s="119"/>
      <c r="K66" s="124" t="s">
        <v>1232</v>
      </c>
      <c r="L66" s="116" t="s">
        <v>1484</v>
      </c>
      <c r="M66" s="39" t="str">
        <f t="shared" si="1"/>
        <v>stu.smith@arkansashouse.org</v>
      </c>
      <c r="N66" s="89"/>
      <c r="O66" s="89"/>
      <c r="P66" s="89"/>
      <c r="Q66" s="88">
        <v>2030.0</v>
      </c>
      <c r="R66" s="89"/>
    </row>
    <row r="67">
      <c r="A67" s="14" t="s">
        <v>44</v>
      </c>
      <c r="B67" s="31">
        <v>64.0</v>
      </c>
      <c r="C67" s="38" t="s">
        <v>278</v>
      </c>
      <c r="D67" s="38" t="s">
        <v>1485</v>
      </c>
      <c r="E67" s="51" t="s">
        <v>53</v>
      </c>
      <c r="F67" s="109"/>
      <c r="G67" s="110" t="s">
        <v>1115</v>
      </c>
      <c r="H67" s="110" t="s">
        <v>1488</v>
      </c>
      <c r="I67" s="111" t="s">
        <v>1491</v>
      </c>
      <c r="J67" s="111" t="s">
        <v>1492</v>
      </c>
      <c r="K67" s="112"/>
      <c r="L67" s="113" t="s">
        <v>1493</v>
      </c>
      <c r="M67" s="39" t="str">
        <f t="shared" si="1"/>
        <v>john.payton@arkansashouse.org</v>
      </c>
      <c r="N67" s="89"/>
      <c r="O67" s="89"/>
      <c r="P67" s="89"/>
      <c r="Q67" s="88">
        <v>2028.0</v>
      </c>
      <c r="R67" s="89"/>
    </row>
    <row r="68">
      <c r="A68" s="14" t="s">
        <v>44</v>
      </c>
      <c r="B68" s="31">
        <v>65.0</v>
      </c>
      <c r="C68" s="38" t="s">
        <v>1291</v>
      </c>
      <c r="D68" s="38" t="s">
        <v>1494</v>
      </c>
      <c r="E68" s="51" t="s">
        <v>53</v>
      </c>
      <c r="F68" s="109"/>
      <c r="G68" s="111" t="s">
        <v>1495</v>
      </c>
      <c r="H68" s="111" t="s">
        <v>1175</v>
      </c>
      <c r="I68" s="111" t="s">
        <v>1417</v>
      </c>
      <c r="J68" s="111" t="s">
        <v>1177</v>
      </c>
      <c r="K68" s="112"/>
      <c r="L68" s="113" t="s">
        <v>1500</v>
      </c>
      <c r="M68" s="39" t="str">
        <f t="shared" si="1"/>
        <v>rick.beck@arkansashouse.org</v>
      </c>
      <c r="N68" s="89"/>
      <c r="O68" s="89"/>
      <c r="P68" s="89"/>
      <c r="Q68" s="88">
        <v>2030.0</v>
      </c>
      <c r="R68" s="89"/>
    </row>
    <row r="69">
      <c r="A69" s="14" t="s">
        <v>44</v>
      </c>
      <c r="B69" s="31">
        <v>66.0</v>
      </c>
      <c r="C69" s="38" t="s">
        <v>180</v>
      </c>
      <c r="D69" s="38" t="s">
        <v>1501</v>
      </c>
      <c r="E69" s="51" t="s">
        <v>53</v>
      </c>
      <c r="F69" s="109"/>
      <c r="G69" s="110" t="s">
        <v>1502</v>
      </c>
      <c r="H69" s="110" t="s">
        <v>1115</v>
      </c>
      <c r="I69" s="111" t="s">
        <v>1503</v>
      </c>
      <c r="K69" s="112"/>
      <c r="L69" s="113" t="s">
        <v>1504</v>
      </c>
      <c r="M69" s="39" t="str">
        <f t="shared" si="1"/>
        <v>josh.miller@arkansashouse.org</v>
      </c>
      <c r="N69" s="89"/>
      <c r="O69" s="89"/>
      <c r="P69" s="89"/>
      <c r="Q69" s="88">
        <v>2028.0</v>
      </c>
      <c r="R69" s="89"/>
    </row>
    <row r="70">
      <c r="A70" s="14" t="s">
        <v>44</v>
      </c>
      <c r="B70" s="31">
        <v>67.0</v>
      </c>
      <c r="C70" s="38" t="s">
        <v>1505</v>
      </c>
      <c r="D70" s="38" t="s">
        <v>1506</v>
      </c>
      <c r="E70" s="51" t="s">
        <v>53</v>
      </c>
      <c r="F70" s="109"/>
      <c r="G70" s="115" t="s">
        <v>1507</v>
      </c>
      <c r="H70" s="115" t="s">
        <v>1508</v>
      </c>
      <c r="I70" s="111" t="s">
        <v>1509</v>
      </c>
      <c r="J70" s="111" t="s">
        <v>872</v>
      </c>
      <c r="K70" s="112"/>
      <c r="L70" s="113" t="s">
        <v>1512</v>
      </c>
      <c r="M70" s="39" t="str">
        <f t="shared" si="1"/>
        <v>stephen.meeks@arkansashouse.org</v>
      </c>
      <c r="N70" s="89"/>
      <c r="O70" s="89"/>
      <c r="P70" s="89"/>
      <c r="Q70" s="88">
        <v>2026.0</v>
      </c>
      <c r="R70" s="89"/>
    </row>
    <row r="71">
      <c r="A71" s="14" t="s">
        <v>44</v>
      </c>
      <c r="B71" s="31">
        <v>68.0</v>
      </c>
      <c r="C71" s="38" t="s">
        <v>1513</v>
      </c>
      <c r="D71" s="38" t="s">
        <v>665</v>
      </c>
      <c r="E71" s="51" t="s">
        <v>53</v>
      </c>
      <c r="F71" s="109"/>
      <c r="G71" s="118"/>
      <c r="H71" s="119"/>
      <c r="K71" s="124" t="s">
        <v>1232</v>
      </c>
      <c r="L71" s="116" t="s">
        <v>1514</v>
      </c>
      <c r="M71" s="39" t="str">
        <f t="shared" si="1"/>
        <v>stan.berry@arkansashouse.org</v>
      </c>
      <c r="N71" s="89"/>
      <c r="O71" s="89"/>
      <c r="P71" s="89"/>
      <c r="Q71" s="88">
        <v>2030.0</v>
      </c>
      <c r="R71" s="89"/>
    </row>
    <row r="72">
      <c r="A72" s="14" t="s">
        <v>44</v>
      </c>
      <c r="B72" s="31">
        <v>69.0</v>
      </c>
      <c r="C72" s="38" t="s">
        <v>1107</v>
      </c>
      <c r="D72" s="38" t="s">
        <v>1515</v>
      </c>
      <c r="E72" s="51" t="s">
        <v>53</v>
      </c>
      <c r="F72" s="109"/>
      <c r="G72" s="110" t="s">
        <v>1516</v>
      </c>
      <c r="H72" s="111" t="s">
        <v>1175</v>
      </c>
      <c r="I72" s="110" t="s">
        <v>1115</v>
      </c>
      <c r="J72" s="111" t="s">
        <v>1022</v>
      </c>
      <c r="K72" s="112"/>
      <c r="L72" s="116" t="s">
        <v>1525</v>
      </c>
      <c r="M72" s="39" t="str">
        <f t="shared" si="1"/>
        <v>aaron.pilkington@arkansashouse.org</v>
      </c>
      <c r="N72" s="89"/>
      <c r="O72" s="89"/>
      <c r="P72" s="89"/>
      <c r="Q72" s="88">
        <v>2032.0</v>
      </c>
      <c r="R72" s="89"/>
    </row>
    <row r="73">
      <c r="A73" s="14" t="s">
        <v>44</v>
      </c>
      <c r="B73" s="164">
        <v>70.0</v>
      </c>
      <c r="C73" s="38" t="s">
        <v>108</v>
      </c>
      <c r="D73" s="38" t="s">
        <v>1506</v>
      </c>
      <c r="E73" s="98" t="s">
        <v>53</v>
      </c>
      <c r="F73" s="109"/>
      <c r="G73" s="111" t="s">
        <v>1526</v>
      </c>
      <c r="H73" s="115" t="s">
        <v>1527</v>
      </c>
      <c r="I73" s="111" t="s">
        <v>1528</v>
      </c>
      <c r="J73" s="111" t="s">
        <v>1529</v>
      </c>
      <c r="K73" s="112"/>
      <c r="L73" s="113" t="s">
        <v>1530</v>
      </c>
      <c r="M73" s="39"/>
      <c r="N73" s="89"/>
      <c r="O73" s="89"/>
      <c r="P73" s="89"/>
      <c r="Q73" s="88"/>
      <c r="R73" s="89"/>
    </row>
    <row r="74">
      <c r="A74" s="14" t="s">
        <v>44</v>
      </c>
      <c r="B74" s="31">
        <v>70.0</v>
      </c>
      <c r="C74" s="38" t="s">
        <v>1532</v>
      </c>
      <c r="D74" s="38" t="s">
        <v>1533</v>
      </c>
      <c r="E74" s="51" t="s">
        <v>53</v>
      </c>
      <c r="F74" s="109"/>
      <c r="G74" s="122"/>
      <c r="H74" s="123"/>
      <c r="K74" s="124" t="s">
        <v>1232</v>
      </c>
      <c r="L74" s="116" t="s">
        <v>1534</v>
      </c>
      <c r="M74" s="39" t="str">
        <f t="shared" ref="M74:M104" si="2">Concatenate(Lower(C74),".",Lower(D74),"@arkansashouse.org")</f>
        <v>spencer.hawks@arkansashouse.org</v>
      </c>
      <c r="N74" s="89"/>
      <c r="O74" s="89"/>
      <c r="P74" s="89"/>
      <c r="Q74" s="88">
        <v>2026.0</v>
      </c>
      <c r="R74" s="89"/>
    </row>
    <row r="75">
      <c r="A75" s="14" t="s">
        <v>44</v>
      </c>
      <c r="B75" s="31">
        <v>71.0</v>
      </c>
      <c r="C75" s="38" t="s">
        <v>622</v>
      </c>
      <c r="D75" s="38" t="s">
        <v>1537</v>
      </c>
      <c r="E75" s="51" t="s">
        <v>53</v>
      </c>
      <c r="F75" s="109"/>
      <c r="G75" s="122"/>
      <c r="H75" s="123"/>
      <c r="K75" s="124" t="s">
        <v>1232</v>
      </c>
      <c r="L75" s="113" t="s">
        <v>1538</v>
      </c>
      <c r="M75" s="39" t="str">
        <f t="shared" si="2"/>
        <v>joe.cloud@arkansashouse.org</v>
      </c>
      <c r="N75" s="89"/>
      <c r="O75" s="89"/>
      <c r="P75" s="89"/>
      <c r="Q75" s="88">
        <v>2030.0</v>
      </c>
      <c r="R75" s="89"/>
    </row>
    <row r="76">
      <c r="A76" s="14" t="s">
        <v>44</v>
      </c>
      <c r="B76" s="31">
        <v>72.0</v>
      </c>
      <c r="C76" s="38" t="s">
        <v>1505</v>
      </c>
      <c r="D76" s="38" t="s">
        <v>1539</v>
      </c>
      <c r="E76" s="36" t="s">
        <v>49</v>
      </c>
      <c r="F76" s="109"/>
      <c r="G76" s="110" t="s">
        <v>1540</v>
      </c>
      <c r="H76" s="110" t="s">
        <v>1115</v>
      </c>
      <c r="I76" s="111" t="s">
        <v>1542</v>
      </c>
      <c r="J76" s="111" t="s">
        <v>872</v>
      </c>
      <c r="K76" s="112"/>
      <c r="L76" s="116" t="s">
        <v>1545</v>
      </c>
      <c r="M76" s="39" t="str">
        <f t="shared" si="2"/>
        <v>stephen.magie@arkansashouse.org</v>
      </c>
      <c r="N76" s="89"/>
      <c r="O76" s="89"/>
      <c r="P76" s="89"/>
      <c r="Q76" s="88">
        <v>2028.0</v>
      </c>
      <c r="R76" s="89"/>
    </row>
    <row r="77">
      <c r="A77" s="14" t="s">
        <v>44</v>
      </c>
      <c r="B77" s="31">
        <v>73.0</v>
      </c>
      <c r="C77" s="38" t="s">
        <v>514</v>
      </c>
      <c r="D77" s="38" t="s">
        <v>1546</v>
      </c>
      <c r="E77" s="51" t="s">
        <v>53</v>
      </c>
      <c r="F77" s="109"/>
      <c r="G77" s="110" t="s">
        <v>1115</v>
      </c>
      <c r="H77" s="110" t="s">
        <v>1461</v>
      </c>
      <c r="I77" s="111" t="s">
        <v>1548</v>
      </c>
      <c r="J77" s="111" t="s">
        <v>809</v>
      </c>
      <c r="K77" s="112"/>
      <c r="L77" s="116" t="s">
        <v>1550</v>
      </c>
      <c r="M77" s="39" t="str">
        <f t="shared" si="2"/>
        <v>mary.bentley@arkansashouse.org</v>
      </c>
      <c r="N77" s="89"/>
      <c r="O77" s="89"/>
      <c r="P77" s="89"/>
      <c r="Q77" s="88">
        <v>2030.0</v>
      </c>
      <c r="R77" s="89"/>
    </row>
    <row r="78">
      <c r="A78" s="14" t="s">
        <v>44</v>
      </c>
      <c r="B78" s="31">
        <v>74.0</v>
      </c>
      <c r="C78" s="38" t="s">
        <v>1387</v>
      </c>
      <c r="D78" s="38" t="s">
        <v>931</v>
      </c>
      <c r="E78" s="51" t="s">
        <v>53</v>
      </c>
      <c r="F78" s="12" t="s">
        <v>1498</v>
      </c>
      <c r="G78" s="111" t="s">
        <v>1552</v>
      </c>
      <c r="H78" s="111" t="s">
        <v>1553</v>
      </c>
      <c r="I78" s="111" t="s">
        <v>872</v>
      </c>
      <c r="J78" s="111" t="s">
        <v>1177</v>
      </c>
      <c r="K78" s="112"/>
      <c r="L78" s="116" t="s">
        <v>1557</v>
      </c>
      <c r="M78" s="39" t="str">
        <f t="shared" si="2"/>
        <v>jon.eubanks@arkansashouse.org</v>
      </c>
      <c r="N78" s="89"/>
      <c r="O78" s="89"/>
      <c r="P78" s="89"/>
      <c r="Q78" s="88">
        <v>2026.0</v>
      </c>
      <c r="R78" s="89"/>
    </row>
    <row r="79">
      <c r="A79" s="14" t="s">
        <v>44</v>
      </c>
      <c r="B79" s="31">
        <v>75.0</v>
      </c>
      <c r="C79" s="38" t="s">
        <v>629</v>
      </c>
      <c r="D79" s="38" t="s">
        <v>118</v>
      </c>
      <c r="E79" s="51" t="s">
        <v>53</v>
      </c>
      <c r="F79" s="12" t="s">
        <v>1559</v>
      </c>
      <c r="G79" s="118"/>
      <c r="H79" s="119"/>
      <c r="K79" s="124" t="s">
        <v>1232</v>
      </c>
      <c r="L79" s="116" t="s">
        <v>1560</v>
      </c>
      <c r="M79" s="39" t="str">
        <f t="shared" si="2"/>
        <v>lee.johnson@arkansashouse.org</v>
      </c>
      <c r="N79" s="89"/>
      <c r="O79" s="89"/>
      <c r="P79" s="89"/>
      <c r="Q79" s="88">
        <v>2028.0</v>
      </c>
      <c r="R79" s="89"/>
    </row>
    <row r="80">
      <c r="A80" s="14" t="s">
        <v>44</v>
      </c>
      <c r="B80" s="31">
        <v>76.0</v>
      </c>
      <c r="C80" s="38" t="s">
        <v>1561</v>
      </c>
      <c r="D80" s="38" t="s">
        <v>103</v>
      </c>
      <c r="E80" s="51" t="s">
        <v>53</v>
      </c>
      <c r="F80" s="109"/>
      <c r="G80" s="118"/>
      <c r="H80" s="119"/>
      <c r="K80" s="124" t="s">
        <v>1232</v>
      </c>
      <c r="L80" s="116" t="s">
        <v>1562</v>
      </c>
      <c r="M80" s="39" t="str">
        <f t="shared" si="2"/>
        <v>cindy.crawford@arkansashouse.org</v>
      </c>
      <c r="N80" s="89"/>
      <c r="O80" s="89"/>
      <c r="P80" s="89"/>
      <c r="Q80" s="88">
        <v>2030.0</v>
      </c>
      <c r="R80" s="89"/>
    </row>
    <row r="81">
      <c r="A81" s="14" t="s">
        <v>44</v>
      </c>
      <c r="B81" s="31">
        <v>77.0</v>
      </c>
      <c r="C81" s="38" t="s">
        <v>786</v>
      </c>
      <c r="D81" s="38" t="s">
        <v>388</v>
      </c>
      <c r="E81" s="51" t="s">
        <v>53</v>
      </c>
      <c r="F81" s="109"/>
      <c r="G81" s="110" t="s">
        <v>1115</v>
      </c>
      <c r="H81" s="110" t="s">
        <v>1488</v>
      </c>
      <c r="I81" s="111" t="s">
        <v>1566</v>
      </c>
      <c r="J81" s="111" t="s">
        <v>1567</v>
      </c>
      <c r="K81" s="112"/>
      <c r="L81" s="116" t="s">
        <v>1568</v>
      </c>
      <c r="M81" s="39" t="str">
        <f t="shared" si="2"/>
        <v>justin.boyd@arkansashouse.org</v>
      </c>
      <c r="N81" s="89"/>
      <c r="O81" s="89"/>
      <c r="P81" s="89"/>
      <c r="Q81" s="88">
        <v>2030.0</v>
      </c>
      <c r="R81" s="89"/>
    </row>
    <row r="82">
      <c r="A82" s="14" t="s">
        <v>44</v>
      </c>
      <c r="B82" s="31">
        <v>78.0</v>
      </c>
      <c r="C82" s="38" t="s">
        <v>1013</v>
      </c>
      <c r="D82" s="38" t="s">
        <v>1571</v>
      </c>
      <c r="E82" s="36" t="s">
        <v>49</v>
      </c>
      <c r="F82" s="109"/>
      <c r="G82" s="118"/>
      <c r="H82" s="119"/>
      <c r="K82" s="124" t="s">
        <v>1232</v>
      </c>
      <c r="L82" s="166" t="s">
        <v>1573</v>
      </c>
      <c r="M82" s="39" t="str">
        <f t="shared" si="2"/>
        <v>jay.richardson@arkansashouse.org</v>
      </c>
      <c r="N82" s="89"/>
      <c r="O82" s="89"/>
      <c r="P82" s="89"/>
      <c r="Q82" s="88">
        <v>2028.0</v>
      </c>
      <c r="R82" s="89"/>
    </row>
    <row r="83">
      <c r="A83" s="14" t="s">
        <v>44</v>
      </c>
      <c r="B83" s="31">
        <v>79.0</v>
      </c>
      <c r="C83" s="38" t="s">
        <v>199</v>
      </c>
      <c r="D83" s="38" t="s">
        <v>1574</v>
      </c>
      <c r="E83" s="51" t="s">
        <v>53</v>
      </c>
      <c r="F83" s="109"/>
      <c r="G83" s="111" t="s">
        <v>1575</v>
      </c>
      <c r="H83" s="111" t="s">
        <v>886</v>
      </c>
      <c r="I83" s="111" t="s">
        <v>954</v>
      </c>
      <c r="K83" s="112"/>
      <c r="L83" s="116" t="s">
        <v>1582</v>
      </c>
      <c r="M83" s="39" t="str">
        <f t="shared" si="2"/>
        <v>gary.deffenbaugh@arkansashouse.org</v>
      </c>
      <c r="N83" s="89"/>
      <c r="O83" s="89"/>
      <c r="P83" s="89"/>
      <c r="Q83" s="88">
        <v>2026.0</v>
      </c>
      <c r="R83" s="89"/>
    </row>
    <row r="84">
      <c r="A84" s="14" t="s">
        <v>44</v>
      </c>
      <c r="B84" s="31">
        <v>80.0</v>
      </c>
      <c r="C84" s="38" t="s">
        <v>613</v>
      </c>
      <c r="D84" s="38" t="s">
        <v>1185</v>
      </c>
      <c r="E84" s="51" t="s">
        <v>53</v>
      </c>
      <c r="F84" s="109"/>
      <c r="G84" s="110" t="s">
        <v>922</v>
      </c>
      <c r="H84" s="110" t="s">
        <v>1475</v>
      </c>
      <c r="I84" s="111" t="s">
        <v>1587</v>
      </c>
      <c r="K84" s="112"/>
      <c r="L84" s="113" t="s">
        <v>1588</v>
      </c>
      <c r="M84" s="39" t="str">
        <f t="shared" si="2"/>
        <v>charlene.fite@arkansashouse.org</v>
      </c>
      <c r="N84" s="89"/>
      <c r="O84" s="89"/>
      <c r="P84" s="89"/>
      <c r="Q84" s="88">
        <v>2028.0</v>
      </c>
      <c r="R84" s="89"/>
    </row>
    <row r="85">
      <c r="A85" s="14" t="s">
        <v>44</v>
      </c>
      <c r="B85" s="31">
        <v>81.0</v>
      </c>
      <c r="C85" s="38" t="s">
        <v>1193</v>
      </c>
      <c r="D85" s="38" t="s">
        <v>508</v>
      </c>
      <c r="E85" s="51" t="s">
        <v>53</v>
      </c>
      <c r="F85" s="109"/>
      <c r="G85" s="110" t="s">
        <v>1589</v>
      </c>
      <c r="H85" s="110" t="s">
        <v>1115</v>
      </c>
      <c r="I85" s="111" t="s">
        <v>1207</v>
      </c>
      <c r="J85" s="111" t="s">
        <v>856</v>
      </c>
      <c r="K85" s="112"/>
      <c r="L85" s="116" t="s">
        <v>1604</v>
      </c>
      <c r="M85" s="39" t="str">
        <f t="shared" si="2"/>
        <v>bruce.coleman@arkansashouse.org</v>
      </c>
      <c r="N85" s="89"/>
      <c r="O85" s="89"/>
      <c r="P85" s="89"/>
      <c r="Q85" s="88">
        <v>2032.0</v>
      </c>
      <c r="R85" s="89"/>
    </row>
    <row r="86">
      <c r="A86" s="14" t="s">
        <v>44</v>
      </c>
      <c r="B86" s="31">
        <v>82.0</v>
      </c>
      <c r="C86" s="35" t="s">
        <v>210</v>
      </c>
      <c r="D86" s="35" t="s">
        <v>1606</v>
      </c>
      <c r="E86" s="51" t="s">
        <v>53</v>
      </c>
      <c r="F86" s="109"/>
      <c r="G86" s="110" t="s">
        <v>922</v>
      </c>
      <c r="H86" s="110" t="s">
        <v>1608</v>
      </c>
      <c r="I86" s="115" t="s">
        <v>1612</v>
      </c>
      <c r="J86" s="111" t="s">
        <v>816</v>
      </c>
      <c r="K86" s="112"/>
      <c r="L86" s="113" t="s">
        <v>1616</v>
      </c>
      <c r="M86" s="39" t="str">
        <f t="shared" si="2"/>
        <v>sarah.capp@arkansashouse.org</v>
      </c>
      <c r="N86" s="89"/>
      <c r="O86" s="89"/>
      <c r="P86" s="89"/>
      <c r="Q86" s="88">
        <v>2032.0</v>
      </c>
      <c r="R86" s="89"/>
    </row>
    <row r="87">
      <c r="A87" s="14" t="s">
        <v>44</v>
      </c>
      <c r="B87" s="31">
        <v>83.0</v>
      </c>
      <c r="C87" s="38" t="s">
        <v>1617</v>
      </c>
      <c r="D87" s="38" t="s">
        <v>1618</v>
      </c>
      <c r="E87" s="51" t="s">
        <v>53</v>
      </c>
      <c r="F87" s="109"/>
      <c r="G87" s="118"/>
      <c r="H87" s="119"/>
      <c r="K87" s="124" t="s">
        <v>1232</v>
      </c>
      <c r="L87" s="116" t="s">
        <v>1619</v>
      </c>
      <c r="M87" s="39" t="str">
        <f t="shared" si="2"/>
        <v>keith.slape@arkansashouse.org</v>
      </c>
      <c r="N87" s="89"/>
      <c r="O87" s="89"/>
      <c r="P87" s="89"/>
      <c r="Q87" s="88">
        <v>2034.0</v>
      </c>
      <c r="R87" s="89"/>
    </row>
    <row r="88">
      <c r="A88" s="14" t="s">
        <v>44</v>
      </c>
      <c r="B88" s="31">
        <v>84.0</v>
      </c>
      <c r="C88" s="38" t="s">
        <v>932</v>
      </c>
      <c r="D88" s="38" t="s">
        <v>1620</v>
      </c>
      <c r="E88" s="36" t="s">
        <v>49</v>
      </c>
      <c r="F88" s="109"/>
      <c r="G88" s="122"/>
      <c r="H88" s="123"/>
      <c r="K88" s="124" t="s">
        <v>1232</v>
      </c>
      <c r="L88" s="116" t="s">
        <v>1621</v>
      </c>
      <c r="M88" s="39" t="str">
        <f t="shared" si="2"/>
        <v>denise.garner@arkansashouse.org</v>
      </c>
      <c r="N88" s="89"/>
      <c r="O88" s="89"/>
      <c r="P88" s="89"/>
      <c r="Q88" s="88">
        <v>2026.0</v>
      </c>
      <c r="R88" s="89"/>
    </row>
    <row r="89">
      <c r="A89" s="14" t="s">
        <v>44</v>
      </c>
      <c r="B89" s="31">
        <v>85.0</v>
      </c>
      <c r="C89" s="35" t="s">
        <v>108</v>
      </c>
      <c r="D89" s="35" t="s">
        <v>1624</v>
      </c>
      <c r="E89" s="36" t="s">
        <v>49</v>
      </c>
      <c r="F89" s="109"/>
      <c r="G89" s="121" t="s">
        <v>1625</v>
      </c>
      <c r="H89" s="110" t="s">
        <v>922</v>
      </c>
      <c r="I89" s="111" t="s">
        <v>1322</v>
      </c>
      <c r="J89" s="111" t="s">
        <v>1325</v>
      </c>
      <c r="K89" s="112"/>
      <c r="L89" s="116" t="s">
        <v>1645</v>
      </c>
      <c r="M89" s="39" t="str">
        <f t="shared" si="2"/>
        <v>david.whitaker@arkansashouse.org</v>
      </c>
      <c r="N89" s="89"/>
      <c r="O89" s="89"/>
      <c r="P89" s="89"/>
      <c r="Q89" s="88">
        <v>2028.0</v>
      </c>
      <c r="R89" s="89"/>
    </row>
    <row r="90">
      <c r="A90" s="14" t="s">
        <v>44</v>
      </c>
      <c r="B90" s="31">
        <v>86.0</v>
      </c>
      <c r="C90" s="38" t="s">
        <v>1648</v>
      </c>
      <c r="D90" s="38" t="s">
        <v>1649</v>
      </c>
      <c r="E90" s="36" t="s">
        <v>49</v>
      </c>
      <c r="F90" s="109"/>
      <c r="G90" s="118"/>
      <c r="H90" s="119"/>
      <c r="K90" s="124" t="s">
        <v>1232</v>
      </c>
      <c r="L90" s="116" t="s">
        <v>1650</v>
      </c>
      <c r="M90" s="39" t="str">
        <f t="shared" si="2"/>
        <v>nicole.clowney@arkansashouse.org</v>
      </c>
      <c r="N90" s="89"/>
      <c r="O90" s="89"/>
      <c r="P90" s="89"/>
      <c r="Q90" s="88">
        <v>2026.0</v>
      </c>
      <c r="R90" s="89"/>
    </row>
    <row r="91">
      <c r="A91" s="14" t="s">
        <v>44</v>
      </c>
      <c r="B91" s="31">
        <v>87.0</v>
      </c>
      <c r="C91" s="35" t="s">
        <v>1651</v>
      </c>
      <c r="D91" s="35" t="s">
        <v>1658</v>
      </c>
      <c r="E91" s="51" t="s">
        <v>53</v>
      </c>
      <c r="F91" s="109"/>
      <c r="G91" s="110" t="s">
        <v>1488</v>
      </c>
      <c r="H91" s="110" t="s">
        <v>1115</v>
      </c>
      <c r="I91" s="111" t="s">
        <v>1664</v>
      </c>
      <c r="J91" s="115" t="s">
        <v>1665</v>
      </c>
      <c r="K91" s="112"/>
      <c r="L91" s="116" t="s">
        <v>1666</v>
      </c>
      <c r="M91" s="39" t="str">
        <f t="shared" si="2"/>
        <v>robin.lundstrum@arkansashouse.org</v>
      </c>
      <c r="N91" s="89"/>
      <c r="O91" s="89"/>
      <c r="P91" s="89"/>
      <c r="Q91" s="88">
        <v>2030.0</v>
      </c>
      <c r="R91" s="89"/>
    </row>
    <row r="92">
      <c r="A92" s="14" t="s">
        <v>44</v>
      </c>
      <c r="B92" s="31">
        <v>88.0</v>
      </c>
      <c r="C92" s="35" t="s">
        <v>1667</v>
      </c>
      <c r="D92" s="35" t="s">
        <v>1669</v>
      </c>
      <c r="E92" s="51" t="s">
        <v>53</v>
      </c>
      <c r="F92" s="109"/>
      <c r="G92" s="115" t="s">
        <v>1670</v>
      </c>
      <c r="H92" s="115" t="s">
        <v>1671</v>
      </c>
      <c r="I92" s="111" t="s">
        <v>1207</v>
      </c>
      <c r="J92" s="111" t="s">
        <v>1680</v>
      </c>
      <c r="K92" s="112"/>
      <c r="L92" s="113" t="s">
        <v>1682</v>
      </c>
      <c r="M92" s="39" t="str">
        <f t="shared" si="2"/>
        <v>clint.penzo@arkansashouse.org</v>
      </c>
      <c r="N92" s="89"/>
      <c r="O92" s="89"/>
      <c r="P92" s="89"/>
      <c r="Q92" s="88">
        <v>2032.0</v>
      </c>
      <c r="R92" s="89"/>
    </row>
    <row r="93">
      <c r="A93" s="14" t="s">
        <v>44</v>
      </c>
      <c r="B93" s="31">
        <v>89.0</v>
      </c>
      <c r="C93" s="38" t="s">
        <v>1687</v>
      </c>
      <c r="D93" s="38" t="s">
        <v>1688</v>
      </c>
      <c r="E93" s="36" t="s">
        <v>49</v>
      </c>
      <c r="F93" s="181"/>
      <c r="G93" s="122"/>
      <c r="H93" s="123"/>
      <c r="K93" s="124" t="s">
        <v>1232</v>
      </c>
      <c r="L93" s="116" t="s">
        <v>1691</v>
      </c>
      <c r="M93" s="39" t="str">
        <f t="shared" si="2"/>
        <v>megan.godfrey@arkansashouse.org</v>
      </c>
      <c r="N93" s="89"/>
      <c r="O93" s="89"/>
      <c r="P93" s="89"/>
      <c r="Q93" s="88">
        <v>2032.0</v>
      </c>
      <c r="R93" s="89"/>
    </row>
    <row r="94">
      <c r="A94" s="14" t="s">
        <v>44</v>
      </c>
      <c r="B94" s="31">
        <v>90.0</v>
      </c>
      <c r="C94" s="35" t="s">
        <v>1694</v>
      </c>
      <c r="D94" s="38" t="s">
        <v>1696</v>
      </c>
      <c r="E94" s="51" t="s">
        <v>53</v>
      </c>
      <c r="F94" s="109"/>
      <c r="G94" s="115" t="s">
        <v>1698</v>
      </c>
      <c r="H94" s="115" t="s">
        <v>1699</v>
      </c>
      <c r="I94" s="111" t="s">
        <v>1322</v>
      </c>
      <c r="J94" s="111" t="s">
        <v>1177</v>
      </c>
      <c r="K94" s="112"/>
      <c r="L94" s="116" t="s">
        <v>1711</v>
      </c>
      <c r="M94" s="39" t="str">
        <f t="shared" si="2"/>
        <v>jana.dellarosa@arkansashouse.org</v>
      </c>
      <c r="N94" s="89"/>
      <c r="O94" s="89"/>
      <c r="P94" s="89"/>
      <c r="Q94" s="88">
        <v>2030.0</v>
      </c>
      <c r="R94" s="89"/>
    </row>
    <row r="95">
      <c r="A95" s="14" t="s">
        <v>44</v>
      </c>
      <c r="B95" s="31">
        <v>91.0</v>
      </c>
      <c r="C95" s="35" t="s">
        <v>239</v>
      </c>
      <c r="D95" s="35" t="s">
        <v>1312</v>
      </c>
      <c r="E95" s="51" t="s">
        <v>53</v>
      </c>
      <c r="F95" s="109"/>
      <c r="G95" s="115" t="s">
        <v>1718</v>
      </c>
      <c r="H95" s="111" t="s">
        <v>954</v>
      </c>
      <c r="I95" s="111" t="s">
        <v>872</v>
      </c>
      <c r="J95" s="111" t="s">
        <v>1726</v>
      </c>
      <c r="K95" s="112"/>
      <c r="L95" s="116" t="s">
        <v>1729</v>
      </c>
      <c r="M95" s="39" t="str">
        <f t="shared" si="2"/>
        <v>dan.douglas@arkansashouse.org</v>
      </c>
      <c r="N95" s="89"/>
      <c r="O95" s="89"/>
      <c r="P95" s="89"/>
      <c r="Q95" s="88">
        <v>2028.0</v>
      </c>
      <c r="R95" s="89"/>
    </row>
    <row r="96">
      <c r="A96" s="14" t="s">
        <v>44</v>
      </c>
      <c r="B96" s="31">
        <v>92.0</v>
      </c>
      <c r="C96" s="38" t="s">
        <v>1731</v>
      </c>
      <c r="D96" s="38" t="s">
        <v>1732</v>
      </c>
      <c r="E96" s="51" t="s">
        <v>53</v>
      </c>
      <c r="F96" s="151" t="s">
        <v>1733</v>
      </c>
      <c r="G96" s="122"/>
      <c r="H96" s="123"/>
      <c r="K96" s="124" t="s">
        <v>1232</v>
      </c>
      <c r="L96" s="116" t="s">
        <v>1734</v>
      </c>
      <c r="M96" s="39" t="str">
        <f t="shared" si="2"/>
        <v>gayla.mckenzie@arkansashouse.org</v>
      </c>
      <c r="N96" s="89"/>
      <c r="O96" s="89"/>
      <c r="P96" s="89"/>
      <c r="Q96" s="88">
        <v>2030.0</v>
      </c>
      <c r="R96" s="89"/>
    </row>
    <row r="97">
      <c r="A97" s="14" t="s">
        <v>44</v>
      </c>
      <c r="B97" s="31">
        <v>93.0</v>
      </c>
      <c r="C97" s="35" t="s">
        <v>476</v>
      </c>
      <c r="D97" s="35" t="s">
        <v>1739</v>
      </c>
      <c r="E97" s="51" t="s">
        <v>53</v>
      </c>
      <c r="F97" s="109"/>
      <c r="G97" s="115" t="s">
        <v>1740</v>
      </c>
      <c r="H97" s="115" t="s">
        <v>1741</v>
      </c>
      <c r="I97" s="115" t="s">
        <v>1742</v>
      </c>
      <c r="J97" s="115" t="s">
        <v>1743</v>
      </c>
      <c r="K97" s="112"/>
      <c r="L97" s="113" t="s">
        <v>1744</v>
      </c>
      <c r="M97" s="39" t="str">
        <f t="shared" si="2"/>
        <v>jim.dotson@arkansashouse.org</v>
      </c>
      <c r="N97" s="89"/>
      <c r="O97" s="89"/>
      <c r="P97" s="89"/>
      <c r="Q97" s="88">
        <v>2028.0</v>
      </c>
      <c r="R97" s="89"/>
    </row>
    <row r="98">
      <c r="A98" s="14" t="s">
        <v>44</v>
      </c>
      <c r="B98" s="31">
        <v>94.0</v>
      </c>
      <c r="C98" s="35" t="s">
        <v>1340</v>
      </c>
      <c r="D98" s="35" t="s">
        <v>1746</v>
      </c>
      <c r="E98" s="51" t="s">
        <v>53</v>
      </c>
      <c r="F98" s="109"/>
      <c r="G98" s="121" t="s">
        <v>1747</v>
      </c>
      <c r="H98" s="110" t="s">
        <v>922</v>
      </c>
      <c r="I98" s="111" t="s">
        <v>976</v>
      </c>
      <c r="J98" s="115" t="s">
        <v>1757</v>
      </c>
      <c r="K98" s="112"/>
      <c r="L98" s="116" t="s">
        <v>1758</v>
      </c>
      <c r="M98" s="39" t="str">
        <f t="shared" si="2"/>
        <v>rebecca.petty@arkansashouse.org</v>
      </c>
      <c r="N98" s="89"/>
      <c r="O98" s="89"/>
      <c r="P98" s="89"/>
      <c r="Q98" s="88">
        <v>2030.0</v>
      </c>
      <c r="R98" s="89"/>
    </row>
    <row r="99">
      <c r="A99" s="14" t="s">
        <v>44</v>
      </c>
      <c r="B99" s="31">
        <v>95.0</v>
      </c>
      <c r="C99" s="35" t="s">
        <v>1763</v>
      </c>
      <c r="D99" s="35" t="s">
        <v>1765</v>
      </c>
      <c r="E99" s="51" t="s">
        <v>53</v>
      </c>
      <c r="F99" s="109"/>
      <c r="G99" s="110" t="s">
        <v>1115</v>
      </c>
      <c r="H99" s="110" t="s">
        <v>1488</v>
      </c>
      <c r="I99" s="115" t="s">
        <v>1778</v>
      </c>
      <c r="J99" s="111" t="s">
        <v>809</v>
      </c>
      <c r="K99" s="112"/>
      <c r="L99" s="116" t="s">
        <v>1784</v>
      </c>
      <c r="M99" s="39" t="str">
        <f t="shared" si="2"/>
        <v>austin.mccollum@arkansashouse.org</v>
      </c>
      <c r="N99" s="89"/>
      <c r="O99" s="89"/>
      <c r="P99" s="89"/>
      <c r="Q99" s="88">
        <v>2032.0</v>
      </c>
      <c r="R99" s="89"/>
    </row>
    <row r="100">
      <c r="A100" s="14" t="s">
        <v>44</v>
      </c>
      <c r="B100" s="31">
        <v>96.0</v>
      </c>
      <c r="C100" s="35" t="s">
        <v>1787</v>
      </c>
      <c r="D100" s="35" t="s">
        <v>1429</v>
      </c>
      <c r="E100" s="51" t="s">
        <v>53</v>
      </c>
      <c r="F100" s="109"/>
      <c r="G100" s="115" t="s">
        <v>1789</v>
      </c>
      <c r="H100" s="115" t="s">
        <v>1790</v>
      </c>
      <c r="I100" s="111" t="s">
        <v>1199</v>
      </c>
      <c r="J100" s="111" t="s">
        <v>858</v>
      </c>
      <c r="K100" s="112"/>
      <c r="L100" s="116" t="s">
        <v>1805</v>
      </c>
      <c r="M100" s="39" t="str">
        <f t="shared" si="2"/>
        <v>grant.hodges@arkansashouse.org</v>
      </c>
      <c r="N100" s="89"/>
      <c r="O100" s="89"/>
      <c r="P100" s="89"/>
      <c r="Q100" s="88">
        <v>2030.0</v>
      </c>
      <c r="R100" s="89"/>
    </row>
    <row r="101">
      <c r="A101" s="14" t="s">
        <v>44</v>
      </c>
      <c r="B101" s="31">
        <v>97.0</v>
      </c>
      <c r="C101" s="38" t="s">
        <v>1807</v>
      </c>
      <c r="D101" s="38" t="s">
        <v>1808</v>
      </c>
      <c r="E101" s="51" t="s">
        <v>53</v>
      </c>
      <c r="F101" s="109"/>
      <c r="G101" s="122"/>
      <c r="H101" s="183"/>
      <c r="K101" s="124" t="s">
        <v>1232</v>
      </c>
      <c r="L101" s="113" t="s">
        <v>1811</v>
      </c>
      <c r="M101" s="39" t="str">
        <f t="shared" si="2"/>
        <v>harlan.breaux@arkansashouse.org</v>
      </c>
      <c r="N101" s="89"/>
      <c r="O101" s="89"/>
      <c r="P101" s="89"/>
      <c r="Q101" s="88">
        <v>2028.0</v>
      </c>
      <c r="R101" s="89"/>
    </row>
    <row r="102">
      <c r="A102" s="14" t="s">
        <v>44</v>
      </c>
      <c r="B102" s="31">
        <v>98.0</v>
      </c>
      <c r="C102" s="35" t="s">
        <v>1813</v>
      </c>
      <c r="D102" s="35" t="s">
        <v>1817</v>
      </c>
      <c r="E102" s="51" t="s">
        <v>53</v>
      </c>
      <c r="F102" s="109"/>
      <c r="G102" s="115" t="s">
        <v>1818</v>
      </c>
      <c r="H102" s="111" t="s">
        <v>954</v>
      </c>
      <c r="I102" s="111" t="s">
        <v>872</v>
      </c>
      <c r="J102" s="111" t="s">
        <v>1836</v>
      </c>
      <c r="K102" s="112"/>
      <c r="L102" s="116" t="s">
        <v>1843</v>
      </c>
      <c r="M102" s="39" t="str">
        <f t="shared" si="2"/>
        <v>ron.mcnair@arkansashouse.org</v>
      </c>
      <c r="N102" s="89"/>
      <c r="O102" s="89"/>
      <c r="P102" s="89"/>
      <c r="Q102" s="88">
        <v>2030.0</v>
      </c>
      <c r="R102" s="89"/>
    </row>
    <row r="103">
      <c r="A103" s="14" t="s">
        <v>44</v>
      </c>
      <c r="B103" s="31">
        <v>99.0</v>
      </c>
      <c r="C103" s="35" t="s">
        <v>792</v>
      </c>
      <c r="D103" s="35" t="s">
        <v>1845</v>
      </c>
      <c r="E103" s="51" t="s">
        <v>53</v>
      </c>
      <c r="F103" s="109"/>
      <c r="G103" s="111" t="s">
        <v>1846</v>
      </c>
      <c r="H103" s="111" t="s">
        <v>1022</v>
      </c>
      <c r="I103" s="111" t="s">
        <v>1035</v>
      </c>
      <c r="J103" s="111" t="s">
        <v>1856</v>
      </c>
      <c r="K103" s="112"/>
      <c r="L103" s="116" t="s">
        <v>1864</v>
      </c>
      <c r="M103" s="39" t="str">
        <f t="shared" si="2"/>
        <v>jack.fortner@arkansashouse.org</v>
      </c>
      <c r="N103" s="89"/>
      <c r="O103" s="89"/>
      <c r="P103" s="89"/>
      <c r="Q103" s="88">
        <v>2032.0</v>
      </c>
      <c r="R103" s="89"/>
    </row>
    <row r="104">
      <c r="A104" s="14" t="s">
        <v>44</v>
      </c>
      <c r="B104" s="31">
        <v>100.0</v>
      </c>
      <c r="C104" s="35" t="s">
        <v>1866</v>
      </c>
      <c r="D104" s="35" t="s">
        <v>1870</v>
      </c>
      <c r="E104" s="51" t="s">
        <v>53</v>
      </c>
      <c r="F104" s="109"/>
      <c r="G104" s="115" t="s">
        <v>1871</v>
      </c>
      <c r="H104" s="111" t="s">
        <v>1872</v>
      </c>
      <c r="I104" s="115" t="s">
        <v>1873</v>
      </c>
      <c r="J104" s="111" t="s">
        <v>1022</v>
      </c>
      <c r="K104" s="112"/>
      <c r="L104" s="113" t="s">
        <v>1878</v>
      </c>
      <c r="M104" s="39" t="str">
        <f t="shared" si="2"/>
        <v>nelda.speaks@arkansashouse.org</v>
      </c>
      <c r="N104" s="89"/>
      <c r="O104" s="89"/>
      <c r="P104" s="89"/>
      <c r="Q104" s="88">
        <v>2030.0</v>
      </c>
      <c r="R104" s="89"/>
    </row>
    <row r="105">
      <c r="A105" s="70"/>
      <c r="B105" s="70"/>
      <c r="C105" s="71"/>
      <c r="D105" s="71"/>
      <c r="E105" s="70"/>
      <c r="F105" s="184"/>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row>
    <row r="106">
      <c r="A106" s="14" t="s">
        <v>286</v>
      </c>
      <c r="B106" s="31">
        <v>1.0</v>
      </c>
      <c r="C106" s="35" t="s">
        <v>1881</v>
      </c>
      <c r="D106" s="35" t="s">
        <v>1886</v>
      </c>
      <c r="E106" s="51" t="s">
        <v>53</v>
      </c>
      <c r="F106" s="109"/>
      <c r="G106" s="111" t="s">
        <v>1345</v>
      </c>
      <c r="H106" s="111" t="s">
        <v>1346</v>
      </c>
      <c r="I106" s="115" t="s">
        <v>1318</v>
      </c>
      <c r="J106" s="111" t="s">
        <v>1887</v>
      </c>
      <c r="K106" s="112"/>
      <c r="L106" s="116" t="s">
        <v>1888</v>
      </c>
      <c r="M106" s="39" t="str">
        <f t="shared" ref="M106:M140" si="3">Concatenate(Lower(C106),".",Lower(D106),"@arkansashouse.org")</f>
        <v>bart.hester@arkansashouse.org</v>
      </c>
      <c r="N106" s="89"/>
      <c r="O106" s="89"/>
      <c r="P106" s="88">
        <v>2020.0</v>
      </c>
      <c r="Q106" s="88">
        <v>2028.0</v>
      </c>
      <c r="R106" s="91" t="s">
        <v>1892</v>
      </c>
    </row>
    <row r="107">
      <c r="A107" s="14" t="s">
        <v>286</v>
      </c>
      <c r="B107" s="31">
        <v>2.0</v>
      </c>
      <c r="C107" s="35" t="s">
        <v>476</v>
      </c>
      <c r="D107" s="35" t="s">
        <v>1904</v>
      </c>
      <c r="E107" s="51" t="s">
        <v>53</v>
      </c>
      <c r="F107" s="109"/>
      <c r="G107" s="111" t="s">
        <v>840</v>
      </c>
      <c r="H107" s="111" t="s">
        <v>1905</v>
      </c>
      <c r="I107" s="111" t="s">
        <v>1353</v>
      </c>
      <c r="J107" s="115" t="s">
        <v>1906</v>
      </c>
      <c r="K107" s="112"/>
      <c r="L107" s="113" t="s">
        <v>1907</v>
      </c>
      <c r="M107" s="39" t="str">
        <f t="shared" si="3"/>
        <v>jim.hendren@arkansashouse.org</v>
      </c>
      <c r="N107" s="89"/>
      <c r="O107" s="89"/>
      <c r="P107" s="88">
        <v>2020.0</v>
      </c>
      <c r="Q107" s="88">
        <v>2028.0</v>
      </c>
      <c r="R107" s="91" t="s">
        <v>1908</v>
      </c>
    </row>
    <row r="108">
      <c r="A108" s="14" t="s">
        <v>286</v>
      </c>
      <c r="B108" s="31">
        <v>3.0</v>
      </c>
      <c r="C108" s="35" t="s">
        <v>1913</v>
      </c>
      <c r="D108" s="35" t="s">
        <v>1915</v>
      </c>
      <c r="E108" s="51" t="s">
        <v>53</v>
      </c>
      <c r="F108" s="12" t="s">
        <v>1916</v>
      </c>
      <c r="G108" s="110" t="s">
        <v>1917</v>
      </c>
      <c r="H108" s="111" t="s">
        <v>1918</v>
      </c>
      <c r="I108" s="111" t="s">
        <v>886</v>
      </c>
      <c r="J108" s="111" t="s">
        <v>954</v>
      </c>
      <c r="K108" s="112"/>
      <c r="L108" s="116" t="s">
        <v>1933</v>
      </c>
      <c r="M108" s="39" t="str">
        <f t="shared" si="3"/>
        <v>cecile.bledsoe@arkansashouse.org</v>
      </c>
      <c r="N108" s="89"/>
      <c r="O108" s="89"/>
      <c r="P108" s="88">
        <v>2018.0</v>
      </c>
      <c r="Q108" s="88">
        <v>2020.0</v>
      </c>
      <c r="R108" s="91" t="s">
        <v>494</v>
      </c>
    </row>
    <row r="109">
      <c r="A109" s="14" t="s">
        <v>286</v>
      </c>
      <c r="B109" s="31">
        <v>4.0</v>
      </c>
      <c r="C109" s="38" t="s">
        <v>997</v>
      </c>
      <c r="D109" s="38" t="s">
        <v>1935</v>
      </c>
      <c r="E109" s="36" t="s">
        <v>49</v>
      </c>
      <c r="F109" s="109"/>
      <c r="G109" s="118"/>
      <c r="H109" s="119"/>
      <c r="K109" s="124" t="s">
        <v>1232</v>
      </c>
      <c r="L109" s="113" t="s">
        <v>1936</v>
      </c>
      <c r="M109" s="39" t="str">
        <f t="shared" si="3"/>
        <v>greg.leding@arkansashouse.org</v>
      </c>
      <c r="N109" s="89"/>
      <c r="O109" s="89"/>
      <c r="P109" s="88">
        <v>2018.0</v>
      </c>
      <c r="Q109" s="88">
        <v>2026.0</v>
      </c>
      <c r="R109" s="91" t="s">
        <v>1937</v>
      </c>
    </row>
    <row r="110">
      <c r="A110" s="14" t="s">
        <v>286</v>
      </c>
      <c r="B110" s="31">
        <v>5.0</v>
      </c>
      <c r="C110" s="38" t="s">
        <v>419</v>
      </c>
      <c r="D110" s="38" t="s">
        <v>1939</v>
      </c>
      <c r="E110" s="51" t="s">
        <v>53</v>
      </c>
      <c r="F110" s="109"/>
      <c r="G110" s="122"/>
      <c r="H110" s="123"/>
      <c r="K110" s="124" t="s">
        <v>1232</v>
      </c>
      <c r="L110" s="116" t="s">
        <v>1940</v>
      </c>
      <c r="M110" s="39" t="str">
        <f t="shared" si="3"/>
        <v>bob.ballinger@arkansashouse.org</v>
      </c>
      <c r="N110" s="89"/>
      <c r="O110" s="89"/>
      <c r="P110" s="88">
        <v>2018.0</v>
      </c>
      <c r="Q110" s="88">
        <v>2024.0</v>
      </c>
      <c r="R110" s="91" t="s">
        <v>1941</v>
      </c>
    </row>
    <row r="111">
      <c r="A111" s="14" t="s">
        <v>286</v>
      </c>
      <c r="B111" s="31">
        <v>6.0</v>
      </c>
      <c r="C111" s="35" t="s">
        <v>199</v>
      </c>
      <c r="D111" s="35" t="s">
        <v>1949</v>
      </c>
      <c r="E111" s="51" t="s">
        <v>53</v>
      </c>
      <c r="F111" s="109"/>
      <c r="G111" s="110" t="s">
        <v>1950</v>
      </c>
      <c r="H111" s="110" t="s">
        <v>1954</v>
      </c>
      <c r="I111" s="110" t="s">
        <v>1958</v>
      </c>
      <c r="J111" s="115" t="s">
        <v>1962</v>
      </c>
      <c r="K111" s="112"/>
      <c r="L111" s="113" t="s">
        <v>1963</v>
      </c>
      <c r="M111" s="39" t="str">
        <f t="shared" si="3"/>
        <v>gary.stubblefield@arkansashouse.org</v>
      </c>
      <c r="N111" s="89"/>
      <c r="O111" s="89"/>
      <c r="P111" s="88">
        <v>2018.0</v>
      </c>
      <c r="Q111" s="88">
        <v>2028.0</v>
      </c>
      <c r="R111" s="91" t="s">
        <v>29</v>
      </c>
    </row>
    <row r="112">
      <c r="A112" s="14" t="s">
        <v>286</v>
      </c>
      <c r="B112" s="31">
        <v>7.0</v>
      </c>
      <c r="C112" s="35" t="s">
        <v>185</v>
      </c>
      <c r="D112" s="35" t="s">
        <v>1970</v>
      </c>
      <c r="E112" s="51" t="s">
        <v>53</v>
      </c>
      <c r="F112" s="109"/>
      <c r="G112" s="121" t="s">
        <v>1971</v>
      </c>
      <c r="H112" s="110" t="s">
        <v>1972</v>
      </c>
      <c r="I112" s="115" t="s">
        <v>1976</v>
      </c>
      <c r="J112" s="115" t="s">
        <v>1548</v>
      </c>
      <c r="K112" s="112"/>
      <c r="L112" s="113" t="s">
        <v>1978</v>
      </c>
      <c r="M112" s="39" t="str">
        <f t="shared" si="3"/>
        <v>lance.eads@arkansashouse.org</v>
      </c>
      <c r="N112" s="89"/>
      <c r="O112" s="89"/>
      <c r="P112" s="88">
        <v>2020.0</v>
      </c>
      <c r="Q112" s="88">
        <v>2032.0</v>
      </c>
      <c r="R112" s="91" t="s">
        <v>1979</v>
      </c>
    </row>
    <row r="113">
      <c r="A113" s="14" t="s">
        <v>286</v>
      </c>
      <c r="B113" s="31">
        <v>8.0</v>
      </c>
      <c r="C113" s="78" t="s">
        <v>1982</v>
      </c>
      <c r="D113" s="78" t="s">
        <v>1983</v>
      </c>
      <c r="E113" s="51" t="s">
        <v>53</v>
      </c>
      <c r="F113" s="109"/>
      <c r="G113" s="122"/>
      <c r="H113" s="123"/>
      <c r="K113" s="124" t="s">
        <v>1232</v>
      </c>
      <c r="L113" s="113" t="s">
        <v>1984</v>
      </c>
      <c r="M113" s="39" t="str">
        <f t="shared" si="3"/>
        <v>mathew.pitsch@arkansashouse.org</v>
      </c>
      <c r="N113" s="89"/>
      <c r="O113" s="89"/>
      <c r="P113" s="88">
        <v>2018.0</v>
      </c>
      <c r="Q113" s="185"/>
      <c r="R113" s="185"/>
    </row>
    <row r="114">
      <c r="A114" s="14" t="s">
        <v>286</v>
      </c>
      <c r="B114" s="31">
        <v>9.0</v>
      </c>
      <c r="C114" s="35" t="s">
        <v>1990</v>
      </c>
      <c r="D114" s="35" t="s">
        <v>1993</v>
      </c>
      <c r="E114" s="51" t="s">
        <v>53</v>
      </c>
      <c r="F114" s="109"/>
      <c r="G114" s="110" t="s">
        <v>1994</v>
      </c>
      <c r="H114" s="110" t="s">
        <v>1954</v>
      </c>
      <c r="I114" s="110" t="s">
        <v>1958</v>
      </c>
      <c r="J114" s="115" t="s">
        <v>1553</v>
      </c>
      <c r="K114" s="112"/>
      <c r="L114" s="116" t="s">
        <v>2006</v>
      </c>
      <c r="M114" s="39" t="str">
        <f t="shared" si="3"/>
        <v>terry.rice@arkansashouse.org</v>
      </c>
      <c r="N114" s="89"/>
      <c r="O114" s="89"/>
      <c r="P114" s="88">
        <v>2018.0</v>
      </c>
      <c r="Q114" s="88">
        <v>2024.0</v>
      </c>
      <c r="R114" s="91" t="s">
        <v>1955</v>
      </c>
    </row>
    <row r="115">
      <c r="A115" s="14" t="s">
        <v>286</v>
      </c>
      <c r="B115" s="31">
        <v>10.0</v>
      </c>
      <c r="C115" s="35" t="s">
        <v>839</v>
      </c>
      <c r="D115" s="35" t="s">
        <v>2014</v>
      </c>
      <c r="E115" s="36" t="s">
        <v>49</v>
      </c>
      <c r="F115" s="109"/>
      <c r="G115" s="111" t="s">
        <v>838</v>
      </c>
      <c r="H115" s="111" t="s">
        <v>870</v>
      </c>
      <c r="I115" s="115" t="s">
        <v>2015</v>
      </c>
      <c r="J115" s="115" t="s">
        <v>1527</v>
      </c>
      <c r="K115" s="112"/>
      <c r="L115" s="113" t="s">
        <v>2016</v>
      </c>
      <c r="M115" s="39" t="str">
        <f t="shared" si="3"/>
        <v>larry.teague@arkansashouse.org</v>
      </c>
      <c r="N115" s="89"/>
      <c r="O115" s="89"/>
      <c r="P115" s="88">
        <v>2018.0</v>
      </c>
      <c r="Q115" s="88">
        <v>2020.0</v>
      </c>
      <c r="R115" s="91" t="s">
        <v>2017</v>
      </c>
    </row>
    <row r="116">
      <c r="A116" s="14" t="s">
        <v>286</v>
      </c>
      <c r="B116" s="31">
        <v>11.0</v>
      </c>
      <c r="C116" s="35" t="s">
        <v>455</v>
      </c>
      <c r="D116" s="35" t="s">
        <v>2024</v>
      </c>
      <c r="E116" s="51" t="s">
        <v>53</v>
      </c>
      <c r="F116" s="109"/>
      <c r="G116" s="111" t="s">
        <v>2025</v>
      </c>
      <c r="H116" s="115" t="s">
        <v>2026</v>
      </c>
      <c r="I116" s="115" t="s">
        <v>2028</v>
      </c>
      <c r="J116" s="111" t="s">
        <v>954</v>
      </c>
      <c r="K116" s="112"/>
      <c r="L116" s="116" t="s">
        <v>2035</v>
      </c>
      <c r="M116" s="39" t="str">
        <f t="shared" si="3"/>
        <v>jimmy.hickey@arkansashouse.org</v>
      </c>
      <c r="N116" s="89"/>
      <c r="O116" s="89"/>
      <c r="P116" s="88">
        <v>2020.0</v>
      </c>
      <c r="Q116" s="88">
        <v>2028.0</v>
      </c>
      <c r="R116" s="91" t="s">
        <v>2036</v>
      </c>
    </row>
    <row r="117">
      <c r="A117" s="14" t="s">
        <v>286</v>
      </c>
      <c r="B117" s="31">
        <v>12.0</v>
      </c>
      <c r="C117" s="35" t="s">
        <v>1193</v>
      </c>
      <c r="D117" s="35" t="s">
        <v>2044</v>
      </c>
      <c r="E117" s="36" t="s">
        <v>49</v>
      </c>
      <c r="F117" s="109"/>
      <c r="G117" s="115" t="s">
        <v>2046</v>
      </c>
      <c r="H117" s="115" t="s">
        <v>2047</v>
      </c>
      <c r="I117" s="111" t="s">
        <v>2048</v>
      </c>
      <c r="J117" s="115" t="s">
        <v>2049</v>
      </c>
      <c r="K117" s="112"/>
      <c r="L117" s="113" t="s">
        <v>2050</v>
      </c>
      <c r="M117" s="39" t="str">
        <f t="shared" si="3"/>
        <v>bruce.maloch@arkansashouse.org</v>
      </c>
      <c r="N117" s="89"/>
      <c r="O117" s="89"/>
      <c r="P117" s="88">
        <v>2020.0</v>
      </c>
      <c r="Q117" s="88">
        <v>2028.0</v>
      </c>
      <c r="R117" s="91" t="s">
        <v>2052</v>
      </c>
    </row>
    <row r="118">
      <c r="A118" s="14" t="s">
        <v>286</v>
      </c>
      <c r="B118" s="31">
        <v>13.0</v>
      </c>
      <c r="C118" s="35" t="s">
        <v>551</v>
      </c>
      <c r="D118" s="35" t="s">
        <v>2063</v>
      </c>
      <c r="E118" s="51" t="s">
        <v>53</v>
      </c>
      <c r="F118" s="109"/>
      <c r="G118" s="115" t="s">
        <v>2064</v>
      </c>
      <c r="H118" s="111" t="s">
        <v>2065</v>
      </c>
      <c r="I118" s="111" t="s">
        <v>2066</v>
      </c>
      <c r="J118" s="111" t="s">
        <v>976</v>
      </c>
      <c r="K118" s="112"/>
      <c r="L118" s="116" t="s">
        <v>2072</v>
      </c>
      <c r="M118" s="39" t="str">
        <f t="shared" si="3"/>
        <v>alan.clark@arkansashouse.org</v>
      </c>
      <c r="N118" s="89"/>
      <c r="O118" s="89"/>
      <c r="P118" s="88">
        <v>2020.0</v>
      </c>
      <c r="Q118" s="88">
        <v>2028.0</v>
      </c>
      <c r="R118" s="91" t="s">
        <v>2073</v>
      </c>
    </row>
    <row r="119">
      <c r="A119" s="14" t="s">
        <v>286</v>
      </c>
      <c r="B119" s="31">
        <v>14.0</v>
      </c>
      <c r="C119" s="35" t="s">
        <v>325</v>
      </c>
      <c r="D119" s="35" t="s">
        <v>2080</v>
      </c>
      <c r="E119" s="51" t="s">
        <v>53</v>
      </c>
      <c r="F119" s="109"/>
      <c r="G119" s="115" t="s">
        <v>1740</v>
      </c>
      <c r="H119" s="111" t="s">
        <v>2081</v>
      </c>
      <c r="I119" s="111" t="s">
        <v>1742</v>
      </c>
      <c r="J119" s="111" t="s">
        <v>809</v>
      </c>
      <c r="K119" s="112"/>
      <c r="L119" s="113" t="s">
        <v>2083</v>
      </c>
      <c r="M119" s="39" t="str">
        <f t="shared" si="3"/>
        <v>bill.sample@arkansashouse.org</v>
      </c>
      <c r="N119" s="89"/>
      <c r="O119" s="89"/>
      <c r="P119" s="88">
        <v>2018.0</v>
      </c>
      <c r="Q119" s="88">
        <v>2020.0</v>
      </c>
      <c r="R119" s="91" t="s">
        <v>2085</v>
      </c>
    </row>
    <row r="120">
      <c r="A120" s="14" t="s">
        <v>286</v>
      </c>
      <c r="B120" s="31">
        <v>15.0</v>
      </c>
      <c r="C120" s="38" t="s">
        <v>91</v>
      </c>
      <c r="D120" s="38" t="s">
        <v>118</v>
      </c>
      <c r="E120" s="51" t="s">
        <v>53</v>
      </c>
      <c r="F120" s="12" t="s">
        <v>1916</v>
      </c>
      <c r="G120" s="118"/>
      <c r="H120" s="119"/>
      <c r="K120" s="124" t="s">
        <v>2093</v>
      </c>
      <c r="L120" s="113" t="s">
        <v>2094</v>
      </c>
      <c r="M120" s="39" t="str">
        <f t="shared" si="3"/>
        <v>mark.johnson@arkansashouse.org</v>
      </c>
      <c r="N120" s="89"/>
      <c r="O120" s="89"/>
      <c r="P120" s="88">
        <v>2018.0</v>
      </c>
      <c r="Q120" s="88">
        <v>2026.0</v>
      </c>
      <c r="R120" s="91" t="s">
        <v>2095</v>
      </c>
    </row>
    <row r="121">
      <c r="A121" s="14" t="s">
        <v>286</v>
      </c>
      <c r="B121" s="31">
        <v>16.0</v>
      </c>
      <c r="C121" s="35" t="s">
        <v>2098</v>
      </c>
      <c r="D121" s="35" t="s">
        <v>1254</v>
      </c>
      <c r="E121" s="51" t="s">
        <v>53</v>
      </c>
      <c r="F121" s="15"/>
      <c r="G121" s="110" t="s">
        <v>1950</v>
      </c>
      <c r="H121" s="111" t="s">
        <v>2107</v>
      </c>
      <c r="I121" s="111" t="s">
        <v>2113</v>
      </c>
      <c r="J121" s="111" t="s">
        <v>2116</v>
      </c>
      <c r="K121" s="112"/>
      <c r="L121" s="116" t="s">
        <v>2122</v>
      </c>
      <c r="M121" s="39" t="str">
        <f t="shared" si="3"/>
        <v>breanne.davis@arkansashouse.org</v>
      </c>
      <c r="N121" s="89"/>
      <c r="O121" s="89"/>
      <c r="P121" s="88">
        <v>2020.0</v>
      </c>
      <c r="Q121" s="185"/>
      <c r="R121" s="91" t="s">
        <v>2123</v>
      </c>
    </row>
    <row r="122">
      <c r="A122" s="14" t="s">
        <v>286</v>
      </c>
      <c r="B122" s="31">
        <v>17.0</v>
      </c>
      <c r="C122" s="35" t="s">
        <v>45</v>
      </c>
      <c r="D122" s="35" t="s">
        <v>2130</v>
      </c>
      <c r="E122" s="51" t="s">
        <v>53</v>
      </c>
      <c r="F122" s="15"/>
      <c r="G122" s="110" t="s">
        <v>2131</v>
      </c>
      <c r="H122" s="110" t="s">
        <v>1972</v>
      </c>
      <c r="I122" s="111" t="s">
        <v>2142</v>
      </c>
      <c r="J122" s="115" t="s">
        <v>2143</v>
      </c>
      <c r="K122" s="112"/>
      <c r="L122" s="113" t="s">
        <v>2144</v>
      </c>
      <c r="M122" s="39" t="str">
        <f t="shared" si="3"/>
        <v>scott.flippo@arkansashouse.org</v>
      </c>
      <c r="N122" s="89"/>
      <c r="O122" s="89"/>
      <c r="P122" s="88">
        <v>2018.0</v>
      </c>
      <c r="Q122" s="88">
        <v>2030.0</v>
      </c>
      <c r="R122" s="91" t="s">
        <v>2145</v>
      </c>
    </row>
    <row r="123">
      <c r="A123" s="14" t="s">
        <v>286</v>
      </c>
      <c r="B123" s="31">
        <v>18.0</v>
      </c>
      <c r="C123" s="35" t="s">
        <v>2150</v>
      </c>
      <c r="D123" s="35" t="s">
        <v>2153</v>
      </c>
      <c r="E123" s="51" t="s">
        <v>53</v>
      </c>
      <c r="F123" s="12" t="s">
        <v>1916</v>
      </c>
      <c r="G123" s="121" t="s">
        <v>2155</v>
      </c>
      <c r="H123" s="110" t="s">
        <v>2131</v>
      </c>
      <c r="I123" s="110" t="s">
        <v>1972</v>
      </c>
      <c r="J123" s="115" t="s">
        <v>1317</v>
      </c>
      <c r="K123" s="112"/>
      <c r="L123" s="116" t="s">
        <v>2161</v>
      </c>
      <c r="M123" s="39" t="str">
        <f t="shared" si="3"/>
        <v>missy.irvin@arkansashouse.org</v>
      </c>
      <c r="N123" s="89"/>
      <c r="O123" s="89"/>
      <c r="P123" s="88">
        <v>2018.0</v>
      </c>
      <c r="Q123" s="88">
        <v>2026.0</v>
      </c>
      <c r="R123" s="91" t="s">
        <v>2162</v>
      </c>
    </row>
    <row r="124">
      <c r="A124" s="14" t="s">
        <v>286</v>
      </c>
      <c r="B124" s="31">
        <v>19.0</v>
      </c>
      <c r="C124" s="38" t="s">
        <v>2166</v>
      </c>
      <c r="D124" s="38" t="s">
        <v>2167</v>
      </c>
      <c r="E124" s="51" t="s">
        <v>53</v>
      </c>
      <c r="F124" s="15"/>
      <c r="H124" s="115"/>
      <c r="K124" s="124" t="s">
        <v>1232</v>
      </c>
      <c r="L124" s="116" t="s">
        <v>2168</v>
      </c>
      <c r="M124" s="39" t="str">
        <f t="shared" si="3"/>
        <v>jame.sturch@arkansashouse.org</v>
      </c>
      <c r="N124" s="89"/>
      <c r="O124" s="89"/>
      <c r="P124" s="88">
        <v>2018.0</v>
      </c>
      <c r="Q124" s="88">
        <v>2026.0</v>
      </c>
      <c r="R124" s="91" t="s">
        <v>2169</v>
      </c>
    </row>
    <row r="125">
      <c r="A125" s="14" t="s">
        <v>286</v>
      </c>
      <c r="B125" s="31">
        <v>20.0</v>
      </c>
      <c r="C125" s="35" t="s">
        <v>1288</v>
      </c>
      <c r="D125" s="35" t="s">
        <v>118</v>
      </c>
      <c r="E125" s="51" t="s">
        <v>53</v>
      </c>
      <c r="F125" s="15"/>
      <c r="G125" s="111" t="s">
        <v>1224</v>
      </c>
      <c r="H125" s="115" t="s">
        <v>1575</v>
      </c>
      <c r="I125" s="111" t="s">
        <v>2178</v>
      </c>
      <c r="J125" s="111" t="s">
        <v>954</v>
      </c>
      <c r="K125" s="112"/>
      <c r="L125" s="116" t="s">
        <v>2181</v>
      </c>
      <c r="M125" s="39" t="str">
        <f t="shared" si="3"/>
        <v>blake.johnson@arkansashouse.org</v>
      </c>
      <c r="N125" s="89"/>
      <c r="O125" s="89"/>
      <c r="P125" s="88">
        <v>2018.0</v>
      </c>
      <c r="Q125" s="88">
        <v>2030.0</v>
      </c>
      <c r="R125" s="91" t="s">
        <v>2182</v>
      </c>
    </row>
    <row r="126">
      <c r="A126" s="14" t="s">
        <v>286</v>
      </c>
      <c r="B126" s="31">
        <v>21.0</v>
      </c>
      <c r="C126" s="35" t="s">
        <v>278</v>
      </c>
      <c r="D126" s="35" t="s">
        <v>1336</v>
      </c>
      <c r="E126" s="51" t="s">
        <v>53</v>
      </c>
      <c r="F126" s="15"/>
      <c r="G126" s="110" t="s">
        <v>2131</v>
      </c>
      <c r="H126" s="110" t="s">
        <v>2192</v>
      </c>
      <c r="I126" s="110" t="s">
        <v>1972</v>
      </c>
      <c r="J126" s="115" t="s">
        <v>1507</v>
      </c>
      <c r="K126" s="112"/>
      <c r="L126" s="113" t="s">
        <v>2205</v>
      </c>
      <c r="M126" s="39" t="str">
        <f t="shared" si="3"/>
        <v>john.cooper@arkansashouse.org</v>
      </c>
      <c r="N126" s="89"/>
      <c r="O126" s="89"/>
      <c r="P126" s="88">
        <v>2020.0</v>
      </c>
      <c r="Q126" s="88">
        <v>2032.0</v>
      </c>
      <c r="R126" s="91" t="s">
        <v>2208</v>
      </c>
    </row>
    <row r="127">
      <c r="A127" s="14" t="s">
        <v>286</v>
      </c>
      <c r="B127" s="31">
        <v>22.0</v>
      </c>
      <c r="C127" s="35" t="s">
        <v>108</v>
      </c>
      <c r="D127" s="35" t="s">
        <v>2214</v>
      </c>
      <c r="E127" s="51" t="s">
        <v>53</v>
      </c>
      <c r="F127" s="15"/>
      <c r="G127" s="115" t="s">
        <v>1316</v>
      </c>
      <c r="H127" s="115" t="s">
        <v>1453</v>
      </c>
      <c r="I127" s="111" t="s">
        <v>2217</v>
      </c>
      <c r="J127" s="115" t="s">
        <v>2219</v>
      </c>
      <c r="K127" s="112"/>
      <c r="L127" s="113" t="s">
        <v>2220</v>
      </c>
      <c r="M127" s="39" t="str">
        <f t="shared" si="3"/>
        <v>david.wallace@arkansashouse.org</v>
      </c>
      <c r="N127" s="89"/>
      <c r="O127" s="89"/>
      <c r="P127" s="88">
        <v>2020.0</v>
      </c>
      <c r="Q127" s="88">
        <v>2026.0</v>
      </c>
      <c r="R127" s="91" t="s">
        <v>2221</v>
      </c>
    </row>
    <row r="128">
      <c r="A128" s="14" t="s">
        <v>286</v>
      </c>
      <c r="B128" s="31">
        <v>23.0</v>
      </c>
      <c r="C128" s="35" t="s">
        <v>1813</v>
      </c>
      <c r="D128" s="35" t="s">
        <v>2230</v>
      </c>
      <c r="E128" s="51" t="s">
        <v>53</v>
      </c>
      <c r="F128" s="15"/>
      <c r="G128" s="111" t="s">
        <v>2231</v>
      </c>
      <c r="H128" s="115" t="s">
        <v>1397</v>
      </c>
      <c r="I128" s="115" t="s">
        <v>2232</v>
      </c>
      <c r="J128" s="115" t="s">
        <v>2233</v>
      </c>
      <c r="K128" s="112"/>
      <c r="L128" s="113" t="s">
        <v>2234</v>
      </c>
      <c r="M128" s="39" t="str">
        <f t="shared" si="3"/>
        <v>ron.caldwell@arkansashouse.org</v>
      </c>
      <c r="N128" s="89"/>
      <c r="O128" s="89"/>
      <c r="P128" s="88">
        <v>2020.0</v>
      </c>
      <c r="Q128" s="88">
        <v>2028.0</v>
      </c>
      <c r="R128" s="91" t="s">
        <v>2235</v>
      </c>
    </row>
    <row r="129">
      <c r="A129" s="14" t="s">
        <v>286</v>
      </c>
      <c r="B129" s="31">
        <v>24.0</v>
      </c>
      <c r="C129" s="35" t="s">
        <v>1617</v>
      </c>
      <c r="D129" s="35" t="s">
        <v>608</v>
      </c>
      <c r="E129" s="36" t="s">
        <v>49</v>
      </c>
      <c r="F129" s="15"/>
      <c r="G129" s="115" t="s">
        <v>2243</v>
      </c>
      <c r="H129" s="115" t="s">
        <v>2244</v>
      </c>
      <c r="I129" s="115" t="s">
        <v>2245</v>
      </c>
      <c r="J129" s="115" t="s">
        <v>2246</v>
      </c>
      <c r="K129" s="112"/>
      <c r="L129" s="113" t="s">
        <v>2247</v>
      </c>
      <c r="M129" s="39" t="str">
        <f t="shared" si="3"/>
        <v>keith.ingram@arkansashouse.org</v>
      </c>
      <c r="N129" s="89"/>
      <c r="O129" s="89"/>
      <c r="P129" s="88">
        <v>2018.0</v>
      </c>
      <c r="Q129" s="88">
        <v>2024.0</v>
      </c>
      <c r="R129" s="91" t="s">
        <v>2248</v>
      </c>
    </row>
    <row r="130">
      <c r="A130" s="14" t="s">
        <v>286</v>
      </c>
      <c r="B130" s="31">
        <v>25.0</v>
      </c>
      <c r="C130" s="35" t="s">
        <v>2254</v>
      </c>
      <c r="D130" s="35" t="s">
        <v>1096</v>
      </c>
      <c r="E130" s="36" t="s">
        <v>49</v>
      </c>
      <c r="F130" s="15"/>
      <c r="G130" s="110" t="s">
        <v>1972</v>
      </c>
      <c r="H130" s="110" t="s">
        <v>2259</v>
      </c>
      <c r="I130" s="111" t="s">
        <v>2266</v>
      </c>
      <c r="J130" s="115" t="s">
        <v>1464</v>
      </c>
      <c r="K130" s="112"/>
      <c r="L130" s="116" t="s">
        <v>2267</v>
      </c>
      <c r="M130" s="39" t="str">
        <f t="shared" si="3"/>
        <v>stephanie.flowers@arkansashouse.org</v>
      </c>
      <c r="N130" s="89"/>
      <c r="O130" s="89"/>
      <c r="P130" s="88">
        <v>2020.0</v>
      </c>
      <c r="Q130" s="88">
        <v>2020.0</v>
      </c>
      <c r="R130" s="91" t="s">
        <v>2269</v>
      </c>
    </row>
    <row r="131">
      <c r="A131" s="14" t="s">
        <v>286</v>
      </c>
      <c r="B131" s="31">
        <v>26.0</v>
      </c>
      <c r="C131" s="35" t="s">
        <v>1237</v>
      </c>
      <c r="D131" s="35" t="s">
        <v>2276</v>
      </c>
      <c r="E131" s="36" t="s">
        <v>49</v>
      </c>
      <c r="F131" s="12" t="s">
        <v>1916</v>
      </c>
      <c r="G131" s="110" t="s">
        <v>2277</v>
      </c>
      <c r="H131" s="115" t="s">
        <v>2278</v>
      </c>
      <c r="I131" s="111" t="s">
        <v>1081</v>
      </c>
      <c r="J131" s="111" t="s">
        <v>2279</v>
      </c>
      <c r="K131" s="112"/>
      <c r="L131" s="113" t="s">
        <v>2281</v>
      </c>
      <c r="M131" s="39" t="str">
        <f t="shared" si="3"/>
        <v>eddie.cheatham@arkansashouse.org</v>
      </c>
      <c r="N131" s="89"/>
      <c r="O131" s="89"/>
      <c r="P131" s="88">
        <v>2020.0</v>
      </c>
      <c r="Q131" s="88">
        <v>2022.0</v>
      </c>
      <c r="R131" s="91" t="s">
        <v>2283</v>
      </c>
    </row>
    <row r="132">
      <c r="A132" s="14" t="s">
        <v>286</v>
      </c>
      <c r="B132" s="31">
        <v>27.0</v>
      </c>
      <c r="C132" s="35" t="s">
        <v>2298</v>
      </c>
      <c r="D132" s="35" t="s">
        <v>1620</v>
      </c>
      <c r="E132" s="51" t="s">
        <v>53</v>
      </c>
      <c r="F132" s="15"/>
      <c r="G132" s="110" t="s">
        <v>1950</v>
      </c>
      <c r="H132" s="110" t="s">
        <v>1954</v>
      </c>
      <c r="I132" s="115" t="s">
        <v>2365</v>
      </c>
      <c r="J132" s="115" t="s">
        <v>2366</v>
      </c>
      <c r="K132" s="112"/>
      <c r="L132" s="113" t="s">
        <v>2367</v>
      </c>
      <c r="M132" s="39" t="str">
        <f t="shared" si="3"/>
        <v>trent.garner@arkansashouse.org</v>
      </c>
      <c r="N132" s="89"/>
      <c r="O132" s="89"/>
      <c r="P132" s="88">
        <v>2020.0</v>
      </c>
      <c r="Q132" s="88">
        <v>2032.0</v>
      </c>
      <c r="R132" s="91" t="s">
        <v>2368</v>
      </c>
    </row>
    <row r="133">
      <c r="A133" s="14" t="s">
        <v>286</v>
      </c>
      <c r="B133" s="31">
        <v>28.0</v>
      </c>
      <c r="C133" s="35" t="s">
        <v>235</v>
      </c>
      <c r="D133" s="35" t="s">
        <v>2380</v>
      </c>
      <c r="E133" s="51" t="s">
        <v>53</v>
      </c>
      <c r="F133" s="12" t="s">
        <v>903</v>
      </c>
      <c r="G133" s="111" t="s">
        <v>954</v>
      </c>
      <c r="H133" s="111" t="s">
        <v>872</v>
      </c>
      <c r="I133" s="111" t="s">
        <v>1836</v>
      </c>
      <c r="J133" s="111" t="s">
        <v>2384</v>
      </c>
      <c r="K133" s="112"/>
      <c r="L133" s="116" t="s">
        <v>2388</v>
      </c>
      <c r="M133" s="39" t="str">
        <f t="shared" si="3"/>
        <v>jonathan.dismang@arkansashouse.org</v>
      </c>
      <c r="N133" s="89"/>
      <c r="O133" s="89"/>
      <c r="P133" s="88">
        <v>2020.0</v>
      </c>
      <c r="Q133" s="88">
        <v>2024.0</v>
      </c>
      <c r="R133" s="91" t="s">
        <v>2389</v>
      </c>
    </row>
    <row r="134">
      <c r="A134" s="14" t="s">
        <v>286</v>
      </c>
      <c r="B134" s="31">
        <v>29.0</v>
      </c>
      <c r="C134" s="35" t="s">
        <v>2395</v>
      </c>
      <c r="D134" s="35" t="s">
        <v>485</v>
      </c>
      <c r="E134" s="51" t="s">
        <v>53</v>
      </c>
      <c r="F134" s="15"/>
      <c r="G134" s="111" t="s">
        <v>2396</v>
      </c>
      <c r="H134" s="111" t="s">
        <v>2398</v>
      </c>
      <c r="I134" s="111" t="s">
        <v>858</v>
      </c>
      <c r="J134" s="111" t="s">
        <v>2407</v>
      </c>
      <c r="K134" s="112"/>
      <c r="L134" s="116" t="s">
        <v>2409</v>
      </c>
      <c r="M134" s="39" t="str">
        <f t="shared" si="3"/>
        <v>ricky.hill@arkansashouse.org</v>
      </c>
      <c r="N134" s="89"/>
      <c r="O134" s="89"/>
      <c r="P134" s="88">
        <v>2020.0</v>
      </c>
      <c r="Q134" s="185"/>
      <c r="R134" s="91" t="s">
        <v>2410</v>
      </c>
    </row>
    <row r="135">
      <c r="A135" s="14" t="s">
        <v>286</v>
      </c>
      <c r="B135" s="31">
        <v>30.0</v>
      </c>
      <c r="C135" s="35" t="s">
        <v>978</v>
      </c>
      <c r="D135" s="35" t="s">
        <v>2414</v>
      </c>
      <c r="E135" s="36" t="s">
        <v>49</v>
      </c>
      <c r="F135" s="15"/>
      <c r="G135" s="111" t="s">
        <v>2416</v>
      </c>
      <c r="H135" s="111" t="s">
        <v>2418</v>
      </c>
      <c r="I135" s="111" t="s">
        <v>886</v>
      </c>
      <c r="J135" s="111" t="s">
        <v>954</v>
      </c>
      <c r="K135" s="112"/>
      <c r="L135" s="113" t="s">
        <v>2420</v>
      </c>
      <c r="M135" s="39" t="str">
        <f t="shared" si="3"/>
        <v>linda.chesterfield@arkansashouse.org</v>
      </c>
      <c r="N135" s="89"/>
      <c r="O135" s="89"/>
      <c r="P135" s="88">
        <v>2018.0</v>
      </c>
      <c r="Q135" s="88">
        <v>2020.0</v>
      </c>
      <c r="R135" s="91" t="s">
        <v>2095</v>
      </c>
    </row>
    <row r="136">
      <c r="A136" s="14" t="s">
        <v>286</v>
      </c>
      <c r="B136" s="31">
        <v>31.0</v>
      </c>
      <c r="C136" s="35" t="s">
        <v>2426</v>
      </c>
      <c r="D136" s="35" t="s">
        <v>2427</v>
      </c>
      <c r="E136" s="36" t="s">
        <v>49</v>
      </c>
      <c r="F136" s="15"/>
      <c r="G136" s="115" t="s">
        <v>1790</v>
      </c>
      <c r="H136" s="111" t="s">
        <v>885</v>
      </c>
      <c r="I136" s="111" t="s">
        <v>2428</v>
      </c>
      <c r="J136" s="111" t="s">
        <v>2429</v>
      </c>
      <c r="K136" s="112"/>
      <c r="L136" s="113" t="s">
        <v>2430</v>
      </c>
      <c r="M136" s="39" t="str">
        <f t="shared" si="3"/>
        <v>joyce.elliott@arkansashouse.org</v>
      </c>
      <c r="N136" s="89"/>
      <c r="O136" s="89"/>
      <c r="P136" s="88">
        <v>2018.0</v>
      </c>
      <c r="Q136" s="88">
        <v>2020.0</v>
      </c>
      <c r="R136" s="91" t="s">
        <v>2095</v>
      </c>
    </row>
    <row r="137">
      <c r="A137" s="14" t="s">
        <v>286</v>
      </c>
      <c r="B137" s="31">
        <v>32.0</v>
      </c>
      <c r="C137" s="35" t="s">
        <v>689</v>
      </c>
      <c r="D137" s="35" t="s">
        <v>2433</v>
      </c>
      <c r="E137" s="36" t="s">
        <v>49</v>
      </c>
      <c r="F137" s="15"/>
      <c r="G137" s="121" t="s">
        <v>2434</v>
      </c>
      <c r="H137" s="110" t="s">
        <v>1950</v>
      </c>
      <c r="I137" s="110" t="s">
        <v>1958</v>
      </c>
      <c r="J137" s="111" t="s">
        <v>2437</v>
      </c>
      <c r="K137" s="112"/>
      <c r="L137" s="113" t="s">
        <v>2438</v>
      </c>
      <c r="M137" s="39" t="str">
        <f t="shared" si="3"/>
        <v>will.bond@arkansashouse.org</v>
      </c>
      <c r="N137" s="89"/>
      <c r="O137" s="89"/>
      <c r="P137" s="88">
        <v>2020.0</v>
      </c>
      <c r="Q137" s="88">
        <v>2020.0</v>
      </c>
      <c r="R137" s="91" t="s">
        <v>2095</v>
      </c>
    </row>
    <row r="138">
      <c r="A138" s="14" t="s">
        <v>286</v>
      </c>
      <c r="B138" s="31">
        <v>33.0</v>
      </c>
      <c r="C138" s="38" t="s">
        <v>1973</v>
      </c>
      <c r="D138" s="38" t="s">
        <v>2439</v>
      </c>
      <c r="E138" s="51" t="s">
        <v>53</v>
      </c>
      <c r="F138" s="15"/>
      <c r="K138" s="124" t="s">
        <v>1232</v>
      </c>
      <c r="L138" s="113" t="s">
        <v>2094</v>
      </c>
      <c r="M138" s="39" t="str">
        <f t="shared" si="3"/>
        <v>kim.hammer@arkansashouse.org</v>
      </c>
      <c r="N138" s="89"/>
      <c r="O138" s="89"/>
      <c r="P138" s="88">
        <v>2018.0</v>
      </c>
      <c r="Q138" s="88">
        <v>2020.0</v>
      </c>
      <c r="R138" s="91" t="s">
        <v>2440</v>
      </c>
    </row>
    <row r="139">
      <c r="A139" s="14" t="s">
        <v>286</v>
      </c>
      <c r="B139" s="31">
        <v>34.0</v>
      </c>
      <c r="C139" s="35" t="s">
        <v>2443</v>
      </c>
      <c r="D139" s="35" t="s">
        <v>2445</v>
      </c>
      <c r="E139" s="51" t="s">
        <v>53</v>
      </c>
      <c r="F139" s="15"/>
      <c r="G139" s="111" t="s">
        <v>2446</v>
      </c>
      <c r="H139" s="111" t="s">
        <v>2447</v>
      </c>
      <c r="I139" s="111" t="s">
        <v>2448</v>
      </c>
      <c r="J139" s="111" t="s">
        <v>1198</v>
      </c>
      <c r="K139" s="112"/>
      <c r="L139" s="113" t="s">
        <v>2449</v>
      </c>
      <c r="M139" s="39" t="str">
        <f t="shared" si="3"/>
        <v>jane.english@arkansashouse.org</v>
      </c>
      <c r="N139" s="89"/>
      <c r="O139" s="89"/>
      <c r="P139" s="88">
        <v>2020.0</v>
      </c>
      <c r="Q139" s="88">
        <v>2026.0</v>
      </c>
      <c r="R139" s="91" t="s">
        <v>2450</v>
      </c>
    </row>
    <row r="140">
      <c r="A140" s="14" t="s">
        <v>286</v>
      </c>
      <c r="B140" s="31">
        <v>35.0</v>
      </c>
      <c r="C140" s="35" t="s">
        <v>1231</v>
      </c>
      <c r="D140" s="35" t="s">
        <v>2453</v>
      </c>
      <c r="E140" s="51" t="s">
        <v>53</v>
      </c>
      <c r="F140" s="15"/>
      <c r="G140" s="111" t="s">
        <v>1306</v>
      </c>
      <c r="H140" s="111" t="s">
        <v>2454</v>
      </c>
      <c r="I140" s="111" t="s">
        <v>2455</v>
      </c>
      <c r="J140" s="111" t="s">
        <v>2456</v>
      </c>
      <c r="K140" s="112"/>
      <c r="L140" s="116" t="s">
        <v>2457</v>
      </c>
      <c r="M140" s="39" t="str">
        <f t="shared" si="3"/>
        <v>jason.rapert@arkansashouse.org</v>
      </c>
      <c r="N140" s="89"/>
      <c r="O140" s="89"/>
      <c r="P140" s="88">
        <v>2018.0</v>
      </c>
      <c r="Q140" s="88">
        <v>2026.0</v>
      </c>
      <c r="R140" s="91" t="s">
        <v>2458</v>
      </c>
    </row>
    <row r="141">
      <c r="A141" s="70"/>
      <c r="B141" s="70"/>
      <c r="C141" s="71"/>
      <c r="D141" s="71"/>
      <c r="E141" s="70"/>
      <c r="F141" s="184"/>
      <c r="G141" s="70"/>
      <c r="H141" s="70"/>
      <c r="I141" s="70"/>
      <c r="J141" s="70"/>
      <c r="K141" s="70"/>
      <c r="L141" s="70"/>
      <c r="M141" s="70"/>
      <c r="N141" s="70"/>
      <c r="O141" s="70"/>
      <c r="P141" s="70"/>
      <c r="Q141" s="70"/>
      <c r="R141" s="70"/>
      <c r="S141" s="70"/>
      <c r="T141" s="70"/>
      <c r="U141" s="70"/>
      <c r="V141" s="70"/>
      <c r="W141" s="70"/>
      <c r="X141" s="70"/>
      <c r="Y141" s="70"/>
      <c r="Z141" s="70"/>
      <c r="AA141" s="70"/>
      <c r="AB141" s="70"/>
      <c r="AC141" s="70"/>
      <c r="AD141" s="70"/>
    </row>
    <row r="142">
      <c r="A142" s="14" t="s">
        <v>421</v>
      </c>
      <c r="C142" s="77" t="s">
        <v>2461</v>
      </c>
      <c r="D142" s="77" t="s">
        <v>2462</v>
      </c>
      <c r="E142" s="14" t="s">
        <v>53</v>
      </c>
      <c r="F142" s="15"/>
      <c r="K142" s="138"/>
      <c r="L142" s="89"/>
      <c r="M142" s="89"/>
      <c r="N142" s="89"/>
      <c r="O142" s="89"/>
      <c r="P142" s="89"/>
      <c r="Q142" s="89"/>
      <c r="R142" s="89"/>
    </row>
    <row r="143">
      <c r="A143" s="157"/>
      <c r="B143" s="70"/>
      <c r="C143" s="71"/>
      <c r="D143" s="71"/>
      <c r="E143" s="70"/>
      <c r="F143" s="184"/>
      <c r="G143" s="70"/>
      <c r="H143" s="70"/>
      <c r="I143" s="70"/>
      <c r="J143" s="70"/>
      <c r="K143" s="70"/>
      <c r="L143" s="70"/>
      <c r="M143" s="70"/>
      <c r="N143" s="70"/>
      <c r="O143" s="70"/>
      <c r="P143" s="70"/>
      <c r="Q143" s="70"/>
      <c r="R143" s="70"/>
      <c r="S143" s="70"/>
      <c r="T143" s="70"/>
      <c r="U143" s="70"/>
      <c r="V143" s="70"/>
      <c r="W143" s="70"/>
      <c r="X143" s="70"/>
      <c r="Y143" s="70"/>
      <c r="Z143" s="70"/>
      <c r="AA143" s="70"/>
      <c r="AB143" s="70"/>
      <c r="AC143" s="70"/>
      <c r="AD143" s="70"/>
    </row>
    <row r="144">
      <c r="A144" s="14" t="s">
        <v>427</v>
      </c>
      <c r="C144" s="77" t="s">
        <v>1291</v>
      </c>
      <c r="D144" s="77" t="s">
        <v>103</v>
      </c>
      <c r="E144" s="14" t="s">
        <v>53</v>
      </c>
      <c r="F144" s="15"/>
      <c r="K144" s="138"/>
      <c r="L144" s="89"/>
      <c r="M144" s="89"/>
      <c r="N144" s="89"/>
      <c r="O144" s="89"/>
      <c r="P144" s="89"/>
      <c r="Q144" s="89"/>
      <c r="R144" s="89"/>
    </row>
    <row r="145">
      <c r="A145" s="14" t="s">
        <v>427</v>
      </c>
      <c r="C145" s="77" t="s">
        <v>2463</v>
      </c>
      <c r="D145" s="77" t="s">
        <v>485</v>
      </c>
      <c r="E145" s="14" t="s">
        <v>53</v>
      </c>
      <c r="F145" s="15"/>
      <c r="K145" s="138"/>
      <c r="L145" s="89"/>
      <c r="M145" s="89"/>
      <c r="N145" s="89"/>
      <c r="O145" s="89"/>
      <c r="P145" s="89"/>
      <c r="Q145" s="89"/>
      <c r="R145" s="89"/>
    </row>
    <row r="146">
      <c r="A146" s="14" t="s">
        <v>427</v>
      </c>
      <c r="C146" s="77" t="s">
        <v>55</v>
      </c>
      <c r="D146" s="77" t="s">
        <v>1114</v>
      </c>
      <c r="E146" s="14" t="s">
        <v>53</v>
      </c>
      <c r="F146" s="15"/>
      <c r="K146" s="138"/>
      <c r="L146" s="89"/>
      <c r="M146" s="89"/>
      <c r="N146" s="89"/>
      <c r="O146" s="89"/>
      <c r="P146" s="89"/>
      <c r="Q146" s="89"/>
      <c r="R146" s="89"/>
    </row>
    <row r="147">
      <c r="A147" s="14" t="s">
        <v>427</v>
      </c>
      <c r="C147" s="77" t="s">
        <v>1193</v>
      </c>
      <c r="D147" s="77" t="s">
        <v>2464</v>
      </c>
      <c r="E147" s="14" t="s">
        <v>53</v>
      </c>
      <c r="F147" s="15"/>
      <c r="K147" s="138"/>
      <c r="L147" s="89"/>
      <c r="M147" s="89"/>
      <c r="N147" s="89"/>
      <c r="O147" s="89"/>
      <c r="P147" s="89"/>
      <c r="Q147" s="89"/>
      <c r="R147" s="89"/>
    </row>
    <row r="148">
      <c r="A148" s="70"/>
      <c r="B148" s="70"/>
      <c r="C148" s="71"/>
      <c r="D148" s="71"/>
      <c r="E148" s="70"/>
      <c r="F148" s="184"/>
      <c r="G148" s="70"/>
      <c r="H148" s="70"/>
      <c r="I148" s="70"/>
      <c r="J148" s="70"/>
      <c r="K148" s="70"/>
      <c r="L148" s="70"/>
      <c r="M148" s="70"/>
      <c r="N148" s="70"/>
      <c r="O148" s="70"/>
      <c r="P148" s="70"/>
      <c r="Q148" s="70"/>
      <c r="R148" s="70"/>
      <c r="S148" s="70"/>
      <c r="T148" s="70"/>
      <c r="U148" s="70"/>
      <c r="V148" s="70"/>
      <c r="W148" s="70"/>
      <c r="X148" s="70"/>
      <c r="Y148" s="70"/>
      <c r="Z148" s="70"/>
      <c r="AA148" s="70"/>
      <c r="AB148" s="70"/>
      <c r="AC148" s="70"/>
      <c r="AD148" s="70"/>
    </row>
    <row r="149">
      <c r="A149" s="14" t="s">
        <v>430</v>
      </c>
      <c r="B149" s="14" t="s">
        <v>2465</v>
      </c>
      <c r="C149" s="77" t="s">
        <v>278</v>
      </c>
      <c r="D149" s="77" t="s">
        <v>2466</v>
      </c>
      <c r="E149" s="14" t="s">
        <v>53</v>
      </c>
      <c r="F149" s="15"/>
      <c r="K149" s="138"/>
      <c r="L149" s="89"/>
      <c r="M149" s="89"/>
      <c r="N149" s="89"/>
      <c r="O149" s="89"/>
      <c r="P149" s="89"/>
      <c r="Q149" s="89"/>
      <c r="R149" s="89"/>
    </row>
    <row r="150">
      <c r="A150" s="14" t="s">
        <v>430</v>
      </c>
      <c r="B150" s="14" t="s">
        <v>434</v>
      </c>
      <c r="C150" s="77" t="s">
        <v>338</v>
      </c>
      <c r="D150" s="77" t="s">
        <v>2467</v>
      </c>
      <c r="E150" s="14" t="s">
        <v>53</v>
      </c>
      <c r="F150" s="15"/>
      <c r="K150" s="138"/>
      <c r="L150" s="89"/>
      <c r="M150" s="89"/>
      <c r="N150" s="89"/>
      <c r="O150" s="89"/>
      <c r="P150" s="89"/>
      <c r="Q150" s="89"/>
      <c r="R150" s="89"/>
    </row>
    <row r="151">
      <c r="A151" s="70"/>
      <c r="B151" s="70"/>
      <c r="C151" s="71"/>
      <c r="D151" s="71"/>
      <c r="E151" s="70"/>
      <c r="F151" s="184"/>
      <c r="G151" s="70"/>
      <c r="H151" s="70"/>
      <c r="I151" s="70"/>
      <c r="J151" s="70"/>
      <c r="K151" s="70"/>
      <c r="L151" s="70"/>
      <c r="M151" s="70"/>
      <c r="N151" s="70"/>
      <c r="O151" s="70"/>
      <c r="P151" s="70"/>
      <c r="Q151" s="70"/>
      <c r="R151" s="70"/>
      <c r="S151" s="70"/>
      <c r="T151" s="70"/>
      <c r="U151" s="70"/>
      <c r="V151" s="70"/>
      <c r="W151" s="70"/>
      <c r="X151" s="70"/>
      <c r="Y151" s="70"/>
      <c r="Z151" s="70"/>
      <c r="AA151" s="70"/>
      <c r="AB151" s="70"/>
      <c r="AC151" s="70"/>
      <c r="AD151" s="70"/>
    </row>
    <row r="152">
      <c r="A152" s="14" t="s">
        <v>438</v>
      </c>
      <c r="C152" s="77" t="s">
        <v>1663</v>
      </c>
      <c r="D152" s="77" t="s">
        <v>2468</v>
      </c>
      <c r="E152" s="14" t="s">
        <v>53</v>
      </c>
      <c r="F152" s="15"/>
      <c r="K152" s="138"/>
      <c r="L152" s="89"/>
      <c r="M152" s="89"/>
      <c r="N152" s="89"/>
      <c r="O152" s="89"/>
      <c r="P152" s="89"/>
      <c r="Q152" s="89"/>
      <c r="R152" s="89"/>
    </row>
    <row r="153">
      <c r="A153" s="70"/>
      <c r="B153" s="70"/>
      <c r="C153" s="71"/>
      <c r="D153" s="71"/>
      <c r="E153" s="70"/>
      <c r="F153" s="184"/>
      <c r="G153" s="70"/>
      <c r="H153" s="70"/>
      <c r="I153" s="70"/>
      <c r="J153" s="70"/>
      <c r="K153" s="70"/>
      <c r="L153" s="70"/>
      <c r="M153" s="70"/>
      <c r="N153" s="70"/>
      <c r="O153" s="70"/>
      <c r="P153" s="70"/>
      <c r="Q153" s="70"/>
      <c r="R153" s="70"/>
      <c r="S153" s="70"/>
      <c r="T153" s="70"/>
      <c r="U153" s="70"/>
      <c r="V153" s="70"/>
      <c r="W153" s="70"/>
      <c r="X153" s="70"/>
      <c r="Y153" s="70"/>
      <c r="Z153" s="70"/>
      <c r="AA153" s="70"/>
      <c r="AB153" s="70"/>
      <c r="AC153" s="70"/>
      <c r="AD153" s="70"/>
    </row>
    <row r="154">
      <c r="C154" s="139"/>
      <c r="D154" s="139"/>
      <c r="F154" s="15"/>
      <c r="K154" s="138"/>
    </row>
    <row r="155">
      <c r="C155" s="139"/>
      <c r="D155" s="139"/>
      <c r="F155" s="15"/>
      <c r="K155" s="138"/>
    </row>
    <row r="156">
      <c r="C156" s="139"/>
      <c r="D156" s="139"/>
      <c r="F156" s="15"/>
      <c r="K156" s="138"/>
    </row>
    <row r="157">
      <c r="C157" s="139"/>
      <c r="D157" s="139"/>
      <c r="F157" s="15"/>
      <c r="K157" s="138"/>
    </row>
    <row r="158">
      <c r="C158" s="139"/>
      <c r="D158" s="139"/>
      <c r="F158" s="15"/>
      <c r="K158" s="138"/>
    </row>
    <row r="159">
      <c r="C159" s="139"/>
      <c r="D159" s="139"/>
      <c r="F159" s="15"/>
      <c r="K159" s="138"/>
    </row>
    <row r="160">
      <c r="C160" s="139"/>
      <c r="D160" s="139"/>
      <c r="F160" s="15"/>
      <c r="K160" s="138"/>
    </row>
    <row r="161">
      <c r="C161" s="139"/>
      <c r="D161" s="139"/>
      <c r="F161" s="15"/>
      <c r="K161" s="138"/>
    </row>
    <row r="162">
      <c r="C162" s="139"/>
      <c r="D162" s="139"/>
      <c r="F162" s="15"/>
      <c r="K162" s="138"/>
    </row>
    <row r="163">
      <c r="C163" s="139"/>
      <c r="D163" s="139"/>
      <c r="F163" s="15"/>
      <c r="K163" s="138"/>
    </row>
    <row r="164">
      <c r="C164" s="139"/>
      <c r="D164" s="139"/>
      <c r="F164" s="15"/>
      <c r="K164" s="138"/>
    </row>
    <row r="165">
      <c r="C165" s="139"/>
      <c r="D165" s="139"/>
      <c r="F165" s="15"/>
      <c r="K165" s="138"/>
    </row>
    <row r="166">
      <c r="C166" s="139"/>
      <c r="D166" s="139"/>
      <c r="F166" s="15"/>
      <c r="K166" s="138"/>
    </row>
    <row r="167">
      <c r="C167" s="139"/>
      <c r="D167" s="139"/>
      <c r="F167" s="15"/>
      <c r="K167" s="138"/>
    </row>
    <row r="168">
      <c r="C168" s="139"/>
      <c r="D168" s="139"/>
      <c r="F168" s="15"/>
      <c r="K168" s="138"/>
    </row>
    <row r="169">
      <c r="C169" s="139"/>
      <c r="D169" s="139"/>
      <c r="F169" s="15"/>
      <c r="K169" s="138"/>
    </row>
    <row r="170">
      <c r="C170" s="139"/>
      <c r="D170" s="139"/>
      <c r="F170" s="15"/>
      <c r="K170" s="138"/>
    </row>
    <row r="171">
      <c r="C171" s="139"/>
      <c r="D171" s="139"/>
      <c r="F171" s="15"/>
      <c r="K171" s="138"/>
    </row>
    <row r="172">
      <c r="C172" s="139"/>
      <c r="D172" s="139"/>
      <c r="F172" s="15"/>
      <c r="K172" s="138"/>
    </row>
    <row r="173">
      <c r="C173" s="139"/>
      <c r="D173" s="139"/>
      <c r="F173" s="15"/>
      <c r="K173" s="138"/>
    </row>
    <row r="174">
      <c r="C174" s="139"/>
      <c r="D174" s="139"/>
      <c r="F174" s="15"/>
      <c r="K174" s="138"/>
    </row>
    <row r="175">
      <c r="C175" s="139"/>
      <c r="D175" s="139"/>
      <c r="F175" s="15"/>
      <c r="K175" s="138"/>
    </row>
    <row r="176">
      <c r="C176" s="139"/>
      <c r="D176" s="139"/>
      <c r="F176" s="15"/>
      <c r="K176" s="138"/>
    </row>
    <row r="177">
      <c r="C177" s="139"/>
      <c r="D177" s="139"/>
      <c r="F177" s="15"/>
      <c r="K177" s="138"/>
    </row>
    <row r="178">
      <c r="C178" s="139"/>
      <c r="D178" s="139"/>
      <c r="F178" s="15"/>
      <c r="K178" s="138"/>
    </row>
    <row r="179">
      <c r="C179" s="139"/>
      <c r="D179" s="139"/>
      <c r="F179" s="15"/>
      <c r="K179" s="138"/>
    </row>
    <row r="180">
      <c r="C180" s="139"/>
      <c r="D180" s="139"/>
      <c r="F180" s="15"/>
      <c r="K180" s="138"/>
    </row>
    <row r="181">
      <c r="C181" s="139"/>
      <c r="D181" s="139"/>
      <c r="F181" s="15"/>
      <c r="K181" s="138"/>
    </row>
    <row r="182">
      <c r="C182" s="139"/>
      <c r="D182" s="139"/>
      <c r="F182" s="15"/>
      <c r="K182" s="138"/>
    </row>
    <row r="183">
      <c r="C183" s="139"/>
      <c r="D183" s="139"/>
      <c r="F183" s="15"/>
      <c r="K183" s="138"/>
    </row>
    <row r="184">
      <c r="C184" s="139"/>
      <c r="D184" s="139"/>
      <c r="F184" s="15"/>
      <c r="K184" s="138"/>
    </row>
    <row r="185">
      <c r="C185" s="139"/>
      <c r="D185" s="139"/>
      <c r="F185" s="15"/>
      <c r="K185" s="138"/>
    </row>
    <row r="186">
      <c r="C186" s="139"/>
      <c r="D186" s="139"/>
      <c r="F186" s="15"/>
      <c r="K186" s="138"/>
    </row>
    <row r="187">
      <c r="C187" s="139"/>
      <c r="D187" s="139"/>
      <c r="F187" s="15"/>
      <c r="K187" s="138"/>
    </row>
    <row r="188">
      <c r="C188" s="139"/>
      <c r="D188" s="139"/>
      <c r="F188" s="15"/>
      <c r="K188" s="138"/>
    </row>
    <row r="189">
      <c r="C189" s="139"/>
      <c r="D189" s="139"/>
      <c r="F189" s="15"/>
      <c r="K189" s="138"/>
    </row>
    <row r="190">
      <c r="C190" s="139"/>
      <c r="D190" s="139"/>
      <c r="F190" s="15"/>
      <c r="K190" s="138"/>
    </row>
    <row r="191">
      <c r="C191" s="139"/>
      <c r="D191" s="139"/>
      <c r="F191" s="15"/>
      <c r="K191" s="138"/>
    </row>
    <row r="192">
      <c r="C192" s="139"/>
      <c r="D192" s="139"/>
      <c r="F192" s="15"/>
      <c r="K192" s="138"/>
    </row>
    <row r="193">
      <c r="C193" s="139"/>
      <c r="D193" s="139"/>
      <c r="F193" s="15"/>
      <c r="K193" s="138"/>
    </row>
    <row r="194">
      <c r="C194" s="139"/>
      <c r="D194" s="139"/>
      <c r="F194" s="15"/>
      <c r="K194" s="138"/>
    </row>
    <row r="195">
      <c r="C195" s="139"/>
      <c r="D195" s="139"/>
      <c r="F195" s="15"/>
      <c r="K195" s="138"/>
    </row>
    <row r="196">
      <c r="C196" s="139"/>
      <c r="D196" s="139"/>
      <c r="F196" s="15"/>
      <c r="K196" s="138"/>
    </row>
    <row r="197">
      <c r="C197" s="139"/>
      <c r="D197" s="139"/>
      <c r="F197" s="15"/>
      <c r="K197" s="138"/>
    </row>
    <row r="198">
      <c r="C198" s="139"/>
      <c r="D198" s="139"/>
      <c r="F198" s="15"/>
      <c r="K198" s="138"/>
    </row>
    <row r="199">
      <c r="C199" s="139"/>
      <c r="D199" s="139"/>
      <c r="F199" s="15"/>
      <c r="K199" s="138"/>
    </row>
    <row r="200">
      <c r="C200" s="139"/>
      <c r="D200" s="139"/>
      <c r="F200" s="15"/>
      <c r="K200" s="138"/>
    </row>
    <row r="201">
      <c r="C201" s="139"/>
      <c r="D201" s="139"/>
      <c r="F201" s="15"/>
      <c r="K201" s="138"/>
    </row>
    <row r="202">
      <c r="C202" s="139"/>
      <c r="D202" s="139"/>
      <c r="F202" s="15"/>
      <c r="K202" s="138"/>
    </row>
    <row r="203">
      <c r="C203" s="139"/>
      <c r="D203" s="139"/>
      <c r="F203" s="15"/>
      <c r="K203" s="138"/>
    </row>
    <row r="204">
      <c r="C204" s="139"/>
      <c r="D204" s="139"/>
      <c r="F204" s="15"/>
      <c r="K204" s="138"/>
    </row>
    <row r="205">
      <c r="C205" s="139"/>
      <c r="D205" s="139"/>
      <c r="F205" s="15"/>
      <c r="K205" s="138"/>
    </row>
    <row r="206">
      <c r="C206" s="139"/>
      <c r="D206" s="139"/>
      <c r="F206" s="15"/>
      <c r="K206" s="138"/>
    </row>
    <row r="207">
      <c r="C207" s="139"/>
      <c r="D207" s="139"/>
      <c r="F207" s="15"/>
      <c r="K207" s="138"/>
    </row>
    <row r="208">
      <c r="C208" s="139"/>
      <c r="D208" s="139"/>
      <c r="F208" s="15"/>
      <c r="K208" s="138"/>
    </row>
    <row r="209">
      <c r="C209" s="139"/>
      <c r="D209" s="139"/>
      <c r="F209" s="15"/>
      <c r="K209" s="138"/>
    </row>
    <row r="210">
      <c r="C210" s="139"/>
      <c r="D210" s="139"/>
      <c r="F210" s="15"/>
      <c r="K210" s="138"/>
    </row>
    <row r="211">
      <c r="C211" s="139"/>
      <c r="D211" s="139"/>
      <c r="F211" s="15"/>
      <c r="K211" s="138"/>
    </row>
    <row r="212">
      <c r="C212" s="139"/>
      <c r="D212" s="139"/>
      <c r="F212" s="15"/>
      <c r="K212" s="138"/>
    </row>
    <row r="213">
      <c r="C213" s="139"/>
      <c r="D213" s="139"/>
      <c r="F213" s="15"/>
      <c r="K213" s="138"/>
    </row>
    <row r="214">
      <c r="C214" s="139"/>
      <c r="D214" s="139"/>
      <c r="F214" s="15"/>
      <c r="K214" s="138"/>
    </row>
    <row r="215">
      <c r="C215" s="139"/>
      <c r="D215" s="139"/>
      <c r="F215" s="15"/>
      <c r="K215" s="138"/>
    </row>
    <row r="216">
      <c r="C216" s="139"/>
      <c r="D216" s="139"/>
      <c r="F216" s="15"/>
      <c r="K216" s="138"/>
    </row>
    <row r="217">
      <c r="C217" s="139"/>
      <c r="D217" s="139"/>
      <c r="F217" s="15"/>
      <c r="K217" s="138"/>
    </row>
    <row r="218">
      <c r="C218" s="139"/>
      <c r="D218" s="139"/>
      <c r="F218" s="15"/>
      <c r="K218" s="138"/>
    </row>
    <row r="219">
      <c r="C219" s="139"/>
      <c r="D219" s="139"/>
      <c r="F219" s="15"/>
      <c r="K219" s="138"/>
    </row>
    <row r="220">
      <c r="C220" s="139"/>
      <c r="D220" s="139"/>
      <c r="F220" s="15"/>
      <c r="K220" s="138"/>
    </row>
    <row r="221">
      <c r="C221" s="139"/>
      <c r="D221" s="139"/>
      <c r="F221" s="15"/>
      <c r="K221" s="138"/>
    </row>
    <row r="222">
      <c r="C222" s="139"/>
      <c r="D222" s="139"/>
      <c r="F222" s="15"/>
      <c r="K222" s="138"/>
    </row>
    <row r="223">
      <c r="C223" s="139"/>
      <c r="D223" s="139"/>
      <c r="F223" s="15"/>
      <c r="K223" s="138"/>
    </row>
    <row r="224">
      <c r="C224" s="139"/>
      <c r="D224" s="139"/>
      <c r="F224" s="15"/>
      <c r="K224" s="138"/>
    </row>
    <row r="225">
      <c r="C225" s="139"/>
      <c r="D225" s="139"/>
      <c r="F225" s="15"/>
      <c r="K225" s="138"/>
    </row>
    <row r="226">
      <c r="C226" s="139"/>
      <c r="D226" s="139"/>
      <c r="F226" s="15"/>
      <c r="K226" s="138"/>
    </row>
    <row r="227">
      <c r="C227" s="139"/>
      <c r="D227" s="139"/>
      <c r="F227" s="15"/>
      <c r="K227" s="138"/>
    </row>
    <row r="228">
      <c r="C228" s="139"/>
      <c r="D228" s="139"/>
      <c r="F228" s="15"/>
      <c r="K228" s="138"/>
    </row>
    <row r="229">
      <c r="C229" s="139"/>
      <c r="D229" s="139"/>
      <c r="F229" s="15"/>
      <c r="K229" s="138"/>
    </row>
    <row r="230">
      <c r="C230" s="139"/>
      <c r="D230" s="139"/>
      <c r="F230" s="15"/>
      <c r="K230" s="138"/>
    </row>
    <row r="231">
      <c r="C231" s="139"/>
      <c r="D231" s="139"/>
      <c r="F231" s="15"/>
      <c r="K231" s="138"/>
    </row>
    <row r="232">
      <c r="C232" s="139"/>
      <c r="D232" s="139"/>
      <c r="F232" s="15"/>
      <c r="K232" s="138"/>
    </row>
    <row r="233">
      <c r="C233" s="139"/>
      <c r="D233" s="139"/>
      <c r="F233" s="15"/>
      <c r="K233" s="138"/>
    </row>
    <row r="234">
      <c r="C234" s="139"/>
      <c r="D234" s="139"/>
      <c r="F234" s="15"/>
      <c r="K234" s="138"/>
    </row>
    <row r="235">
      <c r="C235" s="139"/>
      <c r="D235" s="139"/>
      <c r="F235" s="15"/>
      <c r="K235" s="138"/>
    </row>
    <row r="236">
      <c r="C236" s="139"/>
      <c r="D236" s="139"/>
      <c r="F236" s="15"/>
      <c r="K236" s="138"/>
    </row>
    <row r="237">
      <c r="C237" s="139"/>
      <c r="D237" s="139"/>
      <c r="F237" s="15"/>
      <c r="K237" s="138"/>
    </row>
    <row r="238">
      <c r="C238" s="139"/>
      <c r="D238" s="139"/>
      <c r="F238" s="15"/>
      <c r="K238" s="138"/>
    </row>
    <row r="239">
      <c r="C239" s="139"/>
      <c r="D239" s="139"/>
      <c r="F239" s="15"/>
      <c r="K239" s="138"/>
    </row>
    <row r="240">
      <c r="C240" s="139"/>
      <c r="D240" s="139"/>
      <c r="F240" s="15"/>
      <c r="K240" s="138"/>
    </row>
    <row r="241">
      <c r="C241" s="139"/>
      <c r="D241" s="139"/>
      <c r="F241" s="15"/>
      <c r="K241" s="138"/>
    </row>
    <row r="242">
      <c r="C242" s="139"/>
      <c r="D242" s="139"/>
      <c r="F242" s="15"/>
      <c r="K242" s="138"/>
    </row>
    <row r="243">
      <c r="C243" s="139"/>
      <c r="D243" s="139"/>
      <c r="F243" s="15"/>
      <c r="K243" s="138"/>
    </row>
    <row r="244">
      <c r="C244" s="139"/>
      <c r="D244" s="139"/>
      <c r="F244" s="15"/>
      <c r="K244" s="138"/>
    </row>
    <row r="245">
      <c r="C245" s="139"/>
      <c r="D245" s="139"/>
      <c r="F245" s="15"/>
      <c r="K245" s="138"/>
    </row>
    <row r="246">
      <c r="C246" s="139"/>
      <c r="D246" s="139"/>
      <c r="F246" s="15"/>
      <c r="K246" s="138"/>
    </row>
    <row r="247">
      <c r="C247" s="139"/>
      <c r="D247" s="139"/>
      <c r="F247" s="15"/>
      <c r="K247" s="138"/>
    </row>
    <row r="248">
      <c r="C248" s="139"/>
      <c r="D248" s="139"/>
      <c r="F248" s="15"/>
      <c r="K248" s="138"/>
    </row>
    <row r="249">
      <c r="C249" s="139"/>
      <c r="D249" s="139"/>
      <c r="F249" s="15"/>
      <c r="K249" s="138"/>
    </row>
    <row r="250">
      <c r="C250" s="139"/>
      <c r="D250" s="139"/>
      <c r="F250" s="15"/>
      <c r="K250" s="138"/>
    </row>
    <row r="251">
      <c r="C251" s="139"/>
      <c r="D251" s="139"/>
      <c r="F251" s="15"/>
      <c r="K251" s="138"/>
    </row>
    <row r="252">
      <c r="C252" s="139"/>
      <c r="D252" s="139"/>
      <c r="F252" s="15"/>
      <c r="K252" s="138"/>
    </row>
    <row r="253">
      <c r="C253" s="139"/>
      <c r="D253" s="139"/>
      <c r="F253" s="15"/>
      <c r="K253" s="138"/>
    </row>
    <row r="254">
      <c r="C254" s="139"/>
      <c r="D254" s="139"/>
      <c r="F254" s="15"/>
      <c r="K254" s="138"/>
    </row>
    <row r="255">
      <c r="C255" s="139"/>
      <c r="D255" s="139"/>
      <c r="F255" s="15"/>
      <c r="K255" s="138"/>
    </row>
    <row r="256">
      <c r="C256" s="139"/>
      <c r="D256" s="139"/>
      <c r="F256" s="15"/>
      <c r="K256" s="138"/>
    </row>
    <row r="257">
      <c r="C257" s="139"/>
      <c r="D257" s="139"/>
      <c r="F257" s="15"/>
      <c r="K257" s="138"/>
    </row>
    <row r="258">
      <c r="C258" s="139"/>
      <c r="D258" s="139"/>
      <c r="F258" s="15"/>
      <c r="K258" s="138"/>
    </row>
    <row r="259">
      <c r="C259" s="139"/>
      <c r="D259" s="139"/>
      <c r="F259" s="15"/>
      <c r="K259" s="138"/>
    </row>
    <row r="260">
      <c r="C260" s="139"/>
      <c r="D260" s="139"/>
      <c r="F260" s="15"/>
      <c r="K260" s="138"/>
    </row>
    <row r="261">
      <c r="C261" s="139"/>
      <c r="D261" s="139"/>
      <c r="F261" s="15"/>
      <c r="K261" s="138"/>
    </row>
    <row r="262">
      <c r="C262" s="139"/>
      <c r="D262" s="139"/>
      <c r="F262" s="15"/>
      <c r="K262" s="138"/>
    </row>
    <row r="263">
      <c r="C263" s="139"/>
      <c r="D263" s="139"/>
      <c r="F263" s="15"/>
      <c r="K263" s="138"/>
    </row>
    <row r="264">
      <c r="C264" s="139"/>
      <c r="D264" s="139"/>
      <c r="F264" s="15"/>
      <c r="K264" s="138"/>
    </row>
    <row r="265">
      <c r="C265" s="139"/>
      <c r="D265" s="139"/>
      <c r="F265" s="15"/>
      <c r="K265" s="138"/>
    </row>
    <row r="266">
      <c r="C266" s="139"/>
      <c r="D266" s="139"/>
      <c r="F266" s="15"/>
      <c r="K266" s="138"/>
    </row>
    <row r="267">
      <c r="C267" s="139"/>
      <c r="D267" s="139"/>
      <c r="F267" s="15"/>
      <c r="K267" s="138"/>
    </row>
    <row r="268">
      <c r="C268" s="139"/>
      <c r="D268" s="139"/>
      <c r="F268" s="15"/>
      <c r="K268" s="138"/>
    </row>
    <row r="269">
      <c r="C269" s="139"/>
      <c r="D269" s="139"/>
      <c r="F269" s="15"/>
      <c r="K269" s="138"/>
    </row>
    <row r="270">
      <c r="C270" s="139"/>
      <c r="D270" s="139"/>
      <c r="F270" s="15"/>
      <c r="K270" s="138"/>
    </row>
    <row r="271">
      <c r="C271" s="139"/>
      <c r="D271" s="139"/>
      <c r="F271" s="15"/>
      <c r="K271" s="138"/>
    </row>
    <row r="272">
      <c r="C272" s="139"/>
      <c r="D272" s="139"/>
      <c r="F272" s="15"/>
      <c r="K272" s="138"/>
    </row>
    <row r="273">
      <c r="C273" s="139"/>
      <c r="D273" s="139"/>
      <c r="F273" s="15"/>
      <c r="K273" s="138"/>
    </row>
    <row r="274">
      <c r="C274" s="139"/>
      <c r="D274" s="139"/>
      <c r="F274" s="15"/>
      <c r="K274" s="138"/>
    </row>
    <row r="275">
      <c r="C275" s="139"/>
      <c r="D275" s="139"/>
      <c r="F275" s="15"/>
      <c r="K275" s="138"/>
    </row>
    <row r="276">
      <c r="C276" s="139"/>
      <c r="D276" s="139"/>
      <c r="F276" s="15"/>
      <c r="K276" s="138"/>
    </row>
    <row r="277">
      <c r="C277" s="139"/>
      <c r="D277" s="139"/>
      <c r="F277" s="15"/>
      <c r="K277" s="138"/>
    </row>
    <row r="278">
      <c r="C278" s="139"/>
      <c r="D278" s="139"/>
      <c r="F278" s="15"/>
      <c r="K278" s="138"/>
    </row>
    <row r="279">
      <c r="C279" s="139"/>
      <c r="D279" s="139"/>
      <c r="F279" s="15"/>
      <c r="K279" s="138"/>
    </row>
    <row r="280">
      <c r="C280" s="139"/>
      <c r="D280" s="139"/>
      <c r="F280" s="15"/>
      <c r="K280" s="138"/>
    </row>
    <row r="281">
      <c r="C281" s="139"/>
      <c r="D281" s="139"/>
      <c r="F281" s="15"/>
      <c r="K281" s="138"/>
    </row>
    <row r="282">
      <c r="C282" s="139"/>
      <c r="D282" s="139"/>
      <c r="F282" s="15"/>
      <c r="K282" s="138"/>
    </row>
    <row r="283">
      <c r="C283" s="139"/>
      <c r="D283" s="139"/>
      <c r="F283" s="15"/>
      <c r="K283" s="138"/>
    </row>
    <row r="284">
      <c r="C284" s="139"/>
      <c r="D284" s="139"/>
      <c r="F284" s="15"/>
      <c r="K284" s="138"/>
    </row>
    <row r="285">
      <c r="C285" s="139"/>
      <c r="D285" s="139"/>
      <c r="F285" s="15"/>
      <c r="K285" s="138"/>
    </row>
    <row r="286">
      <c r="C286" s="139"/>
      <c r="D286" s="139"/>
      <c r="F286" s="15"/>
      <c r="K286" s="138"/>
    </row>
    <row r="287">
      <c r="C287" s="139"/>
      <c r="D287" s="139"/>
      <c r="F287" s="15"/>
      <c r="K287" s="138"/>
    </row>
    <row r="288">
      <c r="C288" s="139"/>
      <c r="D288" s="139"/>
      <c r="F288" s="15"/>
      <c r="K288" s="138"/>
    </row>
    <row r="289">
      <c r="C289" s="139"/>
      <c r="D289" s="139"/>
      <c r="F289" s="15"/>
      <c r="K289" s="138"/>
    </row>
    <row r="290">
      <c r="C290" s="139"/>
      <c r="D290" s="139"/>
      <c r="F290" s="15"/>
      <c r="K290" s="138"/>
    </row>
    <row r="291">
      <c r="C291" s="139"/>
      <c r="D291" s="139"/>
      <c r="F291" s="15"/>
      <c r="K291" s="138"/>
    </row>
    <row r="292">
      <c r="C292" s="139"/>
      <c r="D292" s="139"/>
      <c r="F292" s="15"/>
      <c r="K292" s="138"/>
    </row>
    <row r="293">
      <c r="C293" s="139"/>
      <c r="D293" s="139"/>
      <c r="F293" s="15"/>
      <c r="K293" s="138"/>
    </row>
    <row r="294">
      <c r="C294" s="139"/>
      <c r="D294" s="139"/>
      <c r="F294" s="15"/>
      <c r="K294" s="138"/>
    </row>
    <row r="295">
      <c r="C295" s="139"/>
      <c r="D295" s="139"/>
      <c r="F295" s="15"/>
      <c r="K295" s="138"/>
    </row>
    <row r="296">
      <c r="C296" s="139"/>
      <c r="D296" s="139"/>
      <c r="F296" s="15"/>
      <c r="K296" s="138"/>
    </row>
    <row r="297">
      <c r="C297" s="139"/>
      <c r="D297" s="139"/>
      <c r="F297" s="15"/>
      <c r="K297" s="138"/>
    </row>
    <row r="298">
      <c r="C298" s="139"/>
      <c r="D298" s="139"/>
      <c r="F298" s="15"/>
      <c r="K298" s="138"/>
    </row>
    <row r="299">
      <c r="C299" s="139"/>
      <c r="D299" s="139"/>
      <c r="F299" s="15"/>
      <c r="K299" s="138"/>
    </row>
    <row r="300">
      <c r="C300" s="139"/>
      <c r="D300" s="139"/>
      <c r="F300" s="15"/>
      <c r="K300" s="138"/>
    </row>
    <row r="301">
      <c r="C301" s="139"/>
      <c r="D301" s="139"/>
      <c r="F301" s="15"/>
      <c r="K301" s="138"/>
    </row>
    <row r="302">
      <c r="C302" s="139"/>
      <c r="D302" s="139"/>
      <c r="F302" s="15"/>
      <c r="K302" s="138"/>
    </row>
    <row r="303">
      <c r="C303" s="139"/>
      <c r="D303" s="139"/>
      <c r="F303" s="15"/>
      <c r="K303" s="138"/>
    </row>
    <row r="304">
      <c r="C304" s="139"/>
      <c r="D304" s="139"/>
      <c r="F304" s="15"/>
      <c r="K304" s="138"/>
    </row>
    <row r="305">
      <c r="C305" s="139"/>
      <c r="D305" s="139"/>
      <c r="F305" s="15"/>
      <c r="K305" s="138"/>
    </row>
    <row r="306">
      <c r="C306" s="139"/>
      <c r="D306" s="139"/>
      <c r="F306" s="15"/>
      <c r="K306" s="138"/>
    </row>
    <row r="307">
      <c r="C307" s="139"/>
      <c r="D307" s="139"/>
      <c r="F307" s="15"/>
      <c r="K307" s="138"/>
    </row>
    <row r="308">
      <c r="C308" s="139"/>
      <c r="D308" s="139"/>
      <c r="F308" s="15"/>
      <c r="K308" s="138"/>
    </row>
    <row r="309">
      <c r="C309" s="139"/>
      <c r="D309" s="139"/>
      <c r="F309" s="15"/>
      <c r="K309" s="138"/>
    </row>
    <row r="310">
      <c r="C310" s="139"/>
      <c r="D310" s="139"/>
      <c r="F310" s="15"/>
      <c r="K310" s="138"/>
    </row>
    <row r="311">
      <c r="C311" s="139"/>
      <c r="D311" s="139"/>
      <c r="F311" s="15"/>
      <c r="K311" s="138"/>
    </row>
    <row r="312">
      <c r="C312" s="139"/>
      <c r="D312" s="139"/>
      <c r="F312" s="15"/>
      <c r="K312" s="138"/>
    </row>
    <row r="313">
      <c r="C313" s="139"/>
      <c r="D313" s="139"/>
      <c r="F313" s="15"/>
      <c r="K313" s="138"/>
    </row>
    <row r="314">
      <c r="C314" s="139"/>
      <c r="D314" s="139"/>
      <c r="F314" s="15"/>
      <c r="K314" s="138"/>
    </row>
    <row r="315">
      <c r="C315" s="139"/>
      <c r="D315" s="139"/>
      <c r="F315" s="15"/>
      <c r="K315" s="138"/>
    </row>
    <row r="316">
      <c r="C316" s="139"/>
      <c r="D316" s="139"/>
      <c r="F316" s="15"/>
      <c r="K316" s="138"/>
    </row>
    <row r="317">
      <c r="C317" s="139"/>
      <c r="D317" s="139"/>
      <c r="F317" s="15"/>
      <c r="K317" s="138"/>
    </row>
    <row r="318">
      <c r="C318" s="139"/>
      <c r="D318" s="139"/>
      <c r="F318" s="15"/>
      <c r="K318" s="138"/>
    </row>
    <row r="319">
      <c r="C319" s="139"/>
      <c r="D319" s="139"/>
      <c r="F319" s="15"/>
      <c r="K319" s="138"/>
    </row>
    <row r="320">
      <c r="C320" s="139"/>
      <c r="D320" s="139"/>
      <c r="F320" s="15"/>
      <c r="K320" s="138"/>
    </row>
    <row r="321">
      <c r="C321" s="139"/>
      <c r="D321" s="139"/>
      <c r="F321" s="15"/>
      <c r="K321" s="138"/>
    </row>
    <row r="322">
      <c r="C322" s="139"/>
      <c r="D322" s="139"/>
      <c r="F322" s="15"/>
      <c r="K322" s="138"/>
    </row>
    <row r="323">
      <c r="C323" s="139"/>
      <c r="D323" s="139"/>
      <c r="F323" s="15"/>
      <c r="K323" s="138"/>
    </row>
    <row r="324">
      <c r="C324" s="139"/>
      <c r="D324" s="139"/>
      <c r="F324" s="15"/>
      <c r="K324" s="138"/>
    </row>
    <row r="325">
      <c r="C325" s="139"/>
      <c r="D325" s="139"/>
      <c r="F325" s="15"/>
      <c r="K325" s="138"/>
    </row>
    <row r="326">
      <c r="C326" s="139"/>
      <c r="D326" s="139"/>
      <c r="F326" s="15"/>
      <c r="K326" s="138"/>
    </row>
    <row r="327">
      <c r="C327" s="139"/>
      <c r="D327" s="139"/>
      <c r="F327" s="15"/>
      <c r="K327" s="138"/>
    </row>
    <row r="328">
      <c r="C328" s="139"/>
      <c r="D328" s="139"/>
      <c r="F328" s="15"/>
      <c r="K328" s="138"/>
    </row>
    <row r="329">
      <c r="C329" s="139"/>
      <c r="D329" s="139"/>
      <c r="F329" s="15"/>
      <c r="K329" s="138"/>
    </row>
    <row r="330">
      <c r="C330" s="139"/>
      <c r="D330" s="139"/>
      <c r="F330" s="15"/>
      <c r="K330" s="138"/>
    </row>
    <row r="331">
      <c r="C331" s="139"/>
      <c r="D331" s="139"/>
      <c r="F331" s="15"/>
      <c r="K331" s="138"/>
    </row>
    <row r="332">
      <c r="C332" s="139"/>
      <c r="D332" s="139"/>
      <c r="F332" s="15"/>
      <c r="K332" s="138"/>
    </row>
    <row r="333">
      <c r="C333" s="139"/>
      <c r="D333" s="139"/>
      <c r="F333" s="15"/>
      <c r="K333" s="138"/>
    </row>
    <row r="334">
      <c r="C334" s="139"/>
      <c r="D334" s="139"/>
      <c r="F334" s="15"/>
      <c r="K334" s="138"/>
    </row>
    <row r="335">
      <c r="C335" s="139"/>
      <c r="D335" s="139"/>
      <c r="F335" s="15"/>
      <c r="K335" s="138"/>
    </row>
    <row r="336">
      <c r="C336" s="139"/>
      <c r="D336" s="139"/>
      <c r="F336" s="15"/>
      <c r="K336" s="138"/>
    </row>
    <row r="337">
      <c r="C337" s="139"/>
      <c r="D337" s="139"/>
      <c r="F337" s="15"/>
      <c r="K337" s="138"/>
    </row>
    <row r="338">
      <c r="C338" s="139"/>
      <c r="D338" s="139"/>
      <c r="F338" s="15"/>
      <c r="K338" s="138"/>
    </row>
    <row r="339">
      <c r="C339" s="139"/>
      <c r="D339" s="139"/>
      <c r="F339" s="15"/>
      <c r="K339" s="138"/>
    </row>
    <row r="340">
      <c r="C340" s="139"/>
      <c r="D340" s="139"/>
      <c r="F340" s="15"/>
      <c r="K340" s="138"/>
    </row>
    <row r="341">
      <c r="C341" s="139"/>
      <c r="D341" s="139"/>
      <c r="F341" s="15"/>
      <c r="K341" s="138"/>
    </row>
    <row r="342">
      <c r="C342" s="139"/>
      <c r="D342" s="139"/>
      <c r="F342" s="15"/>
      <c r="K342" s="138"/>
    </row>
    <row r="343">
      <c r="C343" s="139"/>
      <c r="D343" s="139"/>
      <c r="F343" s="15"/>
      <c r="K343" s="138"/>
    </row>
    <row r="344">
      <c r="C344" s="139"/>
      <c r="D344" s="139"/>
      <c r="F344" s="15"/>
      <c r="K344" s="138"/>
    </row>
    <row r="345">
      <c r="C345" s="139"/>
      <c r="D345" s="139"/>
      <c r="F345" s="15"/>
      <c r="K345" s="138"/>
    </row>
    <row r="346">
      <c r="C346" s="139"/>
      <c r="D346" s="139"/>
      <c r="F346" s="15"/>
      <c r="K346" s="138"/>
    </row>
    <row r="347">
      <c r="C347" s="139"/>
      <c r="D347" s="139"/>
      <c r="F347" s="15"/>
      <c r="K347" s="138"/>
    </row>
    <row r="348">
      <c r="C348" s="139"/>
      <c r="D348" s="139"/>
      <c r="F348" s="15"/>
      <c r="K348" s="138"/>
    </row>
    <row r="349">
      <c r="C349" s="139"/>
      <c r="D349" s="139"/>
      <c r="F349" s="15"/>
      <c r="K349" s="138"/>
    </row>
    <row r="350">
      <c r="C350" s="139"/>
      <c r="D350" s="139"/>
      <c r="F350" s="15"/>
      <c r="K350" s="138"/>
    </row>
    <row r="351">
      <c r="C351" s="139"/>
      <c r="D351" s="139"/>
      <c r="F351" s="15"/>
      <c r="K351" s="138"/>
    </row>
    <row r="352">
      <c r="C352" s="139"/>
      <c r="D352" s="139"/>
      <c r="F352" s="15"/>
      <c r="K352" s="138"/>
    </row>
    <row r="353">
      <c r="C353" s="139"/>
      <c r="D353" s="139"/>
      <c r="F353" s="15"/>
      <c r="K353" s="138"/>
    </row>
    <row r="354">
      <c r="C354" s="139"/>
      <c r="D354" s="139"/>
      <c r="F354" s="15"/>
      <c r="K354" s="138"/>
    </row>
    <row r="355">
      <c r="C355" s="139"/>
      <c r="D355" s="139"/>
      <c r="F355" s="15"/>
      <c r="K355" s="138"/>
    </row>
    <row r="356">
      <c r="C356" s="139"/>
      <c r="D356" s="139"/>
      <c r="F356" s="15"/>
      <c r="K356" s="138"/>
    </row>
    <row r="357">
      <c r="C357" s="139"/>
      <c r="D357" s="139"/>
      <c r="F357" s="15"/>
      <c r="K357" s="138"/>
    </row>
    <row r="358">
      <c r="C358" s="139"/>
      <c r="D358" s="139"/>
      <c r="F358" s="15"/>
      <c r="K358" s="138"/>
    </row>
    <row r="359">
      <c r="C359" s="139"/>
      <c r="D359" s="139"/>
      <c r="F359" s="15"/>
      <c r="K359" s="138"/>
    </row>
    <row r="360">
      <c r="C360" s="139"/>
      <c r="D360" s="139"/>
      <c r="F360" s="15"/>
      <c r="K360" s="138"/>
    </row>
    <row r="361">
      <c r="C361" s="139"/>
      <c r="D361" s="139"/>
      <c r="F361" s="15"/>
      <c r="K361" s="138"/>
    </row>
    <row r="362">
      <c r="C362" s="139"/>
      <c r="D362" s="139"/>
      <c r="F362" s="15"/>
      <c r="K362" s="138"/>
    </row>
    <row r="363">
      <c r="C363" s="139"/>
      <c r="D363" s="139"/>
      <c r="F363" s="15"/>
      <c r="K363" s="138"/>
    </row>
    <row r="364">
      <c r="C364" s="139"/>
      <c r="D364" s="139"/>
      <c r="F364" s="15"/>
      <c r="K364" s="138"/>
    </row>
    <row r="365">
      <c r="C365" s="139"/>
      <c r="D365" s="139"/>
      <c r="F365" s="15"/>
      <c r="K365" s="138"/>
    </row>
    <row r="366">
      <c r="C366" s="139"/>
      <c r="D366" s="139"/>
      <c r="F366" s="15"/>
      <c r="K366" s="138"/>
    </row>
    <row r="367">
      <c r="C367" s="139"/>
      <c r="D367" s="139"/>
      <c r="F367" s="15"/>
      <c r="K367" s="138"/>
    </row>
    <row r="368">
      <c r="C368" s="139"/>
      <c r="D368" s="139"/>
      <c r="F368" s="15"/>
      <c r="K368" s="138"/>
    </row>
    <row r="369">
      <c r="C369" s="139"/>
      <c r="D369" s="139"/>
      <c r="F369" s="15"/>
      <c r="K369" s="138"/>
    </row>
    <row r="370">
      <c r="C370" s="139"/>
      <c r="D370" s="139"/>
      <c r="F370" s="15"/>
      <c r="K370" s="138"/>
    </row>
    <row r="371">
      <c r="C371" s="139"/>
      <c r="D371" s="139"/>
      <c r="F371" s="15"/>
      <c r="K371" s="138"/>
    </row>
    <row r="372">
      <c r="C372" s="139"/>
      <c r="D372" s="139"/>
      <c r="F372" s="15"/>
      <c r="K372" s="138"/>
    </row>
    <row r="373">
      <c r="C373" s="139"/>
      <c r="D373" s="139"/>
      <c r="F373" s="15"/>
      <c r="K373" s="138"/>
    </row>
    <row r="374">
      <c r="C374" s="139"/>
      <c r="D374" s="139"/>
      <c r="F374" s="15"/>
      <c r="K374" s="138"/>
    </row>
    <row r="375">
      <c r="C375" s="139"/>
      <c r="D375" s="139"/>
      <c r="F375" s="15"/>
      <c r="K375" s="138"/>
    </row>
    <row r="376">
      <c r="C376" s="139"/>
      <c r="D376" s="139"/>
      <c r="F376" s="15"/>
      <c r="K376" s="138"/>
    </row>
    <row r="377">
      <c r="C377" s="139"/>
      <c r="D377" s="139"/>
      <c r="F377" s="15"/>
      <c r="K377" s="138"/>
    </row>
    <row r="378">
      <c r="C378" s="139"/>
      <c r="D378" s="139"/>
      <c r="F378" s="15"/>
      <c r="K378" s="138"/>
    </row>
    <row r="379">
      <c r="C379" s="139"/>
      <c r="D379" s="139"/>
      <c r="F379" s="15"/>
      <c r="K379" s="138"/>
    </row>
    <row r="380">
      <c r="C380" s="139"/>
      <c r="D380" s="139"/>
      <c r="F380" s="15"/>
      <c r="K380" s="138"/>
    </row>
    <row r="381">
      <c r="C381" s="139"/>
      <c r="D381" s="139"/>
      <c r="F381" s="15"/>
      <c r="K381" s="138"/>
    </row>
    <row r="382">
      <c r="C382" s="139"/>
      <c r="D382" s="139"/>
      <c r="F382" s="15"/>
      <c r="K382" s="138"/>
    </row>
    <row r="383">
      <c r="C383" s="139"/>
      <c r="D383" s="139"/>
      <c r="F383" s="15"/>
      <c r="K383" s="138"/>
    </row>
    <row r="384">
      <c r="C384" s="139"/>
      <c r="D384" s="139"/>
      <c r="F384" s="15"/>
      <c r="K384" s="138"/>
    </row>
    <row r="385">
      <c r="C385" s="139"/>
      <c r="D385" s="139"/>
      <c r="F385" s="15"/>
      <c r="K385" s="138"/>
    </row>
    <row r="386">
      <c r="C386" s="139"/>
      <c r="D386" s="139"/>
      <c r="F386" s="15"/>
      <c r="K386" s="138"/>
    </row>
    <row r="387">
      <c r="C387" s="139"/>
      <c r="D387" s="139"/>
      <c r="F387" s="15"/>
      <c r="K387" s="138"/>
    </row>
    <row r="388">
      <c r="C388" s="139"/>
      <c r="D388" s="139"/>
      <c r="F388" s="15"/>
      <c r="K388" s="138"/>
    </row>
    <row r="389">
      <c r="C389" s="139"/>
      <c r="D389" s="139"/>
      <c r="F389" s="15"/>
      <c r="K389" s="138"/>
    </row>
    <row r="390">
      <c r="C390" s="139"/>
      <c r="D390" s="139"/>
      <c r="F390" s="15"/>
      <c r="K390" s="138"/>
    </row>
    <row r="391">
      <c r="C391" s="139"/>
      <c r="D391" s="139"/>
      <c r="F391" s="15"/>
      <c r="K391" s="138"/>
    </row>
    <row r="392">
      <c r="C392" s="139"/>
      <c r="D392" s="139"/>
      <c r="F392" s="15"/>
      <c r="K392" s="138"/>
    </row>
    <row r="393">
      <c r="C393" s="139"/>
      <c r="D393" s="139"/>
      <c r="F393" s="15"/>
      <c r="K393" s="138"/>
    </row>
    <row r="394">
      <c r="C394" s="139"/>
      <c r="D394" s="139"/>
      <c r="F394" s="15"/>
      <c r="K394" s="138"/>
    </row>
    <row r="395">
      <c r="C395" s="139"/>
      <c r="D395" s="139"/>
      <c r="F395" s="15"/>
      <c r="K395" s="138"/>
    </row>
    <row r="396">
      <c r="C396" s="139"/>
      <c r="D396" s="139"/>
      <c r="F396" s="15"/>
      <c r="K396" s="138"/>
    </row>
    <row r="397">
      <c r="C397" s="139"/>
      <c r="D397" s="139"/>
      <c r="F397" s="15"/>
      <c r="K397" s="138"/>
    </row>
    <row r="398">
      <c r="C398" s="139"/>
      <c r="D398" s="139"/>
      <c r="F398" s="15"/>
      <c r="K398" s="138"/>
    </row>
    <row r="399">
      <c r="C399" s="139"/>
      <c r="D399" s="139"/>
      <c r="F399" s="15"/>
      <c r="K399" s="138"/>
    </row>
    <row r="400">
      <c r="C400" s="139"/>
      <c r="D400" s="139"/>
      <c r="F400" s="15"/>
      <c r="K400" s="138"/>
    </row>
    <row r="401">
      <c r="C401" s="139"/>
      <c r="D401" s="139"/>
      <c r="F401" s="15"/>
      <c r="K401" s="138"/>
    </row>
    <row r="402">
      <c r="C402" s="139"/>
      <c r="D402" s="139"/>
      <c r="F402" s="15"/>
      <c r="K402" s="138"/>
    </row>
    <row r="403">
      <c r="C403" s="139"/>
      <c r="D403" s="139"/>
      <c r="F403" s="15"/>
      <c r="K403" s="138"/>
    </row>
    <row r="404">
      <c r="C404" s="139"/>
      <c r="D404" s="139"/>
      <c r="F404" s="15"/>
      <c r="K404" s="138"/>
    </row>
    <row r="405">
      <c r="C405" s="139"/>
      <c r="D405" s="139"/>
      <c r="F405" s="15"/>
      <c r="K405" s="138"/>
    </row>
    <row r="406">
      <c r="C406" s="139"/>
      <c r="D406" s="139"/>
      <c r="F406" s="15"/>
      <c r="K406" s="138"/>
    </row>
    <row r="407">
      <c r="C407" s="139"/>
      <c r="D407" s="139"/>
      <c r="F407" s="15"/>
      <c r="K407" s="138"/>
    </row>
    <row r="408">
      <c r="C408" s="139"/>
      <c r="D408" s="139"/>
      <c r="F408" s="15"/>
      <c r="K408" s="138"/>
    </row>
    <row r="409">
      <c r="C409" s="139"/>
      <c r="D409" s="139"/>
      <c r="F409" s="15"/>
      <c r="K409" s="138"/>
    </row>
    <row r="410">
      <c r="C410" s="139"/>
      <c r="D410" s="139"/>
      <c r="F410" s="15"/>
      <c r="K410" s="138"/>
    </row>
    <row r="411">
      <c r="C411" s="139"/>
      <c r="D411" s="139"/>
      <c r="F411" s="15"/>
      <c r="K411" s="138"/>
    </row>
    <row r="412">
      <c r="C412" s="139"/>
      <c r="D412" s="139"/>
      <c r="F412" s="15"/>
      <c r="K412" s="138"/>
    </row>
    <row r="413">
      <c r="C413" s="139"/>
      <c r="D413" s="139"/>
      <c r="F413" s="15"/>
      <c r="K413" s="138"/>
    </row>
    <row r="414">
      <c r="C414" s="139"/>
      <c r="D414" s="139"/>
      <c r="F414" s="15"/>
      <c r="K414" s="138"/>
    </row>
    <row r="415">
      <c r="C415" s="139"/>
      <c r="D415" s="139"/>
      <c r="F415" s="15"/>
      <c r="K415" s="138"/>
    </row>
    <row r="416">
      <c r="C416" s="139"/>
      <c r="D416" s="139"/>
      <c r="F416" s="15"/>
      <c r="K416" s="138"/>
    </row>
    <row r="417">
      <c r="C417" s="139"/>
      <c r="D417" s="139"/>
      <c r="F417" s="15"/>
      <c r="K417" s="138"/>
    </row>
    <row r="418">
      <c r="C418" s="139"/>
      <c r="D418" s="139"/>
      <c r="F418" s="15"/>
      <c r="K418" s="138"/>
    </row>
    <row r="419">
      <c r="C419" s="139"/>
      <c r="D419" s="139"/>
      <c r="F419" s="15"/>
      <c r="K419" s="138"/>
    </row>
    <row r="420">
      <c r="C420" s="139"/>
      <c r="D420" s="139"/>
      <c r="F420" s="15"/>
      <c r="K420" s="138"/>
    </row>
    <row r="421">
      <c r="C421" s="139"/>
      <c r="D421" s="139"/>
      <c r="F421" s="15"/>
      <c r="K421" s="138"/>
    </row>
    <row r="422">
      <c r="C422" s="139"/>
      <c r="D422" s="139"/>
      <c r="F422" s="15"/>
      <c r="K422" s="138"/>
    </row>
    <row r="423">
      <c r="C423" s="139"/>
      <c r="D423" s="139"/>
      <c r="F423" s="15"/>
      <c r="K423" s="138"/>
    </row>
    <row r="424">
      <c r="C424" s="139"/>
      <c r="D424" s="139"/>
      <c r="F424" s="15"/>
      <c r="K424" s="138"/>
    </row>
    <row r="425">
      <c r="C425" s="139"/>
      <c r="D425" s="139"/>
      <c r="F425" s="15"/>
      <c r="K425" s="138"/>
    </row>
    <row r="426">
      <c r="C426" s="139"/>
      <c r="D426" s="139"/>
      <c r="F426" s="15"/>
      <c r="K426" s="138"/>
    </row>
    <row r="427">
      <c r="C427" s="139"/>
      <c r="D427" s="139"/>
      <c r="F427" s="15"/>
      <c r="K427" s="138"/>
    </row>
    <row r="428">
      <c r="C428" s="139"/>
      <c r="D428" s="139"/>
      <c r="F428" s="15"/>
      <c r="K428" s="138"/>
    </row>
    <row r="429">
      <c r="C429" s="139"/>
      <c r="D429" s="139"/>
      <c r="F429" s="15"/>
      <c r="K429" s="138"/>
    </row>
    <row r="430">
      <c r="C430" s="139"/>
      <c r="D430" s="139"/>
      <c r="F430" s="15"/>
      <c r="K430" s="138"/>
    </row>
    <row r="431">
      <c r="C431" s="139"/>
      <c r="D431" s="139"/>
      <c r="F431" s="15"/>
      <c r="K431" s="138"/>
    </row>
    <row r="432">
      <c r="C432" s="139"/>
      <c r="D432" s="139"/>
      <c r="F432" s="15"/>
      <c r="K432" s="138"/>
    </row>
    <row r="433">
      <c r="C433" s="139"/>
      <c r="D433" s="139"/>
      <c r="F433" s="15"/>
      <c r="K433" s="138"/>
    </row>
    <row r="434">
      <c r="C434" s="139"/>
      <c r="D434" s="139"/>
      <c r="F434" s="15"/>
      <c r="K434" s="138"/>
    </row>
    <row r="435">
      <c r="C435" s="139"/>
      <c r="D435" s="139"/>
      <c r="F435" s="15"/>
      <c r="K435" s="138"/>
    </row>
    <row r="436">
      <c r="C436" s="139"/>
      <c r="D436" s="139"/>
      <c r="F436" s="15"/>
      <c r="K436" s="138"/>
    </row>
    <row r="437">
      <c r="C437" s="139"/>
      <c r="D437" s="139"/>
      <c r="F437" s="15"/>
      <c r="K437" s="138"/>
    </row>
    <row r="438">
      <c r="C438" s="139"/>
      <c r="D438" s="139"/>
      <c r="F438" s="15"/>
      <c r="K438" s="138"/>
    </row>
    <row r="439">
      <c r="C439" s="139"/>
      <c r="D439" s="139"/>
      <c r="F439" s="15"/>
      <c r="K439" s="138"/>
    </row>
    <row r="440">
      <c r="C440" s="139"/>
      <c r="D440" s="139"/>
      <c r="F440" s="15"/>
      <c r="K440" s="138"/>
    </row>
    <row r="441">
      <c r="C441" s="139"/>
      <c r="D441" s="139"/>
      <c r="F441" s="15"/>
      <c r="K441" s="138"/>
    </row>
    <row r="442">
      <c r="C442" s="139"/>
      <c r="D442" s="139"/>
      <c r="F442" s="15"/>
      <c r="K442" s="138"/>
    </row>
    <row r="443">
      <c r="C443" s="139"/>
      <c r="D443" s="139"/>
      <c r="F443" s="15"/>
      <c r="K443" s="138"/>
    </row>
    <row r="444">
      <c r="C444" s="139"/>
      <c r="D444" s="139"/>
      <c r="F444" s="15"/>
      <c r="K444" s="138"/>
    </row>
    <row r="445">
      <c r="C445" s="139"/>
      <c r="D445" s="139"/>
      <c r="F445" s="15"/>
      <c r="K445" s="138"/>
    </row>
    <row r="446">
      <c r="C446" s="139"/>
      <c r="D446" s="139"/>
      <c r="F446" s="15"/>
      <c r="K446" s="138"/>
    </row>
    <row r="447">
      <c r="C447" s="139"/>
      <c r="D447" s="139"/>
      <c r="F447" s="15"/>
      <c r="K447" s="138"/>
    </row>
    <row r="448">
      <c r="C448" s="139"/>
      <c r="D448" s="139"/>
      <c r="F448" s="15"/>
      <c r="K448" s="138"/>
    </row>
    <row r="449">
      <c r="C449" s="139"/>
      <c r="D449" s="139"/>
      <c r="F449" s="15"/>
      <c r="K449" s="138"/>
    </row>
    <row r="450">
      <c r="C450" s="139"/>
      <c r="D450" s="139"/>
      <c r="F450" s="15"/>
      <c r="K450" s="138"/>
    </row>
    <row r="451">
      <c r="C451" s="139"/>
      <c r="D451" s="139"/>
      <c r="F451" s="15"/>
      <c r="K451" s="138"/>
    </row>
    <row r="452">
      <c r="C452" s="139"/>
      <c r="D452" s="139"/>
      <c r="F452" s="15"/>
      <c r="K452" s="138"/>
    </row>
    <row r="453">
      <c r="C453" s="139"/>
      <c r="D453" s="139"/>
      <c r="F453" s="15"/>
      <c r="K453" s="138"/>
    </row>
    <row r="454">
      <c r="C454" s="139"/>
      <c r="D454" s="139"/>
      <c r="F454" s="15"/>
      <c r="K454" s="138"/>
    </row>
    <row r="455">
      <c r="C455" s="139"/>
      <c r="D455" s="139"/>
      <c r="F455" s="15"/>
      <c r="K455" s="138"/>
    </row>
    <row r="456">
      <c r="C456" s="139"/>
      <c r="D456" s="139"/>
      <c r="F456" s="15"/>
      <c r="K456" s="138"/>
    </row>
    <row r="457">
      <c r="C457" s="139"/>
      <c r="D457" s="139"/>
      <c r="F457" s="15"/>
      <c r="K457" s="138"/>
    </row>
    <row r="458">
      <c r="C458" s="139"/>
      <c r="D458" s="139"/>
      <c r="F458" s="15"/>
      <c r="K458" s="138"/>
    </row>
    <row r="459">
      <c r="C459" s="139"/>
      <c r="D459" s="139"/>
      <c r="F459" s="15"/>
      <c r="K459" s="138"/>
    </row>
    <row r="460">
      <c r="C460" s="139"/>
      <c r="D460" s="139"/>
      <c r="F460" s="15"/>
      <c r="K460" s="138"/>
    </row>
    <row r="461">
      <c r="C461" s="139"/>
      <c r="D461" s="139"/>
      <c r="F461" s="15"/>
      <c r="K461" s="138"/>
    </row>
    <row r="462">
      <c r="C462" s="139"/>
      <c r="D462" s="139"/>
      <c r="F462" s="15"/>
      <c r="K462" s="138"/>
    </row>
    <row r="463">
      <c r="C463" s="139"/>
      <c r="D463" s="139"/>
      <c r="F463" s="15"/>
      <c r="K463" s="138"/>
    </row>
    <row r="464">
      <c r="C464" s="139"/>
      <c r="D464" s="139"/>
      <c r="F464" s="15"/>
      <c r="K464" s="138"/>
    </row>
    <row r="465">
      <c r="C465" s="139"/>
      <c r="D465" s="139"/>
      <c r="F465" s="15"/>
      <c r="K465" s="138"/>
    </row>
    <row r="466">
      <c r="C466" s="139"/>
      <c r="D466" s="139"/>
      <c r="F466" s="15"/>
      <c r="K466" s="138"/>
    </row>
    <row r="467">
      <c r="C467" s="139"/>
      <c r="D467" s="139"/>
      <c r="F467" s="15"/>
      <c r="K467" s="138"/>
    </row>
    <row r="468">
      <c r="C468" s="139"/>
      <c r="D468" s="139"/>
      <c r="F468" s="15"/>
      <c r="K468" s="138"/>
    </row>
    <row r="469">
      <c r="C469" s="139"/>
      <c r="D469" s="139"/>
      <c r="F469" s="15"/>
      <c r="K469" s="138"/>
    </row>
    <row r="470">
      <c r="C470" s="139"/>
      <c r="D470" s="139"/>
      <c r="F470" s="15"/>
      <c r="K470" s="138"/>
    </row>
    <row r="471">
      <c r="C471" s="139"/>
      <c r="D471" s="139"/>
      <c r="F471" s="15"/>
      <c r="K471" s="138"/>
    </row>
    <row r="472">
      <c r="C472" s="139"/>
      <c r="D472" s="139"/>
      <c r="F472" s="15"/>
      <c r="K472" s="138"/>
    </row>
    <row r="473">
      <c r="C473" s="139"/>
      <c r="D473" s="139"/>
      <c r="F473" s="15"/>
      <c r="K473" s="138"/>
    </row>
    <row r="474">
      <c r="C474" s="139"/>
      <c r="D474" s="139"/>
      <c r="F474" s="15"/>
      <c r="K474" s="138"/>
    </row>
    <row r="475">
      <c r="C475" s="139"/>
      <c r="D475" s="139"/>
      <c r="F475" s="15"/>
      <c r="K475" s="138"/>
    </row>
    <row r="476">
      <c r="C476" s="139"/>
      <c r="D476" s="139"/>
      <c r="F476" s="15"/>
      <c r="K476" s="138"/>
    </row>
    <row r="477">
      <c r="C477" s="139"/>
      <c r="D477" s="139"/>
      <c r="F477" s="15"/>
      <c r="K477" s="138"/>
    </row>
    <row r="478">
      <c r="C478" s="139"/>
      <c r="D478" s="139"/>
      <c r="F478" s="15"/>
      <c r="K478" s="138"/>
    </row>
    <row r="479">
      <c r="C479" s="139"/>
      <c r="D479" s="139"/>
      <c r="F479" s="15"/>
      <c r="K479" s="138"/>
    </row>
    <row r="480">
      <c r="C480" s="139"/>
      <c r="D480" s="139"/>
      <c r="F480" s="15"/>
      <c r="K480" s="138"/>
    </row>
    <row r="481">
      <c r="C481" s="139"/>
      <c r="D481" s="139"/>
      <c r="F481" s="15"/>
      <c r="K481" s="138"/>
    </row>
    <row r="482">
      <c r="C482" s="139"/>
      <c r="D482" s="139"/>
      <c r="F482" s="15"/>
      <c r="K482" s="138"/>
    </row>
    <row r="483">
      <c r="C483" s="139"/>
      <c r="D483" s="139"/>
      <c r="F483" s="15"/>
      <c r="K483" s="138"/>
    </row>
    <row r="484">
      <c r="C484" s="139"/>
      <c r="D484" s="139"/>
      <c r="F484" s="15"/>
      <c r="K484" s="138"/>
    </row>
    <row r="485">
      <c r="C485" s="139"/>
      <c r="D485" s="139"/>
      <c r="F485" s="15"/>
      <c r="K485" s="138"/>
    </row>
    <row r="486">
      <c r="C486" s="139"/>
      <c r="D486" s="139"/>
      <c r="F486" s="15"/>
      <c r="K486" s="138"/>
    </row>
    <row r="487">
      <c r="C487" s="139"/>
      <c r="D487" s="139"/>
      <c r="F487" s="15"/>
      <c r="K487" s="138"/>
    </row>
    <row r="488">
      <c r="C488" s="139"/>
      <c r="D488" s="139"/>
      <c r="F488" s="15"/>
      <c r="K488" s="138"/>
    </row>
    <row r="489">
      <c r="C489" s="139"/>
      <c r="D489" s="139"/>
      <c r="F489" s="15"/>
      <c r="K489" s="138"/>
    </row>
    <row r="490">
      <c r="C490" s="139"/>
      <c r="D490" s="139"/>
      <c r="F490" s="15"/>
      <c r="K490" s="138"/>
    </row>
    <row r="491">
      <c r="C491" s="139"/>
      <c r="D491" s="139"/>
      <c r="F491" s="15"/>
      <c r="K491" s="138"/>
    </row>
    <row r="492">
      <c r="C492" s="139"/>
      <c r="D492" s="139"/>
      <c r="F492" s="15"/>
      <c r="K492" s="138"/>
    </row>
    <row r="493">
      <c r="C493" s="139"/>
      <c r="D493" s="139"/>
      <c r="F493" s="15"/>
      <c r="K493" s="138"/>
    </row>
    <row r="494">
      <c r="C494" s="139"/>
      <c r="D494" s="139"/>
      <c r="F494" s="15"/>
      <c r="K494" s="138"/>
    </row>
    <row r="495">
      <c r="C495" s="139"/>
      <c r="D495" s="139"/>
      <c r="F495" s="15"/>
      <c r="K495" s="138"/>
    </row>
    <row r="496">
      <c r="C496" s="139"/>
      <c r="D496" s="139"/>
      <c r="F496" s="15"/>
      <c r="K496" s="138"/>
    </row>
    <row r="497">
      <c r="C497" s="139"/>
      <c r="D497" s="139"/>
      <c r="F497" s="15"/>
      <c r="K497" s="138"/>
    </row>
    <row r="498">
      <c r="C498" s="139"/>
      <c r="D498" s="139"/>
      <c r="F498" s="15"/>
      <c r="K498" s="138"/>
    </row>
    <row r="499">
      <c r="C499" s="139"/>
      <c r="D499" s="139"/>
      <c r="F499" s="15"/>
      <c r="K499" s="138"/>
    </row>
    <row r="500">
      <c r="C500" s="139"/>
      <c r="D500" s="139"/>
      <c r="F500" s="15"/>
      <c r="K500" s="138"/>
    </row>
    <row r="501">
      <c r="C501" s="139"/>
      <c r="D501" s="139"/>
      <c r="F501" s="15"/>
      <c r="K501" s="138"/>
    </row>
    <row r="502">
      <c r="C502" s="139"/>
      <c r="D502" s="139"/>
      <c r="F502" s="15"/>
      <c r="K502" s="138"/>
    </row>
    <row r="503">
      <c r="C503" s="139"/>
      <c r="D503" s="139"/>
      <c r="F503" s="15"/>
      <c r="K503" s="138"/>
    </row>
    <row r="504">
      <c r="C504" s="139"/>
      <c r="D504" s="139"/>
      <c r="F504" s="15"/>
      <c r="K504" s="138"/>
    </row>
    <row r="505">
      <c r="C505" s="139"/>
      <c r="D505" s="139"/>
      <c r="F505" s="15"/>
      <c r="K505" s="138"/>
    </row>
    <row r="506">
      <c r="C506" s="139"/>
      <c r="D506" s="139"/>
      <c r="F506" s="15"/>
      <c r="K506" s="138"/>
    </row>
    <row r="507">
      <c r="C507" s="139"/>
      <c r="D507" s="139"/>
      <c r="F507" s="15"/>
      <c r="K507" s="138"/>
    </row>
    <row r="508">
      <c r="C508" s="139"/>
      <c r="D508" s="139"/>
      <c r="F508" s="15"/>
      <c r="K508" s="138"/>
    </row>
    <row r="509">
      <c r="C509" s="139"/>
      <c r="D509" s="139"/>
      <c r="F509" s="15"/>
      <c r="K509" s="138"/>
    </row>
    <row r="510">
      <c r="C510" s="139"/>
      <c r="D510" s="139"/>
      <c r="F510" s="15"/>
      <c r="K510" s="138"/>
    </row>
    <row r="511">
      <c r="C511" s="139"/>
      <c r="D511" s="139"/>
      <c r="F511" s="15"/>
      <c r="K511" s="138"/>
    </row>
    <row r="512">
      <c r="C512" s="139"/>
      <c r="D512" s="139"/>
      <c r="F512" s="15"/>
      <c r="K512" s="138"/>
    </row>
    <row r="513">
      <c r="C513" s="139"/>
      <c r="D513" s="139"/>
      <c r="F513" s="15"/>
      <c r="K513" s="138"/>
    </row>
    <row r="514">
      <c r="C514" s="139"/>
      <c r="D514" s="139"/>
      <c r="F514" s="15"/>
      <c r="K514" s="138"/>
    </row>
    <row r="515">
      <c r="C515" s="139"/>
      <c r="D515" s="139"/>
      <c r="F515" s="15"/>
      <c r="K515" s="138"/>
    </row>
    <row r="516">
      <c r="C516" s="139"/>
      <c r="D516" s="139"/>
      <c r="F516" s="15"/>
      <c r="K516" s="138"/>
    </row>
    <row r="517">
      <c r="C517" s="139"/>
      <c r="D517" s="139"/>
      <c r="F517" s="15"/>
      <c r="K517" s="138"/>
    </row>
    <row r="518">
      <c r="C518" s="139"/>
      <c r="D518" s="139"/>
      <c r="F518" s="15"/>
      <c r="K518" s="138"/>
    </row>
    <row r="519">
      <c r="C519" s="139"/>
      <c r="D519" s="139"/>
      <c r="F519" s="15"/>
      <c r="K519" s="138"/>
    </row>
    <row r="520">
      <c r="C520" s="139"/>
      <c r="D520" s="139"/>
      <c r="F520" s="15"/>
      <c r="K520" s="138"/>
    </row>
    <row r="521">
      <c r="C521" s="139"/>
      <c r="D521" s="139"/>
      <c r="F521" s="15"/>
      <c r="K521" s="138"/>
    </row>
    <row r="522">
      <c r="C522" s="139"/>
      <c r="D522" s="139"/>
      <c r="F522" s="15"/>
      <c r="K522" s="138"/>
    </row>
    <row r="523">
      <c r="C523" s="139"/>
      <c r="D523" s="139"/>
      <c r="F523" s="15"/>
      <c r="K523" s="138"/>
    </row>
    <row r="524">
      <c r="C524" s="139"/>
      <c r="D524" s="139"/>
      <c r="F524" s="15"/>
      <c r="K524" s="138"/>
    </row>
    <row r="525">
      <c r="C525" s="139"/>
      <c r="D525" s="139"/>
      <c r="F525" s="15"/>
      <c r="K525" s="138"/>
    </row>
    <row r="526">
      <c r="C526" s="139"/>
      <c r="D526" s="139"/>
      <c r="F526" s="15"/>
      <c r="K526" s="138"/>
    </row>
    <row r="527">
      <c r="C527" s="139"/>
      <c r="D527" s="139"/>
      <c r="F527" s="15"/>
      <c r="K527" s="138"/>
    </row>
    <row r="528">
      <c r="C528" s="139"/>
      <c r="D528" s="139"/>
      <c r="F528" s="15"/>
      <c r="K528" s="138"/>
    </row>
    <row r="529">
      <c r="C529" s="139"/>
      <c r="D529" s="139"/>
      <c r="F529" s="15"/>
      <c r="K529" s="138"/>
    </row>
    <row r="530">
      <c r="C530" s="139"/>
      <c r="D530" s="139"/>
      <c r="F530" s="15"/>
      <c r="K530" s="138"/>
    </row>
    <row r="531">
      <c r="C531" s="139"/>
      <c r="D531" s="139"/>
      <c r="F531" s="15"/>
      <c r="K531" s="138"/>
    </row>
    <row r="532">
      <c r="C532" s="139"/>
      <c r="D532" s="139"/>
      <c r="F532" s="15"/>
      <c r="K532" s="138"/>
    </row>
    <row r="533">
      <c r="C533" s="139"/>
      <c r="D533" s="139"/>
      <c r="F533" s="15"/>
      <c r="K533" s="138"/>
    </row>
    <row r="534">
      <c r="C534" s="139"/>
      <c r="D534" s="139"/>
      <c r="F534" s="15"/>
      <c r="K534" s="138"/>
    </row>
    <row r="535">
      <c r="C535" s="139"/>
      <c r="D535" s="139"/>
      <c r="F535" s="15"/>
      <c r="K535" s="138"/>
    </row>
    <row r="536">
      <c r="C536" s="139"/>
      <c r="D536" s="139"/>
      <c r="F536" s="15"/>
      <c r="K536" s="138"/>
    </row>
    <row r="537">
      <c r="C537" s="139"/>
      <c r="D537" s="139"/>
      <c r="F537" s="15"/>
      <c r="K537" s="138"/>
    </row>
    <row r="538">
      <c r="C538" s="139"/>
      <c r="D538" s="139"/>
      <c r="F538" s="15"/>
      <c r="K538" s="138"/>
    </row>
    <row r="539">
      <c r="C539" s="139"/>
      <c r="D539" s="139"/>
      <c r="F539" s="15"/>
      <c r="K539" s="138"/>
    </row>
    <row r="540">
      <c r="C540" s="139"/>
      <c r="D540" s="139"/>
      <c r="F540" s="15"/>
      <c r="K540" s="138"/>
    </row>
    <row r="541">
      <c r="C541" s="139"/>
      <c r="D541" s="139"/>
      <c r="F541" s="15"/>
      <c r="K541" s="138"/>
    </row>
    <row r="542">
      <c r="C542" s="139"/>
      <c r="D542" s="139"/>
      <c r="F542" s="15"/>
      <c r="K542" s="138"/>
    </row>
    <row r="543">
      <c r="C543" s="139"/>
      <c r="D543" s="139"/>
      <c r="F543" s="15"/>
      <c r="K543" s="138"/>
    </row>
    <row r="544">
      <c r="C544" s="139"/>
      <c r="D544" s="139"/>
      <c r="F544" s="15"/>
      <c r="K544" s="138"/>
    </row>
    <row r="545">
      <c r="C545" s="139"/>
      <c r="D545" s="139"/>
      <c r="F545" s="15"/>
      <c r="K545" s="138"/>
    </row>
    <row r="546">
      <c r="C546" s="139"/>
      <c r="D546" s="139"/>
      <c r="F546" s="15"/>
      <c r="K546" s="138"/>
    </row>
    <row r="547">
      <c r="C547" s="139"/>
      <c r="D547" s="139"/>
      <c r="F547" s="15"/>
      <c r="K547" s="138"/>
    </row>
    <row r="548">
      <c r="C548" s="139"/>
      <c r="D548" s="139"/>
      <c r="F548" s="15"/>
      <c r="K548" s="138"/>
    </row>
    <row r="549">
      <c r="C549" s="139"/>
      <c r="D549" s="139"/>
      <c r="F549" s="15"/>
      <c r="K549" s="138"/>
    </row>
    <row r="550">
      <c r="C550" s="139"/>
      <c r="D550" s="139"/>
      <c r="F550" s="15"/>
      <c r="K550" s="138"/>
    </row>
    <row r="551">
      <c r="C551" s="139"/>
      <c r="D551" s="139"/>
      <c r="F551" s="15"/>
      <c r="K551" s="138"/>
    </row>
    <row r="552">
      <c r="C552" s="139"/>
      <c r="D552" s="139"/>
      <c r="F552" s="15"/>
      <c r="K552" s="138"/>
    </row>
    <row r="553">
      <c r="C553" s="139"/>
      <c r="D553" s="139"/>
      <c r="F553" s="15"/>
      <c r="K553" s="138"/>
    </row>
    <row r="554">
      <c r="C554" s="139"/>
      <c r="D554" s="139"/>
      <c r="F554" s="15"/>
      <c r="K554" s="138"/>
    </row>
    <row r="555">
      <c r="C555" s="139"/>
      <c r="D555" s="139"/>
      <c r="F555" s="15"/>
      <c r="K555" s="138"/>
    </row>
    <row r="556">
      <c r="C556" s="139"/>
      <c r="D556" s="139"/>
      <c r="F556" s="15"/>
      <c r="K556" s="138"/>
    </row>
    <row r="557">
      <c r="C557" s="139"/>
      <c r="D557" s="139"/>
      <c r="F557" s="15"/>
      <c r="K557" s="138"/>
    </row>
    <row r="558">
      <c r="C558" s="139"/>
      <c r="D558" s="139"/>
      <c r="F558" s="15"/>
      <c r="K558" s="138"/>
    </row>
    <row r="559">
      <c r="C559" s="139"/>
      <c r="D559" s="139"/>
      <c r="F559" s="15"/>
      <c r="K559" s="138"/>
    </row>
    <row r="560">
      <c r="C560" s="139"/>
      <c r="D560" s="139"/>
      <c r="F560" s="15"/>
      <c r="K560" s="138"/>
    </row>
    <row r="561">
      <c r="C561" s="139"/>
      <c r="D561" s="139"/>
      <c r="F561" s="15"/>
      <c r="K561" s="138"/>
    </row>
    <row r="562">
      <c r="C562" s="139"/>
      <c r="D562" s="139"/>
      <c r="F562" s="15"/>
      <c r="K562" s="138"/>
    </row>
    <row r="563">
      <c r="C563" s="139"/>
      <c r="D563" s="139"/>
      <c r="F563" s="15"/>
      <c r="K563" s="138"/>
    </row>
    <row r="564">
      <c r="C564" s="139"/>
      <c r="D564" s="139"/>
      <c r="F564" s="15"/>
      <c r="K564" s="138"/>
    </row>
    <row r="565">
      <c r="C565" s="139"/>
      <c r="D565" s="139"/>
      <c r="F565" s="15"/>
      <c r="K565" s="138"/>
    </row>
    <row r="566">
      <c r="C566" s="139"/>
      <c r="D566" s="139"/>
      <c r="F566" s="15"/>
      <c r="K566" s="138"/>
    </row>
    <row r="567">
      <c r="C567" s="139"/>
      <c r="D567" s="139"/>
      <c r="F567" s="15"/>
      <c r="K567" s="138"/>
    </row>
    <row r="568">
      <c r="C568" s="139"/>
      <c r="D568" s="139"/>
      <c r="F568" s="15"/>
      <c r="K568" s="138"/>
    </row>
    <row r="569">
      <c r="C569" s="139"/>
      <c r="D569" s="139"/>
      <c r="F569" s="15"/>
      <c r="K569" s="138"/>
    </row>
    <row r="570">
      <c r="C570" s="139"/>
      <c r="D570" s="139"/>
      <c r="F570" s="15"/>
      <c r="K570" s="138"/>
    </row>
    <row r="571">
      <c r="C571" s="139"/>
      <c r="D571" s="139"/>
      <c r="F571" s="15"/>
      <c r="K571" s="138"/>
    </row>
    <row r="572">
      <c r="C572" s="139"/>
      <c r="D572" s="139"/>
      <c r="F572" s="15"/>
      <c r="K572" s="138"/>
    </row>
    <row r="573">
      <c r="C573" s="139"/>
      <c r="D573" s="139"/>
      <c r="F573" s="15"/>
      <c r="K573" s="138"/>
    </row>
    <row r="574">
      <c r="C574" s="139"/>
      <c r="D574" s="139"/>
      <c r="F574" s="15"/>
      <c r="K574" s="138"/>
    </row>
    <row r="575">
      <c r="C575" s="139"/>
      <c r="D575" s="139"/>
      <c r="F575" s="15"/>
      <c r="K575" s="138"/>
    </row>
    <row r="576">
      <c r="C576" s="139"/>
      <c r="D576" s="139"/>
      <c r="F576" s="15"/>
      <c r="K576" s="138"/>
    </row>
    <row r="577">
      <c r="C577" s="139"/>
      <c r="D577" s="139"/>
      <c r="F577" s="15"/>
      <c r="K577" s="138"/>
    </row>
    <row r="578">
      <c r="C578" s="139"/>
      <c r="D578" s="139"/>
      <c r="F578" s="15"/>
      <c r="K578" s="138"/>
    </row>
    <row r="579">
      <c r="C579" s="139"/>
      <c r="D579" s="139"/>
      <c r="F579" s="15"/>
      <c r="K579" s="138"/>
    </row>
    <row r="580">
      <c r="C580" s="139"/>
      <c r="D580" s="139"/>
      <c r="F580" s="15"/>
      <c r="K580" s="138"/>
    </row>
    <row r="581">
      <c r="C581" s="139"/>
      <c r="D581" s="139"/>
      <c r="F581" s="15"/>
      <c r="K581" s="138"/>
    </row>
    <row r="582">
      <c r="C582" s="139"/>
      <c r="D582" s="139"/>
      <c r="F582" s="15"/>
      <c r="K582" s="138"/>
    </row>
    <row r="583">
      <c r="C583" s="139"/>
      <c r="D583" s="139"/>
      <c r="F583" s="15"/>
      <c r="K583" s="138"/>
    </row>
    <row r="584">
      <c r="C584" s="139"/>
      <c r="D584" s="139"/>
      <c r="F584" s="15"/>
      <c r="K584" s="138"/>
    </row>
    <row r="585">
      <c r="C585" s="139"/>
      <c r="D585" s="139"/>
      <c r="F585" s="15"/>
      <c r="K585" s="138"/>
    </row>
    <row r="586">
      <c r="C586" s="139"/>
      <c r="D586" s="139"/>
      <c r="F586" s="15"/>
      <c r="K586" s="138"/>
    </row>
    <row r="587">
      <c r="C587" s="139"/>
      <c r="D587" s="139"/>
      <c r="F587" s="15"/>
      <c r="K587" s="138"/>
    </row>
    <row r="588">
      <c r="C588" s="139"/>
      <c r="D588" s="139"/>
      <c r="F588" s="15"/>
      <c r="K588" s="138"/>
    </row>
    <row r="589">
      <c r="C589" s="139"/>
      <c r="D589" s="139"/>
      <c r="F589" s="15"/>
      <c r="K589" s="138"/>
    </row>
    <row r="590">
      <c r="C590" s="139"/>
      <c r="D590" s="139"/>
      <c r="F590" s="15"/>
      <c r="K590" s="138"/>
    </row>
    <row r="591">
      <c r="C591" s="139"/>
      <c r="D591" s="139"/>
      <c r="F591" s="15"/>
      <c r="K591" s="138"/>
    </row>
    <row r="592">
      <c r="C592" s="139"/>
      <c r="D592" s="139"/>
      <c r="F592" s="15"/>
      <c r="K592" s="138"/>
    </row>
    <row r="593">
      <c r="C593" s="139"/>
      <c r="D593" s="139"/>
      <c r="F593" s="15"/>
      <c r="K593" s="138"/>
    </row>
    <row r="594">
      <c r="C594" s="139"/>
      <c r="D594" s="139"/>
      <c r="F594" s="15"/>
      <c r="K594" s="138"/>
    </row>
    <row r="595">
      <c r="C595" s="139"/>
      <c r="D595" s="139"/>
      <c r="F595" s="15"/>
      <c r="K595" s="138"/>
    </row>
    <row r="596">
      <c r="C596" s="139"/>
      <c r="D596" s="139"/>
      <c r="F596" s="15"/>
      <c r="K596" s="138"/>
    </row>
    <row r="597">
      <c r="C597" s="139"/>
      <c r="D597" s="139"/>
      <c r="F597" s="15"/>
      <c r="K597" s="138"/>
    </row>
    <row r="598">
      <c r="C598" s="139"/>
      <c r="D598" s="139"/>
      <c r="F598" s="15"/>
      <c r="K598" s="138"/>
    </row>
    <row r="599">
      <c r="C599" s="139"/>
      <c r="D599" s="139"/>
      <c r="F599" s="15"/>
      <c r="K599" s="138"/>
    </row>
    <row r="600">
      <c r="C600" s="139"/>
      <c r="D600" s="139"/>
      <c r="F600" s="15"/>
      <c r="K600" s="138"/>
    </row>
    <row r="601">
      <c r="C601" s="139"/>
      <c r="D601" s="139"/>
      <c r="F601" s="15"/>
      <c r="K601" s="138"/>
    </row>
    <row r="602">
      <c r="C602" s="139"/>
      <c r="D602" s="139"/>
      <c r="F602" s="15"/>
      <c r="K602" s="138"/>
    </row>
    <row r="603">
      <c r="C603" s="139"/>
      <c r="D603" s="139"/>
      <c r="F603" s="15"/>
      <c r="K603" s="138"/>
    </row>
    <row r="604">
      <c r="C604" s="139"/>
      <c r="D604" s="139"/>
      <c r="F604" s="15"/>
      <c r="K604" s="138"/>
    </row>
    <row r="605">
      <c r="C605" s="139"/>
      <c r="D605" s="139"/>
      <c r="F605" s="15"/>
      <c r="K605" s="138"/>
    </row>
    <row r="606">
      <c r="C606" s="139"/>
      <c r="D606" s="139"/>
      <c r="F606" s="15"/>
      <c r="K606" s="138"/>
    </row>
    <row r="607">
      <c r="C607" s="139"/>
      <c r="D607" s="139"/>
      <c r="F607" s="15"/>
      <c r="K607" s="138"/>
    </row>
    <row r="608">
      <c r="C608" s="139"/>
      <c r="D608" s="139"/>
      <c r="F608" s="15"/>
      <c r="K608" s="138"/>
    </row>
    <row r="609">
      <c r="C609" s="139"/>
      <c r="D609" s="139"/>
      <c r="F609" s="15"/>
      <c r="K609" s="138"/>
    </row>
    <row r="610">
      <c r="C610" s="139"/>
      <c r="D610" s="139"/>
      <c r="F610" s="15"/>
      <c r="K610" s="138"/>
    </row>
    <row r="611">
      <c r="C611" s="139"/>
      <c r="D611" s="139"/>
      <c r="F611" s="15"/>
      <c r="K611" s="138"/>
    </row>
    <row r="612">
      <c r="C612" s="139"/>
      <c r="D612" s="139"/>
      <c r="F612" s="15"/>
      <c r="K612" s="138"/>
    </row>
    <row r="613">
      <c r="C613" s="139"/>
      <c r="D613" s="139"/>
      <c r="F613" s="15"/>
      <c r="K613" s="138"/>
    </row>
    <row r="614">
      <c r="C614" s="139"/>
      <c r="D614" s="139"/>
      <c r="F614" s="15"/>
      <c r="K614" s="138"/>
    </row>
    <row r="615">
      <c r="C615" s="139"/>
      <c r="D615" s="139"/>
      <c r="F615" s="15"/>
      <c r="K615" s="138"/>
    </row>
    <row r="616">
      <c r="C616" s="139"/>
      <c r="D616" s="139"/>
      <c r="F616" s="15"/>
      <c r="K616" s="138"/>
    </row>
    <row r="617">
      <c r="C617" s="139"/>
      <c r="D617" s="139"/>
      <c r="F617" s="15"/>
      <c r="K617" s="138"/>
    </row>
    <row r="618">
      <c r="C618" s="139"/>
      <c r="D618" s="139"/>
      <c r="F618" s="15"/>
      <c r="K618" s="138"/>
    </row>
    <row r="619">
      <c r="C619" s="139"/>
      <c r="D619" s="139"/>
      <c r="F619" s="15"/>
      <c r="K619" s="138"/>
    </row>
    <row r="620">
      <c r="C620" s="139"/>
      <c r="D620" s="139"/>
      <c r="F620" s="15"/>
      <c r="K620" s="138"/>
    </row>
    <row r="621">
      <c r="C621" s="139"/>
      <c r="D621" s="139"/>
      <c r="F621" s="15"/>
      <c r="K621" s="138"/>
    </row>
    <row r="622">
      <c r="C622" s="139"/>
      <c r="D622" s="139"/>
      <c r="F622" s="15"/>
      <c r="K622" s="138"/>
    </row>
    <row r="623">
      <c r="C623" s="139"/>
      <c r="D623" s="139"/>
      <c r="F623" s="15"/>
      <c r="K623" s="138"/>
    </row>
    <row r="624">
      <c r="C624" s="139"/>
      <c r="D624" s="139"/>
      <c r="F624" s="15"/>
      <c r="K624" s="138"/>
    </row>
    <row r="625">
      <c r="C625" s="139"/>
      <c r="D625" s="139"/>
      <c r="F625" s="15"/>
      <c r="K625" s="138"/>
    </row>
    <row r="626">
      <c r="C626" s="139"/>
      <c r="D626" s="139"/>
      <c r="F626" s="15"/>
      <c r="K626" s="138"/>
    </row>
    <row r="627">
      <c r="C627" s="139"/>
      <c r="D627" s="139"/>
      <c r="F627" s="15"/>
      <c r="K627" s="138"/>
    </row>
    <row r="628">
      <c r="C628" s="139"/>
      <c r="D628" s="139"/>
      <c r="F628" s="15"/>
      <c r="K628" s="138"/>
    </row>
    <row r="629">
      <c r="C629" s="139"/>
      <c r="D629" s="139"/>
      <c r="F629" s="15"/>
      <c r="K629" s="138"/>
    </row>
    <row r="630">
      <c r="C630" s="139"/>
      <c r="D630" s="139"/>
      <c r="F630" s="15"/>
      <c r="K630" s="138"/>
    </row>
    <row r="631">
      <c r="C631" s="139"/>
      <c r="D631" s="139"/>
      <c r="F631" s="15"/>
      <c r="K631" s="138"/>
    </row>
    <row r="632">
      <c r="C632" s="139"/>
      <c r="D632" s="139"/>
      <c r="F632" s="15"/>
      <c r="K632" s="138"/>
    </row>
    <row r="633">
      <c r="C633" s="139"/>
      <c r="D633" s="139"/>
      <c r="F633" s="15"/>
      <c r="K633" s="138"/>
    </row>
    <row r="634">
      <c r="C634" s="139"/>
      <c r="D634" s="139"/>
      <c r="F634" s="15"/>
      <c r="K634" s="138"/>
    </row>
    <row r="635">
      <c r="C635" s="139"/>
      <c r="D635" s="139"/>
      <c r="F635" s="15"/>
      <c r="K635" s="138"/>
    </row>
    <row r="636">
      <c r="C636" s="139"/>
      <c r="D636" s="139"/>
      <c r="F636" s="15"/>
      <c r="K636" s="138"/>
    </row>
    <row r="637">
      <c r="C637" s="139"/>
      <c r="D637" s="139"/>
      <c r="F637" s="15"/>
      <c r="K637" s="138"/>
    </row>
    <row r="638">
      <c r="C638" s="139"/>
      <c r="D638" s="139"/>
      <c r="F638" s="15"/>
      <c r="K638" s="138"/>
    </row>
    <row r="639">
      <c r="C639" s="139"/>
      <c r="D639" s="139"/>
      <c r="F639" s="15"/>
      <c r="K639" s="138"/>
    </row>
    <row r="640">
      <c r="C640" s="139"/>
      <c r="D640" s="139"/>
      <c r="F640" s="15"/>
      <c r="K640" s="138"/>
    </row>
    <row r="641">
      <c r="C641" s="139"/>
      <c r="D641" s="139"/>
      <c r="F641" s="15"/>
      <c r="K641" s="138"/>
    </row>
    <row r="642">
      <c r="C642" s="139"/>
      <c r="D642" s="139"/>
      <c r="F642" s="15"/>
      <c r="K642" s="138"/>
    </row>
    <row r="643">
      <c r="C643" s="139"/>
      <c r="D643" s="139"/>
      <c r="F643" s="15"/>
      <c r="K643" s="138"/>
    </row>
    <row r="644">
      <c r="C644" s="139"/>
      <c r="D644" s="139"/>
      <c r="F644" s="15"/>
      <c r="K644" s="138"/>
    </row>
    <row r="645">
      <c r="C645" s="139"/>
      <c r="D645" s="139"/>
      <c r="F645" s="15"/>
      <c r="K645" s="138"/>
    </row>
    <row r="646">
      <c r="C646" s="139"/>
      <c r="D646" s="139"/>
      <c r="F646" s="15"/>
      <c r="K646" s="138"/>
    </row>
    <row r="647">
      <c r="C647" s="139"/>
      <c r="D647" s="139"/>
      <c r="F647" s="15"/>
      <c r="K647" s="138"/>
    </row>
    <row r="648">
      <c r="C648" s="139"/>
      <c r="D648" s="139"/>
      <c r="F648" s="15"/>
      <c r="K648" s="138"/>
    </row>
    <row r="649">
      <c r="C649" s="139"/>
      <c r="D649" s="139"/>
      <c r="F649" s="15"/>
      <c r="K649" s="138"/>
    </row>
    <row r="650">
      <c r="C650" s="139"/>
      <c r="D650" s="139"/>
      <c r="F650" s="15"/>
      <c r="K650" s="138"/>
    </row>
    <row r="651">
      <c r="C651" s="139"/>
      <c r="D651" s="139"/>
      <c r="F651" s="15"/>
      <c r="K651" s="138"/>
    </row>
    <row r="652">
      <c r="C652" s="139"/>
      <c r="D652" s="139"/>
      <c r="F652" s="15"/>
      <c r="K652" s="138"/>
    </row>
    <row r="653">
      <c r="C653" s="139"/>
      <c r="D653" s="139"/>
      <c r="F653" s="15"/>
      <c r="K653" s="138"/>
    </row>
    <row r="654">
      <c r="C654" s="139"/>
      <c r="D654" s="139"/>
      <c r="F654" s="15"/>
      <c r="K654" s="138"/>
    </row>
    <row r="655">
      <c r="C655" s="139"/>
      <c r="D655" s="139"/>
      <c r="F655" s="15"/>
      <c r="K655" s="138"/>
    </row>
    <row r="656">
      <c r="C656" s="139"/>
      <c r="D656" s="139"/>
      <c r="F656" s="15"/>
      <c r="K656" s="138"/>
    </row>
    <row r="657">
      <c r="C657" s="139"/>
      <c r="D657" s="139"/>
      <c r="F657" s="15"/>
      <c r="K657" s="138"/>
    </row>
    <row r="658">
      <c r="C658" s="139"/>
      <c r="D658" s="139"/>
      <c r="F658" s="15"/>
      <c r="K658" s="138"/>
    </row>
    <row r="659">
      <c r="C659" s="139"/>
      <c r="D659" s="139"/>
      <c r="F659" s="15"/>
      <c r="K659" s="138"/>
    </row>
    <row r="660">
      <c r="C660" s="139"/>
      <c r="D660" s="139"/>
      <c r="F660" s="15"/>
      <c r="K660" s="138"/>
    </row>
    <row r="661">
      <c r="C661" s="139"/>
      <c r="D661" s="139"/>
      <c r="F661" s="15"/>
      <c r="K661" s="138"/>
    </row>
    <row r="662">
      <c r="C662" s="139"/>
      <c r="D662" s="139"/>
      <c r="F662" s="15"/>
      <c r="K662" s="138"/>
    </row>
    <row r="663">
      <c r="C663" s="139"/>
      <c r="D663" s="139"/>
      <c r="F663" s="15"/>
      <c r="K663" s="138"/>
    </row>
    <row r="664">
      <c r="C664" s="139"/>
      <c r="D664" s="139"/>
      <c r="F664" s="15"/>
      <c r="K664" s="138"/>
    </row>
    <row r="665">
      <c r="C665" s="139"/>
      <c r="D665" s="139"/>
      <c r="F665" s="15"/>
      <c r="K665" s="138"/>
    </row>
    <row r="666">
      <c r="C666" s="139"/>
      <c r="D666" s="139"/>
      <c r="F666" s="15"/>
      <c r="K666" s="138"/>
    </row>
    <row r="667">
      <c r="C667" s="139"/>
      <c r="D667" s="139"/>
      <c r="F667" s="15"/>
      <c r="K667" s="138"/>
    </row>
    <row r="668">
      <c r="C668" s="139"/>
      <c r="D668" s="139"/>
      <c r="F668" s="15"/>
      <c r="K668" s="138"/>
    </row>
    <row r="669">
      <c r="C669" s="139"/>
      <c r="D669" s="139"/>
      <c r="F669" s="15"/>
      <c r="K669" s="138"/>
    </row>
    <row r="670">
      <c r="C670" s="139"/>
      <c r="D670" s="139"/>
      <c r="F670" s="15"/>
      <c r="K670" s="138"/>
    </row>
    <row r="671">
      <c r="C671" s="139"/>
      <c r="D671" s="139"/>
      <c r="F671" s="15"/>
      <c r="K671" s="138"/>
    </row>
    <row r="672">
      <c r="C672" s="139"/>
      <c r="D672" s="139"/>
      <c r="F672" s="15"/>
      <c r="K672" s="138"/>
    </row>
    <row r="673">
      <c r="C673" s="139"/>
      <c r="D673" s="139"/>
      <c r="F673" s="15"/>
      <c r="K673" s="138"/>
    </row>
    <row r="674">
      <c r="C674" s="139"/>
      <c r="D674" s="139"/>
      <c r="F674" s="15"/>
      <c r="K674" s="138"/>
    </row>
    <row r="675">
      <c r="C675" s="139"/>
      <c r="D675" s="139"/>
      <c r="F675" s="15"/>
      <c r="K675" s="138"/>
    </row>
    <row r="676">
      <c r="C676" s="139"/>
      <c r="D676" s="139"/>
      <c r="F676" s="15"/>
      <c r="K676" s="138"/>
    </row>
    <row r="677">
      <c r="C677" s="139"/>
      <c r="D677" s="139"/>
      <c r="F677" s="15"/>
      <c r="K677" s="138"/>
    </row>
    <row r="678">
      <c r="C678" s="139"/>
      <c r="D678" s="139"/>
      <c r="F678" s="15"/>
      <c r="K678" s="138"/>
    </row>
    <row r="679">
      <c r="C679" s="139"/>
      <c r="D679" s="139"/>
      <c r="F679" s="15"/>
      <c r="K679" s="138"/>
    </row>
    <row r="680">
      <c r="C680" s="139"/>
      <c r="D680" s="139"/>
      <c r="F680" s="15"/>
      <c r="K680" s="138"/>
    </row>
    <row r="681">
      <c r="C681" s="139"/>
      <c r="D681" s="139"/>
      <c r="F681" s="15"/>
      <c r="K681" s="138"/>
    </row>
    <row r="682">
      <c r="C682" s="139"/>
      <c r="D682" s="139"/>
      <c r="F682" s="15"/>
      <c r="K682" s="138"/>
    </row>
    <row r="683">
      <c r="C683" s="139"/>
      <c r="D683" s="139"/>
      <c r="F683" s="15"/>
      <c r="K683" s="138"/>
    </row>
    <row r="684">
      <c r="C684" s="139"/>
      <c r="D684" s="139"/>
      <c r="F684" s="15"/>
      <c r="K684" s="138"/>
    </row>
    <row r="685">
      <c r="C685" s="139"/>
      <c r="D685" s="139"/>
      <c r="F685" s="15"/>
      <c r="K685" s="138"/>
    </row>
    <row r="686">
      <c r="C686" s="139"/>
      <c r="D686" s="139"/>
      <c r="F686" s="15"/>
      <c r="K686" s="138"/>
    </row>
    <row r="687">
      <c r="C687" s="139"/>
      <c r="D687" s="139"/>
      <c r="F687" s="15"/>
      <c r="K687" s="138"/>
    </row>
    <row r="688">
      <c r="C688" s="139"/>
      <c r="D688" s="139"/>
      <c r="F688" s="15"/>
      <c r="K688" s="138"/>
    </row>
    <row r="689">
      <c r="C689" s="139"/>
      <c r="D689" s="139"/>
      <c r="F689" s="15"/>
      <c r="K689" s="138"/>
    </row>
    <row r="690">
      <c r="C690" s="139"/>
      <c r="D690" s="139"/>
      <c r="F690" s="15"/>
      <c r="K690" s="138"/>
    </row>
    <row r="691">
      <c r="C691" s="139"/>
      <c r="D691" s="139"/>
      <c r="F691" s="15"/>
      <c r="K691" s="138"/>
    </row>
    <row r="692">
      <c r="C692" s="139"/>
      <c r="D692" s="139"/>
      <c r="F692" s="15"/>
      <c r="K692" s="138"/>
    </row>
    <row r="693">
      <c r="C693" s="139"/>
      <c r="D693" s="139"/>
      <c r="F693" s="15"/>
      <c r="K693" s="138"/>
    </row>
    <row r="694">
      <c r="C694" s="139"/>
      <c r="D694" s="139"/>
      <c r="F694" s="15"/>
      <c r="K694" s="138"/>
    </row>
    <row r="695">
      <c r="C695" s="139"/>
      <c r="D695" s="139"/>
      <c r="F695" s="15"/>
      <c r="K695" s="138"/>
    </row>
    <row r="696">
      <c r="C696" s="139"/>
      <c r="D696" s="139"/>
      <c r="F696" s="15"/>
      <c r="K696" s="138"/>
    </row>
    <row r="697">
      <c r="C697" s="139"/>
      <c r="D697" s="139"/>
      <c r="F697" s="15"/>
      <c r="K697" s="138"/>
    </row>
    <row r="698">
      <c r="C698" s="139"/>
      <c r="D698" s="139"/>
      <c r="F698" s="15"/>
      <c r="K698" s="138"/>
    </row>
    <row r="699">
      <c r="C699" s="139"/>
      <c r="D699" s="139"/>
      <c r="F699" s="15"/>
      <c r="K699" s="138"/>
    </row>
    <row r="700">
      <c r="C700" s="139"/>
      <c r="D700" s="139"/>
      <c r="F700" s="15"/>
      <c r="K700" s="138"/>
    </row>
    <row r="701">
      <c r="C701" s="139"/>
      <c r="D701" s="139"/>
      <c r="F701" s="15"/>
      <c r="K701" s="138"/>
    </row>
    <row r="702">
      <c r="C702" s="139"/>
      <c r="D702" s="139"/>
      <c r="F702" s="15"/>
      <c r="K702" s="138"/>
    </row>
    <row r="703">
      <c r="C703" s="139"/>
      <c r="D703" s="139"/>
      <c r="F703" s="15"/>
      <c r="K703" s="138"/>
    </row>
    <row r="704">
      <c r="C704" s="139"/>
      <c r="D704" s="139"/>
      <c r="F704" s="15"/>
      <c r="K704" s="138"/>
    </row>
    <row r="705">
      <c r="C705" s="139"/>
      <c r="D705" s="139"/>
      <c r="F705" s="15"/>
      <c r="K705" s="138"/>
    </row>
    <row r="706">
      <c r="C706" s="139"/>
      <c r="D706" s="139"/>
      <c r="F706" s="15"/>
      <c r="K706" s="138"/>
    </row>
    <row r="707">
      <c r="C707" s="139"/>
      <c r="D707" s="139"/>
      <c r="F707" s="15"/>
      <c r="K707" s="138"/>
    </row>
    <row r="708">
      <c r="C708" s="139"/>
      <c r="D708" s="139"/>
      <c r="F708" s="15"/>
      <c r="K708" s="138"/>
    </row>
    <row r="709">
      <c r="C709" s="139"/>
      <c r="D709" s="139"/>
      <c r="F709" s="15"/>
      <c r="K709" s="138"/>
    </row>
    <row r="710">
      <c r="C710" s="139"/>
      <c r="D710" s="139"/>
      <c r="F710" s="15"/>
      <c r="K710" s="138"/>
    </row>
    <row r="711">
      <c r="C711" s="139"/>
      <c r="D711" s="139"/>
      <c r="F711" s="15"/>
      <c r="K711" s="138"/>
    </row>
    <row r="712">
      <c r="C712" s="139"/>
      <c r="D712" s="139"/>
      <c r="F712" s="15"/>
      <c r="K712" s="138"/>
    </row>
    <row r="713">
      <c r="C713" s="139"/>
      <c r="D713" s="139"/>
      <c r="F713" s="15"/>
      <c r="K713" s="138"/>
    </row>
    <row r="714">
      <c r="C714" s="139"/>
      <c r="D714" s="139"/>
      <c r="F714" s="15"/>
      <c r="K714" s="138"/>
    </row>
    <row r="715">
      <c r="C715" s="139"/>
      <c r="D715" s="139"/>
      <c r="F715" s="15"/>
      <c r="K715" s="138"/>
    </row>
    <row r="716">
      <c r="C716" s="139"/>
      <c r="D716" s="139"/>
      <c r="F716" s="15"/>
      <c r="K716" s="138"/>
    </row>
    <row r="717">
      <c r="C717" s="139"/>
      <c r="D717" s="139"/>
      <c r="F717" s="15"/>
      <c r="K717" s="138"/>
    </row>
    <row r="718">
      <c r="C718" s="139"/>
      <c r="D718" s="139"/>
      <c r="F718" s="15"/>
      <c r="K718" s="138"/>
    </row>
    <row r="719">
      <c r="C719" s="139"/>
      <c r="D719" s="139"/>
      <c r="F719" s="15"/>
      <c r="K719" s="138"/>
    </row>
    <row r="720">
      <c r="C720" s="139"/>
      <c r="D720" s="139"/>
      <c r="F720" s="15"/>
      <c r="K720" s="138"/>
    </row>
    <row r="721">
      <c r="C721" s="139"/>
      <c r="D721" s="139"/>
      <c r="F721" s="15"/>
      <c r="K721" s="138"/>
    </row>
    <row r="722">
      <c r="C722" s="139"/>
      <c r="D722" s="139"/>
      <c r="F722" s="15"/>
      <c r="K722" s="138"/>
    </row>
    <row r="723">
      <c r="C723" s="139"/>
      <c r="D723" s="139"/>
      <c r="F723" s="15"/>
      <c r="K723" s="138"/>
    </row>
    <row r="724">
      <c r="C724" s="139"/>
      <c r="D724" s="139"/>
      <c r="F724" s="15"/>
      <c r="K724" s="138"/>
    </row>
    <row r="725">
      <c r="C725" s="139"/>
      <c r="D725" s="139"/>
      <c r="F725" s="15"/>
      <c r="K725" s="138"/>
    </row>
    <row r="726">
      <c r="C726" s="139"/>
      <c r="D726" s="139"/>
      <c r="F726" s="15"/>
      <c r="K726" s="138"/>
    </row>
    <row r="727">
      <c r="C727" s="139"/>
      <c r="D727" s="139"/>
      <c r="F727" s="15"/>
      <c r="K727" s="138"/>
    </row>
    <row r="728">
      <c r="C728" s="139"/>
      <c r="D728" s="139"/>
      <c r="F728" s="15"/>
      <c r="K728" s="138"/>
    </row>
    <row r="729">
      <c r="C729" s="139"/>
      <c r="D729" s="139"/>
      <c r="F729" s="15"/>
      <c r="K729" s="138"/>
    </row>
    <row r="730">
      <c r="C730" s="139"/>
      <c r="D730" s="139"/>
      <c r="F730" s="15"/>
      <c r="K730" s="138"/>
    </row>
    <row r="731">
      <c r="C731" s="139"/>
      <c r="D731" s="139"/>
      <c r="F731" s="15"/>
      <c r="K731" s="138"/>
    </row>
    <row r="732">
      <c r="C732" s="139"/>
      <c r="D732" s="139"/>
      <c r="F732" s="15"/>
      <c r="K732" s="138"/>
    </row>
    <row r="733">
      <c r="C733" s="139"/>
      <c r="D733" s="139"/>
      <c r="F733" s="15"/>
      <c r="K733" s="138"/>
    </row>
    <row r="734">
      <c r="C734" s="139"/>
      <c r="D734" s="139"/>
      <c r="F734" s="15"/>
      <c r="K734" s="138"/>
    </row>
    <row r="735">
      <c r="C735" s="139"/>
      <c r="D735" s="139"/>
      <c r="F735" s="15"/>
      <c r="K735" s="138"/>
    </row>
    <row r="736">
      <c r="C736" s="139"/>
      <c r="D736" s="139"/>
      <c r="F736" s="15"/>
      <c r="K736" s="138"/>
    </row>
    <row r="737">
      <c r="C737" s="139"/>
      <c r="D737" s="139"/>
      <c r="F737" s="15"/>
      <c r="K737" s="138"/>
    </row>
    <row r="738">
      <c r="C738" s="139"/>
      <c r="D738" s="139"/>
      <c r="F738" s="15"/>
      <c r="K738" s="138"/>
    </row>
    <row r="739">
      <c r="C739" s="139"/>
      <c r="D739" s="139"/>
      <c r="F739" s="15"/>
      <c r="K739" s="138"/>
    </row>
    <row r="740">
      <c r="C740" s="139"/>
      <c r="D740" s="139"/>
      <c r="F740" s="15"/>
      <c r="K740" s="138"/>
    </row>
    <row r="741">
      <c r="C741" s="139"/>
      <c r="D741" s="139"/>
      <c r="F741" s="15"/>
      <c r="K741" s="138"/>
    </row>
    <row r="742">
      <c r="C742" s="139"/>
      <c r="D742" s="139"/>
      <c r="F742" s="15"/>
      <c r="K742" s="138"/>
    </row>
    <row r="743">
      <c r="C743" s="139"/>
      <c r="D743" s="139"/>
      <c r="F743" s="15"/>
      <c r="K743" s="138"/>
    </row>
    <row r="744">
      <c r="C744" s="139"/>
      <c r="D744" s="139"/>
      <c r="F744" s="15"/>
      <c r="K744" s="138"/>
    </row>
    <row r="745">
      <c r="C745" s="139"/>
      <c r="D745" s="139"/>
      <c r="F745" s="15"/>
      <c r="K745" s="138"/>
    </row>
    <row r="746">
      <c r="C746" s="139"/>
      <c r="D746" s="139"/>
      <c r="F746" s="15"/>
      <c r="K746" s="138"/>
    </row>
    <row r="747">
      <c r="C747" s="139"/>
      <c r="D747" s="139"/>
      <c r="F747" s="15"/>
      <c r="K747" s="138"/>
    </row>
    <row r="748">
      <c r="C748" s="139"/>
      <c r="D748" s="139"/>
      <c r="F748" s="15"/>
      <c r="K748" s="138"/>
    </row>
    <row r="749">
      <c r="C749" s="139"/>
      <c r="D749" s="139"/>
      <c r="F749" s="15"/>
      <c r="K749" s="138"/>
    </row>
    <row r="750">
      <c r="C750" s="139"/>
      <c r="D750" s="139"/>
      <c r="F750" s="15"/>
      <c r="K750" s="138"/>
    </row>
    <row r="751">
      <c r="C751" s="139"/>
      <c r="D751" s="139"/>
      <c r="F751" s="15"/>
      <c r="K751" s="138"/>
    </row>
    <row r="752">
      <c r="C752" s="139"/>
      <c r="D752" s="139"/>
      <c r="F752" s="15"/>
      <c r="K752" s="138"/>
    </row>
    <row r="753">
      <c r="C753" s="139"/>
      <c r="D753" s="139"/>
      <c r="F753" s="15"/>
      <c r="K753" s="138"/>
    </row>
    <row r="754">
      <c r="C754" s="139"/>
      <c r="D754" s="139"/>
      <c r="F754" s="15"/>
      <c r="K754" s="138"/>
    </row>
    <row r="755">
      <c r="C755" s="139"/>
      <c r="D755" s="139"/>
      <c r="F755" s="15"/>
      <c r="K755" s="138"/>
    </row>
    <row r="756">
      <c r="C756" s="139"/>
      <c r="D756" s="139"/>
      <c r="F756" s="15"/>
      <c r="K756" s="138"/>
    </row>
    <row r="757">
      <c r="C757" s="139"/>
      <c r="D757" s="139"/>
      <c r="F757" s="15"/>
      <c r="K757" s="138"/>
    </row>
    <row r="758">
      <c r="C758" s="139"/>
      <c r="D758" s="139"/>
      <c r="F758" s="15"/>
      <c r="K758" s="138"/>
    </row>
    <row r="759">
      <c r="C759" s="139"/>
      <c r="D759" s="139"/>
      <c r="F759" s="15"/>
      <c r="K759" s="138"/>
    </row>
    <row r="760">
      <c r="C760" s="139"/>
      <c r="D760" s="139"/>
      <c r="F760" s="15"/>
      <c r="K760" s="138"/>
    </row>
    <row r="761">
      <c r="C761" s="139"/>
      <c r="D761" s="139"/>
      <c r="F761" s="15"/>
      <c r="K761" s="138"/>
    </row>
    <row r="762">
      <c r="C762" s="139"/>
      <c r="D762" s="139"/>
      <c r="F762" s="15"/>
      <c r="K762" s="138"/>
    </row>
    <row r="763">
      <c r="C763" s="139"/>
      <c r="D763" s="139"/>
      <c r="F763" s="15"/>
      <c r="K763" s="138"/>
    </row>
    <row r="764">
      <c r="C764" s="139"/>
      <c r="D764" s="139"/>
      <c r="F764" s="15"/>
      <c r="K764" s="138"/>
    </row>
    <row r="765">
      <c r="C765" s="139"/>
      <c r="D765" s="139"/>
      <c r="F765" s="15"/>
      <c r="K765" s="138"/>
    </row>
    <row r="766">
      <c r="C766" s="139"/>
      <c r="D766" s="139"/>
      <c r="F766" s="15"/>
      <c r="K766" s="138"/>
    </row>
    <row r="767">
      <c r="C767" s="139"/>
      <c r="D767" s="139"/>
      <c r="F767" s="15"/>
      <c r="K767" s="138"/>
    </row>
    <row r="768">
      <c r="C768" s="139"/>
      <c r="D768" s="139"/>
      <c r="F768" s="15"/>
      <c r="K768" s="138"/>
    </row>
    <row r="769">
      <c r="C769" s="139"/>
      <c r="D769" s="139"/>
      <c r="F769" s="15"/>
      <c r="K769" s="138"/>
    </row>
    <row r="770">
      <c r="C770" s="139"/>
      <c r="D770" s="139"/>
      <c r="F770" s="15"/>
      <c r="K770" s="138"/>
    </row>
    <row r="771">
      <c r="C771" s="139"/>
      <c r="D771" s="139"/>
      <c r="F771" s="15"/>
      <c r="K771" s="138"/>
    </row>
    <row r="772">
      <c r="C772" s="139"/>
      <c r="D772" s="139"/>
      <c r="F772" s="15"/>
      <c r="K772" s="138"/>
    </row>
    <row r="773">
      <c r="C773" s="139"/>
      <c r="D773" s="139"/>
      <c r="F773" s="15"/>
      <c r="K773" s="138"/>
    </row>
    <row r="774">
      <c r="C774" s="139"/>
      <c r="D774" s="139"/>
      <c r="F774" s="15"/>
      <c r="K774" s="138"/>
    </row>
    <row r="775">
      <c r="C775" s="139"/>
      <c r="D775" s="139"/>
      <c r="F775" s="15"/>
      <c r="K775" s="138"/>
    </row>
    <row r="776">
      <c r="C776" s="139"/>
      <c r="D776" s="139"/>
      <c r="F776" s="15"/>
      <c r="K776" s="138"/>
    </row>
    <row r="777">
      <c r="C777" s="139"/>
      <c r="D777" s="139"/>
      <c r="F777" s="15"/>
      <c r="K777" s="138"/>
    </row>
    <row r="778">
      <c r="C778" s="139"/>
      <c r="D778" s="139"/>
      <c r="F778" s="15"/>
      <c r="K778" s="138"/>
    </row>
    <row r="779">
      <c r="C779" s="139"/>
      <c r="D779" s="139"/>
      <c r="F779" s="15"/>
      <c r="K779" s="138"/>
    </row>
    <row r="780">
      <c r="C780" s="139"/>
      <c r="D780" s="139"/>
      <c r="F780" s="15"/>
      <c r="K780" s="138"/>
    </row>
    <row r="781">
      <c r="C781" s="139"/>
      <c r="D781" s="139"/>
      <c r="F781" s="15"/>
      <c r="K781" s="138"/>
    </row>
    <row r="782">
      <c r="C782" s="139"/>
      <c r="D782" s="139"/>
      <c r="F782" s="15"/>
      <c r="K782" s="138"/>
    </row>
    <row r="783">
      <c r="C783" s="139"/>
      <c r="D783" s="139"/>
      <c r="F783" s="15"/>
      <c r="K783" s="138"/>
    </row>
    <row r="784">
      <c r="C784" s="139"/>
      <c r="D784" s="139"/>
      <c r="F784" s="15"/>
      <c r="K784" s="138"/>
    </row>
    <row r="785">
      <c r="C785" s="139"/>
      <c r="D785" s="139"/>
      <c r="F785" s="15"/>
      <c r="K785" s="138"/>
    </row>
    <row r="786">
      <c r="C786" s="139"/>
      <c r="D786" s="139"/>
      <c r="F786" s="15"/>
      <c r="K786" s="138"/>
    </row>
    <row r="787">
      <c r="C787" s="139"/>
      <c r="D787" s="139"/>
      <c r="F787" s="15"/>
      <c r="K787" s="138"/>
    </row>
    <row r="788">
      <c r="C788" s="139"/>
      <c r="D788" s="139"/>
      <c r="F788" s="15"/>
      <c r="K788" s="138"/>
    </row>
    <row r="789">
      <c r="C789" s="139"/>
      <c r="D789" s="139"/>
      <c r="F789" s="15"/>
      <c r="K789" s="138"/>
    </row>
    <row r="790">
      <c r="C790" s="139"/>
      <c r="D790" s="139"/>
      <c r="F790" s="15"/>
      <c r="K790" s="138"/>
    </row>
    <row r="791">
      <c r="C791" s="139"/>
      <c r="D791" s="139"/>
      <c r="F791" s="15"/>
      <c r="K791" s="138"/>
    </row>
    <row r="792">
      <c r="C792" s="139"/>
      <c r="D792" s="139"/>
      <c r="F792" s="15"/>
      <c r="K792" s="138"/>
    </row>
    <row r="793">
      <c r="C793" s="139"/>
      <c r="D793" s="139"/>
      <c r="F793" s="15"/>
      <c r="K793" s="138"/>
    </row>
    <row r="794">
      <c r="C794" s="139"/>
      <c r="D794" s="139"/>
      <c r="F794" s="15"/>
      <c r="K794" s="138"/>
    </row>
    <row r="795">
      <c r="C795" s="139"/>
      <c r="D795" s="139"/>
      <c r="F795" s="15"/>
      <c r="K795" s="138"/>
    </row>
    <row r="796">
      <c r="C796" s="139"/>
      <c r="D796" s="139"/>
      <c r="F796" s="15"/>
      <c r="K796" s="138"/>
    </row>
    <row r="797">
      <c r="C797" s="139"/>
      <c r="D797" s="139"/>
      <c r="F797" s="15"/>
      <c r="K797" s="138"/>
    </row>
    <row r="798">
      <c r="C798" s="139"/>
      <c r="D798" s="139"/>
      <c r="F798" s="15"/>
      <c r="K798" s="138"/>
    </row>
    <row r="799">
      <c r="C799" s="139"/>
      <c r="D799" s="139"/>
      <c r="F799" s="15"/>
      <c r="K799" s="138"/>
    </row>
    <row r="800">
      <c r="C800" s="139"/>
      <c r="D800" s="139"/>
      <c r="F800" s="15"/>
      <c r="K800" s="138"/>
    </row>
    <row r="801">
      <c r="C801" s="139"/>
      <c r="D801" s="139"/>
      <c r="F801" s="15"/>
      <c r="K801" s="138"/>
    </row>
    <row r="802">
      <c r="C802" s="139"/>
      <c r="D802" s="139"/>
      <c r="F802" s="15"/>
      <c r="K802" s="138"/>
    </row>
    <row r="803">
      <c r="C803" s="139"/>
      <c r="D803" s="139"/>
      <c r="F803" s="15"/>
      <c r="K803" s="138"/>
    </row>
    <row r="804">
      <c r="C804" s="139"/>
      <c r="D804" s="139"/>
      <c r="F804" s="15"/>
      <c r="K804" s="138"/>
    </row>
    <row r="805">
      <c r="C805" s="139"/>
      <c r="D805" s="139"/>
      <c r="F805" s="15"/>
      <c r="K805" s="138"/>
    </row>
    <row r="806">
      <c r="C806" s="139"/>
      <c r="D806" s="139"/>
      <c r="F806" s="15"/>
      <c r="K806" s="138"/>
    </row>
    <row r="807">
      <c r="C807" s="139"/>
      <c r="D807" s="139"/>
      <c r="F807" s="15"/>
      <c r="K807" s="138"/>
    </row>
    <row r="808">
      <c r="C808" s="139"/>
      <c r="D808" s="139"/>
      <c r="F808" s="15"/>
      <c r="K808" s="138"/>
    </row>
    <row r="809">
      <c r="C809" s="139"/>
      <c r="D809" s="139"/>
      <c r="F809" s="15"/>
      <c r="K809" s="138"/>
    </row>
    <row r="810">
      <c r="C810" s="139"/>
      <c r="D810" s="139"/>
      <c r="F810" s="15"/>
      <c r="K810" s="138"/>
    </row>
    <row r="811">
      <c r="C811" s="139"/>
      <c r="D811" s="139"/>
      <c r="F811" s="15"/>
      <c r="K811" s="138"/>
    </row>
    <row r="812">
      <c r="C812" s="139"/>
      <c r="D812" s="139"/>
      <c r="F812" s="15"/>
      <c r="K812" s="138"/>
    </row>
    <row r="813">
      <c r="C813" s="139"/>
      <c r="D813" s="139"/>
      <c r="F813" s="15"/>
      <c r="K813" s="138"/>
    </row>
    <row r="814">
      <c r="C814" s="139"/>
      <c r="D814" s="139"/>
      <c r="F814" s="15"/>
      <c r="K814" s="138"/>
    </row>
    <row r="815">
      <c r="C815" s="139"/>
      <c r="D815" s="139"/>
      <c r="F815" s="15"/>
      <c r="K815" s="138"/>
    </row>
    <row r="816">
      <c r="C816" s="139"/>
      <c r="D816" s="139"/>
      <c r="F816" s="15"/>
      <c r="K816" s="138"/>
    </row>
    <row r="817">
      <c r="C817" s="139"/>
      <c r="D817" s="139"/>
      <c r="F817" s="15"/>
      <c r="K817" s="138"/>
    </row>
    <row r="818">
      <c r="C818" s="139"/>
      <c r="D818" s="139"/>
      <c r="F818" s="15"/>
      <c r="K818" s="138"/>
    </row>
    <row r="819">
      <c r="C819" s="139"/>
      <c r="D819" s="139"/>
      <c r="F819" s="15"/>
      <c r="K819" s="138"/>
    </row>
    <row r="820">
      <c r="C820" s="139"/>
      <c r="D820" s="139"/>
      <c r="F820" s="15"/>
      <c r="K820" s="138"/>
    </row>
    <row r="821">
      <c r="C821" s="139"/>
      <c r="D821" s="139"/>
      <c r="F821" s="15"/>
      <c r="K821" s="138"/>
    </row>
    <row r="822">
      <c r="C822" s="139"/>
      <c r="D822" s="139"/>
      <c r="F822" s="15"/>
      <c r="K822" s="138"/>
    </row>
    <row r="823">
      <c r="C823" s="139"/>
      <c r="D823" s="139"/>
      <c r="F823" s="15"/>
      <c r="K823" s="138"/>
    </row>
    <row r="824">
      <c r="C824" s="139"/>
      <c r="D824" s="139"/>
      <c r="F824" s="15"/>
      <c r="K824" s="138"/>
    </row>
    <row r="825">
      <c r="C825" s="139"/>
      <c r="D825" s="139"/>
      <c r="F825" s="15"/>
      <c r="K825" s="138"/>
    </row>
    <row r="826">
      <c r="C826" s="139"/>
      <c r="D826" s="139"/>
      <c r="F826" s="15"/>
      <c r="K826" s="138"/>
    </row>
    <row r="827">
      <c r="C827" s="139"/>
      <c r="D827" s="139"/>
      <c r="F827" s="15"/>
      <c r="K827" s="138"/>
    </row>
    <row r="828">
      <c r="C828" s="139"/>
      <c r="D828" s="139"/>
      <c r="F828" s="15"/>
      <c r="K828" s="138"/>
    </row>
    <row r="829">
      <c r="C829" s="139"/>
      <c r="D829" s="139"/>
      <c r="F829" s="15"/>
      <c r="K829" s="138"/>
    </row>
    <row r="830">
      <c r="C830" s="139"/>
      <c r="D830" s="139"/>
      <c r="F830" s="15"/>
      <c r="K830" s="138"/>
    </row>
    <row r="831">
      <c r="C831" s="139"/>
      <c r="D831" s="139"/>
      <c r="F831" s="15"/>
      <c r="K831" s="138"/>
    </row>
    <row r="832">
      <c r="C832" s="139"/>
      <c r="D832" s="139"/>
      <c r="F832" s="15"/>
      <c r="K832" s="138"/>
    </row>
    <row r="833">
      <c r="C833" s="139"/>
      <c r="D833" s="139"/>
      <c r="F833" s="15"/>
      <c r="K833" s="138"/>
    </row>
    <row r="834">
      <c r="C834" s="139"/>
      <c r="D834" s="139"/>
      <c r="F834" s="15"/>
      <c r="K834" s="138"/>
    </row>
    <row r="835">
      <c r="C835" s="139"/>
      <c r="D835" s="139"/>
      <c r="F835" s="15"/>
      <c r="K835" s="138"/>
    </row>
    <row r="836">
      <c r="C836" s="139"/>
      <c r="D836" s="139"/>
      <c r="F836" s="15"/>
      <c r="K836" s="138"/>
    </row>
    <row r="837">
      <c r="C837" s="139"/>
      <c r="D837" s="139"/>
      <c r="F837" s="15"/>
      <c r="K837" s="138"/>
    </row>
    <row r="838">
      <c r="C838" s="139"/>
      <c r="D838" s="139"/>
      <c r="F838" s="15"/>
      <c r="K838" s="138"/>
    </row>
    <row r="839">
      <c r="C839" s="139"/>
      <c r="D839" s="139"/>
      <c r="F839" s="15"/>
      <c r="K839" s="138"/>
    </row>
    <row r="840">
      <c r="C840" s="139"/>
      <c r="D840" s="139"/>
      <c r="F840" s="15"/>
      <c r="K840" s="138"/>
    </row>
    <row r="841">
      <c r="C841" s="139"/>
      <c r="D841" s="139"/>
      <c r="F841" s="15"/>
      <c r="K841" s="138"/>
    </row>
    <row r="842">
      <c r="C842" s="139"/>
      <c r="D842" s="139"/>
      <c r="F842" s="15"/>
      <c r="K842" s="138"/>
    </row>
    <row r="843">
      <c r="C843" s="139"/>
      <c r="D843" s="139"/>
      <c r="F843" s="15"/>
      <c r="K843" s="138"/>
    </row>
    <row r="844">
      <c r="C844" s="139"/>
      <c r="D844" s="139"/>
      <c r="F844" s="15"/>
      <c r="K844" s="138"/>
    </row>
    <row r="845">
      <c r="C845" s="139"/>
      <c r="D845" s="139"/>
      <c r="F845" s="15"/>
      <c r="K845" s="138"/>
    </row>
    <row r="846">
      <c r="C846" s="139"/>
      <c r="D846" s="139"/>
      <c r="F846" s="15"/>
      <c r="K846" s="138"/>
    </row>
    <row r="847">
      <c r="C847" s="139"/>
      <c r="D847" s="139"/>
      <c r="F847" s="15"/>
      <c r="K847" s="138"/>
    </row>
    <row r="848">
      <c r="C848" s="139"/>
      <c r="D848" s="139"/>
      <c r="F848" s="15"/>
      <c r="K848" s="138"/>
    </row>
    <row r="849">
      <c r="C849" s="139"/>
      <c r="D849" s="139"/>
      <c r="F849" s="15"/>
      <c r="K849" s="138"/>
    </row>
    <row r="850">
      <c r="C850" s="139"/>
      <c r="D850" s="139"/>
      <c r="F850" s="15"/>
      <c r="K850" s="138"/>
    </row>
    <row r="851">
      <c r="C851" s="139"/>
      <c r="D851" s="139"/>
      <c r="F851" s="15"/>
      <c r="K851" s="138"/>
    </row>
    <row r="852">
      <c r="C852" s="139"/>
      <c r="D852" s="139"/>
      <c r="F852" s="15"/>
      <c r="K852" s="138"/>
    </row>
    <row r="853">
      <c r="C853" s="139"/>
      <c r="D853" s="139"/>
      <c r="F853" s="15"/>
      <c r="K853" s="138"/>
    </row>
    <row r="854">
      <c r="C854" s="139"/>
      <c r="D854" s="139"/>
      <c r="F854" s="15"/>
      <c r="K854" s="138"/>
    </row>
    <row r="855">
      <c r="C855" s="139"/>
      <c r="D855" s="139"/>
      <c r="F855" s="15"/>
      <c r="K855" s="138"/>
    </row>
    <row r="856">
      <c r="C856" s="139"/>
      <c r="D856" s="139"/>
      <c r="F856" s="15"/>
      <c r="K856" s="138"/>
    </row>
    <row r="857">
      <c r="C857" s="139"/>
      <c r="D857" s="139"/>
      <c r="F857" s="15"/>
      <c r="K857" s="138"/>
    </row>
    <row r="858">
      <c r="C858" s="139"/>
      <c r="D858" s="139"/>
      <c r="F858" s="15"/>
      <c r="K858" s="138"/>
    </row>
    <row r="859">
      <c r="C859" s="139"/>
      <c r="D859" s="139"/>
      <c r="F859" s="15"/>
      <c r="K859" s="138"/>
    </row>
    <row r="860">
      <c r="C860" s="139"/>
      <c r="D860" s="139"/>
      <c r="F860" s="15"/>
      <c r="K860" s="138"/>
    </row>
    <row r="861">
      <c r="C861" s="139"/>
      <c r="D861" s="139"/>
      <c r="F861" s="15"/>
      <c r="K861" s="138"/>
    </row>
    <row r="862">
      <c r="C862" s="139"/>
      <c r="D862" s="139"/>
      <c r="F862" s="15"/>
      <c r="K862" s="138"/>
    </row>
    <row r="863">
      <c r="C863" s="139"/>
      <c r="D863" s="139"/>
      <c r="F863" s="15"/>
      <c r="K863" s="138"/>
    </row>
    <row r="864">
      <c r="C864" s="139"/>
      <c r="D864" s="139"/>
      <c r="F864" s="15"/>
      <c r="K864" s="138"/>
    </row>
    <row r="865">
      <c r="C865" s="139"/>
      <c r="D865" s="139"/>
      <c r="F865" s="15"/>
      <c r="K865" s="138"/>
    </row>
    <row r="866">
      <c r="C866" s="139"/>
      <c r="D866" s="139"/>
      <c r="F866" s="15"/>
      <c r="K866" s="138"/>
    </row>
    <row r="867">
      <c r="C867" s="139"/>
      <c r="D867" s="139"/>
      <c r="F867" s="15"/>
      <c r="K867" s="138"/>
    </row>
    <row r="868">
      <c r="C868" s="139"/>
      <c r="D868" s="139"/>
      <c r="F868" s="15"/>
      <c r="K868" s="138"/>
    </row>
    <row r="869">
      <c r="C869" s="139"/>
      <c r="D869" s="139"/>
      <c r="F869" s="15"/>
      <c r="K869" s="138"/>
    </row>
    <row r="870">
      <c r="C870" s="139"/>
      <c r="D870" s="139"/>
      <c r="F870" s="15"/>
      <c r="K870" s="138"/>
    </row>
    <row r="871">
      <c r="C871" s="139"/>
      <c r="D871" s="139"/>
      <c r="F871" s="15"/>
      <c r="K871" s="138"/>
    </row>
    <row r="872">
      <c r="C872" s="139"/>
      <c r="D872" s="139"/>
      <c r="F872" s="15"/>
      <c r="K872" s="138"/>
    </row>
    <row r="873">
      <c r="C873" s="139"/>
      <c r="D873" s="139"/>
      <c r="F873" s="15"/>
      <c r="K873" s="138"/>
    </row>
    <row r="874">
      <c r="C874" s="139"/>
      <c r="D874" s="139"/>
      <c r="F874" s="15"/>
      <c r="K874" s="138"/>
    </row>
    <row r="875">
      <c r="C875" s="139"/>
      <c r="D875" s="139"/>
      <c r="F875" s="15"/>
      <c r="K875" s="138"/>
    </row>
    <row r="876">
      <c r="C876" s="139"/>
      <c r="D876" s="139"/>
      <c r="F876" s="15"/>
      <c r="K876" s="138"/>
    </row>
    <row r="877">
      <c r="C877" s="139"/>
      <c r="D877" s="139"/>
      <c r="F877" s="15"/>
      <c r="K877" s="138"/>
    </row>
    <row r="878">
      <c r="C878" s="139"/>
      <c r="D878" s="139"/>
      <c r="F878" s="15"/>
      <c r="K878" s="138"/>
    </row>
    <row r="879">
      <c r="C879" s="139"/>
      <c r="D879" s="139"/>
      <c r="F879" s="15"/>
      <c r="K879" s="138"/>
    </row>
    <row r="880">
      <c r="C880" s="139"/>
      <c r="D880" s="139"/>
      <c r="F880" s="15"/>
      <c r="K880" s="138"/>
    </row>
    <row r="881">
      <c r="C881" s="139"/>
      <c r="D881" s="139"/>
      <c r="F881" s="15"/>
      <c r="K881" s="138"/>
    </row>
    <row r="882">
      <c r="C882" s="139"/>
      <c r="D882" s="139"/>
      <c r="F882" s="15"/>
      <c r="K882" s="138"/>
    </row>
    <row r="883">
      <c r="C883" s="139"/>
      <c r="D883" s="139"/>
      <c r="F883" s="15"/>
      <c r="K883" s="138"/>
    </row>
    <row r="884">
      <c r="C884" s="139"/>
      <c r="D884" s="139"/>
      <c r="F884" s="15"/>
      <c r="K884" s="138"/>
    </row>
    <row r="885">
      <c r="C885" s="139"/>
      <c r="D885" s="139"/>
      <c r="F885" s="15"/>
      <c r="K885" s="138"/>
    </row>
    <row r="886">
      <c r="C886" s="139"/>
      <c r="D886" s="139"/>
      <c r="F886" s="15"/>
      <c r="K886" s="138"/>
    </row>
    <row r="887">
      <c r="C887" s="139"/>
      <c r="D887" s="139"/>
      <c r="F887" s="15"/>
      <c r="K887" s="138"/>
    </row>
    <row r="888">
      <c r="C888" s="139"/>
      <c r="D888" s="139"/>
      <c r="F888" s="15"/>
      <c r="K888" s="138"/>
    </row>
    <row r="889">
      <c r="C889" s="139"/>
      <c r="D889" s="139"/>
      <c r="F889" s="15"/>
      <c r="K889" s="138"/>
    </row>
    <row r="890">
      <c r="C890" s="139"/>
      <c r="D890" s="139"/>
      <c r="F890" s="15"/>
      <c r="K890" s="138"/>
    </row>
    <row r="891">
      <c r="C891" s="139"/>
      <c r="D891" s="139"/>
      <c r="F891" s="15"/>
      <c r="K891" s="138"/>
    </row>
    <row r="892">
      <c r="C892" s="139"/>
      <c r="D892" s="139"/>
      <c r="F892" s="15"/>
      <c r="K892" s="138"/>
    </row>
    <row r="893">
      <c r="C893" s="139"/>
      <c r="D893" s="139"/>
      <c r="F893" s="15"/>
      <c r="K893" s="138"/>
    </row>
    <row r="894">
      <c r="C894" s="139"/>
      <c r="D894" s="139"/>
      <c r="F894" s="15"/>
      <c r="K894" s="138"/>
    </row>
    <row r="895">
      <c r="C895" s="139"/>
      <c r="D895" s="139"/>
      <c r="F895" s="15"/>
      <c r="K895" s="138"/>
    </row>
    <row r="896">
      <c r="C896" s="139"/>
      <c r="D896" s="139"/>
      <c r="F896" s="15"/>
      <c r="K896" s="138"/>
    </row>
    <row r="897">
      <c r="C897" s="139"/>
      <c r="D897" s="139"/>
      <c r="F897" s="15"/>
      <c r="K897" s="138"/>
    </row>
    <row r="898">
      <c r="C898" s="139"/>
      <c r="D898" s="139"/>
      <c r="F898" s="15"/>
      <c r="K898" s="138"/>
    </row>
    <row r="899">
      <c r="C899" s="139"/>
      <c r="D899" s="139"/>
      <c r="F899" s="15"/>
      <c r="K899" s="138"/>
    </row>
    <row r="900">
      <c r="C900" s="139"/>
      <c r="D900" s="139"/>
      <c r="F900" s="15"/>
      <c r="K900" s="138"/>
    </row>
    <row r="901">
      <c r="C901" s="139"/>
      <c r="D901" s="139"/>
      <c r="F901" s="15"/>
      <c r="K901" s="138"/>
    </row>
    <row r="902">
      <c r="C902" s="139"/>
      <c r="D902" s="139"/>
      <c r="F902" s="15"/>
      <c r="K902" s="138"/>
    </row>
    <row r="903">
      <c r="C903" s="139"/>
      <c r="D903" s="139"/>
      <c r="F903" s="15"/>
      <c r="K903" s="138"/>
    </row>
    <row r="904">
      <c r="C904" s="139"/>
      <c r="D904" s="139"/>
      <c r="F904" s="15"/>
      <c r="K904" s="138"/>
    </row>
    <row r="905">
      <c r="C905" s="139"/>
      <c r="D905" s="139"/>
      <c r="F905" s="15"/>
      <c r="K905" s="138"/>
    </row>
    <row r="906">
      <c r="C906" s="139"/>
      <c r="D906" s="139"/>
      <c r="F906" s="15"/>
      <c r="K906" s="138"/>
    </row>
    <row r="907">
      <c r="C907" s="139"/>
      <c r="D907" s="139"/>
      <c r="F907" s="15"/>
      <c r="K907" s="138"/>
    </row>
    <row r="908">
      <c r="C908" s="139"/>
      <c r="D908" s="139"/>
      <c r="F908" s="15"/>
      <c r="K908" s="138"/>
    </row>
    <row r="909">
      <c r="C909" s="139"/>
      <c r="D909" s="139"/>
      <c r="F909" s="15"/>
      <c r="K909" s="138"/>
    </row>
    <row r="910">
      <c r="C910" s="139"/>
      <c r="D910" s="139"/>
      <c r="F910" s="15"/>
      <c r="K910" s="138"/>
    </row>
    <row r="911">
      <c r="C911" s="139"/>
      <c r="D911" s="139"/>
      <c r="F911" s="15"/>
      <c r="K911" s="138"/>
    </row>
    <row r="912">
      <c r="C912" s="139"/>
      <c r="D912" s="139"/>
      <c r="F912" s="15"/>
      <c r="K912" s="138"/>
    </row>
    <row r="913">
      <c r="C913" s="139"/>
      <c r="D913" s="139"/>
      <c r="F913" s="15"/>
      <c r="K913" s="138"/>
    </row>
    <row r="914">
      <c r="C914" s="139"/>
      <c r="D914" s="139"/>
      <c r="F914" s="15"/>
      <c r="K914" s="138"/>
    </row>
    <row r="915">
      <c r="C915" s="139"/>
      <c r="D915" s="139"/>
      <c r="F915" s="15"/>
      <c r="K915" s="138"/>
    </row>
    <row r="916">
      <c r="C916" s="139"/>
      <c r="D916" s="139"/>
      <c r="F916" s="15"/>
      <c r="K916" s="138"/>
    </row>
    <row r="917">
      <c r="C917" s="139"/>
      <c r="D917" s="139"/>
      <c r="F917" s="15"/>
      <c r="K917" s="138"/>
    </row>
    <row r="918">
      <c r="C918" s="139"/>
      <c r="D918" s="139"/>
      <c r="F918" s="15"/>
      <c r="K918" s="138"/>
    </row>
    <row r="919">
      <c r="C919" s="139"/>
      <c r="D919" s="139"/>
      <c r="F919" s="15"/>
      <c r="K919" s="138"/>
    </row>
    <row r="920">
      <c r="C920" s="139"/>
      <c r="D920" s="139"/>
      <c r="F920" s="15"/>
      <c r="K920" s="138"/>
    </row>
    <row r="921">
      <c r="C921" s="139"/>
      <c r="D921" s="139"/>
      <c r="F921" s="15"/>
      <c r="K921" s="138"/>
    </row>
    <row r="922">
      <c r="C922" s="139"/>
      <c r="D922" s="139"/>
      <c r="F922" s="15"/>
      <c r="K922" s="138"/>
    </row>
    <row r="923">
      <c r="C923" s="139"/>
      <c r="D923" s="139"/>
      <c r="F923" s="15"/>
      <c r="K923" s="138"/>
    </row>
    <row r="924">
      <c r="C924" s="139"/>
      <c r="D924" s="139"/>
      <c r="F924" s="15"/>
      <c r="K924" s="138"/>
    </row>
    <row r="925">
      <c r="C925" s="139"/>
      <c r="D925" s="139"/>
      <c r="F925" s="15"/>
      <c r="K925" s="138"/>
    </row>
    <row r="926">
      <c r="C926" s="139"/>
      <c r="D926" s="139"/>
      <c r="F926" s="15"/>
      <c r="K926" s="138"/>
    </row>
    <row r="927">
      <c r="C927" s="139"/>
      <c r="D927" s="139"/>
      <c r="F927" s="15"/>
      <c r="K927" s="138"/>
    </row>
    <row r="928">
      <c r="C928" s="139"/>
      <c r="D928" s="139"/>
      <c r="F928" s="15"/>
      <c r="K928" s="138"/>
    </row>
    <row r="929">
      <c r="C929" s="139"/>
      <c r="D929" s="139"/>
      <c r="F929" s="15"/>
      <c r="K929" s="138"/>
    </row>
    <row r="930">
      <c r="C930" s="139"/>
      <c r="D930" s="139"/>
      <c r="F930" s="15"/>
      <c r="K930" s="138"/>
    </row>
    <row r="931">
      <c r="C931" s="139"/>
      <c r="D931" s="139"/>
      <c r="F931" s="15"/>
      <c r="K931" s="138"/>
    </row>
    <row r="932">
      <c r="C932" s="139"/>
      <c r="D932" s="139"/>
      <c r="F932" s="15"/>
      <c r="K932" s="138"/>
    </row>
    <row r="933">
      <c r="C933" s="139"/>
      <c r="D933" s="139"/>
      <c r="F933" s="15"/>
      <c r="K933" s="138"/>
    </row>
    <row r="934">
      <c r="C934" s="139"/>
      <c r="D934" s="139"/>
      <c r="F934" s="15"/>
      <c r="K934" s="138"/>
    </row>
    <row r="935">
      <c r="C935" s="139"/>
      <c r="D935" s="139"/>
      <c r="F935" s="15"/>
      <c r="K935" s="138"/>
    </row>
    <row r="936">
      <c r="C936" s="139"/>
      <c r="D936" s="139"/>
      <c r="F936" s="15"/>
      <c r="K936" s="138"/>
    </row>
    <row r="937">
      <c r="C937" s="139"/>
      <c r="D937" s="139"/>
      <c r="F937" s="15"/>
      <c r="K937" s="138"/>
    </row>
    <row r="938">
      <c r="C938" s="139"/>
      <c r="D938" s="139"/>
      <c r="F938" s="15"/>
      <c r="K938" s="138"/>
    </row>
    <row r="939">
      <c r="C939" s="139"/>
      <c r="D939" s="139"/>
      <c r="F939" s="15"/>
      <c r="K939" s="138"/>
    </row>
    <row r="940">
      <c r="C940" s="139"/>
      <c r="D940" s="139"/>
      <c r="F940" s="15"/>
      <c r="K940" s="138"/>
    </row>
    <row r="941">
      <c r="C941" s="139"/>
      <c r="D941" s="139"/>
      <c r="F941" s="15"/>
      <c r="K941" s="138"/>
    </row>
    <row r="942">
      <c r="C942" s="139"/>
      <c r="D942" s="139"/>
      <c r="F942" s="15"/>
      <c r="K942" s="138"/>
    </row>
    <row r="943">
      <c r="C943" s="139"/>
      <c r="D943" s="139"/>
      <c r="F943" s="15"/>
      <c r="K943" s="138"/>
    </row>
    <row r="944">
      <c r="C944" s="139"/>
      <c r="D944" s="139"/>
      <c r="F944" s="15"/>
      <c r="K944" s="138"/>
    </row>
    <row r="945">
      <c r="C945" s="139"/>
      <c r="D945" s="139"/>
      <c r="F945" s="15"/>
      <c r="K945" s="138"/>
    </row>
    <row r="946">
      <c r="C946" s="139"/>
      <c r="D946" s="139"/>
      <c r="F946" s="15"/>
      <c r="K946" s="138"/>
    </row>
    <row r="947">
      <c r="C947" s="139"/>
      <c r="D947" s="139"/>
      <c r="F947" s="15"/>
      <c r="K947" s="138"/>
    </row>
    <row r="948">
      <c r="C948" s="139"/>
      <c r="D948" s="139"/>
      <c r="F948" s="15"/>
      <c r="K948" s="138"/>
    </row>
    <row r="949">
      <c r="C949" s="139"/>
      <c r="D949" s="139"/>
      <c r="F949" s="15"/>
      <c r="K949" s="138"/>
    </row>
    <row r="950">
      <c r="C950" s="139"/>
      <c r="D950" s="139"/>
      <c r="F950" s="15"/>
      <c r="K950" s="138"/>
    </row>
    <row r="951">
      <c r="C951" s="139"/>
      <c r="D951" s="139"/>
      <c r="F951" s="15"/>
      <c r="K951" s="138"/>
    </row>
    <row r="952">
      <c r="C952" s="139"/>
      <c r="D952" s="139"/>
      <c r="F952" s="15"/>
      <c r="K952" s="138"/>
    </row>
    <row r="953">
      <c r="C953" s="139"/>
      <c r="D953" s="139"/>
      <c r="F953" s="15"/>
      <c r="K953" s="138"/>
    </row>
    <row r="954">
      <c r="C954" s="139"/>
      <c r="D954" s="139"/>
      <c r="F954" s="15"/>
      <c r="K954" s="138"/>
    </row>
    <row r="955">
      <c r="C955" s="139"/>
      <c r="D955" s="139"/>
      <c r="F955" s="15"/>
      <c r="K955" s="138"/>
    </row>
    <row r="956">
      <c r="C956" s="139"/>
      <c r="D956" s="139"/>
      <c r="F956" s="15"/>
      <c r="K956" s="138"/>
    </row>
    <row r="957">
      <c r="C957" s="139"/>
      <c r="D957" s="139"/>
      <c r="F957" s="15"/>
      <c r="K957" s="138"/>
    </row>
    <row r="958">
      <c r="C958" s="139"/>
      <c r="D958" s="139"/>
      <c r="F958" s="15"/>
      <c r="K958" s="138"/>
    </row>
    <row r="959">
      <c r="C959" s="139"/>
      <c r="D959" s="139"/>
      <c r="F959" s="15"/>
      <c r="K959" s="138"/>
    </row>
    <row r="960">
      <c r="C960" s="139"/>
      <c r="D960" s="139"/>
      <c r="F960" s="15"/>
      <c r="K960" s="138"/>
    </row>
    <row r="961">
      <c r="C961" s="139"/>
      <c r="D961" s="139"/>
      <c r="F961" s="15"/>
      <c r="K961" s="138"/>
    </row>
    <row r="962">
      <c r="C962" s="139"/>
      <c r="D962" s="139"/>
      <c r="F962" s="15"/>
      <c r="K962" s="138"/>
    </row>
    <row r="963">
      <c r="C963" s="139"/>
      <c r="D963" s="139"/>
      <c r="F963" s="15"/>
      <c r="K963" s="138"/>
    </row>
    <row r="964">
      <c r="C964" s="139"/>
      <c r="D964" s="139"/>
      <c r="F964" s="15"/>
      <c r="K964" s="138"/>
    </row>
    <row r="965">
      <c r="C965" s="139"/>
      <c r="D965" s="139"/>
      <c r="F965" s="15"/>
      <c r="K965" s="138"/>
    </row>
    <row r="966">
      <c r="C966" s="139"/>
      <c r="D966" s="139"/>
      <c r="F966" s="15"/>
      <c r="K966" s="138"/>
    </row>
    <row r="967">
      <c r="C967" s="139"/>
      <c r="D967" s="139"/>
      <c r="F967" s="15"/>
      <c r="K967" s="138"/>
    </row>
    <row r="968">
      <c r="C968" s="139"/>
      <c r="D968" s="139"/>
      <c r="F968" s="15"/>
      <c r="K968" s="138"/>
    </row>
    <row r="969">
      <c r="C969" s="139"/>
      <c r="D969" s="139"/>
      <c r="F969" s="15"/>
      <c r="K969" s="138"/>
    </row>
    <row r="970">
      <c r="C970" s="139"/>
      <c r="D970" s="139"/>
      <c r="F970" s="15"/>
      <c r="K970" s="138"/>
    </row>
    <row r="971">
      <c r="C971" s="139"/>
      <c r="D971" s="139"/>
      <c r="F971" s="15"/>
      <c r="K971" s="138"/>
    </row>
    <row r="972">
      <c r="C972" s="139"/>
      <c r="D972" s="139"/>
      <c r="F972" s="15"/>
      <c r="K972" s="138"/>
    </row>
    <row r="973">
      <c r="C973" s="139"/>
      <c r="D973" s="139"/>
      <c r="F973" s="15"/>
      <c r="K973" s="138"/>
    </row>
    <row r="974">
      <c r="C974" s="139"/>
      <c r="D974" s="139"/>
      <c r="F974" s="15"/>
      <c r="K974" s="138"/>
    </row>
    <row r="975">
      <c r="C975" s="139"/>
      <c r="D975" s="139"/>
      <c r="F975" s="15"/>
      <c r="K975" s="138"/>
    </row>
    <row r="976">
      <c r="C976" s="139"/>
      <c r="D976" s="139"/>
      <c r="F976" s="15"/>
      <c r="K976" s="138"/>
    </row>
    <row r="977">
      <c r="C977" s="139"/>
      <c r="D977" s="139"/>
      <c r="F977" s="15"/>
      <c r="K977" s="138"/>
    </row>
    <row r="978">
      <c r="C978" s="139"/>
      <c r="D978" s="139"/>
      <c r="F978" s="15"/>
      <c r="K978" s="138"/>
    </row>
    <row r="979">
      <c r="C979" s="139"/>
      <c r="D979" s="139"/>
      <c r="F979" s="15"/>
      <c r="K979" s="138"/>
    </row>
    <row r="980">
      <c r="C980" s="139"/>
      <c r="D980" s="139"/>
      <c r="F980" s="15"/>
      <c r="K980" s="138"/>
    </row>
    <row r="981">
      <c r="C981" s="139"/>
      <c r="D981" s="139"/>
      <c r="F981" s="15"/>
      <c r="K981" s="138"/>
    </row>
    <row r="982">
      <c r="C982" s="139"/>
      <c r="D982" s="139"/>
      <c r="F982" s="15"/>
      <c r="K982" s="138"/>
    </row>
    <row r="983">
      <c r="C983" s="139"/>
      <c r="D983" s="139"/>
      <c r="F983" s="15"/>
      <c r="K983" s="138"/>
    </row>
    <row r="984">
      <c r="C984" s="139"/>
      <c r="D984" s="139"/>
      <c r="F984" s="15"/>
      <c r="K984" s="138"/>
    </row>
    <row r="985">
      <c r="C985" s="139"/>
      <c r="D985" s="139"/>
      <c r="F985" s="15"/>
      <c r="K985" s="138"/>
    </row>
    <row r="986">
      <c r="C986" s="139"/>
      <c r="D986" s="139"/>
      <c r="F986" s="15"/>
      <c r="K986" s="138"/>
    </row>
    <row r="987">
      <c r="C987" s="139"/>
      <c r="D987" s="139"/>
      <c r="F987" s="15"/>
      <c r="K987" s="138"/>
    </row>
    <row r="988">
      <c r="C988" s="139"/>
      <c r="D988" s="139"/>
      <c r="F988" s="15"/>
      <c r="K988" s="138"/>
    </row>
    <row r="989">
      <c r="C989" s="139"/>
      <c r="D989" s="139"/>
      <c r="F989" s="15"/>
      <c r="K989" s="138"/>
    </row>
    <row r="990">
      <c r="C990" s="139"/>
      <c r="D990" s="139"/>
      <c r="F990" s="15"/>
      <c r="K990" s="138"/>
    </row>
    <row r="991">
      <c r="C991" s="139"/>
      <c r="D991" s="139"/>
      <c r="F991" s="15"/>
      <c r="K991" s="138"/>
    </row>
    <row r="992">
      <c r="C992" s="139"/>
      <c r="D992" s="139"/>
      <c r="F992" s="15"/>
      <c r="K992" s="138"/>
    </row>
    <row r="993">
      <c r="C993" s="139"/>
      <c r="D993" s="139"/>
      <c r="F993" s="15"/>
      <c r="K993" s="138"/>
    </row>
    <row r="994">
      <c r="C994" s="139"/>
      <c r="D994" s="139"/>
      <c r="F994" s="15"/>
      <c r="K994" s="138"/>
    </row>
    <row r="995">
      <c r="C995" s="139"/>
      <c r="D995" s="139"/>
      <c r="F995" s="15"/>
      <c r="K995" s="138"/>
    </row>
    <row r="996">
      <c r="C996" s="139"/>
      <c r="D996" s="139"/>
      <c r="F996" s="15"/>
      <c r="K996" s="138"/>
    </row>
    <row r="997">
      <c r="C997" s="139"/>
      <c r="D997" s="139"/>
      <c r="F997" s="15"/>
      <c r="K997" s="138"/>
    </row>
    <row r="998">
      <c r="C998" s="139"/>
      <c r="D998" s="139"/>
      <c r="F998" s="15"/>
      <c r="K998" s="138"/>
    </row>
    <row r="999">
      <c r="C999" s="139"/>
      <c r="D999" s="139"/>
      <c r="F999" s="15"/>
      <c r="K999" s="138"/>
    </row>
    <row r="1000">
      <c r="C1000" s="139"/>
      <c r="D1000" s="139"/>
      <c r="F1000" s="15"/>
      <c r="K1000" s="138"/>
    </row>
    <row r="1001">
      <c r="C1001" s="139"/>
      <c r="D1001" s="139"/>
      <c r="F1001" s="15"/>
      <c r="K1001" s="138"/>
    </row>
    <row r="1002">
      <c r="C1002" s="139"/>
      <c r="D1002" s="139"/>
      <c r="F1002" s="15"/>
      <c r="K1002" s="138"/>
    </row>
    <row r="1003">
      <c r="C1003" s="139"/>
      <c r="D1003" s="139"/>
      <c r="F1003" s="15"/>
      <c r="K1003" s="138"/>
    </row>
    <row r="1004">
      <c r="C1004" s="139"/>
      <c r="D1004" s="139"/>
      <c r="F1004" s="15"/>
      <c r="K1004" s="138"/>
    </row>
    <row r="1005">
      <c r="C1005" s="139"/>
      <c r="D1005" s="139"/>
      <c r="F1005" s="15"/>
      <c r="K1005" s="138"/>
    </row>
  </sheetData>
  <mergeCells count="2">
    <mergeCell ref="L1:M1"/>
    <mergeCell ref="N1:O1"/>
  </mergeCells>
  <hyperlinks>
    <hyperlink r:id="rId1" ref="C4"/>
    <hyperlink r:id="rId2" ref="H4"/>
    <hyperlink r:id="rId3" ref="I4"/>
    <hyperlink r:id="rId4" ref="C5"/>
    <hyperlink r:id="rId5" ref="C6"/>
    <hyperlink r:id="rId6" ref="G6"/>
    <hyperlink r:id="rId7" ref="I6"/>
    <hyperlink r:id="rId8" ref="C7"/>
    <hyperlink r:id="rId9" ref="I7"/>
    <hyperlink r:id="rId10" ref="C8"/>
    <hyperlink r:id="rId11" ref="I8"/>
    <hyperlink r:id="rId12" ref="J8"/>
    <hyperlink r:id="rId13" ref="C9"/>
    <hyperlink r:id="rId14" ref="G9"/>
    <hyperlink r:id="rId15" ref="H9"/>
    <hyperlink r:id="rId16" ref="I9"/>
    <hyperlink r:id="rId17" ref="J9"/>
    <hyperlink r:id="rId18" ref="C10"/>
    <hyperlink r:id="rId19" ref="C11"/>
    <hyperlink r:id="rId20" ref="H11"/>
    <hyperlink r:id="rId21" ref="I11"/>
    <hyperlink r:id="rId22" ref="J11"/>
    <hyperlink r:id="rId23" ref="C12"/>
    <hyperlink r:id="rId24" ref="G12"/>
    <hyperlink r:id="rId25" ref="H12"/>
    <hyperlink r:id="rId26" ref="I12"/>
    <hyperlink r:id="rId27" ref="C13"/>
    <hyperlink r:id="rId28" ref="G13"/>
    <hyperlink r:id="rId29" ref="H13"/>
    <hyperlink r:id="rId30" ref="H15"/>
    <hyperlink r:id="rId31" ref="I15"/>
    <hyperlink r:id="rId32" ref="C16"/>
    <hyperlink r:id="rId33" ref="H16"/>
    <hyperlink r:id="rId34" ref="I16"/>
    <hyperlink r:id="rId35" ref="J16"/>
    <hyperlink r:id="rId36" ref="C17"/>
    <hyperlink r:id="rId37" ref="H17"/>
    <hyperlink r:id="rId38" ref="C18"/>
    <hyperlink r:id="rId39" ref="G18"/>
    <hyperlink r:id="rId40" ref="H18"/>
    <hyperlink r:id="rId41" ref="I18"/>
    <hyperlink r:id="rId42" ref="J18"/>
    <hyperlink r:id="rId43" ref="C19"/>
    <hyperlink r:id="rId44" ref="I19"/>
    <hyperlink r:id="rId45" ref="J19"/>
    <hyperlink r:id="rId46" ref="C20"/>
    <hyperlink r:id="rId47" ref="H20"/>
    <hyperlink r:id="rId48" ref="I20"/>
    <hyperlink r:id="rId49" ref="J20"/>
    <hyperlink r:id="rId50" ref="C21"/>
    <hyperlink r:id="rId51" ref="G21"/>
    <hyperlink r:id="rId52" ref="H21"/>
    <hyperlink r:id="rId53" ref="I21"/>
    <hyperlink r:id="rId54" ref="J21"/>
    <hyperlink r:id="rId55" ref="C22"/>
    <hyperlink r:id="rId56" ref="H22"/>
    <hyperlink r:id="rId57" ref="I22"/>
    <hyperlink r:id="rId58" ref="J22"/>
    <hyperlink r:id="rId59" ref="C23"/>
    <hyperlink r:id="rId60" ref="G23"/>
    <hyperlink r:id="rId61" ref="H23"/>
    <hyperlink r:id="rId62" ref="C24"/>
    <hyperlink r:id="rId63" ref="G24"/>
    <hyperlink r:id="rId64" ref="I24"/>
    <hyperlink r:id="rId65" ref="C25"/>
    <hyperlink r:id="rId66" ref="G25"/>
    <hyperlink r:id="rId67" ref="H25"/>
    <hyperlink r:id="rId68" ref="I25"/>
    <hyperlink r:id="rId69" ref="J25"/>
    <hyperlink r:id="rId70" ref="C26"/>
    <hyperlink r:id="rId71" ref="G26"/>
    <hyperlink r:id="rId72" ref="H26"/>
    <hyperlink r:id="rId73" ref="I26"/>
    <hyperlink r:id="rId74" ref="C27"/>
    <hyperlink r:id="rId75" ref="I27"/>
    <hyperlink r:id="rId76" ref="C28"/>
    <hyperlink r:id="rId77" ref="H28"/>
    <hyperlink r:id="rId78" ref="I28"/>
    <hyperlink r:id="rId79" ref="C29"/>
    <hyperlink r:id="rId80" ref="G29"/>
    <hyperlink r:id="rId81" ref="J29"/>
    <hyperlink r:id="rId82" ref="C30"/>
    <hyperlink r:id="rId83" ref="I30"/>
    <hyperlink r:id="rId84" ref="H32"/>
    <hyperlink r:id="rId85" ref="I32"/>
    <hyperlink r:id="rId86" ref="H33"/>
    <hyperlink r:id="rId87" ref="I33"/>
    <hyperlink r:id="rId88" ref="J33"/>
    <hyperlink r:id="rId89" ref="G34"/>
    <hyperlink r:id="rId90" ref="H34"/>
    <hyperlink r:id="rId91" ref="H35"/>
    <hyperlink r:id="rId92" ref="I35"/>
    <hyperlink r:id="rId93" ref="G37"/>
    <hyperlink r:id="rId94" ref="H37"/>
    <hyperlink r:id="rId95" ref="I37"/>
    <hyperlink r:id="rId96" ref="J37"/>
    <hyperlink r:id="rId97" ref="G39"/>
    <hyperlink r:id="rId98" ref="H39"/>
    <hyperlink r:id="rId99" ref="I39"/>
    <hyperlink r:id="rId100" ref="H41"/>
    <hyperlink r:id="rId101" ref="I41"/>
    <hyperlink r:id="rId102" ref="J42"/>
    <hyperlink r:id="rId103" ref="G43"/>
    <hyperlink r:id="rId104" ref="H44"/>
    <hyperlink r:id="rId105" ref="I44"/>
    <hyperlink r:id="rId106" ref="J44"/>
    <hyperlink r:id="rId107" ref="G48"/>
    <hyperlink r:id="rId108" ref="H48"/>
    <hyperlink r:id="rId109" ref="H51"/>
    <hyperlink r:id="rId110" ref="I51"/>
    <hyperlink r:id="rId111" ref="J51"/>
    <hyperlink r:id="rId112" ref="H52"/>
    <hyperlink r:id="rId113" ref="I52"/>
    <hyperlink r:id="rId114" ref="J52"/>
    <hyperlink r:id="rId115" ref="G53"/>
    <hyperlink r:id="rId116" ref="I53"/>
    <hyperlink r:id="rId117" ref="J53"/>
    <hyperlink r:id="rId118" ref="H55"/>
    <hyperlink r:id="rId119" ref="I55"/>
    <hyperlink r:id="rId120" ref="I56"/>
    <hyperlink r:id="rId121" ref="J56"/>
    <hyperlink r:id="rId122" ref="H57"/>
    <hyperlink r:id="rId123" ref="I57"/>
    <hyperlink r:id="rId124" ref="H58"/>
    <hyperlink r:id="rId125" ref="I58"/>
    <hyperlink r:id="rId126" ref="H59"/>
    <hyperlink r:id="rId127" ref="I59"/>
    <hyperlink r:id="rId128" ref="H60"/>
    <hyperlink r:id="rId129" ref="I60"/>
    <hyperlink r:id="rId130" ref="I61"/>
    <hyperlink r:id="rId131" ref="J61"/>
    <hyperlink r:id="rId132" ref="G62"/>
    <hyperlink r:id="rId133" ref="H62"/>
    <hyperlink r:id="rId134" ref="H63"/>
    <hyperlink r:id="rId135" ref="I63"/>
    <hyperlink r:id="rId136" ref="G65"/>
    <hyperlink r:id="rId137" ref="H65"/>
    <hyperlink r:id="rId138" ref="I65"/>
    <hyperlink r:id="rId139" ref="G67"/>
    <hyperlink r:id="rId140" ref="H67"/>
    <hyperlink r:id="rId141" ref="H68"/>
    <hyperlink r:id="rId142" ref="I68"/>
    <hyperlink r:id="rId143" ref="J68"/>
    <hyperlink r:id="rId144" ref="H69"/>
    <hyperlink r:id="rId145" ref="J70"/>
    <hyperlink r:id="rId146" ref="H72"/>
    <hyperlink r:id="rId147" ref="I72"/>
    <hyperlink r:id="rId148" ref="J72"/>
    <hyperlink r:id="rId149" ref="H76"/>
    <hyperlink r:id="rId150" ref="J76"/>
    <hyperlink r:id="rId151" ref="G77"/>
    <hyperlink r:id="rId152" ref="H77"/>
    <hyperlink r:id="rId153" ref="J77"/>
    <hyperlink r:id="rId154" ref="I78"/>
    <hyperlink r:id="rId155" ref="J78"/>
    <hyperlink r:id="rId156" ref="G81"/>
    <hyperlink r:id="rId157" ref="H81"/>
    <hyperlink r:id="rId158" ref="H83"/>
    <hyperlink r:id="rId159" ref="I83"/>
    <hyperlink r:id="rId160" ref="G84"/>
    <hyperlink r:id="rId161" ref="H84"/>
    <hyperlink r:id="rId162" ref="H85"/>
    <hyperlink r:id="rId163" ref="I85"/>
    <hyperlink r:id="rId164" ref="J85"/>
    <hyperlink r:id="rId165" ref="C86"/>
    <hyperlink r:id="rId166" ref="G86"/>
    <hyperlink r:id="rId167" ref="H86"/>
    <hyperlink r:id="rId168" ref="J86"/>
    <hyperlink r:id="rId169" ref="C89"/>
    <hyperlink r:id="rId170" ref="H89"/>
    <hyperlink r:id="rId171" ref="I89"/>
    <hyperlink r:id="rId172" ref="J89"/>
    <hyperlink r:id="rId173" ref="C91"/>
    <hyperlink r:id="rId174" ref="G91"/>
    <hyperlink r:id="rId175" ref="H91"/>
    <hyperlink r:id="rId176" ref="C92"/>
    <hyperlink r:id="rId177" ref="I92"/>
    <hyperlink r:id="rId178" ref="J92"/>
    <hyperlink r:id="rId179" ref="C94"/>
    <hyperlink r:id="rId180" ref="I94"/>
    <hyperlink r:id="rId181" ref="J94"/>
    <hyperlink r:id="rId182" ref="C95"/>
    <hyperlink r:id="rId183" ref="H95"/>
    <hyperlink r:id="rId184" ref="I95"/>
    <hyperlink r:id="rId185" ref="J95"/>
    <hyperlink r:id="rId186" ref="C97"/>
    <hyperlink r:id="rId187" ref="C98"/>
    <hyperlink r:id="rId188" ref="H98"/>
    <hyperlink r:id="rId189" ref="I98"/>
    <hyperlink r:id="rId190" ref="C99"/>
    <hyperlink r:id="rId191" ref="G99"/>
    <hyperlink r:id="rId192" ref="H99"/>
    <hyperlink r:id="rId193" ref="J99"/>
    <hyperlink r:id="rId194" ref="C100"/>
    <hyperlink r:id="rId195" ref="I100"/>
    <hyperlink r:id="rId196" ref="J100"/>
    <hyperlink r:id="rId197" ref="C102"/>
    <hyperlink r:id="rId198" ref="H102"/>
    <hyperlink r:id="rId199" ref="I102"/>
    <hyperlink r:id="rId200" ref="J102"/>
    <hyperlink r:id="rId201" ref="C103"/>
    <hyperlink r:id="rId202" ref="H103"/>
    <hyperlink r:id="rId203" ref="I103"/>
    <hyperlink r:id="rId204" ref="J103"/>
    <hyperlink r:id="rId205" ref="C104"/>
    <hyperlink r:id="rId206" ref="J104"/>
    <hyperlink r:id="rId207" ref="C106"/>
    <hyperlink r:id="rId208" ref="R106"/>
    <hyperlink r:id="rId209" ref="C107"/>
    <hyperlink r:id="rId210" ref="R107"/>
    <hyperlink r:id="rId211" ref="C108"/>
    <hyperlink r:id="rId212" ref="I108"/>
    <hyperlink r:id="rId213" ref="J108"/>
    <hyperlink r:id="rId214" ref="R108"/>
    <hyperlink r:id="rId215" ref="R109"/>
    <hyperlink r:id="rId216" ref="R110"/>
    <hyperlink r:id="rId217" ref="C111"/>
    <hyperlink r:id="rId218" ref="G111"/>
    <hyperlink r:id="rId219" ref="H111"/>
    <hyperlink r:id="rId220" ref="I111"/>
    <hyperlink r:id="rId221" ref="R111"/>
    <hyperlink r:id="rId222" ref="C112"/>
    <hyperlink r:id="rId223" ref="H112"/>
    <hyperlink r:id="rId224" ref="R112"/>
    <hyperlink r:id="rId225" ref="C114"/>
    <hyperlink r:id="rId226" ref="H114"/>
    <hyperlink r:id="rId227" ref="I114"/>
    <hyperlink r:id="rId228" ref="R114"/>
    <hyperlink r:id="rId229" ref="C115"/>
    <hyperlink r:id="rId230" ref="R115"/>
    <hyperlink r:id="rId231" ref="C116"/>
    <hyperlink r:id="rId232" ref="J116"/>
    <hyperlink r:id="rId233" ref="R116"/>
    <hyperlink r:id="rId234" ref="C117"/>
    <hyperlink r:id="rId235" ref="R117"/>
    <hyperlink r:id="rId236" ref="C118"/>
    <hyperlink r:id="rId237" ref="J118"/>
    <hyperlink r:id="rId238" ref="R118"/>
    <hyperlink r:id="rId239" ref="C119"/>
    <hyperlink r:id="rId240" ref="J119"/>
    <hyperlink r:id="rId241" ref="R119"/>
    <hyperlink r:id="rId242" ref="R120"/>
    <hyperlink r:id="rId243" ref="C121"/>
    <hyperlink r:id="rId244" ref="G121"/>
    <hyperlink r:id="rId245" ref="H121"/>
    <hyperlink r:id="rId246" ref="I121"/>
    <hyperlink r:id="rId247" ref="J121"/>
    <hyperlink r:id="rId248" ref="R121"/>
    <hyperlink r:id="rId249" ref="C122"/>
    <hyperlink r:id="rId250" ref="G122"/>
    <hyperlink r:id="rId251" ref="H122"/>
    <hyperlink r:id="rId252" ref="R122"/>
    <hyperlink r:id="rId253" ref="C123"/>
    <hyperlink r:id="rId254" ref="H123"/>
    <hyperlink r:id="rId255" ref="I123"/>
    <hyperlink r:id="rId256" ref="R123"/>
    <hyperlink r:id="rId257" ref="R124"/>
    <hyperlink r:id="rId258" ref="C125"/>
    <hyperlink r:id="rId259" ref="J125"/>
    <hyperlink r:id="rId260" ref="R125"/>
    <hyperlink r:id="rId261" ref="C126"/>
    <hyperlink r:id="rId262" ref="G126"/>
    <hyperlink r:id="rId263" ref="H126"/>
    <hyperlink r:id="rId264" ref="I126"/>
    <hyperlink r:id="rId265" ref="R126"/>
    <hyperlink r:id="rId266" ref="C127"/>
    <hyperlink r:id="rId267" ref="R127"/>
    <hyperlink r:id="rId268" ref="C128"/>
    <hyperlink r:id="rId269" ref="R128"/>
    <hyperlink r:id="rId270" ref="C129"/>
    <hyperlink r:id="rId271" ref="R129"/>
    <hyperlink r:id="rId272" ref="C130"/>
    <hyperlink r:id="rId273" ref="G130"/>
    <hyperlink r:id="rId274" ref="H130"/>
    <hyperlink r:id="rId275" ref="R130"/>
    <hyperlink r:id="rId276" ref="C131"/>
    <hyperlink r:id="rId277" ref="R131"/>
    <hyperlink r:id="rId278" ref="C132"/>
    <hyperlink r:id="rId279" ref="G132"/>
    <hyperlink r:id="rId280" ref="H132"/>
    <hyperlink r:id="rId281" ref="R132"/>
    <hyperlink r:id="rId282" ref="C133"/>
    <hyperlink r:id="rId283" ref="G133"/>
    <hyperlink r:id="rId284" ref="H133"/>
    <hyperlink r:id="rId285" ref="I133"/>
    <hyperlink r:id="rId286" ref="J133"/>
    <hyperlink r:id="rId287" ref="R133"/>
    <hyperlink r:id="rId288" ref="C134"/>
    <hyperlink r:id="rId289" ref="G134"/>
    <hyperlink r:id="rId290" ref="H134"/>
    <hyperlink r:id="rId291" ref="I134"/>
    <hyperlink r:id="rId292" ref="J134"/>
    <hyperlink r:id="rId293" ref="R134"/>
    <hyperlink r:id="rId294" ref="C135"/>
    <hyperlink r:id="rId295" ref="I135"/>
    <hyperlink r:id="rId296" ref="J135"/>
    <hyperlink r:id="rId297" ref="R135"/>
    <hyperlink r:id="rId298" ref="C136"/>
    <hyperlink r:id="rId299" ref="R136"/>
    <hyperlink r:id="rId300" ref="C137"/>
    <hyperlink r:id="rId301" ref="H137"/>
    <hyperlink r:id="rId302" ref="I137"/>
    <hyperlink r:id="rId303" ref="R137"/>
    <hyperlink r:id="rId304" ref="R138"/>
    <hyperlink r:id="rId305" ref="C139"/>
    <hyperlink r:id="rId306" ref="R139"/>
    <hyperlink r:id="rId307" ref="C140"/>
    <hyperlink r:id="rId308" ref="R140"/>
  </hyperlinks>
  <drawing r:id="rId30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2" max="2" width="7.71"/>
    <col customWidth="1" min="3" max="3" width="13.29"/>
    <col customWidth="1" min="7" max="8" width="22.29"/>
  </cols>
  <sheetData>
    <row r="1">
      <c r="A1" s="1" t="s">
        <v>0</v>
      </c>
      <c r="B1" s="2" t="s">
        <v>1</v>
      </c>
      <c r="C1" s="2" t="s">
        <v>2</v>
      </c>
      <c r="D1" s="2" t="s">
        <v>2</v>
      </c>
      <c r="E1" s="152"/>
      <c r="F1" s="1" t="s">
        <v>3</v>
      </c>
      <c r="G1" s="1" t="s">
        <v>4</v>
      </c>
      <c r="H1" s="1" t="s">
        <v>5</v>
      </c>
      <c r="I1" s="1" t="s">
        <v>6</v>
      </c>
      <c r="J1" s="1" t="s">
        <v>7</v>
      </c>
      <c r="K1" s="1" t="s">
        <v>8</v>
      </c>
      <c r="L1" s="7" t="s">
        <v>1339</v>
      </c>
      <c r="N1" s="10" t="s">
        <v>14</v>
      </c>
      <c r="P1" s="11"/>
      <c r="Q1" s="30"/>
      <c r="R1" s="17"/>
      <c r="S1" s="20"/>
      <c r="T1" s="20"/>
      <c r="U1" s="20"/>
      <c r="V1" s="20"/>
      <c r="W1" s="20"/>
      <c r="X1" s="20"/>
      <c r="Y1" s="20"/>
      <c r="Z1" s="20"/>
      <c r="AA1" s="20"/>
      <c r="AB1" s="20"/>
      <c r="AC1" s="20"/>
      <c r="AD1" s="20"/>
    </row>
    <row r="2">
      <c r="A2" s="23"/>
      <c r="B2" s="23"/>
      <c r="C2" s="21"/>
      <c r="D2" s="23"/>
      <c r="E2" s="152"/>
      <c r="F2" s="23">
        <v>43438.0</v>
      </c>
      <c r="G2" s="23">
        <v>43518.0</v>
      </c>
      <c r="H2" s="21">
        <f>G2-TODAY()</f>
        <v>-217</v>
      </c>
      <c r="I2" s="23">
        <v>43481.0</v>
      </c>
      <c r="J2" s="23">
        <v>43587.0</v>
      </c>
      <c r="K2" s="23"/>
      <c r="L2" s="26">
        <f>CountIFS($E:$E,"=Dem",$A:$A,"=Assembly")</f>
        <v>55</v>
      </c>
      <c r="M2" s="28">
        <f>CountIFS($E:$E,"=Rep",$A:$A,"=Assembly")</f>
        <v>25</v>
      </c>
      <c r="N2" s="26">
        <f>CountIFS($E:$E,"=Dem",$A:$A,"=Senate")</f>
        <v>26</v>
      </c>
      <c r="O2" s="28">
        <f>CountIFS($E:$E,"=Rep",$A:$A,"=Senate")</f>
        <v>14</v>
      </c>
      <c r="P2" s="11"/>
      <c r="Q2" s="30"/>
      <c r="R2" s="17"/>
      <c r="S2" s="20"/>
      <c r="T2" s="20"/>
      <c r="U2" s="20"/>
      <c r="V2" s="20"/>
      <c r="W2" s="20"/>
      <c r="X2" s="20"/>
      <c r="Y2" s="20"/>
      <c r="Z2" s="20"/>
      <c r="AA2" s="20"/>
      <c r="AB2" s="20"/>
      <c r="AC2" s="20"/>
      <c r="AD2" s="20"/>
    </row>
    <row r="3">
      <c r="A3" s="30" t="s">
        <v>29</v>
      </c>
      <c r="B3" s="2" t="s">
        <v>30</v>
      </c>
      <c r="C3" s="2" t="s">
        <v>31</v>
      </c>
      <c r="D3" s="2" t="s">
        <v>32</v>
      </c>
      <c r="E3" s="152" t="s">
        <v>33</v>
      </c>
      <c r="F3" s="30" t="s">
        <v>10</v>
      </c>
      <c r="G3" s="30" t="s">
        <v>34</v>
      </c>
      <c r="H3" s="30" t="s">
        <v>34</v>
      </c>
      <c r="I3" s="30" t="s">
        <v>34</v>
      </c>
      <c r="J3" s="30" t="s">
        <v>34</v>
      </c>
      <c r="K3" s="30" t="s">
        <v>35</v>
      </c>
      <c r="L3" s="19" t="s">
        <v>36</v>
      </c>
      <c r="M3" s="19" t="s">
        <v>37</v>
      </c>
      <c r="N3" s="19" t="s">
        <v>38</v>
      </c>
      <c r="O3" s="17" t="s">
        <v>39</v>
      </c>
      <c r="P3" s="11" t="s">
        <v>40</v>
      </c>
      <c r="Q3" s="30" t="s">
        <v>41</v>
      </c>
      <c r="R3" s="17" t="s">
        <v>42</v>
      </c>
      <c r="S3" s="20"/>
      <c r="T3" s="20"/>
      <c r="U3" s="20"/>
      <c r="V3" s="20"/>
      <c r="W3" s="20"/>
      <c r="X3" s="20"/>
      <c r="Y3" s="20"/>
      <c r="Z3" s="20"/>
      <c r="AA3" s="20"/>
      <c r="AB3" s="20"/>
      <c r="AC3" s="20"/>
      <c r="AD3" s="20"/>
    </row>
    <row r="4">
      <c r="A4" s="14" t="s">
        <v>1357</v>
      </c>
      <c r="B4" s="74">
        <v>1.0</v>
      </c>
      <c r="C4" s="35" t="s">
        <v>1331</v>
      </c>
      <c r="D4" s="35" t="s">
        <v>1363</v>
      </c>
      <c r="E4" s="153" t="s">
        <v>53</v>
      </c>
      <c r="F4" s="31" t="s">
        <v>1364</v>
      </c>
      <c r="K4" s="31"/>
      <c r="L4" s="154" t="s">
        <v>1365</v>
      </c>
      <c r="M4" s="89" t="str">
        <f t="shared" ref="M4:M83" si="1">Concatenate("assemblymember.",Lower(D4),"@assembly.ca.gov")</f>
        <v>assemblymember.dahle@assembly.ca.gov</v>
      </c>
      <c r="N4" s="89"/>
      <c r="O4" s="89"/>
      <c r="P4" s="89"/>
      <c r="Q4" s="88">
        <v>2024.0</v>
      </c>
      <c r="R4" s="89"/>
    </row>
    <row r="5">
      <c r="A5" s="14" t="s">
        <v>1357</v>
      </c>
      <c r="B5" s="35">
        <v>2.0</v>
      </c>
      <c r="C5" s="35" t="s">
        <v>476</v>
      </c>
      <c r="D5" s="35" t="s">
        <v>415</v>
      </c>
      <c r="E5" s="153" t="s">
        <v>49</v>
      </c>
      <c r="I5" s="158"/>
      <c r="L5" s="154" t="s">
        <v>1372</v>
      </c>
      <c r="M5" s="89" t="str">
        <f t="shared" si="1"/>
        <v>assemblymember.wood@assembly.ca.gov</v>
      </c>
      <c r="N5" s="89"/>
      <c r="O5" s="89"/>
      <c r="P5" s="89"/>
      <c r="Q5" s="88">
        <v>2026.0</v>
      </c>
      <c r="R5" s="89"/>
    </row>
    <row r="6">
      <c r="A6" s="14" t="s">
        <v>1357</v>
      </c>
      <c r="B6" s="35">
        <v>3.0</v>
      </c>
      <c r="C6" s="35" t="s">
        <v>930</v>
      </c>
      <c r="D6" s="35" t="s">
        <v>1391</v>
      </c>
      <c r="E6" s="162" t="s">
        <v>53</v>
      </c>
      <c r="I6" s="158"/>
      <c r="L6" s="163" t="s">
        <v>1392</v>
      </c>
      <c r="M6" s="89" t="str">
        <f t="shared" si="1"/>
        <v>assemblymember.gallagher@assembly.ca.gov</v>
      </c>
      <c r="N6" s="89"/>
      <c r="O6" s="89"/>
      <c r="P6" s="89"/>
      <c r="Q6" s="88">
        <v>2026.0</v>
      </c>
      <c r="R6" s="89"/>
    </row>
    <row r="7">
      <c r="A7" s="14" t="s">
        <v>1357</v>
      </c>
      <c r="B7" s="35">
        <v>4.0</v>
      </c>
      <c r="C7" s="35" t="s">
        <v>1393</v>
      </c>
      <c r="D7" s="35" t="s">
        <v>1400</v>
      </c>
      <c r="E7" s="162" t="s">
        <v>49</v>
      </c>
      <c r="I7" s="158"/>
      <c r="L7" s="163" t="s">
        <v>1401</v>
      </c>
      <c r="M7" s="89" t="str">
        <f t="shared" si="1"/>
        <v>assemblymember.aguiar-curry@assembly.ca.gov</v>
      </c>
      <c r="N7" s="89"/>
      <c r="O7" s="89"/>
      <c r="P7" s="89"/>
      <c r="Q7" s="88">
        <v>2028.0</v>
      </c>
      <c r="R7" s="89"/>
    </row>
    <row r="8">
      <c r="A8" s="14" t="s">
        <v>1357</v>
      </c>
      <c r="B8" s="35">
        <v>5.0</v>
      </c>
      <c r="C8" s="35" t="s">
        <v>1000</v>
      </c>
      <c r="D8" s="35" t="s">
        <v>1406</v>
      </c>
      <c r="E8" s="162" t="s">
        <v>53</v>
      </c>
      <c r="F8" s="14" t="s">
        <v>1407</v>
      </c>
      <c r="I8" s="158"/>
      <c r="L8" s="154" t="s">
        <v>1408</v>
      </c>
      <c r="M8" s="89" t="str">
        <f t="shared" si="1"/>
        <v>assemblymember.bigelow@assembly.ca.gov</v>
      </c>
      <c r="N8" s="89"/>
      <c r="O8" s="89"/>
      <c r="P8" s="89"/>
      <c r="Q8" s="88">
        <v>2024.0</v>
      </c>
      <c r="R8" s="89"/>
    </row>
    <row r="9">
      <c r="A9" s="14" t="s">
        <v>1357</v>
      </c>
      <c r="B9" s="35">
        <v>6.0</v>
      </c>
      <c r="C9" s="35" t="s">
        <v>971</v>
      </c>
      <c r="D9" s="35" t="s">
        <v>1410</v>
      </c>
      <c r="E9" s="162" t="s">
        <v>53</v>
      </c>
      <c r="G9" s="14" t="s">
        <v>1411</v>
      </c>
      <c r="H9" s="14" t="s">
        <v>1412</v>
      </c>
      <c r="I9" s="158"/>
      <c r="L9" s="163" t="s">
        <v>1413</v>
      </c>
      <c r="M9" s="89" t="str">
        <f t="shared" si="1"/>
        <v>assemblymember.kiley@assembly.ca.gov</v>
      </c>
      <c r="N9" s="89"/>
      <c r="O9" s="89"/>
      <c r="P9" s="89"/>
      <c r="Q9" s="88">
        <v>2028.0</v>
      </c>
      <c r="R9" s="89"/>
    </row>
    <row r="10">
      <c r="A10" s="14" t="s">
        <v>1357</v>
      </c>
      <c r="B10" s="35">
        <v>7.0</v>
      </c>
      <c r="C10" s="35" t="s">
        <v>971</v>
      </c>
      <c r="D10" s="35" t="s">
        <v>1418</v>
      </c>
      <c r="E10" s="162" t="s">
        <v>49</v>
      </c>
      <c r="I10" s="158"/>
      <c r="L10" s="163" t="s">
        <v>1419</v>
      </c>
      <c r="M10" s="89" t="str">
        <f t="shared" si="1"/>
        <v>assemblymember.mccarty@assembly.ca.gov</v>
      </c>
      <c r="N10" s="89"/>
      <c r="O10" s="89"/>
      <c r="P10" s="89"/>
      <c r="Q10" s="88">
        <v>2026.0</v>
      </c>
      <c r="R10" s="89"/>
    </row>
    <row r="11">
      <c r="A11" s="14" t="s">
        <v>1357</v>
      </c>
      <c r="B11" s="35">
        <v>8.0</v>
      </c>
      <c r="C11" s="35" t="s">
        <v>1049</v>
      </c>
      <c r="D11" s="35" t="s">
        <v>1424</v>
      </c>
      <c r="E11" s="162" t="s">
        <v>49</v>
      </c>
      <c r="I11" s="158"/>
      <c r="L11" s="154" t="s">
        <v>1425</v>
      </c>
      <c r="M11" s="89" t="str">
        <f t="shared" si="1"/>
        <v>assemblymember.cooley@assembly.ca.gov</v>
      </c>
      <c r="N11" s="89"/>
      <c r="O11" s="89"/>
      <c r="P11" s="89"/>
      <c r="Q11" s="88">
        <v>2024.0</v>
      </c>
      <c r="R11" s="89"/>
    </row>
    <row r="12">
      <c r="A12" s="14" t="s">
        <v>1357</v>
      </c>
      <c r="B12" s="35">
        <v>9.0</v>
      </c>
      <c r="C12" s="35" t="s">
        <v>476</v>
      </c>
      <c r="D12" s="35" t="s">
        <v>1336</v>
      </c>
      <c r="E12" s="162" t="s">
        <v>49</v>
      </c>
      <c r="I12" s="158"/>
      <c r="L12" s="163" t="s">
        <v>1426</v>
      </c>
      <c r="M12" s="89" t="str">
        <f t="shared" si="1"/>
        <v>assemblymember.cooper@assembly.ca.gov</v>
      </c>
      <c r="N12" s="89"/>
      <c r="O12" s="89"/>
      <c r="P12" s="89"/>
      <c r="Q12" s="88">
        <v>2026.0</v>
      </c>
      <c r="R12" s="89"/>
    </row>
    <row r="13">
      <c r="A13" s="14" t="s">
        <v>1357</v>
      </c>
      <c r="B13" s="35">
        <v>10.0</v>
      </c>
      <c r="C13" s="35" t="s">
        <v>1431</v>
      </c>
      <c r="D13" s="35" t="s">
        <v>1432</v>
      </c>
      <c r="E13" s="162" t="s">
        <v>49</v>
      </c>
      <c r="I13" s="158"/>
      <c r="L13" s="163" t="s">
        <v>1433</v>
      </c>
      <c r="M13" s="89" t="str">
        <f t="shared" si="1"/>
        <v>assemblymember.levine@assembly.ca.gov</v>
      </c>
      <c r="N13" s="89"/>
      <c r="O13" s="89"/>
      <c r="P13" s="89"/>
      <c r="Q13" s="88">
        <v>2024.0</v>
      </c>
      <c r="R13" s="89"/>
    </row>
    <row r="14">
      <c r="A14" s="14" t="s">
        <v>1357</v>
      </c>
      <c r="B14" s="35">
        <v>11.0</v>
      </c>
      <c r="C14" s="35" t="s">
        <v>476</v>
      </c>
      <c r="D14" s="35" t="s">
        <v>1437</v>
      </c>
      <c r="E14" s="162" t="s">
        <v>49</v>
      </c>
      <c r="I14" s="158"/>
      <c r="L14" s="154" t="s">
        <v>1438</v>
      </c>
      <c r="M14" s="89" t="str">
        <f t="shared" si="1"/>
        <v>assemblymember.frazier@assembly.ca.gov</v>
      </c>
      <c r="N14" s="89"/>
      <c r="O14" s="89"/>
      <c r="P14" s="89"/>
      <c r="Q14" s="88">
        <v>2024.0</v>
      </c>
      <c r="R14" s="89"/>
    </row>
    <row r="15">
      <c r="A15" s="14" t="s">
        <v>1357</v>
      </c>
      <c r="B15" s="35">
        <v>12.0</v>
      </c>
      <c r="C15" s="35" t="s">
        <v>1439</v>
      </c>
      <c r="D15" s="35" t="s">
        <v>1443</v>
      </c>
      <c r="E15" s="162" t="s">
        <v>53</v>
      </c>
      <c r="F15" s="14" t="s">
        <v>1444</v>
      </c>
      <c r="I15" s="158"/>
      <c r="L15" s="163" t="s">
        <v>1445</v>
      </c>
      <c r="M15" s="89" t="str">
        <f t="shared" si="1"/>
        <v>assemblymember.flora@assembly.ca.gov</v>
      </c>
      <c r="N15" s="89"/>
      <c r="O15" s="89"/>
      <c r="P15" s="89"/>
      <c r="Q15" s="88">
        <v>2028.0</v>
      </c>
      <c r="R15" s="89"/>
    </row>
    <row r="16">
      <c r="A16" s="14" t="s">
        <v>1357</v>
      </c>
      <c r="B16" s="35">
        <v>13.0</v>
      </c>
      <c r="C16" s="35" t="s">
        <v>1446</v>
      </c>
      <c r="D16" s="35" t="s">
        <v>1447</v>
      </c>
      <c r="E16" s="162" t="s">
        <v>49</v>
      </c>
      <c r="I16" s="158"/>
      <c r="L16" s="163" t="s">
        <v>1448</v>
      </c>
      <c r="M16" s="89" t="str">
        <f t="shared" si="1"/>
        <v>assemblymember.eggman@assembly.ca.gov</v>
      </c>
      <c r="N16" s="89"/>
      <c r="O16" s="89"/>
      <c r="P16" s="89"/>
      <c r="Q16" s="88">
        <v>2024.0</v>
      </c>
      <c r="R16" s="89"/>
    </row>
    <row r="17">
      <c r="A17" s="14" t="s">
        <v>1357</v>
      </c>
      <c r="B17" s="35">
        <v>14.0</v>
      </c>
      <c r="C17" s="35" t="s">
        <v>225</v>
      </c>
      <c r="D17" s="35" t="s">
        <v>1454</v>
      </c>
      <c r="E17" s="162" t="s">
        <v>49</v>
      </c>
      <c r="I17" s="158"/>
      <c r="L17" s="154" t="s">
        <v>1455</v>
      </c>
      <c r="M17" s="89" t="str">
        <f t="shared" si="1"/>
        <v>assemblymember.grayson@assembly.ca.gov</v>
      </c>
      <c r="N17" s="89"/>
      <c r="O17" s="89"/>
      <c r="P17" s="89"/>
      <c r="Q17" s="88">
        <v>2028.0</v>
      </c>
      <c r="R17" s="89"/>
    </row>
    <row r="18">
      <c r="A18" s="14" t="s">
        <v>1357</v>
      </c>
      <c r="B18" s="35">
        <v>15.0</v>
      </c>
      <c r="C18" s="38" t="s">
        <v>1458</v>
      </c>
      <c r="D18" s="38" t="s">
        <v>1459</v>
      </c>
      <c r="E18" s="162" t="s">
        <v>49</v>
      </c>
      <c r="I18" s="158"/>
      <c r="L18" s="163" t="s">
        <v>1460</v>
      </c>
      <c r="M18" s="89" t="str">
        <f t="shared" si="1"/>
        <v>assemblymember.wicks@assembly.ca.gov</v>
      </c>
      <c r="N18" s="89"/>
      <c r="O18" s="89"/>
      <c r="P18" s="89"/>
      <c r="Q18" s="88">
        <v>2026.0</v>
      </c>
      <c r="R18" s="89"/>
    </row>
    <row r="19">
      <c r="A19" s="14" t="s">
        <v>1357</v>
      </c>
      <c r="B19" s="35">
        <v>16.0</v>
      </c>
      <c r="C19" s="35" t="s">
        <v>1463</v>
      </c>
      <c r="D19" s="35" t="s">
        <v>553</v>
      </c>
      <c r="E19" s="162" t="s">
        <v>53</v>
      </c>
      <c r="I19" s="158"/>
      <c r="L19" s="163" t="s">
        <v>1469</v>
      </c>
      <c r="M19" s="89" t="str">
        <f t="shared" si="1"/>
        <v>assemblymember.baker@assembly.ca.gov</v>
      </c>
      <c r="N19" s="89"/>
      <c r="O19" s="89"/>
      <c r="P19" s="89"/>
      <c r="Q19" s="88">
        <v>2026.0</v>
      </c>
      <c r="R19" s="89"/>
    </row>
    <row r="20">
      <c r="A20" s="14" t="s">
        <v>1357</v>
      </c>
      <c r="B20" s="35">
        <v>17.0</v>
      </c>
      <c r="C20" s="35" t="s">
        <v>108</v>
      </c>
      <c r="D20" s="35" t="s">
        <v>1473</v>
      </c>
      <c r="E20" s="162" t="s">
        <v>49</v>
      </c>
      <c r="G20" s="14" t="s">
        <v>1411</v>
      </c>
      <c r="I20" s="158"/>
      <c r="L20" s="154" t="s">
        <v>1474</v>
      </c>
      <c r="M20" s="89" t="str">
        <f t="shared" si="1"/>
        <v>assemblymember.chiu@assembly.ca.gov</v>
      </c>
      <c r="N20" s="89"/>
      <c r="O20" s="89"/>
      <c r="P20" s="89"/>
      <c r="Q20" s="88">
        <v>2026.0</v>
      </c>
      <c r="R20" s="89"/>
    </row>
    <row r="21">
      <c r="A21" s="14" t="s">
        <v>1357</v>
      </c>
      <c r="B21" s="35">
        <v>18.0</v>
      </c>
      <c r="C21" s="35" t="s">
        <v>1476</v>
      </c>
      <c r="D21" s="35" t="s">
        <v>1478</v>
      </c>
      <c r="E21" s="162" t="s">
        <v>49</v>
      </c>
      <c r="F21" s="14" t="s">
        <v>1479</v>
      </c>
      <c r="I21" s="158"/>
      <c r="L21" s="154" t="s">
        <v>1480</v>
      </c>
      <c r="M21" s="89" t="str">
        <f t="shared" si="1"/>
        <v>assemblymember.bonta@assembly.ca.gov</v>
      </c>
      <c r="N21" s="89"/>
      <c r="O21" s="89"/>
      <c r="P21" s="89"/>
      <c r="Q21" s="88">
        <v>2024.0</v>
      </c>
      <c r="R21" s="89"/>
    </row>
    <row r="22">
      <c r="A22" s="14" t="s">
        <v>1357</v>
      </c>
      <c r="B22" s="35">
        <v>19.0</v>
      </c>
      <c r="C22" s="35" t="s">
        <v>1483</v>
      </c>
      <c r="D22" s="35" t="s">
        <v>1486</v>
      </c>
      <c r="E22" s="162" t="s">
        <v>49</v>
      </c>
      <c r="I22" s="158"/>
      <c r="L22" s="163" t="s">
        <v>1487</v>
      </c>
      <c r="M22" s="89" t="str">
        <f t="shared" si="1"/>
        <v>assemblymember.ting@assembly.ca.gov</v>
      </c>
      <c r="N22" s="89"/>
      <c r="O22" s="89"/>
      <c r="P22" s="89"/>
      <c r="Q22" s="88">
        <v>2024.0</v>
      </c>
      <c r="R22" s="89"/>
    </row>
    <row r="23">
      <c r="A23" s="14" t="s">
        <v>1357</v>
      </c>
      <c r="B23" s="35">
        <v>20.0</v>
      </c>
      <c r="C23" s="35" t="s">
        <v>325</v>
      </c>
      <c r="D23" s="35" t="s">
        <v>1489</v>
      </c>
      <c r="E23" s="162" t="s">
        <v>49</v>
      </c>
      <c r="G23" s="14" t="s">
        <v>1412</v>
      </c>
      <c r="I23" s="158"/>
      <c r="L23" s="163" t="s">
        <v>1490</v>
      </c>
      <c r="M23" s="89" t="str">
        <f t="shared" si="1"/>
        <v>assemblymember.quirk@assembly.ca.gov</v>
      </c>
      <c r="N23" s="89"/>
      <c r="O23" s="89"/>
      <c r="P23" s="89"/>
      <c r="Q23" s="88">
        <v>2024.0</v>
      </c>
      <c r="R23" s="89"/>
    </row>
    <row r="24">
      <c r="A24" s="14" t="s">
        <v>1357</v>
      </c>
      <c r="B24" s="35">
        <v>21.0</v>
      </c>
      <c r="C24" s="35" t="s">
        <v>69</v>
      </c>
      <c r="D24" s="35" t="s">
        <v>658</v>
      </c>
      <c r="E24" s="162" t="s">
        <v>49</v>
      </c>
      <c r="I24" s="158"/>
      <c r="L24" s="154" t="s">
        <v>1496</v>
      </c>
      <c r="M24" s="89" t="str">
        <f t="shared" si="1"/>
        <v>assemblymember.gray@assembly.ca.gov</v>
      </c>
      <c r="N24" s="89"/>
      <c r="O24" s="89"/>
      <c r="P24" s="89"/>
      <c r="Q24" s="88">
        <v>2024.0</v>
      </c>
      <c r="R24" s="89"/>
    </row>
    <row r="25">
      <c r="A25" s="14" t="s">
        <v>1357</v>
      </c>
      <c r="B25" s="35">
        <v>22.0</v>
      </c>
      <c r="C25" s="35" t="s">
        <v>971</v>
      </c>
      <c r="D25" s="35" t="s">
        <v>1497</v>
      </c>
      <c r="E25" s="162" t="s">
        <v>49</v>
      </c>
      <c r="F25" s="14" t="s">
        <v>1498</v>
      </c>
      <c r="I25" s="158"/>
      <c r="L25" s="163" t="s">
        <v>1499</v>
      </c>
      <c r="M25" s="89" t="str">
        <f t="shared" si="1"/>
        <v>assemblymember.mullin@assembly.ca.gov</v>
      </c>
      <c r="N25" s="89"/>
      <c r="O25" s="89"/>
      <c r="P25" s="89"/>
      <c r="Q25" s="88">
        <v>2024.0</v>
      </c>
      <c r="R25" s="89"/>
    </row>
    <row r="26">
      <c r="A26" s="14" t="s">
        <v>1357</v>
      </c>
      <c r="B26" s="35">
        <v>23.0</v>
      </c>
      <c r="C26" s="35" t="s">
        <v>476</v>
      </c>
      <c r="D26" s="35" t="s">
        <v>1510</v>
      </c>
      <c r="E26" s="162" t="s">
        <v>53</v>
      </c>
      <c r="I26" s="158"/>
      <c r="L26" s="163" t="s">
        <v>1511</v>
      </c>
      <c r="M26" s="89" t="str">
        <f t="shared" si="1"/>
        <v>assemblymember.patterson@assembly.ca.gov</v>
      </c>
      <c r="N26" s="89"/>
      <c r="O26" s="89"/>
      <c r="P26" s="89"/>
      <c r="Q26" s="88">
        <v>2024.0</v>
      </c>
      <c r="R26" s="89"/>
    </row>
    <row r="27">
      <c r="A27" s="14" t="s">
        <v>1357</v>
      </c>
      <c r="B27" s="35">
        <v>24.0</v>
      </c>
      <c r="C27" s="35" t="s">
        <v>1431</v>
      </c>
      <c r="D27" s="35" t="s">
        <v>1517</v>
      </c>
      <c r="E27" s="162" t="s">
        <v>49</v>
      </c>
      <c r="I27" s="158"/>
      <c r="L27" s="154" t="s">
        <v>1518</v>
      </c>
      <c r="M27" s="89" t="str">
        <f t="shared" si="1"/>
        <v>assemblymember.berman@assembly.ca.gov</v>
      </c>
      <c r="N27" s="89"/>
      <c r="O27" s="89"/>
      <c r="P27" s="89"/>
      <c r="Q27" s="88">
        <v>2028.0</v>
      </c>
      <c r="R27" s="89"/>
    </row>
    <row r="28">
      <c r="A28" s="14" t="s">
        <v>1357</v>
      </c>
      <c r="B28" s="35">
        <v>25.0</v>
      </c>
      <c r="C28" s="35" t="s">
        <v>1519</v>
      </c>
      <c r="D28" s="35" t="s">
        <v>1520</v>
      </c>
      <c r="E28" s="162" t="s">
        <v>49</v>
      </c>
      <c r="I28" s="158"/>
      <c r="L28" s="163" t="s">
        <v>1521</v>
      </c>
      <c r="M28" s="89" t="str">
        <f t="shared" si="1"/>
        <v>assemblymember.chu@assembly.ca.gov</v>
      </c>
      <c r="N28" s="89"/>
      <c r="O28" s="89"/>
      <c r="P28" s="89"/>
      <c r="Q28" s="88">
        <v>2026.0</v>
      </c>
      <c r="R28" s="89"/>
    </row>
    <row r="29">
      <c r="A29" s="14" t="s">
        <v>1357</v>
      </c>
      <c r="B29" s="35">
        <v>26.0</v>
      </c>
      <c r="C29" s="35" t="s">
        <v>1522</v>
      </c>
      <c r="D29" s="35" t="s">
        <v>1523</v>
      </c>
      <c r="E29" s="162" t="s">
        <v>53</v>
      </c>
      <c r="I29" s="158"/>
      <c r="L29" s="163" t="s">
        <v>1524</v>
      </c>
      <c r="M29" s="89" t="str">
        <f t="shared" si="1"/>
        <v>assemblymember.mathis@assembly.ca.gov</v>
      </c>
      <c r="N29" s="89"/>
      <c r="O29" s="89"/>
      <c r="P29" s="89"/>
      <c r="Q29" s="88">
        <v>2026.0</v>
      </c>
      <c r="R29" s="89"/>
    </row>
    <row r="30">
      <c r="A30" s="14" t="s">
        <v>1357</v>
      </c>
      <c r="B30" s="35">
        <v>27.0</v>
      </c>
      <c r="C30" s="35" t="s">
        <v>1531</v>
      </c>
      <c r="D30" s="35" t="s">
        <v>1535</v>
      </c>
      <c r="E30" s="162" t="s">
        <v>49</v>
      </c>
      <c r="G30" s="14" t="s">
        <v>1411</v>
      </c>
      <c r="I30" s="158"/>
      <c r="L30" s="154" t="s">
        <v>1536</v>
      </c>
      <c r="M30" s="89" t="str">
        <f t="shared" si="1"/>
        <v>assemblymember.kalra@assembly.ca.gov</v>
      </c>
      <c r="N30" s="89"/>
      <c r="O30" s="89"/>
      <c r="P30" s="89"/>
      <c r="Q30" s="88">
        <v>2028.0</v>
      </c>
      <c r="R30" s="89"/>
    </row>
    <row r="31">
      <c r="A31" s="14" t="s">
        <v>1357</v>
      </c>
      <c r="B31" s="35">
        <v>28.0</v>
      </c>
      <c r="C31" s="35" t="s">
        <v>1541</v>
      </c>
      <c r="D31" s="35" t="s">
        <v>1543</v>
      </c>
      <c r="E31" s="162" t="s">
        <v>49</v>
      </c>
      <c r="I31" s="158"/>
      <c r="L31" s="163" t="s">
        <v>1544</v>
      </c>
      <c r="M31" s="89" t="str">
        <f t="shared" si="1"/>
        <v>assemblymember.low@assembly.ca.gov</v>
      </c>
      <c r="N31" s="89"/>
      <c r="O31" s="89"/>
      <c r="P31" s="89"/>
      <c r="Q31" s="88">
        <v>2026.0</v>
      </c>
      <c r="R31" s="89"/>
    </row>
    <row r="32">
      <c r="A32" s="14" t="s">
        <v>1357</v>
      </c>
      <c r="B32" s="35">
        <v>29.0</v>
      </c>
      <c r="C32" s="35" t="s">
        <v>91</v>
      </c>
      <c r="D32" s="35" t="s">
        <v>1547</v>
      </c>
      <c r="E32" s="162" t="s">
        <v>49</v>
      </c>
      <c r="G32" s="14" t="s">
        <v>877</v>
      </c>
      <c r="I32" s="158"/>
      <c r="L32" s="163" t="s">
        <v>1549</v>
      </c>
      <c r="M32" s="89" t="str">
        <f t="shared" si="1"/>
        <v>assemblymember.stone@assembly.ca.gov</v>
      </c>
      <c r="N32" s="89"/>
      <c r="O32" s="89"/>
      <c r="P32" s="89"/>
      <c r="Q32" s="88">
        <v>2024.0</v>
      </c>
      <c r="R32" s="89"/>
    </row>
    <row r="33">
      <c r="A33" s="14" t="s">
        <v>1357</v>
      </c>
      <c r="B33" s="35">
        <v>30.0</v>
      </c>
      <c r="C33" s="38" t="s">
        <v>1134</v>
      </c>
      <c r="D33" s="38" t="s">
        <v>1551</v>
      </c>
      <c r="E33" s="162" t="s">
        <v>49</v>
      </c>
      <c r="I33" s="165"/>
      <c r="L33" s="154" t="s">
        <v>1554</v>
      </c>
      <c r="M33" s="89" t="str">
        <f t="shared" si="1"/>
        <v>assemblymember.rivas@assembly.ca.gov</v>
      </c>
      <c r="N33" s="89"/>
      <c r="O33" s="89"/>
      <c r="P33" s="89"/>
      <c r="Q33" s="88">
        <v>2018.0</v>
      </c>
      <c r="R33" s="89"/>
    </row>
    <row r="34">
      <c r="A34" s="14" t="s">
        <v>1357</v>
      </c>
      <c r="B34" s="35">
        <v>31.0</v>
      </c>
      <c r="C34" s="35" t="s">
        <v>1555</v>
      </c>
      <c r="D34" s="35" t="s">
        <v>1556</v>
      </c>
      <c r="E34" s="162" t="s">
        <v>49</v>
      </c>
      <c r="I34" s="158"/>
      <c r="L34" s="163" t="s">
        <v>1558</v>
      </c>
      <c r="M34" s="89" t="str">
        <f t="shared" si="1"/>
        <v>assemblymember.arambula@assembly.ca.gov</v>
      </c>
      <c r="N34" s="89"/>
      <c r="O34" s="89"/>
      <c r="P34" s="89"/>
      <c r="Q34" s="88">
        <v>2028.0</v>
      </c>
      <c r="R34" s="89"/>
    </row>
    <row r="35">
      <c r="A35" s="14" t="s">
        <v>1357</v>
      </c>
      <c r="B35" s="35">
        <v>32.0</v>
      </c>
      <c r="C35" s="35" t="s">
        <v>1563</v>
      </c>
      <c r="D35" s="35" t="s">
        <v>1564</v>
      </c>
      <c r="E35" s="162" t="s">
        <v>49</v>
      </c>
      <c r="I35" s="158"/>
      <c r="L35" s="163" t="s">
        <v>1565</v>
      </c>
      <c r="M35" s="89" t="str">
        <f t="shared" si="1"/>
        <v>assemblymember.salas@assembly.ca.gov</v>
      </c>
      <c r="N35" s="89"/>
      <c r="O35" s="89"/>
      <c r="P35" s="89"/>
      <c r="Q35" s="88">
        <v>2024.0</v>
      </c>
      <c r="R35" s="89"/>
    </row>
    <row r="36">
      <c r="A36" s="14" t="s">
        <v>1357</v>
      </c>
      <c r="B36" s="35">
        <v>33.0</v>
      </c>
      <c r="C36" s="35" t="s">
        <v>1013</v>
      </c>
      <c r="D36" s="35" t="s">
        <v>1569</v>
      </c>
      <c r="E36" s="162" t="s">
        <v>53</v>
      </c>
      <c r="F36" s="14" t="s">
        <v>1570</v>
      </c>
      <c r="I36" s="158"/>
      <c r="L36" s="154" t="s">
        <v>1572</v>
      </c>
      <c r="M36" s="89" t="str">
        <f t="shared" si="1"/>
        <v>assemblymember.obernolte@assembly.ca.gov</v>
      </c>
      <c r="N36" s="89"/>
      <c r="O36" s="89"/>
      <c r="P36" s="89"/>
      <c r="Q36" s="88">
        <v>2026.0</v>
      </c>
      <c r="R36" s="89"/>
    </row>
    <row r="37">
      <c r="A37" s="14" t="s">
        <v>1357</v>
      </c>
      <c r="B37" s="35">
        <v>34.0</v>
      </c>
      <c r="C37" s="35" t="s">
        <v>1576</v>
      </c>
      <c r="D37" s="35" t="s">
        <v>1578</v>
      </c>
      <c r="E37" s="162" t="s">
        <v>53</v>
      </c>
      <c r="I37" s="158"/>
      <c r="L37" s="154" t="s">
        <v>1579</v>
      </c>
      <c r="M37" s="89" t="str">
        <f t="shared" si="1"/>
        <v>assemblymember.fong@assembly.ca.gov</v>
      </c>
      <c r="N37" s="89"/>
      <c r="O37" s="89"/>
      <c r="P37" s="89"/>
      <c r="Q37" s="88">
        <v>2028.0</v>
      </c>
      <c r="R37" s="89"/>
    </row>
    <row r="38">
      <c r="A38" s="14" t="s">
        <v>1357</v>
      </c>
      <c r="B38" s="35">
        <v>35.0</v>
      </c>
      <c r="C38" s="35" t="s">
        <v>1581</v>
      </c>
      <c r="D38" s="35" t="s">
        <v>1583</v>
      </c>
      <c r="E38" s="162" t="s">
        <v>53</v>
      </c>
      <c r="G38" s="14" t="s">
        <v>517</v>
      </c>
      <c r="I38" s="158"/>
      <c r="L38" s="163" t="s">
        <v>1584</v>
      </c>
      <c r="M38" s="89" t="str">
        <f t="shared" si="1"/>
        <v>assemblymember.cunningham@assembly.ca.gov</v>
      </c>
      <c r="N38" s="89"/>
      <c r="O38" s="89"/>
      <c r="P38" s="89"/>
      <c r="Q38" s="88">
        <v>2028.0</v>
      </c>
      <c r="R38" s="89"/>
    </row>
    <row r="39">
      <c r="A39" s="14" t="s">
        <v>1357</v>
      </c>
      <c r="B39" s="35">
        <v>36.0</v>
      </c>
      <c r="C39" s="35" t="s">
        <v>338</v>
      </c>
      <c r="D39" s="35" t="s">
        <v>1585</v>
      </c>
      <c r="E39" s="162" t="s">
        <v>53</v>
      </c>
      <c r="G39" s="14" t="s">
        <v>958</v>
      </c>
      <c r="I39" s="158"/>
      <c r="L39" s="163" t="s">
        <v>1586</v>
      </c>
      <c r="M39" s="89" t="str">
        <f t="shared" si="1"/>
        <v>assemblymember.lackey@assembly.ca.gov</v>
      </c>
      <c r="N39" s="89"/>
      <c r="O39" s="89"/>
      <c r="P39" s="89"/>
      <c r="Q39" s="88">
        <v>2026.0</v>
      </c>
      <c r="R39" s="89"/>
    </row>
    <row r="40">
      <c r="A40" s="14" t="s">
        <v>1357</v>
      </c>
      <c r="B40" s="35">
        <v>37.0</v>
      </c>
      <c r="C40" s="35" t="s">
        <v>1594</v>
      </c>
      <c r="D40" s="35" t="s">
        <v>1596</v>
      </c>
      <c r="E40" s="162" t="s">
        <v>49</v>
      </c>
      <c r="I40" s="158"/>
      <c r="L40" s="154" t="s">
        <v>1597</v>
      </c>
      <c r="M40" s="89" t="str">
        <f t="shared" si="1"/>
        <v>assemblymember.limón@assembly.ca.gov</v>
      </c>
      <c r="N40" s="89"/>
      <c r="O40" s="89"/>
      <c r="P40" s="89"/>
      <c r="Q40" s="88">
        <v>2028.0</v>
      </c>
      <c r="R40" s="89"/>
    </row>
    <row r="41">
      <c r="A41" s="14" t="s">
        <v>1357</v>
      </c>
      <c r="B41" s="35">
        <v>38.0</v>
      </c>
      <c r="C41" s="35" t="s">
        <v>1600</v>
      </c>
      <c r="D41" s="35" t="s">
        <v>1601</v>
      </c>
      <c r="E41" s="162" t="s">
        <v>53</v>
      </c>
      <c r="I41" s="158"/>
      <c r="L41" s="163" t="s">
        <v>1602</v>
      </c>
      <c r="M41" s="89" t="str">
        <f t="shared" si="1"/>
        <v>assemblymember.acosta@assembly.ca.gov</v>
      </c>
      <c r="N41" s="89"/>
      <c r="O41" s="89"/>
      <c r="P41" s="89"/>
      <c r="Q41" s="88">
        <v>2028.0</v>
      </c>
      <c r="R41" s="89"/>
    </row>
    <row r="42">
      <c r="A42" s="14" t="s">
        <v>1357</v>
      </c>
      <c r="B42" s="35">
        <v>39.0</v>
      </c>
      <c r="C42" s="35" t="s">
        <v>1605</v>
      </c>
      <c r="D42" s="35" t="s">
        <v>1551</v>
      </c>
      <c r="E42" s="162" t="s">
        <v>49</v>
      </c>
      <c r="L42" s="163" t="s">
        <v>1607</v>
      </c>
      <c r="M42" s="89" t="str">
        <f t="shared" si="1"/>
        <v>assemblymember.rivas@assembly.ca.gov</v>
      </c>
      <c r="N42" s="89"/>
      <c r="O42" s="89"/>
      <c r="P42" s="89"/>
      <c r="Q42" s="88">
        <v>2030.0</v>
      </c>
      <c r="R42" s="89"/>
    </row>
    <row r="43">
      <c r="A43" s="14" t="s">
        <v>1357</v>
      </c>
      <c r="B43" s="35">
        <v>40.0</v>
      </c>
      <c r="C43" s="38" t="s">
        <v>930</v>
      </c>
      <c r="D43" s="38" t="s">
        <v>1610</v>
      </c>
      <c r="E43" s="162" t="s">
        <v>53</v>
      </c>
      <c r="I43" s="158"/>
      <c r="L43" s="154" t="s">
        <v>1611</v>
      </c>
      <c r="M43" s="89" t="str">
        <f t="shared" si="1"/>
        <v>assemblymember.ramos@assembly.ca.gov</v>
      </c>
      <c r="N43" s="89"/>
      <c r="O43" s="89"/>
      <c r="P43" s="89"/>
      <c r="Q43" s="88">
        <v>2026.0</v>
      </c>
      <c r="R43" s="89"/>
    </row>
    <row r="44">
      <c r="A44" s="14" t="s">
        <v>1357</v>
      </c>
      <c r="B44" s="35">
        <v>41.0</v>
      </c>
      <c r="C44" s="35" t="s">
        <v>173</v>
      </c>
      <c r="D44" s="35" t="s">
        <v>1622</v>
      </c>
      <c r="E44" s="162" t="s">
        <v>49</v>
      </c>
      <c r="G44" s="14" t="s">
        <v>1411</v>
      </c>
      <c r="I44" s="158"/>
      <c r="L44" s="163" t="s">
        <v>1623</v>
      </c>
      <c r="M44" s="89" t="str">
        <f t="shared" si="1"/>
        <v>assemblymember.holden@assembly.ca.gov</v>
      </c>
      <c r="N44" s="89"/>
      <c r="O44" s="89"/>
      <c r="P44" s="89"/>
      <c r="Q44" s="88">
        <v>2024.0</v>
      </c>
      <c r="R44" s="89"/>
    </row>
    <row r="45">
      <c r="A45" s="14" t="s">
        <v>1357</v>
      </c>
      <c r="B45" s="35">
        <v>42.0</v>
      </c>
      <c r="C45" s="35" t="s">
        <v>1626</v>
      </c>
      <c r="D45" s="35" t="s">
        <v>1627</v>
      </c>
      <c r="E45" s="162" t="s">
        <v>53</v>
      </c>
      <c r="F45" s="14" t="s">
        <v>1444</v>
      </c>
      <c r="I45" s="158"/>
      <c r="L45" s="163" t="s">
        <v>1628</v>
      </c>
      <c r="M45" s="89" t="str">
        <f t="shared" si="1"/>
        <v>assemblymember.mayes@assembly.ca.gov</v>
      </c>
      <c r="N45" s="89"/>
      <c r="O45" s="89"/>
      <c r="P45" s="89"/>
      <c r="Q45" s="88">
        <v>2026.0</v>
      </c>
      <c r="R45" s="89"/>
    </row>
    <row r="46">
      <c r="A46" s="14" t="s">
        <v>1357</v>
      </c>
      <c r="B46" s="35">
        <v>43.0</v>
      </c>
      <c r="C46" s="35" t="s">
        <v>292</v>
      </c>
      <c r="D46" s="35" t="s">
        <v>1638</v>
      </c>
      <c r="E46" s="162" t="s">
        <v>49</v>
      </c>
      <c r="F46" s="14" t="s">
        <v>1639</v>
      </c>
      <c r="I46" s="158"/>
      <c r="L46" s="154" t="s">
        <v>1640</v>
      </c>
      <c r="M46" s="89" t="str">
        <f t="shared" si="1"/>
        <v>assemblymember.friedman@assembly.ca.gov</v>
      </c>
      <c r="N46" s="89"/>
      <c r="O46" s="89"/>
      <c r="P46" s="89"/>
      <c r="Q46" s="88">
        <v>2028.0</v>
      </c>
      <c r="R46" s="89"/>
    </row>
    <row r="47">
      <c r="A47" s="14" t="s">
        <v>1357</v>
      </c>
      <c r="B47" s="35">
        <v>44.0</v>
      </c>
      <c r="C47" s="35" t="s">
        <v>1652</v>
      </c>
      <c r="D47" s="35" t="s">
        <v>1656</v>
      </c>
      <c r="E47" s="162" t="s">
        <v>49</v>
      </c>
      <c r="I47" s="158"/>
      <c r="L47" s="163" t="s">
        <v>1657</v>
      </c>
      <c r="M47" s="89" t="str">
        <f t="shared" si="1"/>
        <v>assemblymember.irwin@assembly.ca.gov</v>
      </c>
      <c r="N47" s="89"/>
      <c r="O47" s="89"/>
      <c r="P47" s="89"/>
      <c r="Q47" s="88">
        <v>2026.0</v>
      </c>
      <c r="R47" s="89"/>
    </row>
    <row r="48">
      <c r="A48" s="14" t="s">
        <v>1357</v>
      </c>
      <c r="B48" s="35">
        <v>45.0</v>
      </c>
      <c r="C48" s="35" t="s">
        <v>386</v>
      </c>
      <c r="D48" s="35" t="s">
        <v>1661</v>
      </c>
      <c r="E48" s="162" t="s">
        <v>49</v>
      </c>
      <c r="L48" s="163" t="s">
        <v>1662</v>
      </c>
      <c r="M48" s="89" t="str">
        <f t="shared" si="1"/>
        <v>assemblymember.gabriel@assembly.ca.gov</v>
      </c>
      <c r="N48" s="89"/>
      <c r="O48" s="89"/>
      <c r="P48" s="89"/>
      <c r="Q48" s="88">
        <v>2030.0</v>
      </c>
      <c r="R48" s="89"/>
    </row>
    <row r="49">
      <c r="A49" s="14" t="s">
        <v>1357</v>
      </c>
      <c r="B49" s="35">
        <v>46.0</v>
      </c>
      <c r="C49" s="35" t="s">
        <v>1668</v>
      </c>
      <c r="D49" s="35" t="s">
        <v>1675</v>
      </c>
      <c r="E49" s="162" t="s">
        <v>49</v>
      </c>
      <c r="I49" s="158"/>
      <c r="L49" s="154" t="s">
        <v>1677</v>
      </c>
      <c r="M49" s="89" t="str">
        <f t="shared" si="1"/>
        <v>assemblymember.nazarian@assembly.ca.gov</v>
      </c>
      <c r="N49" s="89"/>
      <c r="O49" s="89"/>
      <c r="P49" s="89"/>
      <c r="Q49" s="88">
        <v>2024.0</v>
      </c>
      <c r="R49" s="89"/>
    </row>
    <row r="50">
      <c r="A50" s="14" t="s">
        <v>1357</v>
      </c>
      <c r="B50" s="35">
        <v>47.0</v>
      </c>
      <c r="C50" s="35" t="s">
        <v>1685</v>
      </c>
      <c r="D50" s="35" t="s">
        <v>1692</v>
      </c>
      <c r="E50" s="162" t="s">
        <v>49</v>
      </c>
      <c r="F50" s="14" t="s">
        <v>1693</v>
      </c>
      <c r="G50" s="14" t="s">
        <v>1411</v>
      </c>
      <c r="I50" s="158"/>
      <c r="L50" s="163" t="s">
        <v>1695</v>
      </c>
      <c r="M50" s="89" t="str">
        <f t="shared" si="1"/>
        <v>assemblymember.reyes@assembly.ca.gov</v>
      </c>
      <c r="N50" s="89"/>
      <c r="O50" s="89"/>
      <c r="P50" s="89"/>
      <c r="Q50" s="88">
        <v>2028.0</v>
      </c>
      <c r="R50" s="89"/>
    </row>
    <row r="51">
      <c r="A51" s="14" t="s">
        <v>1357</v>
      </c>
      <c r="B51" s="35">
        <v>48.0</v>
      </c>
      <c r="C51" s="35" t="s">
        <v>1697</v>
      </c>
      <c r="D51" s="35" t="s">
        <v>1704</v>
      </c>
      <c r="E51" s="162" t="s">
        <v>49</v>
      </c>
      <c r="I51" s="158"/>
      <c r="L51" s="163" t="s">
        <v>1705</v>
      </c>
      <c r="M51" s="89" t="str">
        <f t="shared" si="1"/>
        <v>assemblymember.rubio@assembly.ca.gov</v>
      </c>
      <c r="N51" s="89"/>
      <c r="O51" s="89"/>
      <c r="P51" s="89"/>
      <c r="Q51" s="88">
        <v>2028.0</v>
      </c>
      <c r="R51" s="89"/>
    </row>
    <row r="52">
      <c r="A52" s="14" t="s">
        <v>1357</v>
      </c>
      <c r="B52" s="35">
        <v>49.0</v>
      </c>
      <c r="C52" s="35" t="s">
        <v>636</v>
      </c>
      <c r="D52" s="35" t="s">
        <v>1712</v>
      </c>
      <c r="E52" s="162" t="s">
        <v>49</v>
      </c>
      <c r="G52" s="14" t="s">
        <v>1411</v>
      </c>
      <c r="I52" s="158"/>
      <c r="L52" s="154" t="s">
        <v>1713</v>
      </c>
      <c r="M52" s="89" t="str">
        <f t="shared" si="1"/>
        <v>assemblymember.chau@assembly.ca.gov</v>
      </c>
      <c r="N52" s="89"/>
      <c r="O52" s="89"/>
      <c r="P52" s="89"/>
      <c r="Q52" s="88">
        <v>2024.0</v>
      </c>
      <c r="R52" s="89"/>
    </row>
    <row r="53">
      <c r="A53" s="14" t="s">
        <v>1357</v>
      </c>
      <c r="B53" s="35">
        <v>50.0</v>
      </c>
      <c r="C53" s="35" t="s">
        <v>1112</v>
      </c>
      <c r="D53" s="35" t="s">
        <v>1719</v>
      </c>
      <c r="E53" s="162" t="s">
        <v>49</v>
      </c>
      <c r="I53" s="158"/>
      <c r="L53" s="154" t="s">
        <v>1720</v>
      </c>
      <c r="M53" s="89" t="str">
        <f t="shared" si="1"/>
        <v>assemblymember.bloom@assembly.ca.gov</v>
      </c>
      <c r="N53" s="89"/>
      <c r="O53" s="89"/>
      <c r="P53" s="89"/>
      <c r="Q53" s="88">
        <v>2024.0</v>
      </c>
      <c r="R53" s="89"/>
    </row>
    <row r="54">
      <c r="A54" s="14" t="s">
        <v>1357</v>
      </c>
      <c r="B54" s="35">
        <v>51.0</v>
      </c>
      <c r="C54" s="35" t="s">
        <v>1725</v>
      </c>
      <c r="D54" s="35" t="s">
        <v>1727</v>
      </c>
      <c r="E54" s="162" t="s">
        <v>49</v>
      </c>
      <c r="G54" s="14" t="s">
        <v>1412</v>
      </c>
      <c r="I54" s="158"/>
      <c r="L54" s="163" t="s">
        <v>1728</v>
      </c>
      <c r="M54" s="89" t="str">
        <f t="shared" si="1"/>
        <v>assemblymember.carrillo@assembly.ca.gov</v>
      </c>
      <c r="N54" s="89"/>
      <c r="O54" s="89"/>
      <c r="P54" s="89"/>
      <c r="Q54" s="88">
        <v>2030.0</v>
      </c>
      <c r="R54" s="89"/>
    </row>
    <row r="55">
      <c r="A55" s="14" t="s">
        <v>1357</v>
      </c>
      <c r="B55" s="35">
        <v>52.0</v>
      </c>
      <c r="C55" s="35" t="s">
        <v>1735</v>
      </c>
      <c r="D55" s="35" t="s">
        <v>1094</v>
      </c>
      <c r="E55" s="162" t="s">
        <v>49</v>
      </c>
      <c r="I55" s="158"/>
      <c r="L55" s="163" t="s">
        <v>1745</v>
      </c>
      <c r="M55" s="89" t="str">
        <f t="shared" si="1"/>
        <v>assemblymember.rodriguez@assembly.ca.gov</v>
      </c>
      <c r="N55" s="89"/>
      <c r="O55" s="89"/>
      <c r="P55" s="89"/>
      <c r="Q55" s="88">
        <v>2024.0</v>
      </c>
      <c r="R55" s="89"/>
    </row>
    <row r="56">
      <c r="A56" s="14" t="s">
        <v>1357</v>
      </c>
      <c r="B56" s="35">
        <v>53.0</v>
      </c>
      <c r="C56" s="35" t="s">
        <v>1748</v>
      </c>
      <c r="D56" s="35" t="s">
        <v>1752</v>
      </c>
      <c r="E56" s="162" t="s">
        <v>49</v>
      </c>
      <c r="G56" s="14" t="s">
        <v>1412</v>
      </c>
      <c r="I56" s="158"/>
      <c r="L56" s="154" t="s">
        <v>1753</v>
      </c>
      <c r="M56" s="89" t="str">
        <f t="shared" si="1"/>
        <v>assemblymember.santiago@assembly.ca.gov</v>
      </c>
      <c r="N56" s="89"/>
      <c r="O56" s="89"/>
      <c r="P56" s="89"/>
      <c r="Q56" s="88">
        <v>2026.0</v>
      </c>
      <c r="R56" s="89"/>
    </row>
    <row r="57">
      <c r="A57" s="14" t="s">
        <v>1357</v>
      </c>
      <c r="B57" s="35">
        <v>54.0</v>
      </c>
      <c r="C57" s="35" t="s">
        <v>1756</v>
      </c>
      <c r="D57" s="35" t="s">
        <v>1760</v>
      </c>
      <c r="E57" s="162" t="s">
        <v>49</v>
      </c>
      <c r="G57" s="14" t="s">
        <v>1412</v>
      </c>
      <c r="I57" s="158"/>
      <c r="L57" s="163" t="s">
        <v>1762</v>
      </c>
      <c r="M57" s="89" t="str">
        <f t="shared" si="1"/>
        <v>assemblymember.kamlager@assembly.ca.gov</v>
      </c>
      <c r="N57" s="89"/>
      <c r="O57" s="89"/>
      <c r="P57" s="89"/>
      <c r="Q57" s="88">
        <v>2030.0</v>
      </c>
      <c r="R57" s="89"/>
    </row>
    <row r="58">
      <c r="A58" s="14" t="s">
        <v>1357</v>
      </c>
      <c r="B58" s="35">
        <v>55.0</v>
      </c>
      <c r="C58" s="38" t="s">
        <v>50</v>
      </c>
      <c r="D58" s="38" t="s">
        <v>1766</v>
      </c>
      <c r="E58" s="162" t="s">
        <v>53</v>
      </c>
      <c r="F58" s="14" t="s">
        <v>1444</v>
      </c>
      <c r="I58" s="158"/>
      <c r="L58" s="163" t="s">
        <v>1767</v>
      </c>
      <c r="M58" s="89" t="str">
        <f t="shared" si="1"/>
        <v>assemblymember.chen@assembly.ca.gov</v>
      </c>
      <c r="N58" s="89"/>
      <c r="O58" s="89"/>
      <c r="P58" s="89"/>
      <c r="Q58" s="88"/>
      <c r="R58" s="89"/>
    </row>
    <row r="59">
      <c r="A59" s="14" t="s">
        <v>1357</v>
      </c>
      <c r="B59" s="35">
        <v>56.0</v>
      </c>
      <c r="C59" s="35" t="s">
        <v>1770</v>
      </c>
      <c r="D59" s="35" t="s">
        <v>1772</v>
      </c>
      <c r="E59" s="162" t="s">
        <v>49</v>
      </c>
      <c r="I59" s="158"/>
      <c r="L59" s="154" t="s">
        <v>1773</v>
      </c>
      <c r="M59" s="89" t="str">
        <f t="shared" si="1"/>
        <v>assemblymember.garcia@assembly.ca.gov</v>
      </c>
      <c r="N59" s="89"/>
      <c r="O59" s="89"/>
      <c r="P59" s="89"/>
      <c r="Q59" s="88"/>
      <c r="R59" s="89"/>
    </row>
    <row r="60">
      <c r="A60" s="14" t="s">
        <v>1357</v>
      </c>
      <c r="B60" s="35">
        <v>57.0</v>
      </c>
      <c r="C60" s="35" t="s">
        <v>1783</v>
      </c>
      <c r="D60" s="35" t="s">
        <v>1785</v>
      </c>
      <c r="E60" s="162" t="s">
        <v>49</v>
      </c>
      <c r="F60" s="14" t="s">
        <v>176</v>
      </c>
      <c r="I60" s="158"/>
      <c r="L60" s="163" t="s">
        <v>1786</v>
      </c>
      <c r="M60" s="89" t="str">
        <f t="shared" si="1"/>
        <v>assemblymember.calderon@assembly.ca.gov</v>
      </c>
      <c r="N60" s="89"/>
      <c r="O60" s="89"/>
      <c r="P60" s="89"/>
      <c r="Q60" s="88"/>
      <c r="R60" s="89"/>
    </row>
    <row r="61">
      <c r="A61" s="14" t="s">
        <v>1357</v>
      </c>
      <c r="B61" s="35">
        <v>58.0</v>
      </c>
      <c r="C61" s="35" t="s">
        <v>1788</v>
      </c>
      <c r="D61" s="35" t="s">
        <v>1772</v>
      </c>
      <c r="E61" s="162" t="s">
        <v>49</v>
      </c>
      <c r="I61" s="158"/>
      <c r="L61" s="163" t="s">
        <v>1795</v>
      </c>
      <c r="M61" s="89" t="str">
        <f t="shared" si="1"/>
        <v>assemblymember.garcia@assembly.ca.gov</v>
      </c>
      <c r="N61" s="89"/>
      <c r="O61" s="89"/>
      <c r="P61" s="89"/>
      <c r="Q61" s="88"/>
      <c r="R61" s="89"/>
    </row>
    <row r="62">
      <c r="A62" s="14" t="s">
        <v>1357</v>
      </c>
      <c r="B62" s="35">
        <v>59.0</v>
      </c>
      <c r="C62" s="35" t="s">
        <v>1797</v>
      </c>
      <c r="D62" s="35" t="s">
        <v>1804</v>
      </c>
      <c r="E62" s="162" t="s">
        <v>49</v>
      </c>
      <c r="G62" s="14" t="s">
        <v>974</v>
      </c>
      <c r="I62" s="158"/>
      <c r="L62" s="154" t="s">
        <v>1806</v>
      </c>
      <c r="M62" s="89" t="str">
        <f t="shared" si="1"/>
        <v>assemblymember.jones-sawyer@assembly.ca.gov</v>
      </c>
      <c r="N62" s="89"/>
      <c r="O62" s="89"/>
      <c r="P62" s="89"/>
      <c r="Q62" s="88"/>
      <c r="R62" s="89"/>
    </row>
    <row r="63">
      <c r="A63" s="14" t="s">
        <v>1357</v>
      </c>
      <c r="B63" s="35">
        <v>60.0</v>
      </c>
      <c r="C63" s="35" t="s">
        <v>1812</v>
      </c>
      <c r="D63" s="35" t="s">
        <v>1815</v>
      </c>
      <c r="E63" s="162" t="s">
        <v>49</v>
      </c>
      <c r="I63" s="158"/>
      <c r="L63" s="163" t="s">
        <v>1816</v>
      </c>
      <c r="M63" s="89" t="str">
        <f t="shared" si="1"/>
        <v>assemblymember.cervantes@assembly.ca.gov</v>
      </c>
      <c r="N63" s="89"/>
      <c r="O63" s="89"/>
      <c r="P63" s="89"/>
      <c r="Q63" s="88"/>
      <c r="R63" s="89"/>
    </row>
    <row r="64">
      <c r="A64" s="14" t="s">
        <v>1357</v>
      </c>
      <c r="B64" s="35">
        <v>61.0</v>
      </c>
      <c r="C64" s="35" t="s">
        <v>1823</v>
      </c>
      <c r="D64" s="35" t="s">
        <v>1831</v>
      </c>
      <c r="E64" s="162" t="s">
        <v>49</v>
      </c>
      <c r="I64" s="158"/>
      <c r="L64" s="163" t="s">
        <v>1832</v>
      </c>
      <c r="M64" s="89" t="str">
        <f t="shared" si="1"/>
        <v>assemblymember.medina@assembly.ca.gov</v>
      </c>
      <c r="N64" s="89"/>
      <c r="O64" s="89"/>
      <c r="P64" s="89"/>
      <c r="Q64" s="88"/>
      <c r="R64" s="89"/>
    </row>
    <row r="65">
      <c r="A65" s="14" t="s">
        <v>1357</v>
      </c>
      <c r="B65" s="35">
        <v>62.0</v>
      </c>
      <c r="C65" s="35" t="s">
        <v>1835</v>
      </c>
      <c r="D65" s="35" t="s">
        <v>1837</v>
      </c>
      <c r="E65" s="162" t="s">
        <v>49</v>
      </c>
      <c r="I65" s="158"/>
      <c r="L65" s="154" t="s">
        <v>1838</v>
      </c>
      <c r="M65" s="89" t="str">
        <f t="shared" si="1"/>
        <v>assemblymember.burke@assembly.ca.gov</v>
      </c>
      <c r="N65" s="89"/>
      <c r="O65" s="89"/>
      <c r="P65" s="89"/>
      <c r="Q65" s="88"/>
      <c r="R65" s="89"/>
    </row>
    <row r="66">
      <c r="A66" s="14" t="s">
        <v>1357</v>
      </c>
      <c r="B66" s="35">
        <v>63.0</v>
      </c>
      <c r="C66" s="35" t="s">
        <v>496</v>
      </c>
      <c r="D66" s="35" t="s">
        <v>1847</v>
      </c>
      <c r="E66" s="162" t="s">
        <v>49</v>
      </c>
      <c r="F66" s="31" t="s">
        <v>1056</v>
      </c>
      <c r="K66" s="31"/>
      <c r="L66" s="163" t="s">
        <v>1848</v>
      </c>
      <c r="M66" s="89" t="str">
        <f t="shared" si="1"/>
        <v>assemblymember.rendon@assembly.ca.gov</v>
      </c>
      <c r="N66" s="89"/>
      <c r="O66" s="89"/>
      <c r="P66" s="89"/>
      <c r="Q66" s="88"/>
      <c r="R66" s="89"/>
    </row>
    <row r="67">
      <c r="A67" s="14" t="s">
        <v>1357</v>
      </c>
      <c r="B67" s="35">
        <v>64.0</v>
      </c>
      <c r="C67" s="35" t="s">
        <v>157</v>
      </c>
      <c r="D67" s="35" t="s">
        <v>1854</v>
      </c>
      <c r="E67" s="162" t="s">
        <v>49</v>
      </c>
      <c r="F67" s="14" t="s">
        <v>1684</v>
      </c>
      <c r="I67" s="158"/>
      <c r="L67" s="163" t="s">
        <v>1855</v>
      </c>
      <c r="M67" s="89" t="str">
        <f t="shared" si="1"/>
        <v>assemblymember.gipson@assembly.ca.gov</v>
      </c>
      <c r="N67" s="89"/>
      <c r="O67" s="89"/>
      <c r="P67" s="89"/>
      <c r="Q67" s="88"/>
      <c r="R67" s="89"/>
    </row>
    <row r="68">
      <c r="A68" s="14" t="s">
        <v>1357</v>
      </c>
      <c r="B68" s="35">
        <v>65.0</v>
      </c>
      <c r="C68" s="35" t="s">
        <v>1863</v>
      </c>
      <c r="D68" s="35" t="s">
        <v>1868</v>
      </c>
      <c r="E68" s="162" t="s">
        <v>49</v>
      </c>
      <c r="I68" s="165"/>
      <c r="L68" s="154" t="s">
        <v>1869</v>
      </c>
      <c r="M68" s="89" t="str">
        <f t="shared" si="1"/>
        <v>assemblymember.quirk-silva@assembly.ca.gov</v>
      </c>
      <c r="N68" s="89"/>
      <c r="O68" s="89"/>
      <c r="P68" s="89"/>
      <c r="Q68" s="88"/>
      <c r="R68" s="89"/>
    </row>
    <row r="69">
      <c r="A69" s="14" t="s">
        <v>1357</v>
      </c>
      <c r="B69" s="35">
        <v>66.0</v>
      </c>
      <c r="C69" s="35" t="s">
        <v>1874</v>
      </c>
      <c r="D69" s="35" t="s">
        <v>1879</v>
      </c>
      <c r="E69" s="162" t="s">
        <v>49</v>
      </c>
      <c r="I69" s="165"/>
      <c r="L69" s="154" t="s">
        <v>1880</v>
      </c>
      <c r="M69" s="89" t="str">
        <f t="shared" si="1"/>
        <v>assemblymember.muratsuchi@assembly.ca.gov</v>
      </c>
      <c r="N69" s="89"/>
      <c r="O69" s="89"/>
      <c r="P69" s="89"/>
      <c r="Q69" s="88"/>
      <c r="R69" s="89"/>
    </row>
    <row r="70">
      <c r="A70" s="14" t="s">
        <v>1357</v>
      </c>
      <c r="B70" s="35">
        <v>67.0</v>
      </c>
      <c r="C70" s="35" t="s">
        <v>1884</v>
      </c>
      <c r="D70" s="35" t="s">
        <v>1889</v>
      </c>
      <c r="E70" s="162" t="s">
        <v>53</v>
      </c>
      <c r="I70" s="158"/>
      <c r="L70" s="163" t="s">
        <v>1890</v>
      </c>
      <c r="M70" s="89" t="str">
        <f t="shared" si="1"/>
        <v>assemblymember.melendez@assembly.ca.gov</v>
      </c>
      <c r="N70" s="89"/>
      <c r="O70" s="89"/>
      <c r="P70" s="89"/>
      <c r="Q70" s="88"/>
      <c r="R70" s="89"/>
    </row>
    <row r="71">
      <c r="A71" s="14" t="s">
        <v>1357</v>
      </c>
      <c r="B71" s="35">
        <v>68.0</v>
      </c>
      <c r="C71" s="35" t="s">
        <v>1897</v>
      </c>
      <c r="D71" s="35" t="s">
        <v>1898</v>
      </c>
      <c r="E71" s="162" t="s">
        <v>53</v>
      </c>
      <c r="I71" s="158"/>
      <c r="L71" s="163" t="s">
        <v>1899</v>
      </c>
      <c r="M71" s="89" t="str">
        <f t="shared" si="1"/>
        <v>assemblymember.choi@assembly.ca.gov</v>
      </c>
      <c r="N71" s="89"/>
      <c r="O71" s="89"/>
      <c r="P71" s="89"/>
      <c r="Q71" s="88"/>
      <c r="R71" s="89"/>
    </row>
    <row r="72">
      <c r="A72" s="14" t="s">
        <v>1357</v>
      </c>
      <c r="B72" s="35">
        <v>69.0</v>
      </c>
      <c r="C72" s="35" t="s">
        <v>338</v>
      </c>
      <c r="D72" s="35" t="s">
        <v>1909</v>
      </c>
      <c r="E72" s="162" t="s">
        <v>49</v>
      </c>
      <c r="I72" s="158"/>
      <c r="L72" s="154" t="s">
        <v>1910</v>
      </c>
      <c r="M72" s="89" t="str">
        <f t="shared" si="1"/>
        <v>assemblymember.daly@assembly.ca.gov</v>
      </c>
      <c r="N72" s="89"/>
      <c r="O72" s="89"/>
      <c r="P72" s="89"/>
      <c r="Q72" s="88"/>
      <c r="R72" s="89"/>
    </row>
    <row r="73">
      <c r="A73" s="14" t="s">
        <v>1357</v>
      </c>
      <c r="B73" s="35">
        <v>70.0</v>
      </c>
      <c r="C73" s="35" t="s">
        <v>1914</v>
      </c>
      <c r="D73" s="35" t="s">
        <v>1919</v>
      </c>
      <c r="E73" s="162" t="s">
        <v>49</v>
      </c>
      <c r="I73" s="158"/>
      <c r="L73" s="163" t="s">
        <v>1920</v>
      </c>
      <c r="M73" s="89" t="str">
        <f t="shared" si="1"/>
        <v>assemblymember.o'donnell@assembly.ca.gov</v>
      </c>
      <c r="N73" s="89"/>
      <c r="O73" s="89"/>
      <c r="P73" s="89"/>
      <c r="Q73" s="88"/>
      <c r="R73" s="89"/>
    </row>
    <row r="74">
      <c r="A74" s="14" t="s">
        <v>1357</v>
      </c>
      <c r="B74" s="35">
        <v>71.0</v>
      </c>
      <c r="C74" s="35" t="s">
        <v>412</v>
      </c>
      <c r="D74" s="35" t="s">
        <v>1925</v>
      </c>
      <c r="E74" s="162" t="s">
        <v>53</v>
      </c>
      <c r="I74" s="158"/>
      <c r="L74" s="163" t="s">
        <v>1926</v>
      </c>
      <c r="M74" s="89" t="str">
        <f t="shared" si="1"/>
        <v>assemblymember.voepel@assembly.ca.gov</v>
      </c>
      <c r="N74" s="89"/>
      <c r="O74" s="89"/>
      <c r="P74" s="89"/>
      <c r="Q74" s="88"/>
      <c r="R74" s="89"/>
    </row>
    <row r="75">
      <c r="A75" s="14" t="s">
        <v>1357</v>
      </c>
      <c r="B75" s="35">
        <v>72.0</v>
      </c>
      <c r="C75" s="35" t="s">
        <v>807</v>
      </c>
      <c r="D75" s="35" t="s">
        <v>241</v>
      </c>
      <c r="E75" s="162" t="s">
        <v>53</v>
      </c>
      <c r="I75" s="158"/>
      <c r="L75" s="154" t="s">
        <v>1934</v>
      </c>
      <c r="M75" s="89" t="str">
        <f t="shared" si="1"/>
        <v>assemblymember.allen@assembly.ca.gov</v>
      </c>
      <c r="N75" s="89"/>
      <c r="O75" s="89"/>
      <c r="P75" s="89"/>
      <c r="Q75" s="88"/>
      <c r="R75" s="89"/>
    </row>
    <row r="76">
      <c r="A76" s="14" t="s">
        <v>1357</v>
      </c>
      <c r="B76" s="35">
        <v>73.0</v>
      </c>
      <c r="C76" s="35" t="s">
        <v>325</v>
      </c>
      <c r="D76" s="35" t="s">
        <v>1942</v>
      </c>
      <c r="E76" s="162" t="s">
        <v>53</v>
      </c>
      <c r="I76" s="158"/>
      <c r="L76" s="163" t="s">
        <v>1943</v>
      </c>
      <c r="M76" s="89" t="str">
        <f t="shared" si="1"/>
        <v>assemblymember.brough@assembly.ca.gov</v>
      </c>
      <c r="N76" s="89"/>
      <c r="O76" s="89"/>
      <c r="P76" s="89"/>
      <c r="Q76" s="88"/>
      <c r="R76" s="89"/>
    </row>
    <row r="77">
      <c r="A77" s="14" t="s">
        <v>1357</v>
      </c>
      <c r="B77" s="35">
        <v>74.0</v>
      </c>
      <c r="C77" s="35" t="s">
        <v>896</v>
      </c>
      <c r="D77" s="35" t="s">
        <v>1946</v>
      </c>
      <c r="E77" s="162" t="s">
        <v>53</v>
      </c>
      <c r="I77" s="158"/>
      <c r="L77" s="163" t="s">
        <v>1947</v>
      </c>
      <c r="M77" s="89" t="str">
        <f t="shared" si="1"/>
        <v>assemblymember.harper@assembly.ca.gov</v>
      </c>
      <c r="N77" s="89"/>
      <c r="O77" s="89"/>
      <c r="P77" s="89"/>
      <c r="Q77" s="88"/>
      <c r="R77" s="89"/>
    </row>
    <row r="78">
      <c r="A78" s="14" t="s">
        <v>1357</v>
      </c>
      <c r="B78" s="35">
        <v>75.0</v>
      </c>
      <c r="C78" s="35" t="s">
        <v>1953</v>
      </c>
      <c r="D78" s="35" t="s">
        <v>1955</v>
      </c>
      <c r="E78" s="162" t="s">
        <v>53</v>
      </c>
      <c r="F78" s="14" t="s">
        <v>1956</v>
      </c>
      <c r="I78" s="158"/>
      <c r="L78" s="154" t="s">
        <v>1957</v>
      </c>
      <c r="M78" s="89" t="str">
        <f t="shared" si="1"/>
        <v>assemblymember.waldron@assembly.ca.gov</v>
      </c>
      <c r="N78" s="89"/>
      <c r="O78" s="89"/>
      <c r="P78" s="89"/>
      <c r="Q78" s="88"/>
      <c r="R78" s="89"/>
    </row>
    <row r="79">
      <c r="A79" s="14" t="s">
        <v>1357</v>
      </c>
      <c r="B79" s="35">
        <v>76.0</v>
      </c>
      <c r="C79" s="38" t="s">
        <v>1959</v>
      </c>
      <c r="D79" s="38" t="s">
        <v>1960</v>
      </c>
      <c r="E79" s="162" t="s">
        <v>53</v>
      </c>
      <c r="F79" s="14" t="s">
        <v>1407</v>
      </c>
      <c r="I79" s="158"/>
      <c r="L79" s="163" t="s">
        <v>1961</v>
      </c>
      <c r="M79" s="89" t="str">
        <f t="shared" si="1"/>
        <v>assemblymember.horvath@assembly.ca.gov</v>
      </c>
      <c r="N79" s="89"/>
      <c r="O79" s="89"/>
      <c r="P79" s="89"/>
      <c r="Q79" s="88"/>
      <c r="R79" s="89"/>
    </row>
    <row r="80">
      <c r="A80" s="14" t="s">
        <v>1357</v>
      </c>
      <c r="B80" s="35">
        <v>77.0</v>
      </c>
      <c r="C80" s="35" t="s">
        <v>1331</v>
      </c>
      <c r="D80" s="35" t="s">
        <v>1968</v>
      </c>
      <c r="E80" s="162" t="s">
        <v>53</v>
      </c>
      <c r="G80" s="14" t="s">
        <v>1411</v>
      </c>
      <c r="I80" s="158"/>
      <c r="L80" s="163" t="s">
        <v>1969</v>
      </c>
      <c r="M80" s="89" t="str">
        <f t="shared" si="1"/>
        <v>assemblymember.maienschein@assembly.ca.gov</v>
      </c>
      <c r="N80" s="89"/>
      <c r="O80" s="89"/>
      <c r="P80" s="89"/>
      <c r="Q80" s="88"/>
      <c r="R80" s="89"/>
    </row>
    <row r="81">
      <c r="A81" s="14" t="s">
        <v>1357</v>
      </c>
      <c r="B81" s="35">
        <v>78.0</v>
      </c>
      <c r="C81" s="35" t="s">
        <v>1974</v>
      </c>
      <c r="D81" s="35" t="s">
        <v>1980</v>
      </c>
      <c r="E81" s="162" t="s">
        <v>49</v>
      </c>
      <c r="F81" s="14" t="s">
        <v>1188</v>
      </c>
      <c r="I81" s="158"/>
      <c r="L81" s="154" t="s">
        <v>1981</v>
      </c>
      <c r="M81" s="89" t="str">
        <f t="shared" si="1"/>
        <v>assemblymember.gloria@assembly.ca.gov</v>
      </c>
      <c r="N81" s="89"/>
      <c r="O81" s="89"/>
      <c r="P81" s="89"/>
      <c r="Q81" s="88"/>
      <c r="R81" s="89"/>
    </row>
    <row r="82">
      <c r="A82" s="14" t="s">
        <v>1357</v>
      </c>
      <c r="B82" s="35">
        <v>79.0</v>
      </c>
      <c r="C82" s="35" t="s">
        <v>1985</v>
      </c>
      <c r="D82" s="35" t="s">
        <v>1988</v>
      </c>
      <c r="E82" s="162" t="s">
        <v>49</v>
      </c>
      <c r="I82" s="158"/>
      <c r="L82" s="163" t="s">
        <v>1989</v>
      </c>
      <c r="M82" s="89" t="str">
        <f t="shared" si="1"/>
        <v>assemblymember.weber@assembly.ca.gov</v>
      </c>
      <c r="N82" s="89"/>
      <c r="O82" s="89"/>
      <c r="P82" s="89"/>
      <c r="Q82" s="88"/>
      <c r="R82" s="89"/>
    </row>
    <row r="83">
      <c r="A83" s="14" t="s">
        <v>1357</v>
      </c>
      <c r="B83" s="35">
        <v>80.0</v>
      </c>
      <c r="C83" s="35" t="s">
        <v>1992</v>
      </c>
      <c r="D83" s="35" t="s">
        <v>1995</v>
      </c>
      <c r="E83" s="162" t="s">
        <v>49</v>
      </c>
      <c r="L83" s="163" t="s">
        <v>1997</v>
      </c>
      <c r="M83" s="89" t="str">
        <f t="shared" si="1"/>
        <v>assemblymember.fletcher@assembly.ca.gov</v>
      </c>
      <c r="N83" s="89"/>
      <c r="O83" s="89"/>
      <c r="P83" s="89"/>
      <c r="Q83" s="88"/>
      <c r="R83" s="89"/>
    </row>
    <row r="84">
      <c r="A84" s="70"/>
      <c r="B84" s="71"/>
      <c r="C84" s="71"/>
      <c r="D84" s="71"/>
      <c r="E84" s="186"/>
      <c r="F84" s="70"/>
      <c r="G84" s="70"/>
      <c r="H84" s="70"/>
      <c r="I84" s="70"/>
      <c r="J84" s="70"/>
      <c r="K84" s="70"/>
      <c r="L84" s="70"/>
      <c r="M84" s="70"/>
      <c r="N84" s="70"/>
      <c r="O84" s="70"/>
      <c r="P84" s="70"/>
      <c r="Q84" s="70"/>
      <c r="R84" s="70"/>
      <c r="S84" s="70"/>
      <c r="T84" s="70"/>
      <c r="U84" s="70"/>
      <c r="V84" s="70"/>
      <c r="W84" s="70"/>
      <c r="X84" s="70"/>
      <c r="Y84" s="70"/>
      <c r="Z84" s="70"/>
      <c r="AA84" s="70"/>
      <c r="AB84" s="70"/>
      <c r="AC84" s="70"/>
      <c r="AD84" s="70"/>
    </row>
    <row r="85">
      <c r="A85" s="14" t="s">
        <v>286</v>
      </c>
      <c r="B85" s="38">
        <v>1.0</v>
      </c>
      <c r="C85" s="35" t="s">
        <v>1998</v>
      </c>
      <c r="D85" s="35" t="s">
        <v>2003</v>
      </c>
      <c r="E85" s="153" t="s">
        <v>53</v>
      </c>
      <c r="F85" s="14" t="s">
        <v>2004</v>
      </c>
      <c r="H85" s="76"/>
      <c r="L85" s="187" t="s">
        <v>2005</v>
      </c>
      <c r="M85" s="89" t="str">
        <f t="shared" ref="M85:M124" si="2">Concatenate("senator.",Lower(D85),"@senate.ca.gov")</f>
        <v>senator.gaines@senate.ca.gov</v>
      </c>
      <c r="N85" s="89"/>
      <c r="O85" s="89"/>
      <c r="P85" s="89"/>
      <c r="Q85" s="88">
        <v>2020.0</v>
      </c>
      <c r="R85" s="89"/>
    </row>
    <row r="86">
      <c r="A86" s="14" t="s">
        <v>286</v>
      </c>
      <c r="B86" s="35">
        <v>2.0</v>
      </c>
      <c r="C86" s="35" t="s">
        <v>157</v>
      </c>
      <c r="D86" s="35" t="s">
        <v>2011</v>
      </c>
      <c r="E86" s="153" t="s">
        <v>49</v>
      </c>
      <c r="F86" s="14" t="s">
        <v>2012</v>
      </c>
      <c r="I86" s="158"/>
      <c r="L86" s="163" t="s">
        <v>2013</v>
      </c>
      <c r="M86" s="89" t="str">
        <f t="shared" si="2"/>
        <v>senator.mcguire@senate.ca.gov</v>
      </c>
      <c r="N86" s="89"/>
      <c r="O86" s="89"/>
      <c r="P86" s="89"/>
      <c r="Q86" s="88">
        <v>2026.0</v>
      </c>
      <c r="R86" s="89"/>
    </row>
    <row r="87">
      <c r="A87" s="14" t="s">
        <v>286</v>
      </c>
      <c r="B87" s="35">
        <v>3.0</v>
      </c>
      <c r="C87" s="35" t="s">
        <v>325</v>
      </c>
      <c r="D87" s="35" t="s">
        <v>2022</v>
      </c>
      <c r="E87" s="162" t="s">
        <v>49</v>
      </c>
      <c r="I87" s="158"/>
      <c r="L87" s="187" t="s">
        <v>2023</v>
      </c>
      <c r="M87" s="89" t="str">
        <f t="shared" si="2"/>
        <v>senator.dodd@senate.ca.gov</v>
      </c>
      <c r="N87" s="89"/>
      <c r="O87" s="89"/>
      <c r="P87" s="89"/>
      <c r="Q87" s="88">
        <v>2024.0</v>
      </c>
      <c r="R87" s="89"/>
    </row>
    <row r="88">
      <c r="A88" s="14" t="s">
        <v>286</v>
      </c>
      <c r="B88" s="35">
        <v>4.0</v>
      </c>
      <c r="C88" s="35" t="s">
        <v>476</v>
      </c>
      <c r="D88" s="35" t="s">
        <v>2027</v>
      </c>
      <c r="E88" s="162" t="s">
        <v>53</v>
      </c>
      <c r="F88" s="164" t="s">
        <v>2029</v>
      </c>
      <c r="K88" s="188" t="s">
        <v>2030</v>
      </c>
      <c r="L88" s="163" t="s">
        <v>2033</v>
      </c>
      <c r="M88" s="89" t="str">
        <f t="shared" si="2"/>
        <v>senator.nielsen@senate.ca.gov</v>
      </c>
      <c r="N88" s="89"/>
      <c r="O88" s="89"/>
      <c r="P88" s="89"/>
      <c r="Q88" s="88">
        <v>2022.0</v>
      </c>
      <c r="R88" s="89"/>
    </row>
    <row r="89">
      <c r="A89" s="14" t="s">
        <v>286</v>
      </c>
      <c r="B89" s="35">
        <v>5.0</v>
      </c>
      <c r="C89" s="35" t="s">
        <v>2037</v>
      </c>
      <c r="D89" s="35" t="s">
        <v>2041</v>
      </c>
      <c r="E89" s="162" t="s">
        <v>49</v>
      </c>
      <c r="I89" s="158"/>
      <c r="L89" s="187" t="s">
        <v>2042</v>
      </c>
      <c r="M89" s="89" t="str">
        <f t="shared" si="2"/>
        <v>senator.galgiani@senate.ca.gov</v>
      </c>
      <c r="N89" s="89"/>
      <c r="O89" s="89"/>
      <c r="P89" s="89"/>
      <c r="Q89" s="88">
        <v>2020.0</v>
      </c>
      <c r="R89" s="89"/>
    </row>
    <row r="90">
      <c r="A90" s="14" t="s">
        <v>286</v>
      </c>
      <c r="B90" s="35">
        <v>6.0</v>
      </c>
      <c r="C90" s="35" t="s">
        <v>1112</v>
      </c>
      <c r="D90" s="35" t="s">
        <v>2051</v>
      </c>
      <c r="E90" s="162" t="s">
        <v>49</v>
      </c>
      <c r="I90" s="158"/>
      <c r="L90" s="163" t="s">
        <v>2053</v>
      </c>
      <c r="M90" s="89" t="str">
        <f t="shared" si="2"/>
        <v>senator.pan@senate.ca.gov</v>
      </c>
      <c r="N90" s="89"/>
      <c r="O90" s="89"/>
      <c r="P90" s="89"/>
      <c r="Q90" s="88">
        <v>2022.0</v>
      </c>
      <c r="R90" s="89"/>
    </row>
    <row r="91">
      <c r="A91" s="14" t="s">
        <v>286</v>
      </c>
      <c r="B91" s="35">
        <v>7.0</v>
      </c>
      <c r="C91" s="35" t="s">
        <v>55</v>
      </c>
      <c r="D91" s="35" t="s">
        <v>2061</v>
      </c>
      <c r="E91" s="162" t="s">
        <v>49</v>
      </c>
      <c r="I91" s="158"/>
      <c r="L91" s="187" t="s">
        <v>2062</v>
      </c>
      <c r="M91" s="89" t="str">
        <f t="shared" si="2"/>
        <v>senator.glazer@senate.ca.gov</v>
      </c>
      <c r="N91" s="89"/>
      <c r="O91" s="89"/>
      <c r="P91" s="89"/>
      <c r="Q91" s="88">
        <v>2028.0</v>
      </c>
      <c r="R91" s="89"/>
    </row>
    <row r="92">
      <c r="A92" s="14" t="s">
        <v>286</v>
      </c>
      <c r="B92" s="35">
        <v>8.0</v>
      </c>
      <c r="C92" s="38" t="s">
        <v>2067</v>
      </c>
      <c r="D92" s="38" t="s">
        <v>2068</v>
      </c>
      <c r="E92" s="162" t="s">
        <v>53</v>
      </c>
      <c r="I92" s="158"/>
      <c r="L92" s="163" t="s">
        <v>2069</v>
      </c>
      <c r="M92" s="89" t="str">
        <f t="shared" si="2"/>
        <v>senator.borgeas@senate.ca.gov</v>
      </c>
      <c r="N92" s="89"/>
      <c r="O92" s="89"/>
      <c r="P92" s="89"/>
      <c r="Q92" s="88">
        <v>2018.0</v>
      </c>
      <c r="R92" s="89"/>
    </row>
    <row r="93">
      <c r="A93" s="14" t="s">
        <v>286</v>
      </c>
      <c r="B93" s="35">
        <v>9.0</v>
      </c>
      <c r="C93" s="35" t="s">
        <v>123</v>
      </c>
      <c r="D93" s="35" t="s">
        <v>2078</v>
      </c>
      <c r="E93" s="162" t="s">
        <v>49</v>
      </c>
      <c r="F93" s="14" t="s">
        <v>1188</v>
      </c>
      <c r="G93" s="14" t="s">
        <v>974</v>
      </c>
      <c r="I93" s="158"/>
      <c r="L93" s="187" t="s">
        <v>2079</v>
      </c>
      <c r="M93" s="89" t="str">
        <f t="shared" si="2"/>
        <v>senator.skinner@senate.ca.gov</v>
      </c>
      <c r="N93" s="89"/>
      <c r="O93" s="89"/>
      <c r="P93" s="89"/>
      <c r="Q93" s="88">
        <v>2024.0</v>
      </c>
      <c r="R93" s="89"/>
    </row>
    <row r="94">
      <c r="A94" s="14" t="s">
        <v>286</v>
      </c>
      <c r="B94" s="35">
        <v>10.0</v>
      </c>
      <c r="C94" s="35" t="s">
        <v>419</v>
      </c>
      <c r="D94" s="35" t="s">
        <v>2088</v>
      </c>
      <c r="E94" s="162" t="s">
        <v>49</v>
      </c>
      <c r="G94" s="14" t="s">
        <v>1411</v>
      </c>
      <c r="I94" s="158"/>
      <c r="L94" s="163" t="s">
        <v>2089</v>
      </c>
      <c r="M94" s="89" t="str">
        <f t="shared" si="2"/>
        <v>senator.wieckowski@senate.ca.gov</v>
      </c>
      <c r="N94" s="89"/>
      <c r="O94" s="89"/>
      <c r="P94" s="89"/>
      <c r="Q94" s="88">
        <v>2022.0</v>
      </c>
      <c r="R94" s="89"/>
    </row>
    <row r="95">
      <c r="A95" s="14" t="s">
        <v>286</v>
      </c>
      <c r="B95" s="35">
        <v>11.0</v>
      </c>
      <c r="C95" s="35" t="s">
        <v>45</v>
      </c>
      <c r="D95" s="35" t="s">
        <v>2096</v>
      </c>
      <c r="E95" s="162" t="s">
        <v>49</v>
      </c>
      <c r="G95" s="14" t="s">
        <v>1411</v>
      </c>
      <c r="I95" s="158"/>
      <c r="L95" s="187" t="s">
        <v>2097</v>
      </c>
      <c r="M95" s="89" t="str">
        <f t="shared" si="2"/>
        <v>senator.wiener@senate.ca.gov</v>
      </c>
      <c r="N95" s="89"/>
      <c r="O95" s="89"/>
      <c r="P95" s="89"/>
      <c r="Q95" s="88">
        <v>2028.0</v>
      </c>
      <c r="R95" s="89"/>
    </row>
    <row r="96">
      <c r="A96" s="14" t="s">
        <v>286</v>
      </c>
      <c r="B96" s="35">
        <v>12.0</v>
      </c>
      <c r="C96" s="38" t="s">
        <v>2099</v>
      </c>
      <c r="D96" s="38" t="s">
        <v>2100</v>
      </c>
      <c r="E96" s="162" t="s">
        <v>53</v>
      </c>
      <c r="I96" s="158"/>
      <c r="L96" s="163" t="s">
        <v>2101</v>
      </c>
      <c r="M96" s="89" t="str">
        <f t="shared" si="2"/>
        <v>senator.caballero@senate.ca.gov</v>
      </c>
      <c r="N96" s="89"/>
      <c r="O96" s="89"/>
      <c r="P96" s="89"/>
      <c r="Q96" s="88">
        <v>2018.0</v>
      </c>
      <c r="R96" s="89"/>
    </row>
    <row r="97">
      <c r="A97" s="14" t="s">
        <v>286</v>
      </c>
      <c r="B97" s="35">
        <v>13.0</v>
      </c>
      <c r="C97" s="35" t="s">
        <v>2105</v>
      </c>
      <c r="D97" s="35" t="s">
        <v>485</v>
      </c>
      <c r="E97" s="162" t="s">
        <v>49</v>
      </c>
      <c r="I97" s="158"/>
      <c r="L97" s="187" t="s">
        <v>2106</v>
      </c>
      <c r="M97" s="89" t="str">
        <f t="shared" si="2"/>
        <v>senator.hill@senate.ca.gov</v>
      </c>
      <c r="N97" s="89"/>
      <c r="O97" s="89"/>
      <c r="P97" s="89"/>
      <c r="Q97" s="88">
        <v>2020.0</v>
      </c>
      <c r="R97" s="89"/>
    </row>
    <row r="98">
      <c r="A98" s="14" t="s">
        <v>286</v>
      </c>
      <c r="B98" s="35">
        <v>14.0</v>
      </c>
      <c r="C98" s="35" t="s">
        <v>109</v>
      </c>
      <c r="D98" s="35" t="s">
        <v>2108</v>
      </c>
      <c r="E98" s="162" t="s">
        <v>53</v>
      </c>
      <c r="I98" s="158"/>
      <c r="L98" s="163" t="s">
        <v>2109</v>
      </c>
      <c r="M98" s="89" t="str">
        <f t="shared" si="2"/>
        <v>senator.vidak@senate.ca.gov</v>
      </c>
      <c r="N98" s="89"/>
      <c r="O98" s="89"/>
      <c r="P98" s="89"/>
      <c r="Q98" s="88">
        <v>2026.0</v>
      </c>
      <c r="R98" s="89"/>
    </row>
    <row r="99">
      <c r="A99" s="14" t="s">
        <v>286</v>
      </c>
      <c r="B99" s="35">
        <v>15.0</v>
      </c>
      <c r="C99" s="35" t="s">
        <v>476</v>
      </c>
      <c r="D99" s="35" t="s">
        <v>2114</v>
      </c>
      <c r="E99" s="162" t="s">
        <v>49</v>
      </c>
      <c r="I99" s="158"/>
      <c r="L99" s="187" t="s">
        <v>2115</v>
      </c>
      <c r="M99" s="89" t="str">
        <f t="shared" si="2"/>
        <v>senator.beall@senate.ca.gov</v>
      </c>
      <c r="N99" s="89"/>
      <c r="O99" s="89"/>
      <c r="P99" s="89"/>
      <c r="Q99" s="88">
        <v>2020.0</v>
      </c>
      <c r="R99" s="89"/>
    </row>
    <row r="100">
      <c r="A100" s="14" t="s">
        <v>286</v>
      </c>
      <c r="B100" s="35">
        <v>16.0</v>
      </c>
      <c r="C100" s="38" t="s">
        <v>1891</v>
      </c>
      <c r="D100" s="38" t="s">
        <v>2118</v>
      </c>
      <c r="E100" s="162" t="s">
        <v>53</v>
      </c>
      <c r="I100" s="158"/>
      <c r="L100" s="163" t="s">
        <v>2119</v>
      </c>
      <c r="M100" s="89" t="str">
        <f t="shared" si="2"/>
        <v>senator.grove@senate.ca.gov</v>
      </c>
      <c r="N100" s="89"/>
      <c r="O100" s="89"/>
      <c r="P100" s="89"/>
      <c r="Q100" s="88">
        <v>2018.0</v>
      </c>
      <c r="R100" s="89"/>
    </row>
    <row r="101">
      <c r="A101" s="14" t="s">
        <v>286</v>
      </c>
      <c r="B101" s="38">
        <v>17.0</v>
      </c>
      <c r="C101" s="35" t="s">
        <v>325</v>
      </c>
      <c r="D101" s="35" t="s">
        <v>2124</v>
      </c>
      <c r="E101" s="162" t="s">
        <v>49</v>
      </c>
      <c r="F101" s="14" t="s">
        <v>176</v>
      </c>
      <c r="G101" s="14" t="s">
        <v>1411</v>
      </c>
      <c r="I101" s="158"/>
      <c r="L101" s="187" t="s">
        <v>2125</v>
      </c>
      <c r="M101" s="89" t="str">
        <f t="shared" si="2"/>
        <v>senator.monning@senate.ca.gov</v>
      </c>
      <c r="N101" s="89"/>
      <c r="O101" s="89"/>
      <c r="P101" s="89"/>
      <c r="Q101" s="88">
        <v>2020.0</v>
      </c>
      <c r="R101" s="89"/>
    </row>
    <row r="102">
      <c r="A102" s="14" t="s">
        <v>286</v>
      </c>
      <c r="B102" s="35">
        <v>18.0</v>
      </c>
      <c r="C102" s="35" t="s">
        <v>1134</v>
      </c>
      <c r="D102" s="35" t="s">
        <v>2128</v>
      </c>
      <c r="E102" s="162" t="s">
        <v>49</v>
      </c>
      <c r="G102" s="14" t="s">
        <v>1411</v>
      </c>
      <c r="I102" s="158"/>
      <c r="L102" s="163" t="s">
        <v>2129</v>
      </c>
      <c r="M102" s="89" t="str">
        <f t="shared" si="2"/>
        <v>senator.hertzberg@senate.ca.gov</v>
      </c>
      <c r="N102" s="89"/>
      <c r="O102" s="89"/>
      <c r="P102" s="89"/>
      <c r="Q102" s="88">
        <v>2022.0</v>
      </c>
      <c r="R102" s="89"/>
    </row>
    <row r="103">
      <c r="A103" s="14" t="s">
        <v>286</v>
      </c>
      <c r="B103" s="35">
        <v>19.0</v>
      </c>
      <c r="C103" s="35" t="s">
        <v>2132</v>
      </c>
      <c r="D103" s="35" t="s">
        <v>567</v>
      </c>
      <c r="E103" s="162" t="s">
        <v>49</v>
      </c>
      <c r="G103" s="14" t="s">
        <v>877</v>
      </c>
      <c r="H103" s="14" t="s">
        <v>1412</v>
      </c>
      <c r="I103" s="158"/>
      <c r="L103" s="187" t="s">
        <v>2137</v>
      </c>
      <c r="M103" s="89" t="str">
        <f t="shared" si="2"/>
        <v>senator.jackson@senate.ca.gov</v>
      </c>
      <c r="N103" s="89"/>
      <c r="O103" s="89"/>
      <c r="P103" s="89"/>
      <c r="Q103" s="88">
        <v>2020.0</v>
      </c>
      <c r="R103" s="89"/>
    </row>
    <row r="104">
      <c r="A104" s="14" t="s">
        <v>286</v>
      </c>
      <c r="B104" s="35">
        <v>20.0</v>
      </c>
      <c r="C104" s="38" t="s">
        <v>27</v>
      </c>
      <c r="D104" s="38" t="s">
        <v>2138</v>
      </c>
      <c r="E104" s="162" t="s">
        <v>49</v>
      </c>
      <c r="F104" s="14" t="s">
        <v>2140</v>
      </c>
      <c r="I104" s="158"/>
      <c r="L104" s="163" t="s">
        <v>2141</v>
      </c>
      <c r="M104" s="89" t="str">
        <f t="shared" si="2"/>
        <v>senator.leyva@senate.ca.gov</v>
      </c>
      <c r="N104" s="89"/>
      <c r="O104" s="89"/>
      <c r="P104" s="89"/>
      <c r="Q104" s="88">
        <v>2026.0</v>
      </c>
      <c r="R104" s="89"/>
    </row>
    <row r="105">
      <c r="A105" s="14" t="s">
        <v>286</v>
      </c>
      <c r="B105" s="35">
        <v>21.0</v>
      </c>
      <c r="C105" s="35" t="s">
        <v>45</v>
      </c>
      <c r="D105" s="35" t="s">
        <v>2151</v>
      </c>
      <c r="E105" s="162" t="s">
        <v>53</v>
      </c>
      <c r="I105" s="158"/>
      <c r="L105" s="187" t="s">
        <v>2152</v>
      </c>
      <c r="M105" s="89" t="str">
        <f t="shared" si="2"/>
        <v>senator.wilk@senate.ca.gov</v>
      </c>
      <c r="N105" s="89"/>
      <c r="O105" s="89"/>
      <c r="P105" s="89"/>
      <c r="Q105" s="88">
        <v>2024.0</v>
      </c>
      <c r="R105" s="89"/>
    </row>
    <row r="106">
      <c r="A106" s="14" t="s">
        <v>286</v>
      </c>
      <c r="B106" s="35">
        <v>22.0</v>
      </c>
      <c r="C106" s="38" t="s">
        <v>1446</v>
      </c>
      <c r="D106" s="38" t="s">
        <v>1704</v>
      </c>
      <c r="E106" s="162" t="s">
        <v>49</v>
      </c>
      <c r="I106" s="158"/>
      <c r="L106" s="163" t="s">
        <v>2159</v>
      </c>
      <c r="M106" s="89" t="str">
        <f t="shared" si="2"/>
        <v>senator.rubio@senate.ca.gov</v>
      </c>
      <c r="N106" s="89"/>
      <c r="O106" s="89"/>
      <c r="P106" s="89"/>
      <c r="Q106" s="88">
        <v>2018.0</v>
      </c>
      <c r="R106" s="89"/>
    </row>
    <row r="107">
      <c r="A107" s="14" t="s">
        <v>286</v>
      </c>
      <c r="B107" s="35">
        <v>23.0</v>
      </c>
      <c r="C107" s="35" t="s">
        <v>157</v>
      </c>
      <c r="D107" s="35" t="s">
        <v>2164</v>
      </c>
      <c r="E107" s="162" t="s">
        <v>53</v>
      </c>
      <c r="I107" s="158"/>
      <c r="L107" s="187" t="s">
        <v>2165</v>
      </c>
      <c r="M107" s="89" t="str">
        <f t="shared" si="2"/>
        <v>senator.morrell@senate.ca.gov</v>
      </c>
      <c r="N107" s="89"/>
      <c r="O107" s="89"/>
      <c r="P107" s="89"/>
      <c r="Q107" s="88">
        <v>2020.0</v>
      </c>
      <c r="R107" s="89"/>
    </row>
    <row r="108">
      <c r="A108" s="14" t="s">
        <v>286</v>
      </c>
      <c r="B108" s="35">
        <v>24.0</v>
      </c>
      <c r="C108" s="38" t="s">
        <v>2174</v>
      </c>
      <c r="D108" s="38" t="s">
        <v>2175</v>
      </c>
      <c r="E108" s="162" t="s">
        <v>49</v>
      </c>
      <c r="K108" s="31" t="s">
        <v>2176</v>
      </c>
      <c r="L108" s="163" t="s">
        <v>2177</v>
      </c>
      <c r="M108" s="89" t="str">
        <f t="shared" si="2"/>
        <v>senator.durazo@senate.ca.gov</v>
      </c>
      <c r="N108" s="89"/>
      <c r="O108" s="89"/>
      <c r="P108" s="89"/>
      <c r="Q108" s="88">
        <v>2018.0</v>
      </c>
      <c r="R108" s="89"/>
    </row>
    <row r="109">
      <c r="A109" s="14" t="s">
        <v>286</v>
      </c>
      <c r="B109" s="35">
        <v>25.0</v>
      </c>
      <c r="C109" s="38" t="s">
        <v>496</v>
      </c>
      <c r="D109" s="38" t="s">
        <v>2179</v>
      </c>
      <c r="E109" s="162" t="s">
        <v>49</v>
      </c>
      <c r="I109" s="158"/>
      <c r="L109" s="187" t="s">
        <v>2180</v>
      </c>
      <c r="M109" s="89" t="str">
        <f t="shared" si="2"/>
        <v>senator.portantino@senate.ca.gov</v>
      </c>
      <c r="N109" s="89"/>
      <c r="O109" s="89"/>
      <c r="P109" s="89"/>
      <c r="Q109" s="88">
        <v>2024.0</v>
      </c>
      <c r="R109" s="89"/>
    </row>
    <row r="110">
      <c r="A110" s="14" t="s">
        <v>286</v>
      </c>
      <c r="B110" s="35">
        <v>26.0</v>
      </c>
      <c r="C110" s="35" t="s">
        <v>195</v>
      </c>
      <c r="D110" s="35" t="s">
        <v>241</v>
      </c>
      <c r="E110" s="162" t="s">
        <v>49</v>
      </c>
      <c r="I110" s="158"/>
      <c r="L110" s="163" t="s">
        <v>2188</v>
      </c>
      <c r="M110" s="89" t="str">
        <f t="shared" si="2"/>
        <v>senator.allen@senate.ca.gov</v>
      </c>
      <c r="N110" s="89"/>
      <c r="O110" s="89"/>
      <c r="P110" s="89"/>
      <c r="Q110" s="88">
        <v>2026.0</v>
      </c>
      <c r="R110" s="89"/>
    </row>
    <row r="111">
      <c r="A111" s="14" t="s">
        <v>286</v>
      </c>
      <c r="B111" s="35">
        <v>27.0</v>
      </c>
      <c r="C111" s="35" t="s">
        <v>2189</v>
      </c>
      <c r="D111" s="35" t="s">
        <v>2190</v>
      </c>
      <c r="E111" s="162" t="s">
        <v>49</v>
      </c>
      <c r="G111" s="14" t="s">
        <v>1411</v>
      </c>
      <c r="I111" s="158"/>
      <c r="L111" s="187" t="s">
        <v>2191</v>
      </c>
      <c r="M111" s="89" t="str">
        <f t="shared" si="2"/>
        <v>senator.stern@senate.ca.gov</v>
      </c>
      <c r="N111" s="89"/>
      <c r="O111" s="89"/>
      <c r="P111" s="89"/>
      <c r="Q111" s="88">
        <v>2028.0</v>
      </c>
      <c r="R111" s="89"/>
    </row>
    <row r="112">
      <c r="A112" s="14" t="s">
        <v>286</v>
      </c>
      <c r="B112" s="35">
        <v>28.0</v>
      </c>
      <c r="C112" s="35" t="s">
        <v>683</v>
      </c>
      <c r="D112" s="35" t="s">
        <v>1547</v>
      </c>
      <c r="E112" s="162" t="s">
        <v>53</v>
      </c>
      <c r="I112" s="158"/>
      <c r="L112" s="163" t="s">
        <v>2193</v>
      </c>
      <c r="M112" s="89" t="str">
        <f t="shared" si="2"/>
        <v>senator.stone@senate.ca.gov</v>
      </c>
      <c r="N112" s="89"/>
      <c r="O112" s="89"/>
      <c r="P112" s="89"/>
      <c r="Q112" s="88">
        <v>2026.0</v>
      </c>
      <c r="R112" s="89"/>
    </row>
    <row r="113">
      <c r="A113" s="14" t="s">
        <v>286</v>
      </c>
      <c r="B113" s="35">
        <v>29.0</v>
      </c>
      <c r="C113" s="35" t="s">
        <v>2198</v>
      </c>
      <c r="D113" s="35" t="s">
        <v>2199</v>
      </c>
      <c r="E113" s="162" t="s">
        <v>53</v>
      </c>
      <c r="I113" s="158"/>
      <c r="L113" s="187" t="s">
        <v>2200</v>
      </c>
      <c r="M113" s="89" t="str">
        <f t="shared" si="2"/>
        <v>senator.chang@senate.ca.gov</v>
      </c>
      <c r="N113" s="89"/>
      <c r="O113" s="89"/>
      <c r="P113" s="89"/>
      <c r="Q113" s="88">
        <v>2024.0</v>
      </c>
      <c r="R113" s="89"/>
    </row>
    <row r="114">
      <c r="A114" s="14" t="s">
        <v>286</v>
      </c>
      <c r="B114" s="35">
        <v>30.0</v>
      </c>
      <c r="C114" s="35" t="s">
        <v>2202</v>
      </c>
      <c r="D114" s="35" t="s">
        <v>2206</v>
      </c>
      <c r="E114" s="162" t="s">
        <v>49</v>
      </c>
      <c r="G114" s="14" t="s">
        <v>1411</v>
      </c>
      <c r="I114" s="158"/>
      <c r="L114" s="163" t="s">
        <v>2207</v>
      </c>
      <c r="M114" s="89" t="str">
        <f t="shared" si="2"/>
        <v>senator.mitchell@senate.ca.gov</v>
      </c>
      <c r="N114" s="89"/>
      <c r="O114" s="89"/>
      <c r="P114" s="89"/>
      <c r="Q114" s="88">
        <v>2022.0</v>
      </c>
      <c r="R114" s="89"/>
    </row>
    <row r="115">
      <c r="A115" s="14" t="s">
        <v>286</v>
      </c>
      <c r="B115" s="35">
        <v>31.0</v>
      </c>
      <c r="C115" s="35" t="s">
        <v>1112</v>
      </c>
      <c r="D115" s="35" t="s">
        <v>2209</v>
      </c>
      <c r="E115" s="162" t="s">
        <v>49</v>
      </c>
      <c r="I115" s="158"/>
      <c r="L115" s="187" t="s">
        <v>2210</v>
      </c>
      <c r="M115" s="89" t="str">
        <f t="shared" si="2"/>
        <v>senator.roth@senate.ca.gov</v>
      </c>
      <c r="N115" s="89"/>
      <c r="O115" s="89"/>
      <c r="P115" s="89"/>
      <c r="Q115" s="88">
        <v>2024.0</v>
      </c>
      <c r="R115" s="89"/>
    </row>
    <row r="116">
      <c r="A116" s="14" t="s">
        <v>286</v>
      </c>
      <c r="B116" s="35">
        <v>32.0</v>
      </c>
      <c r="C116" s="38" t="s">
        <v>419</v>
      </c>
      <c r="D116" s="38" t="s">
        <v>2215</v>
      </c>
      <c r="E116" s="162" t="s">
        <v>49</v>
      </c>
      <c r="K116" s="164" t="s">
        <v>2216</v>
      </c>
      <c r="L116" s="163" t="s">
        <v>2218</v>
      </c>
      <c r="M116" s="89" t="str">
        <f t="shared" si="2"/>
        <v>senator.archuleta@senate.ca.gov</v>
      </c>
      <c r="N116" s="89"/>
      <c r="O116" s="89"/>
      <c r="P116" s="89"/>
      <c r="Q116" s="88">
        <v>2018.0</v>
      </c>
      <c r="R116" s="89"/>
    </row>
    <row r="117">
      <c r="A117" s="14" t="s">
        <v>286</v>
      </c>
      <c r="B117" s="35">
        <v>33.0</v>
      </c>
      <c r="C117" s="35" t="s">
        <v>2222</v>
      </c>
      <c r="D117" s="35" t="s">
        <v>2223</v>
      </c>
      <c r="E117" s="162" t="s">
        <v>49</v>
      </c>
      <c r="I117" s="158"/>
      <c r="L117" s="187" t="s">
        <v>2224</v>
      </c>
      <c r="M117" s="89" t="str">
        <f t="shared" si="2"/>
        <v>senator.lara@senate.ca.gov</v>
      </c>
      <c r="N117" s="89"/>
      <c r="O117" s="89"/>
      <c r="P117" s="89"/>
      <c r="Q117" s="88">
        <v>2020.0</v>
      </c>
      <c r="R117" s="89"/>
    </row>
    <row r="118">
      <c r="A118" s="14" t="s">
        <v>286</v>
      </c>
      <c r="B118" s="35">
        <v>34.0</v>
      </c>
      <c r="C118" s="35" t="s">
        <v>1930</v>
      </c>
      <c r="D118" s="35" t="s">
        <v>2236</v>
      </c>
      <c r="E118" s="162" t="s">
        <v>53</v>
      </c>
      <c r="I118" s="158"/>
      <c r="L118" s="163" t="s">
        <v>2237</v>
      </c>
      <c r="M118" s="89" t="str">
        <f t="shared" si="2"/>
        <v>senator.nguyen@senate.ca.gov</v>
      </c>
      <c r="N118" s="89"/>
      <c r="O118" s="89"/>
      <c r="P118" s="89"/>
      <c r="Q118" s="88">
        <v>2026.0</v>
      </c>
      <c r="R118" s="89"/>
    </row>
    <row r="119">
      <c r="A119" s="14" t="s">
        <v>286</v>
      </c>
      <c r="B119" s="35">
        <v>35.0</v>
      </c>
      <c r="C119" s="35" t="s">
        <v>1897</v>
      </c>
      <c r="D119" s="35" t="s">
        <v>2241</v>
      </c>
      <c r="E119" s="162" t="s">
        <v>49</v>
      </c>
      <c r="G119" s="14" t="s">
        <v>1412</v>
      </c>
      <c r="I119" s="158"/>
      <c r="L119" s="187" t="s">
        <v>2242</v>
      </c>
      <c r="M119" s="89" t="str">
        <f t="shared" si="2"/>
        <v>senator.bradford@senate.ca.gov</v>
      </c>
      <c r="N119" s="89"/>
      <c r="O119" s="89"/>
      <c r="P119" s="89"/>
      <c r="Q119" s="88">
        <v>2024.0</v>
      </c>
      <c r="R119" s="89"/>
    </row>
    <row r="120">
      <c r="A120" s="14" t="s">
        <v>286</v>
      </c>
      <c r="B120" s="35">
        <v>36.0</v>
      </c>
      <c r="C120" s="35" t="s">
        <v>2249</v>
      </c>
      <c r="D120" s="35" t="s">
        <v>2251</v>
      </c>
      <c r="E120" s="162" t="s">
        <v>53</v>
      </c>
      <c r="F120" s="164" t="s">
        <v>498</v>
      </c>
      <c r="K120" s="31"/>
      <c r="L120" s="163" t="s">
        <v>2252</v>
      </c>
      <c r="M120" s="89" t="str">
        <f t="shared" si="2"/>
        <v>senator.bates@senate.ca.gov</v>
      </c>
      <c r="N120" s="89"/>
      <c r="O120" s="89"/>
      <c r="P120" s="89"/>
      <c r="Q120" s="88">
        <v>2022.0</v>
      </c>
      <c r="R120" s="89"/>
    </row>
    <row r="121">
      <c r="A121" s="14" t="s">
        <v>286</v>
      </c>
      <c r="B121" s="35">
        <v>37.0</v>
      </c>
      <c r="C121" s="35" t="s">
        <v>278</v>
      </c>
      <c r="D121" s="35" t="s">
        <v>2255</v>
      </c>
      <c r="E121" s="162" t="s">
        <v>53</v>
      </c>
      <c r="G121" s="14" t="s">
        <v>517</v>
      </c>
      <c r="I121" s="158"/>
      <c r="L121" s="187" t="s">
        <v>2256</v>
      </c>
      <c r="M121" s="89" t="str">
        <f t="shared" si="2"/>
        <v>senator.moorlach@senate.ca.gov</v>
      </c>
      <c r="N121" s="89"/>
      <c r="O121" s="89"/>
      <c r="P121" s="89"/>
      <c r="Q121" s="88">
        <v>2028.0</v>
      </c>
      <c r="R121" s="89"/>
    </row>
    <row r="122">
      <c r="A122" s="14" t="s">
        <v>286</v>
      </c>
      <c r="B122" s="35">
        <v>38.0</v>
      </c>
      <c r="C122" s="38" t="s">
        <v>1331</v>
      </c>
      <c r="D122" s="38" t="s">
        <v>706</v>
      </c>
      <c r="E122" s="162" t="s">
        <v>53</v>
      </c>
      <c r="G122" s="14" t="s">
        <v>1411</v>
      </c>
      <c r="H122" s="14" t="s">
        <v>958</v>
      </c>
      <c r="I122" s="158"/>
      <c r="L122" s="163" t="s">
        <v>2258</v>
      </c>
      <c r="M122" s="89" t="str">
        <f t="shared" si="2"/>
        <v>senator.jones@senate.ca.gov</v>
      </c>
      <c r="N122" s="89"/>
      <c r="O122" s="89"/>
      <c r="P122" s="89"/>
      <c r="Q122" s="88">
        <v>2018.0</v>
      </c>
      <c r="R122" s="89"/>
    </row>
    <row r="123">
      <c r="A123" s="14" t="s">
        <v>286</v>
      </c>
      <c r="B123" s="35">
        <v>39.0</v>
      </c>
      <c r="C123" s="38" t="s">
        <v>2262</v>
      </c>
      <c r="D123" s="38" t="s">
        <v>2263</v>
      </c>
      <c r="E123" s="162" t="s">
        <v>49</v>
      </c>
      <c r="F123" s="164" t="s">
        <v>903</v>
      </c>
      <c r="K123" s="194" t="s">
        <v>2264</v>
      </c>
      <c r="L123" s="187" t="s">
        <v>2265</v>
      </c>
      <c r="M123" s="89" t="str">
        <f t="shared" si="2"/>
        <v>senator.atkins@senate.ca.gov</v>
      </c>
      <c r="N123" s="89"/>
      <c r="O123" s="89"/>
      <c r="P123" s="89"/>
      <c r="Q123" s="88">
        <v>2024.0</v>
      </c>
      <c r="R123" s="89"/>
    </row>
    <row r="124">
      <c r="A124" s="14" t="s">
        <v>286</v>
      </c>
      <c r="B124" s="35">
        <v>40.0</v>
      </c>
      <c r="C124" s="35" t="s">
        <v>195</v>
      </c>
      <c r="D124" s="35" t="s">
        <v>2271</v>
      </c>
      <c r="E124" s="162" t="s">
        <v>49</v>
      </c>
      <c r="L124" s="163" t="s">
        <v>2272</v>
      </c>
      <c r="M124" s="89" t="str">
        <f t="shared" si="2"/>
        <v>senator.hueso@senate.ca.gov</v>
      </c>
      <c r="N124" s="89"/>
      <c r="O124" s="89"/>
      <c r="P124" s="89"/>
      <c r="Q124" s="88">
        <v>2022.0</v>
      </c>
      <c r="R124" s="89"/>
    </row>
    <row r="125">
      <c r="A125" s="70"/>
      <c r="B125" s="195"/>
      <c r="C125" s="71"/>
      <c r="D125" s="71"/>
      <c r="E125" s="186"/>
      <c r="F125" s="70"/>
      <c r="G125" s="70"/>
      <c r="H125" s="70"/>
      <c r="I125" s="70"/>
      <c r="J125" s="70"/>
      <c r="K125" s="70"/>
      <c r="L125" s="70"/>
      <c r="M125" s="70"/>
      <c r="N125" s="70"/>
      <c r="O125" s="70"/>
      <c r="P125" s="70"/>
      <c r="Q125" s="70"/>
      <c r="R125" s="70"/>
      <c r="S125" s="70"/>
      <c r="T125" s="70"/>
      <c r="U125" s="70"/>
      <c r="V125" s="70"/>
      <c r="W125" s="70"/>
      <c r="X125" s="70"/>
      <c r="Y125" s="70"/>
      <c r="Z125" s="70"/>
      <c r="AA125" s="70"/>
      <c r="AB125" s="70"/>
      <c r="AC125" s="70"/>
      <c r="AD125" s="70"/>
    </row>
    <row r="126">
      <c r="A126" s="14" t="s">
        <v>421</v>
      </c>
      <c r="B126" s="196"/>
      <c r="C126" s="77" t="s">
        <v>2274</v>
      </c>
      <c r="D126" s="77" t="s">
        <v>2275</v>
      </c>
      <c r="E126" s="197" t="s">
        <v>49</v>
      </c>
      <c r="F126" s="14" t="s">
        <v>2280</v>
      </c>
      <c r="L126" s="89"/>
      <c r="M126" s="89"/>
      <c r="N126" s="89"/>
      <c r="O126" s="89"/>
      <c r="P126" s="89"/>
      <c r="Q126" s="89"/>
      <c r="R126" s="89"/>
    </row>
    <row r="127">
      <c r="A127" s="70"/>
      <c r="B127" s="71"/>
      <c r="C127" s="71"/>
      <c r="D127" s="71"/>
      <c r="E127" s="186"/>
      <c r="F127" s="70"/>
      <c r="G127" s="70"/>
      <c r="H127" s="70"/>
      <c r="I127" s="70"/>
      <c r="J127" s="70"/>
      <c r="K127" s="70"/>
      <c r="L127" s="70"/>
      <c r="M127" s="70"/>
      <c r="N127" s="70"/>
      <c r="O127" s="70"/>
      <c r="P127" s="70"/>
      <c r="Q127" s="70"/>
      <c r="R127" s="70"/>
      <c r="S127" s="70"/>
      <c r="T127" s="70"/>
      <c r="U127" s="70"/>
      <c r="V127" s="70"/>
      <c r="W127" s="70"/>
      <c r="X127" s="70"/>
      <c r="Y127" s="70"/>
      <c r="Z127" s="70"/>
      <c r="AA127" s="70"/>
      <c r="AB127" s="70"/>
      <c r="AC127" s="70"/>
      <c r="AD127" s="70"/>
    </row>
    <row r="128">
      <c r="A128" s="14" t="s">
        <v>427</v>
      </c>
      <c r="B128" s="77">
        <v>1.0</v>
      </c>
      <c r="C128" s="77" t="s">
        <v>1146</v>
      </c>
      <c r="D128" s="77" t="s">
        <v>2284</v>
      </c>
      <c r="E128" s="197" t="s">
        <v>53</v>
      </c>
      <c r="L128" s="89"/>
      <c r="M128" s="89"/>
      <c r="N128" s="89"/>
      <c r="O128" s="89"/>
      <c r="P128" s="89"/>
      <c r="Q128" s="89"/>
      <c r="R128" s="89"/>
    </row>
    <row r="129">
      <c r="A129" s="14" t="s">
        <v>427</v>
      </c>
      <c r="B129" s="77">
        <v>2.0</v>
      </c>
      <c r="C129" s="77" t="s">
        <v>2285</v>
      </c>
      <c r="D129" s="77" t="s">
        <v>2286</v>
      </c>
      <c r="E129" s="197" t="s">
        <v>49</v>
      </c>
      <c r="L129" s="89"/>
      <c r="M129" s="89"/>
      <c r="N129" s="89"/>
      <c r="O129" s="89"/>
      <c r="P129" s="89"/>
      <c r="Q129" s="89"/>
      <c r="R129" s="89"/>
    </row>
    <row r="130">
      <c r="A130" s="14" t="s">
        <v>427</v>
      </c>
      <c r="B130" s="77">
        <v>3.0</v>
      </c>
      <c r="C130" s="77" t="s">
        <v>278</v>
      </c>
      <c r="D130" s="77" t="s">
        <v>2287</v>
      </c>
      <c r="E130" s="197" t="s">
        <v>49</v>
      </c>
      <c r="L130" s="89"/>
      <c r="M130" s="89"/>
      <c r="N130" s="89"/>
      <c r="O130" s="89"/>
      <c r="P130" s="89"/>
      <c r="Q130" s="89"/>
      <c r="R130" s="89"/>
    </row>
    <row r="131">
      <c r="A131" s="14" t="s">
        <v>427</v>
      </c>
      <c r="B131" s="77">
        <v>4.0</v>
      </c>
      <c r="C131" s="77" t="s">
        <v>338</v>
      </c>
      <c r="D131" s="77" t="s">
        <v>2288</v>
      </c>
      <c r="E131" s="197" t="s">
        <v>53</v>
      </c>
      <c r="L131" s="89"/>
      <c r="M131" s="89"/>
      <c r="N131" s="89"/>
      <c r="O131" s="89"/>
      <c r="P131" s="89"/>
      <c r="Q131" s="89"/>
      <c r="R131" s="89"/>
    </row>
    <row r="132">
      <c r="A132" s="14" t="s">
        <v>427</v>
      </c>
      <c r="B132" s="77">
        <v>5.0</v>
      </c>
      <c r="C132" s="77" t="s">
        <v>157</v>
      </c>
      <c r="D132" s="77" t="s">
        <v>59</v>
      </c>
      <c r="E132" s="197" t="s">
        <v>49</v>
      </c>
      <c r="L132" s="89"/>
      <c r="M132" s="89"/>
      <c r="N132" s="89"/>
      <c r="O132" s="89"/>
      <c r="P132" s="89"/>
      <c r="Q132" s="89"/>
      <c r="R132" s="89"/>
    </row>
    <row r="133">
      <c r="A133" s="14" t="s">
        <v>427</v>
      </c>
      <c r="B133" s="77">
        <v>6.0</v>
      </c>
      <c r="C133" s="77" t="s">
        <v>2289</v>
      </c>
      <c r="D133" s="77" t="s">
        <v>2290</v>
      </c>
      <c r="E133" s="197" t="s">
        <v>49</v>
      </c>
      <c r="L133" s="89"/>
      <c r="M133" s="89"/>
      <c r="N133" s="89"/>
      <c r="O133" s="89"/>
      <c r="P133" s="89"/>
      <c r="Q133" s="89"/>
      <c r="R133" s="89"/>
    </row>
    <row r="134">
      <c r="A134" s="14" t="s">
        <v>427</v>
      </c>
      <c r="B134" s="77">
        <v>7.0</v>
      </c>
      <c r="C134" s="77" t="s">
        <v>2291</v>
      </c>
      <c r="D134" s="77" t="s">
        <v>2292</v>
      </c>
      <c r="E134" s="197" t="s">
        <v>49</v>
      </c>
      <c r="L134" s="89"/>
      <c r="M134" s="89"/>
      <c r="N134" s="89"/>
      <c r="O134" s="89"/>
      <c r="P134" s="89"/>
      <c r="Q134" s="89"/>
      <c r="R134" s="89"/>
    </row>
    <row r="135">
      <c r="A135" s="14" t="s">
        <v>427</v>
      </c>
      <c r="B135" s="77">
        <v>8.0</v>
      </c>
      <c r="C135" s="77" t="s">
        <v>679</v>
      </c>
      <c r="D135" s="77" t="s">
        <v>731</v>
      </c>
      <c r="E135" s="197" t="s">
        <v>53</v>
      </c>
      <c r="L135" s="89"/>
      <c r="M135" s="89"/>
      <c r="N135" s="89"/>
      <c r="O135" s="89"/>
      <c r="P135" s="89"/>
      <c r="Q135" s="89"/>
      <c r="R135" s="89"/>
    </row>
    <row r="136">
      <c r="A136" s="14" t="s">
        <v>427</v>
      </c>
      <c r="B136" s="77">
        <v>9.0</v>
      </c>
      <c r="C136" s="77" t="s">
        <v>2105</v>
      </c>
      <c r="D136" s="77" t="s">
        <v>2293</v>
      </c>
      <c r="E136" s="197" t="s">
        <v>49</v>
      </c>
      <c r="L136" s="89"/>
      <c r="M136" s="89"/>
      <c r="N136" s="89"/>
      <c r="O136" s="89"/>
      <c r="P136" s="89"/>
      <c r="Q136" s="89"/>
      <c r="R136" s="89"/>
    </row>
    <row r="137">
      <c r="A137" s="14" t="s">
        <v>427</v>
      </c>
      <c r="B137" s="77">
        <v>10.0</v>
      </c>
      <c r="C137" s="139"/>
      <c r="D137" s="139"/>
      <c r="E137" s="198"/>
      <c r="L137" s="89"/>
      <c r="M137" s="89"/>
      <c r="N137" s="89"/>
      <c r="O137" s="89"/>
      <c r="P137" s="89"/>
      <c r="Q137" s="89"/>
      <c r="R137" s="89"/>
    </row>
    <row r="138">
      <c r="A138" s="14" t="s">
        <v>427</v>
      </c>
      <c r="B138" s="77">
        <v>11.0</v>
      </c>
      <c r="C138" s="77" t="s">
        <v>91</v>
      </c>
      <c r="D138" s="77" t="s">
        <v>2294</v>
      </c>
      <c r="E138" s="197" t="s">
        <v>49</v>
      </c>
      <c r="L138" s="89"/>
      <c r="M138" s="89"/>
      <c r="N138" s="89"/>
      <c r="O138" s="89"/>
      <c r="P138" s="89"/>
      <c r="Q138" s="89"/>
      <c r="R138" s="89"/>
    </row>
    <row r="139">
      <c r="A139" s="14" t="s">
        <v>427</v>
      </c>
      <c r="B139" s="77">
        <v>12.0</v>
      </c>
      <c r="C139" s="77" t="s">
        <v>123</v>
      </c>
      <c r="D139" s="77" t="s">
        <v>2296</v>
      </c>
      <c r="E139" s="197" t="s">
        <v>49</v>
      </c>
      <c r="L139" s="89"/>
      <c r="M139" s="89"/>
      <c r="N139" s="89"/>
      <c r="O139" s="89"/>
      <c r="P139" s="89"/>
      <c r="Q139" s="89"/>
      <c r="R139" s="89"/>
    </row>
    <row r="140">
      <c r="A140" s="14" t="s">
        <v>427</v>
      </c>
      <c r="B140" s="77">
        <v>13.0</v>
      </c>
      <c r="C140" s="77" t="s">
        <v>2299</v>
      </c>
      <c r="D140" s="77" t="s">
        <v>629</v>
      </c>
      <c r="E140" s="197" t="s">
        <v>49</v>
      </c>
      <c r="L140" s="89"/>
      <c r="M140" s="89"/>
      <c r="N140" s="89"/>
      <c r="O140" s="89"/>
      <c r="P140" s="89"/>
      <c r="Q140" s="89"/>
      <c r="R140" s="89"/>
    </row>
    <row r="141">
      <c r="A141" s="14" t="s">
        <v>427</v>
      </c>
      <c r="B141" s="77">
        <v>14.0</v>
      </c>
      <c r="C141" s="77" t="s">
        <v>2300</v>
      </c>
      <c r="D141" s="77" t="s">
        <v>2301</v>
      </c>
      <c r="E141" s="197" t="s">
        <v>49</v>
      </c>
      <c r="L141" s="89"/>
      <c r="M141" s="89"/>
      <c r="N141" s="89"/>
      <c r="O141" s="89"/>
      <c r="P141" s="89"/>
      <c r="Q141" s="89"/>
      <c r="R141" s="89"/>
    </row>
    <row r="142">
      <c r="A142" s="14" t="s">
        <v>427</v>
      </c>
      <c r="B142" s="77">
        <v>15.0</v>
      </c>
      <c r="C142" s="77" t="s">
        <v>2302</v>
      </c>
      <c r="D142" s="77" t="s">
        <v>2303</v>
      </c>
      <c r="E142" s="197" t="s">
        <v>49</v>
      </c>
      <c r="L142" s="89"/>
      <c r="M142" s="89"/>
      <c r="N142" s="89"/>
      <c r="O142" s="89"/>
      <c r="P142" s="89"/>
      <c r="Q142" s="89"/>
      <c r="R142" s="89"/>
    </row>
    <row r="143">
      <c r="A143" s="14" t="s">
        <v>427</v>
      </c>
      <c r="B143" s="77">
        <v>16.0</v>
      </c>
      <c r="C143" s="77" t="s">
        <v>476</v>
      </c>
      <c r="D143" s="77" t="s">
        <v>2304</v>
      </c>
      <c r="E143" s="197" t="s">
        <v>49</v>
      </c>
      <c r="L143" s="89"/>
      <c r="M143" s="89"/>
      <c r="N143" s="89"/>
      <c r="O143" s="89"/>
      <c r="P143" s="89"/>
      <c r="Q143" s="89"/>
      <c r="R143" s="89"/>
    </row>
    <row r="144">
      <c r="A144" s="14" t="s">
        <v>427</v>
      </c>
      <c r="B144" s="77">
        <v>17.0</v>
      </c>
      <c r="C144" s="77" t="s">
        <v>2305</v>
      </c>
      <c r="D144" s="77" t="s">
        <v>2306</v>
      </c>
      <c r="E144" s="197" t="s">
        <v>49</v>
      </c>
      <c r="L144" s="89"/>
      <c r="M144" s="89"/>
      <c r="N144" s="89"/>
      <c r="O144" s="89"/>
      <c r="P144" s="89"/>
      <c r="Q144" s="89"/>
      <c r="R144" s="89"/>
    </row>
    <row r="145">
      <c r="A145" s="14" t="s">
        <v>427</v>
      </c>
      <c r="B145" s="77">
        <v>18.0</v>
      </c>
      <c r="C145" s="77" t="s">
        <v>2099</v>
      </c>
      <c r="D145" s="77" t="s">
        <v>2307</v>
      </c>
      <c r="E145" s="197" t="s">
        <v>49</v>
      </c>
      <c r="L145" s="89"/>
      <c r="M145" s="89"/>
      <c r="N145" s="89"/>
      <c r="O145" s="89"/>
      <c r="P145" s="89"/>
      <c r="Q145" s="89"/>
      <c r="R145" s="89"/>
    </row>
    <row r="146">
      <c r="A146" s="14" t="s">
        <v>427</v>
      </c>
      <c r="B146" s="77">
        <v>19.0</v>
      </c>
      <c r="C146" s="77" t="s">
        <v>2308</v>
      </c>
      <c r="D146" s="77" t="s">
        <v>2309</v>
      </c>
      <c r="E146" s="197" t="s">
        <v>49</v>
      </c>
      <c r="L146" s="89"/>
      <c r="M146" s="89"/>
      <c r="N146" s="89"/>
      <c r="O146" s="89"/>
      <c r="P146" s="89"/>
      <c r="Q146" s="89"/>
      <c r="R146" s="89"/>
    </row>
    <row r="147">
      <c r="A147" s="14" t="s">
        <v>427</v>
      </c>
      <c r="B147" s="77">
        <v>20.0</v>
      </c>
      <c r="C147" s="77" t="s">
        <v>455</v>
      </c>
      <c r="D147" s="77" t="s">
        <v>2310</v>
      </c>
      <c r="E147" s="197" t="s">
        <v>49</v>
      </c>
      <c r="L147" s="89"/>
      <c r="M147" s="89"/>
      <c r="N147" s="89"/>
      <c r="O147" s="89"/>
      <c r="P147" s="89"/>
      <c r="Q147" s="89"/>
      <c r="R147" s="89"/>
    </row>
    <row r="148">
      <c r="A148" s="14" t="s">
        <v>427</v>
      </c>
      <c r="B148" s="77">
        <v>21.0</v>
      </c>
      <c r="C148" s="77" t="s">
        <v>108</v>
      </c>
      <c r="D148" s="77" t="s">
        <v>2311</v>
      </c>
      <c r="E148" s="197" t="s">
        <v>53</v>
      </c>
      <c r="L148" s="89"/>
      <c r="M148" s="89"/>
      <c r="N148" s="89"/>
      <c r="O148" s="89"/>
      <c r="P148" s="89"/>
      <c r="Q148" s="89"/>
      <c r="R148" s="89"/>
    </row>
    <row r="149">
      <c r="A149" s="14" t="s">
        <v>427</v>
      </c>
      <c r="B149" s="77">
        <v>22.0</v>
      </c>
      <c r="C149" s="77" t="s">
        <v>2312</v>
      </c>
      <c r="D149" s="77" t="s">
        <v>2313</v>
      </c>
      <c r="E149" s="197" t="s">
        <v>53</v>
      </c>
      <c r="L149" s="89"/>
      <c r="M149" s="89"/>
      <c r="N149" s="89"/>
      <c r="O149" s="89"/>
      <c r="P149" s="89"/>
      <c r="Q149" s="89"/>
      <c r="R149" s="89"/>
    </row>
    <row r="150">
      <c r="A150" s="14" t="s">
        <v>427</v>
      </c>
      <c r="B150" s="77">
        <v>23.0</v>
      </c>
      <c r="C150" s="77" t="s">
        <v>971</v>
      </c>
      <c r="D150" s="77" t="s">
        <v>2314</v>
      </c>
      <c r="E150" s="197" t="s">
        <v>53</v>
      </c>
      <c r="L150" s="89"/>
      <c r="M150" s="89"/>
      <c r="N150" s="89"/>
      <c r="O150" s="89"/>
      <c r="P150" s="89"/>
      <c r="Q150" s="89"/>
      <c r="R150" s="89"/>
    </row>
    <row r="151">
      <c r="A151" s="14" t="s">
        <v>427</v>
      </c>
      <c r="B151" s="77">
        <v>24.0</v>
      </c>
      <c r="C151" s="77" t="s">
        <v>2315</v>
      </c>
      <c r="D151" s="77" t="s">
        <v>2316</v>
      </c>
      <c r="E151" s="197" t="s">
        <v>49</v>
      </c>
      <c r="L151" s="89"/>
      <c r="M151" s="89"/>
      <c r="N151" s="89"/>
      <c r="O151" s="89"/>
      <c r="P151" s="89"/>
      <c r="Q151" s="89"/>
      <c r="R151" s="89"/>
    </row>
    <row r="152">
      <c r="A152" s="14" t="s">
        <v>427</v>
      </c>
      <c r="B152" s="77">
        <v>25.0</v>
      </c>
      <c r="C152" s="77" t="s">
        <v>2317</v>
      </c>
      <c r="D152" s="77" t="s">
        <v>485</v>
      </c>
      <c r="E152" s="197" t="s">
        <v>49</v>
      </c>
      <c r="L152" s="89"/>
      <c r="M152" s="89"/>
      <c r="N152" s="89"/>
      <c r="O152" s="89"/>
      <c r="P152" s="89"/>
      <c r="Q152" s="89"/>
      <c r="R152" s="89"/>
    </row>
    <row r="153">
      <c r="A153" s="14" t="s">
        <v>427</v>
      </c>
      <c r="B153" s="77">
        <v>26.0</v>
      </c>
      <c r="C153" s="77" t="s">
        <v>2318</v>
      </c>
      <c r="D153" s="77" t="s">
        <v>2319</v>
      </c>
      <c r="E153" s="197" t="s">
        <v>49</v>
      </c>
      <c r="L153" s="89"/>
      <c r="M153" s="89"/>
      <c r="N153" s="89"/>
      <c r="O153" s="89"/>
      <c r="P153" s="89"/>
      <c r="Q153" s="89"/>
      <c r="R153" s="89"/>
    </row>
    <row r="154">
      <c r="A154" s="14" t="s">
        <v>427</v>
      </c>
      <c r="B154" s="77">
        <v>27.0</v>
      </c>
      <c r="C154" s="77" t="s">
        <v>2320</v>
      </c>
      <c r="D154" s="77" t="s">
        <v>1520</v>
      </c>
      <c r="E154" s="197" t="s">
        <v>49</v>
      </c>
      <c r="L154" s="89"/>
      <c r="M154" s="89"/>
      <c r="N154" s="89"/>
      <c r="O154" s="89"/>
      <c r="P154" s="89"/>
      <c r="Q154" s="89"/>
      <c r="R154" s="89"/>
    </row>
    <row r="155">
      <c r="A155" s="14" t="s">
        <v>427</v>
      </c>
      <c r="B155" s="77">
        <v>28.0</v>
      </c>
      <c r="C155" s="77" t="s">
        <v>69</v>
      </c>
      <c r="D155" s="77" t="s">
        <v>2321</v>
      </c>
      <c r="E155" s="197" t="s">
        <v>49</v>
      </c>
      <c r="L155" s="89"/>
      <c r="M155" s="89"/>
      <c r="N155" s="89"/>
      <c r="O155" s="89"/>
      <c r="P155" s="89"/>
      <c r="Q155" s="89"/>
      <c r="R155" s="89"/>
    </row>
    <row r="156">
      <c r="A156" s="14" t="s">
        <v>427</v>
      </c>
      <c r="B156" s="77">
        <v>29.0</v>
      </c>
      <c r="C156" s="77" t="s">
        <v>980</v>
      </c>
      <c r="D156" s="77" t="s">
        <v>2322</v>
      </c>
      <c r="E156" s="197" t="s">
        <v>49</v>
      </c>
      <c r="L156" s="89"/>
      <c r="M156" s="89"/>
      <c r="N156" s="89"/>
      <c r="O156" s="89"/>
      <c r="P156" s="89"/>
      <c r="Q156" s="89"/>
      <c r="R156" s="89"/>
    </row>
    <row r="157">
      <c r="A157" s="14" t="s">
        <v>427</v>
      </c>
      <c r="B157" s="77">
        <v>30.0</v>
      </c>
      <c r="C157" s="77" t="s">
        <v>2323</v>
      </c>
      <c r="D157" s="77" t="s">
        <v>2324</v>
      </c>
      <c r="E157" s="197" t="s">
        <v>49</v>
      </c>
      <c r="L157" s="89"/>
      <c r="M157" s="89"/>
      <c r="N157" s="89"/>
      <c r="O157" s="89"/>
      <c r="P157" s="89"/>
      <c r="Q157" s="89"/>
      <c r="R157" s="89"/>
    </row>
    <row r="158">
      <c r="A158" s="14" t="s">
        <v>427</v>
      </c>
      <c r="B158" s="77">
        <v>31.0</v>
      </c>
      <c r="C158" s="77" t="s">
        <v>288</v>
      </c>
      <c r="D158" s="77" t="s">
        <v>2325</v>
      </c>
      <c r="E158" s="197" t="s">
        <v>49</v>
      </c>
      <c r="L158" s="89"/>
      <c r="M158" s="89"/>
      <c r="N158" s="89"/>
      <c r="O158" s="89"/>
      <c r="P158" s="89"/>
      <c r="Q158" s="89"/>
      <c r="R158" s="89"/>
    </row>
    <row r="159">
      <c r="A159" s="14" t="s">
        <v>427</v>
      </c>
      <c r="B159" s="77">
        <v>32.0</v>
      </c>
      <c r="C159" s="77" t="s">
        <v>2328</v>
      </c>
      <c r="D159" s="77" t="s">
        <v>2329</v>
      </c>
      <c r="E159" s="197" t="s">
        <v>49</v>
      </c>
      <c r="L159" s="89"/>
      <c r="M159" s="89"/>
      <c r="N159" s="89"/>
      <c r="O159" s="89"/>
      <c r="P159" s="89"/>
      <c r="Q159" s="89"/>
      <c r="R159" s="89"/>
    </row>
    <row r="160">
      <c r="A160" s="14" t="s">
        <v>427</v>
      </c>
      <c r="B160" s="77">
        <v>33.0</v>
      </c>
      <c r="C160" s="77" t="s">
        <v>1998</v>
      </c>
      <c r="D160" s="77" t="s">
        <v>2330</v>
      </c>
      <c r="E160" s="197" t="s">
        <v>49</v>
      </c>
      <c r="L160" s="89"/>
      <c r="M160" s="89"/>
      <c r="N160" s="89"/>
      <c r="O160" s="89"/>
      <c r="P160" s="89"/>
      <c r="Q160" s="89"/>
      <c r="R160" s="89"/>
    </row>
    <row r="161">
      <c r="A161" s="14" t="s">
        <v>427</v>
      </c>
      <c r="B161" s="77">
        <v>34.0</v>
      </c>
      <c r="C161" s="77" t="s">
        <v>455</v>
      </c>
      <c r="D161" s="77" t="s">
        <v>2332</v>
      </c>
      <c r="E161" s="197" t="s">
        <v>49</v>
      </c>
      <c r="L161" s="89"/>
      <c r="M161" s="89"/>
      <c r="N161" s="89"/>
      <c r="O161" s="89"/>
      <c r="P161" s="89"/>
      <c r="Q161" s="89"/>
      <c r="R161" s="89"/>
    </row>
    <row r="162">
      <c r="A162" s="14" t="s">
        <v>427</v>
      </c>
      <c r="B162" s="77">
        <v>35.0</v>
      </c>
      <c r="C162" s="77" t="s">
        <v>2333</v>
      </c>
      <c r="D162" s="77" t="s">
        <v>2334</v>
      </c>
      <c r="E162" s="197" t="s">
        <v>49</v>
      </c>
      <c r="L162" s="89"/>
      <c r="M162" s="89"/>
      <c r="N162" s="89"/>
      <c r="O162" s="89"/>
      <c r="P162" s="89"/>
      <c r="Q162" s="89"/>
      <c r="R162" s="89"/>
    </row>
    <row r="163">
      <c r="A163" s="14" t="s">
        <v>427</v>
      </c>
      <c r="B163" s="77">
        <v>36.0</v>
      </c>
      <c r="C163" s="77" t="s">
        <v>1377</v>
      </c>
      <c r="D163" s="77" t="s">
        <v>2335</v>
      </c>
      <c r="E163" s="197" t="s">
        <v>49</v>
      </c>
      <c r="L163" s="89"/>
      <c r="M163" s="89"/>
      <c r="N163" s="89"/>
      <c r="O163" s="89"/>
      <c r="P163" s="89"/>
      <c r="Q163" s="89"/>
      <c r="R163" s="89"/>
    </row>
    <row r="164">
      <c r="A164" s="14" t="s">
        <v>427</v>
      </c>
      <c r="B164" s="77">
        <v>37.0</v>
      </c>
      <c r="C164" s="77" t="s">
        <v>1153</v>
      </c>
      <c r="D164" s="77" t="s">
        <v>2336</v>
      </c>
      <c r="E164" s="197" t="s">
        <v>49</v>
      </c>
      <c r="L164" s="89"/>
      <c r="M164" s="89"/>
      <c r="N164" s="89"/>
      <c r="O164" s="89"/>
      <c r="P164" s="89"/>
      <c r="Q164" s="89"/>
      <c r="R164" s="89"/>
    </row>
    <row r="165">
      <c r="A165" s="14" t="s">
        <v>427</v>
      </c>
      <c r="B165" s="77">
        <v>38.0</v>
      </c>
      <c r="C165" s="77" t="s">
        <v>978</v>
      </c>
      <c r="D165" s="77" t="s">
        <v>2337</v>
      </c>
      <c r="E165" s="197" t="s">
        <v>49</v>
      </c>
      <c r="L165" s="89"/>
      <c r="M165" s="89"/>
      <c r="N165" s="89"/>
      <c r="O165" s="89"/>
      <c r="P165" s="89"/>
      <c r="Q165" s="89"/>
      <c r="R165" s="89"/>
    </row>
    <row r="166">
      <c r="A166" s="14" t="s">
        <v>427</v>
      </c>
      <c r="B166" s="77">
        <v>39.0</v>
      </c>
      <c r="C166" s="77" t="s">
        <v>429</v>
      </c>
      <c r="D166" s="77" t="s">
        <v>1973</v>
      </c>
      <c r="E166" s="197" t="s">
        <v>53</v>
      </c>
      <c r="L166" s="89"/>
      <c r="M166" s="89"/>
      <c r="N166" s="89"/>
      <c r="O166" s="89"/>
      <c r="P166" s="89"/>
      <c r="Q166" s="89"/>
      <c r="R166" s="89"/>
    </row>
    <row r="167">
      <c r="A167" s="14" t="s">
        <v>427</v>
      </c>
      <c r="B167" s="77">
        <v>40.0</v>
      </c>
      <c r="C167" s="77" t="s">
        <v>2338</v>
      </c>
      <c r="D167" s="77" t="s">
        <v>2339</v>
      </c>
      <c r="E167" s="197" t="s">
        <v>49</v>
      </c>
      <c r="L167" s="89"/>
      <c r="M167" s="89"/>
      <c r="N167" s="89"/>
      <c r="O167" s="89"/>
      <c r="P167" s="89"/>
      <c r="Q167" s="89"/>
      <c r="R167" s="89"/>
    </row>
    <row r="168">
      <c r="A168" s="14" t="s">
        <v>427</v>
      </c>
      <c r="B168" s="77">
        <v>41.0</v>
      </c>
      <c r="C168" s="77" t="s">
        <v>91</v>
      </c>
      <c r="D168" s="77" t="s">
        <v>2340</v>
      </c>
      <c r="E168" s="197" t="s">
        <v>49</v>
      </c>
      <c r="L168" s="89"/>
      <c r="M168" s="89"/>
      <c r="N168" s="89"/>
      <c r="O168" s="89"/>
      <c r="P168" s="89"/>
      <c r="Q168" s="89"/>
      <c r="R168" s="89"/>
    </row>
    <row r="169">
      <c r="A169" s="14" t="s">
        <v>427</v>
      </c>
      <c r="B169" s="77">
        <v>42.0</v>
      </c>
      <c r="C169" s="77" t="s">
        <v>1049</v>
      </c>
      <c r="D169" s="77" t="s">
        <v>2341</v>
      </c>
      <c r="E169" s="197" t="s">
        <v>53</v>
      </c>
      <c r="L169" s="89"/>
      <c r="M169" s="89"/>
      <c r="N169" s="89"/>
      <c r="O169" s="89"/>
      <c r="P169" s="89"/>
      <c r="Q169" s="89"/>
      <c r="R169" s="89"/>
    </row>
    <row r="170">
      <c r="A170" s="14" t="s">
        <v>427</v>
      </c>
      <c r="B170" s="77">
        <v>43.0</v>
      </c>
      <c r="C170" s="77" t="s">
        <v>2342</v>
      </c>
      <c r="D170" s="77" t="s">
        <v>2343</v>
      </c>
      <c r="E170" s="197" t="s">
        <v>49</v>
      </c>
      <c r="L170" s="89"/>
      <c r="M170" s="89"/>
      <c r="N170" s="89"/>
      <c r="O170" s="89"/>
      <c r="P170" s="89"/>
      <c r="Q170" s="89"/>
      <c r="R170" s="89"/>
    </row>
    <row r="171">
      <c r="A171" s="14" t="s">
        <v>427</v>
      </c>
      <c r="B171" s="77">
        <v>44.0</v>
      </c>
      <c r="C171" s="77" t="s">
        <v>2344</v>
      </c>
      <c r="D171" s="77" t="s">
        <v>2345</v>
      </c>
      <c r="E171" s="197" t="s">
        <v>49</v>
      </c>
      <c r="L171" s="89"/>
      <c r="M171" s="89"/>
      <c r="N171" s="89"/>
      <c r="O171" s="89"/>
      <c r="P171" s="89"/>
      <c r="Q171" s="89"/>
      <c r="R171" s="89"/>
    </row>
    <row r="172">
      <c r="A172" s="14" t="s">
        <v>427</v>
      </c>
      <c r="B172" s="77">
        <v>45.0</v>
      </c>
      <c r="C172" s="77" t="s">
        <v>2346</v>
      </c>
      <c r="D172" s="77" t="s">
        <v>2347</v>
      </c>
      <c r="E172" s="197" t="s">
        <v>53</v>
      </c>
      <c r="L172" s="89"/>
      <c r="M172" s="89"/>
      <c r="N172" s="89"/>
      <c r="O172" s="89"/>
      <c r="P172" s="89"/>
      <c r="Q172" s="89"/>
      <c r="R172" s="89"/>
    </row>
    <row r="173">
      <c r="A173" s="14" t="s">
        <v>427</v>
      </c>
      <c r="B173" s="77">
        <v>46.0</v>
      </c>
      <c r="C173" s="77" t="s">
        <v>2348</v>
      </c>
      <c r="D173" s="77" t="s">
        <v>2349</v>
      </c>
      <c r="E173" s="197" t="s">
        <v>49</v>
      </c>
      <c r="L173" s="89"/>
      <c r="M173" s="89"/>
      <c r="N173" s="89"/>
      <c r="O173" s="89"/>
      <c r="P173" s="89"/>
      <c r="Q173" s="89"/>
      <c r="R173" s="89"/>
    </row>
    <row r="174">
      <c r="A174" s="14" t="s">
        <v>427</v>
      </c>
      <c r="B174" s="77">
        <v>47.0</v>
      </c>
      <c r="C174" s="77" t="s">
        <v>551</v>
      </c>
      <c r="D174" s="77" t="s">
        <v>2350</v>
      </c>
      <c r="E174" s="197" t="s">
        <v>49</v>
      </c>
      <c r="L174" s="89"/>
      <c r="M174" s="89"/>
      <c r="N174" s="89"/>
      <c r="O174" s="89"/>
      <c r="P174" s="89"/>
      <c r="Q174" s="89"/>
      <c r="R174" s="89"/>
    </row>
    <row r="175">
      <c r="A175" s="14" t="s">
        <v>427</v>
      </c>
      <c r="B175" s="77">
        <v>48.0</v>
      </c>
      <c r="C175" s="139"/>
      <c r="D175" s="139"/>
      <c r="E175" s="198"/>
      <c r="L175" s="89"/>
      <c r="M175" s="89"/>
      <c r="N175" s="89"/>
      <c r="O175" s="89"/>
      <c r="P175" s="89"/>
      <c r="Q175" s="89"/>
      <c r="R175" s="89"/>
    </row>
    <row r="176">
      <c r="A176" s="14" t="s">
        <v>427</v>
      </c>
      <c r="B176" s="77">
        <v>49.0</v>
      </c>
      <c r="C176" s="77" t="s">
        <v>157</v>
      </c>
      <c r="D176" s="77" t="s">
        <v>2351</v>
      </c>
      <c r="E176" s="197" t="s">
        <v>49</v>
      </c>
      <c r="L176" s="89"/>
      <c r="M176" s="89"/>
      <c r="N176" s="89"/>
      <c r="O176" s="89"/>
      <c r="P176" s="89"/>
      <c r="Q176" s="89"/>
      <c r="R176" s="89"/>
    </row>
    <row r="177">
      <c r="A177" s="14" t="s">
        <v>427</v>
      </c>
      <c r="B177" s="77">
        <v>50.0</v>
      </c>
      <c r="C177" s="77" t="s">
        <v>2352</v>
      </c>
      <c r="D177" s="77" t="s">
        <v>2354</v>
      </c>
      <c r="E177" s="197" t="s">
        <v>53</v>
      </c>
      <c r="L177" s="89"/>
      <c r="M177" s="89"/>
      <c r="N177" s="89"/>
      <c r="O177" s="89"/>
      <c r="P177" s="89"/>
      <c r="Q177" s="89"/>
      <c r="R177" s="89"/>
    </row>
    <row r="178">
      <c r="A178" s="14" t="s">
        <v>427</v>
      </c>
      <c r="B178" s="77">
        <v>51.0</v>
      </c>
      <c r="C178" s="77" t="s">
        <v>1327</v>
      </c>
      <c r="D178" s="77" t="s">
        <v>2357</v>
      </c>
      <c r="E178" s="197" t="s">
        <v>49</v>
      </c>
      <c r="L178" s="89"/>
      <c r="M178" s="89"/>
      <c r="N178" s="89"/>
      <c r="O178" s="89"/>
      <c r="P178" s="89"/>
      <c r="Q178" s="89"/>
      <c r="R178" s="89"/>
    </row>
    <row r="179">
      <c r="A179" s="14" t="s">
        <v>427</v>
      </c>
      <c r="B179" s="77">
        <v>52.0</v>
      </c>
      <c r="C179" s="77" t="s">
        <v>45</v>
      </c>
      <c r="D179" s="77" t="s">
        <v>2358</v>
      </c>
      <c r="E179" s="197" t="s">
        <v>49</v>
      </c>
      <c r="L179" s="89"/>
      <c r="M179" s="89"/>
      <c r="N179" s="89"/>
      <c r="O179" s="89"/>
      <c r="P179" s="89"/>
      <c r="Q179" s="89"/>
      <c r="R179" s="89"/>
    </row>
    <row r="180">
      <c r="A180" s="14" t="s">
        <v>427</v>
      </c>
      <c r="B180" s="77">
        <v>53.0</v>
      </c>
      <c r="C180" s="77" t="s">
        <v>1446</v>
      </c>
      <c r="D180" s="77" t="s">
        <v>1254</v>
      </c>
      <c r="E180" s="197" t="s">
        <v>49</v>
      </c>
      <c r="L180" s="89"/>
      <c r="M180" s="89"/>
      <c r="N180" s="89"/>
      <c r="O180" s="89"/>
      <c r="P180" s="89"/>
      <c r="Q180" s="89"/>
      <c r="R180" s="89"/>
    </row>
    <row r="181">
      <c r="A181" s="70"/>
      <c r="B181" s="199">
        <v>5.0</v>
      </c>
      <c r="C181" s="71"/>
      <c r="D181" s="71"/>
      <c r="E181" s="186"/>
      <c r="F181" s="70"/>
      <c r="G181" s="70"/>
      <c r="H181" s="70"/>
      <c r="I181" s="70"/>
      <c r="J181" s="70"/>
      <c r="K181" s="70"/>
      <c r="L181" s="70"/>
      <c r="M181" s="70"/>
      <c r="N181" s="70"/>
      <c r="O181" s="70"/>
      <c r="P181" s="70"/>
      <c r="Q181" s="70"/>
      <c r="R181" s="70"/>
      <c r="S181" s="70"/>
      <c r="T181" s="70"/>
      <c r="U181" s="70"/>
      <c r="V181" s="70"/>
      <c r="W181" s="70"/>
      <c r="X181" s="70"/>
      <c r="Y181" s="70"/>
      <c r="Z181" s="70"/>
      <c r="AA181" s="70"/>
      <c r="AB181" s="70"/>
      <c r="AC181" s="70"/>
      <c r="AD181" s="70"/>
    </row>
    <row r="182">
      <c r="A182" s="14" t="s">
        <v>430</v>
      </c>
      <c r="B182" s="77" t="s">
        <v>431</v>
      </c>
      <c r="C182" s="77" t="s">
        <v>2359</v>
      </c>
      <c r="D182" s="77" t="s">
        <v>2360</v>
      </c>
      <c r="E182" s="197" t="s">
        <v>49</v>
      </c>
      <c r="L182" s="89"/>
      <c r="M182" s="89"/>
      <c r="N182" s="89"/>
      <c r="O182" s="89"/>
      <c r="P182" s="89"/>
      <c r="Q182" s="89"/>
      <c r="R182" s="89"/>
    </row>
    <row r="183">
      <c r="A183" s="14" t="s">
        <v>430</v>
      </c>
      <c r="B183" s="77" t="s">
        <v>434</v>
      </c>
      <c r="C183" s="77" t="s">
        <v>2361</v>
      </c>
      <c r="D183" s="77" t="s">
        <v>2362</v>
      </c>
      <c r="E183" s="197" t="s">
        <v>49</v>
      </c>
      <c r="L183" s="89"/>
      <c r="M183" s="89"/>
      <c r="N183" s="89"/>
      <c r="O183" s="89"/>
      <c r="P183" s="89"/>
      <c r="Q183" s="89"/>
      <c r="R183" s="89"/>
    </row>
    <row r="184">
      <c r="A184" s="70"/>
      <c r="B184" s="71"/>
      <c r="C184" s="71"/>
      <c r="D184" s="71"/>
      <c r="E184" s="186"/>
      <c r="F184" s="70"/>
      <c r="G184" s="70"/>
      <c r="H184" s="70"/>
      <c r="I184" s="70"/>
      <c r="J184" s="70"/>
      <c r="K184" s="70"/>
      <c r="L184" s="70"/>
      <c r="M184" s="70"/>
      <c r="N184" s="70"/>
      <c r="O184" s="70"/>
      <c r="P184" s="70"/>
      <c r="Q184" s="70"/>
      <c r="R184" s="70"/>
      <c r="S184" s="70"/>
      <c r="T184" s="70"/>
      <c r="U184" s="70"/>
      <c r="V184" s="70"/>
      <c r="W184" s="70"/>
      <c r="X184" s="70"/>
      <c r="Y184" s="70"/>
      <c r="Z184" s="70"/>
      <c r="AA184" s="70"/>
      <c r="AB184" s="70"/>
      <c r="AC184" s="70"/>
      <c r="AD184" s="70"/>
    </row>
    <row r="185">
      <c r="A185" s="14" t="s">
        <v>438</v>
      </c>
      <c r="B185" s="139"/>
      <c r="C185" s="77" t="s">
        <v>2363</v>
      </c>
      <c r="D185" s="77" t="s">
        <v>2364</v>
      </c>
      <c r="E185" s="197" t="s">
        <v>49</v>
      </c>
      <c r="L185" s="89"/>
      <c r="M185" s="89"/>
      <c r="N185" s="89"/>
      <c r="O185" s="89"/>
      <c r="P185" s="89"/>
      <c r="Q185" s="89"/>
      <c r="R185" s="89"/>
    </row>
    <row r="186">
      <c r="A186" s="70"/>
      <c r="B186" s="71"/>
      <c r="C186" s="71"/>
      <c r="D186" s="71"/>
      <c r="E186" s="186"/>
      <c r="F186" s="70"/>
      <c r="G186" s="70"/>
      <c r="H186" s="70"/>
      <c r="I186" s="70"/>
      <c r="J186" s="70"/>
      <c r="K186" s="70"/>
      <c r="L186" s="70"/>
      <c r="M186" s="70"/>
      <c r="N186" s="70"/>
      <c r="O186" s="70"/>
      <c r="P186" s="70"/>
      <c r="Q186" s="70"/>
      <c r="R186" s="70"/>
      <c r="S186" s="70"/>
      <c r="T186" s="70"/>
      <c r="U186" s="70"/>
      <c r="V186" s="70"/>
      <c r="W186" s="70"/>
      <c r="X186" s="70"/>
      <c r="Y186" s="70"/>
      <c r="Z186" s="70"/>
      <c r="AA186" s="70"/>
      <c r="AB186" s="70"/>
      <c r="AC186" s="70"/>
      <c r="AD186" s="70"/>
    </row>
    <row r="187">
      <c r="B187" s="139"/>
      <c r="C187" s="139"/>
      <c r="D187" s="139"/>
      <c r="E187" s="198"/>
    </row>
    <row r="188">
      <c r="B188" s="139"/>
      <c r="C188" s="139"/>
      <c r="D188" s="139"/>
      <c r="E188" s="198"/>
    </row>
    <row r="189">
      <c r="B189" s="139"/>
      <c r="C189" s="139"/>
      <c r="D189" s="139"/>
      <c r="E189" s="198"/>
    </row>
    <row r="190">
      <c r="B190" s="139"/>
      <c r="C190" s="139"/>
      <c r="D190" s="139"/>
      <c r="E190" s="198"/>
    </row>
    <row r="191">
      <c r="B191" s="139"/>
      <c r="C191" s="139"/>
      <c r="D191" s="139"/>
      <c r="E191" s="198"/>
    </row>
    <row r="192">
      <c r="B192" s="139"/>
      <c r="C192" s="139"/>
      <c r="D192" s="139"/>
      <c r="E192" s="198"/>
    </row>
    <row r="193">
      <c r="B193" s="139"/>
      <c r="C193" s="139"/>
      <c r="D193" s="139"/>
      <c r="E193" s="198"/>
    </row>
    <row r="194">
      <c r="B194" s="139"/>
      <c r="C194" s="139"/>
      <c r="D194" s="139"/>
      <c r="E194" s="198"/>
    </row>
    <row r="195">
      <c r="B195" s="139"/>
      <c r="C195" s="139"/>
      <c r="D195" s="139"/>
      <c r="E195" s="198"/>
    </row>
    <row r="196">
      <c r="B196" s="139"/>
      <c r="C196" s="139"/>
      <c r="D196" s="139"/>
      <c r="E196" s="198"/>
    </row>
    <row r="197">
      <c r="B197" s="139"/>
      <c r="C197" s="139"/>
      <c r="D197" s="139"/>
      <c r="E197" s="198"/>
    </row>
    <row r="198">
      <c r="B198" s="139"/>
      <c r="C198" s="139"/>
      <c r="D198" s="139"/>
      <c r="E198" s="198"/>
    </row>
    <row r="199">
      <c r="B199" s="139"/>
      <c r="C199" s="139"/>
      <c r="D199" s="139"/>
      <c r="E199" s="198"/>
    </row>
    <row r="200">
      <c r="B200" s="139"/>
      <c r="C200" s="139"/>
      <c r="D200" s="139"/>
      <c r="E200" s="198"/>
    </row>
    <row r="201">
      <c r="B201" s="139"/>
      <c r="C201" s="139"/>
      <c r="D201" s="139"/>
      <c r="E201" s="198"/>
    </row>
    <row r="202">
      <c r="B202" s="139"/>
      <c r="C202" s="139"/>
      <c r="D202" s="139"/>
      <c r="E202" s="198"/>
    </row>
    <row r="203">
      <c r="B203" s="139"/>
      <c r="C203" s="139"/>
      <c r="D203" s="139"/>
      <c r="E203" s="198"/>
    </row>
    <row r="204">
      <c r="B204" s="139"/>
      <c r="C204" s="139"/>
      <c r="D204" s="139"/>
      <c r="E204" s="198"/>
    </row>
    <row r="205">
      <c r="B205" s="139"/>
      <c r="C205" s="139"/>
      <c r="D205" s="139"/>
      <c r="E205" s="198"/>
    </row>
    <row r="206">
      <c r="B206" s="139"/>
      <c r="C206" s="139"/>
      <c r="D206" s="139"/>
      <c r="E206" s="198"/>
    </row>
    <row r="207">
      <c r="B207" s="139"/>
      <c r="C207" s="139"/>
      <c r="D207" s="139"/>
      <c r="E207" s="198"/>
    </row>
    <row r="208">
      <c r="B208" s="139"/>
      <c r="C208" s="139"/>
      <c r="D208" s="139"/>
      <c r="E208" s="198"/>
    </row>
    <row r="209">
      <c r="B209" s="139"/>
      <c r="C209" s="139"/>
      <c r="D209" s="139"/>
      <c r="E209" s="198"/>
    </row>
    <row r="210">
      <c r="B210" s="139"/>
      <c r="C210" s="139"/>
      <c r="D210" s="139"/>
      <c r="E210" s="198"/>
    </row>
    <row r="211">
      <c r="B211" s="139"/>
      <c r="C211" s="139"/>
      <c r="D211" s="139"/>
      <c r="E211" s="198"/>
    </row>
    <row r="212">
      <c r="B212" s="139"/>
      <c r="C212" s="139"/>
      <c r="D212" s="139"/>
      <c r="E212" s="198"/>
    </row>
    <row r="213">
      <c r="B213" s="139"/>
      <c r="C213" s="139"/>
      <c r="D213" s="139"/>
      <c r="E213" s="198"/>
    </row>
    <row r="214">
      <c r="B214" s="139"/>
      <c r="C214" s="139"/>
      <c r="D214" s="139"/>
      <c r="E214" s="198"/>
    </row>
    <row r="215">
      <c r="B215" s="139"/>
      <c r="C215" s="139"/>
      <c r="D215" s="139"/>
      <c r="E215" s="198"/>
    </row>
    <row r="216">
      <c r="B216" s="139"/>
      <c r="C216" s="139"/>
      <c r="D216" s="139"/>
      <c r="E216" s="198"/>
    </row>
    <row r="217">
      <c r="B217" s="139"/>
      <c r="C217" s="139"/>
      <c r="D217" s="139"/>
      <c r="E217" s="198"/>
    </row>
    <row r="218">
      <c r="B218" s="139"/>
      <c r="C218" s="139"/>
      <c r="D218" s="139"/>
      <c r="E218" s="198"/>
    </row>
    <row r="219">
      <c r="B219" s="139"/>
      <c r="C219" s="139"/>
      <c r="D219" s="139"/>
      <c r="E219" s="198"/>
    </row>
    <row r="220">
      <c r="B220" s="139"/>
      <c r="C220" s="139"/>
      <c r="D220" s="139"/>
      <c r="E220" s="198"/>
    </row>
    <row r="221">
      <c r="B221" s="139"/>
      <c r="C221" s="139"/>
      <c r="D221" s="139"/>
      <c r="E221" s="198"/>
    </row>
    <row r="222">
      <c r="B222" s="139"/>
      <c r="C222" s="139"/>
      <c r="D222" s="139"/>
      <c r="E222" s="198"/>
    </row>
    <row r="223">
      <c r="B223" s="139"/>
      <c r="C223" s="139"/>
      <c r="D223" s="139"/>
      <c r="E223" s="198"/>
    </row>
    <row r="224">
      <c r="B224" s="139"/>
      <c r="C224" s="139"/>
      <c r="D224" s="139"/>
      <c r="E224" s="198"/>
    </row>
    <row r="225">
      <c r="B225" s="139"/>
      <c r="C225" s="139"/>
      <c r="D225" s="139"/>
      <c r="E225" s="198"/>
    </row>
    <row r="226">
      <c r="B226" s="139"/>
      <c r="C226" s="139"/>
      <c r="D226" s="139"/>
      <c r="E226" s="198"/>
    </row>
    <row r="227">
      <c r="B227" s="139"/>
      <c r="C227" s="139"/>
      <c r="D227" s="139"/>
      <c r="E227" s="198"/>
    </row>
    <row r="228">
      <c r="B228" s="139"/>
      <c r="C228" s="139"/>
      <c r="D228" s="139"/>
      <c r="E228" s="198"/>
    </row>
    <row r="229">
      <c r="B229" s="139"/>
      <c r="C229" s="139"/>
      <c r="D229" s="139"/>
      <c r="E229" s="198"/>
    </row>
    <row r="230">
      <c r="B230" s="139"/>
      <c r="C230" s="139"/>
      <c r="D230" s="139"/>
      <c r="E230" s="198"/>
    </row>
    <row r="231">
      <c r="B231" s="139"/>
      <c r="C231" s="139"/>
      <c r="D231" s="139"/>
      <c r="E231" s="198"/>
    </row>
    <row r="232">
      <c r="B232" s="139"/>
      <c r="C232" s="139"/>
      <c r="D232" s="139"/>
      <c r="E232" s="198"/>
    </row>
    <row r="233">
      <c r="B233" s="139"/>
      <c r="C233" s="139"/>
      <c r="D233" s="139"/>
      <c r="E233" s="198"/>
    </row>
    <row r="234">
      <c r="B234" s="139"/>
      <c r="C234" s="139"/>
      <c r="D234" s="139"/>
      <c r="E234" s="198"/>
    </row>
    <row r="235">
      <c r="B235" s="139"/>
      <c r="C235" s="139"/>
      <c r="D235" s="139"/>
      <c r="E235" s="198"/>
    </row>
    <row r="236">
      <c r="B236" s="139"/>
      <c r="C236" s="139"/>
      <c r="D236" s="139"/>
      <c r="E236" s="198"/>
    </row>
    <row r="237">
      <c r="B237" s="139"/>
      <c r="C237" s="139"/>
      <c r="D237" s="139"/>
      <c r="E237" s="198"/>
    </row>
    <row r="238">
      <c r="B238" s="139"/>
      <c r="C238" s="139"/>
      <c r="D238" s="139"/>
      <c r="E238" s="198"/>
    </row>
    <row r="239">
      <c r="B239" s="139"/>
      <c r="C239" s="139"/>
      <c r="D239" s="139"/>
      <c r="E239" s="198"/>
    </row>
    <row r="240">
      <c r="B240" s="139"/>
      <c r="C240" s="139"/>
      <c r="D240" s="139"/>
      <c r="E240" s="198"/>
    </row>
    <row r="241">
      <c r="B241" s="139"/>
      <c r="C241" s="139"/>
      <c r="D241" s="139"/>
      <c r="E241" s="198"/>
    </row>
    <row r="242">
      <c r="B242" s="139"/>
      <c r="C242" s="139"/>
      <c r="D242" s="139"/>
      <c r="E242" s="198"/>
    </row>
    <row r="243">
      <c r="B243" s="139"/>
      <c r="C243" s="139"/>
      <c r="D243" s="139"/>
      <c r="E243" s="198"/>
    </row>
    <row r="244">
      <c r="B244" s="139"/>
      <c r="C244" s="139"/>
      <c r="D244" s="139"/>
      <c r="E244" s="198"/>
    </row>
    <row r="245">
      <c r="B245" s="139"/>
      <c r="C245" s="139"/>
      <c r="D245" s="139"/>
      <c r="E245" s="198"/>
    </row>
    <row r="246">
      <c r="B246" s="139"/>
      <c r="C246" s="139"/>
      <c r="D246" s="139"/>
      <c r="E246" s="198"/>
    </row>
    <row r="247">
      <c r="B247" s="139"/>
      <c r="C247" s="139"/>
      <c r="D247" s="139"/>
      <c r="E247" s="198"/>
    </row>
    <row r="248">
      <c r="B248" s="139"/>
      <c r="C248" s="139"/>
      <c r="D248" s="139"/>
      <c r="E248" s="198"/>
    </row>
    <row r="249">
      <c r="B249" s="139"/>
      <c r="C249" s="139"/>
      <c r="D249" s="139"/>
      <c r="E249" s="198"/>
    </row>
    <row r="250">
      <c r="B250" s="139"/>
      <c r="C250" s="139"/>
      <c r="D250" s="139"/>
      <c r="E250" s="198"/>
    </row>
    <row r="251">
      <c r="B251" s="139"/>
      <c r="C251" s="139"/>
      <c r="D251" s="139"/>
      <c r="E251" s="198"/>
    </row>
    <row r="252">
      <c r="B252" s="139"/>
      <c r="C252" s="139"/>
      <c r="D252" s="139"/>
      <c r="E252" s="198"/>
    </row>
    <row r="253">
      <c r="B253" s="139"/>
      <c r="C253" s="139"/>
      <c r="D253" s="139"/>
      <c r="E253" s="198"/>
    </row>
    <row r="254">
      <c r="B254" s="139"/>
      <c r="C254" s="139"/>
      <c r="D254" s="139"/>
      <c r="E254" s="198"/>
    </row>
    <row r="255">
      <c r="B255" s="139"/>
      <c r="C255" s="139"/>
      <c r="D255" s="139"/>
      <c r="E255" s="198"/>
    </row>
    <row r="256">
      <c r="B256" s="139"/>
      <c r="C256" s="139"/>
      <c r="D256" s="139"/>
      <c r="E256" s="198"/>
    </row>
    <row r="257">
      <c r="B257" s="139"/>
      <c r="C257" s="139"/>
      <c r="D257" s="139"/>
      <c r="E257" s="198"/>
    </row>
    <row r="258">
      <c r="B258" s="139"/>
      <c r="C258" s="139"/>
      <c r="D258" s="139"/>
      <c r="E258" s="198"/>
    </row>
    <row r="259">
      <c r="B259" s="139"/>
      <c r="C259" s="139"/>
      <c r="D259" s="139"/>
      <c r="E259" s="198"/>
    </row>
    <row r="260">
      <c r="B260" s="139"/>
      <c r="C260" s="139"/>
      <c r="D260" s="139"/>
      <c r="E260" s="198"/>
    </row>
    <row r="261">
      <c r="B261" s="139"/>
      <c r="C261" s="139"/>
      <c r="D261" s="139"/>
      <c r="E261" s="198"/>
    </row>
    <row r="262">
      <c r="B262" s="139"/>
      <c r="C262" s="139"/>
      <c r="D262" s="139"/>
      <c r="E262" s="198"/>
    </row>
    <row r="263">
      <c r="B263" s="139"/>
      <c r="C263" s="139"/>
      <c r="D263" s="139"/>
      <c r="E263" s="198"/>
    </row>
    <row r="264">
      <c r="B264" s="139"/>
      <c r="C264" s="139"/>
      <c r="D264" s="139"/>
      <c r="E264" s="198"/>
    </row>
    <row r="265">
      <c r="B265" s="139"/>
      <c r="C265" s="139"/>
      <c r="D265" s="139"/>
      <c r="E265" s="198"/>
    </row>
    <row r="266">
      <c r="B266" s="139"/>
      <c r="C266" s="139"/>
      <c r="D266" s="139"/>
      <c r="E266" s="198"/>
    </row>
    <row r="267">
      <c r="B267" s="139"/>
      <c r="C267" s="139"/>
      <c r="D267" s="139"/>
      <c r="E267" s="198"/>
    </row>
    <row r="268">
      <c r="B268" s="139"/>
      <c r="C268" s="139"/>
      <c r="D268" s="139"/>
      <c r="E268" s="198"/>
    </row>
    <row r="269">
      <c r="B269" s="139"/>
      <c r="C269" s="139"/>
      <c r="D269" s="139"/>
      <c r="E269" s="198"/>
    </row>
    <row r="270">
      <c r="B270" s="139"/>
      <c r="C270" s="139"/>
      <c r="D270" s="139"/>
      <c r="E270" s="198"/>
    </row>
    <row r="271">
      <c r="B271" s="139"/>
      <c r="C271" s="139"/>
      <c r="D271" s="139"/>
      <c r="E271" s="198"/>
    </row>
    <row r="272">
      <c r="B272" s="139"/>
      <c r="C272" s="139"/>
      <c r="D272" s="139"/>
      <c r="E272" s="198"/>
    </row>
    <row r="273">
      <c r="B273" s="139"/>
      <c r="C273" s="139"/>
      <c r="D273" s="139"/>
      <c r="E273" s="198"/>
    </row>
    <row r="274">
      <c r="B274" s="139"/>
      <c r="C274" s="139"/>
      <c r="D274" s="139"/>
      <c r="E274" s="198"/>
    </row>
    <row r="275">
      <c r="B275" s="139"/>
      <c r="C275" s="139"/>
      <c r="D275" s="139"/>
      <c r="E275" s="198"/>
    </row>
    <row r="276">
      <c r="B276" s="139"/>
      <c r="C276" s="139"/>
      <c r="D276" s="139"/>
      <c r="E276" s="198"/>
    </row>
    <row r="277">
      <c r="B277" s="139"/>
      <c r="C277" s="139"/>
      <c r="D277" s="139"/>
      <c r="E277" s="198"/>
    </row>
    <row r="278">
      <c r="B278" s="139"/>
      <c r="C278" s="139"/>
      <c r="D278" s="139"/>
      <c r="E278" s="198"/>
    </row>
    <row r="279">
      <c r="B279" s="139"/>
      <c r="C279" s="139"/>
      <c r="D279" s="139"/>
      <c r="E279" s="198"/>
    </row>
    <row r="280">
      <c r="B280" s="139"/>
      <c r="C280" s="139"/>
      <c r="D280" s="139"/>
      <c r="E280" s="198"/>
    </row>
    <row r="281">
      <c r="B281" s="139"/>
      <c r="C281" s="139"/>
      <c r="D281" s="139"/>
      <c r="E281" s="198"/>
    </row>
    <row r="282">
      <c r="B282" s="139"/>
      <c r="C282" s="139"/>
      <c r="D282" s="139"/>
      <c r="E282" s="198"/>
    </row>
    <row r="283">
      <c r="B283" s="139"/>
      <c r="C283" s="139"/>
      <c r="D283" s="139"/>
      <c r="E283" s="198"/>
    </row>
    <row r="284">
      <c r="B284" s="139"/>
      <c r="C284" s="139"/>
      <c r="D284" s="139"/>
      <c r="E284" s="198"/>
    </row>
    <row r="285">
      <c r="B285" s="139"/>
      <c r="C285" s="139"/>
      <c r="D285" s="139"/>
      <c r="E285" s="198"/>
    </row>
    <row r="286">
      <c r="B286" s="139"/>
      <c r="C286" s="139"/>
      <c r="D286" s="139"/>
      <c r="E286" s="198"/>
    </row>
    <row r="287">
      <c r="B287" s="139"/>
      <c r="C287" s="139"/>
      <c r="D287" s="139"/>
      <c r="E287" s="198"/>
    </row>
    <row r="288">
      <c r="B288" s="139"/>
      <c r="C288" s="139"/>
      <c r="D288" s="139"/>
      <c r="E288" s="198"/>
    </row>
    <row r="289">
      <c r="B289" s="139"/>
      <c r="C289" s="139"/>
      <c r="D289" s="139"/>
      <c r="E289" s="198"/>
    </row>
    <row r="290">
      <c r="B290" s="139"/>
      <c r="C290" s="139"/>
      <c r="D290" s="139"/>
      <c r="E290" s="198"/>
    </row>
    <row r="291">
      <c r="B291" s="139"/>
      <c r="C291" s="139"/>
      <c r="D291" s="139"/>
      <c r="E291" s="198"/>
    </row>
    <row r="292">
      <c r="B292" s="139"/>
      <c r="C292" s="139"/>
      <c r="D292" s="139"/>
      <c r="E292" s="198"/>
    </row>
    <row r="293">
      <c r="B293" s="139"/>
      <c r="C293" s="139"/>
      <c r="D293" s="139"/>
      <c r="E293" s="198"/>
    </row>
    <row r="294">
      <c r="B294" s="139"/>
      <c r="C294" s="139"/>
      <c r="D294" s="139"/>
      <c r="E294" s="198"/>
    </row>
    <row r="295">
      <c r="B295" s="139"/>
      <c r="C295" s="139"/>
      <c r="D295" s="139"/>
      <c r="E295" s="198"/>
    </row>
    <row r="296">
      <c r="B296" s="139"/>
      <c r="C296" s="139"/>
      <c r="D296" s="139"/>
      <c r="E296" s="198"/>
    </row>
    <row r="297">
      <c r="B297" s="139"/>
      <c r="C297" s="139"/>
      <c r="D297" s="139"/>
      <c r="E297" s="198"/>
    </row>
    <row r="298">
      <c r="B298" s="139"/>
      <c r="C298" s="139"/>
      <c r="D298" s="139"/>
      <c r="E298" s="198"/>
    </row>
    <row r="299">
      <c r="B299" s="139"/>
      <c r="C299" s="139"/>
      <c r="D299" s="139"/>
      <c r="E299" s="198"/>
    </row>
    <row r="300">
      <c r="B300" s="139"/>
      <c r="C300" s="139"/>
      <c r="D300" s="139"/>
      <c r="E300" s="198"/>
    </row>
    <row r="301">
      <c r="B301" s="139"/>
      <c r="C301" s="139"/>
      <c r="D301" s="139"/>
      <c r="E301" s="198"/>
    </row>
    <row r="302">
      <c r="B302" s="139"/>
      <c r="C302" s="139"/>
      <c r="D302" s="139"/>
      <c r="E302" s="198"/>
    </row>
    <row r="303">
      <c r="B303" s="139"/>
      <c r="C303" s="139"/>
      <c r="D303" s="139"/>
      <c r="E303" s="198"/>
    </row>
    <row r="304">
      <c r="B304" s="139"/>
      <c r="C304" s="139"/>
      <c r="D304" s="139"/>
      <c r="E304" s="198"/>
    </row>
    <row r="305">
      <c r="B305" s="139"/>
      <c r="C305" s="139"/>
      <c r="D305" s="139"/>
      <c r="E305" s="198"/>
    </row>
    <row r="306">
      <c r="B306" s="139"/>
      <c r="C306" s="139"/>
      <c r="D306" s="139"/>
      <c r="E306" s="198"/>
    </row>
    <row r="307">
      <c r="B307" s="139"/>
      <c r="C307" s="139"/>
      <c r="D307" s="139"/>
      <c r="E307" s="198"/>
    </row>
    <row r="308">
      <c r="B308" s="139"/>
      <c r="C308" s="139"/>
      <c r="D308" s="139"/>
      <c r="E308" s="198"/>
    </row>
    <row r="309">
      <c r="B309" s="139"/>
      <c r="C309" s="139"/>
      <c r="D309" s="139"/>
      <c r="E309" s="198"/>
    </row>
    <row r="310">
      <c r="B310" s="139"/>
      <c r="C310" s="139"/>
      <c r="D310" s="139"/>
      <c r="E310" s="198"/>
    </row>
    <row r="311">
      <c r="B311" s="139"/>
      <c r="C311" s="139"/>
      <c r="D311" s="139"/>
      <c r="E311" s="198"/>
    </row>
    <row r="312">
      <c r="B312" s="139"/>
      <c r="C312" s="139"/>
      <c r="D312" s="139"/>
      <c r="E312" s="198"/>
    </row>
    <row r="313">
      <c r="B313" s="139"/>
      <c r="C313" s="139"/>
      <c r="D313" s="139"/>
      <c r="E313" s="198"/>
    </row>
    <row r="314">
      <c r="B314" s="139"/>
      <c r="C314" s="139"/>
      <c r="D314" s="139"/>
      <c r="E314" s="198"/>
    </row>
    <row r="315">
      <c r="B315" s="139"/>
      <c r="C315" s="139"/>
      <c r="D315" s="139"/>
      <c r="E315" s="198"/>
    </row>
    <row r="316">
      <c r="B316" s="139"/>
      <c r="C316" s="139"/>
      <c r="D316" s="139"/>
      <c r="E316" s="198"/>
    </row>
    <row r="317">
      <c r="B317" s="139"/>
      <c r="C317" s="139"/>
      <c r="D317" s="139"/>
      <c r="E317" s="198"/>
    </row>
    <row r="318">
      <c r="B318" s="139"/>
      <c r="C318" s="139"/>
      <c r="D318" s="139"/>
      <c r="E318" s="198"/>
    </row>
    <row r="319">
      <c r="B319" s="139"/>
      <c r="C319" s="139"/>
      <c r="D319" s="139"/>
      <c r="E319" s="198"/>
    </row>
    <row r="320">
      <c r="B320" s="139"/>
      <c r="C320" s="139"/>
      <c r="D320" s="139"/>
      <c r="E320" s="198"/>
    </row>
    <row r="321">
      <c r="B321" s="139"/>
      <c r="C321" s="139"/>
      <c r="D321" s="139"/>
      <c r="E321" s="198"/>
    </row>
    <row r="322">
      <c r="B322" s="139"/>
      <c r="C322" s="139"/>
      <c r="D322" s="139"/>
      <c r="E322" s="198"/>
    </row>
    <row r="323">
      <c r="B323" s="139"/>
      <c r="C323" s="139"/>
      <c r="D323" s="139"/>
      <c r="E323" s="198"/>
    </row>
    <row r="324">
      <c r="B324" s="139"/>
      <c r="C324" s="139"/>
      <c r="D324" s="139"/>
      <c r="E324" s="198"/>
    </row>
    <row r="325">
      <c r="B325" s="139"/>
      <c r="C325" s="139"/>
      <c r="D325" s="139"/>
      <c r="E325" s="198"/>
    </row>
    <row r="326">
      <c r="B326" s="139"/>
      <c r="C326" s="139"/>
      <c r="D326" s="139"/>
      <c r="E326" s="198"/>
    </row>
    <row r="327">
      <c r="B327" s="139"/>
      <c r="C327" s="139"/>
      <c r="D327" s="139"/>
      <c r="E327" s="198"/>
    </row>
    <row r="328">
      <c r="B328" s="139"/>
      <c r="C328" s="139"/>
      <c r="D328" s="139"/>
      <c r="E328" s="198"/>
    </row>
    <row r="329">
      <c r="B329" s="139"/>
      <c r="C329" s="139"/>
      <c r="D329" s="139"/>
      <c r="E329" s="198"/>
    </row>
    <row r="330">
      <c r="B330" s="139"/>
      <c r="C330" s="139"/>
      <c r="D330" s="139"/>
      <c r="E330" s="198"/>
    </row>
    <row r="331">
      <c r="B331" s="139"/>
      <c r="C331" s="139"/>
      <c r="D331" s="139"/>
      <c r="E331" s="198"/>
    </row>
    <row r="332">
      <c r="B332" s="139"/>
      <c r="C332" s="139"/>
      <c r="D332" s="139"/>
      <c r="E332" s="198"/>
    </row>
    <row r="333">
      <c r="B333" s="139"/>
      <c r="C333" s="139"/>
      <c r="D333" s="139"/>
      <c r="E333" s="198"/>
    </row>
    <row r="334">
      <c r="B334" s="139"/>
      <c r="C334" s="139"/>
      <c r="D334" s="139"/>
      <c r="E334" s="198"/>
    </row>
    <row r="335">
      <c r="B335" s="139"/>
      <c r="C335" s="139"/>
      <c r="D335" s="139"/>
      <c r="E335" s="198"/>
    </row>
    <row r="336">
      <c r="B336" s="139"/>
      <c r="C336" s="139"/>
      <c r="D336" s="139"/>
      <c r="E336" s="198"/>
    </row>
    <row r="337">
      <c r="B337" s="139"/>
      <c r="C337" s="139"/>
      <c r="D337" s="139"/>
      <c r="E337" s="198"/>
    </row>
    <row r="338">
      <c r="B338" s="139"/>
      <c r="C338" s="139"/>
      <c r="D338" s="139"/>
      <c r="E338" s="198"/>
    </row>
    <row r="339">
      <c r="B339" s="139"/>
      <c r="C339" s="139"/>
      <c r="D339" s="139"/>
      <c r="E339" s="198"/>
    </row>
    <row r="340">
      <c r="B340" s="139"/>
      <c r="C340" s="139"/>
      <c r="D340" s="139"/>
      <c r="E340" s="198"/>
    </row>
    <row r="341">
      <c r="B341" s="139"/>
      <c r="C341" s="139"/>
      <c r="D341" s="139"/>
      <c r="E341" s="198"/>
    </row>
    <row r="342">
      <c r="B342" s="139"/>
      <c r="C342" s="139"/>
      <c r="D342" s="139"/>
      <c r="E342" s="198"/>
    </row>
    <row r="343">
      <c r="B343" s="139"/>
      <c r="C343" s="139"/>
      <c r="D343" s="139"/>
      <c r="E343" s="198"/>
    </row>
    <row r="344">
      <c r="B344" s="139"/>
      <c r="C344" s="139"/>
      <c r="D344" s="139"/>
      <c r="E344" s="198"/>
    </row>
    <row r="345">
      <c r="B345" s="139"/>
      <c r="C345" s="139"/>
      <c r="D345" s="139"/>
      <c r="E345" s="198"/>
    </row>
    <row r="346">
      <c r="B346" s="139"/>
      <c r="C346" s="139"/>
      <c r="D346" s="139"/>
      <c r="E346" s="198"/>
    </row>
    <row r="347">
      <c r="B347" s="139"/>
      <c r="C347" s="139"/>
      <c r="D347" s="139"/>
      <c r="E347" s="198"/>
    </row>
    <row r="348">
      <c r="B348" s="139"/>
      <c r="C348" s="139"/>
      <c r="D348" s="139"/>
      <c r="E348" s="198"/>
    </row>
    <row r="349">
      <c r="B349" s="139"/>
      <c r="C349" s="139"/>
      <c r="D349" s="139"/>
      <c r="E349" s="198"/>
    </row>
    <row r="350">
      <c r="B350" s="139"/>
      <c r="C350" s="139"/>
      <c r="D350" s="139"/>
      <c r="E350" s="198"/>
    </row>
    <row r="351">
      <c r="B351" s="139"/>
      <c r="C351" s="139"/>
      <c r="D351" s="139"/>
      <c r="E351" s="198"/>
    </row>
    <row r="352">
      <c r="B352" s="139"/>
      <c r="C352" s="139"/>
      <c r="D352" s="139"/>
      <c r="E352" s="198"/>
    </row>
    <row r="353">
      <c r="B353" s="139"/>
      <c r="C353" s="139"/>
      <c r="D353" s="139"/>
      <c r="E353" s="198"/>
    </row>
    <row r="354">
      <c r="B354" s="139"/>
      <c r="C354" s="139"/>
      <c r="D354" s="139"/>
      <c r="E354" s="198"/>
    </row>
    <row r="355">
      <c r="B355" s="139"/>
      <c r="C355" s="139"/>
      <c r="D355" s="139"/>
      <c r="E355" s="198"/>
    </row>
    <row r="356">
      <c r="B356" s="139"/>
      <c r="C356" s="139"/>
      <c r="D356" s="139"/>
      <c r="E356" s="198"/>
    </row>
    <row r="357">
      <c r="B357" s="139"/>
      <c r="C357" s="139"/>
      <c r="D357" s="139"/>
      <c r="E357" s="198"/>
    </row>
    <row r="358">
      <c r="B358" s="139"/>
      <c r="C358" s="139"/>
      <c r="D358" s="139"/>
      <c r="E358" s="198"/>
    </row>
    <row r="359">
      <c r="B359" s="139"/>
      <c r="C359" s="139"/>
      <c r="D359" s="139"/>
      <c r="E359" s="198"/>
    </row>
    <row r="360">
      <c r="B360" s="139"/>
      <c r="C360" s="139"/>
      <c r="D360" s="139"/>
      <c r="E360" s="198"/>
    </row>
    <row r="361">
      <c r="B361" s="139"/>
      <c r="C361" s="139"/>
      <c r="D361" s="139"/>
      <c r="E361" s="198"/>
    </row>
    <row r="362">
      <c r="B362" s="139"/>
      <c r="C362" s="139"/>
      <c r="D362" s="139"/>
      <c r="E362" s="198"/>
    </row>
    <row r="363">
      <c r="B363" s="139"/>
      <c r="C363" s="139"/>
      <c r="D363" s="139"/>
      <c r="E363" s="198"/>
    </row>
    <row r="364">
      <c r="B364" s="139"/>
      <c r="C364" s="139"/>
      <c r="D364" s="139"/>
      <c r="E364" s="198"/>
    </row>
    <row r="365">
      <c r="B365" s="139"/>
      <c r="C365" s="139"/>
      <c r="D365" s="139"/>
      <c r="E365" s="198"/>
    </row>
    <row r="366">
      <c r="B366" s="139"/>
      <c r="C366" s="139"/>
      <c r="D366" s="139"/>
      <c r="E366" s="198"/>
    </row>
    <row r="367">
      <c r="B367" s="139"/>
      <c r="C367" s="139"/>
      <c r="D367" s="139"/>
      <c r="E367" s="198"/>
    </row>
    <row r="368">
      <c r="B368" s="139"/>
      <c r="C368" s="139"/>
      <c r="D368" s="139"/>
      <c r="E368" s="198"/>
    </row>
    <row r="369">
      <c r="B369" s="139"/>
      <c r="C369" s="139"/>
      <c r="D369" s="139"/>
      <c r="E369" s="198"/>
    </row>
    <row r="370">
      <c r="B370" s="139"/>
      <c r="C370" s="139"/>
      <c r="D370" s="139"/>
      <c r="E370" s="198"/>
    </row>
    <row r="371">
      <c r="B371" s="139"/>
      <c r="C371" s="139"/>
      <c r="D371" s="139"/>
      <c r="E371" s="198"/>
    </row>
    <row r="372">
      <c r="B372" s="139"/>
      <c r="C372" s="139"/>
      <c r="D372" s="139"/>
      <c r="E372" s="198"/>
    </row>
    <row r="373">
      <c r="B373" s="139"/>
      <c r="C373" s="139"/>
      <c r="D373" s="139"/>
      <c r="E373" s="198"/>
    </row>
    <row r="374">
      <c r="B374" s="139"/>
      <c r="C374" s="139"/>
      <c r="D374" s="139"/>
      <c r="E374" s="198"/>
    </row>
    <row r="375">
      <c r="B375" s="139"/>
      <c r="C375" s="139"/>
      <c r="D375" s="139"/>
      <c r="E375" s="198"/>
    </row>
    <row r="376">
      <c r="B376" s="139"/>
      <c r="C376" s="139"/>
      <c r="D376" s="139"/>
      <c r="E376" s="198"/>
    </row>
    <row r="377">
      <c r="B377" s="139"/>
      <c r="C377" s="139"/>
      <c r="D377" s="139"/>
      <c r="E377" s="198"/>
    </row>
    <row r="378">
      <c r="B378" s="139"/>
      <c r="C378" s="139"/>
      <c r="D378" s="139"/>
      <c r="E378" s="198"/>
    </row>
    <row r="379">
      <c r="B379" s="139"/>
      <c r="C379" s="139"/>
      <c r="D379" s="139"/>
      <c r="E379" s="198"/>
    </row>
    <row r="380">
      <c r="B380" s="139"/>
      <c r="C380" s="139"/>
      <c r="D380" s="139"/>
      <c r="E380" s="198"/>
    </row>
    <row r="381">
      <c r="B381" s="139"/>
      <c r="C381" s="139"/>
      <c r="D381" s="139"/>
      <c r="E381" s="198"/>
    </row>
    <row r="382">
      <c r="B382" s="139"/>
      <c r="C382" s="139"/>
      <c r="D382" s="139"/>
      <c r="E382" s="198"/>
    </row>
    <row r="383">
      <c r="B383" s="139"/>
      <c r="C383" s="139"/>
      <c r="D383" s="139"/>
      <c r="E383" s="198"/>
    </row>
    <row r="384">
      <c r="B384" s="139"/>
      <c r="C384" s="139"/>
      <c r="D384" s="139"/>
      <c r="E384" s="198"/>
    </row>
    <row r="385">
      <c r="B385" s="139"/>
      <c r="C385" s="139"/>
      <c r="D385" s="139"/>
      <c r="E385" s="198"/>
    </row>
    <row r="386">
      <c r="B386" s="139"/>
      <c r="C386" s="139"/>
      <c r="D386" s="139"/>
      <c r="E386" s="198"/>
    </row>
    <row r="387">
      <c r="B387" s="139"/>
      <c r="C387" s="139"/>
      <c r="D387" s="139"/>
      <c r="E387" s="198"/>
    </row>
    <row r="388">
      <c r="B388" s="139"/>
      <c r="C388" s="139"/>
      <c r="D388" s="139"/>
      <c r="E388" s="198"/>
    </row>
    <row r="389">
      <c r="B389" s="139"/>
      <c r="C389" s="139"/>
      <c r="D389" s="139"/>
      <c r="E389" s="198"/>
    </row>
    <row r="390">
      <c r="B390" s="139"/>
      <c r="C390" s="139"/>
      <c r="D390" s="139"/>
      <c r="E390" s="198"/>
    </row>
    <row r="391">
      <c r="B391" s="139"/>
      <c r="C391" s="139"/>
      <c r="D391" s="139"/>
      <c r="E391" s="198"/>
    </row>
    <row r="392">
      <c r="B392" s="139"/>
      <c r="C392" s="139"/>
      <c r="D392" s="139"/>
      <c r="E392" s="198"/>
    </row>
    <row r="393">
      <c r="B393" s="139"/>
      <c r="C393" s="139"/>
      <c r="D393" s="139"/>
      <c r="E393" s="198"/>
    </row>
    <row r="394">
      <c r="B394" s="139"/>
      <c r="C394" s="139"/>
      <c r="D394" s="139"/>
      <c r="E394" s="198"/>
    </row>
    <row r="395">
      <c r="B395" s="139"/>
      <c r="C395" s="139"/>
      <c r="D395" s="139"/>
      <c r="E395" s="198"/>
    </row>
    <row r="396">
      <c r="B396" s="139"/>
      <c r="C396" s="139"/>
      <c r="D396" s="139"/>
      <c r="E396" s="198"/>
    </row>
    <row r="397">
      <c r="B397" s="139"/>
      <c r="C397" s="139"/>
      <c r="D397" s="139"/>
      <c r="E397" s="198"/>
    </row>
    <row r="398">
      <c r="B398" s="139"/>
      <c r="C398" s="139"/>
      <c r="D398" s="139"/>
      <c r="E398" s="198"/>
    </row>
    <row r="399">
      <c r="B399" s="139"/>
      <c r="C399" s="139"/>
      <c r="D399" s="139"/>
      <c r="E399" s="198"/>
    </row>
    <row r="400">
      <c r="B400" s="139"/>
      <c r="C400" s="139"/>
      <c r="D400" s="139"/>
      <c r="E400" s="198"/>
    </row>
    <row r="401">
      <c r="B401" s="139"/>
      <c r="C401" s="139"/>
      <c r="D401" s="139"/>
      <c r="E401" s="198"/>
    </row>
    <row r="402">
      <c r="B402" s="139"/>
      <c r="C402" s="139"/>
      <c r="D402" s="139"/>
      <c r="E402" s="198"/>
    </row>
    <row r="403">
      <c r="B403" s="139"/>
      <c r="C403" s="139"/>
      <c r="D403" s="139"/>
      <c r="E403" s="198"/>
    </row>
    <row r="404">
      <c r="B404" s="139"/>
      <c r="C404" s="139"/>
      <c r="D404" s="139"/>
      <c r="E404" s="198"/>
    </row>
    <row r="405">
      <c r="B405" s="139"/>
      <c r="C405" s="139"/>
      <c r="D405" s="139"/>
      <c r="E405" s="198"/>
    </row>
    <row r="406">
      <c r="B406" s="139"/>
      <c r="C406" s="139"/>
      <c r="D406" s="139"/>
      <c r="E406" s="198"/>
    </row>
    <row r="407">
      <c r="B407" s="139"/>
      <c r="C407" s="139"/>
      <c r="D407" s="139"/>
      <c r="E407" s="198"/>
    </row>
    <row r="408">
      <c r="B408" s="139"/>
      <c r="C408" s="139"/>
      <c r="D408" s="139"/>
      <c r="E408" s="198"/>
    </row>
    <row r="409">
      <c r="B409" s="139"/>
      <c r="C409" s="139"/>
      <c r="D409" s="139"/>
      <c r="E409" s="198"/>
    </row>
    <row r="410">
      <c r="B410" s="139"/>
      <c r="C410" s="139"/>
      <c r="D410" s="139"/>
      <c r="E410" s="198"/>
    </row>
    <row r="411">
      <c r="B411" s="139"/>
      <c r="C411" s="139"/>
      <c r="D411" s="139"/>
      <c r="E411" s="198"/>
    </row>
    <row r="412">
      <c r="B412" s="139"/>
      <c r="C412" s="139"/>
      <c r="D412" s="139"/>
      <c r="E412" s="198"/>
    </row>
    <row r="413">
      <c r="B413" s="139"/>
      <c r="C413" s="139"/>
      <c r="D413" s="139"/>
      <c r="E413" s="198"/>
    </row>
    <row r="414">
      <c r="B414" s="139"/>
      <c r="C414" s="139"/>
      <c r="D414" s="139"/>
      <c r="E414" s="198"/>
    </row>
    <row r="415">
      <c r="B415" s="139"/>
      <c r="C415" s="139"/>
      <c r="D415" s="139"/>
      <c r="E415" s="198"/>
    </row>
    <row r="416">
      <c r="B416" s="139"/>
      <c r="C416" s="139"/>
      <c r="D416" s="139"/>
      <c r="E416" s="198"/>
    </row>
    <row r="417">
      <c r="B417" s="139"/>
      <c r="C417" s="139"/>
      <c r="D417" s="139"/>
      <c r="E417" s="198"/>
    </row>
    <row r="418">
      <c r="B418" s="139"/>
      <c r="C418" s="139"/>
      <c r="D418" s="139"/>
      <c r="E418" s="198"/>
    </row>
    <row r="419">
      <c r="B419" s="139"/>
      <c r="C419" s="139"/>
      <c r="D419" s="139"/>
      <c r="E419" s="198"/>
    </row>
    <row r="420">
      <c r="B420" s="139"/>
      <c r="C420" s="139"/>
      <c r="D420" s="139"/>
      <c r="E420" s="198"/>
    </row>
    <row r="421">
      <c r="B421" s="139"/>
      <c r="C421" s="139"/>
      <c r="D421" s="139"/>
      <c r="E421" s="198"/>
    </row>
    <row r="422">
      <c r="B422" s="139"/>
      <c r="C422" s="139"/>
      <c r="D422" s="139"/>
      <c r="E422" s="198"/>
    </row>
    <row r="423">
      <c r="B423" s="139"/>
      <c r="C423" s="139"/>
      <c r="D423" s="139"/>
      <c r="E423" s="198"/>
    </row>
    <row r="424">
      <c r="B424" s="139"/>
      <c r="C424" s="139"/>
      <c r="D424" s="139"/>
      <c r="E424" s="198"/>
    </row>
    <row r="425">
      <c r="B425" s="139"/>
      <c r="C425" s="139"/>
      <c r="D425" s="139"/>
      <c r="E425" s="198"/>
    </row>
    <row r="426">
      <c r="B426" s="139"/>
      <c r="C426" s="139"/>
      <c r="D426" s="139"/>
      <c r="E426" s="198"/>
    </row>
    <row r="427">
      <c r="B427" s="139"/>
      <c r="C427" s="139"/>
      <c r="D427" s="139"/>
      <c r="E427" s="198"/>
    </row>
    <row r="428">
      <c r="B428" s="139"/>
      <c r="C428" s="139"/>
      <c r="D428" s="139"/>
      <c r="E428" s="198"/>
    </row>
    <row r="429">
      <c r="B429" s="139"/>
      <c r="C429" s="139"/>
      <c r="D429" s="139"/>
      <c r="E429" s="198"/>
    </row>
    <row r="430">
      <c r="B430" s="139"/>
      <c r="C430" s="139"/>
      <c r="D430" s="139"/>
      <c r="E430" s="198"/>
    </row>
    <row r="431">
      <c r="B431" s="139"/>
      <c r="C431" s="139"/>
      <c r="D431" s="139"/>
      <c r="E431" s="198"/>
    </row>
    <row r="432">
      <c r="B432" s="139"/>
      <c r="C432" s="139"/>
      <c r="D432" s="139"/>
      <c r="E432" s="198"/>
    </row>
    <row r="433">
      <c r="B433" s="139"/>
      <c r="C433" s="139"/>
      <c r="D433" s="139"/>
      <c r="E433" s="198"/>
    </row>
    <row r="434">
      <c r="B434" s="139"/>
      <c r="C434" s="139"/>
      <c r="D434" s="139"/>
      <c r="E434" s="198"/>
    </row>
    <row r="435">
      <c r="B435" s="139"/>
      <c r="C435" s="139"/>
      <c r="D435" s="139"/>
      <c r="E435" s="198"/>
    </row>
    <row r="436">
      <c r="B436" s="139"/>
      <c r="C436" s="139"/>
      <c r="D436" s="139"/>
      <c r="E436" s="198"/>
    </row>
    <row r="437">
      <c r="B437" s="139"/>
      <c r="C437" s="139"/>
      <c r="D437" s="139"/>
      <c r="E437" s="198"/>
    </row>
    <row r="438">
      <c r="B438" s="139"/>
      <c r="C438" s="139"/>
      <c r="D438" s="139"/>
      <c r="E438" s="198"/>
    </row>
    <row r="439">
      <c r="B439" s="139"/>
      <c r="C439" s="139"/>
      <c r="D439" s="139"/>
      <c r="E439" s="198"/>
    </row>
    <row r="440">
      <c r="B440" s="139"/>
      <c r="C440" s="139"/>
      <c r="D440" s="139"/>
      <c r="E440" s="198"/>
    </row>
    <row r="441">
      <c r="B441" s="139"/>
      <c r="C441" s="139"/>
      <c r="D441" s="139"/>
      <c r="E441" s="198"/>
    </row>
    <row r="442">
      <c r="B442" s="139"/>
      <c r="C442" s="139"/>
      <c r="D442" s="139"/>
      <c r="E442" s="198"/>
    </row>
    <row r="443">
      <c r="B443" s="139"/>
      <c r="C443" s="139"/>
      <c r="D443" s="139"/>
      <c r="E443" s="198"/>
    </row>
    <row r="444">
      <c r="B444" s="139"/>
      <c r="C444" s="139"/>
      <c r="D444" s="139"/>
      <c r="E444" s="198"/>
    </row>
    <row r="445">
      <c r="B445" s="139"/>
      <c r="C445" s="139"/>
      <c r="D445" s="139"/>
      <c r="E445" s="198"/>
    </row>
    <row r="446">
      <c r="B446" s="139"/>
      <c r="C446" s="139"/>
      <c r="D446" s="139"/>
      <c r="E446" s="198"/>
    </row>
    <row r="447">
      <c r="B447" s="139"/>
      <c r="C447" s="139"/>
      <c r="D447" s="139"/>
      <c r="E447" s="198"/>
    </row>
    <row r="448">
      <c r="B448" s="139"/>
      <c r="C448" s="139"/>
      <c r="D448" s="139"/>
      <c r="E448" s="198"/>
    </row>
    <row r="449">
      <c r="B449" s="139"/>
      <c r="C449" s="139"/>
      <c r="D449" s="139"/>
      <c r="E449" s="198"/>
    </row>
    <row r="450">
      <c r="B450" s="139"/>
      <c r="C450" s="139"/>
      <c r="D450" s="139"/>
      <c r="E450" s="198"/>
    </row>
    <row r="451">
      <c r="B451" s="139"/>
      <c r="C451" s="139"/>
      <c r="D451" s="139"/>
      <c r="E451" s="198"/>
    </row>
    <row r="452">
      <c r="B452" s="139"/>
      <c r="C452" s="139"/>
      <c r="D452" s="139"/>
      <c r="E452" s="198"/>
    </row>
    <row r="453">
      <c r="B453" s="139"/>
      <c r="C453" s="139"/>
      <c r="D453" s="139"/>
      <c r="E453" s="198"/>
    </row>
    <row r="454">
      <c r="B454" s="139"/>
      <c r="C454" s="139"/>
      <c r="D454" s="139"/>
      <c r="E454" s="198"/>
    </row>
    <row r="455">
      <c r="B455" s="139"/>
      <c r="C455" s="139"/>
      <c r="D455" s="139"/>
      <c r="E455" s="198"/>
    </row>
    <row r="456">
      <c r="B456" s="139"/>
      <c r="C456" s="139"/>
      <c r="D456" s="139"/>
      <c r="E456" s="198"/>
    </row>
    <row r="457">
      <c r="B457" s="139"/>
      <c r="C457" s="139"/>
      <c r="D457" s="139"/>
      <c r="E457" s="198"/>
    </row>
    <row r="458">
      <c r="B458" s="139"/>
      <c r="C458" s="139"/>
      <c r="D458" s="139"/>
      <c r="E458" s="198"/>
    </row>
    <row r="459">
      <c r="B459" s="139"/>
      <c r="C459" s="139"/>
      <c r="D459" s="139"/>
      <c r="E459" s="198"/>
    </row>
    <row r="460">
      <c r="B460" s="139"/>
      <c r="C460" s="139"/>
      <c r="D460" s="139"/>
      <c r="E460" s="198"/>
    </row>
    <row r="461">
      <c r="B461" s="139"/>
      <c r="C461" s="139"/>
      <c r="D461" s="139"/>
      <c r="E461" s="198"/>
    </row>
    <row r="462">
      <c r="B462" s="139"/>
      <c r="C462" s="139"/>
      <c r="D462" s="139"/>
      <c r="E462" s="198"/>
    </row>
    <row r="463">
      <c r="B463" s="139"/>
      <c r="C463" s="139"/>
      <c r="D463" s="139"/>
      <c r="E463" s="198"/>
    </row>
    <row r="464">
      <c r="B464" s="139"/>
      <c r="C464" s="139"/>
      <c r="D464" s="139"/>
      <c r="E464" s="198"/>
    </row>
    <row r="465">
      <c r="B465" s="139"/>
      <c r="C465" s="139"/>
      <c r="D465" s="139"/>
      <c r="E465" s="198"/>
    </row>
    <row r="466">
      <c r="B466" s="139"/>
      <c r="C466" s="139"/>
      <c r="D466" s="139"/>
      <c r="E466" s="198"/>
    </row>
    <row r="467">
      <c r="B467" s="139"/>
      <c r="C467" s="139"/>
      <c r="D467" s="139"/>
      <c r="E467" s="198"/>
    </row>
    <row r="468">
      <c r="B468" s="139"/>
      <c r="C468" s="139"/>
      <c r="D468" s="139"/>
      <c r="E468" s="198"/>
    </row>
    <row r="469">
      <c r="B469" s="139"/>
      <c r="C469" s="139"/>
      <c r="D469" s="139"/>
      <c r="E469" s="198"/>
    </row>
    <row r="470">
      <c r="B470" s="139"/>
      <c r="C470" s="139"/>
      <c r="D470" s="139"/>
      <c r="E470" s="198"/>
    </row>
    <row r="471">
      <c r="B471" s="139"/>
      <c r="C471" s="139"/>
      <c r="D471" s="139"/>
      <c r="E471" s="198"/>
    </row>
    <row r="472">
      <c r="B472" s="139"/>
      <c r="C472" s="139"/>
      <c r="D472" s="139"/>
      <c r="E472" s="198"/>
    </row>
    <row r="473">
      <c r="B473" s="139"/>
      <c r="C473" s="139"/>
      <c r="D473" s="139"/>
      <c r="E473" s="198"/>
    </row>
    <row r="474">
      <c r="B474" s="139"/>
      <c r="C474" s="139"/>
      <c r="D474" s="139"/>
      <c r="E474" s="198"/>
    </row>
    <row r="475">
      <c r="B475" s="139"/>
      <c r="C475" s="139"/>
      <c r="D475" s="139"/>
      <c r="E475" s="198"/>
    </row>
    <row r="476">
      <c r="B476" s="139"/>
      <c r="C476" s="139"/>
      <c r="D476" s="139"/>
      <c r="E476" s="198"/>
    </row>
    <row r="477">
      <c r="B477" s="139"/>
      <c r="C477" s="139"/>
      <c r="D477" s="139"/>
      <c r="E477" s="198"/>
    </row>
    <row r="478">
      <c r="B478" s="139"/>
      <c r="C478" s="139"/>
      <c r="D478" s="139"/>
      <c r="E478" s="198"/>
    </row>
    <row r="479">
      <c r="B479" s="139"/>
      <c r="C479" s="139"/>
      <c r="D479" s="139"/>
      <c r="E479" s="198"/>
    </row>
    <row r="480">
      <c r="B480" s="139"/>
      <c r="C480" s="139"/>
      <c r="D480" s="139"/>
      <c r="E480" s="198"/>
    </row>
    <row r="481">
      <c r="B481" s="139"/>
      <c r="C481" s="139"/>
      <c r="D481" s="139"/>
      <c r="E481" s="198"/>
    </row>
    <row r="482">
      <c r="B482" s="139"/>
      <c r="C482" s="139"/>
      <c r="D482" s="139"/>
      <c r="E482" s="198"/>
    </row>
    <row r="483">
      <c r="B483" s="139"/>
      <c r="C483" s="139"/>
      <c r="D483" s="139"/>
      <c r="E483" s="198"/>
    </row>
    <row r="484">
      <c r="B484" s="139"/>
      <c r="C484" s="139"/>
      <c r="D484" s="139"/>
      <c r="E484" s="198"/>
    </row>
    <row r="485">
      <c r="B485" s="139"/>
      <c r="C485" s="139"/>
      <c r="D485" s="139"/>
      <c r="E485" s="198"/>
    </row>
    <row r="486">
      <c r="B486" s="139"/>
      <c r="C486" s="139"/>
      <c r="D486" s="139"/>
      <c r="E486" s="198"/>
    </row>
    <row r="487">
      <c r="B487" s="139"/>
      <c r="C487" s="139"/>
      <c r="D487" s="139"/>
      <c r="E487" s="198"/>
    </row>
    <row r="488">
      <c r="B488" s="139"/>
      <c r="C488" s="139"/>
      <c r="D488" s="139"/>
      <c r="E488" s="198"/>
    </row>
    <row r="489">
      <c r="B489" s="139"/>
      <c r="C489" s="139"/>
      <c r="D489" s="139"/>
      <c r="E489" s="198"/>
    </row>
    <row r="490">
      <c r="B490" s="139"/>
      <c r="C490" s="139"/>
      <c r="D490" s="139"/>
      <c r="E490" s="198"/>
    </row>
    <row r="491">
      <c r="B491" s="139"/>
      <c r="C491" s="139"/>
      <c r="D491" s="139"/>
      <c r="E491" s="198"/>
    </row>
    <row r="492">
      <c r="B492" s="139"/>
      <c r="C492" s="139"/>
      <c r="D492" s="139"/>
      <c r="E492" s="198"/>
    </row>
    <row r="493">
      <c r="B493" s="139"/>
      <c r="C493" s="139"/>
      <c r="D493" s="139"/>
      <c r="E493" s="198"/>
    </row>
    <row r="494">
      <c r="B494" s="139"/>
      <c r="C494" s="139"/>
      <c r="D494" s="139"/>
      <c r="E494" s="198"/>
    </row>
    <row r="495">
      <c r="B495" s="139"/>
      <c r="C495" s="139"/>
      <c r="D495" s="139"/>
      <c r="E495" s="198"/>
    </row>
    <row r="496">
      <c r="B496" s="139"/>
      <c r="C496" s="139"/>
      <c r="D496" s="139"/>
      <c r="E496" s="198"/>
    </row>
    <row r="497">
      <c r="B497" s="139"/>
      <c r="C497" s="139"/>
      <c r="D497" s="139"/>
      <c r="E497" s="198"/>
    </row>
    <row r="498">
      <c r="B498" s="139"/>
      <c r="C498" s="139"/>
      <c r="D498" s="139"/>
      <c r="E498" s="198"/>
    </row>
    <row r="499">
      <c r="B499" s="139"/>
      <c r="C499" s="139"/>
      <c r="D499" s="139"/>
      <c r="E499" s="198"/>
    </row>
    <row r="500">
      <c r="B500" s="139"/>
      <c r="C500" s="139"/>
      <c r="D500" s="139"/>
      <c r="E500" s="198"/>
    </row>
    <row r="501">
      <c r="B501" s="139"/>
      <c r="C501" s="139"/>
      <c r="D501" s="139"/>
      <c r="E501" s="198"/>
    </row>
    <row r="502">
      <c r="B502" s="139"/>
      <c r="C502" s="139"/>
      <c r="D502" s="139"/>
      <c r="E502" s="198"/>
    </row>
    <row r="503">
      <c r="B503" s="139"/>
      <c r="C503" s="139"/>
      <c r="D503" s="139"/>
      <c r="E503" s="198"/>
    </row>
    <row r="504">
      <c r="B504" s="139"/>
      <c r="C504" s="139"/>
      <c r="D504" s="139"/>
      <c r="E504" s="198"/>
    </row>
    <row r="505">
      <c r="B505" s="139"/>
      <c r="C505" s="139"/>
      <c r="D505" s="139"/>
      <c r="E505" s="198"/>
    </row>
    <row r="506">
      <c r="B506" s="139"/>
      <c r="C506" s="139"/>
      <c r="D506" s="139"/>
      <c r="E506" s="198"/>
    </row>
    <row r="507">
      <c r="B507" s="139"/>
      <c r="C507" s="139"/>
      <c r="D507" s="139"/>
      <c r="E507" s="198"/>
    </row>
    <row r="508">
      <c r="B508" s="139"/>
      <c r="C508" s="139"/>
      <c r="D508" s="139"/>
      <c r="E508" s="198"/>
    </row>
    <row r="509">
      <c r="B509" s="139"/>
      <c r="C509" s="139"/>
      <c r="D509" s="139"/>
      <c r="E509" s="198"/>
    </row>
    <row r="510">
      <c r="B510" s="139"/>
      <c r="C510" s="139"/>
      <c r="D510" s="139"/>
      <c r="E510" s="198"/>
    </row>
    <row r="511">
      <c r="B511" s="139"/>
      <c r="C511" s="139"/>
      <c r="D511" s="139"/>
      <c r="E511" s="198"/>
    </row>
    <row r="512">
      <c r="B512" s="139"/>
      <c r="C512" s="139"/>
      <c r="D512" s="139"/>
      <c r="E512" s="198"/>
    </row>
    <row r="513">
      <c r="B513" s="139"/>
      <c r="C513" s="139"/>
      <c r="D513" s="139"/>
      <c r="E513" s="198"/>
    </row>
    <row r="514">
      <c r="B514" s="139"/>
      <c r="C514" s="139"/>
      <c r="D514" s="139"/>
      <c r="E514" s="198"/>
    </row>
    <row r="515">
      <c r="B515" s="139"/>
      <c r="C515" s="139"/>
      <c r="D515" s="139"/>
      <c r="E515" s="198"/>
    </row>
    <row r="516">
      <c r="B516" s="139"/>
      <c r="C516" s="139"/>
      <c r="D516" s="139"/>
      <c r="E516" s="198"/>
    </row>
    <row r="517">
      <c r="B517" s="139"/>
      <c r="C517" s="139"/>
      <c r="D517" s="139"/>
      <c r="E517" s="198"/>
    </row>
    <row r="518">
      <c r="B518" s="139"/>
      <c r="C518" s="139"/>
      <c r="D518" s="139"/>
      <c r="E518" s="198"/>
    </row>
    <row r="519">
      <c r="B519" s="139"/>
      <c r="C519" s="139"/>
      <c r="D519" s="139"/>
      <c r="E519" s="198"/>
    </row>
    <row r="520">
      <c r="B520" s="139"/>
      <c r="C520" s="139"/>
      <c r="D520" s="139"/>
      <c r="E520" s="198"/>
    </row>
    <row r="521">
      <c r="B521" s="139"/>
      <c r="C521" s="139"/>
      <c r="D521" s="139"/>
      <c r="E521" s="198"/>
    </row>
    <row r="522">
      <c r="B522" s="139"/>
      <c r="C522" s="139"/>
      <c r="D522" s="139"/>
      <c r="E522" s="198"/>
    </row>
    <row r="523">
      <c r="B523" s="139"/>
      <c r="C523" s="139"/>
      <c r="D523" s="139"/>
      <c r="E523" s="198"/>
    </row>
    <row r="524">
      <c r="B524" s="139"/>
      <c r="C524" s="139"/>
      <c r="D524" s="139"/>
      <c r="E524" s="198"/>
    </row>
    <row r="525">
      <c r="B525" s="139"/>
      <c r="C525" s="139"/>
      <c r="D525" s="139"/>
      <c r="E525" s="198"/>
    </row>
    <row r="526">
      <c r="B526" s="139"/>
      <c r="C526" s="139"/>
      <c r="D526" s="139"/>
      <c r="E526" s="198"/>
    </row>
    <row r="527">
      <c r="B527" s="139"/>
      <c r="C527" s="139"/>
      <c r="D527" s="139"/>
      <c r="E527" s="198"/>
    </row>
    <row r="528">
      <c r="B528" s="139"/>
      <c r="C528" s="139"/>
      <c r="D528" s="139"/>
      <c r="E528" s="198"/>
    </row>
    <row r="529">
      <c r="B529" s="139"/>
      <c r="C529" s="139"/>
      <c r="D529" s="139"/>
      <c r="E529" s="198"/>
    </row>
    <row r="530">
      <c r="B530" s="139"/>
      <c r="C530" s="139"/>
      <c r="D530" s="139"/>
      <c r="E530" s="198"/>
    </row>
    <row r="531">
      <c r="B531" s="139"/>
      <c r="C531" s="139"/>
      <c r="D531" s="139"/>
      <c r="E531" s="198"/>
    </row>
    <row r="532">
      <c r="B532" s="139"/>
      <c r="C532" s="139"/>
      <c r="D532" s="139"/>
      <c r="E532" s="198"/>
    </row>
    <row r="533">
      <c r="B533" s="139"/>
      <c r="C533" s="139"/>
      <c r="D533" s="139"/>
      <c r="E533" s="198"/>
    </row>
    <row r="534">
      <c r="B534" s="139"/>
      <c r="C534" s="139"/>
      <c r="D534" s="139"/>
      <c r="E534" s="198"/>
    </row>
    <row r="535">
      <c r="B535" s="139"/>
      <c r="C535" s="139"/>
      <c r="D535" s="139"/>
      <c r="E535" s="198"/>
    </row>
    <row r="536">
      <c r="B536" s="139"/>
      <c r="C536" s="139"/>
      <c r="D536" s="139"/>
      <c r="E536" s="198"/>
    </row>
    <row r="537">
      <c r="B537" s="139"/>
      <c r="C537" s="139"/>
      <c r="D537" s="139"/>
      <c r="E537" s="198"/>
    </row>
    <row r="538">
      <c r="B538" s="139"/>
      <c r="C538" s="139"/>
      <c r="D538" s="139"/>
      <c r="E538" s="198"/>
    </row>
    <row r="539">
      <c r="B539" s="139"/>
      <c r="C539" s="139"/>
      <c r="D539" s="139"/>
      <c r="E539" s="198"/>
    </row>
    <row r="540">
      <c r="B540" s="139"/>
      <c r="C540" s="139"/>
      <c r="D540" s="139"/>
      <c r="E540" s="198"/>
    </row>
    <row r="541">
      <c r="B541" s="139"/>
      <c r="C541" s="139"/>
      <c r="D541" s="139"/>
      <c r="E541" s="198"/>
    </row>
    <row r="542">
      <c r="B542" s="139"/>
      <c r="C542" s="139"/>
      <c r="D542" s="139"/>
      <c r="E542" s="198"/>
    </row>
    <row r="543">
      <c r="B543" s="139"/>
      <c r="C543" s="139"/>
      <c r="D543" s="139"/>
      <c r="E543" s="198"/>
    </row>
    <row r="544">
      <c r="B544" s="139"/>
      <c r="C544" s="139"/>
      <c r="D544" s="139"/>
      <c r="E544" s="198"/>
    </row>
    <row r="545">
      <c r="B545" s="139"/>
      <c r="C545" s="139"/>
      <c r="D545" s="139"/>
      <c r="E545" s="198"/>
    </row>
    <row r="546">
      <c r="B546" s="139"/>
      <c r="C546" s="139"/>
      <c r="D546" s="139"/>
      <c r="E546" s="198"/>
    </row>
    <row r="547">
      <c r="B547" s="139"/>
      <c r="C547" s="139"/>
      <c r="D547" s="139"/>
      <c r="E547" s="198"/>
    </row>
    <row r="548">
      <c r="B548" s="139"/>
      <c r="C548" s="139"/>
      <c r="D548" s="139"/>
      <c r="E548" s="198"/>
    </row>
    <row r="549">
      <c r="B549" s="139"/>
      <c r="C549" s="139"/>
      <c r="D549" s="139"/>
      <c r="E549" s="198"/>
    </row>
    <row r="550">
      <c r="B550" s="139"/>
      <c r="C550" s="139"/>
      <c r="D550" s="139"/>
      <c r="E550" s="198"/>
    </row>
    <row r="551">
      <c r="B551" s="139"/>
      <c r="C551" s="139"/>
      <c r="D551" s="139"/>
      <c r="E551" s="198"/>
    </row>
    <row r="552">
      <c r="B552" s="139"/>
      <c r="C552" s="139"/>
      <c r="D552" s="139"/>
      <c r="E552" s="198"/>
    </row>
    <row r="553">
      <c r="B553" s="139"/>
      <c r="C553" s="139"/>
      <c r="D553" s="139"/>
      <c r="E553" s="198"/>
    </row>
    <row r="554">
      <c r="B554" s="139"/>
      <c r="C554" s="139"/>
      <c r="D554" s="139"/>
      <c r="E554" s="198"/>
    </row>
    <row r="555">
      <c r="B555" s="139"/>
      <c r="C555" s="139"/>
      <c r="D555" s="139"/>
      <c r="E555" s="198"/>
    </row>
    <row r="556">
      <c r="B556" s="139"/>
      <c r="C556" s="139"/>
      <c r="D556" s="139"/>
      <c r="E556" s="198"/>
    </row>
    <row r="557">
      <c r="B557" s="139"/>
      <c r="C557" s="139"/>
      <c r="D557" s="139"/>
      <c r="E557" s="198"/>
    </row>
    <row r="558">
      <c r="B558" s="139"/>
      <c r="C558" s="139"/>
      <c r="D558" s="139"/>
      <c r="E558" s="198"/>
    </row>
    <row r="559">
      <c r="B559" s="139"/>
      <c r="C559" s="139"/>
      <c r="D559" s="139"/>
      <c r="E559" s="198"/>
    </row>
    <row r="560">
      <c r="B560" s="139"/>
      <c r="C560" s="139"/>
      <c r="D560" s="139"/>
      <c r="E560" s="198"/>
    </row>
    <row r="561">
      <c r="B561" s="139"/>
      <c r="C561" s="139"/>
      <c r="D561" s="139"/>
      <c r="E561" s="198"/>
    </row>
    <row r="562">
      <c r="B562" s="139"/>
      <c r="C562" s="139"/>
      <c r="D562" s="139"/>
      <c r="E562" s="198"/>
    </row>
    <row r="563">
      <c r="B563" s="139"/>
      <c r="C563" s="139"/>
      <c r="D563" s="139"/>
      <c r="E563" s="198"/>
    </row>
    <row r="564">
      <c r="B564" s="139"/>
      <c r="C564" s="139"/>
      <c r="D564" s="139"/>
      <c r="E564" s="198"/>
    </row>
    <row r="565">
      <c r="B565" s="139"/>
      <c r="C565" s="139"/>
      <c r="D565" s="139"/>
      <c r="E565" s="198"/>
    </row>
    <row r="566">
      <c r="B566" s="139"/>
      <c r="C566" s="139"/>
      <c r="D566" s="139"/>
      <c r="E566" s="198"/>
    </row>
    <row r="567">
      <c r="B567" s="139"/>
      <c r="C567" s="139"/>
      <c r="D567" s="139"/>
      <c r="E567" s="198"/>
    </row>
    <row r="568">
      <c r="B568" s="139"/>
      <c r="C568" s="139"/>
      <c r="D568" s="139"/>
      <c r="E568" s="198"/>
    </row>
    <row r="569">
      <c r="B569" s="139"/>
      <c r="C569" s="139"/>
      <c r="D569" s="139"/>
      <c r="E569" s="198"/>
    </row>
    <row r="570">
      <c r="B570" s="139"/>
      <c r="C570" s="139"/>
      <c r="D570" s="139"/>
      <c r="E570" s="198"/>
    </row>
    <row r="571">
      <c r="B571" s="139"/>
      <c r="C571" s="139"/>
      <c r="D571" s="139"/>
      <c r="E571" s="198"/>
    </row>
    <row r="572">
      <c r="B572" s="139"/>
      <c r="C572" s="139"/>
      <c r="D572" s="139"/>
      <c r="E572" s="198"/>
    </row>
    <row r="573">
      <c r="B573" s="139"/>
      <c r="C573" s="139"/>
      <c r="D573" s="139"/>
      <c r="E573" s="198"/>
    </row>
    <row r="574">
      <c r="B574" s="139"/>
      <c r="C574" s="139"/>
      <c r="D574" s="139"/>
      <c r="E574" s="198"/>
    </row>
    <row r="575">
      <c r="B575" s="139"/>
      <c r="C575" s="139"/>
      <c r="D575" s="139"/>
      <c r="E575" s="198"/>
    </row>
    <row r="576">
      <c r="B576" s="139"/>
      <c r="C576" s="139"/>
      <c r="D576" s="139"/>
      <c r="E576" s="198"/>
    </row>
    <row r="577">
      <c r="B577" s="139"/>
      <c r="C577" s="139"/>
      <c r="D577" s="139"/>
      <c r="E577" s="198"/>
    </row>
    <row r="578">
      <c r="B578" s="139"/>
      <c r="C578" s="139"/>
      <c r="D578" s="139"/>
      <c r="E578" s="198"/>
    </row>
    <row r="579">
      <c r="B579" s="139"/>
      <c r="C579" s="139"/>
      <c r="D579" s="139"/>
      <c r="E579" s="198"/>
    </row>
    <row r="580">
      <c r="B580" s="139"/>
      <c r="C580" s="139"/>
      <c r="D580" s="139"/>
      <c r="E580" s="198"/>
    </row>
    <row r="581">
      <c r="B581" s="139"/>
      <c r="C581" s="139"/>
      <c r="D581" s="139"/>
      <c r="E581" s="198"/>
    </row>
    <row r="582">
      <c r="B582" s="139"/>
      <c r="C582" s="139"/>
      <c r="D582" s="139"/>
      <c r="E582" s="198"/>
    </row>
    <row r="583">
      <c r="B583" s="139"/>
      <c r="C583" s="139"/>
      <c r="D583" s="139"/>
      <c r="E583" s="198"/>
    </row>
    <row r="584">
      <c r="B584" s="139"/>
      <c r="C584" s="139"/>
      <c r="D584" s="139"/>
      <c r="E584" s="198"/>
    </row>
    <row r="585">
      <c r="B585" s="139"/>
      <c r="C585" s="139"/>
      <c r="D585" s="139"/>
      <c r="E585" s="198"/>
    </row>
    <row r="586">
      <c r="B586" s="139"/>
      <c r="C586" s="139"/>
      <c r="D586" s="139"/>
      <c r="E586" s="198"/>
    </row>
    <row r="587">
      <c r="B587" s="139"/>
      <c r="C587" s="139"/>
      <c r="D587" s="139"/>
      <c r="E587" s="198"/>
    </row>
    <row r="588">
      <c r="B588" s="139"/>
      <c r="C588" s="139"/>
      <c r="D588" s="139"/>
      <c r="E588" s="198"/>
    </row>
    <row r="589">
      <c r="B589" s="139"/>
      <c r="C589" s="139"/>
      <c r="D589" s="139"/>
      <c r="E589" s="198"/>
    </row>
    <row r="590">
      <c r="B590" s="139"/>
      <c r="C590" s="139"/>
      <c r="D590" s="139"/>
      <c r="E590" s="198"/>
    </row>
    <row r="591">
      <c r="B591" s="139"/>
      <c r="C591" s="139"/>
      <c r="D591" s="139"/>
      <c r="E591" s="198"/>
    </row>
    <row r="592">
      <c r="B592" s="139"/>
      <c r="C592" s="139"/>
      <c r="D592" s="139"/>
      <c r="E592" s="198"/>
    </row>
    <row r="593">
      <c r="B593" s="139"/>
      <c r="C593" s="139"/>
      <c r="D593" s="139"/>
      <c r="E593" s="198"/>
    </row>
    <row r="594">
      <c r="B594" s="139"/>
      <c r="C594" s="139"/>
      <c r="D594" s="139"/>
      <c r="E594" s="198"/>
    </row>
    <row r="595">
      <c r="B595" s="139"/>
      <c r="C595" s="139"/>
      <c r="D595" s="139"/>
      <c r="E595" s="198"/>
    </row>
    <row r="596">
      <c r="B596" s="139"/>
      <c r="C596" s="139"/>
      <c r="D596" s="139"/>
      <c r="E596" s="198"/>
    </row>
    <row r="597">
      <c r="B597" s="139"/>
      <c r="C597" s="139"/>
      <c r="D597" s="139"/>
      <c r="E597" s="198"/>
    </row>
    <row r="598">
      <c r="B598" s="139"/>
      <c r="C598" s="139"/>
      <c r="D598" s="139"/>
      <c r="E598" s="198"/>
    </row>
    <row r="599">
      <c r="B599" s="139"/>
      <c r="C599" s="139"/>
      <c r="D599" s="139"/>
      <c r="E599" s="198"/>
    </row>
    <row r="600">
      <c r="B600" s="139"/>
      <c r="C600" s="139"/>
      <c r="D600" s="139"/>
      <c r="E600" s="198"/>
    </row>
    <row r="601">
      <c r="B601" s="139"/>
      <c r="C601" s="139"/>
      <c r="D601" s="139"/>
      <c r="E601" s="198"/>
    </row>
    <row r="602">
      <c r="B602" s="139"/>
      <c r="C602" s="139"/>
      <c r="D602" s="139"/>
      <c r="E602" s="198"/>
    </row>
    <row r="603">
      <c r="B603" s="139"/>
      <c r="C603" s="139"/>
      <c r="D603" s="139"/>
      <c r="E603" s="198"/>
    </row>
    <row r="604">
      <c r="B604" s="139"/>
      <c r="C604" s="139"/>
      <c r="D604" s="139"/>
      <c r="E604" s="198"/>
    </row>
    <row r="605">
      <c r="B605" s="139"/>
      <c r="C605" s="139"/>
      <c r="D605" s="139"/>
      <c r="E605" s="198"/>
    </row>
    <row r="606">
      <c r="B606" s="139"/>
      <c r="C606" s="139"/>
      <c r="D606" s="139"/>
      <c r="E606" s="198"/>
    </row>
    <row r="607">
      <c r="B607" s="139"/>
      <c r="C607" s="139"/>
      <c r="D607" s="139"/>
      <c r="E607" s="198"/>
    </row>
    <row r="608">
      <c r="B608" s="139"/>
      <c r="C608" s="139"/>
      <c r="D608" s="139"/>
      <c r="E608" s="198"/>
    </row>
    <row r="609">
      <c r="B609" s="139"/>
      <c r="C609" s="139"/>
      <c r="D609" s="139"/>
      <c r="E609" s="198"/>
    </row>
    <row r="610">
      <c r="B610" s="139"/>
      <c r="C610" s="139"/>
      <c r="D610" s="139"/>
      <c r="E610" s="198"/>
    </row>
    <row r="611">
      <c r="B611" s="139"/>
      <c r="C611" s="139"/>
      <c r="D611" s="139"/>
      <c r="E611" s="198"/>
    </row>
    <row r="612">
      <c r="B612" s="139"/>
      <c r="C612" s="139"/>
      <c r="D612" s="139"/>
      <c r="E612" s="198"/>
    </row>
    <row r="613">
      <c r="B613" s="139"/>
      <c r="C613" s="139"/>
      <c r="D613" s="139"/>
      <c r="E613" s="198"/>
    </row>
    <row r="614">
      <c r="B614" s="139"/>
      <c r="C614" s="139"/>
      <c r="D614" s="139"/>
      <c r="E614" s="198"/>
    </row>
    <row r="615">
      <c r="B615" s="139"/>
      <c r="C615" s="139"/>
      <c r="D615" s="139"/>
      <c r="E615" s="198"/>
    </row>
    <row r="616">
      <c r="B616" s="139"/>
      <c r="C616" s="139"/>
      <c r="D616" s="139"/>
      <c r="E616" s="198"/>
    </row>
    <row r="617">
      <c r="B617" s="139"/>
      <c r="C617" s="139"/>
      <c r="D617" s="139"/>
      <c r="E617" s="198"/>
    </row>
    <row r="618">
      <c r="B618" s="139"/>
      <c r="C618" s="139"/>
      <c r="D618" s="139"/>
      <c r="E618" s="198"/>
    </row>
    <row r="619">
      <c r="B619" s="139"/>
      <c r="C619" s="139"/>
      <c r="D619" s="139"/>
      <c r="E619" s="198"/>
    </row>
    <row r="620">
      <c r="B620" s="139"/>
      <c r="C620" s="139"/>
      <c r="D620" s="139"/>
      <c r="E620" s="198"/>
    </row>
    <row r="621">
      <c r="B621" s="139"/>
      <c r="C621" s="139"/>
      <c r="D621" s="139"/>
      <c r="E621" s="198"/>
    </row>
    <row r="622">
      <c r="B622" s="139"/>
      <c r="C622" s="139"/>
      <c r="D622" s="139"/>
      <c r="E622" s="198"/>
    </row>
    <row r="623">
      <c r="B623" s="139"/>
      <c r="C623" s="139"/>
      <c r="D623" s="139"/>
      <c r="E623" s="198"/>
    </row>
    <row r="624">
      <c r="B624" s="139"/>
      <c r="C624" s="139"/>
      <c r="D624" s="139"/>
      <c r="E624" s="198"/>
    </row>
    <row r="625">
      <c r="B625" s="139"/>
      <c r="C625" s="139"/>
      <c r="D625" s="139"/>
      <c r="E625" s="198"/>
    </row>
    <row r="626">
      <c r="B626" s="139"/>
      <c r="C626" s="139"/>
      <c r="D626" s="139"/>
      <c r="E626" s="198"/>
    </row>
    <row r="627">
      <c r="B627" s="139"/>
      <c r="C627" s="139"/>
      <c r="D627" s="139"/>
      <c r="E627" s="198"/>
    </row>
    <row r="628">
      <c r="B628" s="139"/>
      <c r="C628" s="139"/>
      <c r="D628" s="139"/>
      <c r="E628" s="198"/>
    </row>
    <row r="629">
      <c r="B629" s="139"/>
      <c r="C629" s="139"/>
      <c r="D629" s="139"/>
      <c r="E629" s="198"/>
    </row>
    <row r="630">
      <c r="B630" s="139"/>
      <c r="C630" s="139"/>
      <c r="D630" s="139"/>
      <c r="E630" s="198"/>
    </row>
    <row r="631">
      <c r="B631" s="139"/>
      <c r="C631" s="139"/>
      <c r="D631" s="139"/>
      <c r="E631" s="198"/>
    </row>
    <row r="632">
      <c r="B632" s="139"/>
      <c r="C632" s="139"/>
      <c r="D632" s="139"/>
      <c r="E632" s="198"/>
    </row>
    <row r="633">
      <c r="B633" s="139"/>
      <c r="C633" s="139"/>
      <c r="D633" s="139"/>
      <c r="E633" s="198"/>
    </row>
    <row r="634">
      <c r="B634" s="139"/>
      <c r="C634" s="139"/>
      <c r="D634" s="139"/>
      <c r="E634" s="198"/>
    </row>
    <row r="635">
      <c r="B635" s="139"/>
      <c r="C635" s="139"/>
      <c r="D635" s="139"/>
      <c r="E635" s="198"/>
    </row>
    <row r="636">
      <c r="B636" s="139"/>
      <c r="C636" s="139"/>
      <c r="D636" s="139"/>
      <c r="E636" s="198"/>
    </row>
    <row r="637">
      <c r="B637" s="139"/>
      <c r="C637" s="139"/>
      <c r="D637" s="139"/>
      <c r="E637" s="198"/>
    </row>
    <row r="638">
      <c r="B638" s="139"/>
      <c r="C638" s="139"/>
      <c r="D638" s="139"/>
      <c r="E638" s="198"/>
    </row>
    <row r="639">
      <c r="B639" s="139"/>
      <c r="C639" s="139"/>
      <c r="D639" s="139"/>
      <c r="E639" s="198"/>
    </row>
    <row r="640">
      <c r="B640" s="139"/>
      <c r="C640" s="139"/>
      <c r="D640" s="139"/>
      <c r="E640" s="198"/>
    </row>
    <row r="641">
      <c r="B641" s="139"/>
      <c r="C641" s="139"/>
      <c r="D641" s="139"/>
      <c r="E641" s="198"/>
    </row>
    <row r="642">
      <c r="B642" s="139"/>
      <c r="C642" s="139"/>
      <c r="D642" s="139"/>
      <c r="E642" s="198"/>
    </row>
    <row r="643">
      <c r="B643" s="139"/>
      <c r="C643" s="139"/>
      <c r="D643" s="139"/>
      <c r="E643" s="198"/>
    </row>
    <row r="644">
      <c r="B644" s="139"/>
      <c r="C644" s="139"/>
      <c r="D644" s="139"/>
      <c r="E644" s="198"/>
    </row>
    <row r="645">
      <c r="B645" s="139"/>
      <c r="C645" s="139"/>
      <c r="D645" s="139"/>
      <c r="E645" s="198"/>
    </row>
    <row r="646">
      <c r="B646" s="139"/>
      <c r="C646" s="139"/>
      <c r="D646" s="139"/>
      <c r="E646" s="198"/>
    </row>
    <row r="647">
      <c r="B647" s="139"/>
      <c r="C647" s="139"/>
      <c r="D647" s="139"/>
      <c r="E647" s="198"/>
    </row>
    <row r="648">
      <c r="B648" s="139"/>
      <c r="C648" s="139"/>
      <c r="D648" s="139"/>
      <c r="E648" s="198"/>
    </row>
    <row r="649">
      <c r="B649" s="139"/>
      <c r="C649" s="139"/>
      <c r="D649" s="139"/>
      <c r="E649" s="198"/>
    </row>
    <row r="650">
      <c r="B650" s="139"/>
      <c r="C650" s="139"/>
      <c r="D650" s="139"/>
      <c r="E650" s="198"/>
    </row>
    <row r="651">
      <c r="B651" s="139"/>
      <c r="C651" s="139"/>
      <c r="D651" s="139"/>
      <c r="E651" s="198"/>
    </row>
    <row r="652">
      <c r="B652" s="139"/>
      <c r="C652" s="139"/>
      <c r="D652" s="139"/>
      <c r="E652" s="198"/>
    </row>
    <row r="653">
      <c r="B653" s="139"/>
      <c r="C653" s="139"/>
      <c r="D653" s="139"/>
      <c r="E653" s="198"/>
    </row>
    <row r="654">
      <c r="B654" s="139"/>
      <c r="C654" s="139"/>
      <c r="D654" s="139"/>
      <c r="E654" s="198"/>
    </row>
    <row r="655">
      <c r="B655" s="139"/>
      <c r="C655" s="139"/>
      <c r="D655" s="139"/>
      <c r="E655" s="198"/>
    </row>
    <row r="656">
      <c r="B656" s="139"/>
      <c r="C656" s="139"/>
      <c r="D656" s="139"/>
      <c r="E656" s="198"/>
    </row>
    <row r="657">
      <c r="B657" s="139"/>
      <c r="C657" s="139"/>
      <c r="D657" s="139"/>
      <c r="E657" s="198"/>
    </row>
    <row r="658">
      <c r="B658" s="139"/>
      <c r="C658" s="139"/>
      <c r="D658" s="139"/>
      <c r="E658" s="198"/>
    </row>
    <row r="659">
      <c r="B659" s="139"/>
      <c r="C659" s="139"/>
      <c r="D659" s="139"/>
      <c r="E659" s="198"/>
    </row>
    <row r="660">
      <c r="B660" s="139"/>
      <c r="C660" s="139"/>
      <c r="D660" s="139"/>
      <c r="E660" s="198"/>
    </row>
    <row r="661">
      <c r="B661" s="139"/>
      <c r="C661" s="139"/>
      <c r="D661" s="139"/>
      <c r="E661" s="198"/>
    </row>
    <row r="662">
      <c r="B662" s="139"/>
      <c r="C662" s="139"/>
      <c r="D662" s="139"/>
      <c r="E662" s="198"/>
    </row>
    <row r="663">
      <c r="B663" s="139"/>
      <c r="C663" s="139"/>
      <c r="D663" s="139"/>
      <c r="E663" s="198"/>
    </row>
    <row r="664">
      <c r="B664" s="139"/>
      <c r="C664" s="139"/>
      <c r="D664" s="139"/>
      <c r="E664" s="198"/>
    </row>
    <row r="665">
      <c r="B665" s="139"/>
      <c r="C665" s="139"/>
      <c r="D665" s="139"/>
      <c r="E665" s="198"/>
    </row>
    <row r="666">
      <c r="B666" s="139"/>
      <c r="C666" s="139"/>
      <c r="D666" s="139"/>
      <c r="E666" s="198"/>
    </row>
    <row r="667">
      <c r="B667" s="139"/>
      <c r="C667" s="139"/>
      <c r="D667" s="139"/>
      <c r="E667" s="198"/>
    </row>
    <row r="668">
      <c r="B668" s="139"/>
      <c r="C668" s="139"/>
      <c r="D668" s="139"/>
      <c r="E668" s="198"/>
    </row>
    <row r="669">
      <c r="B669" s="139"/>
      <c r="C669" s="139"/>
      <c r="D669" s="139"/>
      <c r="E669" s="198"/>
    </row>
    <row r="670">
      <c r="B670" s="139"/>
      <c r="C670" s="139"/>
      <c r="D670" s="139"/>
      <c r="E670" s="198"/>
    </row>
    <row r="671">
      <c r="B671" s="139"/>
      <c r="C671" s="139"/>
      <c r="D671" s="139"/>
      <c r="E671" s="198"/>
    </row>
    <row r="672">
      <c r="B672" s="139"/>
      <c r="C672" s="139"/>
      <c r="D672" s="139"/>
      <c r="E672" s="198"/>
    </row>
    <row r="673">
      <c r="B673" s="139"/>
      <c r="C673" s="139"/>
      <c r="D673" s="139"/>
      <c r="E673" s="198"/>
    </row>
    <row r="674">
      <c r="B674" s="139"/>
      <c r="C674" s="139"/>
      <c r="D674" s="139"/>
      <c r="E674" s="198"/>
    </row>
    <row r="675">
      <c r="B675" s="139"/>
      <c r="C675" s="139"/>
      <c r="D675" s="139"/>
      <c r="E675" s="198"/>
    </row>
    <row r="676">
      <c r="B676" s="139"/>
      <c r="C676" s="139"/>
      <c r="D676" s="139"/>
      <c r="E676" s="198"/>
    </row>
    <row r="677">
      <c r="B677" s="139"/>
      <c r="C677" s="139"/>
      <c r="D677" s="139"/>
      <c r="E677" s="198"/>
    </row>
    <row r="678">
      <c r="B678" s="139"/>
      <c r="C678" s="139"/>
      <c r="D678" s="139"/>
      <c r="E678" s="198"/>
    </row>
    <row r="679">
      <c r="B679" s="139"/>
      <c r="C679" s="139"/>
      <c r="D679" s="139"/>
      <c r="E679" s="198"/>
    </row>
    <row r="680">
      <c r="B680" s="139"/>
      <c r="C680" s="139"/>
      <c r="D680" s="139"/>
      <c r="E680" s="198"/>
    </row>
    <row r="681">
      <c r="B681" s="139"/>
      <c r="C681" s="139"/>
      <c r="D681" s="139"/>
      <c r="E681" s="198"/>
    </row>
    <row r="682">
      <c r="B682" s="139"/>
      <c r="C682" s="139"/>
      <c r="D682" s="139"/>
      <c r="E682" s="198"/>
    </row>
    <row r="683">
      <c r="B683" s="139"/>
      <c r="C683" s="139"/>
      <c r="D683" s="139"/>
      <c r="E683" s="198"/>
    </row>
    <row r="684">
      <c r="B684" s="139"/>
      <c r="C684" s="139"/>
      <c r="D684" s="139"/>
      <c r="E684" s="198"/>
    </row>
    <row r="685">
      <c r="B685" s="139"/>
      <c r="C685" s="139"/>
      <c r="D685" s="139"/>
      <c r="E685" s="198"/>
    </row>
    <row r="686">
      <c r="B686" s="139"/>
      <c r="C686" s="139"/>
      <c r="D686" s="139"/>
      <c r="E686" s="198"/>
    </row>
    <row r="687">
      <c r="B687" s="139"/>
      <c r="C687" s="139"/>
      <c r="D687" s="139"/>
      <c r="E687" s="198"/>
    </row>
    <row r="688">
      <c r="B688" s="139"/>
      <c r="C688" s="139"/>
      <c r="D688" s="139"/>
      <c r="E688" s="198"/>
    </row>
    <row r="689">
      <c r="B689" s="139"/>
      <c r="C689" s="139"/>
      <c r="D689" s="139"/>
      <c r="E689" s="198"/>
    </row>
    <row r="690">
      <c r="B690" s="139"/>
      <c r="C690" s="139"/>
      <c r="D690" s="139"/>
      <c r="E690" s="198"/>
    </row>
    <row r="691">
      <c r="B691" s="139"/>
      <c r="C691" s="139"/>
      <c r="D691" s="139"/>
      <c r="E691" s="198"/>
    </row>
    <row r="692">
      <c r="B692" s="139"/>
      <c r="C692" s="139"/>
      <c r="D692" s="139"/>
      <c r="E692" s="198"/>
    </row>
    <row r="693">
      <c r="B693" s="139"/>
      <c r="C693" s="139"/>
      <c r="D693" s="139"/>
      <c r="E693" s="198"/>
    </row>
    <row r="694">
      <c r="B694" s="139"/>
      <c r="C694" s="139"/>
      <c r="D694" s="139"/>
      <c r="E694" s="198"/>
    </row>
    <row r="695">
      <c r="B695" s="139"/>
      <c r="C695" s="139"/>
      <c r="D695" s="139"/>
      <c r="E695" s="198"/>
    </row>
    <row r="696">
      <c r="B696" s="139"/>
      <c r="C696" s="139"/>
      <c r="D696" s="139"/>
      <c r="E696" s="198"/>
    </row>
    <row r="697">
      <c r="B697" s="139"/>
      <c r="C697" s="139"/>
      <c r="D697" s="139"/>
      <c r="E697" s="198"/>
    </row>
    <row r="698">
      <c r="B698" s="139"/>
      <c r="C698" s="139"/>
      <c r="D698" s="139"/>
      <c r="E698" s="198"/>
    </row>
    <row r="699">
      <c r="B699" s="139"/>
      <c r="C699" s="139"/>
      <c r="D699" s="139"/>
      <c r="E699" s="198"/>
    </row>
    <row r="700">
      <c r="B700" s="139"/>
      <c r="C700" s="139"/>
      <c r="D700" s="139"/>
      <c r="E700" s="198"/>
    </row>
    <row r="701">
      <c r="B701" s="139"/>
      <c r="C701" s="139"/>
      <c r="D701" s="139"/>
      <c r="E701" s="198"/>
    </row>
    <row r="702">
      <c r="B702" s="139"/>
      <c r="C702" s="139"/>
      <c r="D702" s="139"/>
      <c r="E702" s="198"/>
    </row>
    <row r="703">
      <c r="B703" s="139"/>
      <c r="C703" s="139"/>
      <c r="D703" s="139"/>
      <c r="E703" s="198"/>
    </row>
    <row r="704">
      <c r="B704" s="139"/>
      <c r="C704" s="139"/>
      <c r="D704" s="139"/>
      <c r="E704" s="198"/>
    </row>
    <row r="705">
      <c r="B705" s="139"/>
      <c r="C705" s="139"/>
      <c r="D705" s="139"/>
      <c r="E705" s="198"/>
    </row>
    <row r="706">
      <c r="B706" s="139"/>
      <c r="C706" s="139"/>
      <c r="D706" s="139"/>
      <c r="E706" s="198"/>
    </row>
    <row r="707">
      <c r="B707" s="139"/>
      <c r="C707" s="139"/>
      <c r="D707" s="139"/>
      <c r="E707" s="198"/>
    </row>
    <row r="708">
      <c r="B708" s="139"/>
      <c r="C708" s="139"/>
      <c r="D708" s="139"/>
      <c r="E708" s="198"/>
    </row>
    <row r="709">
      <c r="B709" s="139"/>
      <c r="C709" s="139"/>
      <c r="D709" s="139"/>
      <c r="E709" s="198"/>
    </row>
    <row r="710">
      <c r="B710" s="139"/>
      <c r="C710" s="139"/>
      <c r="D710" s="139"/>
      <c r="E710" s="198"/>
    </row>
    <row r="711">
      <c r="B711" s="139"/>
      <c r="C711" s="139"/>
      <c r="D711" s="139"/>
      <c r="E711" s="198"/>
    </row>
    <row r="712">
      <c r="B712" s="139"/>
      <c r="C712" s="139"/>
      <c r="D712" s="139"/>
      <c r="E712" s="198"/>
    </row>
    <row r="713">
      <c r="B713" s="139"/>
      <c r="C713" s="139"/>
      <c r="D713" s="139"/>
      <c r="E713" s="198"/>
    </row>
    <row r="714">
      <c r="B714" s="139"/>
      <c r="C714" s="139"/>
      <c r="D714" s="139"/>
      <c r="E714" s="198"/>
    </row>
    <row r="715">
      <c r="B715" s="139"/>
      <c r="C715" s="139"/>
      <c r="D715" s="139"/>
      <c r="E715" s="198"/>
    </row>
    <row r="716">
      <c r="B716" s="139"/>
      <c r="C716" s="139"/>
      <c r="D716" s="139"/>
      <c r="E716" s="198"/>
    </row>
    <row r="717">
      <c r="B717" s="139"/>
      <c r="C717" s="139"/>
      <c r="D717" s="139"/>
      <c r="E717" s="198"/>
    </row>
    <row r="718">
      <c r="B718" s="139"/>
      <c r="C718" s="139"/>
      <c r="D718" s="139"/>
      <c r="E718" s="198"/>
    </row>
    <row r="719">
      <c r="B719" s="139"/>
      <c r="C719" s="139"/>
      <c r="D719" s="139"/>
      <c r="E719" s="198"/>
    </row>
    <row r="720">
      <c r="B720" s="139"/>
      <c r="C720" s="139"/>
      <c r="D720" s="139"/>
      <c r="E720" s="198"/>
    </row>
    <row r="721">
      <c r="B721" s="139"/>
      <c r="C721" s="139"/>
      <c r="D721" s="139"/>
      <c r="E721" s="198"/>
    </row>
    <row r="722">
      <c r="B722" s="139"/>
      <c r="C722" s="139"/>
      <c r="D722" s="139"/>
      <c r="E722" s="198"/>
    </row>
    <row r="723">
      <c r="B723" s="139"/>
      <c r="C723" s="139"/>
      <c r="D723" s="139"/>
      <c r="E723" s="198"/>
    </row>
    <row r="724">
      <c r="B724" s="139"/>
      <c r="C724" s="139"/>
      <c r="D724" s="139"/>
      <c r="E724" s="198"/>
    </row>
    <row r="725">
      <c r="B725" s="139"/>
      <c r="C725" s="139"/>
      <c r="D725" s="139"/>
      <c r="E725" s="198"/>
    </row>
    <row r="726">
      <c r="B726" s="139"/>
      <c r="C726" s="139"/>
      <c r="D726" s="139"/>
      <c r="E726" s="198"/>
    </row>
    <row r="727">
      <c r="B727" s="139"/>
      <c r="C727" s="139"/>
      <c r="D727" s="139"/>
      <c r="E727" s="198"/>
    </row>
    <row r="728">
      <c r="B728" s="139"/>
      <c r="C728" s="139"/>
      <c r="D728" s="139"/>
      <c r="E728" s="198"/>
    </row>
    <row r="729">
      <c r="B729" s="139"/>
      <c r="C729" s="139"/>
      <c r="D729" s="139"/>
      <c r="E729" s="198"/>
    </row>
    <row r="730">
      <c r="B730" s="139"/>
      <c r="C730" s="139"/>
      <c r="D730" s="139"/>
      <c r="E730" s="198"/>
    </row>
    <row r="731">
      <c r="B731" s="139"/>
      <c r="C731" s="139"/>
      <c r="D731" s="139"/>
      <c r="E731" s="198"/>
    </row>
    <row r="732">
      <c r="B732" s="139"/>
      <c r="C732" s="139"/>
      <c r="D732" s="139"/>
      <c r="E732" s="198"/>
    </row>
    <row r="733">
      <c r="B733" s="139"/>
      <c r="C733" s="139"/>
      <c r="D733" s="139"/>
      <c r="E733" s="198"/>
    </row>
    <row r="734">
      <c r="B734" s="139"/>
      <c r="C734" s="139"/>
      <c r="D734" s="139"/>
      <c r="E734" s="198"/>
    </row>
    <row r="735">
      <c r="B735" s="139"/>
      <c r="C735" s="139"/>
      <c r="D735" s="139"/>
      <c r="E735" s="198"/>
    </row>
    <row r="736">
      <c r="B736" s="139"/>
      <c r="C736" s="139"/>
      <c r="D736" s="139"/>
      <c r="E736" s="198"/>
    </row>
    <row r="737">
      <c r="B737" s="139"/>
      <c r="C737" s="139"/>
      <c r="D737" s="139"/>
      <c r="E737" s="198"/>
    </row>
    <row r="738">
      <c r="B738" s="139"/>
      <c r="C738" s="139"/>
      <c r="D738" s="139"/>
      <c r="E738" s="198"/>
    </row>
    <row r="739">
      <c r="B739" s="139"/>
      <c r="C739" s="139"/>
      <c r="D739" s="139"/>
      <c r="E739" s="198"/>
    </row>
    <row r="740">
      <c r="B740" s="139"/>
      <c r="C740" s="139"/>
      <c r="D740" s="139"/>
      <c r="E740" s="198"/>
    </row>
    <row r="741">
      <c r="B741" s="139"/>
      <c r="C741" s="139"/>
      <c r="D741" s="139"/>
      <c r="E741" s="198"/>
    </row>
    <row r="742">
      <c r="B742" s="139"/>
      <c r="C742" s="139"/>
      <c r="D742" s="139"/>
      <c r="E742" s="198"/>
    </row>
    <row r="743">
      <c r="B743" s="139"/>
      <c r="C743" s="139"/>
      <c r="D743" s="139"/>
      <c r="E743" s="198"/>
    </row>
    <row r="744">
      <c r="B744" s="139"/>
      <c r="C744" s="139"/>
      <c r="D744" s="139"/>
      <c r="E744" s="198"/>
    </row>
    <row r="745">
      <c r="B745" s="139"/>
      <c r="C745" s="139"/>
      <c r="D745" s="139"/>
      <c r="E745" s="198"/>
    </row>
    <row r="746">
      <c r="B746" s="139"/>
      <c r="C746" s="139"/>
      <c r="D746" s="139"/>
      <c r="E746" s="198"/>
    </row>
    <row r="747">
      <c r="B747" s="139"/>
      <c r="C747" s="139"/>
      <c r="D747" s="139"/>
      <c r="E747" s="198"/>
    </row>
    <row r="748">
      <c r="B748" s="139"/>
      <c r="C748" s="139"/>
      <c r="D748" s="139"/>
      <c r="E748" s="198"/>
    </row>
    <row r="749">
      <c r="B749" s="139"/>
      <c r="C749" s="139"/>
      <c r="D749" s="139"/>
      <c r="E749" s="198"/>
    </row>
    <row r="750">
      <c r="B750" s="139"/>
      <c r="C750" s="139"/>
      <c r="D750" s="139"/>
      <c r="E750" s="198"/>
    </row>
    <row r="751">
      <c r="B751" s="139"/>
      <c r="C751" s="139"/>
      <c r="D751" s="139"/>
      <c r="E751" s="198"/>
    </row>
    <row r="752">
      <c r="B752" s="139"/>
      <c r="C752" s="139"/>
      <c r="D752" s="139"/>
      <c r="E752" s="198"/>
    </row>
    <row r="753">
      <c r="B753" s="139"/>
      <c r="C753" s="139"/>
      <c r="D753" s="139"/>
      <c r="E753" s="198"/>
    </row>
    <row r="754">
      <c r="B754" s="139"/>
      <c r="C754" s="139"/>
      <c r="D754" s="139"/>
      <c r="E754" s="198"/>
    </row>
    <row r="755">
      <c r="B755" s="139"/>
      <c r="C755" s="139"/>
      <c r="D755" s="139"/>
      <c r="E755" s="198"/>
    </row>
    <row r="756">
      <c r="B756" s="139"/>
      <c r="C756" s="139"/>
      <c r="D756" s="139"/>
      <c r="E756" s="198"/>
    </row>
    <row r="757">
      <c r="B757" s="139"/>
      <c r="C757" s="139"/>
      <c r="D757" s="139"/>
      <c r="E757" s="198"/>
    </row>
    <row r="758">
      <c r="B758" s="139"/>
      <c r="C758" s="139"/>
      <c r="D758" s="139"/>
      <c r="E758" s="198"/>
    </row>
    <row r="759">
      <c r="B759" s="139"/>
      <c r="C759" s="139"/>
      <c r="D759" s="139"/>
      <c r="E759" s="198"/>
    </row>
    <row r="760">
      <c r="B760" s="139"/>
      <c r="C760" s="139"/>
      <c r="D760" s="139"/>
      <c r="E760" s="198"/>
    </row>
    <row r="761">
      <c r="B761" s="139"/>
      <c r="C761" s="139"/>
      <c r="D761" s="139"/>
      <c r="E761" s="198"/>
    </row>
    <row r="762">
      <c r="B762" s="139"/>
      <c r="C762" s="139"/>
      <c r="D762" s="139"/>
      <c r="E762" s="198"/>
    </row>
    <row r="763">
      <c r="B763" s="139"/>
      <c r="C763" s="139"/>
      <c r="D763" s="139"/>
      <c r="E763" s="198"/>
    </row>
    <row r="764">
      <c r="B764" s="139"/>
      <c r="C764" s="139"/>
      <c r="D764" s="139"/>
      <c r="E764" s="198"/>
    </row>
    <row r="765">
      <c r="B765" s="139"/>
      <c r="C765" s="139"/>
      <c r="D765" s="139"/>
      <c r="E765" s="198"/>
    </row>
    <row r="766">
      <c r="B766" s="139"/>
      <c r="C766" s="139"/>
      <c r="D766" s="139"/>
      <c r="E766" s="198"/>
    </row>
    <row r="767">
      <c r="B767" s="139"/>
      <c r="C767" s="139"/>
      <c r="D767" s="139"/>
      <c r="E767" s="198"/>
    </row>
    <row r="768">
      <c r="B768" s="139"/>
      <c r="C768" s="139"/>
      <c r="D768" s="139"/>
      <c r="E768" s="198"/>
    </row>
    <row r="769">
      <c r="B769" s="139"/>
      <c r="C769" s="139"/>
      <c r="D769" s="139"/>
      <c r="E769" s="198"/>
    </row>
    <row r="770">
      <c r="B770" s="139"/>
      <c r="C770" s="139"/>
      <c r="D770" s="139"/>
      <c r="E770" s="198"/>
    </row>
    <row r="771">
      <c r="B771" s="139"/>
      <c r="C771" s="139"/>
      <c r="D771" s="139"/>
      <c r="E771" s="198"/>
    </row>
    <row r="772">
      <c r="B772" s="139"/>
      <c r="C772" s="139"/>
      <c r="D772" s="139"/>
      <c r="E772" s="198"/>
    </row>
    <row r="773">
      <c r="B773" s="139"/>
      <c r="C773" s="139"/>
      <c r="D773" s="139"/>
      <c r="E773" s="198"/>
    </row>
    <row r="774">
      <c r="B774" s="139"/>
      <c r="C774" s="139"/>
      <c r="D774" s="139"/>
      <c r="E774" s="198"/>
    </row>
    <row r="775">
      <c r="B775" s="139"/>
      <c r="C775" s="139"/>
      <c r="D775" s="139"/>
      <c r="E775" s="198"/>
    </row>
    <row r="776">
      <c r="B776" s="139"/>
      <c r="C776" s="139"/>
      <c r="D776" s="139"/>
      <c r="E776" s="198"/>
    </row>
    <row r="777">
      <c r="B777" s="139"/>
      <c r="C777" s="139"/>
      <c r="D777" s="139"/>
      <c r="E777" s="198"/>
    </row>
    <row r="778">
      <c r="B778" s="139"/>
      <c r="C778" s="139"/>
      <c r="D778" s="139"/>
      <c r="E778" s="198"/>
    </row>
    <row r="779">
      <c r="B779" s="139"/>
      <c r="C779" s="139"/>
      <c r="D779" s="139"/>
      <c r="E779" s="198"/>
    </row>
    <row r="780">
      <c r="B780" s="139"/>
      <c r="C780" s="139"/>
      <c r="D780" s="139"/>
      <c r="E780" s="198"/>
    </row>
    <row r="781">
      <c r="B781" s="139"/>
      <c r="C781" s="139"/>
      <c r="D781" s="139"/>
      <c r="E781" s="198"/>
    </row>
    <row r="782">
      <c r="B782" s="139"/>
      <c r="C782" s="139"/>
      <c r="D782" s="139"/>
      <c r="E782" s="198"/>
    </row>
    <row r="783">
      <c r="B783" s="139"/>
      <c r="C783" s="139"/>
      <c r="D783" s="139"/>
      <c r="E783" s="198"/>
    </row>
    <row r="784">
      <c r="B784" s="139"/>
      <c r="C784" s="139"/>
      <c r="D784" s="139"/>
      <c r="E784" s="198"/>
    </row>
    <row r="785">
      <c r="B785" s="139"/>
      <c r="C785" s="139"/>
      <c r="D785" s="139"/>
      <c r="E785" s="198"/>
    </row>
    <row r="786">
      <c r="B786" s="139"/>
      <c r="C786" s="139"/>
      <c r="D786" s="139"/>
      <c r="E786" s="198"/>
    </row>
    <row r="787">
      <c r="B787" s="139"/>
      <c r="C787" s="139"/>
      <c r="D787" s="139"/>
      <c r="E787" s="198"/>
    </row>
    <row r="788">
      <c r="B788" s="139"/>
      <c r="C788" s="139"/>
      <c r="D788" s="139"/>
      <c r="E788" s="198"/>
    </row>
    <row r="789">
      <c r="B789" s="139"/>
      <c r="C789" s="139"/>
      <c r="D789" s="139"/>
      <c r="E789" s="198"/>
    </row>
    <row r="790">
      <c r="B790" s="139"/>
      <c r="C790" s="139"/>
      <c r="D790" s="139"/>
      <c r="E790" s="198"/>
    </row>
    <row r="791">
      <c r="B791" s="139"/>
      <c r="C791" s="139"/>
      <c r="D791" s="139"/>
      <c r="E791" s="198"/>
    </row>
    <row r="792">
      <c r="B792" s="139"/>
      <c r="C792" s="139"/>
      <c r="D792" s="139"/>
      <c r="E792" s="198"/>
    </row>
    <row r="793">
      <c r="B793" s="139"/>
      <c r="C793" s="139"/>
      <c r="D793" s="139"/>
      <c r="E793" s="198"/>
    </row>
    <row r="794">
      <c r="B794" s="139"/>
      <c r="C794" s="139"/>
      <c r="D794" s="139"/>
      <c r="E794" s="198"/>
    </row>
    <row r="795">
      <c r="B795" s="139"/>
      <c r="C795" s="139"/>
      <c r="D795" s="139"/>
      <c r="E795" s="198"/>
    </row>
    <row r="796">
      <c r="B796" s="139"/>
      <c r="C796" s="139"/>
      <c r="D796" s="139"/>
      <c r="E796" s="198"/>
    </row>
    <row r="797">
      <c r="B797" s="139"/>
      <c r="C797" s="139"/>
      <c r="D797" s="139"/>
      <c r="E797" s="198"/>
    </row>
    <row r="798">
      <c r="B798" s="139"/>
      <c r="C798" s="139"/>
      <c r="D798" s="139"/>
      <c r="E798" s="198"/>
    </row>
    <row r="799">
      <c r="B799" s="139"/>
      <c r="C799" s="139"/>
      <c r="D799" s="139"/>
      <c r="E799" s="198"/>
    </row>
    <row r="800">
      <c r="B800" s="139"/>
      <c r="C800" s="139"/>
      <c r="D800" s="139"/>
      <c r="E800" s="198"/>
    </row>
    <row r="801">
      <c r="B801" s="139"/>
      <c r="C801" s="139"/>
      <c r="D801" s="139"/>
      <c r="E801" s="198"/>
    </row>
    <row r="802">
      <c r="B802" s="139"/>
      <c r="C802" s="139"/>
      <c r="D802" s="139"/>
      <c r="E802" s="198"/>
    </row>
    <row r="803">
      <c r="B803" s="139"/>
      <c r="C803" s="139"/>
      <c r="D803" s="139"/>
      <c r="E803" s="198"/>
    </row>
    <row r="804">
      <c r="B804" s="139"/>
      <c r="C804" s="139"/>
      <c r="D804" s="139"/>
      <c r="E804" s="198"/>
    </row>
    <row r="805">
      <c r="B805" s="139"/>
      <c r="C805" s="139"/>
      <c r="D805" s="139"/>
      <c r="E805" s="198"/>
    </row>
    <row r="806">
      <c r="B806" s="139"/>
      <c r="C806" s="139"/>
      <c r="D806" s="139"/>
      <c r="E806" s="198"/>
    </row>
    <row r="807">
      <c r="B807" s="139"/>
      <c r="C807" s="139"/>
      <c r="D807" s="139"/>
      <c r="E807" s="198"/>
    </row>
    <row r="808">
      <c r="B808" s="139"/>
      <c r="C808" s="139"/>
      <c r="D808" s="139"/>
      <c r="E808" s="198"/>
    </row>
    <row r="809">
      <c r="B809" s="139"/>
      <c r="C809" s="139"/>
      <c r="D809" s="139"/>
      <c r="E809" s="198"/>
    </row>
    <row r="810">
      <c r="B810" s="139"/>
      <c r="C810" s="139"/>
      <c r="D810" s="139"/>
      <c r="E810" s="198"/>
    </row>
    <row r="811">
      <c r="B811" s="139"/>
      <c r="C811" s="139"/>
      <c r="D811" s="139"/>
      <c r="E811" s="198"/>
    </row>
    <row r="812">
      <c r="B812" s="139"/>
      <c r="C812" s="139"/>
      <c r="D812" s="139"/>
      <c r="E812" s="198"/>
    </row>
    <row r="813">
      <c r="B813" s="139"/>
      <c r="C813" s="139"/>
      <c r="D813" s="139"/>
      <c r="E813" s="198"/>
    </row>
    <row r="814">
      <c r="B814" s="139"/>
      <c r="C814" s="139"/>
      <c r="D814" s="139"/>
      <c r="E814" s="198"/>
    </row>
    <row r="815">
      <c r="B815" s="139"/>
      <c r="C815" s="139"/>
      <c r="D815" s="139"/>
      <c r="E815" s="198"/>
    </row>
    <row r="816">
      <c r="B816" s="139"/>
      <c r="C816" s="139"/>
      <c r="D816" s="139"/>
      <c r="E816" s="198"/>
    </row>
    <row r="817">
      <c r="B817" s="139"/>
      <c r="C817" s="139"/>
      <c r="D817" s="139"/>
      <c r="E817" s="198"/>
    </row>
    <row r="818">
      <c r="B818" s="139"/>
      <c r="C818" s="139"/>
      <c r="D818" s="139"/>
      <c r="E818" s="198"/>
    </row>
    <row r="819">
      <c r="B819" s="139"/>
      <c r="C819" s="139"/>
      <c r="D819" s="139"/>
      <c r="E819" s="198"/>
    </row>
    <row r="820">
      <c r="B820" s="139"/>
      <c r="C820" s="139"/>
      <c r="D820" s="139"/>
      <c r="E820" s="198"/>
    </row>
    <row r="821">
      <c r="B821" s="139"/>
      <c r="C821" s="139"/>
      <c r="D821" s="139"/>
      <c r="E821" s="198"/>
    </row>
    <row r="822">
      <c r="B822" s="139"/>
      <c r="C822" s="139"/>
      <c r="D822" s="139"/>
      <c r="E822" s="198"/>
    </row>
    <row r="823">
      <c r="B823" s="139"/>
      <c r="C823" s="139"/>
      <c r="D823" s="139"/>
      <c r="E823" s="198"/>
    </row>
    <row r="824">
      <c r="B824" s="139"/>
      <c r="C824" s="139"/>
      <c r="D824" s="139"/>
      <c r="E824" s="198"/>
    </row>
    <row r="825">
      <c r="B825" s="139"/>
      <c r="C825" s="139"/>
      <c r="D825" s="139"/>
      <c r="E825" s="198"/>
    </row>
    <row r="826">
      <c r="B826" s="139"/>
      <c r="C826" s="139"/>
      <c r="D826" s="139"/>
      <c r="E826" s="198"/>
    </row>
    <row r="827">
      <c r="B827" s="139"/>
      <c r="C827" s="139"/>
      <c r="D827" s="139"/>
      <c r="E827" s="198"/>
    </row>
    <row r="828">
      <c r="B828" s="139"/>
      <c r="C828" s="139"/>
      <c r="D828" s="139"/>
      <c r="E828" s="198"/>
    </row>
    <row r="829">
      <c r="B829" s="139"/>
      <c r="C829" s="139"/>
      <c r="D829" s="139"/>
      <c r="E829" s="198"/>
    </row>
    <row r="830">
      <c r="B830" s="139"/>
      <c r="C830" s="139"/>
      <c r="D830" s="139"/>
      <c r="E830" s="198"/>
    </row>
    <row r="831">
      <c r="B831" s="139"/>
      <c r="C831" s="139"/>
      <c r="D831" s="139"/>
      <c r="E831" s="198"/>
    </row>
    <row r="832">
      <c r="B832" s="139"/>
      <c r="C832" s="139"/>
      <c r="D832" s="139"/>
      <c r="E832" s="198"/>
    </row>
    <row r="833">
      <c r="B833" s="139"/>
      <c r="C833" s="139"/>
      <c r="D833" s="139"/>
      <c r="E833" s="198"/>
    </row>
    <row r="834">
      <c r="B834" s="139"/>
      <c r="C834" s="139"/>
      <c r="D834" s="139"/>
      <c r="E834" s="198"/>
    </row>
    <row r="835">
      <c r="B835" s="139"/>
      <c r="C835" s="139"/>
      <c r="D835" s="139"/>
      <c r="E835" s="198"/>
    </row>
    <row r="836">
      <c r="B836" s="139"/>
      <c r="C836" s="139"/>
      <c r="D836" s="139"/>
      <c r="E836" s="198"/>
    </row>
    <row r="837">
      <c r="B837" s="139"/>
      <c r="C837" s="139"/>
      <c r="D837" s="139"/>
      <c r="E837" s="198"/>
    </row>
    <row r="838">
      <c r="B838" s="139"/>
      <c r="C838" s="139"/>
      <c r="D838" s="139"/>
      <c r="E838" s="198"/>
    </row>
    <row r="839">
      <c r="B839" s="139"/>
      <c r="C839" s="139"/>
      <c r="D839" s="139"/>
      <c r="E839" s="198"/>
    </row>
    <row r="840">
      <c r="B840" s="139"/>
      <c r="C840" s="139"/>
      <c r="D840" s="139"/>
      <c r="E840" s="198"/>
    </row>
    <row r="841">
      <c r="B841" s="139"/>
      <c r="C841" s="139"/>
      <c r="D841" s="139"/>
      <c r="E841" s="198"/>
    </row>
    <row r="842">
      <c r="B842" s="139"/>
      <c r="C842" s="139"/>
      <c r="D842" s="139"/>
      <c r="E842" s="198"/>
    </row>
    <row r="843">
      <c r="B843" s="139"/>
      <c r="C843" s="139"/>
      <c r="D843" s="139"/>
      <c r="E843" s="198"/>
    </row>
    <row r="844">
      <c r="B844" s="139"/>
      <c r="C844" s="139"/>
      <c r="D844" s="139"/>
      <c r="E844" s="198"/>
    </row>
    <row r="845">
      <c r="B845" s="139"/>
      <c r="C845" s="139"/>
      <c r="D845" s="139"/>
      <c r="E845" s="198"/>
    </row>
    <row r="846">
      <c r="B846" s="139"/>
      <c r="C846" s="139"/>
      <c r="D846" s="139"/>
      <c r="E846" s="198"/>
    </row>
    <row r="847">
      <c r="B847" s="139"/>
      <c r="C847" s="139"/>
      <c r="D847" s="139"/>
      <c r="E847" s="198"/>
    </row>
    <row r="848">
      <c r="B848" s="139"/>
      <c r="C848" s="139"/>
      <c r="D848" s="139"/>
      <c r="E848" s="198"/>
    </row>
    <row r="849">
      <c r="B849" s="139"/>
      <c r="C849" s="139"/>
      <c r="D849" s="139"/>
      <c r="E849" s="198"/>
    </row>
    <row r="850">
      <c r="B850" s="139"/>
      <c r="C850" s="139"/>
      <c r="D850" s="139"/>
      <c r="E850" s="198"/>
    </row>
    <row r="851">
      <c r="B851" s="139"/>
      <c r="C851" s="139"/>
      <c r="D851" s="139"/>
      <c r="E851" s="198"/>
    </row>
    <row r="852">
      <c r="B852" s="139"/>
      <c r="C852" s="139"/>
      <c r="D852" s="139"/>
      <c r="E852" s="198"/>
    </row>
    <row r="853">
      <c r="B853" s="139"/>
      <c r="C853" s="139"/>
      <c r="D853" s="139"/>
      <c r="E853" s="198"/>
    </row>
    <row r="854">
      <c r="B854" s="139"/>
      <c r="C854" s="139"/>
      <c r="D854" s="139"/>
      <c r="E854" s="198"/>
    </row>
    <row r="855">
      <c r="B855" s="139"/>
      <c r="C855" s="139"/>
      <c r="D855" s="139"/>
      <c r="E855" s="198"/>
    </row>
    <row r="856">
      <c r="B856" s="139"/>
      <c r="C856" s="139"/>
      <c r="D856" s="139"/>
      <c r="E856" s="198"/>
    </row>
    <row r="857">
      <c r="B857" s="139"/>
      <c r="C857" s="139"/>
      <c r="D857" s="139"/>
      <c r="E857" s="198"/>
    </row>
    <row r="858">
      <c r="B858" s="139"/>
      <c r="C858" s="139"/>
      <c r="D858" s="139"/>
      <c r="E858" s="198"/>
    </row>
    <row r="859">
      <c r="B859" s="139"/>
      <c r="C859" s="139"/>
      <c r="D859" s="139"/>
      <c r="E859" s="198"/>
    </row>
    <row r="860">
      <c r="B860" s="139"/>
      <c r="C860" s="139"/>
      <c r="D860" s="139"/>
      <c r="E860" s="198"/>
    </row>
    <row r="861">
      <c r="B861" s="139"/>
      <c r="C861" s="139"/>
      <c r="D861" s="139"/>
      <c r="E861" s="198"/>
    </row>
    <row r="862">
      <c r="B862" s="139"/>
      <c r="C862" s="139"/>
      <c r="D862" s="139"/>
      <c r="E862" s="198"/>
    </row>
    <row r="863">
      <c r="B863" s="139"/>
      <c r="C863" s="139"/>
      <c r="D863" s="139"/>
      <c r="E863" s="198"/>
    </row>
    <row r="864">
      <c r="B864" s="139"/>
      <c r="C864" s="139"/>
      <c r="D864" s="139"/>
      <c r="E864" s="198"/>
    </row>
    <row r="865">
      <c r="B865" s="139"/>
      <c r="C865" s="139"/>
      <c r="D865" s="139"/>
      <c r="E865" s="198"/>
    </row>
    <row r="866">
      <c r="B866" s="139"/>
      <c r="C866" s="139"/>
      <c r="D866" s="139"/>
      <c r="E866" s="198"/>
    </row>
    <row r="867">
      <c r="B867" s="139"/>
      <c r="C867" s="139"/>
      <c r="D867" s="139"/>
      <c r="E867" s="198"/>
    </row>
    <row r="868">
      <c r="B868" s="139"/>
      <c r="C868" s="139"/>
      <c r="D868" s="139"/>
      <c r="E868" s="198"/>
    </row>
    <row r="869">
      <c r="B869" s="139"/>
      <c r="C869" s="139"/>
      <c r="D869" s="139"/>
      <c r="E869" s="198"/>
    </row>
    <row r="870">
      <c r="B870" s="139"/>
      <c r="C870" s="139"/>
      <c r="D870" s="139"/>
      <c r="E870" s="198"/>
    </row>
    <row r="871">
      <c r="B871" s="139"/>
      <c r="C871" s="139"/>
      <c r="D871" s="139"/>
      <c r="E871" s="198"/>
    </row>
    <row r="872">
      <c r="B872" s="139"/>
      <c r="C872" s="139"/>
      <c r="D872" s="139"/>
      <c r="E872" s="198"/>
    </row>
    <row r="873">
      <c r="B873" s="139"/>
      <c r="C873" s="139"/>
      <c r="D873" s="139"/>
      <c r="E873" s="198"/>
    </row>
    <row r="874">
      <c r="B874" s="139"/>
      <c r="C874" s="139"/>
      <c r="D874" s="139"/>
      <c r="E874" s="198"/>
    </row>
    <row r="875">
      <c r="B875" s="139"/>
      <c r="C875" s="139"/>
      <c r="D875" s="139"/>
      <c r="E875" s="198"/>
    </row>
    <row r="876">
      <c r="B876" s="139"/>
      <c r="C876" s="139"/>
      <c r="D876" s="139"/>
      <c r="E876" s="198"/>
    </row>
    <row r="877">
      <c r="B877" s="139"/>
      <c r="C877" s="139"/>
      <c r="D877" s="139"/>
      <c r="E877" s="198"/>
    </row>
    <row r="878">
      <c r="B878" s="139"/>
      <c r="C878" s="139"/>
      <c r="D878" s="139"/>
      <c r="E878" s="198"/>
    </row>
    <row r="879">
      <c r="B879" s="139"/>
      <c r="C879" s="139"/>
      <c r="D879" s="139"/>
      <c r="E879" s="198"/>
    </row>
    <row r="880">
      <c r="B880" s="139"/>
      <c r="C880" s="139"/>
      <c r="D880" s="139"/>
      <c r="E880" s="198"/>
    </row>
    <row r="881">
      <c r="B881" s="139"/>
      <c r="C881" s="139"/>
      <c r="D881" s="139"/>
      <c r="E881" s="198"/>
    </row>
    <row r="882">
      <c r="B882" s="139"/>
      <c r="C882" s="139"/>
      <c r="D882" s="139"/>
      <c r="E882" s="198"/>
    </row>
    <row r="883">
      <c r="B883" s="139"/>
      <c r="C883" s="139"/>
      <c r="D883" s="139"/>
      <c r="E883" s="198"/>
    </row>
    <row r="884">
      <c r="B884" s="139"/>
      <c r="C884" s="139"/>
      <c r="D884" s="139"/>
      <c r="E884" s="198"/>
    </row>
    <row r="885">
      <c r="B885" s="139"/>
      <c r="C885" s="139"/>
      <c r="D885" s="139"/>
      <c r="E885" s="198"/>
    </row>
    <row r="886">
      <c r="B886" s="139"/>
      <c r="C886" s="139"/>
      <c r="D886" s="139"/>
      <c r="E886" s="198"/>
    </row>
    <row r="887">
      <c r="B887" s="139"/>
      <c r="C887" s="139"/>
      <c r="D887" s="139"/>
      <c r="E887" s="198"/>
    </row>
    <row r="888">
      <c r="B888" s="139"/>
      <c r="C888" s="139"/>
      <c r="D888" s="139"/>
      <c r="E888" s="198"/>
    </row>
    <row r="889">
      <c r="B889" s="139"/>
      <c r="C889" s="139"/>
      <c r="D889" s="139"/>
      <c r="E889" s="198"/>
    </row>
    <row r="890">
      <c r="B890" s="139"/>
      <c r="C890" s="139"/>
      <c r="D890" s="139"/>
      <c r="E890" s="198"/>
    </row>
    <row r="891">
      <c r="B891" s="139"/>
      <c r="C891" s="139"/>
      <c r="D891" s="139"/>
      <c r="E891" s="198"/>
    </row>
    <row r="892">
      <c r="B892" s="139"/>
      <c r="C892" s="139"/>
      <c r="D892" s="139"/>
      <c r="E892" s="198"/>
    </row>
    <row r="893">
      <c r="B893" s="139"/>
      <c r="C893" s="139"/>
      <c r="D893" s="139"/>
      <c r="E893" s="198"/>
    </row>
    <row r="894">
      <c r="B894" s="139"/>
      <c r="C894" s="139"/>
      <c r="D894" s="139"/>
      <c r="E894" s="198"/>
    </row>
    <row r="895">
      <c r="B895" s="139"/>
      <c r="C895" s="139"/>
      <c r="D895" s="139"/>
      <c r="E895" s="198"/>
    </row>
    <row r="896">
      <c r="B896" s="139"/>
      <c r="C896" s="139"/>
      <c r="D896" s="139"/>
      <c r="E896" s="198"/>
    </row>
    <row r="897">
      <c r="B897" s="139"/>
      <c r="C897" s="139"/>
      <c r="D897" s="139"/>
      <c r="E897" s="198"/>
    </row>
    <row r="898">
      <c r="B898" s="139"/>
      <c r="C898" s="139"/>
      <c r="D898" s="139"/>
      <c r="E898" s="198"/>
    </row>
    <row r="899">
      <c r="B899" s="139"/>
      <c r="C899" s="139"/>
      <c r="D899" s="139"/>
      <c r="E899" s="198"/>
    </row>
    <row r="900">
      <c r="B900" s="139"/>
      <c r="C900" s="139"/>
      <c r="D900" s="139"/>
      <c r="E900" s="198"/>
    </row>
    <row r="901">
      <c r="B901" s="139"/>
      <c r="C901" s="139"/>
      <c r="D901" s="139"/>
      <c r="E901" s="198"/>
    </row>
    <row r="902">
      <c r="B902" s="139"/>
      <c r="C902" s="139"/>
      <c r="D902" s="139"/>
      <c r="E902" s="198"/>
    </row>
    <row r="903">
      <c r="B903" s="139"/>
      <c r="C903" s="139"/>
      <c r="D903" s="139"/>
      <c r="E903" s="198"/>
    </row>
    <row r="904">
      <c r="B904" s="139"/>
      <c r="C904" s="139"/>
      <c r="D904" s="139"/>
      <c r="E904" s="198"/>
    </row>
    <row r="905">
      <c r="B905" s="139"/>
      <c r="C905" s="139"/>
      <c r="D905" s="139"/>
      <c r="E905" s="198"/>
    </row>
    <row r="906">
      <c r="B906" s="139"/>
      <c r="C906" s="139"/>
      <c r="D906" s="139"/>
      <c r="E906" s="198"/>
    </row>
    <row r="907">
      <c r="B907" s="139"/>
      <c r="C907" s="139"/>
      <c r="D907" s="139"/>
      <c r="E907" s="198"/>
    </row>
    <row r="908">
      <c r="B908" s="139"/>
      <c r="C908" s="139"/>
      <c r="D908" s="139"/>
      <c r="E908" s="198"/>
    </row>
    <row r="909">
      <c r="B909" s="139"/>
      <c r="C909" s="139"/>
      <c r="D909" s="139"/>
      <c r="E909" s="198"/>
    </row>
    <row r="910">
      <c r="B910" s="139"/>
      <c r="C910" s="139"/>
      <c r="D910" s="139"/>
      <c r="E910" s="198"/>
    </row>
    <row r="911">
      <c r="B911" s="139"/>
      <c r="C911" s="139"/>
      <c r="D911" s="139"/>
      <c r="E911" s="198"/>
    </row>
    <row r="912">
      <c r="B912" s="139"/>
      <c r="C912" s="139"/>
      <c r="D912" s="139"/>
      <c r="E912" s="198"/>
    </row>
    <row r="913">
      <c r="B913" s="139"/>
      <c r="C913" s="139"/>
      <c r="D913" s="139"/>
      <c r="E913" s="198"/>
    </row>
    <row r="914">
      <c r="B914" s="139"/>
      <c r="C914" s="139"/>
      <c r="D914" s="139"/>
      <c r="E914" s="198"/>
    </row>
    <row r="915">
      <c r="B915" s="139"/>
      <c r="C915" s="139"/>
      <c r="D915" s="139"/>
      <c r="E915" s="198"/>
    </row>
    <row r="916">
      <c r="B916" s="139"/>
      <c r="C916" s="139"/>
      <c r="D916" s="139"/>
      <c r="E916" s="198"/>
    </row>
    <row r="917">
      <c r="B917" s="139"/>
      <c r="C917" s="139"/>
      <c r="D917" s="139"/>
      <c r="E917" s="198"/>
    </row>
    <row r="918">
      <c r="B918" s="139"/>
      <c r="C918" s="139"/>
      <c r="D918" s="139"/>
      <c r="E918" s="198"/>
    </row>
    <row r="919">
      <c r="B919" s="139"/>
      <c r="C919" s="139"/>
      <c r="D919" s="139"/>
      <c r="E919" s="198"/>
    </row>
    <row r="920">
      <c r="B920" s="139"/>
      <c r="C920" s="139"/>
      <c r="D920" s="139"/>
      <c r="E920" s="198"/>
    </row>
    <row r="921">
      <c r="B921" s="139"/>
      <c r="C921" s="139"/>
      <c r="D921" s="139"/>
      <c r="E921" s="198"/>
    </row>
    <row r="922">
      <c r="B922" s="139"/>
      <c r="C922" s="139"/>
      <c r="D922" s="139"/>
      <c r="E922" s="198"/>
    </row>
    <row r="923">
      <c r="B923" s="139"/>
      <c r="C923" s="139"/>
      <c r="D923" s="139"/>
      <c r="E923" s="198"/>
    </row>
    <row r="924">
      <c r="B924" s="139"/>
      <c r="C924" s="139"/>
      <c r="D924" s="139"/>
      <c r="E924" s="198"/>
    </row>
    <row r="925">
      <c r="B925" s="139"/>
      <c r="C925" s="139"/>
      <c r="D925" s="139"/>
      <c r="E925" s="198"/>
    </row>
    <row r="926">
      <c r="B926" s="139"/>
      <c r="C926" s="139"/>
      <c r="D926" s="139"/>
      <c r="E926" s="198"/>
    </row>
    <row r="927">
      <c r="B927" s="139"/>
      <c r="C927" s="139"/>
      <c r="D927" s="139"/>
      <c r="E927" s="198"/>
    </row>
    <row r="928">
      <c r="B928" s="139"/>
      <c r="C928" s="139"/>
      <c r="D928" s="139"/>
      <c r="E928" s="198"/>
    </row>
    <row r="929">
      <c r="B929" s="139"/>
      <c r="C929" s="139"/>
      <c r="D929" s="139"/>
      <c r="E929" s="198"/>
    </row>
    <row r="930">
      <c r="B930" s="139"/>
      <c r="C930" s="139"/>
      <c r="D930" s="139"/>
      <c r="E930" s="198"/>
    </row>
    <row r="931">
      <c r="B931" s="139"/>
      <c r="C931" s="139"/>
      <c r="D931" s="139"/>
      <c r="E931" s="198"/>
    </row>
    <row r="932">
      <c r="B932" s="139"/>
      <c r="C932" s="139"/>
      <c r="D932" s="139"/>
      <c r="E932" s="198"/>
    </row>
    <row r="933">
      <c r="B933" s="139"/>
      <c r="C933" s="139"/>
      <c r="D933" s="139"/>
      <c r="E933" s="198"/>
    </row>
    <row r="934">
      <c r="B934" s="139"/>
      <c r="C934" s="139"/>
      <c r="D934" s="139"/>
      <c r="E934" s="198"/>
    </row>
    <row r="935">
      <c r="B935" s="139"/>
      <c r="C935" s="139"/>
      <c r="D935" s="139"/>
      <c r="E935" s="198"/>
    </row>
    <row r="936">
      <c r="B936" s="139"/>
      <c r="C936" s="139"/>
      <c r="D936" s="139"/>
      <c r="E936" s="198"/>
    </row>
    <row r="937">
      <c r="B937" s="139"/>
      <c r="C937" s="139"/>
      <c r="D937" s="139"/>
      <c r="E937" s="198"/>
    </row>
    <row r="938">
      <c r="B938" s="139"/>
      <c r="C938" s="139"/>
      <c r="D938" s="139"/>
      <c r="E938" s="198"/>
    </row>
    <row r="939">
      <c r="B939" s="139"/>
      <c r="C939" s="139"/>
      <c r="D939" s="139"/>
      <c r="E939" s="198"/>
    </row>
    <row r="940">
      <c r="B940" s="139"/>
      <c r="C940" s="139"/>
      <c r="D940" s="139"/>
      <c r="E940" s="198"/>
    </row>
    <row r="941">
      <c r="B941" s="139"/>
      <c r="C941" s="139"/>
      <c r="D941" s="139"/>
      <c r="E941" s="198"/>
    </row>
    <row r="942">
      <c r="B942" s="139"/>
      <c r="C942" s="139"/>
      <c r="D942" s="139"/>
      <c r="E942" s="198"/>
    </row>
    <row r="943">
      <c r="B943" s="139"/>
      <c r="C943" s="139"/>
      <c r="D943" s="139"/>
      <c r="E943" s="198"/>
    </row>
    <row r="944">
      <c r="B944" s="139"/>
      <c r="C944" s="139"/>
      <c r="D944" s="139"/>
      <c r="E944" s="198"/>
    </row>
    <row r="945">
      <c r="B945" s="139"/>
      <c r="C945" s="139"/>
      <c r="D945" s="139"/>
      <c r="E945" s="198"/>
    </row>
    <row r="946">
      <c r="B946" s="139"/>
      <c r="C946" s="139"/>
      <c r="D946" s="139"/>
      <c r="E946" s="198"/>
    </row>
    <row r="947">
      <c r="B947" s="139"/>
      <c r="C947" s="139"/>
      <c r="D947" s="139"/>
      <c r="E947" s="198"/>
    </row>
    <row r="948">
      <c r="B948" s="139"/>
      <c r="C948" s="139"/>
      <c r="D948" s="139"/>
      <c r="E948" s="198"/>
    </row>
    <row r="949">
      <c r="B949" s="139"/>
      <c r="C949" s="139"/>
      <c r="D949" s="139"/>
      <c r="E949" s="198"/>
    </row>
    <row r="950">
      <c r="B950" s="139"/>
      <c r="C950" s="139"/>
      <c r="D950" s="139"/>
      <c r="E950" s="198"/>
    </row>
    <row r="951">
      <c r="B951" s="139"/>
      <c r="C951" s="139"/>
      <c r="D951" s="139"/>
      <c r="E951" s="198"/>
    </row>
    <row r="952">
      <c r="B952" s="139"/>
      <c r="C952" s="139"/>
      <c r="D952" s="139"/>
      <c r="E952" s="198"/>
    </row>
    <row r="953">
      <c r="B953" s="139"/>
      <c r="C953" s="139"/>
      <c r="D953" s="139"/>
      <c r="E953" s="198"/>
    </row>
    <row r="954">
      <c r="B954" s="139"/>
      <c r="C954" s="139"/>
      <c r="D954" s="139"/>
      <c r="E954" s="198"/>
    </row>
    <row r="955">
      <c r="B955" s="139"/>
      <c r="C955" s="139"/>
      <c r="D955" s="139"/>
      <c r="E955" s="198"/>
    </row>
    <row r="956">
      <c r="B956" s="139"/>
      <c r="C956" s="139"/>
      <c r="D956" s="139"/>
      <c r="E956" s="198"/>
    </row>
    <row r="957">
      <c r="B957" s="139"/>
      <c r="C957" s="139"/>
      <c r="D957" s="139"/>
      <c r="E957" s="198"/>
    </row>
    <row r="958">
      <c r="B958" s="139"/>
      <c r="C958" s="139"/>
      <c r="D958" s="139"/>
      <c r="E958" s="198"/>
    </row>
    <row r="959">
      <c r="B959" s="139"/>
      <c r="C959" s="139"/>
      <c r="D959" s="139"/>
      <c r="E959" s="198"/>
    </row>
    <row r="960">
      <c r="B960" s="139"/>
      <c r="C960" s="139"/>
      <c r="D960" s="139"/>
      <c r="E960" s="198"/>
    </row>
    <row r="961">
      <c r="B961" s="139"/>
      <c r="C961" s="139"/>
      <c r="D961" s="139"/>
      <c r="E961" s="198"/>
    </row>
    <row r="962">
      <c r="B962" s="139"/>
      <c r="C962" s="139"/>
      <c r="D962" s="139"/>
      <c r="E962" s="198"/>
    </row>
    <row r="963">
      <c r="B963" s="139"/>
      <c r="C963" s="139"/>
      <c r="D963" s="139"/>
      <c r="E963" s="198"/>
    </row>
    <row r="964">
      <c r="B964" s="139"/>
      <c r="C964" s="139"/>
      <c r="D964" s="139"/>
      <c r="E964" s="198"/>
    </row>
    <row r="965">
      <c r="B965" s="139"/>
      <c r="C965" s="139"/>
      <c r="D965" s="139"/>
      <c r="E965" s="198"/>
    </row>
    <row r="966">
      <c r="B966" s="139"/>
      <c r="C966" s="139"/>
      <c r="D966" s="139"/>
      <c r="E966" s="198"/>
    </row>
    <row r="967">
      <c r="B967" s="139"/>
      <c r="C967" s="139"/>
      <c r="D967" s="139"/>
      <c r="E967" s="198"/>
    </row>
    <row r="968">
      <c r="B968" s="139"/>
      <c r="C968" s="139"/>
      <c r="D968" s="139"/>
      <c r="E968" s="198"/>
    </row>
    <row r="969">
      <c r="B969" s="139"/>
      <c r="C969" s="139"/>
      <c r="D969" s="139"/>
      <c r="E969" s="198"/>
    </row>
    <row r="970">
      <c r="B970" s="139"/>
      <c r="C970" s="139"/>
      <c r="D970" s="139"/>
      <c r="E970" s="198"/>
    </row>
    <row r="971">
      <c r="B971" s="139"/>
      <c r="C971" s="139"/>
      <c r="D971" s="139"/>
      <c r="E971" s="198"/>
    </row>
    <row r="972">
      <c r="B972" s="139"/>
      <c r="C972" s="139"/>
      <c r="D972" s="139"/>
      <c r="E972" s="198"/>
    </row>
    <row r="973">
      <c r="B973" s="139"/>
      <c r="C973" s="139"/>
      <c r="D973" s="139"/>
      <c r="E973" s="198"/>
    </row>
    <row r="974">
      <c r="B974" s="139"/>
      <c r="C974" s="139"/>
      <c r="D974" s="139"/>
      <c r="E974" s="198"/>
    </row>
    <row r="975">
      <c r="B975" s="139"/>
      <c r="C975" s="139"/>
      <c r="D975" s="139"/>
      <c r="E975" s="198"/>
    </row>
    <row r="976">
      <c r="B976" s="139"/>
      <c r="C976" s="139"/>
      <c r="D976" s="139"/>
      <c r="E976" s="198"/>
    </row>
    <row r="977">
      <c r="B977" s="139"/>
      <c r="C977" s="139"/>
      <c r="D977" s="139"/>
      <c r="E977" s="198"/>
    </row>
    <row r="978">
      <c r="B978" s="139"/>
      <c r="C978" s="139"/>
      <c r="D978" s="139"/>
      <c r="E978" s="198"/>
    </row>
    <row r="979">
      <c r="B979" s="139"/>
      <c r="C979" s="139"/>
      <c r="D979" s="139"/>
      <c r="E979" s="198"/>
    </row>
    <row r="980">
      <c r="B980" s="139"/>
      <c r="C980" s="139"/>
      <c r="D980" s="139"/>
      <c r="E980" s="198"/>
    </row>
    <row r="981">
      <c r="B981" s="139"/>
      <c r="C981" s="139"/>
      <c r="D981" s="139"/>
      <c r="E981" s="198"/>
    </row>
    <row r="982">
      <c r="B982" s="139"/>
      <c r="C982" s="139"/>
      <c r="D982" s="139"/>
      <c r="E982" s="198"/>
    </row>
    <row r="983">
      <c r="B983" s="139"/>
      <c r="C983" s="139"/>
      <c r="D983" s="139"/>
      <c r="E983" s="198"/>
    </row>
    <row r="984">
      <c r="B984" s="139"/>
      <c r="C984" s="139"/>
      <c r="D984" s="139"/>
      <c r="E984" s="198"/>
    </row>
    <row r="985">
      <c r="B985" s="139"/>
      <c r="C985" s="139"/>
      <c r="D985" s="139"/>
      <c r="E985" s="198"/>
    </row>
    <row r="986">
      <c r="B986" s="139"/>
      <c r="C986" s="139"/>
      <c r="D986" s="139"/>
      <c r="E986" s="198"/>
    </row>
    <row r="987">
      <c r="B987" s="139"/>
      <c r="C987" s="139"/>
      <c r="D987" s="139"/>
      <c r="E987" s="198"/>
    </row>
    <row r="988">
      <c r="B988" s="139"/>
      <c r="C988" s="139"/>
      <c r="D988" s="139"/>
      <c r="E988" s="198"/>
    </row>
    <row r="989">
      <c r="B989" s="139"/>
      <c r="C989" s="139"/>
      <c r="D989" s="139"/>
      <c r="E989" s="198"/>
    </row>
    <row r="990">
      <c r="B990" s="139"/>
      <c r="C990" s="139"/>
      <c r="D990" s="139"/>
      <c r="E990" s="198"/>
    </row>
    <row r="991">
      <c r="B991" s="139"/>
      <c r="C991" s="139"/>
      <c r="D991" s="139"/>
      <c r="E991" s="198"/>
    </row>
    <row r="992">
      <c r="B992" s="139"/>
      <c r="C992" s="139"/>
      <c r="D992" s="139"/>
      <c r="E992" s="198"/>
    </row>
    <row r="993">
      <c r="B993" s="139"/>
      <c r="C993" s="139"/>
      <c r="D993" s="139"/>
      <c r="E993" s="198"/>
    </row>
    <row r="994">
      <c r="B994" s="139"/>
      <c r="C994" s="139"/>
      <c r="D994" s="139"/>
      <c r="E994" s="198"/>
    </row>
    <row r="995">
      <c r="B995" s="139"/>
      <c r="C995" s="139"/>
      <c r="D995" s="139"/>
      <c r="E995" s="198"/>
    </row>
    <row r="996">
      <c r="B996" s="139"/>
      <c r="C996" s="139"/>
      <c r="D996" s="139"/>
      <c r="E996" s="198"/>
    </row>
    <row r="997">
      <c r="B997" s="139"/>
      <c r="C997" s="139"/>
      <c r="D997" s="139"/>
      <c r="E997" s="198"/>
    </row>
    <row r="998">
      <c r="B998" s="139"/>
      <c r="C998" s="139"/>
      <c r="D998" s="139"/>
      <c r="E998" s="198"/>
    </row>
    <row r="999">
      <c r="B999" s="139"/>
      <c r="C999" s="139"/>
      <c r="D999" s="139"/>
      <c r="E999" s="198"/>
    </row>
    <row r="1000">
      <c r="B1000" s="139"/>
      <c r="C1000" s="139"/>
      <c r="D1000" s="139"/>
      <c r="E1000" s="198"/>
    </row>
    <row r="1001">
      <c r="B1001" s="139"/>
      <c r="C1001" s="139"/>
      <c r="D1001" s="139"/>
      <c r="E1001" s="198"/>
    </row>
    <row r="1002">
      <c r="B1002" s="139"/>
      <c r="C1002" s="139"/>
      <c r="D1002" s="139"/>
      <c r="E1002" s="198"/>
    </row>
  </sheetData>
  <mergeCells count="2">
    <mergeCell ref="L1:M1"/>
    <mergeCell ref="N1:O1"/>
  </mergeCells>
  <conditionalFormatting sqref="E1:E1002">
    <cfRule type="containsText" dxfId="1" priority="1" operator="containsText" text="Rep">
      <formula>NOT(ISERROR(SEARCH(("Rep"),(E1))))</formula>
    </cfRule>
  </conditionalFormatting>
  <conditionalFormatting sqref="E1:E1002">
    <cfRule type="containsText" dxfId="0" priority="2" operator="containsText" text="Dem">
      <formula>NOT(ISERROR(SEARCH(("Dem"),(E1))))</formula>
    </cfRule>
  </conditionalFormatting>
  <hyperlinks>
    <hyperlink r:id="rId1" ref="B4"/>
    <hyperlink r:id="rId2" ref="C4"/>
    <hyperlink r:id="rId3" ref="B5"/>
    <hyperlink r:id="rId4" ref="C5"/>
    <hyperlink r:id="rId5" ref="B6"/>
    <hyperlink r:id="rId6" ref="C6"/>
    <hyperlink r:id="rId7" ref="B7"/>
    <hyperlink r:id="rId8" ref="C7"/>
    <hyperlink r:id="rId9" ref="B8"/>
    <hyperlink r:id="rId10" ref="C8"/>
    <hyperlink r:id="rId11" ref="B9"/>
    <hyperlink r:id="rId12" ref="C9"/>
    <hyperlink r:id="rId13" ref="B10"/>
    <hyperlink r:id="rId14" ref="C10"/>
    <hyperlink r:id="rId15" ref="B11"/>
    <hyperlink r:id="rId16" ref="C11"/>
    <hyperlink r:id="rId17" ref="B12"/>
    <hyperlink r:id="rId18" ref="C12"/>
    <hyperlink r:id="rId19" ref="B13"/>
    <hyperlink r:id="rId20" ref="C13"/>
    <hyperlink r:id="rId21" ref="B14"/>
    <hyperlink r:id="rId22" ref="C14"/>
    <hyperlink r:id="rId23" ref="B15"/>
    <hyperlink r:id="rId24" ref="C15"/>
    <hyperlink r:id="rId25" ref="B16"/>
    <hyperlink r:id="rId26" ref="C16"/>
    <hyperlink r:id="rId27" ref="B17"/>
    <hyperlink r:id="rId28" ref="C17"/>
    <hyperlink r:id="rId29" ref="B18"/>
    <hyperlink r:id="rId30" ref="B19"/>
    <hyperlink r:id="rId31" ref="C19"/>
    <hyperlink r:id="rId32" ref="B20"/>
    <hyperlink r:id="rId33" ref="C20"/>
    <hyperlink r:id="rId34" ref="B21"/>
    <hyperlink r:id="rId35" ref="C21"/>
    <hyperlink r:id="rId36" ref="B22"/>
    <hyperlink r:id="rId37" ref="C22"/>
    <hyperlink r:id="rId38" ref="B23"/>
    <hyperlink r:id="rId39" ref="C23"/>
    <hyperlink r:id="rId40" ref="B24"/>
    <hyperlink r:id="rId41" ref="C24"/>
    <hyperlink r:id="rId42" ref="B25"/>
    <hyperlink r:id="rId43" ref="C25"/>
    <hyperlink r:id="rId44" ref="B26"/>
    <hyperlink r:id="rId45" ref="C26"/>
    <hyperlink r:id="rId46" ref="B27"/>
    <hyperlink r:id="rId47" ref="C27"/>
    <hyperlink r:id="rId48" ref="B28"/>
    <hyperlink r:id="rId49" ref="C28"/>
    <hyperlink r:id="rId50" ref="B29"/>
    <hyperlink r:id="rId51" ref="C29"/>
    <hyperlink r:id="rId52" ref="B30"/>
    <hyperlink r:id="rId53" ref="C30"/>
    <hyperlink r:id="rId54" ref="B31"/>
    <hyperlink r:id="rId55" ref="C31"/>
    <hyperlink r:id="rId56" ref="B32"/>
    <hyperlink r:id="rId57" ref="C32"/>
    <hyperlink r:id="rId58" ref="B33"/>
    <hyperlink r:id="rId59" ref="B34"/>
    <hyperlink r:id="rId60" ref="C34"/>
    <hyperlink r:id="rId61" ref="B35"/>
    <hyperlink r:id="rId62" ref="C35"/>
    <hyperlink r:id="rId63" ref="B36"/>
    <hyperlink r:id="rId64" ref="C36"/>
    <hyperlink r:id="rId65" ref="B37"/>
    <hyperlink r:id="rId66" ref="C37"/>
    <hyperlink r:id="rId67" ref="B38"/>
    <hyperlink r:id="rId68" ref="C38"/>
    <hyperlink r:id="rId69" ref="B39"/>
    <hyperlink r:id="rId70" ref="C39"/>
    <hyperlink r:id="rId71" ref="B40"/>
    <hyperlink r:id="rId72" ref="C40"/>
    <hyperlink r:id="rId73" ref="B41"/>
    <hyperlink r:id="rId74" ref="C41"/>
    <hyperlink r:id="rId75" ref="B42"/>
    <hyperlink r:id="rId76" ref="C42"/>
    <hyperlink r:id="rId77" ref="B43"/>
    <hyperlink r:id="rId78" ref="B44"/>
    <hyperlink r:id="rId79" ref="C44"/>
    <hyperlink r:id="rId80" ref="B45"/>
    <hyperlink r:id="rId81" ref="C45"/>
    <hyperlink r:id="rId82" ref="B46"/>
    <hyperlink r:id="rId83" ref="C46"/>
    <hyperlink r:id="rId84" ref="B47"/>
    <hyperlink r:id="rId85" ref="C47"/>
    <hyperlink r:id="rId86" ref="B48"/>
    <hyperlink r:id="rId87" ref="C48"/>
    <hyperlink r:id="rId88" ref="B49"/>
    <hyperlink r:id="rId89" ref="C49"/>
    <hyperlink r:id="rId90" ref="B50"/>
    <hyperlink r:id="rId91" ref="C50"/>
    <hyperlink r:id="rId92" ref="B51"/>
    <hyperlink r:id="rId93" ref="C51"/>
    <hyperlink r:id="rId94" ref="B52"/>
    <hyperlink r:id="rId95" ref="C52"/>
    <hyperlink r:id="rId96" ref="B53"/>
    <hyperlink r:id="rId97" ref="C53"/>
    <hyperlink r:id="rId98" ref="B54"/>
    <hyperlink r:id="rId99" ref="C54"/>
    <hyperlink r:id="rId100" ref="B55"/>
    <hyperlink r:id="rId101" ref="C55"/>
    <hyperlink r:id="rId102" ref="B56"/>
    <hyperlink r:id="rId103" ref="C56"/>
    <hyperlink r:id="rId104" ref="B57"/>
    <hyperlink r:id="rId105" ref="C57"/>
    <hyperlink r:id="rId106" ref="B58"/>
    <hyperlink r:id="rId107" ref="B59"/>
    <hyperlink r:id="rId108" ref="C59"/>
    <hyperlink r:id="rId109" ref="B60"/>
    <hyperlink r:id="rId110" ref="C60"/>
    <hyperlink r:id="rId111" ref="B61"/>
    <hyperlink r:id="rId112" ref="C61"/>
    <hyperlink r:id="rId113" ref="B62"/>
    <hyperlink r:id="rId114" ref="C62"/>
    <hyperlink r:id="rId115" ref="B63"/>
    <hyperlink r:id="rId116" ref="C63"/>
    <hyperlink r:id="rId117" ref="B64"/>
    <hyperlink r:id="rId118" ref="C64"/>
    <hyperlink r:id="rId119" ref="B65"/>
    <hyperlink r:id="rId120" ref="C65"/>
    <hyperlink r:id="rId121" ref="B66"/>
    <hyperlink r:id="rId122" ref="C66"/>
    <hyperlink r:id="rId123" ref="B67"/>
    <hyperlink r:id="rId124" ref="C67"/>
    <hyperlink r:id="rId125" ref="B68"/>
    <hyperlink r:id="rId126" ref="C68"/>
    <hyperlink r:id="rId127" ref="B69"/>
    <hyperlink r:id="rId128" ref="C69"/>
    <hyperlink r:id="rId129" ref="B70"/>
    <hyperlink r:id="rId130" ref="C70"/>
    <hyperlink r:id="rId131" ref="B71"/>
    <hyperlink r:id="rId132" ref="C71"/>
    <hyperlink r:id="rId133" ref="B72"/>
    <hyperlink r:id="rId134" ref="C72"/>
    <hyperlink r:id="rId135" ref="B73"/>
    <hyperlink r:id="rId136" ref="C73"/>
    <hyperlink r:id="rId137" ref="B74"/>
    <hyperlink r:id="rId138" ref="C74"/>
    <hyperlink r:id="rId139" ref="B75"/>
    <hyperlink r:id="rId140" ref="C75"/>
    <hyperlink r:id="rId141" ref="B76"/>
    <hyperlink r:id="rId142" ref="C76"/>
    <hyperlink r:id="rId143" ref="B77"/>
    <hyperlink r:id="rId144" ref="C77"/>
    <hyperlink r:id="rId145" ref="B78"/>
    <hyperlink r:id="rId146" ref="C78"/>
    <hyperlink r:id="rId147" ref="B79"/>
    <hyperlink r:id="rId148" ref="B80"/>
    <hyperlink r:id="rId149" ref="C80"/>
    <hyperlink r:id="rId150" ref="B81"/>
    <hyperlink r:id="rId151" ref="C81"/>
    <hyperlink r:id="rId152" ref="B82"/>
    <hyperlink r:id="rId153" ref="C82"/>
    <hyperlink r:id="rId154" ref="B83"/>
    <hyperlink r:id="rId155" ref="C83"/>
    <hyperlink r:id="rId156" ref="C85"/>
    <hyperlink r:id="rId157" ref="B86"/>
    <hyperlink r:id="rId158" ref="C86"/>
    <hyperlink r:id="rId159" ref="B87"/>
    <hyperlink r:id="rId160" ref="C87"/>
    <hyperlink r:id="rId161" ref="B88"/>
    <hyperlink r:id="rId162" ref="C88"/>
    <hyperlink r:id="rId163" ref="B89"/>
    <hyperlink r:id="rId164" ref="C89"/>
    <hyperlink r:id="rId165" ref="B90"/>
    <hyperlink r:id="rId166" ref="C90"/>
    <hyperlink r:id="rId167" ref="B91"/>
    <hyperlink r:id="rId168" ref="C91"/>
    <hyperlink r:id="rId169" ref="B92"/>
    <hyperlink r:id="rId170" ref="B93"/>
    <hyperlink r:id="rId171" ref="C93"/>
    <hyperlink r:id="rId172" ref="B94"/>
    <hyperlink r:id="rId173" ref="C94"/>
    <hyperlink r:id="rId174" ref="B95"/>
    <hyperlink r:id="rId175" ref="C95"/>
    <hyperlink r:id="rId176" ref="B96"/>
    <hyperlink r:id="rId177" ref="B97"/>
    <hyperlink r:id="rId178" ref="C97"/>
    <hyperlink r:id="rId179" ref="B98"/>
    <hyperlink r:id="rId180" ref="C98"/>
    <hyperlink r:id="rId181" ref="B99"/>
    <hyperlink r:id="rId182" ref="C99"/>
    <hyperlink r:id="rId183" ref="B100"/>
    <hyperlink r:id="rId184" ref="C101"/>
    <hyperlink r:id="rId185" ref="B102"/>
    <hyperlink r:id="rId186" ref="C102"/>
    <hyperlink r:id="rId187" ref="B103"/>
    <hyperlink r:id="rId188" ref="C103"/>
    <hyperlink r:id="rId189" ref="B104"/>
    <hyperlink r:id="rId190" ref="B105"/>
    <hyperlink r:id="rId191" ref="C105"/>
    <hyperlink r:id="rId192" ref="B106"/>
    <hyperlink r:id="rId193" ref="B107"/>
    <hyperlink r:id="rId194" ref="C107"/>
    <hyperlink r:id="rId195" ref="B108"/>
    <hyperlink r:id="rId196" ref="B109"/>
    <hyperlink r:id="rId197" ref="B110"/>
    <hyperlink r:id="rId198" ref="C110"/>
    <hyperlink r:id="rId199" ref="B111"/>
    <hyperlink r:id="rId200" ref="C111"/>
    <hyperlink r:id="rId201" ref="B112"/>
    <hyperlink r:id="rId202" ref="C112"/>
    <hyperlink r:id="rId203" ref="B113"/>
    <hyperlink r:id="rId204" ref="C113"/>
    <hyperlink r:id="rId205" ref="B114"/>
    <hyperlink r:id="rId206" ref="C114"/>
    <hyperlink r:id="rId207" ref="B115"/>
    <hyperlink r:id="rId208" ref="C115"/>
    <hyperlink r:id="rId209" ref="B116"/>
    <hyperlink r:id="rId210" ref="B117"/>
    <hyperlink r:id="rId211" ref="C117"/>
    <hyperlink r:id="rId212" ref="B118"/>
    <hyperlink r:id="rId213" ref="C118"/>
    <hyperlink r:id="rId214" ref="B119"/>
    <hyperlink r:id="rId215" ref="C119"/>
    <hyperlink r:id="rId216" ref="B120"/>
    <hyperlink r:id="rId217" ref="C120"/>
    <hyperlink r:id="rId218" ref="B121"/>
    <hyperlink r:id="rId219" ref="C121"/>
    <hyperlink r:id="rId220" ref="B122"/>
    <hyperlink r:id="rId221" ref="B123"/>
    <hyperlink r:id="rId222" ref="B124"/>
    <hyperlink r:id="rId223" ref="C124"/>
  </hyperlinks>
  <drawing r:id="rId22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1" max="1" width="8.43"/>
    <col customWidth="1" min="2" max="2" width="7.57"/>
    <col customWidth="1" min="5" max="5" width="10.0"/>
    <col customWidth="1" min="6" max="6" width="17.29"/>
    <col customWidth="1" min="7" max="10" width="16.86"/>
    <col customWidth="1" min="11" max="11" width="20.14"/>
  </cols>
  <sheetData>
    <row r="1" ht="15.0" customHeight="1" outlineLevel="1">
      <c r="A1" s="1"/>
      <c r="B1" s="2" t="s">
        <v>1</v>
      </c>
      <c r="C1" s="2" t="s">
        <v>2</v>
      </c>
      <c r="D1" s="2" t="s">
        <v>2</v>
      </c>
      <c r="E1" s="3"/>
      <c r="F1" s="30" t="s">
        <v>1577</v>
      </c>
      <c r="G1" s="30" t="s">
        <v>4</v>
      </c>
      <c r="H1" s="30" t="s">
        <v>5</v>
      </c>
      <c r="I1" s="30" t="s">
        <v>6</v>
      </c>
      <c r="J1" s="30" t="s">
        <v>7</v>
      </c>
      <c r="K1" s="1" t="s">
        <v>8</v>
      </c>
      <c r="L1" s="7" t="s">
        <v>9</v>
      </c>
      <c r="N1" s="10" t="s">
        <v>14</v>
      </c>
      <c r="P1" s="167"/>
      <c r="Q1" s="167"/>
      <c r="R1" s="30"/>
      <c r="S1" s="20"/>
      <c r="T1" s="20"/>
      <c r="U1" s="20"/>
      <c r="V1" s="20"/>
      <c r="W1" s="20"/>
      <c r="X1" s="20"/>
      <c r="Y1" s="20"/>
      <c r="Z1" s="20"/>
      <c r="AA1" s="20"/>
      <c r="AB1" s="20"/>
      <c r="AC1" s="20"/>
      <c r="AD1" s="20"/>
    </row>
    <row r="2" ht="16.5" customHeight="1" outlineLevel="1">
      <c r="A2" s="21" t="s">
        <v>492</v>
      </c>
      <c r="B2" s="21" t="s">
        <v>27</v>
      </c>
      <c r="C2" s="21" t="s">
        <v>1580</v>
      </c>
      <c r="D2" s="23"/>
      <c r="E2" s="3"/>
      <c r="F2" s="168">
        <v>43430.0</v>
      </c>
      <c r="G2" s="168">
        <v>43487.0</v>
      </c>
      <c r="H2" s="151">
        <f>G2-today()</f>
        <v>-248</v>
      </c>
      <c r="I2" s="168">
        <v>43469.0</v>
      </c>
      <c r="J2" s="168">
        <v>43574.0</v>
      </c>
      <c r="K2" s="23"/>
      <c r="L2" s="26">
        <f>CountIFS($E:$E,"=Dem",$A:$A,"=House")</f>
        <v>39</v>
      </c>
      <c r="M2" s="28">
        <f>CountIFS($E:$E,"=Rep",$A:$A,"=House")</f>
        <v>26</v>
      </c>
      <c r="N2" s="26">
        <f>CountIFS($E:$E,"=Dem",$A:$A,"=Senate")</f>
        <v>19</v>
      </c>
      <c r="O2" s="28">
        <f>CountIFS($E:$E,"=Rep",$A:$A,"=Senate")</f>
        <v>16</v>
      </c>
      <c r="P2" s="167"/>
      <c r="Q2" s="167"/>
      <c r="R2" s="30"/>
      <c r="S2" s="20"/>
      <c r="T2" s="20"/>
      <c r="U2" s="20"/>
      <c r="V2" s="20"/>
      <c r="W2" s="20"/>
      <c r="X2" s="20"/>
      <c r="Y2" s="20"/>
      <c r="Z2" s="20"/>
      <c r="AA2" s="20"/>
      <c r="AB2" s="20"/>
      <c r="AC2" s="20"/>
      <c r="AD2" s="20"/>
    </row>
    <row r="3">
      <c r="A3" s="30" t="s">
        <v>29</v>
      </c>
      <c r="B3" s="30" t="s">
        <v>30</v>
      </c>
      <c r="C3" s="2" t="s">
        <v>31</v>
      </c>
      <c r="D3" s="2" t="s">
        <v>32</v>
      </c>
      <c r="E3" s="3" t="s">
        <v>33</v>
      </c>
      <c r="F3" s="1" t="s">
        <v>10</v>
      </c>
      <c r="G3" s="1" t="s">
        <v>34</v>
      </c>
      <c r="H3" s="1" t="s">
        <v>34</v>
      </c>
      <c r="I3" s="1" t="s">
        <v>34</v>
      </c>
      <c r="J3" s="1" t="s">
        <v>34</v>
      </c>
      <c r="K3" s="1" t="s">
        <v>35</v>
      </c>
      <c r="L3" s="19" t="s">
        <v>36</v>
      </c>
      <c r="M3" s="19" t="s">
        <v>37</v>
      </c>
      <c r="N3" s="19" t="s">
        <v>38</v>
      </c>
      <c r="O3" s="17" t="s">
        <v>39</v>
      </c>
      <c r="P3" s="11" t="s">
        <v>40</v>
      </c>
      <c r="Q3" s="11" t="s">
        <v>41</v>
      </c>
      <c r="R3" s="17" t="s">
        <v>42</v>
      </c>
      <c r="S3" s="20"/>
      <c r="T3" s="20"/>
      <c r="U3" s="30" t="s">
        <v>1590</v>
      </c>
      <c r="V3" s="2" t="s">
        <v>1591</v>
      </c>
      <c r="W3" s="30" t="s">
        <v>1592</v>
      </c>
      <c r="X3" s="30" t="s">
        <v>37</v>
      </c>
      <c r="Y3" s="30" t="s">
        <v>1593</v>
      </c>
      <c r="Z3" s="20"/>
      <c r="AA3" s="20"/>
      <c r="AB3" s="20"/>
      <c r="AC3" s="20"/>
      <c r="AD3" s="20"/>
    </row>
    <row r="4">
      <c r="A4" s="14" t="s">
        <v>44</v>
      </c>
      <c r="B4" s="31">
        <v>1.0</v>
      </c>
      <c r="C4" s="35" t="s">
        <v>1446</v>
      </c>
      <c r="D4" s="35" t="s">
        <v>1595</v>
      </c>
      <c r="E4" s="36" t="s">
        <v>49</v>
      </c>
      <c r="F4" s="169"/>
      <c r="G4" s="170" t="s">
        <v>1598</v>
      </c>
      <c r="H4" s="171"/>
      <c r="I4" s="172"/>
      <c r="J4" s="172"/>
      <c r="K4" s="173"/>
      <c r="L4" s="174" t="s">
        <v>1599</v>
      </c>
      <c r="M4" s="174" t="str">
        <f t="shared" ref="M4:M68" si="1">Concatenate(Lower(C4),".",Lower(D4),".house@state.co.us")</f>
        <v>susan.lontine.house@state.co.us</v>
      </c>
      <c r="P4" s="14">
        <v>2020.0</v>
      </c>
      <c r="S4" s="45" t="s">
        <v>1603</v>
      </c>
      <c r="U4" t="str">
        <f t="shared" ref="U4:U68" si="2">if(V4="","",if(A4="House","Representative","Senator"))</f>
        <v/>
      </c>
      <c r="V4" s="139" t="str">
        <f t="shared" ref="V4:V68" si="3">if(AND(not(isblank($F4)),not(isnumber(search("minority",$F4)))),$C4,if(or(isnumber(search("Judiciary (Chair)",$G4)),isnumber(search("Judiciary (Vice Chair)",$G4))),$C4,""))</f>
        <v/>
      </c>
      <c r="W4" t="str">
        <f t="shared" ref="W4:W68" si="4">if(V4="","",D4)</f>
        <v/>
      </c>
      <c r="X4" t="str">
        <f t="shared" ref="X4:X68" si="5">if(W4="","",M4)</f>
        <v/>
      </c>
      <c r="Y4" t="str">
        <f t="shared" ref="Y4:Y68" si="6">if(X4="","",if(isblank($F4),$G4,$F4))</f>
        <v/>
      </c>
    </row>
    <row r="5">
      <c r="A5" s="14" t="s">
        <v>44</v>
      </c>
      <c r="B5" s="31">
        <v>2.0</v>
      </c>
      <c r="C5" s="35" t="s">
        <v>1609</v>
      </c>
      <c r="D5" s="35" t="s">
        <v>1613</v>
      </c>
      <c r="E5" s="36" t="s">
        <v>49</v>
      </c>
      <c r="F5" s="175" t="s">
        <v>176</v>
      </c>
      <c r="G5" s="176" t="s">
        <v>1614</v>
      </c>
      <c r="H5" s="171"/>
      <c r="I5" s="172"/>
      <c r="J5" s="172"/>
      <c r="K5" s="172"/>
      <c r="L5" s="177" t="s">
        <v>1615</v>
      </c>
      <c r="M5" s="174" t="str">
        <f t="shared" si="1"/>
        <v>alec.garnett.house@state.co.us</v>
      </c>
      <c r="N5" s="178" t="str">
        <f>HYPERLINK("https://docs.google.com/document/d/167fnz8btDmhcux2gHlfs8AZDcymc_xvdE0SuGYGlC2A/edit","Zero")</f>
        <v>Zero</v>
      </c>
      <c r="S5" s="31" t="s">
        <v>1603</v>
      </c>
      <c r="U5" t="str">
        <f t="shared" si="2"/>
        <v>Representative</v>
      </c>
      <c r="V5" s="139" t="str">
        <f t="shared" si="3"/>
        <v>Alec</v>
      </c>
      <c r="W5" t="str">
        <f t="shared" si="4"/>
        <v>Garnett</v>
      </c>
      <c r="X5" t="str">
        <f t="shared" si="5"/>
        <v>alec.garnett.house@state.co.us</v>
      </c>
      <c r="Y5" t="str">
        <f t="shared" si="6"/>
        <v>Majority Leader</v>
      </c>
    </row>
    <row r="6">
      <c r="A6" s="14" t="s">
        <v>44</v>
      </c>
      <c r="B6" s="31">
        <v>3.0</v>
      </c>
      <c r="C6" s="35" t="s">
        <v>683</v>
      </c>
      <c r="D6" s="35" t="s">
        <v>1629</v>
      </c>
      <c r="E6" s="36" t="s">
        <v>49</v>
      </c>
      <c r="F6" s="175" t="s">
        <v>1630</v>
      </c>
      <c r="G6" s="170" t="s">
        <v>1631</v>
      </c>
      <c r="H6" s="171"/>
      <c r="I6" s="179" t="s">
        <v>1632</v>
      </c>
      <c r="J6" s="172"/>
      <c r="K6" s="172"/>
      <c r="L6" s="174" t="s">
        <v>1633</v>
      </c>
      <c r="M6" s="174" t="str">
        <f t="shared" si="1"/>
        <v>jeff.bridges.house@state.co.us</v>
      </c>
      <c r="N6" s="178" t="str">
        <f>HYPERLINK("https://docs.google.com/document/d/1c-WGIrPahEQRNwIctBir2tgU06Y27OVYcQea4owBvWI/edit","Zero")</f>
        <v>Zero</v>
      </c>
      <c r="S6" s="31" t="s">
        <v>1634</v>
      </c>
      <c r="U6" t="str">
        <f t="shared" si="2"/>
        <v>Representative</v>
      </c>
      <c r="V6" s="139" t="str">
        <f t="shared" si="3"/>
        <v>Jeff</v>
      </c>
      <c r="W6" t="str">
        <f t="shared" si="4"/>
        <v>Bridges</v>
      </c>
      <c r="X6" t="str">
        <f t="shared" si="5"/>
        <v>jeff.bridges.house@state.co.us</v>
      </c>
      <c r="Y6" t="str">
        <f t="shared" si="6"/>
        <v>Co-Majority Whip</v>
      </c>
    </row>
    <row r="7">
      <c r="A7" s="14" t="s">
        <v>44</v>
      </c>
      <c r="B7" s="31">
        <v>4.0</v>
      </c>
      <c r="C7" s="38" t="s">
        <v>1635</v>
      </c>
      <c r="D7" s="35" t="s">
        <v>1636</v>
      </c>
      <c r="E7" s="36" t="s">
        <v>49</v>
      </c>
      <c r="F7" s="169"/>
      <c r="G7" s="170" t="s">
        <v>781</v>
      </c>
      <c r="H7" s="180" t="s">
        <v>1637</v>
      </c>
      <c r="I7" s="172"/>
      <c r="J7" s="172"/>
      <c r="K7" s="172"/>
      <c r="L7" s="177" t="s">
        <v>1641</v>
      </c>
      <c r="M7" s="174" t="str">
        <f t="shared" si="1"/>
        <v>serena.gonzales-gutierrez.house@state.co.us</v>
      </c>
      <c r="S7" s="31" t="s">
        <v>1603</v>
      </c>
      <c r="U7" t="str">
        <f t="shared" si="2"/>
        <v/>
      </c>
      <c r="V7" s="139" t="str">
        <f t="shared" si="3"/>
        <v/>
      </c>
      <c r="W7" t="str">
        <f t="shared" si="4"/>
        <v/>
      </c>
      <c r="X7" t="str">
        <f t="shared" si="5"/>
        <v/>
      </c>
      <c r="Y7" t="str">
        <f t="shared" si="6"/>
        <v/>
      </c>
    </row>
    <row r="8">
      <c r="A8" s="14" t="s">
        <v>44</v>
      </c>
      <c r="B8" s="31">
        <v>5.0</v>
      </c>
      <c r="C8" s="38" t="s">
        <v>1642</v>
      </c>
      <c r="D8" s="38" t="s">
        <v>1643</v>
      </c>
      <c r="E8" s="36" t="s">
        <v>49</v>
      </c>
      <c r="F8" s="169"/>
      <c r="G8" s="170" t="s">
        <v>1644</v>
      </c>
      <c r="H8" s="180"/>
      <c r="I8" s="172"/>
      <c r="J8" s="179" t="s">
        <v>1646</v>
      </c>
      <c r="K8" s="172"/>
      <c r="L8" s="174" t="s">
        <v>1647</v>
      </c>
      <c r="M8" s="174" t="str">
        <f t="shared" si="1"/>
        <v>alex.valdez.house@state.co.us</v>
      </c>
      <c r="S8" s="31" t="s">
        <v>1603</v>
      </c>
      <c r="U8" t="str">
        <f t="shared" si="2"/>
        <v/>
      </c>
      <c r="V8" s="139" t="str">
        <f t="shared" si="3"/>
        <v/>
      </c>
      <c r="W8" t="str">
        <f t="shared" si="4"/>
        <v/>
      </c>
      <c r="X8" t="str">
        <f t="shared" si="5"/>
        <v/>
      </c>
      <c r="Y8" t="str">
        <f t="shared" si="6"/>
        <v/>
      </c>
    </row>
    <row r="9">
      <c r="A9" s="14" t="s">
        <v>44</v>
      </c>
      <c r="B9" s="31">
        <v>6.0</v>
      </c>
      <c r="C9" s="35" t="s">
        <v>173</v>
      </c>
      <c r="D9" s="35" t="s">
        <v>1653</v>
      </c>
      <c r="E9" s="36" t="s">
        <v>49</v>
      </c>
      <c r="F9" s="169"/>
      <c r="G9" s="170" t="s">
        <v>662</v>
      </c>
      <c r="H9" s="180" t="s">
        <v>1654</v>
      </c>
      <c r="I9" s="172"/>
      <c r="J9" s="172"/>
      <c r="K9" s="172"/>
      <c r="L9" s="177" t="s">
        <v>1655</v>
      </c>
      <c r="M9" s="174" t="str">
        <f t="shared" si="1"/>
        <v>chris.hansen.house@state.co.us</v>
      </c>
      <c r="S9" s="31" t="s">
        <v>1603</v>
      </c>
      <c r="U9" t="str">
        <f t="shared" si="2"/>
        <v/>
      </c>
      <c r="V9" s="139" t="str">
        <f t="shared" si="3"/>
        <v/>
      </c>
      <c r="W9" t="str">
        <f t="shared" si="4"/>
        <v/>
      </c>
      <c r="X9" t="str">
        <f t="shared" si="5"/>
        <v/>
      </c>
      <c r="Y9" t="str">
        <f t="shared" si="6"/>
        <v/>
      </c>
    </row>
    <row r="10">
      <c r="A10" s="14" t="s">
        <v>44</v>
      </c>
      <c r="B10" s="31">
        <v>7.0</v>
      </c>
      <c r="C10" s="35" t="s">
        <v>930</v>
      </c>
      <c r="D10" s="35" t="s">
        <v>508</v>
      </c>
      <c r="E10" s="36" t="s">
        <v>49</v>
      </c>
      <c r="F10" s="175" t="s">
        <v>1630</v>
      </c>
      <c r="G10" s="170" t="s">
        <v>1659</v>
      </c>
      <c r="H10" s="170" t="s">
        <v>626</v>
      </c>
      <c r="I10" s="179" t="s">
        <v>515</v>
      </c>
      <c r="J10" s="172"/>
      <c r="K10" s="172"/>
      <c r="L10" s="177" t="s">
        <v>1660</v>
      </c>
      <c r="M10" s="174" t="str">
        <f t="shared" si="1"/>
        <v>james.coleman.house@state.co.us</v>
      </c>
      <c r="N10" s="178" t="str">
        <f>HYPERLINK("https://docs.google.com/document/d/1WxlZF4w7zguePu_CVVdEp98faByCkMA4OZBuw2NbuFc/edit","Zero")</f>
        <v>Zero</v>
      </c>
      <c r="S10" s="31" t="s">
        <v>1603</v>
      </c>
      <c r="U10" t="str">
        <f t="shared" si="2"/>
        <v>Representative</v>
      </c>
      <c r="V10" s="139" t="str">
        <f t="shared" si="3"/>
        <v>James</v>
      </c>
      <c r="W10" t="str">
        <f t="shared" si="4"/>
        <v>Coleman</v>
      </c>
      <c r="X10" t="str">
        <f t="shared" si="5"/>
        <v>james.coleman.house@state.co.us</v>
      </c>
      <c r="Y10" t="str">
        <f t="shared" si="6"/>
        <v>Co-Majority Whip</v>
      </c>
    </row>
    <row r="11">
      <c r="A11" s="14" t="s">
        <v>44</v>
      </c>
      <c r="B11" s="31">
        <v>8.0</v>
      </c>
      <c r="C11" s="35" t="s">
        <v>1663</v>
      </c>
      <c r="D11" s="35" t="s">
        <v>1672</v>
      </c>
      <c r="E11" s="36" t="s">
        <v>49</v>
      </c>
      <c r="F11" s="169"/>
      <c r="G11" s="170" t="s">
        <v>1272</v>
      </c>
      <c r="H11" s="180" t="s">
        <v>517</v>
      </c>
      <c r="I11" s="172"/>
      <c r="J11" s="172"/>
      <c r="K11" s="172"/>
      <c r="L11" s="174" t="s">
        <v>1673</v>
      </c>
      <c r="M11" s="174" t="str">
        <f t="shared" si="1"/>
        <v>leslie.herod.house@state.co.us</v>
      </c>
      <c r="S11" s="31" t="s">
        <v>1603</v>
      </c>
      <c r="U11" t="str">
        <f t="shared" si="2"/>
        <v/>
      </c>
      <c r="V11" s="139" t="str">
        <f t="shared" si="3"/>
        <v/>
      </c>
      <c r="W11" t="str">
        <f t="shared" si="4"/>
        <v/>
      </c>
      <c r="X11" t="str">
        <f t="shared" si="5"/>
        <v/>
      </c>
      <c r="Y11" t="str">
        <f t="shared" si="6"/>
        <v/>
      </c>
    </row>
    <row r="12">
      <c r="A12" s="14" t="s">
        <v>44</v>
      </c>
      <c r="B12" s="31">
        <v>9.0</v>
      </c>
      <c r="C12" s="38" t="s">
        <v>1674</v>
      </c>
      <c r="D12" s="38" t="s">
        <v>1676</v>
      </c>
      <c r="E12" s="36" t="s">
        <v>49</v>
      </c>
      <c r="F12" s="169"/>
      <c r="G12" s="170" t="s">
        <v>1646</v>
      </c>
      <c r="H12" s="180" t="s">
        <v>1678</v>
      </c>
      <c r="I12" s="172"/>
      <c r="J12" s="172"/>
      <c r="K12" s="172"/>
      <c r="L12" s="177" t="s">
        <v>1679</v>
      </c>
      <c r="M12" s="174" t="str">
        <f t="shared" si="1"/>
        <v>emily.sirota.house@state.co.us</v>
      </c>
      <c r="S12" s="31" t="s">
        <v>1603</v>
      </c>
      <c r="U12" t="str">
        <f t="shared" si="2"/>
        <v/>
      </c>
      <c r="V12" s="139" t="str">
        <f t="shared" si="3"/>
        <v/>
      </c>
      <c r="W12" t="str">
        <f t="shared" si="4"/>
        <v/>
      </c>
      <c r="X12" t="str">
        <f t="shared" si="5"/>
        <v/>
      </c>
      <c r="Y12" t="str">
        <f t="shared" si="6"/>
        <v/>
      </c>
    </row>
    <row r="13">
      <c r="A13" s="14" t="s">
        <v>44</v>
      </c>
      <c r="B13" s="31">
        <v>10.0</v>
      </c>
      <c r="C13" s="35" t="s">
        <v>1681</v>
      </c>
      <c r="D13" s="35" t="s">
        <v>1683</v>
      </c>
      <c r="E13" s="36" t="s">
        <v>49</v>
      </c>
      <c r="F13" s="175" t="s">
        <v>1684</v>
      </c>
      <c r="G13" s="170" t="s">
        <v>1686</v>
      </c>
      <c r="H13" s="180" t="s">
        <v>1632</v>
      </c>
      <c r="I13" s="172"/>
      <c r="J13" s="172"/>
      <c r="K13" s="172"/>
      <c r="L13" s="177" t="s">
        <v>1689</v>
      </c>
      <c r="M13" s="174" t="str">
        <f t="shared" si="1"/>
        <v>edie.hooton.house@state.co.us</v>
      </c>
      <c r="N13" s="178" t="str">
        <f>HYPERLINK("https://docs.google.com/document/d/1ObrZ-m8jrUdlCVDXZeHeMN3L0ullheuCVeFWhHnMJNk/edit","Zero")</f>
        <v>Zero</v>
      </c>
      <c r="S13" s="45" t="s">
        <v>1690</v>
      </c>
      <c r="U13" t="str">
        <f t="shared" si="2"/>
        <v>Representative</v>
      </c>
      <c r="V13" s="139" t="str">
        <f t="shared" si="3"/>
        <v>Edie</v>
      </c>
      <c r="W13" t="str">
        <f t="shared" si="4"/>
        <v>Hooton</v>
      </c>
      <c r="X13" t="str">
        <f t="shared" si="5"/>
        <v>edie.hooton.house@state.co.us</v>
      </c>
      <c r="Y13" t="str">
        <f t="shared" si="6"/>
        <v>Majority Caucus Chair</v>
      </c>
    </row>
    <row r="14">
      <c r="A14" s="14" t="s">
        <v>44</v>
      </c>
      <c r="B14" s="31">
        <v>11.0</v>
      </c>
      <c r="C14" s="35" t="s">
        <v>235</v>
      </c>
      <c r="D14" s="35" t="s">
        <v>1700</v>
      </c>
      <c r="E14" s="36" t="s">
        <v>49</v>
      </c>
      <c r="F14" s="169"/>
      <c r="G14" s="170" t="s">
        <v>1701</v>
      </c>
      <c r="H14" s="171"/>
      <c r="I14" s="172"/>
      <c r="J14" s="172"/>
      <c r="K14" s="172"/>
      <c r="L14" s="174" t="s">
        <v>1702</v>
      </c>
      <c r="M14" s="174" t="str">
        <f t="shared" si="1"/>
        <v>jonathan.singer.house@state.co.us</v>
      </c>
      <c r="S14" s="45" t="s">
        <v>1703</v>
      </c>
      <c r="U14" t="str">
        <f t="shared" si="2"/>
        <v/>
      </c>
      <c r="V14" s="139" t="str">
        <f t="shared" si="3"/>
        <v/>
      </c>
      <c r="W14" t="str">
        <f t="shared" si="4"/>
        <v/>
      </c>
      <c r="X14" t="str">
        <f t="shared" si="5"/>
        <v/>
      </c>
      <c r="Y14" t="str">
        <f t="shared" si="6"/>
        <v/>
      </c>
    </row>
    <row r="15">
      <c r="A15" s="14" t="s">
        <v>44</v>
      </c>
      <c r="B15" s="31">
        <v>12.0</v>
      </c>
      <c r="C15" s="38" t="s">
        <v>1706</v>
      </c>
      <c r="D15" s="38" t="s">
        <v>1707</v>
      </c>
      <c r="E15" s="36" t="s">
        <v>49</v>
      </c>
      <c r="F15" s="169"/>
      <c r="G15" s="170" t="s">
        <v>1708</v>
      </c>
      <c r="H15" s="180" t="s">
        <v>1637</v>
      </c>
      <c r="I15" s="172"/>
      <c r="J15" s="172"/>
      <c r="K15" s="172"/>
      <c r="L15" s="174" t="s">
        <v>1709</v>
      </c>
      <c r="M15" s="174" t="str">
        <f t="shared" si="1"/>
        <v>sonya.lewis.house@state.co.us</v>
      </c>
      <c r="S15" s="45" t="s">
        <v>1710</v>
      </c>
      <c r="U15" t="str">
        <f t="shared" si="2"/>
        <v/>
      </c>
      <c r="V15" s="139" t="str">
        <f t="shared" si="3"/>
        <v/>
      </c>
      <c r="W15" t="str">
        <f t="shared" si="4"/>
        <v/>
      </c>
      <c r="X15" t="str">
        <f t="shared" si="5"/>
        <v/>
      </c>
      <c r="Y15" t="str">
        <f t="shared" si="6"/>
        <v/>
      </c>
    </row>
    <row r="16">
      <c r="A16" s="14" t="s">
        <v>44</v>
      </c>
      <c r="B16" s="31">
        <v>13.0</v>
      </c>
      <c r="C16" s="38" t="s">
        <v>1714</v>
      </c>
      <c r="D16" s="38" t="s">
        <v>1715</v>
      </c>
      <c r="E16" s="36" t="s">
        <v>49</v>
      </c>
      <c r="F16" s="175" t="s">
        <v>254</v>
      </c>
      <c r="G16" s="170" t="s">
        <v>1716</v>
      </c>
      <c r="H16" s="171"/>
      <c r="I16" s="172"/>
      <c r="J16" s="172"/>
      <c r="K16" s="172"/>
      <c r="L16" s="177" t="s">
        <v>1717</v>
      </c>
      <c r="M16" s="174" t="str">
        <f t="shared" si="1"/>
        <v>kc.becker.house@state.co.us</v>
      </c>
      <c r="N16" s="178" t="str">
        <f>HYPERLINK("https://docs.google.com/document/d/1Xu7D0UL58aOHGIBu-c4ws0_wmAXWDSe4IH4223A-5mQ/edit","Zero")</f>
        <v>Zero</v>
      </c>
      <c r="S16" s="45" t="s">
        <v>1690</v>
      </c>
      <c r="U16" t="str">
        <f t="shared" si="2"/>
        <v>Representative</v>
      </c>
      <c r="V16" s="139" t="str">
        <f t="shared" si="3"/>
        <v>KC</v>
      </c>
      <c r="W16" t="str">
        <f t="shared" si="4"/>
        <v>Becker</v>
      </c>
      <c r="X16" t="str">
        <f t="shared" si="5"/>
        <v>kc.becker.house@state.co.us</v>
      </c>
      <c r="Y16" t="str">
        <f t="shared" si="6"/>
        <v>Speaker of the House</v>
      </c>
    </row>
    <row r="17">
      <c r="A17" s="14" t="s">
        <v>44</v>
      </c>
      <c r="B17" s="31">
        <v>14.0</v>
      </c>
      <c r="C17" s="35" t="s">
        <v>756</v>
      </c>
      <c r="D17" s="35" t="s">
        <v>1721</v>
      </c>
      <c r="E17" s="51" t="s">
        <v>53</v>
      </c>
      <c r="F17" s="169"/>
      <c r="G17" s="170" t="s">
        <v>1722</v>
      </c>
      <c r="H17" s="180" t="s">
        <v>1264</v>
      </c>
      <c r="I17" s="172"/>
      <c r="J17" s="172"/>
      <c r="K17" s="172"/>
      <c r="L17" s="174" t="s">
        <v>1723</v>
      </c>
      <c r="M17" s="174" t="str">
        <f t="shared" si="1"/>
        <v>shane.sandridge.house@state.co.us</v>
      </c>
      <c r="S17" s="45" t="s">
        <v>1724</v>
      </c>
      <c r="U17" t="str">
        <f t="shared" si="2"/>
        <v/>
      </c>
      <c r="V17" s="139" t="str">
        <f t="shared" si="3"/>
        <v/>
      </c>
      <c r="W17" t="str">
        <f t="shared" si="4"/>
        <v/>
      </c>
      <c r="X17" t="str">
        <f t="shared" si="5"/>
        <v/>
      </c>
      <c r="Y17" t="str">
        <f t="shared" si="6"/>
        <v/>
      </c>
    </row>
    <row r="18">
      <c r="A18" s="14" t="s">
        <v>44</v>
      </c>
      <c r="B18" s="31">
        <v>15.0</v>
      </c>
      <c r="C18" s="35" t="s">
        <v>76</v>
      </c>
      <c r="D18" s="35" t="s">
        <v>793</v>
      </c>
      <c r="E18" s="51" t="s">
        <v>53</v>
      </c>
      <c r="F18" s="169"/>
      <c r="G18" s="170" t="s">
        <v>1722</v>
      </c>
      <c r="H18" s="180" t="s">
        <v>1678</v>
      </c>
      <c r="I18" s="172"/>
      <c r="J18" s="172"/>
      <c r="K18" s="172"/>
      <c r="L18" s="174" t="s">
        <v>1730</v>
      </c>
      <c r="M18" s="174" t="str">
        <f t="shared" si="1"/>
        <v>dave.williams.house@state.co.us</v>
      </c>
      <c r="S18" s="31" t="s">
        <v>1724</v>
      </c>
      <c r="U18" t="str">
        <f t="shared" si="2"/>
        <v/>
      </c>
      <c r="V18" s="139" t="str">
        <f t="shared" si="3"/>
        <v/>
      </c>
      <c r="W18" t="str">
        <f t="shared" si="4"/>
        <v/>
      </c>
      <c r="X18" t="str">
        <f t="shared" si="5"/>
        <v/>
      </c>
      <c r="Y18" t="str">
        <f t="shared" si="6"/>
        <v/>
      </c>
    </row>
    <row r="19">
      <c r="A19" s="14" t="s">
        <v>44</v>
      </c>
      <c r="B19" s="31">
        <v>16.0</v>
      </c>
      <c r="C19" s="35" t="s">
        <v>839</v>
      </c>
      <c r="D19" s="35" t="s">
        <v>1736</v>
      </c>
      <c r="E19" s="51" t="s">
        <v>53</v>
      </c>
      <c r="F19" s="169"/>
      <c r="G19" s="170" t="s">
        <v>1737</v>
      </c>
      <c r="H19" s="180" t="s">
        <v>1637</v>
      </c>
      <c r="I19" s="172"/>
      <c r="J19" s="172"/>
      <c r="K19" s="172"/>
      <c r="L19" s="177" t="s">
        <v>1738</v>
      </c>
      <c r="M19" s="174" t="str">
        <f t="shared" si="1"/>
        <v>larry.liston.house@state.co.us</v>
      </c>
      <c r="S19" s="45" t="s">
        <v>1724</v>
      </c>
      <c r="U19" t="str">
        <f t="shared" si="2"/>
        <v/>
      </c>
      <c r="V19" s="139" t="str">
        <f t="shared" si="3"/>
        <v/>
      </c>
      <c r="W19" t="str">
        <f t="shared" si="4"/>
        <v/>
      </c>
      <c r="X19" t="str">
        <f t="shared" si="5"/>
        <v/>
      </c>
      <c r="Y19" t="str">
        <f t="shared" si="6"/>
        <v/>
      </c>
    </row>
    <row r="20">
      <c r="A20" s="14" t="s">
        <v>44</v>
      </c>
      <c r="B20" s="31">
        <v>17.0</v>
      </c>
      <c r="C20" s="35" t="s">
        <v>980</v>
      </c>
      <c r="D20" s="35" t="s">
        <v>1749</v>
      </c>
      <c r="E20" s="36" t="s">
        <v>49</v>
      </c>
      <c r="F20" s="169"/>
      <c r="G20" s="180" t="s">
        <v>1750</v>
      </c>
      <c r="H20" s="171"/>
      <c r="I20" s="172"/>
      <c r="J20" s="172"/>
      <c r="K20" s="172"/>
      <c r="L20" s="177" t="s">
        <v>1751</v>
      </c>
      <c r="M20" s="174" t="str">
        <f t="shared" si="1"/>
        <v>tony.exum.house@state.co.us</v>
      </c>
      <c r="S20" s="45" t="s">
        <v>1724</v>
      </c>
      <c r="U20" t="str">
        <f t="shared" si="2"/>
        <v/>
      </c>
      <c r="V20" s="139" t="str">
        <f t="shared" si="3"/>
        <v/>
      </c>
      <c r="W20" t="str">
        <f t="shared" si="4"/>
        <v/>
      </c>
      <c r="X20" t="str">
        <f t="shared" si="5"/>
        <v/>
      </c>
      <c r="Y20" t="str">
        <f t="shared" si="6"/>
        <v/>
      </c>
    </row>
    <row r="21">
      <c r="A21" s="14" t="s">
        <v>44</v>
      </c>
      <c r="B21" s="31">
        <v>18.0</v>
      </c>
      <c r="C21" s="38" t="s">
        <v>1431</v>
      </c>
      <c r="D21" s="38" t="s">
        <v>1754</v>
      </c>
      <c r="E21" s="36" t="s">
        <v>49</v>
      </c>
      <c r="F21" s="169"/>
      <c r="G21" s="14" t="s">
        <v>1722</v>
      </c>
      <c r="H21" s="180" t="s">
        <v>1264</v>
      </c>
      <c r="I21" s="172"/>
      <c r="J21" s="172"/>
      <c r="K21" s="172"/>
      <c r="L21" s="174" t="s">
        <v>1755</v>
      </c>
      <c r="M21" s="174" t="str">
        <f t="shared" si="1"/>
        <v>marc.snyder.house@state.co.us</v>
      </c>
      <c r="S21" s="45" t="s">
        <v>1724</v>
      </c>
      <c r="U21" t="str">
        <f t="shared" si="2"/>
        <v/>
      </c>
      <c r="V21" s="139" t="str">
        <f t="shared" si="3"/>
        <v/>
      </c>
      <c r="W21" t="str">
        <f t="shared" si="4"/>
        <v/>
      </c>
      <c r="X21" t="str">
        <f t="shared" si="5"/>
        <v/>
      </c>
      <c r="Y21" t="str">
        <f t="shared" si="6"/>
        <v/>
      </c>
    </row>
    <row r="22">
      <c r="A22" s="14" t="s">
        <v>44</v>
      </c>
      <c r="B22" s="31">
        <v>19.0</v>
      </c>
      <c r="C22" s="38" t="s">
        <v>225</v>
      </c>
      <c r="D22" s="38" t="s">
        <v>1759</v>
      </c>
      <c r="E22" s="51" t="s">
        <v>53</v>
      </c>
      <c r="F22" s="169"/>
      <c r="G22" s="170" t="s">
        <v>515</v>
      </c>
      <c r="H22" s="180" t="s">
        <v>1646</v>
      </c>
      <c r="I22" s="172"/>
      <c r="J22" s="172"/>
      <c r="K22" s="172"/>
      <c r="L22" s="177" t="s">
        <v>1761</v>
      </c>
      <c r="M22" s="174" t="str">
        <f t="shared" si="1"/>
        <v>tim.geitner.house@state.co.us</v>
      </c>
      <c r="S22" s="31" t="s">
        <v>1764</v>
      </c>
      <c r="U22" t="str">
        <f t="shared" si="2"/>
        <v/>
      </c>
      <c r="V22" s="139" t="str">
        <f t="shared" si="3"/>
        <v/>
      </c>
      <c r="W22" t="str">
        <f t="shared" si="4"/>
        <v/>
      </c>
      <c r="X22" t="str">
        <f t="shared" si="5"/>
        <v/>
      </c>
      <c r="Y22" t="str">
        <f t="shared" si="6"/>
        <v/>
      </c>
    </row>
    <row r="23">
      <c r="A23" s="14" t="s">
        <v>44</v>
      </c>
      <c r="B23" s="31">
        <v>20.0</v>
      </c>
      <c r="C23" s="35" t="s">
        <v>134</v>
      </c>
      <c r="D23" s="35" t="s">
        <v>1768</v>
      </c>
      <c r="E23" s="51" t="s">
        <v>53</v>
      </c>
      <c r="F23" s="182"/>
      <c r="G23" s="170" t="s">
        <v>781</v>
      </c>
      <c r="H23" s="180" t="s">
        <v>1632</v>
      </c>
      <c r="I23" s="172"/>
      <c r="J23" s="172"/>
      <c r="K23" s="172"/>
      <c r="L23" s="177" t="s">
        <v>1769</v>
      </c>
      <c r="M23" s="174" t="str">
        <f t="shared" si="1"/>
        <v>terri.carver.house@state.co.us</v>
      </c>
      <c r="S23" s="31" t="s">
        <v>1724</v>
      </c>
      <c r="U23" t="str">
        <f t="shared" si="2"/>
        <v/>
      </c>
      <c r="V23" s="139" t="str">
        <f t="shared" si="3"/>
        <v/>
      </c>
      <c r="W23" t="str">
        <f t="shared" si="4"/>
        <v/>
      </c>
      <c r="X23" t="str">
        <f t="shared" si="5"/>
        <v/>
      </c>
      <c r="Y23" t="str">
        <f t="shared" si="6"/>
        <v/>
      </c>
    </row>
    <row r="24">
      <c r="A24" s="14" t="s">
        <v>44</v>
      </c>
      <c r="B24" s="31">
        <v>21.0</v>
      </c>
      <c r="C24" s="35" t="s">
        <v>1771</v>
      </c>
      <c r="D24" s="35" t="s">
        <v>1774</v>
      </c>
      <c r="E24" s="51" t="s">
        <v>53</v>
      </c>
      <c r="F24" s="169"/>
      <c r="G24" s="170" t="s">
        <v>1646</v>
      </c>
      <c r="H24" s="180" t="s">
        <v>1775</v>
      </c>
      <c r="I24" s="172"/>
      <c r="J24" s="172"/>
      <c r="K24" s="172"/>
      <c r="L24" s="174" t="s">
        <v>1776</v>
      </c>
      <c r="M24" s="174" t="str">
        <f t="shared" si="1"/>
        <v>lois.landgraf.house@state.co.us</v>
      </c>
      <c r="S24" s="31" t="s">
        <v>1777</v>
      </c>
      <c r="U24" t="str">
        <f t="shared" si="2"/>
        <v/>
      </c>
      <c r="V24" s="139" t="str">
        <f t="shared" si="3"/>
        <v/>
      </c>
      <c r="W24" t="str">
        <f t="shared" si="4"/>
        <v/>
      </c>
      <c r="X24" t="str">
        <f t="shared" si="5"/>
        <v/>
      </c>
      <c r="Y24" t="str">
        <f t="shared" si="6"/>
        <v/>
      </c>
    </row>
    <row r="25">
      <c r="A25" s="14" t="s">
        <v>44</v>
      </c>
      <c r="B25" s="31">
        <v>22.0</v>
      </c>
      <c r="C25" s="38" t="s">
        <v>1779</v>
      </c>
      <c r="D25" s="38" t="s">
        <v>1780</v>
      </c>
      <c r="E25" s="51" t="s">
        <v>53</v>
      </c>
      <c r="F25" s="169"/>
      <c r="G25" s="170" t="s">
        <v>515</v>
      </c>
      <c r="H25" s="180" t="s">
        <v>1775</v>
      </c>
      <c r="I25" s="172"/>
      <c r="J25" s="172"/>
      <c r="K25" s="172"/>
      <c r="L25" s="174" t="s">
        <v>1781</v>
      </c>
      <c r="M25" s="174" t="str">
        <f t="shared" si="1"/>
        <v>colin.larson.house@state.co.us</v>
      </c>
      <c r="S25" s="45" t="s">
        <v>1782</v>
      </c>
      <c r="U25" t="str">
        <f t="shared" si="2"/>
        <v/>
      </c>
      <c r="V25" s="139" t="str">
        <f t="shared" si="3"/>
        <v/>
      </c>
      <c r="W25" t="str">
        <f t="shared" si="4"/>
        <v/>
      </c>
      <c r="X25" t="str">
        <f t="shared" si="5"/>
        <v/>
      </c>
      <c r="Y25" t="str">
        <f t="shared" si="6"/>
        <v/>
      </c>
    </row>
    <row r="26">
      <c r="A26" s="14" t="s">
        <v>44</v>
      </c>
      <c r="B26" s="31">
        <v>23.0</v>
      </c>
      <c r="C26" s="35" t="s">
        <v>575</v>
      </c>
      <c r="D26" s="35" t="s">
        <v>1791</v>
      </c>
      <c r="E26" s="36" t="s">
        <v>49</v>
      </c>
      <c r="F26" s="175" t="s">
        <v>1792</v>
      </c>
      <c r="G26" s="170" t="s">
        <v>1793</v>
      </c>
      <c r="H26" s="180" t="s">
        <v>626</v>
      </c>
      <c r="I26" s="170"/>
      <c r="J26" s="172"/>
      <c r="K26" s="172"/>
      <c r="L26" s="174" t="s">
        <v>1794</v>
      </c>
      <c r="M26" s="174" t="str">
        <f t="shared" si="1"/>
        <v>christopher.kennedy.house@state.co.us</v>
      </c>
      <c r="N26" s="178" t="str">
        <f>HYPERLINK("https://docs.google.com/document/d/1GGsHHhxRRlkwhk4BBGWPxi4uB9hHtqhSbCy4K5EUWaA/edit#heading=h.ukawe30im1h","Zero")</f>
        <v>Zero</v>
      </c>
      <c r="S26" s="45" t="s">
        <v>1796</v>
      </c>
      <c r="U26" t="str">
        <f t="shared" si="2"/>
        <v>Representative</v>
      </c>
      <c r="V26" s="139" t="str">
        <f t="shared" si="3"/>
        <v>Christopher</v>
      </c>
      <c r="W26" t="str">
        <f t="shared" si="4"/>
        <v>Kennedy</v>
      </c>
      <c r="X26" t="str">
        <f t="shared" si="5"/>
        <v>christopher.kennedy.house@state.co.us</v>
      </c>
      <c r="Y26" t="str">
        <f t="shared" si="6"/>
        <v>Assisstant Majority Leader</v>
      </c>
    </row>
    <row r="27">
      <c r="A27" s="14" t="s">
        <v>44</v>
      </c>
      <c r="B27" s="31">
        <v>24.0</v>
      </c>
      <c r="C27" s="38" t="s">
        <v>1798</v>
      </c>
      <c r="D27" s="38" t="s">
        <v>1799</v>
      </c>
      <c r="E27" s="36" t="s">
        <v>49</v>
      </c>
      <c r="F27" s="182"/>
      <c r="G27" s="170" t="s">
        <v>1800</v>
      </c>
      <c r="H27" s="180" t="s">
        <v>1801</v>
      </c>
      <c r="I27" s="172"/>
      <c r="J27" s="172"/>
      <c r="K27" s="172"/>
      <c r="L27" s="177" t="s">
        <v>1802</v>
      </c>
      <c r="M27" s="174" t="str">
        <f t="shared" si="1"/>
        <v>monica.duran.house@state.co.us</v>
      </c>
      <c r="S27" s="45" t="s">
        <v>1803</v>
      </c>
      <c r="U27" t="str">
        <f t="shared" si="2"/>
        <v/>
      </c>
      <c r="V27" s="139" t="str">
        <f t="shared" si="3"/>
        <v/>
      </c>
      <c r="W27" t="str">
        <f t="shared" si="4"/>
        <v/>
      </c>
      <c r="X27" t="str">
        <f t="shared" si="5"/>
        <v/>
      </c>
      <c r="Y27" t="str">
        <f t="shared" si="6"/>
        <v/>
      </c>
    </row>
    <row r="28">
      <c r="A28" s="14" t="s">
        <v>44</v>
      </c>
      <c r="B28" s="31">
        <v>25.0</v>
      </c>
      <c r="C28" s="38" t="s">
        <v>432</v>
      </c>
      <c r="D28" s="38" t="s">
        <v>1809</v>
      </c>
      <c r="E28" s="51" t="s">
        <v>53</v>
      </c>
      <c r="F28" s="169"/>
      <c r="G28" s="170" t="s">
        <v>515</v>
      </c>
      <c r="H28" s="180" t="s">
        <v>1775</v>
      </c>
      <c r="I28" s="172"/>
      <c r="J28" s="172"/>
      <c r="K28" s="172"/>
      <c r="L28" s="177"/>
      <c r="M28" s="174" t="str">
        <f t="shared" si="1"/>
        <v>lisa.cutter.house@state.co.us</v>
      </c>
      <c r="S28" s="45" t="s">
        <v>1810</v>
      </c>
      <c r="U28" t="str">
        <f t="shared" si="2"/>
        <v/>
      </c>
      <c r="V28" s="139" t="str">
        <f t="shared" si="3"/>
        <v/>
      </c>
      <c r="W28" t="str">
        <f t="shared" si="4"/>
        <v/>
      </c>
      <c r="X28" t="str">
        <f t="shared" si="5"/>
        <v/>
      </c>
      <c r="Y28" t="str">
        <f t="shared" si="6"/>
        <v/>
      </c>
    </row>
    <row r="29">
      <c r="A29" s="14" t="s">
        <v>44</v>
      </c>
      <c r="B29" s="31">
        <v>26.0</v>
      </c>
      <c r="C29" s="35" t="s">
        <v>1814</v>
      </c>
      <c r="D29" s="35" t="s">
        <v>788</v>
      </c>
      <c r="E29" s="36" t="s">
        <v>49</v>
      </c>
      <c r="F29" s="169"/>
      <c r="G29" s="170" t="s">
        <v>1819</v>
      </c>
      <c r="H29" s="180" t="s">
        <v>1820</v>
      </c>
      <c r="I29" s="179" t="s">
        <v>781</v>
      </c>
      <c r="J29" s="172"/>
      <c r="K29" s="172"/>
      <c r="L29" s="174" t="s">
        <v>1821</v>
      </c>
      <c r="M29" s="174" t="str">
        <f t="shared" si="1"/>
        <v>dylan.roberts.house@state.co.us</v>
      </c>
      <c r="S29" s="45" t="s">
        <v>1822</v>
      </c>
      <c r="U29" t="str">
        <f t="shared" si="2"/>
        <v/>
      </c>
      <c r="V29" s="139" t="str">
        <f t="shared" si="3"/>
        <v/>
      </c>
      <c r="W29" t="str">
        <f t="shared" si="4"/>
        <v/>
      </c>
      <c r="X29" t="str">
        <f t="shared" si="5"/>
        <v/>
      </c>
      <c r="Y29" t="str">
        <f t="shared" si="6"/>
        <v/>
      </c>
    </row>
    <row r="30">
      <c r="A30" s="14" t="s">
        <v>44</v>
      </c>
      <c r="B30" s="31">
        <v>27.0</v>
      </c>
      <c r="C30" s="38" t="s">
        <v>1824</v>
      </c>
      <c r="D30" s="38" t="s">
        <v>1825</v>
      </c>
      <c r="E30" s="36" t="s">
        <v>49</v>
      </c>
      <c r="F30" s="169"/>
      <c r="G30" s="170" t="s">
        <v>1826</v>
      </c>
      <c r="H30" s="180" t="s">
        <v>1827</v>
      </c>
      <c r="I30" s="179" t="s">
        <v>1828</v>
      </c>
      <c r="J30" s="172"/>
      <c r="K30" s="172"/>
      <c r="L30" s="177" t="s">
        <v>1829</v>
      </c>
      <c r="M30" s="174" t="str">
        <f t="shared" si="1"/>
        <v>brianna.titone.house@state.co.us</v>
      </c>
      <c r="S30" s="45" t="s">
        <v>1830</v>
      </c>
      <c r="U30" t="str">
        <f t="shared" si="2"/>
        <v/>
      </c>
      <c r="V30" s="139" t="str">
        <f t="shared" si="3"/>
        <v/>
      </c>
      <c r="W30" t="str">
        <f t="shared" si="4"/>
        <v/>
      </c>
      <c r="X30" t="str">
        <f t="shared" si="5"/>
        <v/>
      </c>
      <c r="Y30" t="str">
        <f t="shared" si="6"/>
        <v/>
      </c>
    </row>
    <row r="31">
      <c r="A31" s="14" t="s">
        <v>44</v>
      </c>
      <c r="B31" s="31">
        <v>28.0</v>
      </c>
      <c r="C31" s="38" t="s">
        <v>341</v>
      </c>
      <c r="D31" s="38" t="s">
        <v>1833</v>
      </c>
      <c r="E31" s="36" t="s">
        <v>49</v>
      </c>
      <c r="F31" s="182"/>
      <c r="G31" s="170" t="s">
        <v>1300</v>
      </c>
      <c r="H31" s="171"/>
      <c r="I31" s="179" t="s">
        <v>781</v>
      </c>
      <c r="J31" s="172"/>
      <c r="K31" s="172"/>
      <c r="L31" s="174" t="s">
        <v>1834</v>
      </c>
      <c r="M31" s="174" t="str">
        <f t="shared" si="1"/>
        <v>kerry.tipper.house@state.co.us</v>
      </c>
      <c r="S31" s="45" t="s">
        <v>1796</v>
      </c>
      <c r="U31" t="str">
        <f t="shared" si="2"/>
        <v/>
      </c>
      <c r="V31" s="139" t="str">
        <f t="shared" si="3"/>
        <v/>
      </c>
      <c r="W31" t="str">
        <f t="shared" si="4"/>
        <v/>
      </c>
      <c r="X31" t="str">
        <f t="shared" si="5"/>
        <v/>
      </c>
      <c r="Y31" t="str">
        <f t="shared" si="6"/>
        <v/>
      </c>
    </row>
    <row r="32">
      <c r="A32" s="14" t="s">
        <v>44</v>
      </c>
      <c r="B32" s="31">
        <v>29.0</v>
      </c>
      <c r="C32" s="35" t="s">
        <v>273</v>
      </c>
      <c r="D32" s="35" t="s">
        <v>1839</v>
      </c>
      <c r="E32" s="36" t="s">
        <v>49</v>
      </c>
      <c r="F32" s="169"/>
      <c r="G32" s="170" t="s">
        <v>1840</v>
      </c>
      <c r="H32" s="170" t="s">
        <v>626</v>
      </c>
      <c r="I32" s="179" t="s">
        <v>1841</v>
      </c>
      <c r="J32" s="172"/>
      <c r="K32" s="172"/>
      <c r="L32" s="177" t="s">
        <v>1842</v>
      </c>
      <c r="M32" s="174" t="str">
        <f t="shared" si="1"/>
        <v>tracy.kraft-tharp.house@state.co.us</v>
      </c>
      <c r="S32" s="45" t="s">
        <v>1830</v>
      </c>
      <c r="U32" t="str">
        <f t="shared" si="2"/>
        <v/>
      </c>
      <c r="V32" s="139" t="str">
        <f t="shared" si="3"/>
        <v/>
      </c>
      <c r="W32" t="str">
        <f t="shared" si="4"/>
        <v/>
      </c>
      <c r="X32" t="str">
        <f t="shared" si="5"/>
        <v/>
      </c>
      <c r="Y32" t="str">
        <f t="shared" si="6"/>
        <v/>
      </c>
    </row>
    <row r="33">
      <c r="A33" s="14" t="s">
        <v>44</v>
      </c>
      <c r="B33" s="31">
        <v>30.0</v>
      </c>
      <c r="C33" s="35" t="s">
        <v>1844</v>
      </c>
      <c r="D33" s="38" t="s">
        <v>1849</v>
      </c>
      <c r="E33" s="36" t="s">
        <v>49</v>
      </c>
      <c r="F33" s="175" t="s">
        <v>1850</v>
      </c>
      <c r="G33" s="170" t="s">
        <v>1851</v>
      </c>
      <c r="H33" s="180" t="s">
        <v>515</v>
      </c>
      <c r="I33" s="172"/>
      <c r="J33" s="172"/>
      <c r="K33" s="172"/>
      <c r="L33" s="177" t="s">
        <v>1852</v>
      </c>
      <c r="M33" s="174" t="str">
        <f t="shared" si="1"/>
        <v>dafna.jenet.house@state.co.us</v>
      </c>
      <c r="N33" s="178" t="str">
        <f>HYPERLINK("https://docs.google.com/document/d/1L0thgnlVfXeg8bZxUyrO9sWEm_Cxcwj79IDjG7HS8zc/edit","Zero")</f>
        <v>Zero</v>
      </c>
      <c r="S33" s="45" t="s">
        <v>1853</v>
      </c>
      <c r="U33" t="str">
        <f t="shared" si="2"/>
        <v>Representative</v>
      </c>
      <c r="V33" s="139" t="str">
        <f t="shared" si="3"/>
        <v>Dafna</v>
      </c>
      <c r="W33" t="str">
        <f t="shared" si="4"/>
        <v>Jenet</v>
      </c>
      <c r="X33" t="str">
        <f t="shared" si="5"/>
        <v>dafna.jenet.house@state.co.us</v>
      </c>
      <c r="Y33" t="str">
        <f t="shared" si="6"/>
        <v>Deputy Majority Caucus Chair</v>
      </c>
    </row>
    <row r="34">
      <c r="A34" s="14" t="s">
        <v>44</v>
      </c>
      <c r="B34" s="31">
        <v>31.0</v>
      </c>
      <c r="C34" s="38" t="s">
        <v>1857</v>
      </c>
      <c r="D34" s="38" t="s">
        <v>1858</v>
      </c>
      <c r="E34" s="36" t="s">
        <v>49</v>
      </c>
      <c r="F34" s="169"/>
      <c r="G34" s="170" t="s">
        <v>1859</v>
      </c>
      <c r="H34" s="171"/>
      <c r="I34" s="179" t="s">
        <v>1637</v>
      </c>
      <c r="J34" s="172"/>
      <c r="K34" s="172"/>
      <c r="L34" s="177" t="s">
        <v>1860</v>
      </c>
      <c r="M34" s="174" t="str">
        <f t="shared" si="1"/>
        <v>yadira.caraveo.house@state.co.us</v>
      </c>
      <c r="S34" s="31" t="s">
        <v>1861</v>
      </c>
      <c r="U34" t="str">
        <f t="shared" si="2"/>
        <v/>
      </c>
      <c r="V34" s="139" t="str">
        <f t="shared" si="3"/>
        <v/>
      </c>
      <c r="W34" t="str">
        <f t="shared" si="4"/>
        <v/>
      </c>
      <c r="X34" t="str">
        <f t="shared" si="5"/>
        <v/>
      </c>
      <c r="Y34" t="str">
        <f t="shared" si="6"/>
        <v/>
      </c>
    </row>
    <row r="35">
      <c r="A35" s="14" t="s">
        <v>44</v>
      </c>
      <c r="B35" s="31">
        <v>32.0</v>
      </c>
      <c r="C35" s="35" t="s">
        <v>1862</v>
      </c>
      <c r="D35" s="35" t="s">
        <v>1865</v>
      </c>
      <c r="E35" s="36" t="s">
        <v>49</v>
      </c>
      <c r="F35" s="169"/>
      <c r="G35" s="170" t="s">
        <v>1264</v>
      </c>
      <c r="H35" s="180" t="s">
        <v>781</v>
      </c>
      <c r="I35" s="172"/>
      <c r="J35" s="172"/>
      <c r="K35" s="172"/>
      <c r="L35" s="177" t="s">
        <v>1867</v>
      </c>
      <c r="M35" s="174" t="str">
        <f t="shared" si="1"/>
        <v>adrienne.benavidez.house@state.co.us</v>
      </c>
      <c r="S35" s="45" t="s">
        <v>1853</v>
      </c>
      <c r="U35" t="str">
        <f t="shared" si="2"/>
        <v/>
      </c>
      <c r="V35" s="139" t="str">
        <f t="shared" si="3"/>
        <v/>
      </c>
      <c r="W35" t="str">
        <f t="shared" si="4"/>
        <v/>
      </c>
      <c r="X35" t="str">
        <f t="shared" si="5"/>
        <v/>
      </c>
      <c r="Y35" t="str">
        <f t="shared" si="6"/>
        <v/>
      </c>
    </row>
    <row r="36">
      <c r="A36" s="14" t="s">
        <v>44</v>
      </c>
      <c r="B36" s="31">
        <v>33.0</v>
      </c>
      <c r="C36" s="35" t="s">
        <v>163</v>
      </c>
      <c r="D36" s="35" t="s">
        <v>658</v>
      </c>
      <c r="E36" s="36" t="s">
        <v>49</v>
      </c>
      <c r="F36" s="169"/>
      <c r="G36" s="170" t="s">
        <v>1875</v>
      </c>
      <c r="H36" s="180" t="s">
        <v>1264</v>
      </c>
      <c r="I36" s="172"/>
      <c r="J36" s="172"/>
      <c r="K36" s="172"/>
      <c r="L36" s="177" t="s">
        <v>1876</v>
      </c>
      <c r="M36" s="174" t="str">
        <f t="shared" si="1"/>
        <v>matt.gray.house@state.co.us</v>
      </c>
      <c r="S36" s="45" t="s">
        <v>1877</v>
      </c>
      <c r="U36" t="str">
        <f t="shared" si="2"/>
        <v/>
      </c>
      <c r="V36" s="139" t="str">
        <f t="shared" si="3"/>
        <v/>
      </c>
      <c r="W36" t="str">
        <f t="shared" si="4"/>
        <v/>
      </c>
      <c r="X36" t="str">
        <f t="shared" si="5"/>
        <v/>
      </c>
      <c r="Y36" t="str">
        <f t="shared" si="6"/>
        <v/>
      </c>
    </row>
    <row r="37">
      <c r="A37" s="14" t="s">
        <v>44</v>
      </c>
      <c r="B37" s="31">
        <v>34.0</v>
      </c>
      <c r="C37" s="38" t="s">
        <v>257</v>
      </c>
      <c r="D37" s="38" t="s">
        <v>1882</v>
      </c>
      <c r="E37" s="51" t="s">
        <v>53</v>
      </c>
      <c r="F37" s="169"/>
      <c r="G37" s="170" t="s">
        <v>1826</v>
      </c>
      <c r="H37" s="180" t="s">
        <v>1637</v>
      </c>
      <c r="I37" s="172"/>
      <c r="J37" s="172"/>
      <c r="K37" s="172"/>
      <c r="L37" s="174" t="s">
        <v>1883</v>
      </c>
      <c r="M37" s="174" t="str">
        <f t="shared" si="1"/>
        <v>kyle.mullica.house@state.co.us</v>
      </c>
      <c r="S37" s="45" t="s">
        <v>1885</v>
      </c>
      <c r="U37" t="str">
        <f t="shared" si="2"/>
        <v/>
      </c>
      <c r="V37" s="139" t="str">
        <f t="shared" si="3"/>
        <v/>
      </c>
      <c r="W37" t="str">
        <f t="shared" si="4"/>
        <v/>
      </c>
      <c r="X37" t="str">
        <f t="shared" si="5"/>
        <v/>
      </c>
      <c r="Y37" t="str">
        <f t="shared" si="6"/>
        <v/>
      </c>
    </row>
    <row r="38">
      <c r="A38" s="14" t="s">
        <v>44</v>
      </c>
      <c r="B38" s="31">
        <v>35.0</v>
      </c>
      <c r="C38" s="38" t="s">
        <v>1891</v>
      </c>
      <c r="D38" s="38" t="s">
        <v>1893</v>
      </c>
      <c r="E38" s="36" t="s">
        <v>49</v>
      </c>
      <c r="F38" s="169"/>
      <c r="G38" s="170" t="s">
        <v>626</v>
      </c>
      <c r="H38" s="180" t="s">
        <v>1264</v>
      </c>
      <c r="I38" s="179" t="s">
        <v>1894</v>
      </c>
      <c r="J38" s="172"/>
      <c r="K38" s="172"/>
      <c r="L38" s="177" t="s">
        <v>1895</v>
      </c>
      <c r="M38" s="174" t="str">
        <f t="shared" si="1"/>
        <v>shannon.bird.house@state.co.us</v>
      </c>
      <c r="S38" s="45" t="s">
        <v>1896</v>
      </c>
      <c r="U38" t="str">
        <f t="shared" si="2"/>
        <v/>
      </c>
      <c r="V38" s="139" t="str">
        <f t="shared" si="3"/>
        <v/>
      </c>
      <c r="W38" t="str">
        <f t="shared" si="4"/>
        <v/>
      </c>
      <c r="X38" t="str">
        <f t="shared" si="5"/>
        <v/>
      </c>
      <c r="Y38" t="str">
        <f t="shared" si="6"/>
        <v/>
      </c>
    </row>
    <row r="39">
      <c r="A39" s="14" t="s">
        <v>44</v>
      </c>
      <c r="B39" s="31">
        <v>36.0</v>
      </c>
      <c r="C39" s="38" t="s">
        <v>157</v>
      </c>
      <c r="D39" s="38" t="s">
        <v>1900</v>
      </c>
      <c r="E39" s="36" t="s">
        <v>49</v>
      </c>
      <c r="F39" s="169"/>
      <c r="G39" s="170" t="s">
        <v>877</v>
      </c>
      <c r="H39" s="180" t="s">
        <v>1901</v>
      </c>
      <c r="I39" s="172"/>
      <c r="J39" s="172"/>
      <c r="K39" s="172"/>
      <c r="L39" s="174" t="s">
        <v>1902</v>
      </c>
      <c r="M39" s="174" t="str">
        <f t="shared" si="1"/>
        <v>mike.weissman.house@state.co.us</v>
      </c>
      <c r="S39" s="45" t="s">
        <v>1903</v>
      </c>
      <c r="U39" t="str">
        <f t="shared" si="2"/>
        <v>Representative</v>
      </c>
      <c r="V39" s="139" t="str">
        <f t="shared" si="3"/>
        <v>Mike</v>
      </c>
      <c r="W39" t="str">
        <f t="shared" si="4"/>
        <v>Weissman</v>
      </c>
      <c r="X39" t="str">
        <f t="shared" si="5"/>
        <v>mike.weissman.house@state.co.us</v>
      </c>
      <c r="Y39" t="str">
        <f t="shared" si="6"/>
        <v>Judiciary (Chair)</v>
      </c>
    </row>
    <row r="40">
      <c r="A40" s="14" t="s">
        <v>44</v>
      </c>
      <c r="B40" s="31">
        <v>37.0</v>
      </c>
      <c r="C40" s="38" t="s">
        <v>338</v>
      </c>
      <c r="D40" s="38" t="s">
        <v>435</v>
      </c>
      <c r="E40" s="36" t="s">
        <v>49</v>
      </c>
      <c r="F40" s="182"/>
      <c r="G40" s="170" t="s">
        <v>1800</v>
      </c>
      <c r="H40" s="180" t="s">
        <v>1264</v>
      </c>
      <c r="I40" s="172"/>
      <c r="J40" s="172"/>
      <c r="K40" s="172"/>
      <c r="L40" s="174" t="s">
        <v>1911</v>
      </c>
      <c r="M40" s="174" t="str">
        <f t="shared" si="1"/>
        <v>tom.sullivan.house@state.co.us</v>
      </c>
      <c r="S40" s="45" t="s">
        <v>1912</v>
      </c>
      <c r="U40" t="str">
        <f t="shared" si="2"/>
        <v/>
      </c>
      <c r="V40" s="139" t="str">
        <f t="shared" si="3"/>
        <v/>
      </c>
      <c r="W40" t="str">
        <f t="shared" si="4"/>
        <v/>
      </c>
      <c r="X40" t="str">
        <f t="shared" si="5"/>
        <v/>
      </c>
      <c r="Y40" t="str">
        <f t="shared" si="6"/>
        <v/>
      </c>
    </row>
    <row r="41">
      <c r="A41" s="14" t="s">
        <v>44</v>
      </c>
      <c r="B41" s="31">
        <v>38.0</v>
      </c>
      <c r="C41" s="35" t="s">
        <v>1446</v>
      </c>
      <c r="D41" s="35" t="s">
        <v>1921</v>
      </c>
      <c r="E41" s="51" t="s">
        <v>53</v>
      </c>
      <c r="F41" s="169"/>
      <c r="G41" s="170" t="s">
        <v>1922</v>
      </c>
      <c r="H41" s="180" t="s">
        <v>1923</v>
      </c>
      <c r="I41" s="179" t="s">
        <v>1264</v>
      </c>
      <c r="J41" s="172"/>
      <c r="K41" s="172"/>
      <c r="L41" s="174" t="s">
        <v>1924</v>
      </c>
      <c r="M41" s="174" t="str">
        <f t="shared" si="1"/>
        <v>susan.beckman.house@state.co.us</v>
      </c>
      <c r="S41" s="31" t="s">
        <v>1782</v>
      </c>
      <c r="U41" t="str">
        <f t="shared" si="2"/>
        <v/>
      </c>
      <c r="V41" s="139" t="str">
        <f t="shared" si="3"/>
        <v/>
      </c>
      <c r="W41" t="str">
        <f t="shared" si="4"/>
        <v/>
      </c>
      <c r="X41" t="str">
        <f t="shared" si="5"/>
        <v/>
      </c>
      <c r="Y41" t="str">
        <f t="shared" si="6"/>
        <v/>
      </c>
    </row>
    <row r="42">
      <c r="A42" s="14" t="s">
        <v>44</v>
      </c>
      <c r="B42" s="31">
        <v>39.0</v>
      </c>
      <c r="C42" s="38" t="s">
        <v>91</v>
      </c>
      <c r="D42" s="38" t="s">
        <v>1927</v>
      </c>
      <c r="E42" s="51" t="s">
        <v>53</v>
      </c>
      <c r="F42" s="169"/>
      <c r="G42" s="170" t="s">
        <v>515</v>
      </c>
      <c r="H42" s="180" t="s">
        <v>1923</v>
      </c>
      <c r="I42" s="179" t="s">
        <v>1928</v>
      </c>
      <c r="J42" s="172"/>
      <c r="K42" s="172"/>
      <c r="L42" s="177" t="s">
        <v>1929</v>
      </c>
      <c r="M42" s="174" t="str">
        <f t="shared" si="1"/>
        <v>mark.baisley.house@state.co.us</v>
      </c>
      <c r="S42" s="31" t="s">
        <v>1782</v>
      </c>
      <c r="U42" t="str">
        <f t="shared" si="2"/>
        <v/>
      </c>
      <c r="V42" s="139" t="str">
        <f t="shared" si="3"/>
        <v/>
      </c>
      <c r="W42" t="str">
        <f t="shared" si="4"/>
        <v/>
      </c>
      <c r="X42" t="str">
        <f t="shared" si="5"/>
        <v/>
      </c>
      <c r="Y42" t="str">
        <f t="shared" si="6"/>
        <v/>
      </c>
    </row>
    <row r="43">
      <c r="A43" s="14" t="s">
        <v>44</v>
      </c>
      <c r="B43" s="31">
        <v>40.0</v>
      </c>
      <c r="C43" s="38" t="s">
        <v>1930</v>
      </c>
      <c r="D43" s="38" t="s">
        <v>1931</v>
      </c>
      <c r="E43" s="36" t="s">
        <v>49</v>
      </c>
      <c r="F43" s="175" t="s">
        <v>1498</v>
      </c>
      <c r="G43" s="170" t="s">
        <v>1923</v>
      </c>
      <c r="H43" s="180" t="s">
        <v>515</v>
      </c>
      <c r="I43" s="172"/>
      <c r="J43" s="172"/>
      <c r="K43" s="172"/>
      <c r="L43" s="174" t="s">
        <v>1932</v>
      </c>
      <c r="M43" s="174" t="str">
        <f t="shared" si="1"/>
        <v>janet.buckner.house@state.co.us</v>
      </c>
      <c r="N43" s="178" t="str">
        <f>HYPERLINK("https://docs.google.com/document/d/1gP-RPAeMr-xwRqckwE0OPnZ_FFcAvd_iSk_XY-tvzK0/edit","Zero")</f>
        <v>Zero</v>
      </c>
      <c r="S43" s="45" t="s">
        <v>1903</v>
      </c>
      <c r="U43" t="str">
        <f t="shared" si="2"/>
        <v>Representative</v>
      </c>
      <c r="V43" s="139" t="str">
        <f t="shared" si="3"/>
        <v>Janet</v>
      </c>
      <c r="W43" t="str">
        <f t="shared" si="4"/>
        <v>Buckner</v>
      </c>
      <c r="X43" t="str">
        <f t="shared" si="5"/>
        <v>janet.buckner.house@state.co.us</v>
      </c>
      <c r="Y43" t="str">
        <f t="shared" si="6"/>
        <v>Speaker Pro Temp</v>
      </c>
    </row>
    <row r="44">
      <c r="A44" s="14" t="s">
        <v>44</v>
      </c>
      <c r="B44" s="31">
        <v>41.0</v>
      </c>
      <c r="C44" s="35" t="s">
        <v>1938</v>
      </c>
      <c r="D44" s="35" t="s">
        <v>1944</v>
      </c>
      <c r="E44" s="36" t="s">
        <v>49</v>
      </c>
      <c r="F44" s="182"/>
      <c r="G44" s="170" t="s">
        <v>1678</v>
      </c>
      <c r="H44" s="171"/>
      <c r="I44" s="172"/>
      <c r="J44" s="172"/>
      <c r="K44" s="172"/>
      <c r="L44" s="174" t="s">
        <v>1945</v>
      </c>
      <c r="M44" s="174" t="str">
        <f t="shared" si="1"/>
        <v>jovan.melton.house@state.co.us</v>
      </c>
      <c r="S44" s="45" t="s">
        <v>1903</v>
      </c>
      <c r="U44" t="str">
        <f t="shared" si="2"/>
        <v/>
      </c>
      <c r="V44" s="139" t="str">
        <f t="shared" si="3"/>
        <v/>
      </c>
      <c r="W44" t="str">
        <f t="shared" si="4"/>
        <v/>
      </c>
      <c r="X44" t="str">
        <f t="shared" si="5"/>
        <v/>
      </c>
      <c r="Y44" t="str">
        <f t="shared" si="6"/>
        <v/>
      </c>
    </row>
    <row r="45">
      <c r="A45" s="14" t="s">
        <v>44</v>
      </c>
      <c r="B45" s="31">
        <v>42.0</v>
      </c>
      <c r="C45" s="35" t="s">
        <v>1948</v>
      </c>
      <c r="D45" s="35" t="s">
        <v>567</v>
      </c>
      <c r="E45" s="36" t="s">
        <v>49</v>
      </c>
      <c r="F45" s="169"/>
      <c r="G45" s="170" t="s">
        <v>1951</v>
      </c>
      <c r="H45" s="171"/>
      <c r="I45" s="179" t="s">
        <v>1826</v>
      </c>
      <c r="J45" s="172"/>
      <c r="K45" s="172"/>
      <c r="L45" s="177" t="s">
        <v>1952</v>
      </c>
      <c r="M45" s="174" t="str">
        <f t="shared" si="1"/>
        <v>dominique.jackson.house@state.co.us</v>
      </c>
      <c r="S45" s="45" t="s">
        <v>1903</v>
      </c>
      <c r="U45" t="str">
        <f t="shared" si="2"/>
        <v/>
      </c>
      <c r="V45" s="139" t="str">
        <f t="shared" si="3"/>
        <v/>
      </c>
      <c r="W45" t="str">
        <f t="shared" si="4"/>
        <v/>
      </c>
      <c r="X45" t="str">
        <f t="shared" si="5"/>
        <v/>
      </c>
      <c r="Y45" t="str">
        <f t="shared" si="6"/>
        <v/>
      </c>
    </row>
    <row r="46">
      <c r="A46" s="14" t="s">
        <v>44</v>
      </c>
      <c r="B46" s="31">
        <v>43.0</v>
      </c>
      <c r="C46" s="35" t="s">
        <v>971</v>
      </c>
      <c r="D46" s="38" t="s">
        <v>1964</v>
      </c>
      <c r="E46" s="51" t="s">
        <v>53</v>
      </c>
      <c r="F46" s="175" t="s">
        <v>1965</v>
      </c>
      <c r="G46" s="170" t="s">
        <v>1722</v>
      </c>
      <c r="H46" s="171"/>
      <c r="I46" s="172"/>
      <c r="J46" s="172"/>
      <c r="K46" s="172"/>
      <c r="L46" s="177" t="s">
        <v>1966</v>
      </c>
      <c r="M46" s="174" t="str">
        <f t="shared" si="1"/>
        <v>kevin.van winkle.house@state.co.us</v>
      </c>
      <c r="N46" s="178" t="str">
        <f>HYPERLINK("https://docs.google.com/document/d/1YH62-PrCYo4sI5eIxnskn-NXFafDGe6KpvqQhvS7mX0/edit","Zero")</f>
        <v>Zero</v>
      </c>
      <c r="S46" s="45" t="s">
        <v>1967</v>
      </c>
      <c r="U46" t="str">
        <f t="shared" si="2"/>
        <v/>
      </c>
      <c r="V46" s="139" t="str">
        <f t="shared" si="3"/>
        <v/>
      </c>
      <c r="W46" t="str">
        <f t="shared" si="4"/>
        <v/>
      </c>
      <c r="X46" t="str">
        <f t="shared" si="5"/>
        <v/>
      </c>
      <c r="Y46" t="str">
        <f t="shared" si="6"/>
        <v/>
      </c>
    </row>
    <row r="47">
      <c r="A47" s="14" t="s">
        <v>44</v>
      </c>
      <c r="B47" s="31">
        <v>44.0</v>
      </c>
      <c r="C47" s="35" t="s">
        <v>1973</v>
      </c>
      <c r="D47" s="35" t="s">
        <v>1975</v>
      </c>
      <c r="E47" s="51" t="s">
        <v>53</v>
      </c>
      <c r="F47" s="169"/>
      <c r="G47" s="170" t="s">
        <v>515</v>
      </c>
      <c r="H47" s="180" t="s">
        <v>1632</v>
      </c>
      <c r="I47" s="172"/>
      <c r="J47" s="172"/>
      <c r="K47" s="172"/>
      <c r="L47" s="174" t="s">
        <v>1977</v>
      </c>
      <c r="M47" s="174" t="str">
        <f t="shared" si="1"/>
        <v>kim.ransom.house@state.co.us</v>
      </c>
      <c r="S47" s="45" t="s">
        <v>87</v>
      </c>
      <c r="U47" t="str">
        <f t="shared" si="2"/>
        <v/>
      </c>
      <c r="V47" s="139" t="str">
        <f t="shared" si="3"/>
        <v/>
      </c>
      <c r="W47" t="str">
        <f t="shared" si="4"/>
        <v/>
      </c>
      <c r="X47" t="str">
        <f t="shared" si="5"/>
        <v/>
      </c>
      <c r="Y47" t="str">
        <f t="shared" si="6"/>
        <v/>
      </c>
    </row>
    <row r="48">
      <c r="A48" s="14" t="s">
        <v>44</v>
      </c>
      <c r="B48" s="31">
        <v>45.0</v>
      </c>
      <c r="C48" s="35" t="s">
        <v>1914</v>
      </c>
      <c r="D48" s="35" t="s">
        <v>1986</v>
      </c>
      <c r="E48" s="51" t="s">
        <v>53</v>
      </c>
      <c r="F48" s="175" t="s">
        <v>498</v>
      </c>
      <c r="G48" s="14" t="s">
        <v>1614</v>
      </c>
      <c r="H48" s="171"/>
      <c r="I48" s="172"/>
      <c r="J48" s="172"/>
      <c r="K48" s="172"/>
      <c r="L48" s="174" t="s">
        <v>1987</v>
      </c>
      <c r="M48" s="174" t="str">
        <f t="shared" si="1"/>
        <v>patrick.neville.house@state.co.us</v>
      </c>
      <c r="N48" s="178" t="str">
        <f>HYPERLINK("https://docs.google.com/document/d/1-G-7afwSmh7XMT3BcZExRcq8F9m_9Lr9bP0SNrDt3M0/edit#heading=h.ukawe30im1h","Zero")</f>
        <v>Zero</v>
      </c>
      <c r="S48" s="45" t="s">
        <v>1991</v>
      </c>
      <c r="U48" t="str">
        <f t="shared" si="2"/>
        <v/>
      </c>
      <c r="V48" s="139" t="str">
        <f t="shared" si="3"/>
        <v/>
      </c>
      <c r="W48" t="str">
        <f t="shared" si="4"/>
        <v/>
      </c>
      <c r="X48" t="str">
        <f t="shared" si="5"/>
        <v/>
      </c>
      <c r="Y48" t="str">
        <f t="shared" si="6"/>
        <v/>
      </c>
    </row>
    <row r="49">
      <c r="A49" s="14" t="s">
        <v>44</v>
      </c>
      <c r="B49" s="31">
        <v>46.0</v>
      </c>
      <c r="C49" s="35" t="s">
        <v>1996</v>
      </c>
      <c r="D49" s="35" t="s">
        <v>1999</v>
      </c>
      <c r="E49" s="36" t="s">
        <v>49</v>
      </c>
      <c r="F49" s="182"/>
      <c r="G49" s="170" t="s">
        <v>1024</v>
      </c>
      <c r="H49" s="180" t="s">
        <v>2000</v>
      </c>
      <c r="I49" s="172"/>
      <c r="J49" s="172"/>
      <c r="K49" s="172"/>
      <c r="L49" s="177" t="s">
        <v>2001</v>
      </c>
      <c r="M49" s="174" t="str">
        <f t="shared" si="1"/>
        <v>daneya.esgar.house@state.co.us</v>
      </c>
      <c r="S49" s="45" t="s">
        <v>2002</v>
      </c>
      <c r="U49" t="str">
        <f t="shared" si="2"/>
        <v/>
      </c>
      <c r="V49" s="139" t="str">
        <f t="shared" si="3"/>
        <v/>
      </c>
      <c r="W49" t="str">
        <f t="shared" si="4"/>
        <v/>
      </c>
      <c r="X49" t="str">
        <f t="shared" si="5"/>
        <v/>
      </c>
      <c r="Y49" t="str">
        <f t="shared" si="6"/>
        <v/>
      </c>
    </row>
    <row r="50">
      <c r="A50" s="14" t="s">
        <v>44</v>
      </c>
      <c r="B50" s="31">
        <v>47.0</v>
      </c>
      <c r="C50" s="38" t="s">
        <v>2007</v>
      </c>
      <c r="D50" s="38" t="s">
        <v>2008</v>
      </c>
      <c r="E50" s="36" t="s">
        <v>49</v>
      </c>
      <c r="F50" s="169"/>
      <c r="G50" s="170" t="s">
        <v>888</v>
      </c>
      <c r="H50" s="180" t="s">
        <v>1827</v>
      </c>
      <c r="I50" s="172"/>
      <c r="J50" s="172"/>
      <c r="K50" s="172"/>
      <c r="L50" s="177" t="s">
        <v>2009</v>
      </c>
      <c r="M50" s="174" t="str">
        <f t="shared" si="1"/>
        <v>bri.buentello.house@state.co.us</v>
      </c>
      <c r="S50" s="45" t="s">
        <v>2010</v>
      </c>
      <c r="U50" t="str">
        <f t="shared" si="2"/>
        <v/>
      </c>
      <c r="V50" s="139" t="str">
        <f t="shared" si="3"/>
        <v/>
      </c>
      <c r="W50" t="str">
        <f t="shared" si="4"/>
        <v/>
      </c>
      <c r="X50" t="str">
        <f t="shared" si="5"/>
        <v/>
      </c>
      <c r="Y50" t="str">
        <f t="shared" si="6"/>
        <v/>
      </c>
    </row>
    <row r="51">
      <c r="A51" s="14" t="s">
        <v>44</v>
      </c>
      <c r="B51" s="31">
        <v>48.0</v>
      </c>
      <c r="C51" s="35" t="s">
        <v>1505</v>
      </c>
      <c r="D51" s="35" t="s">
        <v>2018</v>
      </c>
      <c r="E51" s="51" t="s">
        <v>53</v>
      </c>
      <c r="F51" s="169"/>
      <c r="G51" s="170" t="s">
        <v>1801</v>
      </c>
      <c r="H51" s="180" t="s">
        <v>2019</v>
      </c>
      <c r="I51" s="172"/>
      <c r="J51" s="172"/>
      <c r="K51" s="172"/>
      <c r="L51" s="174" t="s">
        <v>2020</v>
      </c>
      <c r="M51" s="174" t="str">
        <f t="shared" si="1"/>
        <v>stephen.humphrey.house@state.co.us</v>
      </c>
      <c r="S51" s="45" t="s">
        <v>2021</v>
      </c>
      <c r="U51" t="str">
        <f t="shared" si="2"/>
        <v/>
      </c>
      <c r="V51" s="139" t="str">
        <f t="shared" si="3"/>
        <v/>
      </c>
      <c r="W51" t="str">
        <f t="shared" si="4"/>
        <v/>
      </c>
      <c r="X51" t="str">
        <f t="shared" si="5"/>
        <v/>
      </c>
      <c r="Y51" t="str">
        <f t="shared" si="6"/>
        <v/>
      </c>
    </row>
    <row r="52">
      <c r="A52" s="14" t="s">
        <v>44</v>
      </c>
      <c r="B52" s="31">
        <v>49.0</v>
      </c>
      <c r="C52" s="35" t="s">
        <v>1329</v>
      </c>
      <c r="D52" s="35" t="s">
        <v>2031</v>
      </c>
      <c r="E52" s="51" t="s">
        <v>53</v>
      </c>
      <c r="F52" s="175" t="s">
        <v>2004</v>
      </c>
      <c r="G52" s="170" t="s">
        <v>1827</v>
      </c>
      <c r="H52" s="171"/>
      <c r="I52" s="172"/>
      <c r="J52" s="172"/>
      <c r="K52" s="172"/>
      <c r="L52" s="177" t="s">
        <v>2032</v>
      </c>
      <c r="M52" s="174" t="str">
        <f t="shared" si="1"/>
        <v>perry.buck.house@state.co.us</v>
      </c>
      <c r="N52" s="178" t="str">
        <f>HYPERLINK("https://docs.google.com/document/d/1oeHKpfvuJf9LDU35tb-K8GTnc8ExKEOzEDup-vLtiso/edit","Zero")</f>
        <v>Zero</v>
      </c>
      <c r="S52" s="45" t="s">
        <v>2034</v>
      </c>
      <c r="U52" t="str">
        <f t="shared" si="2"/>
        <v/>
      </c>
      <c r="V52" s="139" t="str">
        <f t="shared" si="3"/>
        <v/>
      </c>
      <c r="W52" t="str">
        <f t="shared" si="4"/>
        <v/>
      </c>
      <c r="X52" t="str">
        <f t="shared" si="5"/>
        <v/>
      </c>
      <c r="Y52" t="str">
        <f t="shared" si="6"/>
        <v/>
      </c>
    </row>
    <row r="53">
      <c r="A53" s="14" t="s">
        <v>44</v>
      </c>
      <c r="B53" s="31">
        <v>50.0</v>
      </c>
      <c r="C53" s="38" t="s">
        <v>2038</v>
      </c>
      <c r="D53" s="38" t="s">
        <v>2039</v>
      </c>
      <c r="E53" s="100" t="s">
        <v>49</v>
      </c>
      <c r="F53" s="169"/>
      <c r="G53" s="170" t="s">
        <v>781</v>
      </c>
      <c r="H53" s="180" t="s">
        <v>1632</v>
      </c>
      <c r="I53" s="172"/>
      <c r="J53" s="172"/>
      <c r="K53" s="172"/>
      <c r="L53" s="177" t="s">
        <v>2040</v>
      </c>
      <c r="M53" s="174" t="str">
        <f t="shared" si="1"/>
        <v>rochelle.galindo.house@state.co.us</v>
      </c>
      <c r="S53" s="45" t="s">
        <v>2043</v>
      </c>
      <c r="U53" t="str">
        <f t="shared" si="2"/>
        <v/>
      </c>
      <c r="V53" s="139" t="str">
        <f t="shared" si="3"/>
        <v/>
      </c>
      <c r="W53" t="str">
        <f t="shared" si="4"/>
        <v/>
      </c>
      <c r="X53" t="str">
        <f t="shared" si="5"/>
        <v/>
      </c>
      <c r="Y53" t="str">
        <f t="shared" si="6"/>
        <v/>
      </c>
    </row>
    <row r="54">
      <c r="A54" s="14" t="s">
        <v>44</v>
      </c>
      <c r="B54" s="31">
        <v>51.0</v>
      </c>
      <c r="C54" s="35" t="s">
        <v>2045</v>
      </c>
      <c r="D54" s="35" t="s">
        <v>2054</v>
      </c>
      <c r="E54" s="51" t="s">
        <v>53</v>
      </c>
      <c r="F54" s="169"/>
      <c r="G54" s="170" t="s">
        <v>1800</v>
      </c>
      <c r="H54" s="180" t="s">
        <v>781</v>
      </c>
      <c r="I54" s="179" t="s">
        <v>2055</v>
      </c>
      <c r="J54" s="172"/>
      <c r="K54" s="172"/>
      <c r="L54" s="174" t="s">
        <v>2056</v>
      </c>
      <c r="M54" s="174" t="str">
        <f t="shared" si="1"/>
        <v>hugh.mckean.house@state.co.us</v>
      </c>
      <c r="S54" s="31" t="s">
        <v>2034</v>
      </c>
      <c r="U54" t="str">
        <f t="shared" si="2"/>
        <v/>
      </c>
      <c r="V54" s="139" t="str">
        <f t="shared" si="3"/>
        <v/>
      </c>
      <c r="W54" t="str">
        <f t="shared" si="4"/>
        <v/>
      </c>
      <c r="X54" t="str">
        <f t="shared" si="5"/>
        <v/>
      </c>
      <c r="Y54" t="str">
        <f t="shared" si="6"/>
        <v/>
      </c>
    </row>
    <row r="55">
      <c r="A55" s="14" t="s">
        <v>44</v>
      </c>
      <c r="B55" s="31">
        <v>52.0</v>
      </c>
      <c r="C55" s="35" t="s">
        <v>2057</v>
      </c>
      <c r="D55" s="35" t="s">
        <v>2058</v>
      </c>
      <c r="E55" s="36" t="s">
        <v>49</v>
      </c>
      <c r="F55" s="169"/>
      <c r="G55" s="170" t="s">
        <v>119</v>
      </c>
      <c r="H55" s="171"/>
      <c r="I55" s="172"/>
      <c r="J55" s="172"/>
      <c r="K55" s="172"/>
      <c r="L55" s="174" t="s">
        <v>2059</v>
      </c>
      <c r="M55" s="174" t="str">
        <f t="shared" si="1"/>
        <v>joann.ginal.house@state.co.us</v>
      </c>
      <c r="S55" s="45" t="s">
        <v>2060</v>
      </c>
      <c r="U55" t="str">
        <f t="shared" si="2"/>
        <v/>
      </c>
      <c r="V55" s="139" t="str">
        <f t="shared" si="3"/>
        <v/>
      </c>
      <c r="W55" t="str">
        <f t="shared" si="4"/>
        <v/>
      </c>
      <c r="X55" t="str">
        <f t="shared" si="5"/>
        <v/>
      </c>
      <c r="Y55" t="str">
        <f t="shared" si="6"/>
        <v/>
      </c>
    </row>
    <row r="56">
      <c r="A56" s="14" t="s">
        <v>44</v>
      </c>
      <c r="B56" s="31">
        <v>53.0</v>
      </c>
      <c r="C56" s="35" t="s">
        <v>191</v>
      </c>
      <c r="D56" s="35" t="s">
        <v>2070</v>
      </c>
      <c r="E56" s="36" t="s">
        <v>49</v>
      </c>
      <c r="F56" s="182"/>
      <c r="G56" s="170" t="s">
        <v>1800</v>
      </c>
      <c r="H56" s="180" t="s">
        <v>1827</v>
      </c>
      <c r="I56" s="179" t="s">
        <v>2055</v>
      </c>
      <c r="J56" s="172"/>
      <c r="K56" s="172"/>
      <c r="L56" s="177" t="s">
        <v>2071</v>
      </c>
      <c r="M56" s="174" t="str">
        <f t="shared" si="1"/>
        <v>jennifer.arndt.house@state.co.us</v>
      </c>
      <c r="S56" s="45" t="s">
        <v>2060</v>
      </c>
      <c r="U56" t="str">
        <f t="shared" si="2"/>
        <v/>
      </c>
      <c r="V56" s="139" t="str">
        <f t="shared" si="3"/>
        <v/>
      </c>
      <c r="W56" t="str">
        <f t="shared" si="4"/>
        <v/>
      </c>
      <c r="X56" t="str">
        <f t="shared" si="5"/>
        <v/>
      </c>
      <c r="Y56" t="str">
        <f t="shared" si="6"/>
        <v/>
      </c>
    </row>
    <row r="57">
      <c r="A57" s="14" t="s">
        <v>44</v>
      </c>
      <c r="B57" s="31">
        <v>54.0</v>
      </c>
      <c r="C57" s="38" t="s">
        <v>163</v>
      </c>
      <c r="D57" s="38" t="s">
        <v>2074</v>
      </c>
      <c r="E57" s="51" t="s">
        <v>53</v>
      </c>
      <c r="F57" s="169"/>
      <c r="G57" s="170" t="s">
        <v>626</v>
      </c>
      <c r="H57" s="180" t="s">
        <v>2075</v>
      </c>
      <c r="I57" s="179" t="s">
        <v>2076</v>
      </c>
      <c r="J57" s="172"/>
      <c r="K57" s="172"/>
      <c r="L57" s="189" t="s">
        <v>2077</v>
      </c>
      <c r="M57" s="174" t="str">
        <f t="shared" si="1"/>
        <v>matt.soper.house@state.co.us</v>
      </c>
      <c r="S57" s="45" t="s">
        <v>2082</v>
      </c>
      <c r="U57" t="str">
        <f t="shared" si="2"/>
        <v/>
      </c>
      <c r="V57" s="139" t="str">
        <f t="shared" si="3"/>
        <v/>
      </c>
      <c r="W57" t="str">
        <f t="shared" si="4"/>
        <v/>
      </c>
      <c r="X57" t="str">
        <f t="shared" si="5"/>
        <v/>
      </c>
      <c r="Y57" t="str">
        <f t="shared" si="6"/>
        <v/>
      </c>
    </row>
    <row r="58">
      <c r="A58" s="14" t="s">
        <v>44</v>
      </c>
      <c r="B58" s="31">
        <v>55.0</v>
      </c>
      <c r="C58" s="38" t="s">
        <v>2084</v>
      </c>
      <c r="D58" s="38" t="s">
        <v>345</v>
      </c>
      <c r="E58" s="51" t="s">
        <v>53</v>
      </c>
      <c r="F58" s="169"/>
      <c r="G58" s="170" t="s">
        <v>626</v>
      </c>
      <c r="H58" s="180" t="s">
        <v>1678</v>
      </c>
      <c r="I58" s="172"/>
      <c r="J58" s="172"/>
      <c r="K58" s="172"/>
      <c r="L58" s="177" t="s">
        <v>2086</v>
      </c>
      <c r="M58" s="174" t="str">
        <f t="shared" si="1"/>
        <v>janice.rich.house@state.co.us</v>
      </c>
      <c r="S58" s="31" t="s">
        <v>2087</v>
      </c>
      <c r="U58" t="str">
        <f t="shared" si="2"/>
        <v/>
      </c>
      <c r="V58" s="139" t="str">
        <f t="shared" si="3"/>
        <v/>
      </c>
      <c r="W58" t="str">
        <f t="shared" si="4"/>
        <v/>
      </c>
      <c r="X58" t="str">
        <f t="shared" si="5"/>
        <v/>
      </c>
      <c r="Y58" t="str">
        <f t="shared" si="6"/>
        <v/>
      </c>
    </row>
    <row r="59">
      <c r="A59" s="14" t="s">
        <v>44</v>
      </c>
      <c r="B59" s="31">
        <v>56.0</v>
      </c>
      <c r="C59" s="38" t="s">
        <v>2090</v>
      </c>
      <c r="D59" s="38" t="s">
        <v>2091</v>
      </c>
      <c r="E59" s="51" t="s">
        <v>53</v>
      </c>
      <c r="F59" s="169"/>
      <c r="G59" s="170" t="s">
        <v>626</v>
      </c>
      <c r="H59" s="180" t="s">
        <v>781</v>
      </c>
      <c r="I59" s="179" t="s">
        <v>1264</v>
      </c>
      <c r="J59" s="172"/>
      <c r="K59" s="172"/>
      <c r="L59" s="174"/>
      <c r="M59" s="174" t="str">
        <f t="shared" si="1"/>
        <v>rodd.bockenfeld.house@state.co.us</v>
      </c>
      <c r="S59" s="45" t="s">
        <v>2092</v>
      </c>
      <c r="U59" t="str">
        <f t="shared" si="2"/>
        <v/>
      </c>
      <c r="V59" s="139" t="str">
        <f t="shared" si="3"/>
        <v/>
      </c>
      <c r="W59" t="str">
        <f t="shared" si="4"/>
        <v/>
      </c>
      <c r="X59" t="str">
        <f t="shared" si="5"/>
        <v/>
      </c>
      <c r="Y59" t="str">
        <f t="shared" si="6"/>
        <v/>
      </c>
    </row>
    <row r="60">
      <c r="A60" s="14" t="s">
        <v>44</v>
      </c>
      <c r="B60" s="31">
        <v>57.0</v>
      </c>
      <c r="C60" s="35" t="s">
        <v>419</v>
      </c>
      <c r="D60" s="35" t="s">
        <v>2102</v>
      </c>
      <c r="E60" s="51" t="s">
        <v>53</v>
      </c>
      <c r="F60" s="169"/>
      <c r="G60" s="170" t="s">
        <v>626</v>
      </c>
      <c r="H60" s="180" t="s">
        <v>1654</v>
      </c>
      <c r="I60" s="172"/>
      <c r="J60" s="172"/>
      <c r="K60" s="172"/>
      <c r="L60" s="177" t="s">
        <v>2103</v>
      </c>
      <c r="M60" s="174" t="str">
        <f t="shared" si="1"/>
        <v>bob.rankin.house@state.co.us</v>
      </c>
      <c r="S60" s="45" t="s">
        <v>2104</v>
      </c>
      <c r="U60" t="str">
        <f t="shared" si="2"/>
        <v/>
      </c>
      <c r="V60" s="139" t="str">
        <f t="shared" si="3"/>
        <v/>
      </c>
      <c r="W60" t="str">
        <f t="shared" si="4"/>
        <v/>
      </c>
      <c r="X60" t="str">
        <f t="shared" si="5"/>
        <v/>
      </c>
      <c r="Y60" t="str">
        <f t="shared" si="6"/>
        <v/>
      </c>
    </row>
    <row r="61">
      <c r="A61" s="14" t="s">
        <v>44</v>
      </c>
      <c r="B61" s="31">
        <v>58.0</v>
      </c>
      <c r="C61" s="35" t="s">
        <v>1431</v>
      </c>
      <c r="D61" s="35" t="s">
        <v>2110</v>
      </c>
      <c r="E61" s="51" t="s">
        <v>53</v>
      </c>
      <c r="F61" s="169"/>
      <c r="G61" s="170" t="s">
        <v>1923</v>
      </c>
      <c r="H61" s="180" t="s">
        <v>1827</v>
      </c>
      <c r="I61" s="172"/>
      <c r="J61" s="172"/>
      <c r="K61" s="172"/>
      <c r="L61" s="174" t="s">
        <v>2111</v>
      </c>
      <c r="M61" s="174" t="str">
        <f t="shared" si="1"/>
        <v>marc.catlin.house@state.co.us</v>
      </c>
      <c r="S61" s="45" t="s">
        <v>2112</v>
      </c>
      <c r="U61" t="str">
        <f t="shared" si="2"/>
        <v/>
      </c>
      <c r="V61" s="139" t="str">
        <f t="shared" si="3"/>
        <v/>
      </c>
      <c r="W61" t="str">
        <f t="shared" si="4"/>
        <v/>
      </c>
      <c r="X61" t="str">
        <f t="shared" si="5"/>
        <v/>
      </c>
      <c r="Y61" t="str">
        <f t="shared" si="6"/>
        <v/>
      </c>
    </row>
    <row r="62">
      <c r="A62" s="14" t="s">
        <v>44</v>
      </c>
      <c r="B62" s="31">
        <v>59.0</v>
      </c>
      <c r="C62" s="35" t="s">
        <v>384</v>
      </c>
      <c r="D62" s="35" t="s">
        <v>2117</v>
      </c>
      <c r="E62" s="36" t="s">
        <v>49</v>
      </c>
      <c r="F62" s="169"/>
      <c r="G62" s="170" t="s">
        <v>1047</v>
      </c>
      <c r="H62" s="180" t="s">
        <v>1827</v>
      </c>
      <c r="I62" s="172"/>
      <c r="J62" s="172"/>
      <c r="K62" s="172"/>
      <c r="L62" s="177" t="s">
        <v>2120</v>
      </c>
      <c r="M62" s="174" t="str">
        <f t="shared" si="1"/>
        <v>barbara.mclachlan.house@state.co.us</v>
      </c>
      <c r="S62" s="45" t="s">
        <v>2121</v>
      </c>
      <c r="U62" t="str">
        <f t="shared" si="2"/>
        <v/>
      </c>
      <c r="V62" s="139" t="str">
        <f t="shared" si="3"/>
        <v/>
      </c>
      <c r="W62" t="str">
        <f t="shared" si="4"/>
        <v/>
      </c>
      <c r="X62" t="str">
        <f t="shared" si="5"/>
        <v/>
      </c>
      <c r="Y62" t="str">
        <f t="shared" si="6"/>
        <v/>
      </c>
    </row>
    <row r="63">
      <c r="A63" s="14" t="s">
        <v>44</v>
      </c>
      <c r="B63" s="31">
        <v>60.0</v>
      </c>
      <c r="C63" s="35" t="s">
        <v>930</v>
      </c>
      <c r="D63" s="35" t="s">
        <v>62</v>
      </c>
      <c r="E63" s="51" t="s">
        <v>53</v>
      </c>
      <c r="F63" s="169"/>
      <c r="G63" s="170" t="s">
        <v>515</v>
      </c>
      <c r="H63" s="171"/>
      <c r="I63" s="172"/>
      <c r="J63" s="172"/>
      <c r="K63" s="172"/>
      <c r="L63" s="177" t="s">
        <v>2126</v>
      </c>
      <c r="M63" s="174" t="str">
        <f t="shared" si="1"/>
        <v>james.wilson.house@state.co.us</v>
      </c>
      <c r="S63" s="45" t="s">
        <v>2127</v>
      </c>
      <c r="U63" t="str">
        <f t="shared" si="2"/>
        <v/>
      </c>
      <c r="V63" s="139" t="str">
        <f t="shared" si="3"/>
        <v/>
      </c>
      <c r="W63" t="str">
        <f t="shared" si="4"/>
        <v/>
      </c>
      <c r="X63" t="str">
        <f t="shared" si="5"/>
        <v/>
      </c>
      <c r="Y63" t="str">
        <f t="shared" si="6"/>
        <v/>
      </c>
    </row>
    <row r="64">
      <c r="A64" s="14" t="s">
        <v>44</v>
      </c>
      <c r="B64" s="31">
        <v>61.0</v>
      </c>
      <c r="C64" s="38" t="s">
        <v>2133</v>
      </c>
      <c r="D64" s="38" t="s">
        <v>2134</v>
      </c>
      <c r="E64" s="36" t="s">
        <v>49</v>
      </c>
      <c r="F64" s="169"/>
      <c r="G64" s="170" t="s">
        <v>626</v>
      </c>
      <c r="H64" s="180" t="s">
        <v>515</v>
      </c>
      <c r="I64" s="179" t="s">
        <v>1827</v>
      </c>
      <c r="J64" s="172"/>
      <c r="K64" s="172"/>
      <c r="L64" s="174" t="s">
        <v>2135</v>
      </c>
      <c r="M64" s="174" t="str">
        <f t="shared" si="1"/>
        <v>julie.mccluskie.house@state.co.us</v>
      </c>
      <c r="S64" s="45" t="s">
        <v>2136</v>
      </c>
      <c r="U64" t="str">
        <f t="shared" si="2"/>
        <v/>
      </c>
      <c r="V64" s="139" t="str">
        <f t="shared" si="3"/>
        <v/>
      </c>
      <c r="W64" t="str">
        <f t="shared" si="4"/>
        <v/>
      </c>
      <c r="X64" t="str">
        <f t="shared" si="5"/>
        <v/>
      </c>
      <c r="Y64" t="str">
        <f t="shared" si="6"/>
        <v/>
      </c>
    </row>
    <row r="65">
      <c r="A65" s="14" t="s">
        <v>44</v>
      </c>
      <c r="B65" s="31">
        <v>62.0</v>
      </c>
      <c r="C65" s="35" t="s">
        <v>2139</v>
      </c>
      <c r="D65" s="35" t="s">
        <v>1643</v>
      </c>
      <c r="E65" s="36" t="s">
        <v>49</v>
      </c>
      <c r="F65" s="169"/>
      <c r="G65" s="170" t="s">
        <v>2146</v>
      </c>
      <c r="H65" s="180" t="s">
        <v>2019</v>
      </c>
      <c r="I65" s="172"/>
      <c r="J65" s="172"/>
      <c r="K65" s="172"/>
      <c r="L65" s="174" t="s">
        <v>2147</v>
      </c>
      <c r="M65" s="174" t="str">
        <f t="shared" si="1"/>
        <v>donald.valdez.house@state.co.us</v>
      </c>
      <c r="S65" s="31" t="s">
        <v>2148</v>
      </c>
      <c r="U65" t="str">
        <f t="shared" si="2"/>
        <v/>
      </c>
      <c r="V65" s="139" t="str">
        <f t="shared" si="3"/>
        <v/>
      </c>
      <c r="W65" t="str">
        <f t="shared" si="4"/>
        <v/>
      </c>
      <c r="X65" t="str">
        <f t="shared" si="5"/>
        <v/>
      </c>
      <c r="Y65" t="str">
        <f t="shared" si="6"/>
        <v/>
      </c>
    </row>
    <row r="66">
      <c r="A66" s="14" t="s">
        <v>44</v>
      </c>
      <c r="B66" s="31">
        <v>63.0</v>
      </c>
      <c r="C66" s="35" t="s">
        <v>2149</v>
      </c>
      <c r="D66" s="35" t="s">
        <v>2154</v>
      </c>
      <c r="E66" s="51" t="s">
        <v>53</v>
      </c>
      <c r="F66" s="175" t="s">
        <v>2029</v>
      </c>
      <c r="G66" s="170" t="s">
        <v>2156</v>
      </c>
      <c r="H66" s="180" t="s">
        <v>1841</v>
      </c>
      <c r="I66" s="172"/>
      <c r="J66" s="172"/>
      <c r="K66" s="172"/>
      <c r="L66" s="174" t="s">
        <v>2157</v>
      </c>
      <c r="M66" s="174" t="str">
        <f t="shared" si="1"/>
        <v>lori.saine.house@state.co.us</v>
      </c>
      <c r="N66" s="178" t="str">
        <f>HYPERLINK("https://docs.google.com/document/d/1A-5SxpkyPPoXTo6ZNI582QY-MnGfiV3HzeFIhlRY5Sg/edit","Zero")</f>
        <v>Zero</v>
      </c>
      <c r="S66" s="45" t="s">
        <v>2158</v>
      </c>
      <c r="U66" t="str">
        <f t="shared" si="2"/>
        <v/>
      </c>
      <c r="V66" s="139" t="str">
        <f t="shared" si="3"/>
        <v/>
      </c>
      <c r="W66" t="str">
        <f t="shared" si="4"/>
        <v/>
      </c>
      <c r="X66" t="str">
        <f t="shared" si="5"/>
        <v/>
      </c>
      <c r="Y66" t="str">
        <f t="shared" si="6"/>
        <v/>
      </c>
    </row>
    <row r="67">
      <c r="A67" s="14" t="s">
        <v>44</v>
      </c>
      <c r="B67" s="31">
        <v>64.0</v>
      </c>
      <c r="C67" s="35" t="s">
        <v>2160</v>
      </c>
      <c r="D67" s="35" t="s">
        <v>1707</v>
      </c>
      <c r="E67" s="51" t="s">
        <v>53</v>
      </c>
      <c r="F67" s="169"/>
      <c r="G67" s="170" t="s">
        <v>1827</v>
      </c>
      <c r="H67" s="180" t="s">
        <v>2019</v>
      </c>
      <c r="I67" s="172"/>
      <c r="J67" s="172"/>
      <c r="K67" s="172"/>
      <c r="L67" s="174" t="s">
        <v>2163</v>
      </c>
      <c r="M67" s="174" t="str">
        <f t="shared" si="1"/>
        <v>kimmi.lewis.house@state.co.us</v>
      </c>
      <c r="S67" s="45" t="s">
        <v>1973</v>
      </c>
      <c r="U67" t="str">
        <f t="shared" si="2"/>
        <v/>
      </c>
      <c r="V67" s="139" t="str">
        <f t="shared" si="3"/>
        <v/>
      </c>
      <c r="W67" t="str">
        <f t="shared" si="4"/>
        <v/>
      </c>
      <c r="X67" t="str">
        <f t="shared" si="5"/>
        <v/>
      </c>
      <c r="Y67" t="str">
        <f t="shared" si="6"/>
        <v/>
      </c>
    </row>
    <row r="68">
      <c r="A68" s="14" t="s">
        <v>44</v>
      </c>
      <c r="B68" s="31">
        <v>65.0</v>
      </c>
      <c r="C68" s="38" t="s">
        <v>503</v>
      </c>
      <c r="D68" s="38" t="s">
        <v>2170</v>
      </c>
      <c r="E68" s="51" t="s">
        <v>53</v>
      </c>
      <c r="F68" s="169"/>
      <c r="G68" s="170" t="s">
        <v>626</v>
      </c>
      <c r="H68" s="180" t="s">
        <v>1827</v>
      </c>
      <c r="I68" s="179" t="s">
        <v>2171</v>
      </c>
      <c r="J68" s="172"/>
      <c r="K68" s="172"/>
      <c r="L68" s="174" t="s">
        <v>2172</v>
      </c>
      <c r="M68" s="174" t="str">
        <f t="shared" si="1"/>
        <v>rod.pelton.house@state.co.us</v>
      </c>
      <c r="S68" s="45" t="s">
        <v>2173</v>
      </c>
      <c r="U68" t="str">
        <f t="shared" si="2"/>
        <v/>
      </c>
      <c r="V68" s="139" t="str">
        <f t="shared" si="3"/>
        <v/>
      </c>
      <c r="W68" t="str">
        <f t="shared" si="4"/>
        <v/>
      </c>
      <c r="X68" t="str">
        <f t="shared" si="5"/>
        <v/>
      </c>
      <c r="Y68" t="str">
        <f t="shared" si="6"/>
        <v/>
      </c>
    </row>
    <row r="69">
      <c r="A69" s="70"/>
      <c r="B69" s="70"/>
      <c r="C69" s="71"/>
      <c r="D69" s="71"/>
      <c r="E69" s="70"/>
      <c r="F69" s="190"/>
      <c r="G69" s="191"/>
      <c r="H69" s="191"/>
      <c r="I69" s="191"/>
      <c r="J69" s="191"/>
      <c r="K69" s="191"/>
      <c r="L69" s="192"/>
      <c r="M69" s="192"/>
      <c r="N69" s="70"/>
      <c r="O69" s="70"/>
      <c r="P69" s="70"/>
      <c r="Q69" s="70"/>
      <c r="R69" s="70"/>
      <c r="S69" s="70"/>
      <c r="T69" s="70"/>
      <c r="U69" s="70"/>
      <c r="V69" s="70"/>
      <c r="W69" s="70"/>
      <c r="X69" s="70"/>
      <c r="Y69" s="70"/>
      <c r="Z69" s="70"/>
      <c r="AA69" s="70"/>
      <c r="AB69" s="70"/>
      <c r="AC69" s="70"/>
      <c r="AD69" s="70"/>
    </row>
    <row r="70">
      <c r="A70" s="14" t="s">
        <v>286</v>
      </c>
      <c r="B70" s="31">
        <v>1.0</v>
      </c>
      <c r="C70" s="35" t="s">
        <v>2105</v>
      </c>
      <c r="D70" s="35" t="s">
        <v>2183</v>
      </c>
      <c r="E70" s="51" t="s">
        <v>53</v>
      </c>
      <c r="G70" s="170" t="s">
        <v>2184</v>
      </c>
      <c r="H70" s="180" t="s">
        <v>626</v>
      </c>
      <c r="I70" s="179" t="s">
        <v>1644</v>
      </c>
      <c r="J70" s="179" t="s">
        <v>2185</v>
      </c>
      <c r="K70" s="172"/>
      <c r="L70" s="177" t="s">
        <v>2186</v>
      </c>
      <c r="M70" s="177" t="s">
        <v>2187</v>
      </c>
      <c r="P70" s="31"/>
      <c r="S70" s="45" t="s">
        <v>2173</v>
      </c>
      <c r="U70" t="str">
        <f t="shared" ref="U70:U104" si="7">if(V70="","",if(A70="House","Representative","Senator"))</f>
        <v/>
      </c>
      <c r="V70" s="139" t="str">
        <f t="shared" ref="V70:V104" si="8">if(AND(not(isblank($F70)),not(isnumber(search("minority",$F70)))),$C70,if(or(isnumber(search("Judiciary (Chair)",$G70)),isnumber(search("Judiciary (Vice Chair)",$G70))),$C70,""))</f>
        <v/>
      </c>
      <c r="W70" t="str">
        <f t="shared" ref="W70:W104" si="9">if(V70="","",D70)</f>
        <v/>
      </c>
      <c r="X70" t="str">
        <f t="shared" ref="X70:X104" si="10">if(W70="","",M70)</f>
        <v/>
      </c>
      <c r="Y70" t="str">
        <f t="shared" ref="Y70:Y104" si="11">if(X70="","",if(isblank($F70),$G70,$F70))</f>
        <v/>
      </c>
    </row>
    <row r="71">
      <c r="A71" s="14" t="s">
        <v>286</v>
      </c>
      <c r="B71" s="31">
        <v>2.0</v>
      </c>
      <c r="C71" s="38" t="s">
        <v>2194</v>
      </c>
      <c r="D71" s="38" t="s">
        <v>2195</v>
      </c>
      <c r="E71" s="51" t="s">
        <v>53</v>
      </c>
      <c r="F71" s="182"/>
      <c r="G71" s="170" t="s">
        <v>626</v>
      </c>
      <c r="H71" s="180" t="s">
        <v>1654</v>
      </c>
      <c r="I71" s="172"/>
      <c r="J71" s="172"/>
      <c r="K71" s="172"/>
      <c r="L71" s="174" t="s">
        <v>2196</v>
      </c>
      <c r="M71" s="174" t="str">
        <f t="shared" ref="M71:M85" si="12">Concatenate(Lower(C71),".",Lower(D71),".senate@state.co.us")</f>
        <v>dennis.hisey.senate@state.co.us</v>
      </c>
      <c r="P71" s="31"/>
      <c r="S71" s="45" t="s">
        <v>2197</v>
      </c>
      <c r="U71" t="str">
        <f t="shared" si="7"/>
        <v/>
      </c>
      <c r="V71" s="139" t="str">
        <f t="shared" si="8"/>
        <v/>
      </c>
      <c r="W71" t="str">
        <f t="shared" si="9"/>
        <v/>
      </c>
      <c r="X71" t="str">
        <f t="shared" si="10"/>
        <v/>
      </c>
      <c r="Y71" t="str">
        <f t="shared" si="11"/>
        <v/>
      </c>
    </row>
    <row r="72">
      <c r="A72" s="14" t="s">
        <v>286</v>
      </c>
      <c r="B72" s="31">
        <v>3.0</v>
      </c>
      <c r="C72" s="35" t="s">
        <v>2201</v>
      </c>
      <c r="D72" s="35" t="s">
        <v>1772</v>
      </c>
      <c r="E72" s="36" t="s">
        <v>49</v>
      </c>
      <c r="F72" s="175" t="s">
        <v>1156</v>
      </c>
      <c r="G72" s="170" t="s">
        <v>2203</v>
      </c>
      <c r="H72" s="171"/>
      <c r="I72" s="172"/>
      <c r="J72" s="172"/>
      <c r="K72" s="172"/>
      <c r="L72" s="174" t="s">
        <v>2204</v>
      </c>
      <c r="M72" s="174" t="str">
        <f t="shared" si="12"/>
        <v>leroy.garcia.senate@state.co.us</v>
      </c>
      <c r="N72" s="178" t="str">
        <f>HYPERLINK("https://docs.google.com/document/d/1mLI6W4e1bQVWXmbHNPJQx_F1FihHV9MAg1o6WSa9x7U/edit","Zero")</f>
        <v>Zero</v>
      </c>
      <c r="P72" s="31"/>
      <c r="S72" s="45" t="s">
        <v>2002</v>
      </c>
      <c r="U72" t="str">
        <f t="shared" si="7"/>
        <v>Senator</v>
      </c>
      <c r="V72" s="139" t="str">
        <f t="shared" si="8"/>
        <v>Leroy</v>
      </c>
      <c r="W72" t="str">
        <f t="shared" si="9"/>
        <v>Garcia</v>
      </c>
      <c r="X72" t="str">
        <f t="shared" si="10"/>
        <v>leroy.garcia.senate@state.co.us</v>
      </c>
      <c r="Y72" t="str">
        <f t="shared" si="11"/>
        <v>President</v>
      </c>
    </row>
    <row r="73">
      <c r="A73" s="14" t="s">
        <v>286</v>
      </c>
      <c r="B73" s="31">
        <v>4.0</v>
      </c>
      <c r="C73" s="35" t="s">
        <v>930</v>
      </c>
      <c r="D73" s="35" t="s">
        <v>2211</v>
      </c>
      <c r="E73" s="51" t="s">
        <v>53</v>
      </c>
      <c r="F73" s="169"/>
      <c r="G73" s="170" t="s">
        <v>601</v>
      </c>
      <c r="H73" s="180" t="s">
        <v>1841</v>
      </c>
      <c r="I73" s="172"/>
      <c r="J73" s="172"/>
      <c r="K73" s="172"/>
      <c r="L73" s="174" t="s">
        <v>2212</v>
      </c>
      <c r="M73" s="174" t="str">
        <f t="shared" si="12"/>
        <v>james.smallwood.senate@state.co.us</v>
      </c>
      <c r="P73" s="31">
        <v>2020.0</v>
      </c>
      <c r="S73" s="45" t="s">
        <v>2213</v>
      </c>
      <c r="U73" t="str">
        <f t="shared" si="7"/>
        <v/>
      </c>
      <c r="V73" s="139" t="str">
        <f t="shared" si="8"/>
        <v/>
      </c>
      <c r="W73" t="str">
        <f t="shared" si="9"/>
        <v/>
      </c>
      <c r="X73" t="str">
        <f t="shared" si="10"/>
        <v/>
      </c>
      <c r="Y73" t="str">
        <f t="shared" si="11"/>
        <v/>
      </c>
    </row>
    <row r="74">
      <c r="A74" s="14" t="s">
        <v>286</v>
      </c>
      <c r="B74" s="31">
        <v>5.0</v>
      </c>
      <c r="C74" s="35" t="s">
        <v>341</v>
      </c>
      <c r="D74" s="35" t="s">
        <v>2225</v>
      </c>
      <c r="E74" s="36" t="s">
        <v>49</v>
      </c>
      <c r="F74" s="175" t="s">
        <v>1188</v>
      </c>
      <c r="G74" s="170" t="s">
        <v>2226</v>
      </c>
      <c r="H74" s="180" t="s">
        <v>2227</v>
      </c>
      <c r="I74" s="172"/>
      <c r="J74" s="172"/>
      <c r="K74" s="172"/>
      <c r="L74" s="177" t="s">
        <v>2228</v>
      </c>
      <c r="M74" s="174" t="str">
        <f t="shared" si="12"/>
        <v>kerry.donovan.senate@state.co.us</v>
      </c>
      <c r="N74" s="178" t="str">
        <f>HYPERLINK("https://docs.google.com/document/d/1LGDmnuv9mln0QhUIsg0bFgSW_4DcSJExLw9juDb2jh0/edit","Zero")</f>
        <v>Zero</v>
      </c>
      <c r="P74" s="31"/>
      <c r="S74" s="45" t="s">
        <v>2229</v>
      </c>
      <c r="U74" t="str">
        <f t="shared" si="7"/>
        <v>Senator</v>
      </c>
      <c r="V74" s="139" t="str">
        <f t="shared" si="8"/>
        <v>Kerry</v>
      </c>
      <c r="W74" t="str">
        <f t="shared" si="9"/>
        <v>Donovan</v>
      </c>
      <c r="X74" t="str">
        <f t="shared" si="10"/>
        <v>kerry.donovan.senate@state.co.us</v>
      </c>
      <c r="Y74" t="str">
        <f t="shared" si="11"/>
        <v>Majority Whip</v>
      </c>
    </row>
    <row r="75">
      <c r="A75" s="14" t="s">
        <v>286</v>
      </c>
      <c r="B75" s="31">
        <v>6.0</v>
      </c>
      <c r="C75" s="35" t="s">
        <v>428</v>
      </c>
      <c r="D75" s="35" t="s">
        <v>2238</v>
      </c>
      <c r="E75" s="51" t="s">
        <v>53</v>
      </c>
      <c r="F75" s="169"/>
      <c r="G75" s="170" t="s">
        <v>2184</v>
      </c>
      <c r="H75" s="180" t="s">
        <v>2239</v>
      </c>
      <c r="I75" s="172"/>
      <c r="J75" s="172"/>
      <c r="K75" s="172"/>
      <c r="L75" s="174" t="s">
        <v>2240</v>
      </c>
      <c r="M75" s="174" t="str">
        <f t="shared" si="12"/>
        <v>don.coram.senate@state.co.us</v>
      </c>
      <c r="P75" s="31"/>
      <c r="S75" s="45" t="s">
        <v>2112</v>
      </c>
      <c r="U75" t="str">
        <f t="shared" si="7"/>
        <v/>
      </c>
      <c r="V75" s="139" t="str">
        <f t="shared" si="8"/>
        <v/>
      </c>
      <c r="W75" t="str">
        <f t="shared" si="9"/>
        <v/>
      </c>
      <c r="X75" t="str">
        <f t="shared" si="10"/>
        <v/>
      </c>
      <c r="Y75" t="str">
        <f t="shared" si="11"/>
        <v/>
      </c>
    </row>
    <row r="76">
      <c r="A76" s="14" t="s">
        <v>286</v>
      </c>
      <c r="B76" s="31">
        <v>7.0</v>
      </c>
      <c r="C76" s="35" t="s">
        <v>2250</v>
      </c>
      <c r="D76" s="35" t="s">
        <v>45</v>
      </c>
      <c r="E76" s="51" t="s">
        <v>53</v>
      </c>
      <c r="F76" s="175" t="s">
        <v>2004</v>
      </c>
      <c r="G76" s="170" t="s">
        <v>2227</v>
      </c>
      <c r="H76" s="171"/>
      <c r="I76" s="172"/>
      <c r="J76" s="172"/>
      <c r="K76" s="172"/>
      <c r="L76" s="177" t="s">
        <v>2253</v>
      </c>
      <c r="M76" s="174" t="str">
        <f t="shared" si="12"/>
        <v>ray.scott.senate@state.co.us</v>
      </c>
      <c r="N76" s="178" t="str">
        <f>HYPERLINK("https://docs.google.com/document/d/1730eG-fUyKMrbnXWiWokRf6I-0sdZi86nBzgVZ31E5Q/edit","Zero")</f>
        <v>Zero</v>
      </c>
      <c r="P76" s="31"/>
      <c r="S76" s="45" t="s">
        <v>2087</v>
      </c>
      <c r="U76" t="str">
        <f t="shared" si="7"/>
        <v/>
      </c>
      <c r="V76" s="139" t="str">
        <f t="shared" si="8"/>
        <v/>
      </c>
      <c r="W76" t="str">
        <f t="shared" si="9"/>
        <v/>
      </c>
      <c r="X76" t="str">
        <f t="shared" si="10"/>
        <v/>
      </c>
      <c r="Y76" t="str">
        <f t="shared" si="11"/>
        <v/>
      </c>
    </row>
    <row r="77">
      <c r="A77" s="14" t="s">
        <v>286</v>
      </c>
      <c r="B77" s="31">
        <v>8.0</v>
      </c>
      <c r="C77" s="35" t="s">
        <v>412</v>
      </c>
      <c r="D77" s="35" t="s">
        <v>2257</v>
      </c>
      <c r="E77" s="51" t="s">
        <v>53</v>
      </c>
      <c r="F77" s="169"/>
      <c r="G77" s="193"/>
      <c r="H77" s="171"/>
      <c r="I77" s="172"/>
      <c r="J77" s="172"/>
      <c r="K77" s="172"/>
      <c r="L77" s="174" t="s">
        <v>2260</v>
      </c>
      <c r="M77" s="174" t="str">
        <f t="shared" si="12"/>
        <v>randy.baumgardner.senate@state.co.us</v>
      </c>
      <c r="P77" s="31">
        <v>2020.0</v>
      </c>
      <c r="S77" s="45" t="s">
        <v>2261</v>
      </c>
      <c r="U77" t="str">
        <f t="shared" si="7"/>
        <v/>
      </c>
      <c r="V77" s="139" t="str">
        <f t="shared" si="8"/>
        <v/>
      </c>
      <c r="W77" t="str">
        <f t="shared" si="9"/>
        <v/>
      </c>
      <c r="X77" t="str">
        <f t="shared" si="10"/>
        <v/>
      </c>
      <c r="Y77" t="str">
        <f t="shared" si="11"/>
        <v/>
      </c>
    </row>
    <row r="78">
      <c r="A78" s="14" t="s">
        <v>286</v>
      </c>
      <c r="B78" s="31">
        <v>9.0</v>
      </c>
      <c r="C78" s="38" t="s">
        <v>679</v>
      </c>
      <c r="D78" s="38" t="s">
        <v>2268</v>
      </c>
      <c r="E78" s="51" t="s">
        <v>53</v>
      </c>
      <c r="F78" s="169"/>
      <c r="G78" s="170" t="s">
        <v>515</v>
      </c>
      <c r="H78" s="180" t="s">
        <v>1264</v>
      </c>
      <c r="I78" s="172"/>
      <c r="J78" s="172"/>
      <c r="K78" s="172"/>
      <c r="L78" s="177" t="s">
        <v>2270</v>
      </c>
      <c r="M78" s="174" t="str">
        <f t="shared" si="12"/>
        <v>paul.lundeen.senate@state.co.us</v>
      </c>
      <c r="P78" s="31"/>
      <c r="S78" s="45" t="s">
        <v>1724</v>
      </c>
      <c r="U78" t="str">
        <f t="shared" si="7"/>
        <v/>
      </c>
      <c r="V78" s="139" t="str">
        <f t="shared" si="8"/>
        <v/>
      </c>
      <c r="W78" t="str">
        <f t="shared" si="9"/>
        <v/>
      </c>
      <c r="X78" t="str">
        <f t="shared" si="10"/>
        <v/>
      </c>
      <c r="Y78" t="str">
        <f t="shared" si="11"/>
        <v/>
      </c>
    </row>
    <row r="79">
      <c r="A79" s="14" t="s">
        <v>286</v>
      </c>
      <c r="B79" s="31">
        <v>10.0</v>
      </c>
      <c r="C79" s="35" t="s">
        <v>2273</v>
      </c>
      <c r="D79" s="35" t="s">
        <v>485</v>
      </c>
      <c r="E79" s="51" t="s">
        <v>53</v>
      </c>
      <c r="F79" s="169"/>
      <c r="G79" s="170" t="s">
        <v>515</v>
      </c>
      <c r="H79" s="171"/>
      <c r="I79" s="172"/>
      <c r="J79" s="172"/>
      <c r="K79" s="172"/>
      <c r="L79" s="174" t="s">
        <v>2282</v>
      </c>
      <c r="M79" s="174" t="str">
        <f t="shared" si="12"/>
        <v>owen.hill.senate@state.co.us</v>
      </c>
      <c r="P79" s="31">
        <v>2020.0</v>
      </c>
      <c r="S79" s="45" t="s">
        <v>1724</v>
      </c>
      <c r="U79" t="str">
        <f t="shared" si="7"/>
        <v/>
      </c>
      <c r="V79" s="139" t="str">
        <f t="shared" si="8"/>
        <v/>
      </c>
      <c r="W79" t="str">
        <f t="shared" si="9"/>
        <v/>
      </c>
      <c r="X79" t="str">
        <f t="shared" si="10"/>
        <v/>
      </c>
      <c r="Y79" t="str">
        <f t="shared" si="11"/>
        <v/>
      </c>
    </row>
    <row r="80">
      <c r="A80" s="14" t="s">
        <v>286</v>
      </c>
      <c r="B80" s="31">
        <v>11.0</v>
      </c>
      <c r="C80" s="38" t="s">
        <v>288</v>
      </c>
      <c r="D80" s="38" t="s">
        <v>629</v>
      </c>
      <c r="E80" s="36" t="s">
        <v>49</v>
      </c>
      <c r="F80" s="182"/>
      <c r="G80" s="170" t="s">
        <v>2295</v>
      </c>
      <c r="H80" s="180" t="s">
        <v>877</v>
      </c>
      <c r="I80" s="179" t="s">
        <v>1300</v>
      </c>
      <c r="J80" s="172"/>
      <c r="K80" s="172"/>
      <c r="L80" s="177" t="s">
        <v>2297</v>
      </c>
      <c r="M80" s="174" t="str">
        <f t="shared" si="12"/>
        <v>pete.lee.senate@state.co.us</v>
      </c>
      <c r="N80" s="178" t="str">
        <f>HYPERLINK("https://docs.google.com/document/d/1XCPx2kws9w7grfPWs6YemsIQXnP-mHUkJ92aCfH5kuo/edit?usp=drive_web&amp;ouid=111300232804728282603","Zero")</f>
        <v>Zero</v>
      </c>
      <c r="P80" s="31"/>
      <c r="S80" s="45" t="s">
        <v>1724</v>
      </c>
      <c r="U80" t="str">
        <f t="shared" si="7"/>
        <v/>
      </c>
      <c r="V80" s="139" t="str">
        <f t="shared" si="8"/>
        <v/>
      </c>
      <c r="W80" t="str">
        <f t="shared" si="9"/>
        <v/>
      </c>
      <c r="X80" t="str">
        <f t="shared" si="10"/>
        <v/>
      </c>
      <c r="Y80" t="str">
        <f t="shared" si="11"/>
        <v/>
      </c>
    </row>
    <row r="81">
      <c r="A81" s="14" t="s">
        <v>286</v>
      </c>
      <c r="B81" s="31">
        <v>12.0</v>
      </c>
      <c r="C81" s="35" t="s">
        <v>419</v>
      </c>
      <c r="D81" s="35" t="s">
        <v>2326</v>
      </c>
      <c r="E81" s="51" t="s">
        <v>53</v>
      </c>
      <c r="F81" s="169"/>
      <c r="G81" s="170" t="s">
        <v>626</v>
      </c>
      <c r="H81" s="180" t="s">
        <v>781</v>
      </c>
      <c r="I81" s="179" t="s">
        <v>2327</v>
      </c>
      <c r="J81" s="172"/>
      <c r="K81" s="172"/>
      <c r="L81" s="177" t="s">
        <v>2331</v>
      </c>
      <c r="M81" s="174" t="str">
        <f t="shared" si="12"/>
        <v>bob.gardner.senate@state.co.us</v>
      </c>
      <c r="P81" s="31">
        <v>2020.0</v>
      </c>
      <c r="S81" s="45" t="s">
        <v>1724</v>
      </c>
      <c r="U81" t="str">
        <f t="shared" si="7"/>
        <v/>
      </c>
      <c r="V81" s="139" t="str">
        <f t="shared" si="8"/>
        <v/>
      </c>
      <c r="W81" t="str">
        <f t="shared" si="9"/>
        <v/>
      </c>
      <c r="X81" t="str">
        <f t="shared" si="10"/>
        <v/>
      </c>
      <c r="Y81" t="str">
        <f t="shared" si="11"/>
        <v/>
      </c>
    </row>
    <row r="82">
      <c r="A82" s="14" t="s">
        <v>286</v>
      </c>
      <c r="B82" s="31">
        <v>13.0</v>
      </c>
      <c r="C82" s="35" t="s">
        <v>278</v>
      </c>
      <c r="D82" s="35" t="s">
        <v>2353</v>
      </c>
      <c r="E82" s="51" t="s">
        <v>53</v>
      </c>
      <c r="F82" s="175" t="s">
        <v>1965</v>
      </c>
      <c r="G82" s="170" t="s">
        <v>2355</v>
      </c>
      <c r="H82" s="180" t="s">
        <v>781</v>
      </c>
      <c r="I82" s="179" t="s">
        <v>2227</v>
      </c>
      <c r="J82" s="172"/>
      <c r="K82" s="172"/>
      <c r="L82" s="177" t="s">
        <v>2356</v>
      </c>
      <c r="M82" s="174" t="str">
        <f t="shared" si="12"/>
        <v>john.cooke.senate@state.co.us</v>
      </c>
      <c r="N82" s="178" t="str">
        <f>HYPERLINK("https://docs.google.com/document/d/1CEr2FfDhD2R59Sii-FgQK1ZG-mKddR-xiMy5WsGRTZw/edit","Zero")</f>
        <v>Zero</v>
      </c>
      <c r="P82" s="31"/>
      <c r="S82" s="45" t="s">
        <v>2043</v>
      </c>
      <c r="U82" t="str">
        <f t="shared" si="7"/>
        <v/>
      </c>
      <c r="V82" s="139" t="str">
        <f t="shared" si="8"/>
        <v/>
      </c>
      <c r="W82" t="str">
        <f t="shared" si="9"/>
        <v/>
      </c>
      <c r="X82" t="str">
        <f t="shared" si="10"/>
        <v/>
      </c>
      <c r="Y82" t="str">
        <f t="shared" si="11"/>
        <v/>
      </c>
    </row>
    <row r="83">
      <c r="A83" s="14" t="s">
        <v>286</v>
      </c>
      <c r="B83" s="31">
        <v>14.0</v>
      </c>
      <c r="C83" s="35" t="s">
        <v>278</v>
      </c>
      <c r="D83" s="35" t="s">
        <v>2369</v>
      </c>
      <c r="E83" s="36" t="s">
        <v>49</v>
      </c>
      <c r="F83" s="169"/>
      <c r="G83" s="170" t="s">
        <v>2184</v>
      </c>
      <c r="H83" s="171"/>
      <c r="I83" s="172"/>
      <c r="J83" s="172"/>
      <c r="K83" s="172"/>
      <c r="L83" s="177" t="s">
        <v>2370</v>
      </c>
      <c r="M83" s="174" t="str">
        <f t="shared" si="12"/>
        <v>john.kefalas.senate@state.co.us</v>
      </c>
      <c r="P83" s="31">
        <v>2020.0</v>
      </c>
      <c r="S83" s="45" t="s">
        <v>2060</v>
      </c>
      <c r="U83" t="str">
        <f t="shared" si="7"/>
        <v/>
      </c>
      <c r="V83" s="139" t="str">
        <f t="shared" si="8"/>
        <v/>
      </c>
      <c r="W83" t="str">
        <f t="shared" si="9"/>
        <v/>
      </c>
      <c r="X83" t="str">
        <f t="shared" si="10"/>
        <v/>
      </c>
      <c r="Y83" t="str">
        <f t="shared" si="11"/>
        <v/>
      </c>
    </row>
    <row r="84">
      <c r="A84" s="14" t="s">
        <v>286</v>
      </c>
      <c r="B84" s="31">
        <v>15.0</v>
      </c>
      <c r="C84" s="38" t="s">
        <v>1476</v>
      </c>
      <c r="D84" s="38" t="s">
        <v>2371</v>
      </c>
      <c r="E84" s="51" t="s">
        <v>53</v>
      </c>
      <c r="F84" s="169"/>
      <c r="G84" s="170" t="s">
        <v>626</v>
      </c>
      <c r="H84" s="180" t="s">
        <v>1264</v>
      </c>
      <c r="I84" s="172"/>
      <c r="J84" s="172"/>
      <c r="K84" s="172"/>
      <c r="L84" s="174" t="s">
        <v>2372</v>
      </c>
      <c r="M84" s="174" t="str">
        <f t="shared" si="12"/>
        <v>rob.woodward.senate@state.co.us</v>
      </c>
      <c r="P84" s="31"/>
      <c r="S84" s="200"/>
      <c r="U84" t="str">
        <f t="shared" si="7"/>
        <v/>
      </c>
      <c r="V84" s="139" t="str">
        <f t="shared" si="8"/>
        <v/>
      </c>
      <c r="W84" t="str">
        <f t="shared" si="9"/>
        <v/>
      </c>
      <c r="X84" t="str">
        <f t="shared" si="10"/>
        <v/>
      </c>
      <c r="Y84" t="str">
        <f t="shared" si="11"/>
        <v/>
      </c>
    </row>
    <row r="85">
      <c r="A85" s="14" t="s">
        <v>286</v>
      </c>
      <c r="B85" s="31">
        <v>16.0</v>
      </c>
      <c r="C85" s="38" t="s">
        <v>2373</v>
      </c>
      <c r="D85" s="38" t="s">
        <v>234</v>
      </c>
      <c r="E85" s="36" t="s">
        <v>49</v>
      </c>
      <c r="F85" s="169"/>
      <c r="G85" s="170" t="s">
        <v>888</v>
      </c>
      <c r="H85" s="180" t="s">
        <v>2374</v>
      </c>
      <c r="I85" s="179" t="s">
        <v>1644</v>
      </c>
      <c r="J85" s="172"/>
      <c r="K85" s="172"/>
      <c r="L85" s="177" t="s">
        <v>2375</v>
      </c>
      <c r="M85" s="174" t="str">
        <f t="shared" si="12"/>
        <v>tammy.story.senate@state.co.us</v>
      </c>
      <c r="P85" s="31"/>
      <c r="S85" s="200"/>
      <c r="U85" t="str">
        <f t="shared" si="7"/>
        <v/>
      </c>
      <c r="V85" s="139" t="str">
        <f t="shared" si="8"/>
        <v/>
      </c>
      <c r="W85" t="str">
        <f t="shared" si="9"/>
        <v/>
      </c>
      <c r="X85" t="str">
        <f t="shared" si="10"/>
        <v/>
      </c>
      <c r="Y85" t="str">
        <f t="shared" si="11"/>
        <v/>
      </c>
    </row>
    <row r="86">
      <c r="A86" s="14" t="s">
        <v>286</v>
      </c>
      <c r="B86" s="31">
        <v>17.0</v>
      </c>
      <c r="C86" s="38" t="s">
        <v>157</v>
      </c>
      <c r="D86" s="38" t="s">
        <v>2376</v>
      </c>
      <c r="E86" s="36" t="s">
        <v>49</v>
      </c>
      <c r="F86" s="169"/>
      <c r="G86" s="170" t="s">
        <v>2377</v>
      </c>
      <c r="H86" s="180" t="s">
        <v>2327</v>
      </c>
      <c r="I86" s="172"/>
      <c r="J86" s="172"/>
      <c r="K86" s="172"/>
      <c r="L86" s="177" t="s">
        <v>2378</v>
      </c>
      <c r="M86" s="177" t="s">
        <v>2379</v>
      </c>
      <c r="P86" s="31">
        <v>2020.0</v>
      </c>
      <c r="S86" s="45" t="s">
        <v>1703</v>
      </c>
      <c r="U86" t="str">
        <f t="shared" si="7"/>
        <v/>
      </c>
      <c r="V86" s="139" t="str">
        <f t="shared" si="8"/>
        <v/>
      </c>
      <c r="W86" t="str">
        <f t="shared" si="9"/>
        <v/>
      </c>
      <c r="X86" t="str">
        <f t="shared" si="10"/>
        <v/>
      </c>
      <c r="Y86" t="str">
        <f t="shared" si="11"/>
        <v/>
      </c>
    </row>
    <row r="87">
      <c r="A87" s="14" t="s">
        <v>286</v>
      </c>
      <c r="B87" s="31">
        <v>18.0</v>
      </c>
      <c r="C87" s="35" t="s">
        <v>1505</v>
      </c>
      <c r="D87" s="35" t="s">
        <v>2381</v>
      </c>
      <c r="E87" s="36" t="s">
        <v>49</v>
      </c>
      <c r="F87" s="175" t="s">
        <v>176</v>
      </c>
      <c r="G87" s="170" t="s">
        <v>1614</v>
      </c>
      <c r="H87" s="171"/>
      <c r="I87" s="172"/>
      <c r="J87" s="172"/>
      <c r="K87" s="172"/>
      <c r="L87" s="174" t="s">
        <v>2382</v>
      </c>
      <c r="M87" s="174" t="str">
        <f>Concatenate(Lower(C87),".",Lower(D87),".senate@state.co.us")</f>
        <v>stephen.fenberg.senate@state.co.us</v>
      </c>
      <c r="N87" s="178" t="str">
        <f>HYPERLINK("https://docs.google.com/document/d/1TuLU5oMitcfOXbkZzDhXGnJT-lvEoezbEYj0yNbMsgQ/edit\","Zero")</f>
        <v>Zero</v>
      </c>
      <c r="P87" s="31">
        <v>2020.0</v>
      </c>
      <c r="S87" s="45" t="s">
        <v>1690</v>
      </c>
      <c r="U87" t="str">
        <f t="shared" si="7"/>
        <v>Senator</v>
      </c>
      <c r="V87" s="139" t="str">
        <f t="shared" si="8"/>
        <v>Stephen</v>
      </c>
      <c r="W87" t="str">
        <f t="shared" si="9"/>
        <v>Fenberg</v>
      </c>
      <c r="X87" t="str">
        <f t="shared" si="10"/>
        <v>stephen.fenberg.senate@state.co.us</v>
      </c>
      <c r="Y87" t="str">
        <f t="shared" si="11"/>
        <v>Majority Leader</v>
      </c>
    </row>
    <row r="88">
      <c r="A88" s="14" t="s">
        <v>286</v>
      </c>
      <c r="B88" s="31">
        <v>19.0</v>
      </c>
      <c r="C88" s="35" t="s">
        <v>2383</v>
      </c>
      <c r="D88" s="35" t="s">
        <v>2385</v>
      </c>
      <c r="E88" s="36" t="s">
        <v>49</v>
      </c>
      <c r="F88" s="169"/>
      <c r="G88" s="170" t="s">
        <v>662</v>
      </c>
      <c r="H88" s="180" t="s">
        <v>1654</v>
      </c>
      <c r="I88" s="179" t="s">
        <v>2055</v>
      </c>
      <c r="J88" s="172"/>
      <c r="K88" s="172"/>
      <c r="L88" s="177" t="s">
        <v>2386</v>
      </c>
      <c r="M88" s="177" t="s">
        <v>2387</v>
      </c>
      <c r="P88" s="31">
        <v>2020.0</v>
      </c>
      <c r="S88" s="45" t="s">
        <v>1830</v>
      </c>
      <c r="U88" t="str">
        <f t="shared" si="7"/>
        <v/>
      </c>
      <c r="V88" s="139" t="str">
        <f t="shared" si="8"/>
        <v/>
      </c>
      <c r="W88" t="str">
        <f t="shared" si="9"/>
        <v/>
      </c>
      <c r="X88" t="str">
        <f t="shared" si="10"/>
        <v/>
      </c>
      <c r="Y88" t="str">
        <f t="shared" si="11"/>
        <v/>
      </c>
    </row>
    <row r="89">
      <c r="A89" s="14" t="s">
        <v>286</v>
      </c>
      <c r="B89" s="31">
        <v>20.0</v>
      </c>
      <c r="C89" s="38" t="s">
        <v>2390</v>
      </c>
      <c r="D89" s="38" t="s">
        <v>2391</v>
      </c>
      <c r="E89" s="36" t="s">
        <v>49</v>
      </c>
      <c r="F89" s="169"/>
      <c r="G89" s="170" t="s">
        <v>2392</v>
      </c>
      <c r="H89" s="180" t="s">
        <v>2393</v>
      </c>
      <c r="I89" s="172"/>
      <c r="J89" s="172"/>
      <c r="K89" s="172"/>
      <c r="L89" s="174" t="s">
        <v>2394</v>
      </c>
      <c r="M89" s="174" t="str">
        <f t="shared" ref="M89:M93" si="13">Concatenate(Lower(C89),".",Lower(D89),".senate@state.co.us")</f>
        <v>jessie.danielson.senate@state.co.us</v>
      </c>
      <c r="P89" s="31"/>
      <c r="S89" s="45" t="s">
        <v>1803</v>
      </c>
      <c r="U89" t="str">
        <f t="shared" si="7"/>
        <v/>
      </c>
      <c r="V89" s="139" t="str">
        <f t="shared" si="8"/>
        <v/>
      </c>
      <c r="W89" t="str">
        <f t="shared" si="9"/>
        <v/>
      </c>
      <c r="X89" t="str">
        <f t="shared" si="10"/>
        <v/>
      </c>
      <c r="Y89" t="str">
        <f t="shared" si="11"/>
        <v/>
      </c>
    </row>
    <row r="90">
      <c r="A90" s="14" t="s">
        <v>286</v>
      </c>
      <c r="B90" s="31">
        <v>21.0</v>
      </c>
      <c r="C90" s="35" t="s">
        <v>2397</v>
      </c>
      <c r="D90" s="35" t="s">
        <v>2399</v>
      </c>
      <c r="E90" s="36" t="s">
        <v>49</v>
      </c>
      <c r="F90" s="169"/>
      <c r="G90" s="170" t="s">
        <v>1024</v>
      </c>
      <c r="H90" s="180" t="s">
        <v>2400</v>
      </c>
      <c r="I90" s="179" t="s">
        <v>2401</v>
      </c>
      <c r="J90" s="172"/>
      <c r="K90" s="172"/>
      <c r="L90" s="174" t="s">
        <v>2402</v>
      </c>
      <c r="M90" s="174" t="str">
        <f t="shared" si="13"/>
        <v>dominick.moreno.senate@state.co.us</v>
      </c>
      <c r="P90" s="31">
        <v>2020.0</v>
      </c>
      <c r="S90" s="45" t="s">
        <v>1853</v>
      </c>
      <c r="U90" t="str">
        <f t="shared" si="7"/>
        <v/>
      </c>
      <c r="V90" s="139" t="str">
        <f t="shared" si="8"/>
        <v/>
      </c>
      <c r="W90" t="str">
        <f t="shared" si="9"/>
        <v/>
      </c>
      <c r="X90" t="str">
        <f t="shared" si="10"/>
        <v/>
      </c>
      <c r="Y90" t="str">
        <f t="shared" si="11"/>
        <v/>
      </c>
    </row>
    <row r="91">
      <c r="A91" s="14" t="s">
        <v>286</v>
      </c>
      <c r="B91" s="31">
        <v>22.0</v>
      </c>
      <c r="C91" s="38" t="s">
        <v>2403</v>
      </c>
      <c r="D91" s="38" t="s">
        <v>2404</v>
      </c>
      <c r="E91" s="36" t="s">
        <v>49</v>
      </c>
      <c r="F91" s="169"/>
      <c r="G91" s="170" t="s">
        <v>1016</v>
      </c>
      <c r="H91" s="180" t="s">
        <v>2405</v>
      </c>
      <c r="I91" s="172"/>
      <c r="J91" s="172"/>
      <c r="K91" s="172"/>
      <c r="L91" s="174" t="s">
        <v>2406</v>
      </c>
      <c r="M91" s="174" t="str">
        <f t="shared" si="13"/>
        <v>brittany.pettersen.senate@state.co.us</v>
      </c>
      <c r="P91" s="31"/>
      <c r="S91" s="45" t="s">
        <v>1796</v>
      </c>
      <c r="U91" t="str">
        <f t="shared" si="7"/>
        <v/>
      </c>
      <c r="V91" s="139" t="str">
        <f t="shared" si="8"/>
        <v/>
      </c>
      <c r="W91" t="str">
        <f t="shared" si="9"/>
        <v/>
      </c>
      <c r="X91" t="str">
        <f t="shared" si="10"/>
        <v/>
      </c>
      <c r="Y91" t="str">
        <f t="shared" si="11"/>
        <v/>
      </c>
    </row>
    <row r="92">
      <c r="A92" s="14" t="s">
        <v>286</v>
      </c>
      <c r="B92" s="31">
        <v>23.0</v>
      </c>
      <c r="C92" s="35" t="s">
        <v>2408</v>
      </c>
      <c r="D92" s="35" t="s">
        <v>2411</v>
      </c>
      <c r="E92" s="51" t="s">
        <v>53</v>
      </c>
      <c r="F92" s="175" t="s">
        <v>2029</v>
      </c>
      <c r="G92" s="170" t="s">
        <v>1801</v>
      </c>
      <c r="H92" s="171"/>
      <c r="I92" s="172"/>
      <c r="J92" s="172"/>
      <c r="K92" s="172"/>
      <c r="L92" s="177" t="s">
        <v>2412</v>
      </c>
      <c r="M92" s="174" t="str">
        <f t="shared" si="13"/>
        <v>vicki.marble.senate@state.co.us</v>
      </c>
      <c r="N92" s="178" t="str">
        <f>HYPERLINK("https://docs.google.com/document/d/1qak0_6kPT_V-9A84diEYnscDisHTrJGDM5Yg-nSJoys/edit","Zero")</f>
        <v>Zero</v>
      </c>
      <c r="P92" s="31">
        <v>2020.0</v>
      </c>
      <c r="S92" s="45" t="s">
        <v>2060</v>
      </c>
      <c r="U92" t="str">
        <f t="shared" si="7"/>
        <v/>
      </c>
      <c r="V92" s="139" t="str">
        <f t="shared" si="8"/>
        <v/>
      </c>
      <c r="W92" t="str">
        <f t="shared" si="9"/>
        <v/>
      </c>
      <c r="X92" t="str">
        <f t="shared" si="10"/>
        <v/>
      </c>
      <c r="Y92" t="str">
        <f t="shared" si="11"/>
        <v/>
      </c>
    </row>
    <row r="93">
      <c r="A93" s="14" t="s">
        <v>286</v>
      </c>
      <c r="B93" s="31">
        <v>24.0</v>
      </c>
      <c r="C93" s="38" t="s">
        <v>2413</v>
      </c>
      <c r="D93" s="38" t="s">
        <v>2415</v>
      </c>
      <c r="E93" s="36" t="s">
        <v>49</v>
      </c>
      <c r="F93" s="175" t="s">
        <v>1684</v>
      </c>
      <c r="G93" s="170" t="s">
        <v>2417</v>
      </c>
      <c r="H93" s="180" t="s">
        <v>601</v>
      </c>
      <c r="I93" s="179" t="s">
        <v>1841</v>
      </c>
      <c r="J93" s="172"/>
      <c r="K93" s="172"/>
      <c r="L93" s="174" t="s">
        <v>2419</v>
      </c>
      <c r="M93" s="174" t="str">
        <f t="shared" si="13"/>
        <v>faith.winter.senate@state.co.us</v>
      </c>
      <c r="N93" s="178" t="str">
        <f>HYPERLINK("https://docs.google.com/document/d/1rWBd9boMyBVbUdcRFGQFZWocUE4AfGJV8xfXAcfTodo/edit","Zero")</f>
        <v>Zero</v>
      </c>
      <c r="P93" s="31"/>
      <c r="S93" s="45" t="s">
        <v>1861</v>
      </c>
      <c r="U93" t="str">
        <f t="shared" si="7"/>
        <v>Senator</v>
      </c>
      <c r="V93" s="139" t="str">
        <f t="shared" si="8"/>
        <v>Faith</v>
      </c>
      <c r="W93" t="str">
        <f t="shared" si="9"/>
        <v>Winter</v>
      </c>
      <c r="X93" t="str">
        <f t="shared" si="10"/>
        <v>faith.winter.senate@state.co.us</v>
      </c>
      <c r="Y93" t="str">
        <f t="shared" si="11"/>
        <v>Majority Caucus Chair</v>
      </c>
    </row>
    <row r="94">
      <c r="A94" s="14" t="s">
        <v>286</v>
      </c>
      <c r="B94" s="31">
        <v>25.0</v>
      </c>
      <c r="C94" s="35" t="s">
        <v>971</v>
      </c>
      <c r="D94" s="35" t="s">
        <v>2421</v>
      </c>
      <c r="E94" s="51" t="s">
        <v>53</v>
      </c>
      <c r="F94" s="169"/>
      <c r="G94" s="170" t="s">
        <v>2422</v>
      </c>
      <c r="H94" s="180" t="s">
        <v>2423</v>
      </c>
      <c r="I94" s="172"/>
      <c r="J94" s="172"/>
      <c r="K94" s="172"/>
      <c r="L94" s="174" t="s">
        <v>2424</v>
      </c>
      <c r="M94" s="174" t="s">
        <v>2425</v>
      </c>
      <c r="P94" s="31">
        <v>2020.0</v>
      </c>
      <c r="S94" s="45" t="s">
        <v>1903</v>
      </c>
      <c r="U94" t="str">
        <f t="shared" si="7"/>
        <v/>
      </c>
      <c r="V94" s="139" t="str">
        <f t="shared" si="8"/>
        <v/>
      </c>
      <c r="W94" t="str">
        <f t="shared" si="9"/>
        <v/>
      </c>
      <c r="X94" t="str">
        <f t="shared" si="10"/>
        <v/>
      </c>
      <c r="Y94" t="str">
        <f t="shared" si="11"/>
        <v/>
      </c>
    </row>
    <row r="95">
      <c r="A95" s="14" t="s">
        <v>286</v>
      </c>
      <c r="B95" s="31">
        <v>26.0</v>
      </c>
      <c r="C95" s="35" t="s">
        <v>552</v>
      </c>
      <c r="D95" s="35" t="s">
        <v>2431</v>
      </c>
      <c r="E95" s="36" t="s">
        <v>49</v>
      </c>
      <c r="F95" s="169"/>
      <c r="G95" s="170" t="s">
        <v>2327</v>
      </c>
      <c r="H95" s="171"/>
      <c r="I95" s="172"/>
      <c r="J95" s="172"/>
      <c r="K95" s="172"/>
      <c r="L95" s="174" t="s">
        <v>2432</v>
      </c>
      <c r="M95" s="174" t="str">
        <f t="shared" ref="M95:M104" si="14">Concatenate(Lower(C95),".",Lower(D95),".senate@state.co.us")</f>
        <v>daniel.kagan.senate@state.co.us</v>
      </c>
      <c r="P95" s="31">
        <v>2020.0</v>
      </c>
      <c r="S95" s="45" t="s">
        <v>1782</v>
      </c>
      <c r="U95" t="str">
        <f t="shared" si="7"/>
        <v/>
      </c>
      <c r="V95" s="139" t="str">
        <f t="shared" si="8"/>
        <v/>
      </c>
      <c r="W95" t="str">
        <f t="shared" si="9"/>
        <v/>
      </c>
      <c r="X95" t="str">
        <f t="shared" si="10"/>
        <v/>
      </c>
      <c r="Y95" t="str">
        <f t="shared" si="11"/>
        <v/>
      </c>
    </row>
    <row r="96">
      <c r="A96" s="14" t="s">
        <v>286</v>
      </c>
      <c r="B96" s="31">
        <v>27.0</v>
      </c>
      <c r="C96" s="35" t="s">
        <v>792</v>
      </c>
      <c r="D96" s="35" t="s">
        <v>2435</v>
      </c>
      <c r="E96" s="51" t="s">
        <v>53</v>
      </c>
      <c r="F96" s="169"/>
      <c r="G96" s="170" t="s">
        <v>2422</v>
      </c>
      <c r="H96" s="180" t="s">
        <v>1264</v>
      </c>
      <c r="I96" s="179" t="s">
        <v>1928</v>
      </c>
      <c r="J96" s="179" t="s">
        <v>2055</v>
      </c>
      <c r="K96" s="172"/>
      <c r="L96" s="174" t="s">
        <v>2436</v>
      </c>
      <c r="M96" s="174" t="str">
        <f t="shared" si="14"/>
        <v>jack.tate.senate@state.co.us</v>
      </c>
      <c r="P96" s="31">
        <v>2020.0</v>
      </c>
      <c r="S96" s="45" t="s">
        <v>1912</v>
      </c>
      <c r="U96" t="str">
        <f t="shared" si="7"/>
        <v/>
      </c>
      <c r="V96" s="139" t="str">
        <f t="shared" si="8"/>
        <v/>
      </c>
      <c r="W96" t="str">
        <f t="shared" si="9"/>
        <v/>
      </c>
      <c r="X96" t="str">
        <f t="shared" si="10"/>
        <v/>
      </c>
      <c r="Y96" t="str">
        <f t="shared" si="11"/>
        <v/>
      </c>
    </row>
    <row r="97">
      <c r="A97" s="14" t="s">
        <v>286</v>
      </c>
      <c r="B97" s="31">
        <v>28.0</v>
      </c>
      <c r="C97" s="35" t="s">
        <v>123</v>
      </c>
      <c r="D97" s="35" t="s">
        <v>1974</v>
      </c>
      <c r="E97" s="36" t="s">
        <v>49</v>
      </c>
      <c r="F97" s="169"/>
      <c r="G97" s="170" t="s">
        <v>1047</v>
      </c>
      <c r="H97" s="180" t="s">
        <v>626</v>
      </c>
      <c r="I97" s="179" t="s">
        <v>1264</v>
      </c>
      <c r="J97" s="179" t="s">
        <v>2441</v>
      </c>
      <c r="K97" s="179" t="s">
        <v>1928</v>
      </c>
      <c r="L97" s="177" t="s">
        <v>2442</v>
      </c>
      <c r="M97" s="174" t="str">
        <f t="shared" si="14"/>
        <v>nancy.todd.senate@state.co.us</v>
      </c>
      <c r="P97" s="31">
        <v>2020.0</v>
      </c>
      <c r="S97" s="45" t="s">
        <v>1903</v>
      </c>
      <c r="U97" t="str">
        <f t="shared" si="7"/>
        <v/>
      </c>
      <c r="V97" s="139" t="str">
        <f t="shared" si="8"/>
        <v/>
      </c>
      <c r="W97" t="str">
        <f t="shared" si="9"/>
        <v/>
      </c>
      <c r="X97" t="str">
        <f t="shared" si="10"/>
        <v/>
      </c>
      <c r="Y97" t="str">
        <f t="shared" si="11"/>
        <v/>
      </c>
    </row>
    <row r="98">
      <c r="A98" s="14" t="s">
        <v>286</v>
      </c>
      <c r="B98" s="31">
        <v>29.0</v>
      </c>
      <c r="C98" s="35" t="s">
        <v>2444</v>
      </c>
      <c r="D98" s="35" t="s">
        <v>162</v>
      </c>
      <c r="E98" s="36" t="s">
        <v>49</v>
      </c>
      <c r="F98" s="175" t="s">
        <v>1479</v>
      </c>
      <c r="G98" s="170" t="s">
        <v>2451</v>
      </c>
      <c r="H98" s="180" t="s">
        <v>863</v>
      </c>
      <c r="I98" s="179" t="s">
        <v>1841</v>
      </c>
      <c r="J98" s="179" t="s">
        <v>1801</v>
      </c>
      <c r="K98" s="172"/>
      <c r="L98" s="177" t="s">
        <v>2452</v>
      </c>
      <c r="M98" s="174" t="str">
        <f t="shared" si="14"/>
        <v>rhonda.fields.senate@state.co.us</v>
      </c>
      <c r="N98" s="178" t="str">
        <f>HYPERLINK("https://docs.google.com/document/d/1NGhdnpUTGGXfNkXJ8Eepo2UnbZA-QJCt6ozqG_rj1J4/edit","Zero")</f>
        <v>Zero</v>
      </c>
      <c r="P98" s="31">
        <v>2020.0</v>
      </c>
      <c r="S98" s="45" t="s">
        <v>1903</v>
      </c>
      <c r="U98" t="str">
        <f t="shared" si="7"/>
        <v>Senator</v>
      </c>
      <c r="V98" s="139" t="str">
        <f t="shared" si="8"/>
        <v>Rhonda</v>
      </c>
      <c r="W98" t="str">
        <f t="shared" si="9"/>
        <v>Fields</v>
      </c>
      <c r="X98" t="str">
        <f t="shared" si="10"/>
        <v>rhonda.fields.senate@state.co.us</v>
      </c>
      <c r="Y98" t="str">
        <f t="shared" si="11"/>
        <v>Assistant Majority Leader</v>
      </c>
    </row>
    <row r="99">
      <c r="A99" s="14" t="s">
        <v>286</v>
      </c>
      <c r="B99" s="31">
        <v>30.0</v>
      </c>
      <c r="C99" s="35" t="s">
        <v>173</v>
      </c>
      <c r="D99" s="35" t="s">
        <v>2459</v>
      </c>
      <c r="E99" s="51" t="s">
        <v>53</v>
      </c>
      <c r="F99" s="175" t="s">
        <v>498</v>
      </c>
      <c r="G99" s="170" t="s">
        <v>2327</v>
      </c>
      <c r="H99" s="170" t="s">
        <v>1614</v>
      </c>
      <c r="I99" s="172"/>
      <c r="J99" s="172"/>
      <c r="K99" s="172"/>
      <c r="L99" s="177" t="s">
        <v>2460</v>
      </c>
      <c r="M99" s="174" t="str">
        <f t="shared" si="14"/>
        <v>chris.holbert.senate@state.co.us</v>
      </c>
      <c r="N99" s="178" t="str">
        <f>HYPERLINK("https://docs.google.com/document/d/1hfmIoWBF8IBOyv2jW9yTJS0_Kmq1EFUTY2WQyNOJCY8/edit","Zero")</f>
        <v>Zero</v>
      </c>
      <c r="P99" s="31"/>
      <c r="S99" s="45" t="s">
        <v>87</v>
      </c>
      <c r="U99" t="str">
        <f t="shared" si="7"/>
        <v/>
      </c>
      <c r="V99" s="139" t="str">
        <f t="shared" si="8"/>
        <v/>
      </c>
      <c r="W99" t="str">
        <f t="shared" si="9"/>
        <v/>
      </c>
      <c r="X99" t="str">
        <f t="shared" si="10"/>
        <v/>
      </c>
      <c r="Y99" t="str">
        <f t="shared" si="11"/>
        <v/>
      </c>
    </row>
    <row r="100">
      <c r="A100" s="14" t="s">
        <v>286</v>
      </c>
      <c r="B100" s="31">
        <v>31.0</v>
      </c>
      <c r="C100" s="35" t="s">
        <v>1771</v>
      </c>
      <c r="D100" s="35" t="s">
        <v>2469</v>
      </c>
      <c r="E100" s="36" t="s">
        <v>49</v>
      </c>
      <c r="F100" s="175" t="s">
        <v>903</v>
      </c>
      <c r="G100" s="170" t="s">
        <v>1272</v>
      </c>
      <c r="H100" s="180" t="s">
        <v>1708</v>
      </c>
      <c r="I100" s="172"/>
      <c r="J100" s="172"/>
      <c r="K100" s="172"/>
      <c r="L100" s="177" t="s">
        <v>2470</v>
      </c>
      <c r="M100" s="174" t="str">
        <f t="shared" si="14"/>
        <v>lois.court.senate@state.co.us</v>
      </c>
      <c r="N100" s="178" t="str">
        <f>HYPERLINK("https://docs.google.com/document/d/13EPy0bOCMdnlJF9BopmfFLLm8-5ligX5AWdmuxuc9Ug/edit?usp=drive_web&amp;ouid=111300232804728282603","Zero")</f>
        <v>Zero</v>
      </c>
      <c r="P100" s="31">
        <v>2020.0</v>
      </c>
      <c r="S100" s="45" t="s">
        <v>1603</v>
      </c>
      <c r="U100" t="str">
        <f t="shared" si="7"/>
        <v>Senator</v>
      </c>
      <c r="V100" s="139" t="str">
        <f t="shared" si="8"/>
        <v>Lois</v>
      </c>
      <c r="W100" t="str">
        <f t="shared" si="9"/>
        <v>Court</v>
      </c>
      <c r="X100" t="str">
        <f t="shared" si="10"/>
        <v>lois.court.senate@state.co.us</v>
      </c>
      <c r="Y100" t="str">
        <f t="shared" si="11"/>
        <v>President Pro Tempore</v>
      </c>
    </row>
    <row r="101">
      <c r="A101" s="14" t="s">
        <v>286</v>
      </c>
      <c r="B101" s="31">
        <v>32.0</v>
      </c>
      <c r="C101" s="38" t="s">
        <v>1134</v>
      </c>
      <c r="D101" s="38" t="s">
        <v>1094</v>
      </c>
      <c r="E101" s="36" t="s">
        <v>49</v>
      </c>
      <c r="F101" s="169"/>
      <c r="G101" s="170" t="s">
        <v>626</v>
      </c>
      <c r="H101" s="180" t="s">
        <v>781</v>
      </c>
      <c r="I101" s="172"/>
      <c r="J101" s="172"/>
      <c r="K101" s="172"/>
      <c r="L101" s="177" t="s">
        <v>2471</v>
      </c>
      <c r="M101" s="174" t="str">
        <f t="shared" si="14"/>
        <v>robert.rodriguez.senate@state.co.us</v>
      </c>
      <c r="P101" s="31"/>
      <c r="S101" s="45" t="s">
        <v>1603</v>
      </c>
      <c r="U101" t="str">
        <f t="shared" si="7"/>
        <v/>
      </c>
      <c r="V101" s="139" t="str">
        <f t="shared" si="8"/>
        <v/>
      </c>
      <c r="W101" t="str">
        <f t="shared" si="9"/>
        <v/>
      </c>
      <c r="X101" t="str">
        <f t="shared" si="10"/>
        <v/>
      </c>
      <c r="Y101" t="str">
        <f t="shared" si="11"/>
        <v/>
      </c>
    </row>
    <row r="102">
      <c r="A102" s="14" t="s">
        <v>286</v>
      </c>
      <c r="B102" s="31">
        <v>33.0</v>
      </c>
      <c r="C102" s="35" t="s">
        <v>2472</v>
      </c>
      <c r="D102" s="35" t="s">
        <v>793</v>
      </c>
      <c r="E102" s="36" t="s">
        <v>49</v>
      </c>
      <c r="F102" s="169"/>
      <c r="G102" s="170" t="s">
        <v>2473</v>
      </c>
      <c r="H102" s="180" t="s">
        <v>2239</v>
      </c>
      <c r="I102" s="172"/>
      <c r="J102" s="172"/>
      <c r="K102" s="172"/>
      <c r="L102" s="174" t="s">
        <v>2474</v>
      </c>
      <c r="M102" s="174" t="str">
        <f t="shared" si="14"/>
        <v>angela.williams.senate@state.co.us</v>
      </c>
      <c r="P102" s="31">
        <v>2020.0</v>
      </c>
      <c r="S102" s="45" t="s">
        <v>1603</v>
      </c>
      <c r="U102" t="str">
        <f t="shared" si="7"/>
        <v/>
      </c>
      <c r="V102" s="139" t="str">
        <f t="shared" si="8"/>
        <v/>
      </c>
      <c r="W102" t="str">
        <f t="shared" si="9"/>
        <v/>
      </c>
      <c r="X102" t="str">
        <f t="shared" si="10"/>
        <v/>
      </c>
      <c r="Y102" t="str">
        <f t="shared" si="11"/>
        <v/>
      </c>
    </row>
    <row r="103">
      <c r="A103" s="14" t="s">
        <v>286</v>
      </c>
      <c r="B103" s="31">
        <v>34.0</v>
      </c>
      <c r="C103" s="38" t="s">
        <v>2133</v>
      </c>
      <c r="D103" s="38" t="s">
        <v>1151</v>
      </c>
      <c r="E103" s="36" t="s">
        <v>49</v>
      </c>
      <c r="F103" s="182"/>
      <c r="G103" s="170" t="s">
        <v>517</v>
      </c>
      <c r="H103" s="180" t="s">
        <v>626</v>
      </c>
      <c r="I103" s="179" t="s">
        <v>1264</v>
      </c>
      <c r="J103" s="172"/>
      <c r="K103" s="172"/>
      <c r="L103" s="177" t="s">
        <v>2475</v>
      </c>
      <c r="M103" s="174" t="str">
        <f t="shared" si="14"/>
        <v>julie.gonzales.senate@state.co.us</v>
      </c>
      <c r="N103" s="178" t="str">
        <f>HYPERLINK("https://docs.google.com/document/d/1WlI3_F024p39HJB7gM_paF7_D-x0imSmO5FdJs3znhg/edit","Zero")</f>
        <v>Zero</v>
      </c>
      <c r="P103" s="31"/>
      <c r="S103" s="45" t="s">
        <v>1603</v>
      </c>
      <c r="U103" t="str">
        <f t="shared" si="7"/>
        <v>Senator</v>
      </c>
      <c r="V103" s="139" t="str">
        <f t="shared" si="8"/>
        <v>Julie</v>
      </c>
      <c r="W103" t="str">
        <f t="shared" si="9"/>
        <v>Gonzales</v>
      </c>
      <c r="X103" t="str">
        <f t="shared" si="10"/>
        <v>julie.gonzales.senate@state.co.us</v>
      </c>
      <c r="Y103" t="str">
        <f t="shared" si="11"/>
        <v>Judiciary (Vice Chair)</v>
      </c>
    </row>
    <row r="104">
      <c r="A104" s="14" t="s">
        <v>286</v>
      </c>
      <c r="B104" s="31">
        <v>35.0</v>
      </c>
      <c r="C104" s="35" t="s">
        <v>839</v>
      </c>
      <c r="D104" s="35" t="s">
        <v>2476</v>
      </c>
      <c r="E104" s="51" t="s">
        <v>53</v>
      </c>
      <c r="F104" s="169"/>
      <c r="G104" s="170" t="s">
        <v>601</v>
      </c>
      <c r="H104" s="180" t="s">
        <v>2239</v>
      </c>
      <c r="I104" s="172"/>
      <c r="J104" s="172"/>
      <c r="K104" s="172"/>
      <c r="L104" s="174" t="s">
        <v>2477</v>
      </c>
      <c r="M104" s="174" t="str">
        <f t="shared" si="14"/>
        <v>larry.crowder.senate@state.co.us</v>
      </c>
      <c r="P104" s="31">
        <v>2020.0</v>
      </c>
      <c r="S104" s="45" t="s">
        <v>2148</v>
      </c>
      <c r="U104" t="str">
        <f t="shared" si="7"/>
        <v/>
      </c>
      <c r="V104" s="139" t="str">
        <f t="shared" si="8"/>
        <v/>
      </c>
      <c r="W104" t="str">
        <f t="shared" si="9"/>
        <v/>
      </c>
      <c r="X104" t="str">
        <f t="shared" si="10"/>
        <v/>
      </c>
      <c r="Y104" t="str">
        <f t="shared" si="11"/>
        <v/>
      </c>
    </row>
    <row r="105">
      <c r="A105" s="70"/>
      <c r="B105" s="70"/>
      <c r="C105" s="71"/>
      <c r="D105" s="71"/>
      <c r="E105" s="70"/>
      <c r="F105" s="190"/>
      <c r="G105" s="191"/>
      <c r="H105" s="191"/>
      <c r="I105" s="191"/>
      <c r="J105" s="191"/>
      <c r="K105" s="191"/>
      <c r="L105" s="192"/>
      <c r="M105" s="192"/>
      <c r="N105" s="70"/>
      <c r="O105" s="70"/>
      <c r="P105" s="70"/>
      <c r="Q105" s="70"/>
      <c r="R105" s="70"/>
      <c r="S105" s="70"/>
      <c r="T105" s="70"/>
      <c r="U105" s="70"/>
      <c r="V105" s="70"/>
      <c r="W105" s="70"/>
      <c r="X105" s="70"/>
      <c r="Y105" s="70"/>
      <c r="Z105" s="70"/>
      <c r="AA105" s="70"/>
      <c r="AB105" s="70"/>
      <c r="AC105" s="70"/>
      <c r="AD105" s="70"/>
    </row>
    <row r="106">
      <c r="A106" s="14" t="s">
        <v>421</v>
      </c>
      <c r="C106" s="77" t="s">
        <v>2285</v>
      </c>
      <c r="D106" s="77" t="s">
        <v>2480</v>
      </c>
      <c r="E106" s="207" t="s">
        <v>49</v>
      </c>
      <c r="F106" s="169"/>
      <c r="G106" s="172"/>
      <c r="H106" s="209"/>
      <c r="I106" s="172"/>
      <c r="J106" s="172"/>
      <c r="K106" s="172"/>
      <c r="L106" s="211"/>
      <c r="M106" s="211"/>
    </row>
    <row r="107">
      <c r="A107" s="70"/>
      <c r="B107" s="70"/>
      <c r="C107" s="71"/>
      <c r="D107" s="71"/>
      <c r="E107" s="70"/>
      <c r="F107" s="190"/>
      <c r="G107" s="191"/>
      <c r="H107" s="191"/>
      <c r="I107" s="191"/>
      <c r="J107" s="191"/>
      <c r="K107" s="191"/>
      <c r="L107" s="192"/>
      <c r="M107" s="192"/>
      <c r="N107" s="70"/>
      <c r="O107" s="70"/>
      <c r="P107" s="70"/>
      <c r="Q107" s="70"/>
      <c r="R107" s="70"/>
      <c r="S107" s="70"/>
      <c r="T107" s="70"/>
      <c r="U107" s="70"/>
      <c r="V107" s="70"/>
      <c r="W107" s="70"/>
      <c r="X107" s="70"/>
      <c r="Y107" s="70"/>
      <c r="Z107" s="70"/>
      <c r="AA107" s="70"/>
      <c r="AB107" s="70"/>
      <c r="AC107" s="70"/>
      <c r="AD107" s="70"/>
    </row>
    <row r="108">
      <c r="A108" s="14" t="s">
        <v>427</v>
      </c>
      <c r="C108" s="77" t="s">
        <v>2482</v>
      </c>
      <c r="D108" s="77" t="s">
        <v>2483</v>
      </c>
      <c r="E108" s="207" t="s">
        <v>49</v>
      </c>
      <c r="F108" s="169"/>
      <c r="G108" s="172"/>
      <c r="H108" s="209"/>
      <c r="I108" s="172"/>
      <c r="J108" s="172"/>
      <c r="K108" s="172"/>
      <c r="L108" s="211"/>
      <c r="M108" s="211"/>
    </row>
    <row r="109">
      <c r="A109" s="14" t="s">
        <v>427</v>
      </c>
      <c r="C109" s="77" t="s">
        <v>622</v>
      </c>
      <c r="D109" s="77" t="s">
        <v>2484</v>
      </c>
      <c r="E109" s="207" t="s">
        <v>49</v>
      </c>
      <c r="F109" s="169"/>
      <c r="G109" s="172"/>
      <c r="H109" s="209"/>
      <c r="I109" s="172"/>
      <c r="J109" s="172"/>
      <c r="K109" s="172"/>
      <c r="L109" s="211"/>
      <c r="M109" s="211"/>
    </row>
    <row r="110">
      <c r="A110" s="14" t="s">
        <v>427</v>
      </c>
      <c r="C110" s="77" t="s">
        <v>45</v>
      </c>
      <c r="D110" s="77" t="s">
        <v>2485</v>
      </c>
      <c r="E110" s="212" t="s">
        <v>53</v>
      </c>
      <c r="F110" s="169"/>
      <c r="G110" s="172"/>
      <c r="H110" s="209"/>
      <c r="I110" s="172"/>
      <c r="J110" s="172"/>
      <c r="K110" s="172"/>
      <c r="L110" s="211"/>
      <c r="M110" s="211"/>
    </row>
    <row r="111">
      <c r="A111" s="14" t="s">
        <v>427</v>
      </c>
      <c r="C111" s="77" t="s">
        <v>1049</v>
      </c>
      <c r="D111" s="77" t="s">
        <v>2031</v>
      </c>
      <c r="E111" s="212" t="s">
        <v>53</v>
      </c>
      <c r="F111" s="169"/>
      <c r="G111" s="172"/>
      <c r="H111" s="209"/>
      <c r="I111" s="172"/>
      <c r="J111" s="172"/>
      <c r="K111" s="172"/>
      <c r="L111" s="211"/>
      <c r="M111" s="211"/>
    </row>
    <row r="112">
      <c r="A112" s="14" t="s">
        <v>427</v>
      </c>
      <c r="C112" s="77" t="s">
        <v>1146</v>
      </c>
      <c r="D112" s="77" t="s">
        <v>2486</v>
      </c>
      <c r="E112" s="212" t="s">
        <v>53</v>
      </c>
      <c r="F112" s="169"/>
      <c r="G112" s="172"/>
      <c r="H112" s="209"/>
      <c r="I112" s="172"/>
      <c r="J112" s="172"/>
      <c r="K112" s="172"/>
      <c r="L112" s="211"/>
      <c r="M112" s="211"/>
    </row>
    <row r="113">
      <c r="A113" s="14" t="s">
        <v>427</v>
      </c>
      <c r="C113" s="77" t="s">
        <v>1231</v>
      </c>
      <c r="D113" s="77" t="s">
        <v>2487</v>
      </c>
      <c r="E113" s="207" t="s">
        <v>49</v>
      </c>
      <c r="F113" s="169"/>
      <c r="G113" s="172"/>
      <c r="H113" s="209"/>
      <c r="I113" s="172"/>
      <c r="J113" s="172"/>
      <c r="K113" s="172"/>
      <c r="L113" s="211"/>
      <c r="M113" s="211"/>
    </row>
    <row r="114">
      <c r="A114" s="14" t="s">
        <v>427</v>
      </c>
      <c r="C114" s="77" t="s">
        <v>636</v>
      </c>
      <c r="D114" s="77" t="s">
        <v>2488</v>
      </c>
      <c r="E114" s="207" t="s">
        <v>49</v>
      </c>
      <c r="F114" s="169"/>
      <c r="G114" s="172"/>
      <c r="H114" s="209"/>
      <c r="I114" s="172"/>
      <c r="J114" s="172"/>
      <c r="K114" s="172"/>
      <c r="L114" s="211"/>
      <c r="M114" s="211"/>
    </row>
    <row r="115">
      <c r="A115" s="70"/>
      <c r="B115" s="70"/>
      <c r="C115" s="71"/>
      <c r="D115" s="71"/>
      <c r="E115" s="70"/>
      <c r="F115" s="190"/>
      <c r="G115" s="191"/>
      <c r="H115" s="191"/>
      <c r="I115" s="191"/>
      <c r="J115" s="191"/>
      <c r="K115" s="191"/>
      <c r="L115" s="192"/>
      <c r="M115" s="192"/>
      <c r="N115" s="70"/>
      <c r="O115" s="70"/>
      <c r="P115" s="70"/>
      <c r="Q115" s="70"/>
      <c r="R115" s="70"/>
      <c r="S115" s="70"/>
      <c r="T115" s="70"/>
      <c r="U115" s="70"/>
      <c r="V115" s="70"/>
      <c r="W115" s="70"/>
      <c r="X115" s="70"/>
      <c r="Y115" s="70"/>
      <c r="Z115" s="70"/>
      <c r="AA115" s="70"/>
      <c r="AB115" s="70"/>
      <c r="AC115" s="70"/>
      <c r="AD115" s="70"/>
    </row>
    <row r="116">
      <c r="A116" s="14" t="s">
        <v>430</v>
      </c>
      <c r="B116" s="14" t="s">
        <v>431</v>
      </c>
      <c r="C116" s="77" t="s">
        <v>2490</v>
      </c>
      <c r="D116" s="77" t="s">
        <v>2491</v>
      </c>
      <c r="E116" s="207" t="s">
        <v>49</v>
      </c>
      <c r="F116" s="169"/>
      <c r="G116" s="172"/>
      <c r="H116" s="209"/>
      <c r="I116" s="172"/>
      <c r="J116" s="172"/>
      <c r="K116" s="172"/>
      <c r="L116" s="211"/>
      <c r="M116" s="211"/>
    </row>
    <row r="117">
      <c r="A117" s="14" t="s">
        <v>430</v>
      </c>
      <c r="B117" s="14" t="s">
        <v>434</v>
      </c>
      <c r="C117" s="77" t="s">
        <v>2493</v>
      </c>
      <c r="D117" s="77" t="s">
        <v>2326</v>
      </c>
      <c r="E117" s="212" t="s">
        <v>53</v>
      </c>
      <c r="F117" s="169"/>
      <c r="G117" s="172"/>
      <c r="H117" s="209"/>
      <c r="I117" s="172"/>
      <c r="J117" s="172"/>
      <c r="K117" s="172"/>
      <c r="L117" s="211"/>
      <c r="M117" s="211"/>
    </row>
    <row r="118">
      <c r="A118" s="70"/>
      <c r="B118" s="70"/>
      <c r="C118" s="71"/>
      <c r="D118" s="71"/>
      <c r="E118" s="70"/>
      <c r="F118" s="190"/>
      <c r="G118" s="191"/>
      <c r="H118" s="191"/>
      <c r="I118" s="191"/>
      <c r="J118" s="191"/>
      <c r="K118" s="191"/>
      <c r="L118" s="192"/>
      <c r="M118" s="192"/>
      <c r="N118" s="70"/>
      <c r="O118" s="70"/>
      <c r="P118" s="70"/>
      <c r="Q118" s="70"/>
      <c r="R118" s="70"/>
      <c r="S118" s="70"/>
      <c r="T118" s="70"/>
      <c r="U118" s="70"/>
      <c r="V118" s="70"/>
      <c r="W118" s="70"/>
      <c r="X118" s="70"/>
      <c r="Y118" s="70"/>
      <c r="Z118" s="70"/>
      <c r="AA118" s="70"/>
      <c r="AB118" s="70"/>
      <c r="AC118" s="70"/>
      <c r="AD118" s="70"/>
    </row>
    <row r="119">
      <c r="A119" s="14" t="s">
        <v>438</v>
      </c>
      <c r="C119" s="77" t="s">
        <v>1483</v>
      </c>
      <c r="D119" s="77" t="s">
        <v>2494</v>
      </c>
      <c r="E119" s="207" t="s">
        <v>49</v>
      </c>
      <c r="F119" s="169"/>
      <c r="G119" s="172"/>
      <c r="H119" s="209"/>
      <c r="I119" s="172"/>
      <c r="J119" s="172"/>
      <c r="K119" s="172"/>
      <c r="L119" s="211"/>
      <c r="M119" s="211"/>
    </row>
    <row r="120">
      <c r="A120" s="70"/>
      <c r="B120" s="70"/>
      <c r="C120" s="71"/>
      <c r="D120" s="71"/>
      <c r="E120" s="70"/>
      <c r="F120" s="190"/>
      <c r="G120" s="191"/>
      <c r="H120" s="191"/>
      <c r="I120" s="191"/>
      <c r="J120" s="191"/>
      <c r="K120" s="191"/>
      <c r="L120" s="192"/>
      <c r="M120" s="192"/>
      <c r="N120" s="70"/>
      <c r="O120" s="70"/>
      <c r="P120" s="70"/>
      <c r="Q120" s="70"/>
      <c r="R120" s="70"/>
      <c r="S120" s="70"/>
      <c r="T120" s="70"/>
      <c r="U120" s="70"/>
      <c r="V120" s="70"/>
      <c r="W120" s="70"/>
      <c r="X120" s="70"/>
      <c r="Y120" s="70"/>
      <c r="Z120" s="70"/>
      <c r="AA120" s="70"/>
      <c r="AB120" s="70"/>
      <c r="AC120" s="70"/>
      <c r="AD120" s="70"/>
    </row>
    <row r="121">
      <c r="C121" s="139"/>
      <c r="D121" s="139"/>
      <c r="F121" s="169"/>
      <c r="G121" s="172"/>
      <c r="H121" s="209"/>
      <c r="I121" s="172"/>
      <c r="J121" s="172"/>
      <c r="K121" s="172"/>
      <c r="L121" s="211"/>
      <c r="M121" s="211"/>
    </row>
    <row r="122">
      <c r="C122" s="139"/>
      <c r="D122" s="139"/>
      <c r="F122" s="169"/>
      <c r="G122" s="172"/>
      <c r="H122" s="209"/>
      <c r="I122" s="172"/>
      <c r="J122" s="172"/>
      <c r="K122" s="172"/>
      <c r="L122" s="211"/>
      <c r="M122" s="211"/>
    </row>
    <row r="123">
      <c r="C123" s="139"/>
      <c r="D123" s="139"/>
      <c r="F123" s="169"/>
      <c r="G123" s="172"/>
      <c r="H123" s="209"/>
      <c r="I123" s="172"/>
      <c r="J123" s="172"/>
      <c r="K123" s="172"/>
      <c r="L123" s="211"/>
      <c r="M123" s="211"/>
    </row>
    <row r="124">
      <c r="C124" s="139"/>
      <c r="D124" s="139"/>
      <c r="F124" s="169"/>
      <c r="G124" s="172"/>
      <c r="H124" s="209"/>
      <c r="I124" s="172"/>
      <c r="J124" s="172"/>
      <c r="K124" s="172"/>
      <c r="L124" s="211"/>
      <c r="M124" s="211"/>
    </row>
    <row r="125">
      <c r="C125" s="139"/>
      <c r="D125" s="139"/>
      <c r="F125" s="169"/>
      <c r="G125" s="172"/>
      <c r="H125" s="209"/>
      <c r="I125" s="172"/>
      <c r="J125" s="172"/>
      <c r="K125" s="216"/>
      <c r="L125" s="211"/>
      <c r="M125" s="211"/>
    </row>
    <row r="126">
      <c r="C126" s="139"/>
      <c r="D126" s="139"/>
      <c r="F126" s="169"/>
      <c r="G126" s="172"/>
      <c r="H126" s="209"/>
      <c r="I126" s="172"/>
      <c r="J126" s="172"/>
      <c r="K126" s="217"/>
      <c r="L126" s="211"/>
      <c r="M126" s="211"/>
    </row>
    <row r="127">
      <c r="C127" s="139"/>
      <c r="D127" s="139"/>
      <c r="F127" s="169"/>
      <c r="G127" s="172"/>
      <c r="H127" s="209"/>
      <c r="I127" s="172"/>
      <c r="J127" s="172"/>
      <c r="K127" s="217"/>
      <c r="L127" s="211"/>
      <c r="M127" s="211"/>
    </row>
    <row r="128">
      <c r="C128" s="139"/>
      <c r="D128" s="139"/>
      <c r="F128" s="169"/>
      <c r="G128" s="172"/>
      <c r="H128" s="209"/>
      <c r="I128" s="172"/>
      <c r="J128" s="172"/>
      <c r="K128" s="217"/>
      <c r="L128" s="211"/>
      <c r="M128" s="211"/>
    </row>
    <row r="129">
      <c r="C129" s="139"/>
      <c r="D129" s="139"/>
      <c r="F129" s="169"/>
      <c r="G129" s="172"/>
      <c r="H129" s="209"/>
      <c r="I129" s="172"/>
      <c r="J129" s="172"/>
      <c r="K129" s="217"/>
      <c r="L129" s="211"/>
      <c r="M129" s="211"/>
    </row>
    <row r="130">
      <c r="C130" s="139"/>
      <c r="D130" s="139"/>
      <c r="F130" s="169"/>
      <c r="G130" s="172"/>
      <c r="H130" s="209"/>
      <c r="I130" s="172"/>
      <c r="J130" s="172"/>
      <c r="K130" s="217"/>
      <c r="L130" s="211"/>
      <c r="M130" s="211"/>
    </row>
    <row r="131">
      <c r="C131" s="139"/>
      <c r="D131" s="139"/>
      <c r="F131" s="169"/>
      <c r="G131" s="172"/>
      <c r="H131" s="209"/>
      <c r="I131" s="172"/>
      <c r="J131" s="172"/>
      <c r="K131" s="217"/>
      <c r="L131" s="211"/>
      <c r="M131" s="211"/>
    </row>
    <row r="132">
      <c r="C132" s="139"/>
      <c r="D132" s="139"/>
      <c r="F132" s="169"/>
      <c r="G132" s="172"/>
      <c r="H132" s="209"/>
      <c r="I132" s="172"/>
      <c r="J132" s="172"/>
      <c r="K132" s="217"/>
      <c r="L132" s="211"/>
      <c r="M132" s="211"/>
    </row>
    <row r="133">
      <c r="C133" s="139"/>
      <c r="D133" s="139"/>
      <c r="F133" s="169"/>
      <c r="G133" s="172"/>
      <c r="H133" s="209"/>
      <c r="I133" s="172"/>
      <c r="J133" s="172"/>
      <c r="K133" s="217"/>
      <c r="L133" s="211"/>
      <c r="M133" s="211"/>
    </row>
    <row r="134">
      <c r="C134" s="139"/>
      <c r="D134" s="139"/>
      <c r="F134" s="169"/>
      <c r="G134" s="172"/>
      <c r="H134" s="209"/>
      <c r="I134" s="172"/>
      <c r="J134" s="172"/>
      <c r="K134" s="217"/>
      <c r="L134" s="211"/>
      <c r="M134" s="211"/>
    </row>
    <row r="135">
      <c r="C135" s="139"/>
      <c r="D135" s="139"/>
      <c r="F135" s="169"/>
      <c r="G135" s="172"/>
      <c r="H135" s="209"/>
      <c r="I135" s="172"/>
      <c r="J135" s="172"/>
      <c r="K135" s="217"/>
      <c r="L135" s="211"/>
      <c r="M135" s="211"/>
    </row>
    <row r="136">
      <c r="C136" s="139"/>
      <c r="D136" s="139"/>
      <c r="F136" s="169"/>
      <c r="G136" s="172"/>
      <c r="H136" s="209"/>
      <c r="I136" s="172"/>
      <c r="J136" s="172"/>
      <c r="K136" s="217"/>
      <c r="L136" s="211"/>
      <c r="M136" s="211"/>
    </row>
    <row r="137">
      <c r="C137" s="139"/>
      <c r="D137" s="139"/>
      <c r="F137" s="169"/>
      <c r="G137" s="172"/>
      <c r="H137" s="209"/>
      <c r="I137" s="172"/>
      <c r="J137" s="172"/>
      <c r="K137" s="217"/>
      <c r="L137" s="211"/>
      <c r="M137" s="211"/>
    </row>
    <row r="138">
      <c r="C138" s="139"/>
      <c r="D138" s="139"/>
      <c r="F138" s="169"/>
      <c r="G138" s="172"/>
      <c r="H138" s="209"/>
      <c r="I138" s="172"/>
      <c r="J138" s="172"/>
      <c r="K138" s="217"/>
      <c r="L138" s="211"/>
      <c r="M138" s="211"/>
    </row>
    <row r="139">
      <c r="C139" s="139"/>
      <c r="D139" s="139"/>
      <c r="F139" s="169"/>
      <c r="G139" s="172"/>
      <c r="H139" s="209"/>
      <c r="I139" s="172"/>
      <c r="J139" s="172"/>
      <c r="K139" s="217"/>
      <c r="L139" s="211"/>
      <c r="M139" s="211"/>
    </row>
    <row r="140">
      <c r="C140" s="139"/>
      <c r="D140" s="139"/>
      <c r="F140" s="169"/>
      <c r="G140" s="172"/>
      <c r="H140" s="209"/>
      <c r="I140" s="172"/>
      <c r="J140" s="172"/>
      <c r="K140" s="217"/>
      <c r="L140" s="211"/>
      <c r="M140" s="211"/>
    </row>
    <row r="141">
      <c r="C141" s="139"/>
      <c r="D141" s="139"/>
      <c r="F141" s="169"/>
      <c r="G141" s="172"/>
      <c r="H141" s="209"/>
      <c r="I141" s="172"/>
      <c r="J141" s="172"/>
      <c r="K141" s="217"/>
      <c r="L141" s="211"/>
      <c r="M141" s="211"/>
    </row>
    <row r="142">
      <c r="C142" s="139"/>
      <c r="D142" s="139"/>
      <c r="F142" s="169"/>
      <c r="G142" s="172"/>
      <c r="H142" s="209"/>
      <c r="I142" s="172"/>
      <c r="J142" s="172"/>
      <c r="K142" s="217"/>
      <c r="L142" s="211"/>
      <c r="M142" s="211"/>
    </row>
    <row r="143">
      <c r="C143" s="139"/>
      <c r="D143" s="139"/>
      <c r="F143" s="169"/>
      <c r="G143" s="172"/>
      <c r="H143" s="209"/>
      <c r="I143" s="172"/>
      <c r="J143" s="172"/>
      <c r="K143" s="217"/>
      <c r="L143" s="211"/>
      <c r="M143" s="211"/>
    </row>
    <row r="144">
      <c r="C144" s="139"/>
      <c r="D144" s="139"/>
      <c r="F144" s="169"/>
      <c r="G144" s="172"/>
      <c r="H144" s="209"/>
      <c r="I144" s="172"/>
      <c r="J144" s="172"/>
      <c r="K144" s="217"/>
      <c r="L144" s="211"/>
      <c r="M144" s="211"/>
    </row>
    <row r="145">
      <c r="C145" s="139"/>
      <c r="D145" s="139"/>
      <c r="F145" s="169"/>
      <c r="G145" s="172"/>
      <c r="H145" s="209"/>
      <c r="I145" s="172"/>
      <c r="J145" s="172"/>
      <c r="K145" s="217"/>
      <c r="L145" s="211"/>
      <c r="M145" s="211"/>
    </row>
    <row r="146">
      <c r="C146" s="139"/>
      <c r="D146" s="139"/>
      <c r="F146" s="169"/>
      <c r="G146" s="172"/>
      <c r="H146" s="209"/>
      <c r="I146" s="172"/>
      <c r="J146" s="172"/>
      <c r="K146" s="217"/>
      <c r="L146" s="211"/>
      <c r="M146" s="211"/>
    </row>
    <row r="147">
      <c r="C147" s="139"/>
      <c r="D147" s="139"/>
      <c r="F147" s="169"/>
      <c r="G147" s="172"/>
      <c r="H147" s="209"/>
      <c r="I147" s="172"/>
      <c r="J147" s="172"/>
      <c r="K147" s="217"/>
      <c r="L147" s="211"/>
      <c r="M147" s="211"/>
    </row>
    <row r="148">
      <c r="C148" s="139"/>
      <c r="D148" s="139"/>
      <c r="F148" s="169"/>
      <c r="G148" s="172"/>
      <c r="H148" s="209"/>
      <c r="I148" s="172"/>
      <c r="J148" s="172"/>
      <c r="K148" s="217"/>
      <c r="L148" s="211"/>
      <c r="M148" s="211"/>
    </row>
    <row r="149">
      <c r="C149" s="139"/>
      <c r="D149" s="139"/>
      <c r="F149" s="169"/>
      <c r="G149" s="172"/>
      <c r="H149" s="209"/>
      <c r="I149" s="172"/>
      <c r="J149" s="172"/>
      <c r="K149" s="217"/>
      <c r="L149" s="211"/>
      <c r="M149" s="211"/>
    </row>
    <row r="150">
      <c r="C150" s="139"/>
      <c r="D150" s="139"/>
      <c r="F150" s="169"/>
      <c r="G150" s="172"/>
      <c r="H150" s="209"/>
      <c r="I150" s="172"/>
      <c r="J150" s="172"/>
      <c r="K150" s="217"/>
      <c r="L150" s="211"/>
      <c r="M150" s="211"/>
    </row>
    <row r="151">
      <c r="C151" s="139"/>
      <c r="D151" s="139"/>
      <c r="F151" s="169"/>
      <c r="G151" s="172"/>
      <c r="H151" s="209"/>
      <c r="I151" s="172"/>
      <c r="J151" s="172"/>
      <c r="K151" s="217"/>
      <c r="L151" s="211"/>
      <c r="M151" s="211"/>
    </row>
    <row r="152">
      <c r="C152" s="139"/>
      <c r="D152" s="139"/>
      <c r="F152" s="169"/>
      <c r="G152" s="172"/>
      <c r="H152" s="209"/>
      <c r="I152" s="172"/>
      <c r="J152" s="172"/>
      <c r="K152" s="217"/>
      <c r="L152" s="211"/>
      <c r="M152" s="211"/>
    </row>
    <row r="153">
      <c r="C153" s="139"/>
      <c r="D153" s="139"/>
      <c r="F153" s="169"/>
      <c r="G153" s="172"/>
      <c r="H153" s="209"/>
      <c r="I153" s="172"/>
      <c r="J153" s="172"/>
      <c r="K153" s="217"/>
      <c r="L153" s="211"/>
      <c r="M153" s="211"/>
    </row>
    <row r="154">
      <c r="C154" s="139"/>
      <c r="D154" s="139"/>
      <c r="F154" s="169"/>
      <c r="G154" s="172"/>
      <c r="H154" s="209"/>
      <c r="I154" s="172"/>
      <c r="J154" s="172"/>
      <c r="K154" s="217"/>
      <c r="L154" s="211"/>
      <c r="M154" s="211"/>
    </row>
    <row r="155">
      <c r="C155" s="139"/>
      <c r="D155" s="139"/>
      <c r="F155" s="169"/>
      <c r="G155" s="172"/>
      <c r="H155" s="209"/>
      <c r="I155" s="172"/>
      <c r="J155" s="172"/>
      <c r="K155" s="217"/>
      <c r="L155" s="211"/>
      <c r="M155" s="211"/>
    </row>
    <row r="156">
      <c r="C156" s="139"/>
      <c r="D156" s="139"/>
      <c r="F156" s="169"/>
      <c r="G156" s="172"/>
      <c r="H156" s="209"/>
      <c r="I156" s="172"/>
      <c r="J156" s="172"/>
      <c r="K156" s="217"/>
      <c r="L156" s="211"/>
      <c r="M156" s="211"/>
    </row>
    <row r="157">
      <c r="C157" s="139"/>
      <c r="D157" s="139"/>
      <c r="F157" s="169"/>
      <c r="G157" s="172"/>
      <c r="H157" s="209"/>
      <c r="I157" s="172"/>
      <c r="J157" s="172"/>
      <c r="K157" s="217"/>
      <c r="L157" s="211"/>
      <c r="M157" s="211"/>
    </row>
    <row r="158">
      <c r="C158" s="139"/>
      <c r="D158" s="139"/>
      <c r="F158" s="169"/>
      <c r="G158" s="172"/>
      <c r="H158" s="209"/>
      <c r="I158" s="172"/>
      <c r="J158" s="172"/>
      <c r="K158" s="217"/>
      <c r="L158" s="211"/>
      <c r="M158" s="211"/>
    </row>
    <row r="159">
      <c r="C159" s="139"/>
      <c r="D159" s="139"/>
      <c r="F159" s="169"/>
      <c r="G159" s="172"/>
      <c r="H159" s="209"/>
      <c r="I159" s="172"/>
      <c r="J159" s="172"/>
      <c r="K159" s="217"/>
      <c r="L159" s="211"/>
      <c r="M159" s="211"/>
    </row>
    <row r="160">
      <c r="C160" s="139"/>
      <c r="D160" s="139"/>
      <c r="F160" s="169"/>
      <c r="G160" s="172"/>
      <c r="H160" s="209"/>
      <c r="I160" s="172"/>
      <c r="J160" s="172"/>
      <c r="K160" s="217"/>
      <c r="L160" s="211"/>
      <c r="M160" s="211"/>
    </row>
    <row r="161">
      <c r="C161" s="139"/>
      <c r="D161" s="139"/>
      <c r="F161" s="169"/>
      <c r="G161" s="172"/>
      <c r="H161" s="209"/>
      <c r="I161" s="172"/>
      <c r="J161" s="172"/>
      <c r="K161" s="217"/>
      <c r="L161" s="211"/>
      <c r="M161" s="211"/>
    </row>
    <row r="162">
      <c r="C162" s="139"/>
      <c r="D162" s="139"/>
      <c r="F162" s="169"/>
      <c r="G162" s="172"/>
      <c r="H162" s="209"/>
      <c r="I162" s="172"/>
      <c r="J162" s="172"/>
      <c r="K162" s="217"/>
      <c r="L162" s="211"/>
      <c r="M162" s="211"/>
    </row>
    <row r="163">
      <c r="C163" s="139"/>
      <c r="D163" s="139"/>
      <c r="F163" s="169"/>
      <c r="G163" s="172"/>
      <c r="H163" s="209"/>
      <c r="I163" s="172"/>
      <c r="J163" s="172"/>
      <c r="K163" s="217"/>
      <c r="L163" s="211"/>
      <c r="M163" s="211"/>
    </row>
    <row r="164">
      <c r="C164" s="139"/>
      <c r="D164" s="139"/>
      <c r="F164" s="169"/>
      <c r="G164" s="172"/>
      <c r="H164" s="209"/>
      <c r="I164" s="172"/>
      <c r="J164" s="172"/>
      <c r="K164" s="217"/>
      <c r="L164" s="211"/>
      <c r="M164" s="211"/>
    </row>
    <row r="165">
      <c r="C165" s="139"/>
      <c r="D165" s="139"/>
      <c r="F165" s="169"/>
      <c r="G165" s="172"/>
      <c r="H165" s="209"/>
      <c r="I165" s="172"/>
      <c r="J165" s="172"/>
      <c r="K165" s="217"/>
      <c r="L165" s="211"/>
      <c r="M165" s="211"/>
    </row>
    <row r="166">
      <c r="C166" s="139"/>
      <c r="D166" s="139"/>
      <c r="F166" s="169"/>
      <c r="G166" s="172"/>
      <c r="H166" s="209"/>
      <c r="I166" s="172"/>
      <c r="J166" s="172"/>
      <c r="K166" s="191"/>
      <c r="L166" s="211"/>
      <c r="M166" s="211"/>
    </row>
    <row r="167">
      <c r="C167" s="139"/>
      <c r="D167" s="139"/>
      <c r="F167" s="169"/>
      <c r="G167" s="172"/>
      <c r="H167" s="209"/>
      <c r="I167" s="172"/>
      <c r="J167" s="172"/>
      <c r="K167" s="172"/>
      <c r="L167" s="211"/>
      <c r="M167" s="211"/>
    </row>
    <row r="168">
      <c r="C168" s="139"/>
      <c r="D168" s="139"/>
      <c r="F168" s="169"/>
      <c r="G168" s="172"/>
      <c r="H168" s="209"/>
      <c r="I168" s="172"/>
      <c r="J168" s="172"/>
      <c r="K168" s="191"/>
      <c r="L168" s="211"/>
      <c r="M168" s="211"/>
    </row>
    <row r="169">
      <c r="C169" s="139"/>
      <c r="D169" s="139"/>
      <c r="F169" s="169"/>
      <c r="G169" s="172"/>
      <c r="H169" s="209"/>
      <c r="I169" s="172"/>
      <c r="J169" s="172"/>
      <c r="K169" s="172"/>
      <c r="L169" s="211"/>
      <c r="M169" s="211"/>
    </row>
    <row r="170">
      <c r="C170" s="139"/>
      <c r="D170" s="139"/>
      <c r="F170" s="169"/>
      <c r="G170" s="172"/>
      <c r="H170" s="209"/>
      <c r="I170" s="172"/>
      <c r="J170" s="172"/>
      <c r="K170" s="172"/>
      <c r="L170" s="211"/>
      <c r="M170" s="211"/>
    </row>
    <row r="171">
      <c r="C171" s="139"/>
      <c r="D171" s="139"/>
      <c r="F171" s="169"/>
      <c r="G171" s="172"/>
      <c r="H171" s="209"/>
      <c r="I171" s="172"/>
      <c r="J171" s="172"/>
      <c r="K171" s="172"/>
      <c r="L171" s="211"/>
      <c r="M171" s="211"/>
    </row>
    <row r="172">
      <c r="C172" s="139"/>
      <c r="D172" s="139"/>
      <c r="F172" s="169"/>
      <c r="G172" s="172"/>
      <c r="H172" s="209"/>
      <c r="I172" s="172"/>
      <c r="J172" s="172"/>
      <c r="K172" s="172"/>
      <c r="L172" s="211"/>
      <c r="M172" s="211"/>
    </row>
    <row r="173">
      <c r="C173" s="139"/>
      <c r="D173" s="139"/>
      <c r="F173" s="169"/>
      <c r="G173" s="172"/>
      <c r="H173" s="209"/>
      <c r="I173" s="172"/>
      <c r="J173" s="172"/>
      <c r="K173" s="172"/>
      <c r="L173" s="211"/>
      <c r="M173" s="211"/>
    </row>
    <row r="174">
      <c r="C174" s="139"/>
      <c r="D174" s="139"/>
      <c r="F174" s="169"/>
      <c r="G174" s="172"/>
      <c r="H174" s="209"/>
      <c r="I174" s="172"/>
      <c r="J174" s="172"/>
      <c r="K174" s="172"/>
      <c r="L174" s="211"/>
      <c r="M174" s="211"/>
    </row>
    <row r="175">
      <c r="C175" s="139"/>
      <c r="D175" s="139"/>
      <c r="F175" s="169"/>
      <c r="G175" s="172"/>
      <c r="H175" s="209"/>
      <c r="I175" s="172"/>
      <c r="J175" s="172"/>
      <c r="K175" s="172"/>
      <c r="L175" s="211"/>
      <c r="M175" s="211"/>
    </row>
    <row r="176">
      <c r="C176" s="139"/>
      <c r="D176" s="139"/>
      <c r="F176" s="169"/>
      <c r="G176" s="172"/>
      <c r="H176" s="209"/>
      <c r="I176" s="172"/>
      <c r="J176" s="172"/>
      <c r="K176" s="172"/>
      <c r="L176" s="211"/>
      <c r="M176" s="211"/>
    </row>
    <row r="177">
      <c r="C177" s="139"/>
      <c r="D177" s="139"/>
      <c r="F177" s="169"/>
      <c r="G177" s="172"/>
      <c r="H177" s="209"/>
      <c r="I177" s="172"/>
      <c r="J177" s="172"/>
      <c r="K177" s="172"/>
      <c r="L177" s="211"/>
      <c r="M177" s="211"/>
    </row>
    <row r="178">
      <c r="C178" s="139"/>
      <c r="D178" s="139"/>
      <c r="F178" s="169"/>
      <c r="G178" s="172"/>
      <c r="H178" s="209"/>
      <c r="I178" s="172"/>
      <c r="J178" s="172"/>
      <c r="K178" s="172"/>
      <c r="L178" s="211"/>
      <c r="M178" s="211"/>
    </row>
    <row r="179">
      <c r="C179" s="139"/>
      <c r="D179" s="139"/>
      <c r="F179" s="169"/>
      <c r="G179" s="172"/>
      <c r="H179" s="209"/>
      <c r="I179" s="172"/>
      <c r="J179" s="172"/>
      <c r="K179" s="172"/>
      <c r="L179" s="211"/>
      <c r="M179" s="211"/>
    </row>
    <row r="180">
      <c r="C180" s="139"/>
      <c r="D180" s="139"/>
      <c r="F180" s="169"/>
      <c r="G180" s="172"/>
      <c r="H180" s="209"/>
      <c r="I180" s="172"/>
      <c r="J180" s="172"/>
      <c r="K180" s="172"/>
      <c r="L180" s="211"/>
      <c r="M180" s="211"/>
    </row>
    <row r="181">
      <c r="C181" s="139"/>
      <c r="D181" s="139"/>
      <c r="F181" s="169"/>
      <c r="G181" s="172"/>
      <c r="H181" s="209"/>
      <c r="I181" s="172"/>
      <c r="J181" s="172"/>
      <c r="K181" s="172"/>
      <c r="L181" s="211"/>
      <c r="M181" s="211"/>
    </row>
    <row r="182">
      <c r="C182" s="139"/>
      <c r="D182" s="139"/>
      <c r="F182" s="169"/>
      <c r="G182" s="172"/>
      <c r="H182" s="209"/>
      <c r="I182" s="172"/>
      <c r="J182" s="172"/>
      <c r="K182" s="172"/>
      <c r="L182" s="211"/>
      <c r="M182" s="211"/>
    </row>
    <row r="183">
      <c r="C183" s="139"/>
      <c r="D183" s="139"/>
      <c r="F183" s="169"/>
      <c r="G183" s="172"/>
      <c r="H183" s="209"/>
      <c r="I183" s="172"/>
      <c r="J183" s="172"/>
      <c r="K183" s="172"/>
      <c r="L183" s="211"/>
      <c r="M183" s="211"/>
    </row>
    <row r="184">
      <c r="C184" s="139"/>
      <c r="D184" s="139"/>
      <c r="F184" s="169"/>
      <c r="G184" s="172"/>
      <c r="H184" s="209"/>
      <c r="I184" s="172"/>
      <c r="J184" s="172"/>
      <c r="K184" s="172"/>
      <c r="L184" s="211"/>
      <c r="M184" s="211"/>
    </row>
    <row r="185">
      <c r="C185" s="139"/>
      <c r="D185" s="139"/>
      <c r="F185" s="169"/>
      <c r="G185" s="172"/>
      <c r="H185" s="209"/>
      <c r="I185" s="172"/>
      <c r="J185" s="172"/>
      <c r="K185" s="172"/>
      <c r="L185" s="211"/>
      <c r="M185" s="211"/>
    </row>
    <row r="186">
      <c r="C186" s="139"/>
      <c r="D186" s="139"/>
      <c r="F186" s="169"/>
      <c r="G186" s="172"/>
      <c r="H186" s="209"/>
      <c r="I186" s="172"/>
      <c r="J186" s="172"/>
      <c r="K186" s="172"/>
      <c r="L186" s="211"/>
      <c r="M186" s="211"/>
    </row>
    <row r="187">
      <c r="C187" s="139"/>
      <c r="D187" s="139"/>
      <c r="F187" s="169"/>
      <c r="G187" s="172"/>
      <c r="H187" s="209"/>
      <c r="I187" s="172"/>
      <c r="J187" s="172"/>
      <c r="K187" s="172"/>
      <c r="L187" s="211"/>
      <c r="M187" s="211"/>
    </row>
    <row r="188">
      <c r="C188" s="139"/>
      <c r="D188" s="139"/>
      <c r="F188" s="169"/>
      <c r="G188" s="172"/>
      <c r="H188" s="209"/>
      <c r="I188" s="172"/>
      <c r="J188" s="172"/>
      <c r="K188" s="172"/>
      <c r="L188" s="211"/>
      <c r="M188" s="211"/>
    </row>
    <row r="189">
      <c r="C189" s="139"/>
      <c r="D189" s="139"/>
      <c r="F189" s="169"/>
      <c r="G189" s="172"/>
      <c r="H189" s="209"/>
      <c r="I189" s="172"/>
      <c r="J189" s="172"/>
      <c r="K189" s="172"/>
      <c r="L189" s="211"/>
      <c r="M189" s="211"/>
    </row>
    <row r="190">
      <c r="C190" s="139"/>
      <c r="D190" s="139"/>
      <c r="F190" s="169"/>
      <c r="G190" s="172"/>
      <c r="H190" s="209"/>
      <c r="I190" s="172"/>
      <c r="J190" s="172"/>
      <c r="K190" s="172"/>
      <c r="L190" s="211"/>
      <c r="M190" s="211"/>
    </row>
    <row r="191">
      <c r="C191" s="139"/>
      <c r="D191" s="139"/>
      <c r="F191" s="169"/>
      <c r="G191" s="172"/>
      <c r="H191" s="209"/>
      <c r="I191" s="172"/>
      <c r="J191" s="172"/>
      <c r="K191" s="172"/>
      <c r="L191" s="211"/>
      <c r="M191" s="211"/>
    </row>
    <row r="192">
      <c r="C192" s="139"/>
      <c r="D192" s="139"/>
      <c r="F192" s="169"/>
      <c r="G192" s="172"/>
      <c r="H192" s="209"/>
      <c r="I192" s="172"/>
      <c r="J192" s="172"/>
      <c r="K192" s="172"/>
      <c r="L192" s="211"/>
      <c r="M192" s="211"/>
    </row>
    <row r="193">
      <c r="C193" s="139"/>
      <c r="D193" s="139"/>
      <c r="F193" s="169"/>
      <c r="G193" s="172"/>
      <c r="H193" s="209"/>
      <c r="I193" s="172"/>
      <c r="J193" s="172"/>
      <c r="K193" s="172"/>
      <c r="L193" s="211"/>
      <c r="M193" s="211"/>
    </row>
    <row r="194">
      <c r="C194" s="139"/>
      <c r="D194" s="139"/>
      <c r="F194" s="169"/>
      <c r="G194" s="172"/>
      <c r="H194" s="209"/>
      <c r="I194" s="172"/>
      <c r="J194" s="172"/>
      <c r="K194" s="172"/>
      <c r="L194" s="211"/>
      <c r="M194" s="211"/>
    </row>
    <row r="195">
      <c r="C195" s="139"/>
      <c r="D195" s="139"/>
      <c r="F195" s="169"/>
      <c r="G195" s="172"/>
      <c r="H195" s="209"/>
      <c r="I195" s="172"/>
      <c r="J195" s="172"/>
      <c r="K195" s="172"/>
      <c r="L195" s="211"/>
      <c r="M195" s="211"/>
    </row>
    <row r="196">
      <c r="C196" s="139"/>
      <c r="D196" s="139"/>
      <c r="F196" s="169"/>
      <c r="G196" s="172"/>
      <c r="H196" s="209"/>
      <c r="I196" s="172"/>
      <c r="J196" s="172"/>
      <c r="K196" s="191"/>
      <c r="L196" s="211"/>
      <c r="M196" s="211"/>
    </row>
    <row r="197">
      <c r="C197" s="139"/>
      <c r="D197" s="139"/>
      <c r="F197" s="169"/>
      <c r="G197" s="172"/>
      <c r="H197" s="209"/>
      <c r="I197" s="172"/>
      <c r="J197" s="172"/>
      <c r="K197" s="172"/>
      <c r="L197" s="211"/>
      <c r="M197" s="211"/>
    </row>
    <row r="198">
      <c r="C198" s="139"/>
      <c r="D198" s="139"/>
      <c r="F198" s="169"/>
      <c r="G198" s="172"/>
      <c r="H198" s="209"/>
      <c r="I198" s="172"/>
      <c r="J198" s="172"/>
      <c r="K198" s="172"/>
      <c r="L198" s="211"/>
      <c r="M198" s="211"/>
    </row>
    <row r="199">
      <c r="C199" s="139"/>
      <c r="D199" s="139"/>
      <c r="F199" s="169"/>
      <c r="G199" s="172"/>
      <c r="H199" s="209"/>
      <c r="I199" s="172"/>
      <c r="J199" s="172"/>
      <c r="K199" s="191"/>
      <c r="L199" s="211"/>
      <c r="M199" s="211"/>
    </row>
    <row r="200">
      <c r="C200" s="139"/>
      <c r="D200" s="139"/>
      <c r="F200" s="169"/>
      <c r="G200" s="172"/>
      <c r="H200" s="209"/>
      <c r="I200" s="172"/>
      <c r="J200" s="172"/>
      <c r="K200" s="172"/>
      <c r="L200" s="211"/>
      <c r="M200" s="211"/>
    </row>
    <row r="201">
      <c r="C201" s="139"/>
      <c r="D201" s="139"/>
      <c r="F201" s="169"/>
      <c r="G201" s="172"/>
      <c r="H201" s="209"/>
      <c r="I201" s="172"/>
      <c r="J201" s="172"/>
      <c r="K201" s="191"/>
      <c r="L201" s="211"/>
      <c r="M201" s="211"/>
    </row>
    <row r="202">
      <c r="C202" s="139"/>
      <c r="D202" s="139"/>
      <c r="F202" s="169"/>
      <c r="G202" s="172"/>
      <c r="H202" s="209"/>
      <c r="I202" s="172"/>
      <c r="J202" s="172"/>
      <c r="K202" s="172"/>
      <c r="L202" s="211"/>
      <c r="M202" s="211"/>
    </row>
    <row r="203">
      <c r="C203" s="139"/>
      <c r="D203" s="139"/>
      <c r="F203" s="169"/>
      <c r="G203" s="172"/>
      <c r="H203" s="209"/>
      <c r="I203" s="172"/>
      <c r="J203" s="172"/>
      <c r="K203" s="172"/>
      <c r="L203" s="211"/>
      <c r="M203" s="211"/>
    </row>
    <row r="204">
      <c r="C204" s="139"/>
      <c r="D204" s="139"/>
      <c r="F204" s="169"/>
      <c r="G204" s="172"/>
      <c r="H204" s="209"/>
      <c r="I204" s="172"/>
      <c r="J204" s="172"/>
      <c r="K204" s="172"/>
      <c r="L204" s="211"/>
      <c r="M204" s="211"/>
    </row>
    <row r="205">
      <c r="C205" s="139"/>
      <c r="D205" s="139"/>
      <c r="F205" s="169"/>
      <c r="G205" s="172"/>
      <c r="H205" s="209"/>
      <c r="I205" s="172"/>
      <c r="J205" s="172"/>
      <c r="K205" s="172"/>
      <c r="L205" s="211"/>
      <c r="M205" s="211"/>
    </row>
    <row r="206">
      <c r="C206" s="139"/>
      <c r="D206" s="139"/>
      <c r="F206" s="169"/>
      <c r="G206" s="172"/>
      <c r="H206" s="209"/>
      <c r="I206" s="172"/>
      <c r="J206" s="172"/>
      <c r="K206" s="172"/>
      <c r="L206" s="211"/>
      <c r="M206" s="211"/>
    </row>
    <row r="207">
      <c r="C207" s="139"/>
      <c r="D207" s="139"/>
      <c r="F207" s="169"/>
      <c r="G207" s="172"/>
      <c r="H207" s="209"/>
      <c r="I207" s="172"/>
      <c r="J207" s="172"/>
      <c r="K207" s="172"/>
      <c r="L207" s="211"/>
      <c r="M207" s="211"/>
    </row>
    <row r="208">
      <c r="C208" s="139"/>
      <c r="D208" s="139"/>
      <c r="F208" s="169"/>
      <c r="G208" s="172"/>
      <c r="H208" s="209"/>
      <c r="I208" s="172"/>
      <c r="J208" s="172"/>
      <c r="K208" s="172"/>
      <c r="L208" s="211"/>
      <c r="M208" s="211"/>
    </row>
    <row r="209">
      <c r="C209" s="139"/>
      <c r="D209" s="139"/>
      <c r="F209" s="169"/>
      <c r="G209" s="172"/>
      <c r="H209" s="209"/>
      <c r="I209" s="172"/>
      <c r="J209" s="172"/>
      <c r="K209" s="172"/>
      <c r="L209" s="211"/>
      <c r="M209" s="211"/>
    </row>
    <row r="210">
      <c r="C210" s="139"/>
      <c r="D210" s="139"/>
      <c r="F210" s="169"/>
      <c r="G210" s="172"/>
      <c r="H210" s="209"/>
      <c r="I210" s="172"/>
      <c r="J210" s="172"/>
      <c r="K210" s="172"/>
      <c r="L210" s="211"/>
      <c r="M210" s="211"/>
    </row>
    <row r="211">
      <c r="C211" s="139"/>
      <c r="D211" s="139"/>
      <c r="F211" s="169"/>
      <c r="G211" s="172"/>
      <c r="H211" s="209"/>
      <c r="I211" s="172"/>
      <c r="J211" s="172"/>
      <c r="K211" s="172"/>
      <c r="L211" s="211"/>
      <c r="M211" s="211"/>
    </row>
    <row r="212">
      <c r="C212" s="139"/>
      <c r="D212" s="139"/>
      <c r="F212" s="169"/>
      <c r="G212" s="172"/>
      <c r="H212" s="209"/>
      <c r="I212" s="172"/>
      <c r="J212" s="172"/>
      <c r="K212" s="172"/>
      <c r="L212" s="211"/>
      <c r="M212" s="211"/>
    </row>
    <row r="213">
      <c r="C213" s="139"/>
      <c r="D213" s="139"/>
      <c r="F213" s="169"/>
      <c r="G213" s="172"/>
      <c r="H213" s="209"/>
      <c r="I213" s="172"/>
      <c r="J213" s="172"/>
      <c r="K213" s="172"/>
      <c r="L213" s="211"/>
      <c r="M213" s="211"/>
    </row>
    <row r="214">
      <c r="C214" s="139"/>
      <c r="D214" s="139"/>
      <c r="F214" s="169"/>
      <c r="G214" s="172"/>
      <c r="H214" s="209"/>
      <c r="I214" s="172"/>
      <c r="J214" s="172"/>
      <c r="K214" s="172"/>
      <c r="L214" s="211"/>
      <c r="M214" s="211"/>
    </row>
    <row r="215">
      <c r="C215" s="139"/>
      <c r="D215" s="139"/>
      <c r="F215" s="169"/>
      <c r="G215" s="172"/>
      <c r="H215" s="209"/>
      <c r="I215" s="172"/>
      <c r="J215" s="172"/>
      <c r="K215" s="172"/>
      <c r="L215" s="211"/>
      <c r="M215" s="211"/>
    </row>
    <row r="216">
      <c r="C216" s="139"/>
      <c r="D216" s="139"/>
      <c r="F216" s="169"/>
      <c r="G216" s="172"/>
      <c r="H216" s="209"/>
      <c r="I216" s="172"/>
      <c r="J216" s="172"/>
      <c r="K216" s="172"/>
      <c r="L216" s="211"/>
      <c r="M216" s="211"/>
    </row>
    <row r="217">
      <c r="C217" s="139"/>
      <c r="D217" s="139"/>
      <c r="F217" s="169"/>
      <c r="G217" s="172"/>
      <c r="H217" s="209"/>
      <c r="I217" s="172"/>
      <c r="J217" s="172"/>
      <c r="K217" s="172"/>
      <c r="L217" s="211"/>
      <c r="M217" s="211"/>
    </row>
    <row r="218">
      <c r="C218" s="139"/>
      <c r="D218" s="139"/>
      <c r="F218" s="169"/>
      <c r="G218" s="172"/>
      <c r="H218" s="209"/>
      <c r="I218" s="172"/>
      <c r="J218" s="172"/>
      <c r="K218" s="172"/>
      <c r="L218" s="211"/>
      <c r="M218" s="211"/>
    </row>
    <row r="219">
      <c r="C219" s="139"/>
      <c r="D219" s="139"/>
      <c r="F219" s="169"/>
      <c r="G219" s="172"/>
      <c r="H219" s="209"/>
      <c r="I219" s="172"/>
      <c r="J219" s="172"/>
      <c r="K219" s="172"/>
      <c r="L219" s="211"/>
      <c r="M219" s="211"/>
    </row>
    <row r="220">
      <c r="C220" s="139"/>
      <c r="D220" s="139"/>
      <c r="F220" s="169"/>
      <c r="G220" s="172"/>
      <c r="H220" s="209"/>
      <c r="I220" s="172"/>
      <c r="J220" s="172"/>
      <c r="K220" s="172"/>
      <c r="L220" s="211"/>
      <c r="M220" s="211"/>
    </row>
    <row r="221">
      <c r="C221" s="139"/>
      <c r="D221" s="139"/>
      <c r="F221" s="169"/>
      <c r="G221" s="172"/>
      <c r="H221" s="209"/>
      <c r="I221" s="172"/>
      <c r="J221" s="172"/>
      <c r="K221" s="172"/>
      <c r="L221" s="211"/>
      <c r="M221" s="211"/>
    </row>
    <row r="222">
      <c r="C222" s="139"/>
      <c r="D222" s="139"/>
      <c r="F222" s="169"/>
      <c r="G222" s="172"/>
      <c r="H222" s="209"/>
      <c r="I222" s="172"/>
      <c r="J222" s="172"/>
      <c r="K222" s="172"/>
      <c r="L222" s="211"/>
      <c r="M222" s="211"/>
    </row>
    <row r="223">
      <c r="C223" s="139"/>
      <c r="D223" s="139"/>
      <c r="F223" s="169"/>
      <c r="G223" s="172"/>
      <c r="H223" s="209"/>
      <c r="I223" s="172"/>
      <c r="J223" s="172"/>
      <c r="K223" s="172"/>
      <c r="L223" s="211"/>
      <c r="M223" s="211"/>
    </row>
    <row r="224">
      <c r="C224" s="139"/>
      <c r="D224" s="139"/>
      <c r="F224" s="169"/>
      <c r="G224" s="172"/>
      <c r="H224" s="209"/>
      <c r="I224" s="172"/>
      <c r="J224" s="172"/>
      <c r="K224" s="172"/>
      <c r="L224" s="211"/>
      <c r="M224" s="211"/>
    </row>
    <row r="225">
      <c r="C225" s="139"/>
      <c r="D225" s="139"/>
      <c r="F225" s="169"/>
      <c r="G225" s="172"/>
      <c r="H225" s="209"/>
      <c r="I225" s="172"/>
      <c r="J225" s="172"/>
      <c r="K225" s="172"/>
      <c r="L225" s="211"/>
      <c r="M225" s="211"/>
    </row>
    <row r="226">
      <c r="C226" s="139"/>
      <c r="D226" s="139"/>
      <c r="F226" s="169"/>
      <c r="G226" s="172"/>
      <c r="H226" s="209"/>
      <c r="I226" s="172"/>
      <c r="J226" s="172"/>
      <c r="K226" s="172"/>
      <c r="L226" s="211"/>
      <c r="M226" s="211"/>
    </row>
    <row r="227">
      <c r="C227" s="139"/>
      <c r="D227" s="139"/>
      <c r="F227" s="169"/>
      <c r="G227" s="172"/>
      <c r="H227" s="209"/>
      <c r="I227" s="172"/>
      <c r="J227" s="172"/>
      <c r="K227" s="172"/>
      <c r="L227" s="211"/>
      <c r="M227" s="211"/>
    </row>
    <row r="228">
      <c r="C228" s="139"/>
      <c r="D228" s="139"/>
      <c r="F228" s="169"/>
      <c r="G228" s="172"/>
      <c r="H228" s="209"/>
      <c r="I228" s="172"/>
      <c r="J228" s="172"/>
      <c r="K228" s="172"/>
      <c r="L228" s="211"/>
      <c r="M228" s="211"/>
    </row>
    <row r="229">
      <c r="C229" s="139"/>
      <c r="D229" s="139"/>
      <c r="F229" s="169"/>
      <c r="G229" s="172"/>
      <c r="H229" s="209"/>
      <c r="I229" s="172"/>
      <c r="J229" s="172"/>
      <c r="K229" s="172"/>
      <c r="L229" s="211"/>
      <c r="M229" s="211"/>
    </row>
    <row r="230">
      <c r="C230" s="139"/>
      <c r="D230" s="139"/>
      <c r="F230" s="169"/>
      <c r="G230" s="172"/>
      <c r="H230" s="209"/>
      <c r="I230" s="172"/>
      <c r="J230" s="172"/>
      <c r="K230" s="172"/>
      <c r="L230" s="211"/>
      <c r="M230" s="211"/>
    </row>
    <row r="231">
      <c r="C231" s="139"/>
      <c r="D231" s="139"/>
      <c r="F231" s="169"/>
      <c r="G231" s="172"/>
      <c r="H231" s="209"/>
      <c r="I231" s="172"/>
      <c r="J231" s="172"/>
      <c r="K231" s="172"/>
      <c r="L231" s="211"/>
      <c r="M231" s="211"/>
    </row>
    <row r="232">
      <c r="C232" s="139"/>
      <c r="D232" s="139"/>
      <c r="F232" s="169"/>
      <c r="G232" s="172"/>
      <c r="H232" s="209"/>
      <c r="I232" s="172"/>
      <c r="J232" s="172"/>
      <c r="K232" s="172"/>
      <c r="L232" s="211"/>
      <c r="M232" s="211"/>
    </row>
    <row r="233">
      <c r="C233" s="139"/>
      <c r="D233" s="139"/>
      <c r="F233" s="169"/>
      <c r="G233" s="172"/>
      <c r="H233" s="209"/>
      <c r="I233" s="172"/>
      <c r="J233" s="172"/>
      <c r="K233" s="172"/>
      <c r="L233" s="211"/>
      <c r="M233" s="211"/>
    </row>
    <row r="234">
      <c r="C234" s="139"/>
      <c r="D234" s="139"/>
      <c r="F234" s="169"/>
      <c r="G234" s="172"/>
      <c r="H234" s="209"/>
      <c r="I234" s="172"/>
      <c r="J234" s="172"/>
      <c r="K234" s="172"/>
      <c r="L234" s="211"/>
      <c r="M234" s="211"/>
    </row>
    <row r="235">
      <c r="C235" s="139"/>
      <c r="D235" s="139"/>
      <c r="F235" s="169"/>
      <c r="G235" s="172"/>
      <c r="H235" s="209"/>
      <c r="I235" s="172"/>
      <c r="J235" s="172"/>
      <c r="K235" s="172"/>
      <c r="L235" s="211"/>
      <c r="M235" s="211"/>
    </row>
    <row r="236">
      <c r="C236" s="139"/>
      <c r="D236" s="139"/>
      <c r="F236" s="169"/>
      <c r="G236" s="172"/>
      <c r="H236" s="209"/>
      <c r="I236" s="172"/>
      <c r="J236" s="172"/>
      <c r="K236" s="172"/>
      <c r="L236" s="211"/>
      <c r="M236" s="211"/>
    </row>
    <row r="237">
      <c r="C237" s="139"/>
      <c r="D237" s="139"/>
      <c r="F237" s="169"/>
      <c r="G237" s="172"/>
      <c r="H237" s="209"/>
      <c r="I237" s="172"/>
      <c r="J237" s="172"/>
      <c r="K237" s="172"/>
      <c r="L237" s="211"/>
      <c r="M237" s="211"/>
    </row>
    <row r="238">
      <c r="C238" s="139"/>
      <c r="D238" s="139"/>
      <c r="F238" s="169"/>
      <c r="G238" s="172"/>
      <c r="H238" s="209"/>
      <c r="I238" s="172"/>
      <c r="J238" s="172"/>
      <c r="K238" s="172"/>
      <c r="L238" s="211"/>
      <c r="M238" s="211"/>
    </row>
    <row r="239">
      <c r="C239" s="139"/>
      <c r="D239" s="139"/>
      <c r="F239" s="169"/>
      <c r="G239" s="172"/>
      <c r="H239" s="209"/>
      <c r="I239" s="172"/>
      <c r="J239" s="172"/>
      <c r="K239" s="172"/>
      <c r="L239" s="211"/>
      <c r="M239" s="211"/>
    </row>
    <row r="240">
      <c r="C240" s="139"/>
      <c r="D240" s="139"/>
      <c r="F240" s="169"/>
      <c r="G240" s="172"/>
      <c r="H240" s="209"/>
      <c r="I240" s="172"/>
      <c r="J240" s="172"/>
      <c r="K240" s="172"/>
      <c r="L240" s="211"/>
      <c r="M240" s="211"/>
    </row>
    <row r="241">
      <c r="C241" s="139"/>
      <c r="D241" s="139"/>
      <c r="F241" s="169"/>
      <c r="G241" s="172"/>
      <c r="H241" s="209"/>
      <c r="I241" s="172"/>
      <c r="J241" s="172"/>
      <c r="K241" s="172"/>
      <c r="L241" s="211"/>
      <c r="M241" s="211"/>
    </row>
    <row r="242">
      <c r="C242" s="139"/>
      <c r="D242" s="139"/>
      <c r="F242" s="169"/>
      <c r="G242" s="172"/>
      <c r="H242" s="209"/>
      <c r="I242" s="172"/>
      <c r="J242" s="172"/>
      <c r="K242" s="172"/>
      <c r="L242" s="211"/>
      <c r="M242" s="211"/>
    </row>
    <row r="243">
      <c r="C243" s="139"/>
      <c r="D243" s="139"/>
      <c r="F243" s="169"/>
      <c r="G243" s="172"/>
      <c r="H243" s="209"/>
      <c r="I243" s="172"/>
      <c r="J243" s="172"/>
      <c r="K243" s="172"/>
      <c r="L243" s="211"/>
      <c r="M243" s="211"/>
    </row>
    <row r="244">
      <c r="C244" s="139"/>
      <c r="D244" s="139"/>
      <c r="F244" s="169"/>
      <c r="G244" s="172"/>
      <c r="H244" s="209"/>
      <c r="I244" s="172"/>
      <c r="J244" s="172"/>
      <c r="K244" s="172"/>
      <c r="L244" s="211"/>
      <c r="M244" s="211"/>
    </row>
    <row r="245">
      <c r="C245" s="139"/>
      <c r="D245" s="139"/>
      <c r="F245" s="169"/>
      <c r="G245" s="172"/>
      <c r="H245" s="209"/>
      <c r="I245" s="172"/>
      <c r="J245" s="172"/>
      <c r="K245" s="172"/>
      <c r="L245" s="211"/>
      <c r="M245" s="211"/>
    </row>
    <row r="246">
      <c r="C246" s="139"/>
      <c r="D246" s="139"/>
      <c r="F246" s="169"/>
      <c r="G246" s="172"/>
      <c r="H246" s="209"/>
      <c r="I246" s="172"/>
      <c r="J246" s="172"/>
      <c r="K246" s="172"/>
      <c r="L246" s="211"/>
      <c r="M246" s="211"/>
    </row>
    <row r="247">
      <c r="C247" s="139"/>
      <c r="D247" s="139"/>
      <c r="F247" s="169"/>
      <c r="G247" s="172"/>
      <c r="H247" s="209"/>
      <c r="I247" s="172"/>
      <c r="J247" s="172"/>
      <c r="K247" s="172"/>
      <c r="L247" s="211"/>
      <c r="M247" s="211"/>
    </row>
    <row r="248">
      <c r="C248" s="139"/>
      <c r="D248" s="139"/>
      <c r="F248" s="169"/>
      <c r="G248" s="172"/>
      <c r="H248" s="209"/>
      <c r="I248" s="172"/>
      <c r="J248" s="172"/>
      <c r="K248" s="172"/>
      <c r="L248" s="211"/>
      <c r="M248" s="211"/>
    </row>
    <row r="249">
      <c r="C249" s="139"/>
      <c r="D249" s="139"/>
      <c r="F249" s="169"/>
      <c r="G249" s="172"/>
      <c r="H249" s="209"/>
      <c r="I249" s="172"/>
      <c r="J249" s="172"/>
      <c r="K249" s="172"/>
      <c r="L249" s="211"/>
      <c r="M249" s="211"/>
    </row>
    <row r="250">
      <c r="C250" s="139"/>
      <c r="D250" s="139"/>
      <c r="F250" s="169"/>
      <c r="G250" s="172"/>
      <c r="H250" s="209"/>
      <c r="I250" s="172"/>
      <c r="J250" s="172"/>
      <c r="K250" s="172"/>
      <c r="L250" s="211"/>
      <c r="M250" s="211"/>
    </row>
    <row r="251">
      <c r="C251" s="139"/>
      <c r="D251" s="139"/>
      <c r="F251" s="169"/>
      <c r="G251" s="172"/>
      <c r="H251" s="209"/>
      <c r="I251" s="172"/>
      <c r="J251" s="172"/>
      <c r="K251" s="172"/>
      <c r="L251" s="211"/>
      <c r="M251" s="211"/>
    </row>
    <row r="252">
      <c r="C252" s="139"/>
      <c r="D252" s="139"/>
      <c r="F252" s="169"/>
      <c r="G252" s="172"/>
      <c r="H252" s="209"/>
      <c r="I252" s="172"/>
      <c r="J252" s="172"/>
      <c r="K252" s="172"/>
      <c r="L252" s="211"/>
      <c r="M252" s="211"/>
    </row>
    <row r="253">
      <c r="C253" s="139"/>
      <c r="D253" s="139"/>
      <c r="F253" s="169"/>
      <c r="G253" s="172"/>
      <c r="H253" s="209"/>
      <c r="I253" s="172"/>
      <c r="J253" s="172"/>
      <c r="K253" s="172"/>
      <c r="L253" s="211"/>
      <c r="M253" s="211"/>
    </row>
    <row r="254">
      <c r="C254" s="139"/>
      <c r="D254" s="139"/>
      <c r="F254" s="169"/>
      <c r="G254" s="172"/>
      <c r="H254" s="209"/>
      <c r="I254" s="172"/>
      <c r="J254" s="172"/>
      <c r="K254" s="172"/>
      <c r="L254" s="211"/>
      <c r="M254" s="211"/>
    </row>
    <row r="255">
      <c r="C255" s="139"/>
      <c r="D255" s="139"/>
      <c r="F255" s="169"/>
      <c r="G255" s="172"/>
      <c r="H255" s="209"/>
      <c r="I255" s="172"/>
      <c r="J255" s="172"/>
      <c r="K255" s="172"/>
      <c r="L255" s="211"/>
      <c r="M255" s="211"/>
    </row>
    <row r="256">
      <c r="C256" s="139"/>
      <c r="D256" s="139"/>
      <c r="F256" s="169"/>
      <c r="G256" s="172"/>
      <c r="H256" s="209"/>
      <c r="I256" s="172"/>
      <c r="J256" s="172"/>
      <c r="K256" s="172"/>
      <c r="L256" s="211"/>
      <c r="M256" s="211"/>
    </row>
    <row r="257">
      <c r="C257" s="139"/>
      <c r="D257" s="139"/>
      <c r="F257" s="169"/>
      <c r="G257" s="172"/>
      <c r="H257" s="209"/>
      <c r="I257" s="172"/>
      <c r="J257" s="172"/>
      <c r="K257" s="172"/>
      <c r="L257" s="211"/>
      <c r="M257" s="211"/>
    </row>
    <row r="258">
      <c r="C258" s="139"/>
      <c r="D258" s="139"/>
      <c r="F258" s="169"/>
      <c r="G258" s="172"/>
      <c r="H258" s="209"/>
      <c r="I258" s="172"/>
      <c r="J258" s="172"/>
      <c r="K258" s="172"/>
      <c r="L258" s="211"/>
      <c r="M258" s="211"/>
    </row>
    <row r="259">
      <c r="C259" s="139"/>
      <c r="D259" s="139"/>
      <c r="F259" s="169"/>
      <c r="G259" s="172"/>
      <c r="H259" s="209"/>
      <c r="I259" s="172"/>
      <c r="J259" s="172"/>
      <c r="K259" s="172"/>
      <c r="L259" s="211"/>
      <c r="M259" s="211"/>
    </row>
    <row r="260">
      <c r="C260" s="139"/>
      <c r="D260" s="139"/>
      <c r="F260" s="169"/>
      <c r="G260" s="172"/>
      <c r="H260" s="209"/>
      <c r="I260" s="172"/>
      <c r="J260" s="172"/>
      <c r="K260" s="172"/>
      <c r="L260" s="211"/>
      <c r="M260" s="211"/>
    </row>
    <row r="261">
      <c r="C261" s="139"/>
      <c r="D261" s="139"/>
      <c r="F261" s="169"/>
      <c r="G261" s="172"/>
      <c r="H261" s="209"/>
      <c r="I261" s="172"/>
      <c r="J261" s="172"/>
      <c r="K261" s="172"/>
      <c r="L261" s="211"/>
      <c r="M261" s="211"/>
    </row>
    <row r="262">
      <c r="C262" s="139"/>
      <c r="D262" s="139"/>
      <c r="F262" s="169"/>
      <c r="G262" s="172"/>
      <c r="H262" s="209"/>
      <c r="I262" s="172"/>
      <c r="J262" s="172"/>
      <c r="K262" s="172"/>
      <c r="L262" s="211"/>
      <c r="M262" s="211"/>
    </row>
    <row r="263">
      <c r="C263" s="139"/>
      <c r="D263" s="139"/>
      <c r="F263" s="169"/>
      <c r="G263" s="172"/>
      <c r="H263" s="209"/>
      <c r="I263" s="172"/>
      <c r="J263" s="172"/>
      <c r="K263" s="172"/>
      <c r="L263" s="211"/>
      <c r="M263" s="211"/>
    </row>
    <row r="264">
      <c r="C264" s="139"/>
      <c r="D264" s="139"/>
      <c r="F264" s="169"/>
      <c r="G264" s="172"/>
      <c r="H264" s="209"/>
      <c r="I264" s="172"/>
      <c r="J264" s="172"/>
      <c r="K264" s="172"/>
      <c r="L264" s="211"/>
      <c r="M264" s="211"/>
    </row>
    <row r="265">
      <c r="C265" s="139"/>
      <c r="D265" s="139"/>
      <c r="F265" s="169"/>
      <c r="G265" s="172"/>
      <c r="H265" s="209"/>
      <c r="I265" s="172"/>
      <c r="J265" s="172"/>
      <c r="K265" s="172"/>
      <c r="L265" s="211"/>
      <c r="M265" s="211"/>
    </row>
    <row r="266">
      <c r="C266" s="139"/>
      <c r="D266" s="139"/>
      <c r="F266" s="169"/>
      <c r="G266" s="172"/>
      <c r="H266" s="209"/>
      <c r="I266" s="172"/>
      <c r="J266" s="172"/>
      <c r="K266" s="172"/>
      <c r="L266" s="211"/>
      <c r="M266" s="211"/>
    </row>
    <row r="267">
      <c r="C267" s="139"/>
      <c r="D267" s="139"/>
      <c r="F267" s="169"/>
      <c r="G267" s="172"/>
      <c r="H267" s="209"/>
      <c r="I267" s="172"/>
      <c r="J267" s="172"/>
      <c r="K267" s="172"/>
      <c r="L267" s="211"/>
      <c r="M267" s="211"/>
    </row>
    <row r="268">
      <c r="C268" s="139"/>
      <c r="D268" s="139"/>
      <c r="F268" s="169"/>
      <c r="G268" s="172"/>
      <c r="H268" s="209"/>
      <c r="I268" s="172"/>
      <c r="J268" s="172"/>
      <c r="K268" s="172"/>
      <c r="L268" s="211"/>
      <c r="M268" s="211"/>
    </row>
    <row r="269">
      <c r="C269" s="139"/>
      <c r="D269" s="139"/>
      <c r="F269" s="169"/>
      <c r="G269" s="172"/>
      <c r="H269" s="209"/>
      <c r="I269" s="172"/>
      <c r="J269" s="172"/>
      <c r="K269" s="172"/>
      <c r="L269" s="211"/>
      <c r="M269" s="211"/>
    </row>
    <row r="270">
      <c r="C270" s="139"/>
      <c r="D270" s="139"/>
      <c r="F270" s="169"/>
      <c r="G270" s="172"/>
      <c r="H270" s="209"/>
      <c r="I270" s="172"/>
      <c r="J270" s="172"/>
      <c r="K270" s="172"/>
      <c r="L270" s="211"/>
      <c r="M270" s="211"/>
    </row>
    <row r="271">
      <c r="C271" s="139"/>
      <c r="D271" s="139"/>
      <c r="F271" s="169"/>
      <c r="G271" s="172"/>
      <c r="H271" s="209"/>
      <c r="I271" s="172"/>
      <c r="J271" s="172"/>
      <c r="K271" s="172"/>
      <c r="L271" s="211"/>
      <c r="M271" s="211"/>
    </row>
    <row r="272">
      <c r="C272" s="139"/>
      <c r="D272" s="139"/>
      <c r="F272" s="169"/>
      <c r="G272" s="172"/>
      <c r="H272" s="209"/>
      <c r="I272" s="172"/>
      <c r="J272" s="172"/>
      <c r="K272" s="172"/>
      <c r="L272" s="211"/>
      <c r="M272" s="211"/>
    </row>
    <row r="273">
      <c r="C273" s="139"/>
      <c r="D273" s="139"/>
      <c r="F273" s="169"/>
      <c r="G273" s="172"/>
      <c r="H273" s="209"/>
      <c r="I273" s="172"/>
      <c r="J273" s="172"/>
      <c r="K273" s="172"/>
      <c r="L273" s="211"/>
      <c r="M273" s="211"/>
    </row>
    <row r="274">
      <c r="C274" s="139"/>
      <c r="D274" s="139"/>
      <c r="F274" s="169"/>
      <c r="G274" s="172"/>
      <c r="H274" s="209"/>
      <c r="I274" s="172"/>
      <c r="J274" s="172"/>
      <c r="K274" s="172"/>
      <c r="L274" s="211"/>
      <c r="M274" s="211"/>
    </row>
    <row r="275">
      <c r="C275" s="139"/>
      <c r="D275" s="139"/>
      <c r="F275" s="169"/>
      <c r="G275" s="172"/>
      <c r="H275" s="209"/>
      <c r="I275" s="172"/>
      <c r="J275" s="172"/>
      <c r="K275" s="172"/>
      <c r="L275" s="211"/>
      <c r="M275" s="211"/>
    </row>
    <row r="276">
      <c r="C276" s="139"/>
      <c r="D276" s="139"/>
      <c r="F276" s="169"/>
      <c r="G276" s="172"/>
      <c r="H276" s="209"/>
      <c r="I276" s="172"/>
      <c r="J276" s="172"/>
      <c r="K276" s="172"/>
      <c r="L276" s="211"/>
      <c r="M276" s="211"/>
    </row>
    <row r="277">
      <c r="C277" s="139"/>
      <c r="D277" s="139"/>
      <c r="F277" s="169"/>
      <c r="G277" s="172"/>
      <c r="H277" s="209"/>
      <c r="I277" s="172"/>
      <c r="J277" s="172"/>
      <c r="K277" s="172"/>
      <c r="L277" s="211"/>
      <c r="M277" s="211"/>
    </row>
    <row r="278">
      <c r="C278" s="139"/>
      <c r="D278" s="139"/>
      <c r="F278" s="169"/>
      <c r="G278" s="172"/>
      <c r="H278" s="209"/>
      <c r="I278" s="172"/>
      <c r="J278" s="172"/>
      <c r="K278" s="172"/>
      <c r="L278" s="211"/>
      <c r="M278" s="211"/>
    </row>
    <row r="279">
      <c r="C279" s="139"/>
      <c r="D279" s="139"/>
      <c r="F279" s="169"/>
      <c r="G279" s="172"/>
      <c r="H279" s="209"/>
      <c r="I279" s="172"/>
      <c r="J279" s="172"/>
      <c r="K279" s="172"/>
      <c r="L279" s="211"/>
      <c r="M279" s="211"/>
    </row>
    <row r="280">
      <c r="C280" s="139"/>
      <c r="D280" s="139"/>
      <c r="F280" s="169"/>
      <c r="G280" s="172"/>
      <c r="H280" s="209"/>
      <c r="I280" s="172"/>
      <c r="J280" s="172"/>
      <c r="K280" s="172"/>
      <c r="L280" s="211"/>
      <c r="M280" s="211"/>
    </row>
    <row r="281">
      <c r="C281" s="139"/>
      <c r="D281" s="139"/>
      <c r="F281" s="169"/>
      <c r="G281" s="172"/>
      <c r="H281" s="209"/>
      <c r="I281" s="172"/>
      <c r="J281" s="172"/>
      <c r="K281" s="172"/>
      <c r="L281" s="211"/>
      <c r="M281" s="211"/>
    </row>
    <row r="282">
      <c r="C282" s="139"/>
      <c r="D282" s="139"/>
      <c r="F282" s="169"/>
      <c r="G282" s="172"/>
      <c r="H282" s="209"/>
      <c r="I282" s="172"/>
      <c r="J282" s="172"/>
      <c r="K282" s="172"/>
      <c r="L282" s="211"/>
      <c r="M282" s="211"/>
    </row>
    <row r="283">
      <c r="C283" s="139"/>
      <c r="D283" s="139"/>
      <c r="F283" s="169"/>
      <c r="G283" s="172"/>
      <c r="H283" s="209"/>
      <c r="I283" s="172"/>
      <c r="J283" s="172"/>
      <c r="K283" s="172"/>
      <c r="L283" s="211"/>
      <c r="M283" s="211"/>
    </row>
    <row r="284">
      <c r="C284" s="139"/>
      <c r="D284" s="139"/>
      <c r="F284" s="169"/>
      <c r="G284" s="172"/>
      <c r="H284" s="209"/>
      <c r="I284" s="172"/>
      <c r="J284" s="172"/>
      <c r="K284" s="172"/>
      <c r="L284" s="211"/>
      <c r="M284" s="211"/>
    </row>
    <row r="285">
      <c r="C285" s="139"/>
      <c r="D285" s="139"/>
      <c r="F285" s="169"/>
      <c r="G285" s="172"/>
      <c r="H285" s="209"/>
      <c r="I285" s="172"/>
      <c r="J285" s="172"/>
      <c r="K285" s="172"/>
      <c r="L285" s="211"/>
      <c r="M285" s="211"/>
    </row>
    <row r="286">
      <c r="C286" s="139"/>
      <c r="D286" s="139"/>
      <c r="F286" s="169"/>
      <c r="G286" s="172"/>
      <c r="H286" s="209"/>
      <c r="I286" s="172"/>
      <c r="J286" s="172"/>
      <c r="K286" s="172"/>
      <c r="L286" s="211"/>
      <c r="M286" s="211"/>
    </row>
    <row r="287">
      <c r="C287" s="139"/>
      <c r="D287" s="139"/>
      <c r="F287" s="169"/>
      <c r="G287" s="172"/>
      <c r="H287" s="209"/>
      <c r="I287" s="172"/>
      <c r="J287" s="172"/>
      <c r="K287" s="172"/>
      <c r="L287" s="211"/>
      <c r="M287" s="211"/>
    </row>
    <row r="288">
      <c r="C288" s="139"/>
      <c r="D288" s="139"/>
      <c r="F288" s="169"/>
      <c r="G288" s="172"/>
      <c r="H288" s="209"/>
      <c r="I288" s="172"/>
      <c r="J288" s="172"/>
      <c r="K288" s="172"/>
      <c r="L288" s="211"/>
      <c r="M288" s="211"/>
    </row>
    <row r="289">
      <c r="C289" s="139"/>
      <c r="D289" s="139"/>
      <c r="F289" s="169"/>
      <c r="G289" s="172"/>
      <c r="H289" s="209"/>
      <c r="I289" s="172"/>
      <c r="J289" s="172"/>
      <c r="K289" s="172"/>
      <c r="L289" s="211"/>
      <c r="M289" s="211"/>
    </row>
    <row r="290">
      <c r="C290" s="139"/>
      <c r="D290" s="139"/>
      <c r="F290" s="169"/>
      <c r="G290" s="172"/>
      <c r="H290" s="209"/>
      <c r="I290" s="172"/>
      <c r="J290" s="172"/>
      <c r="K290" s="172"/>
      <c r="L290" s="211"/>
      <c r="M290" s="211"/>
    </row>
    <row r="291">
      <c r="C291" s="139"/>
      <c r="D291" s="139"/>
      <c r="F291" s="169"/>
      <c r="G291" s="172"/>
      <c r="H291" s="209"/>
      <c r="I291" s="172"/>
      <c r="J291" s="172"/>
      <c r="K291" s="172"/>
      <c r="L291" s="211"/>
      <c r="M291" s="211"/>
    </row>
    <row r="292">
      <c r="C292" s="139"/>
      <c r="D292" s="139"/>
      <c r="F292" s="169"/>
      <c r="G292" s="172"/>
      <c r="H292" s="209"/>
      <c r="I292" s="172"/>
      <c r="J292" s="172"/>
      <c r="K292" s="172"/>
      <c r="L292" s="211"/>
      <c r="M292" s="211"/>
    </row>
    <row r="293">
      <c r="C293" s="139"/>
      <c r="D293" s="139"/>
      <c r="F293" s="169"/>
      <c r="G293" s="172"/>
      <c r="H293" s="209"/>
      <c r="I293" s="172"/>
      <c r="J293" s="172"/>
      <c r="K293" s="172"/>
      <c r="L293" s="211"/>
      <c r="M293" s="211"/>
    </row>
    <row r="294">
      <c r="C294" s="139"/>
      <c r="D294" s="139"/>
      <c r="F294" s="169"/>
      <c r="G294" s="172"/>
      <c r="H294" s="209"/>
      <c r="I294" s="172"/>
      <c r="J294" s="172"/>
      <c r="K294" s="172"/>
      <c r="L294" s="211"/>
      <c r="M294" s="211"/>
    </row>
    <row r="295">
      <c r="C295" s="139"/>
      <c r="D295" s="139"/>
      <c r="F295" s="169"/>
      <c r="G295" s="172"/>
      <c r="H295" s="209"/>
      <c r="I295" s="172"/>
      <c r="J295" s="172"/>
      <c r="K295" s="172"/>
      <c r="L295" s="211"/>
      <c r="M295" s="211"/>
    </row>
    <row r="296">
      <c r="C296" s="139"/>
      <c r="D296" s="139"/>
      <c r="F296" s="169"/>
      <c r="G296" s="172"/>
      <c r="H296" s="209"/>
      <c r="I296" s="172"/>
      <c r="J296" s="172"/>
      <c r="K296" s="172"/>
      <c r="L296" s="211"/>
      <c r="M296" s="211"/>
    </row>
    <row r="297">
      <c r="C297" s="139"/>
      <c r="D297" s="139"/>
      <c r="F297" s="169"/>
      <c r="G297" s="172"/>
      <c r="H297" s="209"/>
      <c r="I297" s="172"/>
      <c r="J297" s="172"/>
      <c r="K297" s="172"/>
      <c r="L297" s="211"/>
      <c r="M297" s="211"/>
    </row>
    <row r="298">
      <c r="C298" s="139"/>
      <c r="D298" s="139"/>
      <c r="F298" s="169"/>
      <c r="G298" s="172"/>
      <c r="H298" s="209"/>
      <c r="I298" s="172"/>
      <c r="J298" s="172"/>
      <c r="K298" s="172"/>
      <c r="L298" s="211"/>
      <c r="M298" s="211"/>
    </row>
    <row r="299">
      <c r="C299" s="139"/>
      <c r="D299" s="139"/>
      <c r="F299" s="169"/>
      <c r="G299" s="172"/>
      <c r="H299" s="209"/>
      <c r="I299" s="172"/>
      <c r="J299" s="172"/>
      <c r="K299" s="172"/>
      <c r="L299" s="211"/>
      <c r="M299" s="211"/>
    </row>
    <row r="300">
      <c r="C300" s="139"/>
      <c r="D300" s="139"/>
      <c r="F300" s="169"/>
      <c r="G300" s="172"/>
      <c r="H300" s="209"/>
      <c r="I300" s="172"/>
      <c r="J300" s="172"/>
      <c r="K300" s="172"/>
      <c r="L300" s="211"/>
      <c r="M300" s="211"/>
    </row>
    <row r="301">
      <c r="C301" s="139"/>
      <c r="D301" s="139"/>
      <c r="F301" s="169"/>
      <c r="G301" s="172"/>
      <c r="H301" s="209"/>
      <c r="I301" s="172"/>
      <c r="J301" s="172"/>
      <c r="K301" s="172"/>
      <c r="L301" s="211"/>
      <c r="M301" s="211"/>
    </row>
    <row r="302">
      <c r="C302" s="139"/>
      <c r="D302" s="139"/>
      <c r="F302" s="169"/>
      <c r="G302" s="172"/>
      <c r="H302" s="209"/>
      <c r="I302" s="172"/>
      <c r="J302" s="172"/>
      <c r="K302" s="172"/>
      <c r="L302" s="211"/>
      <c r="M302" s="211"/>
    </row>
    <row r="303">
      <c r="C303" s="139"/>
      <c r="D303" s="139"/>
      <c r="F303" s="169"/>
      <c r="G303" s="172"/>
      <c r="H303" s="209"/>
      <c r="I303" s="172"/>
      <c r="J303" s="172"/>
      <c r="K303" s="172"/>
      <c r="L303" s="211"/>
      <c r="M303" s="211"/>
    </row>
    <row r="304">
      <c r="C304" s="139"/>
      <c r="D304" s="139"/>
      <c r="F304" s="169"/>
      <c r="G304" s="172"/>
      <c r="H304" s="209"/>
      <c r="I304" s="172"/>
      <c r="J304" s="172"/>
      <c r="K304" s="172"/>
      <c r="L304" s="211"/>
      <c r="M304" s="211"/>
    </row>
    <row r="305">
      <c r="C305" s="139"/>
      <c r="D305" s="139"/>
      <c r="F305" s="169"/>
      <c r="G305" s="172"/>
      <c r="H305" s="209"/>
      <c r="I305" s="172"/>
      <c r="J305" s="172"/>
      <c r="K305" s="172"/>
      <c r="L305" s="211"/>
      <c r="M305" s="211"/>
    </row>
    <row r="306">
      <c r="C306" s="139"/>
      <c r="D306" s="139"/>
      <c r="F306" s="169"/>
      <c r="G306" s="172"/>
      <c r="H306" s="209"/>
      <c r="I306" s="172"/>
      <c r="J306" s="172"/>
      <c r="K306" s="172"/>
      <c r="L306" s="211"/>
      <c r="M306" s="211"/>
    </row>
    <row r="307">
      <c r="C307" s="139"/>
      <c r="D307" s="139"/>
      <c r="F307" s="169"/>
      <c r="G307" s="172"/>
      <c r="H307" s="209"/>
      <c r="I307" s="172"/>
      <c r="J307" s="172"/>
      <c r="K307" s="172"/>
      <c r="L307" s="211"/>
      <c r="M307" s="211"/>
    </row>
    <row r="308">
      <c r="C308" s="139"/>
      <c r="D308" s="139"/>
      <c r="F308" s="169"/>
      <c r="G308" s="172"/>
      <c r="H308" s="209"/>
      <c r="I308" s="172"/>
      <c r="J308" s="172"/>
      <c r="K308" s="172"/>
      <c r="L308" s="211"/>
      <c r="M308" s="211"/>
    </row>
    <row r="309">
      <c r="C309" s="139"/>
      <c r="D309" s="139"/>
      <c r="F309" s="169"/>
      <c r="G309" s="172"/>
      <c r="H309" s="209"/>
      <c r="I309" s="172"/>
      <c r="J309" s="172"/>
      <c r="K309" s="172"/>
      <c r="L309" s="211"/>
      <c r="M309" s="211"/>
    </row>
    <row r="310">
      <c r="C310" s="139"/>
      <c r="D310" s="139"/>
      <c r="F310" s="169"/>
      <c r="G310" s="172"/>
      <c r="H310" s="209"/>
      <c r="I310" s="172"/>
      <c r="J310" s="172"/>
      <c r="K310" s="172"/>
      <c r="L310" s="211"/>
      <c r="M310" s="211"/>
    </row>
    <row r="311">
      <c r="C311" s="139"/>
      <c r="D311" s="139"/>
      <c r="F311" s="169"/>
      <c r="G311" s="172"/>
      <c r="H311" s="209"/>
      <c r="I311" s="172"/>
      <c r="J311" s="172"/>
      <c r="K311" s="172"/>
      <c r="L311" s="211"/>
      <c r="M311" s="211"/>
    </row>
    <row r="312">
      <c r="C312" s="139"/>
      <c r="D312" s="139"/>
      <c r="F312" s="169"/>
      <c r="G312" s="172"/>
      <c r="H312" s="209"/>
      <c r="I312" s="172"/>
      <c r="J312" s="172"/>
      <c r="K312" s="172"/>
      <c r="L312" s="211"/>
      <c r="M312" s="211"/>
    </row>
    <row r="313">
      <c r="C313" s="139"/>
      <c r="D313" s="139"/>
      <c r="F313" s="169"/>
      <c r="G313" s="172"/>
      <c r="H313" s="209"/>
      <c r="I313" s="172"/>
      <c r="J313" s="172"/>
      <c r="K313" s="172"/>
      <c r="L313" s="211"/>
      <c r="M313" s="211"/>
    </row>
    <row r="314">
      <c r="C314" s="139"/>
      <c r="D314" s="139"/>
      <c r="F314" s="169"/>
      <c r="G314" s="172"/>
      <c r="H314" s="209"/>
      <c r="I314" s="172"/>
      <c r="J314" s="172"/>
      <c r="K314" s="172"/>
      <c r="L314" s="211"/>
      <c r="M314" s="211"/>
    </row>
    <row r="315">
      <c r="C315" s="139"/>
      <c r="D315" s="139"/>
      <c r="F315" s="169"/>
      <c r="G315" s="172"/>
      <c r="H315" s="209"/>
      <c r="I315" s="172"/>
      <c r="J315" s="172"/>
      <c r="K315" s="172"/>
      <c r="L315" s="211"/>
      <c r="M315" s="211"/>
    </row>
    <row r="316">
      <c r="C316" s="139"/>
      <c r="D316" s="139"/>
      <c r="F316" s="169"/>
      <c r="G316" s="172"/>
      <c r="H316" s="209"/>
      <c r="I316" s="172"/>
      <c r="J316" s="172"/>
      <c r="K316" s="172"/>
      <c r="L316" s="211"/>
      <c r="M316" s="211"/>
    </row>
    <row r="317">
      <c r="C317" s="139"/>
      <c r="D317" s="139"/>
      <c r="F317" s="169"/>
      <c r="G317" s="172"/>
      <c r="H317" s="209"/>
      <c r="I317" s="172"/>
      <c r="J317" s="172"/>
      <c r="K317" s="172"/>
      <c r="L317" s="211"/>
      <c r="M317" s="211"/>
    </row>
    <row r="318">
      <c r="C318" s="139"/>
      <c r="D318" s="139"/>
      <c r="F318" s="169"/>
      <c r="G318" s="172"/>
      <c r="H318" s="209"/>
      <c r="I318" s="172"/>
      <c r="J318" s="172"/>
      <c r="K318" s="172"/>
      <c r="L318" s="211"/>
      <c r="M318" s="211"/>
    </row>
    <row r="319">
      <c r="C319" s="139"/>
      <c r="D319" s="139"/>
      <c r="F319" s="169"/>
      <c r="G319" s="172"/>
      <c r="H319" s="209"/>
      <c r="I319" s="172"/>
      <c r="J319" s="172"/>
      <c r="K319" s="172"/>
      <c r="L319" s="211"/>
      <c r="M319" s="211"/>
    </row>
    <row r="320">
      <c r="C320" s="139"/>
      <c r="D320" s="139"/>
      <c r="F320" s="169"/>
      <c r="G320" s="172"/>
      <c r="H320" s="209"/>
      <c r="I320" s="172"/>
      <c r="J320" s="172"/>
      <c r="K320" s="172"/>
      <c r="L320" s="211"/>
      <c r="M320" s="211"/>
    </row>
    <row r="321">
      <c r="C321" s="139"/>
      <c r="D321" s="139"/>
      <c r="F321" s="169"/>
      <c r="G321" s="172"/>
      <c r="H321" s="209"/>
      <c r="I321" s="172"/>
      <c r="J321" s="172"/>
      <c r="K321" s="172"/>
      <c r="L321" s="211"/>
      <c r="M321" s="211"/>
    </row>
    <row r="322">
      <c r="C322" s="139"/>
      <c r="D322" s="139"/>
      <c r="F322" s="169"/>
      <c r="G322" s="172"/>
      <c r="H322" s="209"/>
      <c r="I322" s="172"/>
      <c r="J322" s="172"/>
      <c r="K322" s="172"/>
      <c r="L322" s="211"/>
      <c r="M322" s="211"/>
    </row>
    <row r="323">
      <c r="C323" s="139"/>
      <c r="D323" s="139"/>
      <c r="F323" s="169"/>
      <c r="G323" s="172"/>
      <c r="H323" s="209"/>
      <c r="I323" s="172"/>
      <c r="J323" s="172"/>
      <c r="K323" s="172"/>
      <c r="L323" s="211"/>
      <c r="M323" s="211"/>
    </row>
    <row r="324">
      <c r="C324" s="139"/>
      <c r="D324" s="139"/>
      <c r="F324" s="169"/>
      <c r="G324" s="172"/>
      <c r="H324" s="209"/>
      <c r="I324" s="172"/>
      <c r="J324" s="172"/>
      <c r="K324" s="172"/>
      <c r="L324" s="211"/>
      <c r="M324" s="211"/>
    </row>
    <row r="325">
      <c r="C325" s="139"/>
      <c r="D325" s="139"/>
      <c r="F325" s="169"/>
      <c r="G325" s="172"/>
      <c r="H325" s="209"/>
      <c r="I325" s="172"/>
      <c r="J325" s="172"/>
      <c r="K325" s="172"/>
      <c r="L325" s="211"/>
      <c r="M325" s="211"/>
    </row>
    <row r="326">
      <c r="C326" s="139"/>
      <c r="D326" s="139"/>
      <c r="F326" s="169"/>
      <c r="G326" s="172"/>
      <c r="H326" s="209"/>
      <c r="I326" s="172"/>
      <c r="J326" s="172"/>
      <c r="K326" s="172"/>
      <c r="L326" s="211"/>
      <c r="M326" s="211"/>
    </row>
    <row r="327">
      <c r="C327" s="139"/>
      <c r="D327" s="139"/>
      <c r="F327" s="169"/>
      <c r="G327" s="172"/>
      <c r="H327" s="209"/>
      <c r="I327" s="172"/>
      <c r="J327" s="172"/>
      <c r="K327" s="172"/>
      <c r="L327" s="211"/>
      <c r="M327" s="211"/>
    </row>
    <row r="328">
      <c r="C328" s="139"/>
      <c r="D328" s="139"/>
      <c r="F328" s="169"/>
      <c r="G328" s="172"/>
      <c r="H328" s="209"/>
      <c r="I328" s="172"/>
      <c r="J328" s="172"/>
      <c r="K328" s="172"/>
      <c r="L328" s="211"/>
      <c r="M328" s="211"/>
    </row>
    <row r="329">
      <c r="C329" s="139"/>
      <c r="D329" s="139"/>
      <c r="F329" s="169"/>
      <c r="G329" s="172"/>
      <c r="H329" s="209"/>
      <c r="I329" s="172"/>
      <c r="J329" s="172"/>
      <c r="K329" s="172"/>
      <c r="L329" s="211"/>
      <c r="M329" s="211"/>
    </row>
    <row r="330">
      <c r="C330" s="139"/>
      <c r="D330" s="139"/>
      <c r="F330" s="169"/>
      <c r="G330" s="172"/>
      <c r="H330" s="209"/>
      <c r="I330" s="172"/>
      <c r="J330" s="172"/>
      <c r="K330" s="172"/>
      <c r="L330" s="211"/>
      <c r="M330" s="211"/>
    </row>
    <row r="331">
      <c r="C331" s="139"/>
      <c r="D331" s="139"/>
      <c r="F331" s="169"/>
      <c r="G331" s="172"/>
      <c r="H331" s="209"/>
      <c r="I331" s="172"/>
      <c r="J331" s="172"/>
      <c r="K331" s="172"/>
      <c r="L331" s="211"/>
      <c r="M331" s="211"/>
    </row>
    <row r="332">
      <c r="C332" s="139"/>
      <c r="D332" s="139"/>
      <c r="F332" s="169"/>
      <c r="G332" s="172"/>
      <c r="H332" s="209"/>
      <c r="I332" s="172"/>
      <c r="J332" s="172"/>
      <c r="K332" s="172"/>
      <c r="L332" s="211"/>
      <c r="M332" s="211"/>
    </row>
    <row r="333">
      <c r="C333" s="139"/>
      <c r="D333" s="139"/>
      <c r="F333" s="169"/>
      <c r="G333" s="172"/>
      <c r="H333" s="209"/>
      <c r="I333" s="172"/>
      <c r="J333" s="172"/>
      <c r="K333" s="172"/>
      <c r="L333" s="211"/>
      <c r="M333" s="211"/>
    </row>
    <row r="334">
      <c r="C334" s="139"/>
      <c r="D334" s="139"/>
      <c r="F334" s="169"/>
      <c r="G334" s="172"/>
      <c r="H334" s="209"/>
      <c r="I334" s="172"/>
      <c r="J334" s="172"/>
      <c r="K334" s="172"/>
      <c r="L334" s="211"/>
      <c r="M334" s="211"/>
    </row>
    <row r="335">
      <c r="C335" s="139"/>
      <c r="D335" s="139"/>
      <c r="F335" s="169"/>
      <c r="G335" s="172"/>
      <c r="H335" s="209"/>
      <c r="I335" s="172"/>
      <c r="J335" s="172"/>
      <c r="K335" s="172"/>
      <c r="L335" s="211"/>
      <c r="M335" s="211"/>
    </row>
    <row r="336">
      <c r="C336" s="139"/>
      <c r="D336" s="139"/>
      <c r="F336" s="169"/>
      <c r="G336" s="172"/>
      <c r="H336" s="209"/>
      <c r="I336" s="172"/>
      <c r="J336" s="172"/>
      <c r="K336" s="172"/>
      <c r="L336" s="211"/>
      <c r="M336" s="211"/>
    </row>
    <row r="337">
      <c r="C337" s="139"/>
      <c r="D337" s="139"/>
      <c r="F337" s="169"/>
      <c r="G337" s="172"/>
      <c r="H337" s="209"/>
      <c r="I337" s="172"/>
      <c r="J337" s="172"/>
      <c r="K337" s="172"/>
      <c r="L337" s="211"/>
      <c r="M337" s="211"/>
    </row>
    <row r="338">
      <c r="C338" s="139"/>
      <c r="D338" s="139"/>
      <c r="F338" s="169"/>
      <c r="G338" s="172"/>
      <c r="H338" s="209"/>
      <c r="I338" s="172"/>
      <c r="J338" s="172"/>
      <c r="K338" s="172"/>
      <c r="L338" s="211"/>
      <c r="M338" s="211"/>
    </row>
    <row r="339">
      <c r="C339" s="139"/>
      <c r="D339" s="139"/>
      <c r="F339" s="169"/>
      <c r="G339" s="172"/>
      <c r="H339" s="209"/>
      <c r="I339" s="172"/>
      <c r="J339" s="172"/>
      <c r="K339" s="172"/>
      <c r="L339" s="211"/>
      <c r="M339" s="211"/>
    </row>
    <row r="340">
      <c r="C340" s="139"/>
      <c r="D340" s="139"/>
      <c r="F340" s="169"/>
      <c r="G340" s="172"/>
      <c r="H340" s="209"/>
      <c r="I340" s="172"/>
      <c r="J340" s="172"/>
      <c r="K340" s="172"/>
      <c r="L340" s="211"/>
      <c r="M340" s="211"/>
    </row>
    <row r="341">
      <c r="C341" s="139"/>
      <c r="D341" s="139"/>
      <c r="F341" s="169"/>
      <c r="G341" s="172"/>
      <c r="H341" s="209"/>
      <c r="I341" s="172"/>
      <c r="J341" s="172"/>
      <c r="K341" s="172"/>
      <c r="L341" s="211"/>
      <c r="M341" s="211"/>
    </row>
    <row r="342">
      <c r="C342" s="139"/>
      <c r="D342" s="139"/>
      <c r="F342" s="169"/>
      <c r="G342" s="172"/>
      <c r="H342" s="209"/>
      <c r="I342" s="172"/>
      <c r="J342" s="172"/>
      <c r="K342" s="172"/>
      <c r="L342" s="211"/>
      <c r="M342" s="211"/>
    </row>
    <row r="343">
      <c r="C343" s="139"/>
      <c r="D343" s="139"/>
      <c r="F343" s="169"/>
      <c r="G343" s="172"/>
      <c r="H343" s="209"/>
      <c r="I343" s="172"/>
      <c r="J343" s="172"/>
      <c r="K343" s="172"/>
      <c r="L343" s="211"/>
      <c r="M343" s="211"/>
    </row>
    <row r="344">
      <c r="C344" s="139"/>
      <c r="D344" s="139"/>
      <c r="F344" s="169"/>
      <c r="G344" s="172"/>
      <c r="H344" s="209"/>
      <c r="I344" s="172"/>
      <c r="J344" s="172"/>
      <c r="K344" s="172"/>
      <c r="L344" s="211"/>
      <c r="M344" s="211"/>
    </row>
    <row r="345">
      <c r="C345" s="139"/>
      <c r="D345" s="139"/>
      <c r="F345" s="169"/>
      <c r="G345" s="172"/>
      <c r="H345" s="209"/>
      <c r="I345" s="172"/>
      <c r="J345" s="172"/>
      <c r="K345" s="172"/>
      <c r="L345" s="211"/>
      <c r="M345" s="211"/>
    </row>
    <row r="346">
      <c r="C346" s="139"/>
      <c r="D346" s="139"/>
      <c r="F346" s="169"/>
      <c r="G346" s="172"/>
      <c r="H346" s="209"/>
      <c r="I346" s="172"/>
      <c r="J346" s="172"/>
      <c r="K346" s="172"/>
      <c r="L346" s="211"/>
      <c r="M346" s="211"/>
    </row>
    <row r="347">
      <c r="C347" s="139"/>
      <c r="D347" s="139"/>
      <c r="F347" s="169"/>
      <c r="G347" s="172"/>
      <c r="H347" s="209"/>
      <c r="I347" s="172"/>
      <c r="J347" s="172"/>
      <c r="K347" s="172"/>
      <c r="L347" s="211"/>
      <c r="M347" s="211"/>
    </row>
    <row r="348">
      <c r="C348" s="139"/>
      <c r="D348" s="139"/>
      <c r="F348" s="169"/>
      <c r="G348" s="172"/>
      <c r="H348" s="209"/>
      <c r="I348" s="172"/>
      <c r="J348" s="172"/>
      <c r="K348" s="172"/>
      <c r="L348" s="211"/>
      <c r="M348" s="211"/>
    </row>
    <row r="349">
      <c r="C349" s="139"/>
      <c r="D349" s="139"/>
      <c r="F349" s="169"/>
      <c r="G349" s="172"/>
      <c r="H349" s="209"/>
      <c r="I349" s="172"/>
      <c r="J349" s="172"/>
      <c r="K349" s="172"/>
      <c r="L349" s="211"/>
      <c r="M349" s="211"/>
    </row>
    <row r="350">
      <c r="C350" s="139"/>
      <c r="D350" s="139"/>
      <c r="F350" s="169"/>
      <c r="G350" s="172"/>
      <c r="H350" s="209"/>
      <c r="I350" s="172"/>
      <c r="J350" s="172"/>
      <c r="K350" s="172"/>
      <c r="L350" s="211"/>
      <c r="M350" s="211"/>
    </row>
    <row r="351">
      <c r="C351" s="139"/>
      <c r="D351" s="139"/>
      <c r="F351" s="169"/>
      <c r="G351" s="172"/>
      <c r="H351" s="209"/>
      <c r="I351" s="172"/>
      <c r="J351" s="172"/>
      <c r="K351" s="172"/>
      <c r="L351" s="211"/>
      <c r="M351" s="211"/>
    </row>
    <row r="352">
      <c r="C352" s="139"/>
      <c r="D352" s="139"/>
      <c r="F352" s="169"/>
      <c r="G352" s="172"/>
      <c r="H352" s="209"/>
      <c r="I352" s="172"/>
      <c r="J352" s="172"/>
      <c r="K352" s="172"/>
      <c r="L352" s="211"/>
      <c r="M352" s="211"/>
    </row>
    <row r="353">
      <c r="C353" s="139"/>
      <c r="D353" s="139"/>
      <c r="F353" s="169"/>
      <c r="G353" s="172"/>
      <c r="H353" s="209"/>
      <c r="I353" s="172"/>
      <c r="J353" s="172"/>
      <c r="K353" s="172"/>
      <c r="L353" s="211"/>
      <c r="M353" s="211"/>
    </row>
    <row r="354">
      <c r="C354" s="139"/>
      <c r="D354" s="139"/>
      <c r="F354" s="169"/>
      <c r="G354" s="172"/>
      <c r="H354" s="209"/>
      <c r="I354" s="172"/>
      <c r="J354" s="172"/>
      <c r="K354" s="172"/>
      <c r="L354" s="211"/>
      <c r="M354" s="211"/>
    </row>
    <row r="355">
      <c r="C355" s="139"/>
      <c r="D355" s="139"/>
      <c r="F355" s="169"/>
      <c r="G355" s="172"/>
      <c r="H355" s="209"/>
      <c r="I355" s="172"/>
      <c r="J355" s="172"/>
      <c r="K355" s="172"/>
      <c r="L355" s="211"/>
      <c r="M355" s="211"/>
    </row>
    <row r="356">
      <c r="C356" s="139"/>
      <c r="D356" s="139"/>
      <c r="F356" s="169"/>
      <c r="G356" s="172"/>
      <c r="H356" s="209"/>
      <c r="I356" s="172"/>
      <c r="J356" s="172"/>
      <c r="K356" s="172"/>
      <c r="L356" s="211"/>
      <c r="M356" s="211"/>
    </row>
    <row r="357">
      <c r="C357" s="139"/>
      <c r="D357" s="139"/>
      <c r="F357" s="169"/>
      <c r="G357" s="172"/>
      <c r="H357" s="209"/>
      <c r="I357" s="172"/>
      <c r="J357" s="172"/>
      <c r="K357" s="172"/>
      <c r="L357" s="211"/>
      <c r="M357" s="211"/>
    </row>
    <row r="358">
      <c r="C358" s="139"/>
      <c r="D358" s="139"/>
      <c r="F358" s="169"/>
      <c r="G358" s="172"/>
      <c r="H358" s="209"/>
      <c r="I358" s="172"/>
      <c r="J358" s="172"/>
      <c r="K358" s="172"/>
      <c r="L358" s="211"/>
      <c r="M358" s="211"/>
    </row>
    <row r="359">
      <c r="C359" s="139"/>
      <c r="D359" s="139"/>
      <c r="F359" s="169"/>
      <c r="G359" s="172"/>
      <c r="H359" s="209"/>
      <c r="I359" s="172"/>
      <c r="J359" s="172"/>
      <c r="K359" s="172"/>
      <c r="L359" s="211"/>
      <c r="M359" s="211"/>
    </row>
    <row r="360">
      <c r="C360" s="139"/>
      <c r="D360" s="139"/>
      <c r="F360" s="169"/>
      <c r="G360" s="172"/>
      <c r="H360" s="209"/>
      <c r="I360" s="172"/>
      <c r="J360" s="172"/>
      <c r="K360" s="172"/>
      <c r="L360" s="211"/>
      <c r="M360" s="211"/>
    </row>
    <row r="361">
      <c r="C361" s="139"/>
      <c r="D361" s="139"/>
      <c r="F361" s="169"/>
      <c r="G361" s="172"/>
      <c r="H361" s="209"/>
      <c r="I361" s="172"/>
      <c r="J361" s="172"/>
      <c r="K361" s="172"/>
      <c r="L361" s="211"/>
      <c r="M361" s="211"/>
    </row>
    <row r="362">
      <c r="C362" s="139"/>
      <c r="D362" s="139"/>
      <c r="F362" s="169"/>
      <c r="G362" s="172"/>
      <c r="H362" s="209"/>
      <c r="I362" s="172"/>
      <c r="J362" s="172"/>
      <c r="K362" s="172"/>
      <c r="L362" s="211"/>
      <c r="M362" s="211"/>
    </row>
    <row r="363">
      <c r="C363" s="139"/>
      <c r="D363" s="139"/>
      <c r="F363" s="169"/>
      <c r="G363" s="172"/>
      <c r="H363" s="209"/>
      <c r="I363" s="172"/>
      <c r="J363" s="172"/>
      <c r="K363" s="172"/>
      <c r="L363" s="211"/>
      <c r="M363" s="211"/>
    </row>
    <row r="364">
      <c r="C364" s="139"/>
      <c r="D364" s="139"/>
      <c r="F364" s="169"/>
      <c r="G364" s="172"/>
      <c r="H364" s="209"/>
      <c r="I364" s="172"/>
      <c r="J364" s="172"/>
      <c r="K364" s="172"/>
      <c r="L364" s="211"/>
      <c r="M364" s="211"/>
    </row>
    <row r="365">
      <c r="C365" s="139"/>
      <c r="D365" s="139"/>
      <c r="F365" s="169"/>
      <c r="G365" s="172"/>
      <c r="H365" s="209"/>
      <c r="I365" s="172"/>
      <c r="J365" s="172"/>
      <c r="K365" s="172"/>
      <c r="L365" s="211"/>
      <c r="M365" s="211"/>
    </row>
    <row r="366">
      <c r="C366" s="139"/>
      <c r="D366" s="139"/>
      <c r="F366" s="169"/>
      <c r="G366" s="172"/>
      <c r="H366" s="209"/>
      <c r="I366" s="172"/>
      <c r="J366" s="172"/>
      <c r="K366" s="172"/>
      <c r="L366" s="211"/>
      <c r="M366" s="211"/>
    </row>
    <row r="367">
      <c r="C367" s="139"/>
      <c r="D367" s="139"/>
      <c r="F367" s="169"/>
      <c r="G367" s="172"/>
      <c r="H367" s="209"/>
      <c r="I367" s="172"/>
      <c r="J367" s="172"/>
      <c r="K367" s="172"/>
      <c r="L367" s="211"/>
      <c r="M367" s="211"/>
    </row>
    <row r="368">
      <c r="C368" s="139"/>
      <c r="D368" s="139"/>
      <c r="F368" s="169"/>
      <c r="G368" s="172"/>
      <c r="H368" s="209"/>
      <c r="I368" s="172"/>
      <c r="J368" s="172"/>
      <c r="K368" s="172"/>
      <c r="L368" s="211"/>
      <c r="M368" s="211"/>
    </row>
    <row r="369">
      <c r="C369" s="139"/>
      <c r="D369" s="139"/>
      <c r="F369" s="169"/>
      <c r="G369" s="172"/>
      <c r="H369" s="209"/>
      <c r="I369" s="172"/>
      <c r="J369" s="172"/>
      <c r="K369" s="172"/>
      <c r="L369" s="211"/>
      <c r="M369" s="211"/>
    </row>
    <row r="370">
      <c r="C370" s="139"/>
      <c r="D370" s="139"/>
      <c r="F370" s="169"/>
      <c r="G370" s="172"/>
      <c r="H370" s="209"/>
      <c r="I370" s="172"/>
      <c r="J370" s="172"/>
      <c r="K370" s="172"/>
      <c r="L370" s="211"/>
      <c r="M370" s="211"/>
    </row>
    <row r="371">
      <c r="C371" s="139"/>
      <c r="D371" s="139"/>
      <c r="F371" s="169"/>
      <c r="G371" s="172"/>
      <c r="H371" s="209"/>
      <c r="I371" s="172"/>
      <c r="J371" s="172"/>
      <c r="K371" s="172"/>
      <c r="L371" s="211"/>
      <c r="M371" s="211"/>
    </row>
    <row r="372">
      <c r="C372" s="139"/>
      <c r="D372" s="139"/>
      <c r="F372" s="169"/>
      <c r="G372" s="172"/>
      <c r="H372" s="209"/>
      <c r="I372" s="172"/>
      <c r="J372" s="172"/>
      <c r="K372" s="172"/>
      <c r="L372" s="211"/>
      <c r="M372" s="211"/>
    </row>
    <row r="373">
      <c r="C373" s="139"/>
      <c r="D373" s="139"/>
      <c r="F373" s="169"/>
      <c r="G373" s="172"/>
      <c r="H373" s="209"/>
      <c r="I373" s="172"/>
      <c r="J373" s="172"/>
      <c r="K373" s="172"/>
      <c r="L373" s="211"/>
      <c r="M373" s="211"/>
    </row>
    <row r="374">
      <c r="C374" s="139"/>
      <c r="D374" s="139"/>
      <c r="F374" s="169"/>
      <c r="G374" s="172"/>
      <c r="H374" s="209"/>
      <c r="I374" s="172"/>
      <c r="J374" s="172"/>
      <c r="K374" s="172"/>
      <c r="L374" s="211"/>
      <c r="M374" s="211"/>
    </row>
    <row r="375">
      <c r="C375" s="139"/>
      <c r="D375" s="139"/>
      <c r="F375" s="169"/>
      <c r="G375" s="172"/>
      <c r="H375" s="209"/>
      <c r="I375" s="172"/>
      <c r="J375" s="172"/>
      <c r="K375" s="172"/>
      <c r="L375" s="211"/>
      <c r="M375" s="211"/>
    </row>
    <row r="376">
      <c r="C376" s="139"/>
      <c r="D376" s="139"/>
      <c r="F376" s="169"/>
      <c r="G376" s="172"/>
      <c r="H376" s="209"/>
      <c r="I376" s="172"/>
      <c r="J376" s="172"/>
      <c r="K376" s="172"/>
      <c r="L376" s="211"/>
      <c r="M376" s="211"/>
    </row>
    <row r="377">
      <c r="C377" s="139"/>
      <c r="D377" s="139"/>
      <c r="F377" s="169"/>
      <c r="G377" s="172"/>
      <c r="H377" s="209"/>
      <c r="I377" s="172"/>
      <c r="J377" s="172"/>
      <c r="K377" s="172"/>
      <c r="L377" s="211"/>
      <c r="M377" s="211"/>
    </row>
    <row r="378">
      <c r="C378" s="139"/>
      <c r="D378" s="139"/>
      <c r="F378" s="169"/>
      <c r="G378" s="172"/>
      <c r="H378" s="209"/>
      <c r="I378" s="172"/>
      <c r="J378" s="172"/>
      <c r="K378" s="172"/>
      <c r="L378" s="211"/>
      <c r="M378" s="211"/>
    </row>
    <row r="379">
      <c r="C379" s="139"/>
      <c r="D379" s="139"/>
      <c r="F379" s="169"/>
      <c r="G379" s="172"/>
      <c r="H379" s="209"/>
      <c r="I379" s="172"/>
      <c r="J379" s="172"/>
      <c r="K379" s="172"/>
      <c r="L379" s="211"/>
      <c r="M379" s="211"/>
    </row>
    <row r="380">
      <c r="C380" s="139"/>
      <c r="D380" s="139"/>
      <c r="F380" s="169"/>
      <c r="G380" s="172"/>
      <c r="H380" s="209"/>
      <c r="I380" s="172"/>
      <c r="J380" s="172"/>
      <c r="K380" s="172"/>
      <c r="L380" s="211"/>
      <c r="M380" s="211"/>
    </row>
    <row r="381">
      <c r="C381" s="139"/>
      <c r="D381" s="139"/>
      <c r="F381" s="169"/>
      <c r="G381" s="172"/>
      <c r="H381" s="209"/>
      <c r="I381" s="172"/>
      <c r="J381" s="172"/>
      <c r="K381" s="172"/>
      <c r="L381" s="211"/>
      <c r="M381" s="211"/>
    </row>
    <row r="382">
      <c r="C382" s="139"/>
      <c r="D382" s="139"/>
      <c r="F382" s="169"/>
      <c r="G382" s="172"/>
      <c r="H382" s="209"/>
      <c r="I382" s="172"/>
      <c r="J382" s="172"/>
      <c r="K382" s="172"/>
      <c r="L382" s="211"/>
      <c r="M382" s="211"/>
    </row>
    <row r="383">
      <c r="C383" s="139"/>
      <c r="D383" s="139"/>
      <c r="F383" s="169"/>
      <c r="G383" s="172"/>
      <c r="H383" s="209"/>
      <c r="I383" s="172"/>
      <c r="J383" s="172"/>
      <c r="K383" s="172"/>
      <c r="L383" s="211"/>
      <c r="M383" s="211"/>
    </row>
    <row r="384">
      <c r="C384" s="139"/>
      <c r="D384" s="139"/>
      <c r="F384" s="169"/>
      <c r="G384" s="172"/>
      <c r="H384" s="209"/>
      <c r="I384" s="172"/>
      <c r="J384" s="172"/>
      <c r="K384" s="172"/>
      <c r="L384" s="211"/>
      <c r="M384" s="211"/>
    </row>
    <row r="385">
      <c r="C385" s="139"/>
      <c r="D385" s="139"/>
      <c r="F385" s="169"/>
      <c r="G385" s="172"/>
      <c r="H385" s="209"/>
      <c r="I385" s="172"/>
      <c r="J385" s="172"/>
      <c r="K385" s="172"/>
      <c r="L385" s="211"/>
      <c r="M385" s="211"/>
    </row>
    <row r="386">
      <c r="C386" s="139"/>
      <c r="D386" s="139"/>
      <c r="F386" s="169"/>
      <c r="G386" s="172"/>
      <c r="H386" s="209"/>
      <c r="I386" s="172"/>
      <c r="J386" s="172"/>
      <c r="K386" s="172"/>
      <c r="L386" s="211"/>
      <c r="M386" s="211"/>
    </row>
    <row r="387">
      <c r="C387" s="139"/>
      <c r="D387" s="139"/>
      <c r="F387" s="169"/>
      <c r="G387" s="172"/>
      <c r="H387" s="209"/>
      <c r="I387" s="172"/>
      <c r="J387" s="172"/>
      <c r="K387" s="172"/>
      <c r="L387" s="211"/>
      <c r="M387" s="211"/>
    </row>
    <row r="388">
      <c r="C388" s="139"/>
      <c r="D388" s="139"/>
      <c r="F388" s="169"/>
      <c r="G388" s="172"/>
      <c r="H388" s="209"/>
      <c r="I388" s="172"/>
      <c r="J388" s="172"/>
      <c r="K388" s="172"/>
      <c r="L388" s="211"/>
      <c r="M388" s="211"/>
    </row>
    <row r="389">
      <c r="C389" s="139"/>
      <c r="D389" s="139"/>
      <c r="F389" s="169"/>
      <c r="G389" s="172"/>
      <c r="H389" s="209"/>
      <c r="I389" s="172"/>
      <c r="J389" s="172"/>
      <c r="K389" s="172"/>
      <c r="L389" s="211"/>
      <c r="M389" s="211"/>
    </row>
    <row r="390">
      <c r="C390" s="139"/>
      <c r="D390" s="139"/>
      <c r="F390" s="169"/>
      <c r="G390" s="172"/>
      <c r="H390" s="209"/>
      <c r="I390" s="172"/>
      <c r="J390" s="172"/>
      <c r="K390" s="172"/>
      <c r="L390" s="211"/>
      <c r="M390" s="211"/>
    </row>
    <row r="391">
      <c r="C391" s="139"/>
      <c r="D391" s="139"/>
      <c r="F391" s="169"/>
      <c r="G391" s="172"/>
      <c r="H391" s="209"/>
      <c r="I391" s="172"/>
      <c r="J391" s="172"/>
      <c r="K391" s="172"/>
      <c r="L391" s="211"/>
      <c r="M391" s="211"/>
    </row>
    <row r="392">
      <c r="C392" s="139"/>
      <c r="D392" s="139"/>
      <c r="F392" s="169"/>
      <c r="G392" s="172"/>
      <c r="H392" s="209"/>
      <c r="I392" s="172"/>
      <c r="J392" s="172"/>
      <c r="K392" s="172"/>
      <c r="L392" s="211"/>
      <c r="M392" s="211"/>
    </row>
    <row r="393">
      <c r="C393" s="139"/>
      <c r="D393" s="139"/>
      <c r="F393" s="169"/>
      <c r="G393" s="172"/>
      <c r="H393" s="209"/>
      <c r="I393" s="172"/>
      <c r="J393" s="172"/>
      <c r="K393" s="172"/>
      <c r="L393" s="211"/>
      <c r="M393" s="211"/>
    </row>
    <row r="394">
      <c r="C394" s="139"/>
      <c r="D394" s="139"/>
      <c r="F394" s="169"/>
      <c r="G394" s="172"/>
      <c r="H394" s="209"/>
      <c r="I394" s="172"/>
      <c r="J394" s="172"/>
      <c r="K394" s="172"/>
      <c r="L394" s="211"/>
      <c r="M394" s="211"/>
    </row>
    <row r="395">
      <c r="C395" s="139"/>
      <c r="D395" s="139"/>
      <c r="F395" s="169"/>
      <c r="G395" s="172"/>
      <c r="H395" s="209"/>
      <c r="I395" s="172"/>
      <c r="J395" s="172"/>
      <c r="K395" s="172"/>
      <c r="L395" s="211"/>
      <c r="M395" s="211"/>
    </row>
    <row r="396">
      <c r="C396" s="139"/>
      <c r="D396" s="139"/>
      <c r="F396" s="169"/>
      <c r="G396" s="172"/>
      <c r="H396" s="209"/>
      <c r="I396" s="172"/>
      <c r="J396" s="172"/>
      <c r="K396" s="172"/>
      <c r="L396" s="211"/>
      <c r="M396" s="211"/>
    </row>
    <row r="397">
      <c r="C397" s="139"/>
      <c r="D397" s="139"/>
      <c r="F397" s="169"/>
      <c r="G397" s="172"/>
      <c r="H397" s="209"/>
      <c r="I397" s="172"/>
      <c r="J397" s="172"/>
      <c r="K397" s="172"/>
      <c r="L397" s="211"/>
      <c r="M397" s="211"/>
    </row>
    <row r="398">
      <c r="C398" s="139"/>
      <c r="D398" s="139"/>
      <c r="F398" s="169"/>
      <c r="G398" s="172"/>
      <c r="H398" s="209"/>
      <c r="I398" s="172"/>
      <c r="J398" s="172"/>
      <c r="K398" s="172"/>
      <c r="L398" s="211"/>
      <c r="M398" s="211"/>
    </row>
    <row r="399">
      <c r="C399" s="139"/>
      <c r="D399" s="139"/>
      <c r="F399" s="169"/>
      <c r="G399" s="172"/>
      <c r="H399" s="209"/>
      <c r="I399" s="172"/>
      <c r="J399" s="172"/>
      <c r="K399" s="172"/>
      <c r="L399" s="211"/>
      <c r="M399" s="211"/>
    </row>
    <row r="400">
      <c r="C400" s="139"/>
      <c r="D400" s="139"/>
      <c r="F400" s="169"/>
      <c r="G400" s="172"/>
      <c r="H400" s="209"/>
      <c r="I400" s="172"/>
      <c r="J400" s="172"/>
      <c r="K400" s="172"/>
      <c r="L400" s="211"/>
      <c r="M400" s="211"/>
    </row>
    <row r="401">
      <c r="C401" s="139"/>
      <c r="D401" s="139"/>
      <c r="F401" s="169"/>
      <c r="G401" s="172"/>
      <c r="H401" s="209"/>
      <c r="I401" s="172"/>
      <c r="J401" s="172"/>
      <c r="K401" s="172"/>
      <c r="L401" s="211"/>
      <c r="M401" s="211"/>
    </row>
    <row r="402">
      <c r="C402" s="139"/>
      <c r="D402" s="139"/>
      <c r="F402" s="169"/>
      <c r="G402" s="172"/>
      <c r="H402" s="209"/>
      <c r="I402" s="172"/>
      <c r="J402" s="172"/>
      <c r="K402" s="172"/>
      <c r="L402" s="211"/>
      <c r="M402" s="211"/>
    </row>
    <row r="403">
      <c r="C403" s="139"/>
      <c r="D403" s="139"/>
      <c r="F403" s="169"/>
      <c r="G403" s="172"/>
      <c r="H403" s="209"/>
      <c r="I403" s="172"/>
      <c r="J403" s="172"/>
      <c r="K403" s="172"/>
      <c r="L403" s="211"/>
      <c r="M403" s="211"/>
    </row>
    <row r="404">
      <c r="C404" s="139"/>
      <c r="D404" s="139"/>
      <c r="F404" s="169"/>
      <c r="G404" s="172"/>
      <c r="H404" s="209"/>
      <c r="I404" s="172"/>
      <c r="J404" s="172"/>
      <c r="K404" s="172"/>
      <c r="L404" s="211"/>
      <c r="M404" s="211"/>
    </row>
    <row r="405">
      <c r="C405" s="139"/>
      <c r="D405" s="139"/>
      <c r="F405" s="169"/>
      <c r="G405" s="172"/>
      <c r="H405" s="209"/>
      <c r="I405" s="172"/>
      <c r="J405" s="172"/>
      <c r="K405" s="172"/>
      <c r="L405" s="211"/>
      <c r="M405" s="211"/>
    </row>
    <row r="406">
      <c r="C406" s="139"/>
      <c r="D406" s="139"/>
      <c r="F406" s="169"/>
      <c r="G406" s="172"/>
      <c r="H406" s="209"/>
      <c r="I406" s="172"/>
      <c r="J406" s="172"/>
      <c r="K406" s="172"/>
      <c r="L406" s="211"/>
      <c r="M406" s="211"/>
    </row>
    <row r="407">
      <c r="C407" s="139"/>
      <c r="D407" s="139"/>
      <c r="F407" s="169"/>
      <c r="G407" s="172"/>
      <c r="H407" s="209"/>
      <c r="I407" s="172"/>
      <c r="J407" s="172"/>
      <c r="K407" s="172"/>
      <c r="L407" s="211"/>
      <c r="M407" s="211"/>
    </row>
    <row r="408">
      <c r="C408" s="139"/>
      <c r="D408" s="139"/>
      <c r="F408" s="169"/>
      <c r="G408" s="172"/>
      <c r="H408" s="209"/>
      <c r="I408" s="172"/>
      <c r="J408" s="172"/>
      <c r="K408" s="172"/>
      <c r="L408" s="211"/>
      <c r="M408" s="211"/>
    </row>
    <row r="409">
      <c r="C409" s="139"/>
      <c r="D409" s="139"/>
      <c r="F409" s="169"/>
      <c r="G409" s="172"/>
      <c r="H409" s="209"/>
      <c r="I409" s="172"/>
      <c r="J409" s="172"/>
      <c r="K409" s="172"/>
      <c r="L409" s="211"/>
      <c r="M409" s="211"/>
    </row>
    <row r="410">
      <c r="C410" s="139"/>
      <c r="D410" s="139"/>
      <c r="F410" s="169"/>
      <c r="G410" s="172"/>
      <c r="H410" s="209"/>
      <c r="I410" s="172"/>
      <c r="J410" s="172"/>
      <c r="K410" s="172"/>
      <c r="L410" s="211"/>
      <c r="M410" s="211"/>
    </row>
    <row r="411">
      <c r="C411" s="139"/>
      <c r="D411" s="139"/>
      <c r="F411" s="169"/>
      <c r="G411" s="172"/>
      <c r="H411" s="209"/>
      <c r="I411" s="172"/>
      <c r="J411" s="172"/>
      <c r="K411" s="172"/>
      <c r="L411" s="211"/>
      <c r="M411" s="211"/>
    </row>
    <row r="412">
      <c r="C412" s="139"/>
      <c r="D412" s="139"/>
      <c r="F412" s="169"/>
      <c r="G412" s="172"/>
      <c r="H412" s="209"/>
      <c r="I412" s="172"/>
      <c r="J412" s="172"/>
      <c r="K412" s="172"/>
      <c r="L412" s="211"/>
      <c r="M412" s="211"/>
    </row>
    <row r="413">
      <c r="C413" s="139"/>
      <c r="D413" s="139"/>
      <c r="F413" s="169"/>
      <c r="G413" s="172"/>
      <c r="H413" s="209"/>
      <c r="I413" s="172"/>
      <c r="J413" s="172"/>
      <c r="K413" s="172"/>
      <c r="L413" s="211"/>
      <c r="M413" s="211"/>
    </row>
    <row r="414">
      <c r="C414" s="139"/>
      <c r="D414" s="139"/>
      <c r="F414" s="169"/>
      <c r="G414" s="172"/>
      <c r="H414" s="209"/>
      <c r="I414" s="172"/>
      <c r="J414" s="172"/>
      <c r="K414" s="172"/>
      <c r="L414" s="211"/>
      <c r="M414" s="211"/>
    </row>
    <row r="415">
      <c r="C415" s="139"/>
      <c r="D415" s="139"/>
      <c r="F415" s="169"/>
      <c r="G415" s="172"/>
      <c r="H415" s="209"/>
      <c r="I415" s="172"/>
      <c r="J415" s="172"/>
      <c r="K415" s="172"/>
      <c r="L415" s="211"/>
      <c r="M415" s="211"/>
    </row>
    <row r="416">
      <c r="C416" s="139"/>
      <c r="D416" s="139"/>
      <c r="F416" s="169"/>
      <c r="G416" s="172"/>
      <c r="H416" s="209"/>
      <c r="I416" s="172"/>
      <c r="J416" s="172"/>
      <c r="K416" s="172"/>
      <c r="L416" s="211"/>
      <c r="M416" s="211"/>
    </row>
    <row r="417">
      <c r="C417" s="139"/>
      <c r="D417" s="139"/>
      <c r="F417" s="169"/>
      <c r="G417" s="172"/>
      <c r="H417" s="209"/>
      <c r="I417" s="172"/>
      <c r="J417" s="172"/>
      <c r="K417" s="172"/>
      <c r="L417" s="211"/>
      <c r="M417" s="211"/>
    </row>
    <row r="418">
      <c r="C418" s="139"/>
      <c r="D418" s="139"/>
      <c r="F418" s="169"/>
      <c r="G418" s="172"/>
      <c r="H418" s="209"/>
      <c r="I418" s="172"/>
      <c r="J418" s="172"/>
      <c r="K418" s="172"/>
      <c r="L418" s="211"/>
      <c r="M418" s="211"/>
    </row>
    <row r="419">
      <c r="C419" s="139"/>
      <c r="D419" s="139"/>
      <c r="F419" s="169"/>
      <c r="G419" s="172"/>
      <c r="H419" s="209"/>
      <c r="I419" s="172"/>
      <c r="J419" s="172"/>
      <c r="K419" s="172"/>
      <c r="L419" s="211"/>
      <c r="M419" s="211"/>
    </row>
    <row r="420">
      <c r="C420" s="139"/>
      <c r="D420" s="139"/>
      <c r="F420" s="169"/>
      <c r="G420" s="172"/>
      <c r="H420" s="209"/>
      <c r="I420" s="172"/>
      <c r="J420" s="172"/>
      <c r="K420" s="172"/>
      <c r="L420" s="211"/>
      <c r="M420" s="211"/>
    </row>
    <row r="421">
      <c r="C421" s="139"/>
      <c r="D421" s="139"/>
      <c r="F421" s="169"/>
      <c r="G421" s="172"/>
      <c r="H421" s="209"/>
      <c r="I421" s="172"/>
      <c r="J421" s="172"/>
      <c r="K421" s="172"/>
      <c r="L421" s="211"/>
      <c r="M421" s="211"/>
    </row>
    <row r="422">
      <c r="C422" s="139"/>
      <c r="D422" s="139"/>
      <c r="F422" s="169"/>
      <c r="G422" s="172"/>
      <c r="H422" s="209"/>
      <c r="I422" s="172"/>
      <c r="J422" s="172"/>
      <c r="K422" s="172"/>
      <c r="L422" s="211"/>
      <c r="M422" s="211"/>
    </row>
    <row r="423">
      <c r="C423" s="139"/>
      <c r="D423" s="139"/>
      <c r="F423" s="169"/>
      <c r="G423" s="172"/>
      <c r="H423" s="209"/>
      <c r="I423" s="172"/>
      <c r="J423" s="172"/>
      <c r="K423" s="172"/>
      <c r="L423" s="211"/>
      <c r="M423" s="211"/>
    </row>
    <row r="424">
      <c r="C424" s="139"/>
      <c r="D424" s="139"/>
      <c r="F424" s="169"/>
      <c r="G424" s="172"/>
      <c r="H424" s="209"/>
      <c r="I424" s="172"/>
      <c r="J424" s="172"/>
      <c r="K424" s="172"/>
      <c r="L424" s="211"/>
      <c r="M424" s="211"/>
    </row>
    <row r="425">
      <c r="C425" s="139"/>
      <c r="D425" s="139"/>
      <c r="F425" s="169"/>
      <c r="G425" s="172"/>
      <c r="H425" s="209"/>
      <c r="I425" s="172"/>
      <c r="J425" s="172"/>
      <c r="K425" s="172"/>
      <c r="L425" s="211"/>
      <c r="M425" s="211"/>
    </row>
    <row r="426">
      <c r="C426" s="139"/>
      <c r="D426" s="139"/>
      <c r="F426" s="169"/>
      <c r="G426" s="172"/>
      <c r="H426" s="209"/>
      <c r="I426" s="172"/>
      <c r="J426" s="172"/>
      <c r="K426" s="172"/>
      <c r="L426" s="211"/>
      <c r="M426" s="211"/>
    </row>
    <row r="427">
      <c r="C427" s="139"/>
      <c r="D427" s="139"/>
      <c r="F427" s="169"/>
      <c r="G427" s="172"/>
      <c r="H427" s="209"/>
      <c r="I427" s="172"/>
      <c r="J427" s="172"/>
      <c r="K427" s="172"/>
      <c r="L427" s="211"/>
      <c r="M427" s="211"/>
    </row>
    <row r="428">
      <c r="C428" s="139"/>
      <c r="D428" s="139"/>
      <c r="F428" s="169"/>
      <c r="G428" s="172"/>
      <c r="H428" s="209"/>
      <c r="I428" s="172"/>
      <c r="J428" s="172"/>
      <c r="K428" s="172"/>
      <c r="L428" s="211"/>
      <c r="M428" s="211"/>
    </row>
    <row r="429">
      <c r="C429" s="139"/>
      <c r="D429" s="139"/>
      <c r="F429" s="169"/>
      <c r="G429" s="172"/>
      <c r="H429" s="209"/>
      <c r="I429" s="172"/>
      <c r="J429" s="172"/>
      <c r="K429" s="172"/>
      <c r="L429" s="211"/>
      <c r="M429" s="211"/>
    </row>
    <row r="430">
      <c r="C430" s="139"/>
      <c r="D430" s="139"/>
      <c r="F430" s="169"/>
      <c r="G430" s="172"/>
      <c r="H430" s="209"/>
      <c r="I430" s="172"/>
      <c r="J430" s="172"/>
      <c r="K430" s="172"/>
      <c r="L430" s="211"/>
      <c r="M430" s="211"/>
    </row>
    <row r="431">
      <c r="C431" s="139"/>
      <c r="D431" s="139"/>
      <c r="F431" s="169"/>
      <c r="G431" s="172"/>
      <c r="H431" s="209"/>
      <c r="I431" s="172"/>
      <c r="J431" s="172"/>
      <c r="K431" s="172"/>
      <c r="L431" s="211"/>
      <c r="M431" s="211"/>
    </row>
    <row r="432">
      <c r="C432" s="139"/>
      <c r="D432" s="139"/>
      <c r="F432" s="169"/>
      <c r="G432" s="172"/>
      <c r="H432" s="209"/>
      <c r="I432" s="172"/>
      <c r="J432" s="172"/>
      <c r="K432" s="172"/>
      <c r="L432" s="211"/>
      <c r="M432" s="211"/>
    </row>
    <row r="433">
      <c r="C433" s="139"/>
      <c r="D433" s="139"/>
      <c r="F433" s="169"/>
      <c r="G433" s="172"/>
      <c r="H433" s="209"/>
      <c r="I433" s="172"/>
      <c r="J433" s="172"/>
      <c r="K433" s="172"/>
      <c r="L433" s="211"/>
      <c r="M433" s="211"/>
    </row>
    <row r="434">
      <c r="C434" s="139"/>
      <c r="D434" s="139"/>
      <c r="F434" s="169"/>
      <c r="G434" s="172"/>
      <c r="H434" s="209"/>
      <c r="I434" s="172"/>
      <c r="J434" s="172"/>
      <c r="K434" s="172"/>
      <c r="L434" s="211"/>
      <c r="M434" s="211"/>
    </row>
    <row r="435">
      <c r="C435" s="139"/>
      <c r="D435" s="139"/>
      <c r="F435" s="169"/>
      <c r="G435" s="172"/>
      <c r="H435" s="209"/>
      <c r="I435" s="172"/>
      <c r="J435" s="172"/>
      <c r="K435" s="172"/>
      <c r="L435" s="211"/>
      <c r="M435" s="211"/>
    </row>
    <row r="436">
      <c r="C436" s="139"/>
      <c r="D436" s="139"/>
      <c r="F436" s="169"/>
      <c r="G436" s="172"/>
      <c r="H436" s="209"/>
      <c r="I436" s="172"/>
      <c r="J436" s="172"/>
      <c r="K436" s="172"/>
      <c r="L436" s="211"/>
      <c r="M436" s="211"/>
    </row>
    <row r="437">
      <c r="C437" s="139"/>
      <c r="D437" s="139"/>
      <c r="F437" s="169"/>
      <c r="G437" s="172"/>
      <c r="H437" s="209"/>
      <c r="I437" s="172"/>
      <c r="J437" s="172"/>
      <c r="K437" s="172"/>
      <c r="L437" s="211"/>
      <c r="M437" s="211"/>
    </row>
    <row r="438">
      <c r="C438" s="139"/>
      <c r="D438" s="139"/>
      <c r="F438" s="169"/>
      <c r="G438" s="172"/>
      <c r="H438" s="209"/>
      <c r="I438" s="172"/>
      <c r="J438" s="172"/>
      <c r="K438" s="172"/>
      <c r="L438" s="211"/>
      <c r="M438" s="211"/>
    </row>
    <row r="439">
      <c r="C439" s="139"/>
      <c r="D439" s="139"/>
      <c r="F439" s="169"/>
      <c r="G439" s="172"/>
      <c r="H439" s="209"/>
      <c r="I439" s="172"/>
      <c r="J439" s="172"/>
      <c r="K439" s="172"/>
      <c r="L439" s="211"/>
      <c r="M439" s="211"/>
    </row>
    <row r="440">
      <c r="C440" s="139"/>
      <c r="D440" s="139"/>
      <c r="F440" s="169"/>
      <c r="G440" s="172"/>
      <c r="H440" s="209"/>
      <c r="I440" s="172"/>
      <c r="J440" s="172"/>
      <c r="K440" s="172"/>
      <c r="L440" s="211"/>
      <c r="M440" s="211"/>
    </row>
    <row r="441">
      <c r="C441" s="139"/>
      <c r="D441" s="139"/>
      <c r="F441" s="169"/>
      <c r="G441" s="172"/>
      <c r="H441" s="209"/>
      <c r="I441" s="172"/>
      <c r="J441" s="172"/>
      <c r="K441" s="172"/>
      <c r="L441" s="211"/>
      <c r="M441" s="211"/>
    </row>
    <row r="442">
      <c r="C442" s="139"/>
      <c r="D442" s="139"/>
      <c r="F442" s="169"/>
      <c r="G442" s="172"/>
      <c r="H442" s="209"/>
      <c r="I442" s="172"/>
      <c r="J442" s="172"/>
      <c r="K442" s="172"/>
      <c r="L442" s="211"/>
      <c r="M442" s="211"/>
    </row>
    <row r="443">
      <c r="C443" s="139"/>
      <c r="D443" s="139"/>
      <c r="F443" s="169"/>
      <c r="G443" s="172"/>
      <c r="H443" s="209"/>
      <c r="I443" s="172"/>
      <c r="J443" s="172"/>
      <c r="K443" s="172"/>
      <c r="L443" s="211"/>
      <c r="M443" s="211"/>
    </row>
    <row r="444">
      <c r="C444" s="139"/>
      <c r="D444" s="139"/>
      <c r="F444" s="169"/>
      <c r="G444" s="172"/>
      <c r="H444" s="209"/>
      <c r="I444" s="172"/>
      <c r="J444" s="172"/>
      <c r="K444" s="172"/>
      <c r="L444" s="211"/>
      <c r="M444" s="211"/>
    </row>
    <row r="445">
      <c r="C445" s="139"/>
      <c r="D445" s="139"/>
      <c r="F445" s="169"/>
      <c r="G445" s="172"/>
      <c r="H445" s="209"/>
      <c r="I445" s="172"/>
      <c r="J445" s="172"/>
      <c r="K445" s="172"/>
      <c r="L445" s="211"/>
      <c r="M445" s="211"/>
    </row>
    <row r="446">
      <c r="C446" s="139"/>
      <c r="D446" s="139"/>
      <c r="F446" s="169"/>
      <c r="G446" s="172"/>
      <c r="H446" s="209"/>
      <c r="I446" s="172"/>
      <c r="J446" s="172"/>
      <c r="K446" s="172"/>
      <c r="L446" s="211"/>
      <c r="M446" s="211"/>
    </row>
    <row r="447">
      <c r="C447" s="139"/>
      <c r="D447" s="139"/>
      <c r="F447" s="169"/>
      <c r="G447" s="172"/>
      <c r="H447" s="209"/>
      <c r="I447" s="172"/>
      <c r="J447" s="172"/>
      <c r="K447" s="172"/>
      <c r="L447" s="211"/>
      <c r="M447" s="211"/>
    </row>
    <row r="448">
      <c r="C448" s="139"/>
      <c r="D448" s="139"/>
      <c r="F448" s="169"/>
      <c r="G448" s="172"/>
      <c r="H448" s="209"/>
      <c r="I448" s="172"/>
      <c r="J448" s="172"/>
      <c r="K448" s="172"/>
      <c r="L448" s="211"/>
      <c r="M448" s="211"/>
    </row>
    <row r="449">
      <c r="C449" s="139"/>
      <c r="D449" s="139"/>
      <c r="F449" s="169"/>
      <c r="G449" s="172"/>
      <c r="H449" s="209"/>
      <c r="I449" s="172"/>
      <c r="J449" s="172"/>
      <c r="K449" s="172"/>
      <c r="L449" s="211"/>
      <c r="M449" s="211"/>
    </row>
    <row r="450">
      <c r="C450" s="139"/>
      <c r="D450" s="139"/>
      <c r="F450" s="169"/>
      <c r="G450" s="172"/>
      <c r="H450" s="209"/>
      <c r="I450" s="172"/>
      <c r="J450" s="172"/>
      <c r="K450" s="172"/>
      <c r="L450" s="211"/>
      <c r="M450" s="211"/>
    </row>
    <row r="451">
      <c r="C451" s="139"/>
      <c r="D451" s="139"/>
      <c r="F451" s="169"/>
      <c r="G451" s="172"/>
      <c r="H451" s="209"/>
      <c r="I451" s="172"/>
      <c r="J451" s="172"/>
      <c r="K451" s="172"/>
      <c r="L451" s="211"/>
      <c r="M451" s="211"/>
    </row>
    <row r="452">
      <c r="C452" s="139"/>
      <c r="D452" s="139"/>
      <c r="F452" s="169"/>
      <c r="G452" s="172"/>
      <c r="H452" s="209"/>
      <c r="I452" s="172"/>
      <c r="J452" s="172"/>
      <c r="K452" s="172"/>
      <c r="L452" s="211"/>
      <c r="M452" s="211"/>
    </row>
    <row r="453">
      <c r="C453" s="139"/>
      <c r="D453" s="139"/>
      <c r="F453" s="169"/>
      <c r="G453" s="172"/>
      <c r="H453" s="209"/>
      <c r="I453" s="172"/>
      <c r="J453" s="172"/>
      <c r="K453" s="172"/>
      <c r="L453" s="211"/>
      <c r="M453" s="211"/>
    </row>
    <row r="454">
      <c r="C454" s="139"/>
      <c r="D454" s="139"/>
      <c r="F454" s="169"/>
      <c r="G454" s="172"/>
      <c r="H454" s="209"/>
      <c r="I454" s="172"/>
      <c r="J454" s="172"/>
      <c r="K454" s="172"/>
      <c r="L454" s="211"/>
      <c r="M454" s="211"/>
    </row>
    <row r="455">
      <c r="C455" s="139"/>
      <c r="D455" s="139"/>
      <c r="F455" s="169"/>
      <c r="G455" s="172"/>
      <c r="H455" s="209"/>
      <c r="I455" s="172"/>
      <c r="J455" s="172"/>
      <c r="K455" s="172"/>
      <c r="L455" s="211"/>
      <c r="M455" s="211"/>
    </row>
    <row r="456">
      <c r="C456" s="139"/>
      <c r="D456" s="139"/>
      <c r="F456" s="169"/>
      <c r="G456" s="172"/>
      <c r="H456" s="209"/>
      <c r="I456" s="172"/>
      <c r="J456" s="172"/>
      <c r="K456" s="172"/>
      <c r="L456" s="211"/>
      <c r="M456" s="211"/>
    </row>
    <row r="457">
      <c r="C457" s="139"/>
      <c r="D457" s="139"/>
      <c r="F457" s="169"/>
      <c r="G457" s="172"/>
      <c r="H457" s="209"/>
      <c r="I457" s="172"/>
      <c r="J457" s="172"/>
      <c r="K457" s="172"/>
      <c r="L457" s="211"/>
      <c r="M457" s="211"/>
    </row>
    <row r="458">
      <c r="C458" s="139"/>
      <c r="D458" s="139"/>
      <c r="F458" s="169"/>
      <c r="G458" s="172"/>
      <c r="H458" s="209"/>
      <c r="I458" s="172"/>
      <c r="J458" s="172"/>
      <c r="K458" s="172"/>
      <c r="L458" s="211"/>
      <c r="M458" s="211"/>
    </row>
    <row r="459">
      <c r="C459" s="139"/>
      <c r="D459" s="139"/>
      <c r="F459" s="169"/>
      <c r="G459" s="172"/>
      <c r="H459" s="209"/>
      <c r="I459" s="172"/>
      <c r="J459" s="172"/>
      <c r="K459" s="172"/>
      <c r="L459" s="211"/>
      <c r="M459" s="211"/>
    </row>
    <row r="460">
      <c r="C460" s="139"/>
      <c r="D460" s="139"/>
      <c r="F460" s="169"/>
      <c r="G460" s="172"/>
      <c r="H460" s="209"/>
      <c r="I460" s="172"/>
      <c r="J460" s="172"/>
      <c r="K460" s="172"/>
      <c r="L460" s="211"/>
      <c r="M460" s="211"/>
    </row>
    <row r="461">
      <c r="C461" s="139"/>
      <c r="D461" s="139"/>
      <c r="F461" s="169"/>
      <c r="G461" s="172"/>
      <c r="H461" s="209"/>
      <c r="I461" s="172"/>
      <c r="J461" s="172"/>
      <c r="K461" s="172"/>
      <c r="L461" s="211"/>
      <c r="M461" s="211"/>
    </row>
    <row r="462">
      <c r="C462" s="139"/>
      <c r="D462" s="139"/>
      <c r="F462" s="169"/>
      <c r="G462" s="172"/>
      <c r="H462" s="209"/>
      <c r="I462" s="172"/>
      <c r="J462" s="172"/>
      <c r="K462" s="172"/>
      <c r="L462" s="211"/>
      <c r="M462" s="211"/>
    </row>
    <row r="463">
      <c r="C463" s="139"/>
      <c r="D463" s="139"/>
      <c r="F463" s="169"/>
      <c r="G463" s="172"/>
      <c r="H463" s="209"/>
      <c r="I463" s="172"/>
      <c r="J463" s="172"/>
      <c r="K463" s="172"/>
      <c r="L463" s="211"/>
      <c r="M463" s="211"/>
    </row>
    <row r="464">
      <c r="C464" s="139"/>
      <c r="D464" s="139"/>
      <c r="F464" s="169"/>
      <c r="G464" s="172"/>
      <c r="H464" s="209"/>
      <c r="I464" s="172"/>
      <c r="J464" s="172"/>
      <c r="K464" s="172"/>
      <c r="L464" s="211"/>
      <c r="M464" s="211"/>
    </row>
    <row r="465">
      <c r="C465" s="139"/>
      <c r="D465" s="139"/>
      <c r="F465" s="169"/>
      <c r="G465" s="172"/>
      <c r="H465" s="209"/>
      <c r="I465" s="172"/>
      <c r="J465" s="172"/>
      <c r="K465" s="172"/>
      <c r="L465" s="211"/>
      <c r="M465" s="211"/>
    </row>
    <row r="466">
      <c r="C466" s="139"/>
      <c r="D466" s="139"/>
      <c r="F466" s="169"/>
      <c r="G466" s="172"/>
      <c r="H466" s="209"/>
      <c r="I466" s="172"/>
      <c r="J466" s="172"/>
      <c r="K466" s="172"/>
      <c r="L466" s="211"/>
      <c r="M466" s="211"/>
    </row>
    <row r="467">
      <c r="C467" s="139"/>
      <c r="D467" s="139"/>
      <c r="F467" s="169"/>
      <c r="G467" s="172"/>
      <c r="H467" s="209"/>
      <c r="I467" s="172"/>
      <c r="J467" s="172"/>
      <c r="K467" s="172"/>
      <c r="L467" s="211"/>
      <c r="M467" s="211"/>
    </row>
    <row r="468">
      <c r="C468" s="139"/>
      <c r="D468" s="139"/>
      <c r="F468" s="169"/>
      <c r="G468" s="172"/>
      <c r="H468" s="209"/>
      <c r="I468" s="172"/>
      <c r="J468" s="172"/>
      <c r="K468" s="172"/>
      <c r="L468" s="211"/>
      <c r="M468" s="211"/>
    </row>
    <row r="469">
      <c r="C469" s="139"/>
      <c r="D469" s="139"/>
      <c r="F469" s="169"/>
      <c r="G469" s="172"/>
      <c r="H469" s="209"/>
      <c r="I469" s="172"/>
      <c r="J469" s="172"/>
      <c r="K469" s="172"/>
      <c r="L469" s="211"/>
      <c r="M469" s="211"/>
    </row>
    <row r="470">
      <c r="C470" s="139"/>
      <c r="D470" s="139"/>
      <c r="F470" s="169"/>
      <c r="G470" s="172"/>
      <c r="H470" s="209"/>
      <c r="I470" s="172"/>
      <c r="J470" s="172"/>
      <c r="K470" s="172"/>
      <c r="L470" s="211"/>
      <c r="M470" s="211"/>
    </row>
    <row r="471">
      <c r="C471" s="139"/>
      <c r="D471" s="139"/>
      <c r="F471" s="169"/>
      <c r="G471" s="172"/>
      <c r="H471" s="209"/>
      <c r="I471" s="172"/>
      <c r="J471" s="172"/>
      <c r="K471" s="172"/>
      <c r="L471" s="211"/>
      <c r="M471" s="211"/>
    </row>
    <row r="472">
      <c r="C472" s="139"/>
      <c r="D472" s="139"/>
      <c r="F472" s="169"/>
      <c r="G472" s="172"/>
      <c r="H472" s="209"/>
      <c r="I472" s="172"/>
      <c r="J472" s="172"/>
      <c r="K472" s="172"/>
      <c r="L472" s="211"/>
      <c r="M472" s="211"/>
    </row>
    <row r="473">
      <c r="C473" s="139"/>
      <c r="D473" s="139"/>
      <c r="F473" s="169"/>
      <c r="G473" s="172"/>
      <c r="H473" s="209"/>
      <c r="I473" s="172"/>
      <c r="J473" s="172"/>
      <c r="K473" s="172"/>
      <c r="L473" s="211"/>
      <c r="M473" s="211"/>
    </row>
    <row r="474">
      <c r="C474" s="139"/>
      <c r="D474" s="139"/>
      <c r="F474" s="169"/>
      <c r="G474" s="172"/>
      <c r="H474" s="209"/>
      <c r="I474" s="172"/>
      <c r="J474" s="172"/>
      <c r="K474" s="172"/>
      <c r="L474" s="211"/>
      <c r="M474" s="211"/>
    </row>
    <row r="475">
      <c r="C475" s="139"/>
      <c r="D475" s="139"/>
      <c r="F475" s="169"/>
      <c r="G475" s="172"/>
      <c r="H475" s="209"/>
      <c r="I475" s="172"/>
      <c r="J475" s="172"/>
      <c r="K475" s="172"/>
      <c r="L475" s="211"/>
      <c r="M475" s="211"/>
    </row>
    <row r="476">
      <c r="C476" s="139"/>
      <c r="D476" s="139"/>
      <c r="F476" s="169"/>
      <c r="G476" s="172"/>
      <c r="H476" s="209"/>
      <c r="I476" s="172"/>
      <c r="J476" s="172"/>
      <c r="K476" s="172"/>
      <c r="L476" s="211"/>
      <c r="M476" s="211"/>
    </row>
    <row r="477">
      <c r="C477" s="139"/>
      <c r="D477" s="139"/>
      <c r="F477" s="169"/>
      <c r="G477" s="172"/>
      <c r="H477" s="209"/>
      <c r="I477" s="172"/>
      <c r="J477" s="172"/>
      <c r="K477" s="172"/>
      <c r="L477" s="211"/>
      <c r="M477" s="211"/>
    </row>
    <row r="478">
      <c r="C478" s="139"/>
      <c r="D478" s="139"/>
      <c r="F478" s="169"/>
      <c r="G478" s="172"/>
      <c r="H478" s="209"/>
      <c r="I478" s="172"/>
      <c r="J478" s="172"/>
      <c r="K478" s="172"/>
      <c r="L478" s="211"/>
      <c r="M478" s="211"/>
    </row>
    <row r="479">
      <c r="C479" s="139"/>
      <c r="D479" s="139"/>
      <c r="F479" s="169"/>
      <c r="G479" s="172"/>
      <c r="H479" s="209"/>
      <c r="I479" s="172"/>
      <c r="J479" s="172"/>
      <c r="K479" s="172"/>
      <c r="L479" s="211"/>
      <c r="M479" s="211"/>
    </row>
    <row r="480">
      <c r="C480" s="139"/>
      <c r="D480" s="139"/>
      <c r="F480" s="169"/>
      <c r="G480" s="172"/>
      <c r="H480" s="209"/>
      <c r="I480" s="172"/>
      <c r="J480" s="172"/>
      <c r="K480" s="172"/>
      <c r="L480" s="211"/>
      <c r="M480" s="211"/>
    </row>
    <row r="481">
      <c r="C481" s="139"/>
      <c r="D481" s="139"/>
      <c r="F481" s="169"/>
      <c r="G481" s="172"/>
      <c r="H481" s="209"/>
      <c r="I481" s="172"/>
      <c r="J481" s="172"/>
      <c r="K481" s="172"/>
      <c r="L481" s="211"/>
      <c r="M481" s="211"/>
    </row>
    <row r="482">
      <c r="C482" s="139"/>
      <c r="D482" s="139"/>
      <c r="F482" s="169"/>
      <c r="G482" s="172"/>
      <c r="H482" s="209"/>
      <c r="I482" s="172"/>
      <c r="J482" s="172"/>
      <c r="K482" s="172"/>
      <c r="L482" s="211"/>
      <c r="M482" s="211"/>
    </row>
    <row r="483">
      <c r="C483" s="139"/>
      <c r="D483" s="139"/>
      <c r="F483" s="169"/>
      <c r="G483" s="172"/>
      <c r="H483" s="209"/>
      <c r="I483" s="172"/>
      <c r="J483" s="172"/>
      <c r="K483" s="172"/>
      <c r="L483" s="211"/>
      <c r="M483" s="211"/>
    </row>
    <row r="484">
      <c r="C484" s="139"/>
      <c r="D484" s="139"/>
      <c r="F484" s="169"/>
      <c r="G484" s="172"/>
      <c r="H484" s="209"/>
      <c r="I484" s="172"/>
      <c r="J484" s="172"/>
      <c r="K484" s="172"/>
      <c r="L484" s="211"/>
      <c r="M484" s="211"/>
    </row>
    <row r="485">
      <c r="C485" s="139"/>
      <c r="D485" s="139"/>
      <c r="F485" s="169"/>
      <c r="G485" s="172"/>
      <c r="H485" s="209"/>
      <c r="I485" s="172"/>
      <c r="J485" s="172"/>
      <c r="K485" s="172"/>
      <c r="L485" s="211"/>
      <c r="M485" s="211"/>
    </row>
    <row r="486">
      <c r="C486" s="139"/>
      <c r="D486" s="139"/>
      <c r="F486" s="169"/>
      <c r="G486" s="172"/>
      <c r="H486" s="209"/>
      <c r="I486" s="172"/>
      <c r="J486" s="172"/>
      <c r="K486" s="172"/>
      <c r="L486" s="211"/>
      <c r="M486" s="211"/>
    </row>
    <row r="487">
      <c r="C487" s="139"/>
      <c r="D487" s="139"/>
      <c r="F487" s="169"/>
      <c r="G487" s="172"/>
      <c r="H487" s="209"/>
      <c r="I487" s="172"/>
      <c r="J487" s="172"/>
      <c r="K487" s="172"/>
      <c r="L487" s="211"/>
      <c r="M487" s="211"/>
    </row>
    <row r="488">
      <c r="C488" s="139"/>
      <c r="D488" s="139"/>
      <c r="F488" s="169"/>
      <c r="G488" s="172"/>
      <c r="H488" s="209"/>
      <c r="I488" s="172"/>
      <c r="J488" s="172"/>
      <c r="K488" s="172"/>
      <c r="L488" s="211"/>
      <c r="M488" s="211"/>
    </row>
    <row r="489">
      <c r="C489" s="139"/>
      <c r="D489" s="139"/>
      <c r="F489" s="169"/>
      <c r="G489" s="172"/>
      <c r="H489" s="209"/>
      <c r="I489" s="172"/>
      <c r="J489" s="172"/>
      <c r="K489" s="172"/>
      <c r="L489" s="211"/>
      <c r="M489" s="211"/>
    </row>
    <row r="490">
      <c r="C490" s="139"/>
      <c r="D490" s="139"/>
      <c r="F490" s="169"/>
      <c r="G490" s="172"/>
      <c r="H490" s="209"/>
      <c r="I490" s="172"/>
      <c r="J490" s="172"/>
      <c r="K490" s="172"/>
      <c r="L490" s="211"/>
      <c r="M490" s="211"/>
    </row>
    <row r="491">
      <c r="C491" s="139"/>
      <c r="D491" s="139"/>
      <c r="F491" s="169"/>
      <c r="G491" s="172"/>
      <c r="H491" s="209"/>
      <c r="I491" s="172"/>
      <c r="J491" s="172"/>
      <c r="K491" s="172"/>
      <c r="L491" s="211"/>
      <c r="M491" s="211"/>
    </row>
    <row r="492">
      <c r="C492" s="139"/>
      <c r="D492" s="139"/>
      <c r="F492" s="169"/>
      <c r="G492" s="172"/>
      <c r="H492" s="209"/>
      <c r="I492" s="172"/>
      <c r="J492" s="172"/>
      <c r="K492" s="172"/>
      <c r="L492" s="211"/>
      <c r="M492" s="211"/>
    </row>
    <row r="493">
      <c r="C493" s="139"/>
      <c r="D493" s="139"/>
      <c r="F493" s="169"/>
      <c r="G493" s="172"/>
      <c r="H493" s="209"/>
      <c r="I493" s="172"/>
      <c r="J493" s="172"/>
      <c r="K493" s="172"/>
      <c r="L493" s="211"/>
      <c r="M493" s="211"/>
    </row>
    <row r="494">
      <c r="C494" s="139"/>
      <c r="D494" s="139"/>
      <c r="F494" s="169"/>
      <c r="G494" s="172"/>
      <c r="H494" s="209"/>
      <c r="I494" s="172"/>
      <c r="J494" s="172"/>
      <c r="K494" s="172"/>
      <c r="L494" s="211"/>
      <c r="M494" s="211"/>
    </row>
    <row r="495">
      <c r="C495" s="139"/>
      <c r="D495" s="139"/>
      <c r="F495" s="169"/>
      <c r="G495" s="172"/>
      <c r="H495" s="209"/>
      <c r="I495" s="172"/>
      <c r="J495" s="172"/>
      <c r="K495" s="172"/>
      <c r="L495" s="211"/>
      <c r="M495" s="211"/>
    </row>
    <row r="496">
      <c r="C496" s="139"/>
      <c r="D496" s="139"/>
      <c r="F496" s="169"/>
      <c r="G496" s="172"/>
      <c r="H496" s="209"/>
      <c r="I496" s="172"/>
      <c r="J496" s="172"/>
      <c r="K496" s="172"/>
      <c r="L496" s="211"/>
      <c r="M496" s="211"/>
    </row>
    <row r="497">
      <c r="C497" s="139"/>
      <c r="D497" s="139"/>
      <c r="F497" s="169"/>
      <c r="G497" s="172"/>
      <c r="H497" s="209"/>
      <c r="I497" s="172"/>
      <c r="J497" s="172"/>
      <c r="K497" s="172"/>
      <c r="L497" s="211"/>
      <c r="M497" s="211"/>
    </row>
    <row r="498">
      <c r="C498" s="139"/>
      <c r="D498" s="139"/>
      <c r="F498" s="169"/>
      <c r="G498" s="172"/>
      <c r="H498" s="209"/>
      <c r="I498" s="172"/>
      <c r="J498" s="172"/>
      <c r="K498" s="172"/>
      <c r="L498" s="211"/>
      <c r="M498" s="211"/>
    </row>
    <row r="499">
      <c r="C499" s="139"/>
      <c r="D499" s="139"/>
      <c r="F499" s="169"/>
      <c r="G499" s="172"/>
      <c r="H499" s="209"/>
      <c r="I499" s="172"/>
      <c r="J499" s="172"/>
      <c r="K499" s="172"/>
      <c r="L499" s="211"/>
      <c r="M499" s="211"/>
    </row>
    <row r="500">
      <c r="C500" s="139"/>
      <c r="D500" s="139"/>
      <c r="F500" s="169"/>
      <c r="G500" s="172"/>
      <c r="H500" s="209"/>
      <c r="I500" s="172"/>
      <c r="J500" s="172"/>
      <c r="K500" s="172"/>
      <c r="L500" s="211"/>
      <c r="M500" s="211"/>
    </row>
    <row r="501">
      <c r="C501" s="139"/>
      <c r="D501" s="139"/>
      <c r="F501" s="169"/>
      <c r="G501" s="172"/>
      <c r="H501" s="209"/>
      <c r="I501" s="172"/>
      <c r="J501" s="172"/>
      <c r="K501" s="172"/>
      <c r="L501" s="211"/>
      <c r="M501" s="211"/>
    </row>
    <row r="502">
      <c r="C502" s="139"/>
      <c r="D502" s="139"/>
      <c r="F502" s="169"/>
      <c r="G502" s="172"/>
      <c r="H502" s="209"/>
      <c r="I502" s="172"/>
      <c r="J502" s="172"/>
      <c r="K502" s="172"/>
      <c r="L502" s="211"/>
      <c r="M502" s="211"/>
    </row>
    <row r="503">
      <c r="C503" s="139"/>
      <c r="D503" s="139"/>
      <c r="F503" s="169"/>
      <c r="G503" s="172"/>
      <c r="H503" s="209"/>
      <c r="I503" s="172"/>
      <c r="J503" s="172"/>
      <c r="K503" s="172"/>
      <c r="L503" s="211"/>
      <c r="M503" s="211"/>
    </row>
    <row r="504">
      <c r="C504" s="139"/>
      <c r="D504" s="139"/>
      <c r="F504" s="169"/>
      <c r="G504" s="172"/>
      <c r="H504" s="209"/>
      <c r="I504" s="172"/>
      <c r="J504" s="172"/>
      <c r="K504" s="172"/>
      <c r="L504" s="211"/>
      <c r="M504" s="211"/>
    </row>
    <row r="505">
      <c r="C505" s="139"/>
      <c r="D505" s="139"/>
      <c r="F505" s="169"/>
      <c r="G505" s="172"/>
      <c r="H505" s="209"/>
      <c r="I505" s="172"/>
      <c r="J505" s="172"/>
      <c r="K505" s="172"/>
      <c r="L505" s="211"/>
      <c r="M505" s="211"/>
    </row>
    <row r="506">
      <c r="C506" s="139"/>
      <c r="D506" s="139"/>
      <c r="F506" s="169"/>
      <c r="G506" s="172"/>
      <c r="H506" s="209"/>
      <c r="I506" s="172"/>
      <c r="J506" s="172"/>
      <c r="K506" s="172"/>
      <c r="L506" s="211"/>
      <c r="M506" s="211"/>
    </row>
    <row r="507">
      <c r="C507" s="139"/>
      <c r="D507" s="139"/>
      <c r="F507" s="169"/>
      <c r="G507" s="172"/>
      <c r="H507" s="209"/>
      <c r="I507" s="172"/>
      <c r="J507" s="172"/>
      <c r="K507" s="172"/>
      <c r="L507" s="211"/>
      <c r="M507" s="211"/>
    </row>
    <row r="508">
      <c r="C508" s="139"/>
      <c r="D508" s="139"/>
      <c r="F508" s="169"/>
      <c r="G508" s="172"/>
      <c r="H508" s="209"/>
      <c r="I508" s="172"/>
      <c r="J508" s="172"/>
      <c r="K508" s="172"/>
      <c r="L508" s="211"/>
      <c r="M508" s="211"/>
    </row>
    <row r="509">
      <c r="C509" s="139"/>
      <c r="D509" s="139"/>
      <c r="F509" s="169"/>
      <c r="G509" s="172"/>
      <c r="H509" s="209"/>
      <c r="I509" s="172"/>
      <c r="J509" s="172"/>
      <c r="K509" s="172"/>
      <c r="L509" s="211"/>
      <c r="M509" s="211"/>
    </row>
    <row r="510">
      <c r="C510" s="139"/>
      <c r="D510" s="139"/>
      <c r="F510" s="169"/>
      <c r="G510" s="172"/>
      <c r="H510" s="209"/>
      <c r="I510" s="172"/>
      <c r="J510" s="172"/>
      <c r="K510" s="172"/>
      <c r="L510" s="211"/>
      <c r="M510" s="211"/>
    </row>
    <row r="511">
      <c r="C511" s="139"/>
      <c r="D511" s="139"/>
      <c r="F511" s="169"/>
      <c r="G511" s="172"/>
      <c r="H511" s="209"/>
      <c r="I511" s="172"/>
      <c r="J511" s="172"/>
      <c r="K511" s="172"/>
      <c r="L511" s="211"/>
      <c r="M511" s="211"/>
    </row>
    <row r="512">
      <c r="C512" s="139"/>
      <c r="D512" s="139"/>
      <c r="F512" s="169"/>
      <c r="G512" s="172"/>
      <c r="H512" s="209"/>
      <c r="I512" s="172"/>
      <c r="J512" s="172"/>
      <c r="K512" s="172"/>
      <c r="L512" s="211"/>
      <c r="M512" s="211"/>
    </row>
    <row r="513">
      <c r="C513" s="139"/>
      <c r="D513" s="139"/>
      <c r="F513" s="169"/>
      <c r="G513" s="172"/>
      <c r="H513" s="209"/>
      <c r="I513" s="172"/>
      <c r="J513" s="172"/>
      <c r="K513" s="172"/>
      <c r="L513" s="211"/>
      <c r="M513" s="211"/>
    </row>
    <row r="514">
      <c r="C514" s="139"/>
      <c r="D514" s="139"/>
      <c r="F514" s="169"/>
      <c r="G514" s="172"/>
      <c r="H514" s="209"/>
      <c r="I514" s="172"/>
      <c r="J514" s="172"/>
      <c r="K514" s="172"/>
      <c r="L514" s="211"/>
      <c r="M514" s="211"/>
    </row>
    <row r="515">
      <c r="C515" s="139"/>
      <c r="D515" s="139"/>
      <c r="F515" s="169"/>
      <c r="G515" s="172"/>
      <c r="H515" s="209"/>
      <c r="I515" s="172"/>
      <c r="J515" s="172"/>
      <c r="K515" s="172"/>
      <c r="L515" s="211"/>
      <c r="M515" s="211"/>
    </row>
    <row r="516">
      <c r="C516" s="139"/>
      <c r="D516" s="139"/>
      <c r="F516" s="169"/>
      <c r="G516" s="172"/>
      <c r="H516" s="209"/>
      <c r="I516" s="172"/>
      <c r="J516" s="172"/>
      <c r="K516" s="172"/>
      <c r="L516" s="211"/>
      <c r="M516" s="211"/>
    </row>
    <row r="517">
      <c r="C517" s="139"/>
      <c r="D517" s="139"/>
      <c r="F517" s="169"/>
      <c r="G517" s="172"/>
      <c r="H517" s="209"/>
      <c r="I517" s="172"/>
      <c r="J517" s="172"/>
      <c r="K517" s="172"/>
      <c r="L517" s="211"/>
      <c r="M517" s="211"/>
    </row>
    <row r="518">
      <c r="C518" s="139"/>
      <c r="D518" s="139"/>
      <c r="F518" s="169"/>
      <c r="G518" s="172"/>
      <c r="H518" s="209"/>
      <c r="I518" s="172"/>
      <c r="J518" s="172"/>
      <c r="K518" s="172"/>
      <c r="L518" s="211"/>
      <c r="M518" s="211"/>
    </row>
    <row r="519">
      <c r="C519" s="139"/>
      <c r="D519" s="139"/>
      <c r="F519" s="169"/>
      <c r="G519" s="172"/>
      <c r="H519" s="209"/>
      <c r="I519" s="172"/>
      <c r="J519" s="172"/>
      <c r="K519" s="172"/>
      <c r="L519" s="211"/>
      <c r="M519" s="211"/>
    </row>
    <row r="520">
      <c r="C520" s="139"/>
      <c r="D520" s="139"/>
      <c r="F520" s="169"/>
      <c r="G520" s="172"/>
      <c r="H520" s="209"/>
      <c r="I520" s="172"/>
      <c r="J520" s="172"/>
      <c r="K520" s="172"/>
      <c r="L520" s="211"/>
      <c r="M520" s="211"/>
    </row>
    <row r="521">
      <c r="C521" s="139"/>
      <c r="D521" s="139"/>
      <c r="F521" s="169"/>
      <c r="G521" s="172"/>
      <c r="H521" s="209"/>
      <c r="I521" s="172"/>
      <c r="J521" s="172"/>
      <c r="K521" s="172"/>
      <c r="L521" s="211"/>
      <c r="M521" s="211"/>
    </row>
    <row r="522">
      <c r="C522" s="139"/>
      <c r="D522" s="139"/>
      <c r="F522" s="169"/>
      <c r="G522" s="172"/>
      <c r="H522" s="209"/>
      <c r="I522" s="172"/>
      <c r="J522" s="172"/>
      <c r="K522" s="172"/>
      <c r="L522" s="211"/>
      <c r="M522" s="211"/>
    </row>
    <row r="523">
      <c r="C523" s="139"/>
      <c r="D523" s="139"/>
      <c r="F523" s="169"/>
      <c r="G523" s="172"/>
      <c r="H523" s="209"/>
      <c r="I523" s="172"/>
      <c r="J523" s="172"/>
      <c r="K523" s="172"/>
      <c r="L523" s="211"/>
      <c r="M523" s="211"/>
    </row>
    <row r="524">
      <c r="C524" s="139"/>
      <c r="D524" s="139"/>
      <c r="F524" s="169"/>
      <c r="G524" s="172"/>
      <c r="H524" s="209"/>
      <c r="I524" s="172"/>
      <c r="J524" s="172"/>
      <c r="K524" s="172"/>
      <c r="L524" s="211"/>
      <c r="M524" s="211"/>
    </row>
    <row r="525">
      <c r="C525" s="139"/>
      <c r="D525" s="139"/>
      <c r="F525" s="169"/>
      <c r="G525" s="172"/>
      <c r="H525" s="209"/>
      <c r="I525" s="172"/>
      <c r="J525" s="172"/>
      <c r="K525" s="172"/>
      <c r="L525" s="211"/>
      <c r="M525" s="211"/>
    </row>
    <row r="526">
      <c r="C526" s="139"/>
      <c r="D526" s="139"/>
      <c r="F526" s="169"/>
      <c r="G526" s="172"/>
      <c r="H526" s="209"/>
      <c r="I526" s="172"/>
      <c r="J526" s="172"/>
      <c r="K526" s="172"/>
      <c r="L526" s="211"/>
      <c r="M526" s="211"/>
    </row>
    <row r="527">
      <c r="C527" s="139"/>
      <c r="D527" s="139"/>
      <c r="F527" s="169"/>
      <c r="G527" s="172"/>
      <c r="H527" s="209"/>
      <c r="I527" s="172"/>
      <c r="J527" s="172"/>
      <c r="K527" s="172"/>
      <c r="L527" s="211"/>
      <c r="M527" s="211"/>
    </row>
    <row r="528">
      <c r="C528" s="139"/>
      <c r="D528" s="139"/>
      <c r="F528" s="169"/>
      <c r="G528" s="172"/>
      <c r="H528" s="209"/>
      <c r="I528" s="172"/>
      <c r="J528" s="172"/>
      <c r="K528" s="172"/>
      <c r="L528" s="211"/>
      <c r="M528" s="211"/>
    </row>
    <row r="529">
      <c r="C529" s="139"/>
      <c r="D529" s="139"/>
      <c r="F529" s="169"/>
      <c r="G529" s="172"/>
      <c r="H529" s="209"/>
      <c r="I529" s="172"/>
      <c r="J529" s="172"/>
      <c r="K529" s="172"/>
      <c r="L529" s="211"/>
      <c r="M529" s="211"/>
    </row>
    <row r="530">
      <c r="C530" s="139"/>
      <c r="D530" s="139"/>
      <c r="F530" s="169"/>
      <c r="G530" s="172"/>
      <c r="H530" s="209"/>
      <c r="I530" s="172"/>
      <c r="J530" s="172"/>
      <c r="K530" s="172"/>
      <c r="L530" s="211"/>
      <c r="M530" s="211"/>
    </row>
    <row r="531">
      <c r="C531" s="139"/>
      <c r="D531" s="139"/>
      <c r="F531" s="169"/>
      <c r="G531" s="172"/>
      <c r="H531" s="209"/>
      <c r="I531" s="172"/>
      <c r="J531" s="172"/>
      <c r="K531" s="172"/>
      <c r="L531" s="211"/>
      <c r="M531" s="211"/>
    </row>
    <row r="532">
      <c r="C532" s="139"/>
      <c r="D532" s="139"/>
      <c r="F532" s="169"/>
      <c r="G532" s="172"/>
      <c r="H532" s="209"/>
      <c r="I532" s="172"/>
      <c r="J532" s="172"/>
      <c r="K532" s="172"/>
      <c r="L532" s="211"/>
      <c r="M532" s="211"/>
    </row>
    <row r="533">
      <c r="C533" s="139"/>
      <c r="D533" s="139"/>
      <c r="F533" s="169"/>
      <c r="G533" s="172"/>
      <c r="H533" s="209"/>
      <c r="I533" s="172"/>
      <c r="J533" s="172"/>
      <c r="K533" s="172"/>
      <c r="L533" s="211"/>
      <c r="M533" s="211"/>
    </row>
    <row r="534">
      <c r="C534" s="139"/>
      <c r="D534" s="139"/>
      <c r="F534" s="169"/>
      <c r="G534" s="172"/>
      <c r="H534" s="209"/>
      <c r="I534" s="172"/>
      <c r="J534" s="172"/>
      <c r="K534" s="172"/>
      <c r="L534" s="211"/>
      <c r="M534" s="211"/>
    </row>
    <row r="535">
      <c r="C535" s="139"/>
      <c r="D535" s="139"/>
      <c r="F535" s="169"/>
      <c r="G535" s="172"/>
      <c r="H535" s="209"/>
      <c r="I535" s="172"/>
      <c r="J535" s="172"/>
      <c r="K535" s="172"/>
      <c r="L535" s="211"/>
      <c r="M535" s="211"/>
    </row>
    <row r="536">
      <c r="C536" s="139"/>
      <c r="D536" s="139"/>
      <c r="F536" s="169"/>
      <c r="G536" s="172"/>
      <c r="H536" s="209"/>
      <c r="I536" s="172"/>
      <c r="J536" s="172"/>
      <c r="K536" s="172"/>
      <c r="L536" s="211"/>
      <c r="M536" s="211"/>
    </row>
    <row r="537">
      <c r="C537" s="139"/>
      <c r="D537" s="139"/>
      <c r="F537" s="169"/>
      <c r="G537" s="172"/>
      <c r="H537" s="209"/>
      <c r="I537" s="172"/>
      <c r="J537" s="172"/>
      <c r="K537" s="172"/>
      <c r="L537" s="211"/>
      <c r="M537" s="211"/>
    </row>
    <row r="538">
      <c r="C538" s="139"/>
      <c r="D538" s="139"/>
      <c r="F538" s="169"/>
      <c r="G538" s="172"/>
      <c r="H538" s="209"/>
      <c r="I538" s="172"/>
      <c r="J538" s="172"/>
      <c r="K538" s="172"/>
      <c r="L538" s="211"/>
      <c r="M538" s="211"/>
    </row>
    <row r="539">
      <c r="C539" s="139"/>
      <c r="D539" s="139"/>
      <c r="F539" s="169"/>
      <c r="G539" s="172"/>
      <c r="H539" s="209"/>
      <c r="I539" s="172"/>
      <c r="J539" s="172"/>
      <c r="K539" s="172"/>
      <c r="L539" s="211"/>
      <c r="M539" s="211"/>
    </row>
    <row r="540">
      <c r="C540" s="139"/>
      <c r="D540" s="139"/>
      <c r="F540" s="169"/>
      <c r="G540" s="172"/>
      <c r="H540" s="209"/>
      <c r="I540" s="172"/>
      <c r="J540" s="172"/>
      <c r="K540" s="172"/>
      <c r="L540" s="211"/>
      <c r="M540" s="211"/>
    </row>
    <row r="541">
      <c r="C541" s="139"/>
      <c r="D541" s="139"/>
      <c r="F541" s="169"/>
      <c r="G541" s="172"/>
      <c r="H541" s="209"/>
      <c r="I541" s="172"/>
      <c r="J541" s="172"/>
      <c r="K541" s="172"/>
      <c r="L541" s="211"/>
      <c r="M541" s="211"/>
    </row>
    <row r="542">
      <c r="C542" s="139"/>
      <c r="D542" s="139"/>
      <c r="F542" s="169"/>
      <c r="G542" s="172"/>
      <c r="H542" s="209"/>
      <c r="I542" s="172"/>
      <c r="J542" s="172"/>
      <c r="K542" s="172"/>
      <c r="L542" s="211"/>
      <c r="M542" s="211"/>
    </row>
    <row r="543">
      <c r="C543" s="139"/>
      <c r="D543" s="139"/>
      <c r="F543" s="169"/>
      <c r="G543" s="172"/>
      <c r="H543" s="209"/>
      <c r="I543" s="172"/>
      <c r="J543" s="172"/>
      <c r="K543" s="172"/>
      <c r="L543" s="211"/>
      <c r="M543" s="211"/>
    </row>
    <row r="544">
      <c r="C544" s="139"/>
      <c r="D544" s="139"/>
      <c r="F544" s="169"/>
      <c r="G544" s="172"/>
      <c r="H544" s="209"/>
      <c r="I544" s="172"/>
      <c r="J544" s="172"/>
      <c r="K544" s="172"/>
      <c r="L544" s="211"/>
      <c r="M544" s="211"/>
    </row>
    <row r="545">
      <c r="C545" s="139"/>
      <c r="D545" s="139"/>
      <c r="F545" s="169"/>
      <c r="G545" s="172"/>
      <c r="H545" s="209"/>
      <c r="I545" s="172"/>
      <c r="J545" s="172"/>
      <c r="K545" s="172"/>
      <c r="L545" s="211"/>
      <c r="M545" s="211"/>
    </row>
    <row r="546">
      <c r="C546" s="139"/>
      <c r="D546" s="139"/>
      <c r="F546" s="169"/>
      <c r="G546" s="172"/>
      <c r="H546" s="209"/>
      <c r="I546" s="172"/>
      <c r="J546" s="172"/>
      <c r="K546" s="172"/>
      <c r="L546" s="211"/>
      <c r="M546" s="211"/>
    </row>
    <row r="547">
      <c r="C547" s="139"/>
      <c r="D547" s="139"/>
      <c r="F547" s="169"/>
      <c r="G547" s="172"/>
      <c r="H547" s="209"/>
      <c r="I547" s="172"/>
      <c r="J547" s="172"/>
      <c r="K547" s="172"/>
      <c r="L547" s="211"/>
      <c r="M547" s="211"/>
    </row>
    <row r="548">
      <c r="C548" s="139"/>
      <c r="D548" s="139"/>
      <c r="F548" s="169"/>
      <c r="G548" s="172"/>
      <c r="H548" s="209"/>
      <c r="I548" s="172"/>
      <c r="J548" s="172"/>
      <c r="K548" s="172"/>
      <c r="L548" s="211"/>
      <c r="M548" s="211"/>
    </row>
    <row r="549">
      <c r="C549" s="139"/>
      <c r="D549" s="139"/>
      <c r="F549" s="169"/>
      <c r="G549" s="172"/>
      <c r="H549" s="209"/>
      <c r="I549" s="172"/>
      <c r="J549" s="172"/>
      <c r="K549" s="172"/>
      <c r="L549" s="211"/>
      <c r="M549" s="211"/>
    </row>
    <row r="550">
      <c r="C550" s="139"/>
      <c r="D550" s="139"/>
      <c r="F550" s="169"/>
      <c r="G550" s="172"/>
      <c r="H550" s="209"/>
      <c r="I550" s="172"/>
      <c r="J550" s="172"/>
      <c r="K550" s="172"/>
      <c r="L550" s="211"/>
      <c r="M550" s="211"/>
    </row>
    <row r="551">
      <c r="C551" s="139"/>
      <c r="D551" s="139"/>
      <c r="F551" s="169"/>
      <c r="G551" s="172"/>
      <c r="H551" s="209"/>
      <c r="I551" s="172"/>
      <c r="J551" s="172"/>
      <c r="K551" s="172"/>
      <c r="L551" s="211"/>
      <c r="M551" s="211"/>
    </row>
    <row r="552">
      <c r="C552" s="139"/>
      <c r="D552" s="139"/>
      <c r="F552" s="169"/>
      <c r="G552" s="172"/>
      <c r="H552" s="209"/>
      <c r="I552" s="172"/>
      <c r="J552" s="172"/>
      <c r="K552" s="172"/>
      <c r="L552" s="211"/>
      <c r="M552" s="211"/>
    </row>
    <row r="553">
      <c r="C553" s="139"/>
      <c r="D553" s="139"/>
      <c r="F553" s="169"/>
      <c r="G553" s="172"/>
      <c r="H553" s="209"/>
      <c r="I553" s="172"/>
      <c r="J553" s="172"/>
      <c r="K553" s="172"/>
      <c r="L553" s="211"/>
      <c r="M553" s="211"/>
    </row>
    <row r="554">
      <c r="C554" s="139"/>
      <c r="D554" s="139"/>
      <c r="F554" s="169"/>
      <c r="G554" s="172"/>
      <c r="H554" s="209"/>
      <c r="I554" s="172"/>
      <c r="J554" s="172"/>
      <c r="K554" s="172"/>
      <c r="L554" s="211"/>
      <c r="M554" s="211"/>
    </row>
    <row r="555">
      <c r="C555" s="139"/>
      <c r="D555" s="139"/>
      <c r="F555" s="169"/>
      <c r="G555" s="172"/>
      <c r="H555" s="209"/>
      <c r="I555" s="172"/>
      <c r="J555" s="172"/>
      <c r="K555" s="172"/>
      <c r="L555" s="211"/>
      <c r="M555" s="211"/>
    </row>
    <row r="556">
      <c r="C556" s="139"/>
      <c r="D556" s="139"/>
      <c r="F556" s="169"/>
      <c r="G556" s="172"/>
      <c r="H556" s="209"/>
      <c r="I556" s="172"/>
      <c r="J556" s="172"/>
      <c r="K556" s="172"/>
      <c r="L556" s="211"/>
      <c r="M556" s="211"/>
    </row>
    <row r="557">
      <c r="C557" s="139"/>
      <c r="D557" s="139"/>
      <c r="F557" s="169"/>
      <c r="G557" s="172"/>
      <c r="H557" s="209"/>
      <c r="I557" s="172"/>
      <c r="J557" s="172"/>
      <c r="K557" s="172"/>
      <c r="L557" s="211"/>
      <c r="M557" s="211"/>
    </row>
    <row r="558">
      <c r="C558" s="139"/>
      <c r="D558" s="139"/>
      <c r="F558" s="169"/>
      <c r="G558" s="172"/>
      <c r="H558" s="209"/>
      <c r="I558" s="172"/>
      <c r="J558" s="172"/>
      <c r="K558" s="172"/>
      <c r="L558" s="211"/>
      <c r="M558" s="211"/>
    </row>
    <row r="559">
      <c r="C559" s="139"/>
      <c r="D559" s="139"/>
      <c r="F559" s="169"/>
      <c r="G559" s="172"/>
      <c r="H559" s="209"/>
      <c r="I559" s="172"/>
      <c r="J559" s="172"/>
      <c r="K559" s="172"/>
      <c r="L559" s="211"/>
      <c r="M559" s="211"/>
    </row>
    <row r="560">
      <c r="C560" s="139"/>
      <c r="D560" s="139"/>
      <c r="F560" s="169"/>
      <c r="G560" s="172"/>
      <c r="H560" s="209"/>
      <c r="I560" s="172"/>
      <c r="J560" s="172"/>
      <c r="K560" s="172"/>
      <c r="L560" s="211"/>
      <c r="M560" s="211"/>
    </row>
    <row r="561">
      <c r="C561" s="139"/>
      <c r="D561" s="139"/>
      <c r="F561" s="169"/>
      <c r="G561" s="172"/>
      <c r="H561" s="209"/>
      <c r="I561" s="172"/>
      <c r="J561" s="172"/>
      <c r="K561" s="172"/>
      <c r="L561" s="211"/>
      <c r="M561" s="211"/>
    </row>
    <row r="562">
      <c r="C562" s="139"/>
      <c r="D562" s="139"/>
      <c r="F562" s="169"/>
      <c r="G562" s="172"/>
      <c r="H562" s="209"/>
      <c r="I562" s="172"/>
      <c r="J562" s="172"/>
      <c r="K562" s="172"/>
      <c r="L562" s="211"/>
      <c r="M562" s="211"/>
    </row>
    <row r="563">
      <c r="C563" s="139"/>
      <c r="D563" s="139"/>
      <c r="F563" s="169"/>
      <c r="G563" s="172"/>
      <c r="H563" s="209"/>
      <c r="I563" s="172"/>
      <c r="J563" s="172"/>
      <c r="K563" s="172"/>
      <c r="L563" s="211"/>
      <c r="M563" s="211"/>
    </row>
    <row r="564">
      <c r="C564" s="139"/>
      <c r="D564" s="139"/>
      <c r="F564" s="169"/>
      <c r="G564" s="172"/>
      <c r="H564" s="209"/>
      <c r="I564" s="172"/>
      <c r="J564" s="172"/>
      <c r="K564" s="172"/>
      <c r="L564" s="211"/>
      <c r="M564" s="211"/>
    </row>
    <row r="565">
      <c r="C565" s="139"/>
      <c r="D565" s="139"/>
      <c r="F565" s="169"/>
      <c r="G565" s="172"/>
      <c r="H565" s="209"/>
      <c r="I565" s="172"/>
      <c r="J565" s="172"/>
      <c r="K565" s="172"/>
      <c r="L565" s="211"/>
      <c r="M565" s="211"/>
    </row>
    <row r="566">
      <c r="C566" s="139"/>
      <c r="D566" s="139"/>
      <c r="F566" s="169"/>
      <c r="G566" s="172"/>
      <c r="H566" s="209"/>
      <c r="I566" s="172"/>
      <c r="J566" s="172"/>
      <c r="K566" s="172"/>
      <c r="L566" s="211"/>
      <c r="M566" s="211"/>
    </row>
    <row r="567">
      <c r="C567" s="139"/>
      <c r="D567" s="139"/>
      <c r="F567" s="169"/>
      <c r="G567" s="172"/>
      <c r="H567" s="209"/>
      <c r="I567" s="172"/>
      <c r="J567" s="172"/>
      <c r="K567" s="172"/>
      <c r="L567" s="211"/>
      <c r="M567" s="211"/>
    </row>
    <row r="568">
      <c r="C568" s="139"/>
      <c r="D568" s="139"/>
      <c r="F568" s="169"/>
      <c r="G568" s="172"/>
      <c r="H568" s="209"/>
      <c r="I568" s="172"/>
      <c r="J568" s="172"/>
      <c r="K568" s="172"/>
      <c r="L568" s="211"/>
      <c r="M568" s="211"/>
    </row>
    <row r="569">
      <c r="C569" s="139"/>
      <c r="D569" s="139"/>
      <c r="F569" s="169"/>
      <c r="G569" s="172"/>
      <c r="H569" s="209"/>
      <c r="I569" s="172"/>
      <c r="J569" s="172"/>
      <c r="K569" s="172"/>
      <c r="L569" s="211"/>
      <c r="M569" s="211"/>
    </row>
    <row r="570">
      <c r="C570" s="139"/>
      <c r="D570" s="139"/>
      <c r="F570" s="169"/>
      <c r="G570" s="172"/>
      <c r="H570" s="209"/>
      <c r="I570" s="172"/>
      <c r="J570" s="172"/>
      <c r="K570" s="172"/>
      <c r="L570" s="211"/>
      <c r="M570" s="211"/>
    </row>
    <row r="571">
      <c r="C571" s="139"/>
      <c r="D571" s="139"/>
      <c r="F571" s="169"/>
      <c r="G571" s="172"/>
      <c r="H571" s="209"/>
      <c r="I571" s="172"/>
      <c r="J571" s="172"/>
      <c r="K571" s="172"/>
      <c r="L571" s="211"/>
      <c r="M571" s="211"/>
    </row>
    <row r="572">
      <c r="C572" s="139"/>
      <c r="D572" s="139"/>
      <c r="F572" s="169"/>
      <c r="G572" s="172"/>
      <c r="H572" s="209"/>
      <c r="I572" s="172"/>
      <c r="J572" s="172"/>
      <c r="K572" s="172"/>
      <c r="L572" s="211"/>
      <c r="M572" s="211"/>
    </row>
    <row r="573">
      <c r="C573" s="139"/>
      <c r="D573" s="139"/>
      <c r="F573" s="169"/>
      <c r="G573" s="172"/>
      <c r="H573" s="209"/>
      <c r="I573" s="172"/>
      <c r="J573" s="172"/>
      <c r="K573" s="172"/>
      <c r="L573" s="211"/>
      <c r="M573" s="211"/>
    </row>
    <row r="574">
      <c r="C574" s="139"/>
      <c r="D574" s="139"/>
      <c r="F574" s="169"/>
      <c r="G574" s="172"/>
      <c r="H574" s="209"/>
      <c r="I574" s="172"/>
      <c r="J574" s="172"/>
      <c r="K574" s="172"/>
      <c r="L574" s="211"/>
      <c r="M574" s="211"/>
    </row>
    <row r="575">
      <c r="C575" s="139"/>
      <c r="D575" s="139"/>
      <c r="F575" s="169"/>
      <c r="G575" s="172"/>
      <c r="H575" s="209"/>
      <c r="I575" s="172"/>
      <c r="J575" s="172"/>
      <c r="K575" s="172"/>
      <c r="L575" s="211"/>
      <c r="M575" s="211"/>
    </row>
    <row r="576">
      <c r="C576" s="139"/>
      <c r="D576" s="139"/>
      <c r="F576" s="169"/>
      <c r="G576" s="172"/>
      <c r="H576" s="209"/>
      <c r="I576" s="172"/>
      <c r="J576" s="172"/>
      <c r="K576" s="172"/>
      <c r="L576" s="211"/>
      <c r="M576" s="211"/>
    </row>
    <row r="577">
      <c r="C577" s="139"/>
      <c r="D577" s="139"/>
      <c r="F577" s="169"/>
      <c r="G577" s="172"/>
      <c r="H577" s="209"/>
      <c r="I577" s="172"/>
      <c r="J577" s="172"/>
      <c r="K577" s="172"/>
      <c r="L577" s="211"/>
      <c r="M577" s="211"/>
    </row>
    <row r="578">
      <c r="C578" s="139"/>
      <c r="D578" s="139"/>
      <c r="F578" s="169"/>
      <c r="G578" s="172"/>
      <c r="H578" s="209"/>
      <c r="I578" s="172"/>
      <c r="J578" s="172"/>
      <c r="K578" s="172"/>
      <c r="L578" s="211"/>
      <c r="M578" s="211"/>
    </row>
    <row r="579">
      <c r="C579" s="139"/>
      <c r="D579" s="139"/>
      <c r="F579" s="169"/>
      <c r="G579" s="172"/>
      <c r="H579" s="209"/>
      <c r="I579" s="172"/>
      <c r="J579" s="172"/>
      <c r="K579" s="172"/>
      <c r="L579" s="211"/>
      <c r="M579" s="211"/>
    </row>
    <row r="580">
      <c r="C580" s="139"/>
      <c r="D580" s="139"/>
      <c r="F580" s="169"/>
      <c r="G580" s="172"/>
      <c r="H580" s="209"/>
      <c r="I580" s="172"/>
      <c r="J580" s="172"/>
      <c r="K580" s="172"/>
      <c r="L580" s="211"/>
      <c r="M580" s="211"/>
    </row>
    <row r="581">
      <c r="C581" s="139"/>
      <c r="D581" s="139"/>
      <c r="F581" s="169"/>
      <c r="G581" s="172"/>
      <c r="H581" s="209"/>
      <c r="I581" s="172"/>
      <c r="J581" s="172"/>
      <c r="K581" s="172"/>
      <c r="L581" s="211"/>
      <c r="M581" s="211"/>
    </row>
    <row r="582">
      <c r="C582" s="139"/>
      <c r="D582" s="139"/>
      <c r="F582" s="169"/>
      <c r="G582" s="172"/>
      <c r="H582" s="209"/>
      <c r="I582" s="172"/>
      <c r="J582" s="172"/>
      <c r="K582" s="172"/>
      <c r="L582" s="211"/>
      <c r="M582" s="211"/>
    </row>
    <row r="583">
      <c r="C583" s="139"/>
      <c r="D583" s="139"/>
      <c r="F583" s="169"/>
      <c r="G583" s="172"/>
      <c r="H583" s="209"/>
      <c r="I583" s="172"/>
      <c r="J583" s="172"/>
      <c r="K583" s="172"/>
      <c r="L583" s="211"/>
      <c r="M583" s="211"/>
    </row>
    <row r="584">
      <c r="C584" s="139"/>
      <c r="D584" s="139"/>
      <c r="F584" s="169"/>
      <c r="G584" s="172"/>
      <c r="H584" s="209"/>
      <c r="I584" s="172"/>
      <c r="J584" s="172"/>
      <c r="K584" s="172"/>
      <c r="L584" s="211"/>
      <c r="M584" s="211"/>
    </row>
    <row r="585">
      <c r="C585" s="139"/>
      <c r="D585" s="139"/>
      <c r="F585" s="169"/>
      <c r="G585" s="172"/>
      <c r="H585" s="209"/>
      <c r="I585" s="172"/>
      <c r="J585" s="172"/>
      <c r="K585" s="172"/>
      <c r="L585" s="211"/>
      <c r="M585" s="211"/>
    </row>
    <row r="586">
      <c r="C586" s="139"/>
      <c r="D586" s="139"/>
      <c r="F586" s="169"/>
      <c r="G586" s="172"/>
      <c r="H586" s="209"/>
      <c r="I586" s="172"/>
      <c r="J586" s="172"/>
      <c r="K586" s="172"/>
      <c r="L586" s="211"/>
      <c r="M586" s="211"/>
    </row>
    <row r="587">
      <c r="C587" s="139"/>
      <c r="D587" s="139"/>
      <c r="F587" s="169"/>
      <c r="G587" s="172"/>
      <c r="H587" s="209"/>
      <c r="I587" s="172"/>
      <c r="J587" s="172"/>
      <c r="K587" s="172"/>
      <c r="L587" s="211"/>
      <c r="M587" s="211"/>
    </row>
    <row r="588">
      <c r="C588" s="139"/>
      <c r="D588" s="139"/>
      <c r="F588" s="169"/>
      <c r="G588" s="172"/>
      <c r="H588" s="209"/>
      <c r="I588" s="172"/>
      <c r="J588" s="172"/>
      <c r="K588" s="172"/>
      <c r="L588" s="211"/>
      <c r="M588" s="211"/>
    </row>
    <row r="589">
      <c r="C589" s="139"/>
      <c r="D589" s="139"/>
      <c r="F589" s="169"/>
      <c r="G589" s="172"/>
      <c r="H589" s="209"/>
      <c r="I589" s="172"/>
      <c r="J589" s="172"/>
      <c r="K589" s="172"/>
      <c r="L589" s="211"/>
      <c r="M589" s="211"/>
    </row>
    <row r="590">
      <c r="C590" s="139"/>
      <c r="D590" s="139"/>
      <c r="F590" s="169"/>
      <c r="G590" s="172"/>
      <c r="H590" s="209"/>
      <c r="I590" s="172"/>
      <c r="J590" s="172"/>
      <c r="K590" s="172"/>
      <c r="L590" s="211"/>
      <c r="M590" s="211"/>
    </row>
    <row r="591">
      <c r="C591" s="139"/>
      <c r="D591" s="139"/>
      <c r="F591" s="169"/>
      <c r="G591" s="172"/>
      <c r="H591" s="209"/>
      <c r="I591" s="172"/>
      <c r="J591" s="172"/>
      <c r="K591" s="172"/>
      <c r="L591" s="211"/>
      <c r="M591" s="211"/>
    </row>
    <row r="592">
      <c r="C592" s="139"/>
      <c r="D592" s="139"/>
      <c r="F592" s="169"/>
      <c r="G592" s="172"/>
      <c r="H592" s="209"/>
      <c r="I592" s="172"/>
      <c r="J592" s="172"/>
      <c r="K592" s="172"/>
      <c r="L592" s="211"/>
      <c r="M592" s="211"/>
    </row>
    <row r="593">
      <c r="C593" s="139"/>
      <c r="D593" s="139"/>
      <c r="F593" s="169"/>
      <c r="G593" s="172"/>
      <c r="H593" s="209"/>
      <c r="I593" s="172"/>
      <c r="J593" s="172"/>
      <c r="K593" s="172"/>
      <c r="L593" s="211"/>
      <c r="M593" s="211"/>
    </row>
    <row r="594">
      <c r="C594" s="139"/>
      <c r="D594" s="139"/>
      <c r="F594" s="169"/>
      <c r="G594" s="172"/>
      <c r="H594" s="209"/>
      <c r="I594" s="172"/>
      <c r="J594" s="172"/>
      <c r="K594" s="172"/>
      <c r="L594" s="211"/>
      <c r="M594" s="211"/>
    </row>
    <row r="595">
      <c r="C595" s="139"/>
      <c r="D595" s="139"/>
      <c r="F595" s="169"/>
      <c r="G595" s="172"/>
      <c r="H595" s="209"/>
      <c r="I595" s="172"/>
      <c r="J595" s="172"/>
      <c r="K595" s="172"/>
      <c r="L595" s="211"/>
      <c r="M595" s="211"/>
    </row>
    <row r="596">
      <c r="C596" s="139"/>
      <c r="D596" s="139"/>
      <c r="F596" s="169"/>
      <c r="G596" s="172"/>
      <c r="H596" s="209"/>
      <c r="I596" s="172"/>
      <c r="J596" s="172"/>
      <c r="K596" s="172"/>
      <c r="L596" s="211"/>
      <c r="M596" s="211"/>
    </row>
    <row r="597">
      <c r="C597" s="139"/>
      <c r="D597" s="139"/>
      <c r="F597" s="169"/>
      <c r="G597" s="172"/>
      <c r="H597" s="209"/>
      <c r="I597" s="172"/>
      <c r="J597" s="172"/>
      <c r="K597" s="172"/>
      <c r="L597" s="211"/>
      <c r="M597" s="211"/>
    </row>
    <row r="598">
      <c r="C598" s="139"/>
      <c r="D598" s="139"/>
      <c r="F598" s="169"/>
      <c r="G598" s="172"/>
      <c r="H598" s="209"/>
      <c r="I598" s="172"/>
      <c r="J598" s="172"/>
      <c r="K598" s="172"/>
      <c r="L598" s="211"/>
      <c r="M598" s="211"/>
    </row>
    <row r="599">
      <c r="C599" s="139"/>
      <c r="D599" s="139"/>
      <c r="F599" s="169"/>
      <c r="G599" s="172"/>
      <c r="H599" s="209"/>
      <c r="I599" s="172"/>
      <c r="J599" s="172"/>
      <c r="K599" s="172"/>
      <c r="L599" s="211"/>
      <c r="M599" s="211"/>
    </row>
    <row r="600">
      <c r="C600" s="139"/>
      <c r="D600" s="139"/>
      <c r="F600" s="169"/>
      <c r="G600" s="172"/>
      <c r="H600" s="209"/>
      <c r="I600" s="172"/>
      <c r="J600" s="172"/>
      <c r="K600" s="172"/>
      <c r="L600" s="211"/>
      <c r="M600" s="211"/>
    </row>
    <row r="601">
      <c r="C601" s="139"/>
      <c r="D601" s="139"/>
      <c r="F601" s="169"/>
      <c r="G601" s="172"/>
      <c r="H601" s="209"/>
      <c r="I601" s="172"/>
      <c r="J601" s="172"/>
      <c r="K601" s="172"/>
      <c r="L601" s="211"/>
      <c r="M601" s="211"/>
    </row>
    <row r="602">
      <c r="C602" s="139"/>
      <c r="D602" s="139"/>
      <c r="F602" s="169"/>
      <c r="G602" s="172"/>
      <c r="H602" s="209"/>
      <c r="I602" s="172"/>
      <c r="J602" s="172"/>
      <c r="K602" s="172"/>
      <c r="L602" s="211"/>
      <c r="M602" s="211"/>
    </row>
    <row r="603">
      <c r="C603" s="139"/>
      <c r="D603" s="139"/>
      <c r="F603" s="169"/>
      <c r="G603" s="172"/>
      <c r="H603" s="209"/>
      <c r="I603" s="172"/>
      <c r="J603" s="172"/>
      <c r="K603" s="172"/>
      <c r="L603" s="211"/>
      <c r="M603" s="211"/>
    </row>
    <row r="604">
      <c r="C604" s="139"/>
      <c r="D604" s="139"/>
      <c r="F604" s="169"/>
      <c r="G604" s="172"/>
      <c r="H604" s="209"/>
      <c r="I604" s="172"/>
      <c r="J604" s="172"/>
      <c r="K604" s="172"/>
      <c r="L604" s="211"/>
      <c r="M604" s="211"/>
    </row>
    <row r="605">
      <c r="C605" s="139"/>
      <c r="D605" s="139"/>
      <c r="F605" s="169"/>
      <c r="G605" s="172"/>
      <c r="H605" s="209"/>
      <c r="I605" s="172"/>
      <c r="J605" s="172"/>
      <c r="K605" s="172"/>
      <c r="L605" s="211"/>
      <c r="M605" s="211"/>
    </row>
    <row r="606">
      <c r="C606" s="139"/>
      <c r="D606" s="139"/>
      <c r="F606" s="169"/>
      <c r="G606" s="172"/>
      <c r="H606" s="209"/>
      <c r="I606" s="172"/>
      <c r="J606" s="172"/>
      <c r="K606" s="172"/>
      <c r="L606" s="211"/>
      <c r="M606" s="211"/>
    </row>
    <row r="607">
      <c r="C607" s="139"/>
      <c r="D607" s="139"/>
      <c r="F607" s="169"/>
      <c r="G607" s="172"/>
      <c r="H607" s="209"/>
      <c r="I607" s="172"/>
      <c r="J607" s="172"/>
      <c r="K607" s="172"/>
      <c r="L607" s="211"/>
      <c r="M607" s="211"/>
    </row>
    <row r="608">
      <c r="C608" s="139"/>
      <c r="D608" s="139"/>
      <c r="F608" s="169"/>
      <c r="G608" s="172"/>
      <c r="H608" s="209"/>
      <c r="I608" s="172"/>
      <c r="J608" s="172"/>
      <c r="K608" s="172"/>
      <c r="L608" s="211"/>
      <c r="M608" s="211"/>
    </row>
    <row r="609">
      <c r="C609" s="139"/>
      <c r="D609" s="139"/>
      <c r="F609" s="169"/>
      <c r="G609" s="172"/>
      <c r="H609" s="209"/>
      <c r="I609" s="172"/>
      <c r="J609" s="172"/>
      <c r="K609" s="172"/>
      <c r="L609" s="211"/>
      <c r="M609" s="211"/>
    </row>
    <row r="610">
      <c r="C610" s="139"/>
      <c r="D610" s="139"/>
      <c r="F610" s="169"/>
      <c r="G610" s="172"/>
      <c r="H610" s="209"/>
      <c r="I610" s="172"/>
      <c r="J610" s="172"/>
      <c r="K610" s="172"/>
      <c r="L610" s="211"/>
      <c r="M610" s="211"/>
    </row>
    <row r="611">
      <c r="C611" s="139"/>
      <c r="D611" s="139"/>
      <c r="F611" s="169"/>
      <c r="G611" s="172"/>
      <c r="H611" s="209"/>
      <c r="I611" s="172"/>
      <c r="J611" s="172"/>
      <c r="K611" s="172"/>
      <c r="L611" s="211"/>
      <c r="M611" s="211"/>
    </row>
    <row r="612">
      <c r="C612" s="139"/>
      <c r="D612" s="139"/>
      <c r="F612" s="169"/>
      <c r="G612" s="172"/>
      <c r="H612" s="209"/>
      <c r="I612" s="172"/>
      <c r="J612" s="172"/>
      <c r="K612" s="172"/>
      <c r="L612" s="211"/>
      <c r="M612" s="211"/>
    </row>
    <row r="613">
      <c r="C613" s="139"/>
      <c r="D613" s="139"/>
      <c r="F613" s="169"/>
      <c r="G613" s="172"/>
      <c r="H613" s="209"/>
      <c r="I613" s="172"/>
      <c r="J613" s="172"/>
      <c r="K613" s="172"/>
      <c r="L613" s="211"/>
      <c r="M613" s="211"/>
    </row>
    <row r="614">
      <c r="C614" s="139"/>
      <c r="D614" s="139"/>
      <c r="F614" s="169"/>
      <c r="G614" s="172"/>
      <c r="H614" s="209"/>
      <c r="I614" s="172"/>
      <c r="J614" s="172"/>
      <c r="K614" s="172"/>
      <c r="L614" s="211"/>
      <c r="M614" s="211"/>
    </row>
    <row r="615">
      <c r="C615" s="139"/>
      <c r="D615" s="139"/>
      <c r="F615" s="169"/>
      <c r="G615" s="172"/>
      <c r="H615" s="209"/>
      <c r="I615" s="172"/>
      <c r="J615" s="172"/>
      <c r="K615" s="172"/>
      <c r="L615" s="211"/>
      <c r="M615" s="211"/>
    </row>
    <row r="616">
      <c r="C616" s="139"/>
      <c r="D616" s="139"/>
      <c r="F616" s="169"/>
      <c r="G616" s="172"/>
      <c r="H616" s="209"/>
      <c r="I616" s="172"/>
      <c r="J616" s="172"/>
      <c r="K616" s="172"/>
      <c r="L616" s="211"/>
      <c r="M616" s="211"/>
    </row>
    <row r="617">
      <c r="C617" s="139"/>
      <c r="D617" s="139"/>
      <c r="F617" s="169"/>
      <c r="G617" s="172"/>
      <c r="H617" s="209"/>
      <c r="I617" s="172"/>
      <c r="J617" s="172"/>
      <c r="K617" s="172"/>
      <c r="L617" s="211"/>
      <c r="M617" s="211"/>
    </row>
    <row r="618">
      <c r="C618" s="139"/>
      <c r="D618" s="139"/>
      <c r="F618" s="169"/>
      <c r="G618" s="172"/>
      <c r="H618" s="209"/>
      <c r="I618" s="172"/>
      <c r="J618" s="172"/>
      <c r="K618" s="172"/>
      <c r="L618" s="211"/>
      <c r="M618" s="211"/>
    </row>
    <row r="619">
      <c r="C619" s="139"/>
      <c r="D619" s="139"/>
      <c r="F619" s="169"/>
      <c r="G619" s="172"/>
      <c r="H619" s="209"/>
      <c r="I619" s="172"/>
      <c r="J619" s="172"/>
      <c r="K619" s="172"/>
      <c r="L619" s="211"/>
      <c r="M619" s="211"/>
    </row>
    <row r="620">
      <c r="C620" s="139"/>
      <c r="D620" s="139"/>
      <c r="F620" s="169"/>
      <c r="G620" s="172"/>
      <c r="H620" s="209"/>
      <c r="I620" s="172"/>
      <c r="J620" s="172"/>
      <c r="K620" s="172"/>
      <c r="L620" s="211"/>
      <c r="M620" s="211"/>
    </row>
    <row r="621">
      <c r="C621" s="139"/>
      <c r="D621" s="139"/>
      <c r="F621" s="169"/>
      <c r="G621" s="172"/>
      <c r="H621" s="209"/>
      <c r="I621" s="172"/>
      <c r="J621" s="172"/>
      <c r="K621" s="172"/>
      <c r="L621" s="211"/>
      <c r="M621" s="211"/>
    </row>
    <row r="622">
      <c r="C622" s="139"/>
      <c r="D622" s="139"/>
      <c r="F622" s="169"/>
      <c r="G622" s="172"/>
      <c r="H622" s="209"/>
      <c r="I622" s="172"/>
      <c r="J622" s="172"/>
      <c r="K622" s="172"/>
      <c r="L622" s="211"/>
      <c r="M622" s="211"/>
    </row>
    <row r="623">
      <c r="C623" s="139"/>
      <c r="D623" s="139"/>
      <c r="F623" s="169"/>
      <c r="G623" s="172"/>
      <c r="H623" s="209"/>
      <c r="I623" s="172"/>
      <c r="J623" s="172"/>
      <c r="K623" s="172"/>
      <c r="L623" s="211"/>
      <c r="M623" s="211"/>
    </row>
    <row r="624">
      <c r="C624" s="139"/>
      <c r="D624" s="139"/>
      <c r="F624" s="169"/>
      <c r="G624" s="172"/>
      <c r="H624" s="209"/>
      <c r="I624" s="172"/>
      <c r="J624" s="172"/>
      <c r="K624" s="172"/>
      <c r="L624" s="211"/>
      <c r="M624" s="211"/>
    </row>
    <row r="625">
      <c r="C625" s="139"/>
      <c r="D625" s="139"/>
      <c r="F625" s="169"/>
      <c r="G625" s="172"/>
      <c r="H625" s="209"/>
      <c r="I625" s="172"/>
      <c r="J625" s="172"/>
      <c r="K625" s="172"/>
      <c r="L625" s="211"/>
      <c r="M625" s="211"/>
    </row>
    <row r="626">
      <c r="C626" s="139"/>
      <c r="D626" s="139"/>
      <c r="F626" s="169"/>
      <c r="G626" s="172"/>
      <c r="H626" s="209"/>
      <c r="I626" s="172"/>
      <c r="J626" s="172"/>
      <c r="K626" s="172"/>
      <c r="L626" s="211"/>
      <c r="M626" s="211"/>
    </row>
    <row r="627">
      <c r="C627" s="139"/>
      <c r="D627" s="139"/>
      <c r="F627" s="169"/>
      <c r="G627" s="172"/>
      <c r="H627" s="209"/>
      <c r="I627" s="172"/>
      <c r="J627" s="172"/>
      <c r="K627" s="172"/>
      <c r="L627" s="211"/>
      <c r="M627" s="211"/>
    </row>
    <row r="628">
      <c r="C628" s="139"/>
      <c r="D628" s="139"/>
      <c r="F628" s="169"/>
      <c r="G628" s="172"/>
      <c r="H628" s="209"/>
      <c r="I628" s="172"/>
      <c r="J628" s="172"/>
      <c r="K628" s="172"/>
      <c r="L628" s="211"/>
      <c r="M628" s="211"/>
    </row>
    <row r="629">
      <c r="C629" s="139"/>
      <c r="D629" s="139"/>
      <c r="F629" s="169"/>
      <c r="G629" s="172"/>
      <c r="H629" s="209"/>
      <c r="I629" s="172"/>
      <c r="J629" s="172"/>
      <c r="K629" s="172"/>
      <c r="L629" s="211"/>
      <c r="M629" s="211"/>
    </row>
    <row r="630">
      <c r="C630" s="139"/>
      <c r="D630" s="139"/>
      <c r="F630" s="169"/>
      <c r="G630" s="172"/>
      <c r="H630" s="209"/>
      <c r="I630" s="172"/>
      <c r="J630" s="172"/>
      <c r="K630" s="172"/>
      <c r="L630" s="211"/>
      <c r="M630" s="211"/>
    </row>
    <row r="631">
      <c r="C631" s="139"/>
      <c r="D631" s="139"/>
      <c r="F631" s="169"/>
      <c r="G631" s="172"/>
      <c r="H631" s="209"/>
      <c r="I631" s="172"/>
      <c r="J631" s="172"/>
      <c r="K631" s="172"/>
      <c r="L631" s="211"/>
      <c r="M631" s="211"/>
    </row>
    <row r="632">
      <c r="C632" s="139"/>
      <c r="D632" s="139"/>
      <c r="F632" s="169"/>
      <c r="G632" s="172"/>
      <c r="H632" s="209"/>
      <c r="I632" s="172"/>
      <c r="J632" s="172"/>
      <c r="K632" s="172"/>
      <c r="L632" s="211"/>
      <c r="M632" s="211"/>
    </row>
    <row r="633">
      <c r="C633" s="139"/>
      <c r="D633" s="139"/>
      <c r="F633" s="169"/>
      <c r="G633" s="172"/>
      <c r="H633" s="209"/>
      <c r="I633" s="172"/>
      <c r="J633" s="172"/>
      <c r="K633" s="172"/>
      <c r="L633" s="211"/>
      <c r="M633" s="211"/>
    </row>
    <row r="634">
      <c r="C634" s="139"/>
      <c r="D634" s="139"/>
      <c r="F634" s="169"/>
      <c r="G634" s="172"/>
      <c r="H634" s="209"/>
      <c r="I634" s="172"/>
      <c r="J634" s="172"/>
      <c r="K634" s="172"/>
      <c r="L634" s="211"/>
      <c r="M634" s="211"/>
    </row>
    <row r="635">
      <c r="C635" s="139"/>
      <c r="D635" s="139"/>
      <c r="F635" s="169"/>
      <c r="G635" s="172"/>
      <c r="H635" s="209"/>
      <c r="I635" s="172"/>
      <c r="J635" s="172"/>
      <c r="K635" s="172"/>
      <c r="L635" s="211"/>
      <c r="M635" s="211"/>
    </row>
    <row r="636">
      <c r="C636" s="139"/>
      <c r="D636" s="139"/>
      <c r="F636" s="169"/>
      <c r="G636" s="172"/>
      <c r="H636" s="209"/>
      <c r="I636" s="172"/>
      <c r="J636" s="172"/>
      <c r="K636" s="172"/>
      <c r="L636" s="211"/>
      <c r="M636" s="211"/>
    </row>
    <row r="637">
      <c r="C637" s="139"/>
      <c r="D637" s="139"/>
      <c r="F637" s="169"/>
      <c r="G637" s="172"/>
      <c r="H637" s="209"/>
      <c r="I637" s="172"/>
      <c r="J637" s="172"/>
      <c r="K637" s="172"/>
      <c r="L637" s="211"/>
      <c r="M637" s="211"/>
    </row>
    <row r="638">
      <c r="C638" s="139"/>
      <c r="D638" s="139"/>
      <c r="F638" s="169"/>
      <c r="G638" s="172"/>
      <c r="H638" s="209"/>
      <c r="I638" s="172"/>
      <c r="J638" s="172"/>
      <c r="K638" s="172"/>
      <c r="L638" s="211"/>
      <c r="M638" s="211"/>
    </row>
    <row r="639">
      <c r="C639" s="139"/>
      <c r="D639" s="139"/>
      <c r="F639" s="169"/>
      <c r="G639" s="172"/>
      <c r="H639" s="209"/>
      <c r="I639" s="172"/>
      <c r="J639" s="172"/>
      <c r="K639" s="172"/>
      <c r="L639" s="211"/>
      <c r="M639" s="211"/>
    </row>
    <row r="640">
      <c r="C640" s="139"/>
      <c r="D640" s="139"/>
      <c r="F640" s="169"/>
      <c r="G640" s="172"/>
      <c r="H640" s="209"/>
      <c r="I640" s="172"/>
      <c r="J640" s="172"/>
      <c r="K640" s="172"/>
      <c r="L640" s="211"/>
      <c r="M640" s="211"/>
    </row>
    <row r="641">
      <c r="C641" s="139"/>
      <c r="D641" s="139"/>
      <c r="F641" s="169"/>
      <c r="G641" s="172"/>
      <c r="H641" s="209"/>
      <c r="I641" s="172"/>
      <c r="J641" s="172"/>
      <c r="K641" s="172"/>
      <c r="L641" s="211"/>
      <c r="M641" s="211"/>
    </row>
    <row r="642">
      <c r="C642" s="139"/>
      <c r="D642" s="139"/>
      <c r="F642" s="169"/>
      <c r="G642" s="172"/>
      <c r="H642" s="209"/>
      <c r="I642" s="172"/>
      <c r="J642" s="172"/>
      <c r="K642" s="172"/>
      <c r="L642" s="211"/>
      <c r="M642" s="211"/>
    </row>
    <row r="643">
      <c r="C643" s="139"/>
      <c r="D643" s="139"/>
      <c r="F643" s="169"/>
      <c r="G643" s="172"/>
      <c r="H643" s="209"/>
      <c r="I643" s="172"/>
      <c r="J643" s="172"/>
      <c r="K643" s="172"/>
      <c r="L643" s="211"/>
      <c r="M643" s="211"/>
    </row>
    <row r="644">
      <c r="C644" s="139"/>
      <c r="D644" s="139"/>
      <c r="F644" s="169"/>
      <c r="G644" s="172"/>
      <c r="H644" s="209"/>
      <c r="I644" s="172"/>
      <c r="J644" s="172"/>
      <c r="K644" s="172"/>
      <c r="L644" s="211"/>
      <c r="M644" s="211"/>
    </row>
    <row r="645">
      <c r="C645" s="139"/>
      <c r="D645" s="139"/>
      <c r="F645" s="169"/>
      <c r="G645" s="172"/>
      <c r="H645" s="209"/>
      <c r="I645" s="172"/>
      <c r="J645" s="172"/>
      <c r="K645" s="172"/>
      <c r="L645" s="211"/>
      <c r="M645" s="211"/>
    </row>
    <row r="646">
      <c r="C646" s="139"/>
      <c r="D646" s="139"/>
      <c r="F646" s="169"/>
      <c r="G646" s="172"/>
      <c r="H646" s="209"/>
      <c r="I646" s="172"/>
      <c r="J646" s="172"/>
      <c r="K646" s="172"/>
      <c r="L646" s="211"/>
      <c r="M646" s="211"/>
    </row>
    <row r="647">
      <c r="C647" s="139"/>
      <c r="D647" s="139"/>
      <c r="F647" s="169"/>
      <c r="G647" s="172"/>
      <c r="H647" s="209"/>
      <c r="I647" s="172"/>
      <c r="J647" s="172"/>
      <c r="K647" s="172"/>
      <c r="L647" s="211"/>
      <c r="M647" s="211"/>
    </row>
    <row r="648">
      <c r="C648" s="139"/>
      <c r="D648" s="139"/>
      <c r="F648" s="169"/>
      <c r="G648" s="172"/>
      <c r="H648" s="209"/>
      <c r="I648" s="172"/>
      <c r="J648" s="172"/>
      <c r="K648" s="172"/>
      <c r="L648" s="211"/>
      <c r="M648" s="211"/>
    </row>
    <row r="649">
      <c r="C649" s="139"/>
      <c r="D649" s="139"/>
      <c r="F649" s="169"/>
      <c r="G649" s="172"/>
      <c r="H649" s="209"/>
      <c r="I649" s="172"/>
      <c r="J649" s="172"/>
      <c r="K649" s="172"/>
      <c r="L649" s="211"/>
      <c r="M649" s="211"/>
    </row>
    <row r="650">
      <c r="C650" s="139"/>
      <c r="D650" s="139"/>
      <c r="F650" s="169"/>
      <c r="G650" s="172"/>
      <c r="H650" s="209"/>
      <c r="I650" s="172"/>
      <c r="J650" s="172"/>
      <c r="K650" s="172"/>
      <c r="L650" s="211"/>
      <c r="M650" s="211"/>
    </row>
    <row r="651">
      <c r="C651" s="139"/>
      <c r="D651" s="139"/>
      <c r="F651" s="169"/>
      <c r="G651" s="172"/>
      <c r="H651" s="209"/>
      <c r="I651" s="172"/>
      <c r="J651" s="172"/>
      <c r="K651" s="172"/>
      <c r="L651" s="211"/>
      <c r="M651" s="211"/>
    </row>
    <row r="652">
      <c r="C652" s="139"/>
      <c r="D652" s="139"/>
      <c r="F652" s="169"/>
      <c r="G652" s="172"/>
      <c r="H652" s="209"/>
      <c r="I652" s="172"/>
      <c r="J652" s="172"/>
      <c r="K652" s="172"/>
      <c r="L652" s="211"/>
      <c r="M652" s="211"/>
    </row>
    <row r="653">
      <c r="C653" s="139"/>
      <c r="D653" s="139"/>
      <c r="F653" s="169"/>
      <c r="G653" s="172"/>
      <c r="H653" s="209"/>
      <c r="I653" s="172"/>
      <c r="J653" s="172"/>
      <c r="K653" s="172"/>
      <c r="L653" s="211"/>
      <c r="M653" s="211"/>
    </row>
    <row r="654">
      <c r="C654" s="139"/>
      <c r="D654" s="139"/>
      <c r="F654" s="169"/>
      <c r="G654" s="172"/>
      <c r="H654" s="209"/>
      <c r="I654" s="172"/>
      <c r="J654" s="172"/>
      <c r="K654" s="172"/>
      <c r="L654" s="211"/>
      <c r="M654" s="211"/>
    </row>
    <row r="655">
      <c r="C655" s="139"/>
      <c r="D655" s="139"/>
      <c r="F655" s="169"/>
      <c r="G655" s="172"/>
      <c r="H655" s="209"/>
      <c r="I655" s="172"/>
      <c r="J655" s="172"/>
      <c r="K655" s="172"/>
      <c r="L655" s="211"/>
      <c r="M655" s="211"/>
    </row>
    <row r="656">
      <c r="C656" s="139"/>
      <c r="D656" s="139"/>
      <c r="F656" s="169"/>
      <c r="G656" s="172"/>
      <c r="H656" s="209"/>
      <c r="I656" s="172"/>
      <c r="J656" s="172"/>
      <c r="K656" s="172"/>
      <c r="L656" s="211"/>
      <c r="M656" s="211"/>
    </row>
    <row r="657">
      <c r="C657" s="139"/>
      <c r="D657" s="139"/>
      <c r="F657" s="169"/>
      <c r="G657" s="172"/>
      <c r="H657" s="209"/>
      <c r="I657" s="172"/>
      <c r="J657" s="172"/>
      <c r="K657" s="172"/>
      <c r="L657" s="211"/>
      <c r="M657" s="211"/>
    </row>
    <row r="658">
      <c r="C658" s="139"/>
      <c r="D658" s="139"/>
      <c r="F658" s="169"/>
      <c r="G658" s="172"/>
      <c r="H658" s="209"/>
      <c r="I658" s="172"/>
      <c r="J658" s="172"/>
      <c r="K658" s="172"/>
      <c r="L658" s="211"/>
      <c r="M658" s="211"/>
    </row>
    <row r="659">
      <c r="C659" s="139"/>
      <c r="D659" s="139"/>
      <c r="F659" s="169"/>
      <c r="G659" s="172"/>
      <c r="H659" s="209"/>
      <c r="I659" s="172"/>
      <c r="J659" s="172"/>
      <c r="K659" s="172"/>
      <c r="L659" s="211"/>
      <c r="M659" s="211"/>
    </row>
    <row r="660">
      <c r="C660" s="139"/>
      <c r="D660" s="139"/>
      <c r="F660" s="169"/>
      <c r="G660" s="172"/>
      <c r="H660" s="209"/>
      <c r="I660" s="172"/>
      <c r="J660" s="172"/>
      <c r="K660" s="172"/>
      <c r="L660" s="211"/>
      <c r="M660" s="211"/>
    </row>
    <row r="661">
      <c r="C661" s="139"/>
      <c r="D661" s="139"/>
      <c r="F661" s="169"/>
      <c r="G661" s="172"/>
      <c r="H661" s="209"/>
      <c r="I661" s="172"/>
      <c r="J661" s="172"/>
      <c r="K661" s="172"/>
      <c r="L661" s="211"/>
      <c r="M661" s="211"/>
    </row>
    <row r="662">
      <c r="C662" s="139"/>
      <c r="D662" s="139"/>
      <c r="F662" s="169"/>
      <c r="G662" s="172"/>
      <c r="H662" s="209"/>
      <c r="I662" s="172"/>
      <c r="J662" s="172"/>
      <c r="K662" s="172"/>
      <c r="L662" s="211"/>
      <c r="M662" s="211"/>
    </row>
    <row r="663">
      <c r="C663" s="139"/>
      <c r="D663" s="139"/>
      <c r="F663" s="169"/>
      <c r="G663" s="172"/>
      <c r="H663" s="209"/>
      <c r="I663" s="172"/>
      <c r="J663" s="172"/>
      <c r="K663" s="172"/>
      <c r="L663" s="211"/>
      <c r="M663" s="211"/>
    </row>
    <row r="664">
      <c r="C664" s="139"/>
      <c r="D664" s="139"/>
      <c r="F664" s="169"/>
      <c r="G664" s="172"/>
      <c r="H664" s="209"/>
      <c r="I664" s="172"/>
      <c r="J664" s="172"/>
      <c r="K664" s="172"/>
      <c r="L664" s="211"/>
      <c r="M664" s="211"/>
    </row>
    <row r="665">
      <c r="C665" s="139"/>
      <c r="D665" s="139"/>
      <c r="F665" s="169"/>
      <c r="G665" s="172"/>
      <c r="H665" s="209"/>
      <c r="I665" s="172"/>
      <c r="J665" s="172"/>
      <c r="K665" s="172"/>
      <c r="L665" s="211"/>
      <c r="M665" s="211"/>
    </row>
    <row r="666">
      <c r="C666" s="139"/>
      <c r="D666" s="139"/>
      <c r="F666" s="169"/>
      <c r="G666" s="172"/>
      <c r="H666" s="209"/>
      <c r="I666" s="172"/>
      <c r="J666" s="172"/>
      <c r="K666" s="172"/>
      <c r="L666" s="211"/>
      <c r="M666" s="211"/>
    </row>
    <row r="667">
      <c r="C667" s="139"/>
      <c r="D667" s="139"/>
      <c r="F667" s="169"/>
      <c r="G667" s="172"/>
      <c r="H667" s="209"/>
      <c r="I667" s="172"/>
      <c r="J667" s="172"/>
      <c r="K667" s="172"/>
      <c r="L667" s="211"/>
      <c r="M667" s="211"/>
    </row>
    <row r="668">
      <c r="C668" s="139"/>
      <c r="D668" s="139"/>
      <c r="F668" s="169"/>
      <c r="G668" s="172"/>
      <c r="H668" s="209"/>
      <c r="I668" s="172"/>
      <c r="J668" s="172"/>
      <c r="K668" s="172"/>
      <c r="L668" s="211"/>
      <c r="M668" s="211"/>
    </row>
    <row r="669">
      <c r="C669" s="139"/>
      <c r="D669" s="139"/>
      <c r="F669" s="169"/>
      <c r="G669" s="172"/>
      <c r="H669" s="209"/>
      <c r="I669" s="172"/>
      <c r="J669" s="172"/>
      <c r="K669" s="172"/>
      <c r="L669" s="211"/>
      <c r="M669" s="211"/>
    </row>
    <row r="670">
      <c r="C670" s="139"/>
      <c r="D670" s="139"/>
      <c r="F670" s="169"/>
      <c r="G670" s="172"/>
      <c r="H670" s="209"/>
      <c r="I670" s="172"/>
      <c r="J670" s="172"/>
      <c r="K670" s="172"/>
      <c r="L670" s="211"/>
      <c r="M670" s="211"/>
    </row>
    <row r="671">
      <c r="C671" s="139"/>
      <c r="D671" s="139"/>
      <c r="F671" s="169"/>
      <c r="G671" s="172"/>
      <c r="H671" s="209"/>
      <c r="I671" s="172"/>
      <c r="J671" s="172"/>
      <c r="K671" s="172"/>
      <c r="L671" s="211"/>
      <c r="M671" s="211"/>
    </row>
    <row r="672">
      <c r="C672" s="139"/>
      <c r="D672" s="139"/>
      <c r="F672" s="169"/>
      <c r="G672" s="172"/>
      <c r="H672" s="209"/>
      <c r="I672" s="172"/>
      <c r="J672" s="172"/>
      <c r="K672" s="172"/>
      <c r="L672" s="211"/>
      <c r="M672" s="211"/>
    </row>
    <row r="673">
      <c r="C673" s="139"/>
      <c r="D673" s="139"/>
      <c r="F673" s="169"/>
      <c r="G673" s="172"/>
      <c r="H673" s="209"/>
      <c r="I673" s="172"/>
      <c r="J673" s="172"/>
      <c r="K673" s="172"/>
      <c r="L673" s="211"/>
      <c r="M673" s="211"/>
    </row>
    <row r="674">
      <c r="C674" s="139"/>
      <c r="D674" s="139"/>
      <c r="F674" s="169"/>
      <c r="G674" s="172"/>
      <c r="H674" s="209"/>
      <c r="I674" s="172"/>
      <c r="J674" s="172"/>
      <c r="K674" s="172"/>
      <c r="L674" s="211"/>
      <c r="M674" s="211"/>
    </row>
    <row r="675">
      <c r="C675" s="139"/>
      <c r="D675" s="139"/>
      <c r="F675" s="169"/>
      <c r="G675" s="172"/>
      <c r="H675" s="209"/>
      <c r="I675" s="172"/>
      <c r="J675" s="172"/>
      <c r="K675" s="172"/>
      <c r="L675" s="211"/>
      <c r="M675" s="211"/>
    </row>
    <row r="676">
      <c r="C676" s="139"/>
      <c r="D676" s="139"/>
      <c r="F676" s="169"/>
      <c r="G676" s="172"/>
      <c r="H676" s="209"/>
      <c r="I676" s="172"/>
      <c r="J676" s="172"/>
      <c r="K676" s="172"/>
      <c r="L676" s="211"/>
      <c r="M676" s="211"/>
    </row>
    <row r="677">
      <c r="C677" s="139"/>
      <c r="D677" s="139"/>
      <c r="F677" s="169"/>
      <c r="G677" s="172"/>
      <c r="H677" s="209"/>
      <c r="I677" s="172"/>
      <c r="J677" s="172"/>
      <c r="K677" s="172"/>
      <c r="L677" s="211"/>
      <c r="M677" s="211"/>
    </row>
    <row r="678">
      <c r="C678" s="139"/>
      <c r="D678" s="139"/>
      <c r="F678" s="169"/>
      <c r="G678" s="172"/>
      <c r="H678" s="209"/>
      <c r="I678" s="172"/>
      <c r="J678" s="172"/>
      <c r="K678" s="172"/>
      <c r="L678" s="211"/>
      <c r="M678" s="211"/>
    </row>
    <row r="679">
      <c r="C679" s="139"/>
      <c r="D679" s="139"/>
      <c r="F679" s="169"/>
      <c r="G679" s="172"/>
      <c r="H679" s="209"/>
      <c r="I679" s="172"/>
      <c r="J679" s="172"/>
      <c r="K679" s="172"/>
      <c r="L679" s="211"/>
      <c r="M679" s="211"/>
    </row>
    <row r="680">
      <c r="C680" s="139"/>
      <c r="D680" s="139"/>
      <c r="F680" s="169"/>
      <c r="G680" s="172"/>
      <c r="H680" s="209"/>
      <c r="I680" s="172"/>
      <c r="J680" s="172"/>
      <c r="K680" s="172"/>
      <c r="L680" s="211"/>
      <c r="M680" s="211"/>
    </row>
    <row r="681">
      <c r="C681" s="139"/>
      <c r="D681" s="139"/>
      <c r="F681" s="169"/>
      <c r="G681" s="172"/>
      <c r="H681" s="209"/>
      <c r="I681" s="172"/>
      <c r="J681" s="172"/>
      <c r="K681" s="172"/>
      <c r="L681" s="211"/>
      <c r="M681" s="211"/>
    </row>
    <row r="682">
      <c r="C682" s="139"/>
      <c r="D682" s="139"/>
      <c r="F682" s="169"/>
      <c r="G682" s="172"/>
      <c r="H682" s="209"/>
      <c r="I682" s="172"/>
      <c r="J682" s="172"/>
      <c r="K682" s="172"/>
      <c r="L682" s="211"/>
      <c r="M682" s="211"/>
    </row>
    <row r="683">
      <c r="C683" s="139"/>
      <c r="D683" s="139"/>
      <c r="F683" s="169"/>
      <c r="G683" s="172"/>
      <c r="H683" s="209"/>
      <c r="I683" s="172"/>
      <c r="J683" s="172"/>
      <c r="K683" s="172"/>
      <c r="L683" s="211"/>
      <c r="M683" s="211"/>
    </row>
    <row r="684">
      <c r="C684" s="139"/>
      <c r="D684" s="139"/>
      <c r="F684" s="169"/>
      <c r="G684" s="172"/>
      <c r="H684" s="209"/>
      <c r="I684" s="172"/>
      <c r="J684" s="172"/>
      <c r="K684" s="172"/>
      <c r="L684" s="211"/>
      <c r="M684" s="211"/>
    </row>
    <row r="685">
      <c r="C685" s="139"/>
      <c r="D685" s="139"/>
      <c r="F685" s="169"/>
      <c r="G685" s="172"/>
      <c r="H685" s="209"/>
      <c r="I685" s="172"/>
      <c r="J685" s="172"/>
      <c r="K685" s="172"/>
      <c r="L685" s="211"/>
      <c r="M685" s="211"/>
    </row>
    <row r="686">
      <c r="C686" s="139"/>
      <c r="D686" s="139"/>
      <c r="F686" s="169"/>
      <c r="G686" s="172"/>
      <c r="H686" s="209"/>
      <c r="I686" s="172"/>
      <c r="J686" s="172"/>
      <c r="K686" s="172"/>
      <c r="L686" s="211"/>
      <c r="M686" s="211"/>
    </row>
    <row r="687">
      <c r="C687" s="139"/>
      <c r="D687" s="139"/>
      <c r="F687" s="169"/>
      <c r="G687" s="172"/>
      <c r="H687" s="209"/>
      <c r="I687" s="172"/>
      <c r="J687" s="172"/>
      <c r="K687" s="172"/>
      <c r="L687" s="211"/>
      <c r="M687" s="211"/>
    </row>
    <row r="688">
      <c r="C688" s="139"/>
      <c r="D688" s="139"/>
      <c r="F688" s="169"/>
      <c r="G688" s="172"/>
      <c r="H688" s="209"/>
      <c r="I688" s="172"/>
      <c r="J688" s="172"/>
      <c r="K688" s="172"/>
      <c r="L688" s="211"/>
      <c r="M688" s="211"/>
    </row>
    <row r="689">
      <c r="C689" s="139"/>
      <c r="D689" s="139"/>
      <c r="F689" s="169"/>
      <c r="G689" s="172"/>
      <c r="H689" s="209"/>
      <c r="I689" s="172"/>
      <c r="J689" s="172"/>
      <c r="K689" s="172"/>
      <c r="L689" s="211"/>
      <c r="M689" s="211"/>
    </row>
    <row r="690">
      <c r="C690" s="139"/>
      <c r="D690" s="139"/>
      <c r="F690" s="169"/>
      <c r="G690" s="172"/>
      <c r="H690" s="209"/>
      <c r="I690" s="172"/>
      <c r="J690" s="172"/>
      <c r="K690" s="172"/>
      <c r="L690" s="211"/>
      <c r="M690" s="211"/>
    </row>
    <row r="691">
      <c r="C691" s="139"/>
      <c r="D691" s="139"/>
      <c r="F691" s="169"/>
      <c r="G691" s="172"/>
      <c r="H691" s="209"/>
      <c r="I691" s="172"/>
      <c r="J691" s="172"/>
      <c r="K691" s="172"/>
      <c r="L691" s="211"/>
      <c r="M691" s="211"/>
    </row>
    <row r="692">
      <c r="C692" s="139"/>
      <c r="D692" s="139"/>
      <c r="F692" s="169"/>
      <c r="G692" s="172"/>
      <c r="H692" s="209"/>
      <c r="I692" s="172"/>
      <c r="J692" s="172"/>
      <c r="K692" s="172"/>
      <c r="L692" s="211"/>
      <c r="M692" s="211"/>
    </row>
    <row r="693">
      <c r="C693" s="139"/>
      <c r="D693" s="139"/>
      <c r="F693" s="169"/>
      <c r="G693" s="172"/>
      <c r="H693" s="209"/>
      <c r="I693" s="172"/>
      <c r="J693" s="172"/>
      <c r="K693" s="172"/>
      <c r="L693" s="211"/>
      <c r="M693" s="211"/>
    </row>
    <row r="694">
      <c r="C694" s="139"/>
      <c r="D694" s="139"/>
      <c r="F694" s="169"/>
      <c r="G694" s="172"/>
      <c r="H694" s="209"/>
      <c r="I694" s="172"/>
      <c r="J694" s="172"/>
      <c r="K694" s="172"/>
      <c r="L694" s="211"/>
      <c r="M694" s="211"/>
    </row>
    <row r="695">
      <c r="C695" s="139"/>
      <c r="D695" s="139"/>
      <c r="F695" s="169"/>
      <c r="G695" s="172"/>
      <c r="H695" s="209"/>
      <c r="I695" s="172"/>
      <c r="J695" s="172"/>
      <c r="K695" s="172"/>
      <c r="L695" s="211"/>
      <c r="M695" s="211"/>
    </row>
    <row r="696">
      <c r="C696" s="139"/>
      <c r="D696" s="139"/>
      <c r="F696" s="169"/>
      <c r="G696" s="172"/>
      <c r="H696" s="209"/>
      <c r="I696" s="172"/>
      <c r="J696" s="172"/>
      <c r="K696" s="172"/>
      <c r="L696" s="211"/>
      <c r="M696" s="211"/>
    </row>
    <row r="697">
      <c r="C697" s="139"/>
      <c r="D697" s="139"/>
      <c r="F697" s="169"/>
      <c r="G697" s="172"/>
      <c r="H697" s="209"/>
      <c r="I697" s="172"/>
      <c r="J697" s="172"/>
      <c r="K697" s="172"/>
      <c r="L697" s="211"/>
      <c r="M697" s="211"/>
    </row>
    <row r="698">
      <c r="C698" s="139"/>
      <c r="D698" s="139"/>
      <c r="F698" s="169"/>
      <c r="G698" s="172"/>
      <c r="H698" s="209"/>
      <c r="I698" s="172"/>
      <c r="J698" s="172"/>
      <c r="K698" s="172"/>
      <c r="L698" s="211"/>
      <c r="M698" s="211"/>
    </row>
    <row r="699">
      <c r="C699" s="139"/>
      <c r="D699" s="139"/>
      <c r="F699" s="169"/>
      <c r="G699" s="172"/>
      <c r="H699" s="209"/>
      <c r="I699" s="172"/>
      <c r="J699" s="172"/>
      <c r="K699" s="172"/>
      <c r="L699" s="211"/>
      <c r="M699" s="211"/>
    </row>
    <row r="700">
      <c r="C700" s="139"/>
      <c r="D700" s="139"/>
      <c r="F700" s="169"/>
      <c r="G700" s="172"/>
      <c r="H700" s="209"/>
      <c r="I700" s="172"/>
      <c r="J700" s="172"/>
      <c r="K700" s="172"/>
      <c r="L700" s="211"/>
      <c r="M700" s="211"/>
    </row>
    <row r="701">
      <c r="C701" s="139"/>
      <c r="D701" s="139"/>
      <c r="F701" s="169"/>
      <c r="G701" s="172"/>
      <c r="H701" s="209"/>
      <c r="I701" s="172"/>
      <c r="J701" s="172"/>
      <c r="K701" s="172"/>
      <c r="L701" s="211"/>
      <c r="M701" s="211"/>
    </row>
    <row r="702">
      <c r="C702" s="139"/>
      <c r="D702" s="139"/>
      <c r="F702" s="169"/>
      <c r="G702" s="172"/>
      <c r="H702" s="209"/>
      <c r="I702" s="172"/>
      <c r="J702" s="172"/>
      <c r="K702" s="172"/>
      <c r="L702" s="211"/>
      <c r="M702" s="211"/>
    </row>
    <row r="703">
      <c r="C703" s="139"/>
      <c r="D703" s="139"/>
      <c r="F703" s="169"/>
      <c r="G703" s="172"/>
      <c r="H703" s="209"/>
      <c r="I703" s="172"/>
      <c r="J703" s="172"/>
      <c r="K703" s="172"/>
      <c r="L703" s="211"/>
      <c r="M703" s="211"/>
    </row>
    <row r="704">
      <c r="C704" s="139"/>
      <c r="D704" s="139"/>
      <c r="F704" s="169"/>
      <c r="G704" s="172"/>
      <c r="H704" s="209"/>
      <c r="I704" s="172"/>
      <c r="J704" s="172"/>
      <c r="K704" s="172"/>
      <c r="L704" s="211"/>
      <c r="M704" s="211"/>
    </row>
    <row r="705">
      <c r="C705" s="139"/>
      <c r="D705" s="139"/>
      <c r="F705" s="169"/>
      <c r="G705" s="172"/>
      <c r="H705" s="209"/>
      <c r="I705" s="172"/>
      <c r="J705" s="172"/>
      <c r="K705" s="172"/>
      <c r="L705" s="211"/>
      <c r="M705" s="211"/>
    </row>
    <row r="706">
      <c r="C706" s="139"/>
      <c r="D706" s="139"/>
      <c r="F706" s="169"/>
      <c r="G706" s="172"/>
      <c r="H706" s="209"/>
      <c r="I706" s="172"/>
      <c r="J706" s="172"/>
      <c r="K706" s="172"/>
      <c r="L706" s="211"/>
      <c r="M706" s="211"/>
    </row>
    <row r="707">
      <c r="C707" s="139"/>
      <c r="D707" s="139"/>
      <c r="F707" s="169"/>
      <c r="G707" s="172"/>
      <c r="H707" s="209"/>
      <c r="I707" s="172"/>
      <c r="J707" s="172"/>
      <c r="K707" s="172"/>
      <c r="L707" s="211"/>
      <c r="M707" s="211"/>
    </row>
    <row r="708">
      <c r="C708" s="139"/>
      <c r="D708" s="139"/>
      <c r="F708" s="169"/>
      <c r="G708" s="172"/>
      <c r="H708" s="209"/>
      <c r="I708" s="172"/>
      <c r="J708" s="172"/>
      <c r="K708" s="172"/>
      <c r="L708" s="211"/>
      <c r="M708" s="211"/>
    </row>
    <row r="709">
      <c r="C709" s="139"/>
      <c r="D709" s="139"/>
      <c r="F709" s="169"/>
      <c r="G709" s="172"/>
      <c r="H709" s="209"/>
      <c r="I709" s="172"/>
      <c r="J709" s="172"/>
      <c r="K709" s="172"/>
      <c r="L709" s="211"/>
      <c r="M709" s="211"/>
    </row>
    <row r="710">
      <c r="C710" s="139"/>
      <c r="D710" s="139"/>
      <c r="F710" s="169"/>
      <c r="G710" s="172"/>
      <c r="H710" s="209"/>
      <c r="I710" s="172"/>
      <c r="J710" s="172"/>
      <c r="K710" s="172"/>
      <c r="L710" s="211"/>
      <c r="M710" s="211"/>
    </row>
    <row r="711">
      <c r="C711" s="139"/>
      <c r="D711" s="139"/>
      <c r="F711" s="169"/>
      <c r="G711" s="172"/>
      <c r="H711" s="209"/>
      <c r="I711" s="172"/>
      <c r="J711" s="172"/>
      <c r="K711" s="172"/>
      <c r="L711" s="211"/>
      <c r="M711" s="211"/>
    </row>
    <row r="712">
      <c r="C712" s="139"/>
      <c r="D712" s="139"/>
      <c r="F712" s="169"/>
      <c r="G712" s="172"/>
      <c r="H712" s="209"/>
      <c r="I712" s="172"/>
      <c r="J712" s="172"/>
      <c r="K712" s="172"/>
      <c r="L712" s="211"/>
      <c r="M712" s="211"/>
    </row>
    <row r="713">
      <c r="C713" s="139"/>
      <c r="D713" s="139"/>
      <c r="F713" s="169"/>
      <c r="G713" s="172"/>
      <c r="H713" s="209"/>
      <c r="I713" s="172"/>
      <c r="J713" s="172"/>
      <c r="K713" s="172"/>
      <c r="L713" s="211"/>
      <c r="M713" s="211"/>
    </row>
    <row r="714">
      <c r="C714" s="139"/>
      <c r="D714" s="139"/>
      <c r="F714" s="169"/>
      <c r="G714" s="172"/>
      <c r="H714" s="209"/>
      <c r="I714" s="172"/>
      <c r="J714" s="172"/>
      <c r="K714" s="172"/>
      <c r="L714" s="211"/>
      <c r="M714" s="211"/>
    </row>
    <row r="715">
      <c r="C715" s="139"/>
      <c r="D715" s="139"/>
      <c r="F715" s="169"/>
      <c r="G715" s="172"/>
      <c r="H715" s="209"/>
      <c r="I715" s="172"/>
      <c r="J715" s="172"/>
      <c r="K715" s="172"/>
      <c r="L715" s="211"/>
      <c r="M715" s="211"/>
    </row>
    <row r="716">
      <c r="C716" s="139"/>
      <c r="D716" s="139"/>
      <c r="F716" s="169"/>
      <c r="G716" s="172"/>
      <c r="H716" s="209"/>
      <c r="I716" s="172"/>
      <c r="J716" s="172"/>
      <c r="K716" s="172"/>
      <c r="L716" s="211"/>
      <c r="M716" s="211"/>
    </row>
    <row r="717">
      <c r="C717" s="139"/>
      <c r="D717" s="139"/>
      <c r="F717" s="169"/>
      <c r="G717" s="172"/>
      <c r="H717" s="209"/>
      <c r="I717" s="172"/>
      <c r="J717" s="172"/>
      <c r="K717" s="172"/>
      <c r="L717" s="211"/>
      <c r="M717" s="211"/>
    </row>
    <row r="718">
      <c r="C718" s="139"/>
      <c r="D718" s="139"/>
      <c r="F718" s="169"/>
      <c r="G718" s="172"/>
      <c r="H718" s="209"/>
      <c r="I718" s="172"/>
      <c r="J718" s="172"/>
      <c r="K718" s="172"/>
      <c r="L718" s="211"/>
      <c r="M718" s="211"/>
    </row>
    <row r="719">
      <c r="C719" s="139"/>
      <c r="D719" s="139"/>
      <c r="F719" s="169"/>
      <c r="G719" s="172"/>
      <c r="H719" s="209"/>
      <c r="I719" s="172"/>
      <c r="J719" s="172"/>
      <c r="K719" s="172"/>
      <c r="L719" s="211"/>
      <c r="M719" s="211"/>
    </row>
    <row r="720">
      <c r="C720" s="139"/>
      <c r="D720" s="139"/>
      <c r="F720" s="169"/>
      <c r="G720" s="172"/>
      <c r="H720" s="209"/>
      <c r="I720" s="172"/>
      <c r="J720" s="172"/>
      <c r="K720" s="172"/>
      <c r="L720" s="211"/>
      <c r="M720" s="211"/>
    </row>
    <row r="721">
      <c r="C721" s="139"/>
      <c r="D721" s="139"/>
      <c r="F721" s="169"/>
      <c r="G721" s="172"/>
      <c r="H721" s="209"/>
      <c r="I721" s="172"/>
      <c r="J721" s="172"/>
      <c r="K721" s="172"/>
      <c r="L721" s="211"/>
      <c r="M721" s="211"/>
    </row>
    <row r="722">
      <c r="C722" s="139"/>
      <c r="D722" s="139"/>
      <c r="F722" s="169"/>
      <c r="G722" s="172"/>
      <c r="H722" s="209"/>
      <c r="I722" s="172"/>
      <c r="J722" s="172"/>
      <c r="K722" s="172"/>
      <c r="L722" s="211"/>
      <c r="M722" s="211"/>
    </row>
    <row r="723">
      <c r="C723" s="139"/>
      <c r="D723" s="139"/>
      <c r="F723" s="169"/>
      <c r="G723" s="172"/>
      <c r="H723" s="209"/>
      <c r="I723" s="172"/>
      <c r="J723" s="172"/>
      <c r="K723" s="172"/>
      <c r="L723" s="211"/>
      <c r="M723" s="211"/>
    </row>
    <row r="724">
      <c r="C724" s="139"/>
      <c r="D724" s="139"/>
      <c r="F724" s="169"/>
      <c r="G724" s="172"/>
      <c r="H724" s="209"/>
      <c r="I724" s="172"/>
      <c r="J724" s="172"/>
      <c r="K724" s="172"/>
      <c r="L724" s="211"/>
      <c r="M724" s="211"/>
    </row>
    <row r="725">
      <c r="C725" s="139"/>
      <c r="D725" s="139"/>
      <c r="F725" s="169"/>
      <c r="G725" s="172"/>
      <c r="H725" s="209"/>
      <c r="I725" s="172"/>
      <c r="J725" s="172"/>
      <c r="K725" s="172"/>
      <c r="L725" s="211"/>
      <c r="M725" s="211"/>
    </row>
    <row r="726">
      <c r="C726" s="139"/>
      <c r="D726" s="139"/>
      <c r="F726" s="169"/>
      <c r="G726" s="172"/>
      <c r="H726" s="209"/>
      <c r="I726" s="172"/>
      <c r="J726" s="172"/>
      <c r="K726" s="172"/>
      <c r="L726" s="211"/>
      <c r="M726" s="211"/>
    </row>
    <row r="727">
      <c r="C727" s="139"/>
      <c r="D727" s="139"/>
      <c r="F727" s="169"/>
      <c r="G727" s="172"/>
      <c r="H727" s="209"/>
      <c r="I727" s="172"/>
      <c r="J727" s="172"/>
      <c r="K727" s="172"/>
      <c r="L727" s="211"/>
      <c r="M727" s="211"/>
    </row>
    <row r="728">
      <c r="C728" s="139"/>
      <c r="D728" s="139"/>
      <c r="F728" s="169"/>
      <c r="G728" s="172"/>
      <c r="H728" s="209"/>
      <c r="I728" s="172"/>
      <c r="J728" s="172"/>
      <c r="K728" s="172"/>
      <c r="L728" s="211"/>
      <c r="M728" s="211"/>
    </row>
    <row r="729">
      <c r="C729" s="139"/>
      <c r="D729" s="139"/>
      <c r="F729" s="169"/>
      <c r="G729" s="172"/>
      <c r="H729" s="209"/>
      <c r="I729" s="172"/>
      <c r="J729" s="172"/>
      <c r="K729" s="172"/>
      <c r="L729" s="211"/>
      <c r="M729" s="211"/>
    </row>
    <row r="730">
      <c r="C730" s="139"/>
      <c r="D730" s="139"/>
      <c r="F730" s="169"/>
      <c r="G730" s="172"/>
      <c r="H730" s="209"/>
      <c r="I730" s="172"/>
      <c r="J730" s="172"/>
      <c r="K730" s="172"/>
      <c r="L730" s="211"/>
      <c r="M730" s="211"/>
    </row>
    <row r="731">
      <c r="C731" s="139"/>
      <c r="D731" s="139"/>
      <c r="F731" s="169"/>
      <c r="G731" s="172"/>
      <c r="H731" s="209"/>
      <c r="I731" s="172"/>
      <c r="J731" s="172"/>
      <c r="K731" s="172"/>
      <c r="L731" s="211"/>
      <c r="M731" s="211"/>
    </row>
    <row r="732">
      <c r="C732" s="139"/>
      <c r="D732" s="139"/>
      <c r="F732" s="169"/>
      <c r="G732" s="172"/>
      <c r="H732" s="209"/>
      <c r="I732" s="172"/>
      <c r="J732" s="172"/>
      <c r="K732" s="172"/>
      <c r="L732" s="211"/>
      <c r="M732" s="211"/>
    </row>
    <row r="733">
      <c r="C733" s="139"/>
      <c r="D733" s="139"/>
      <c r="F733" s="169"/>
      <c r="G733" s="172"/>
      <c r="H733" s="209"/>
      <c r="I733" s="172"/>
      <c r="J733" s="172"/>
      <c r="K733" s="172"/>
      <c r="L733" s="211"/>
      <c r="M733" s="211"/>
    </row>
    <row r="734">
      <c r="C734" s="139"/>
      <c r="D734" s="139"/>
      <c r="F734" s="169"/>
      <c r="G734" s="172"/>
      <c r="H734" s="209"/>
      <c r="I734" s="172"/>
      <c r="J734" s="172"/>
      <c r="K734" s="172"/>
      <c r="L734" s="211"/>
      <c r="M734" s="211"/>
    </row>
    <row r="735">
      <c r="C735" s="139"/>
      <c r="D735" s="139"/>
      <c r="F735" s="169"/>
      <c r="G735" s="172"/>
      <c r="H735" s="209"/>
      <c r="I735" s="172"/>
      <c r="J735" s="172"/>
      <c r="K735" s="172"/>
      <c r="L735" s="211"/>
      <c r="M735" s="211"/>
    </row>
    <row r="736">
      <c r="C736" s="139"/>
      <c r="D736" s="139"/>
      <c r="F736" s="169"/>
      <c r="G736" s="172"/>
      <c r="H736" s="209"/>
      <c r="I736" s="172"/>
      <c r="J736" s="172"/>
      <c r="K736" s="172"/>
      <c r="L736" s="211"/>
      <c r="M736" s="211"/>
    </row>
    <row r="737">
      <c r="C737" s="139"/>
      <c r="D737" s="139"/>
      <c r="F737" s="169"/>
      <c r="G737" s="172"/>
      <c r="H737" s="209"/>
      <c r="I737" s="172"/>
      <c r="J737" s="172"/>
      <c r="K737" s="172"/>
      <c r="L737" s="211"/>
      <c r="M737" s="211"/>
    </row>
    <row r="738">
      <c r="C738" s="139"/>
      <c r="D738" s="139"/>
      <c r="F738" s="169"/>
      <c r="G738" s="172"/>
      <c r="H738" s="209"/>
      <c r="I738" s="172"/>
      <c r="J738" s="172"/>
      <c r="K738" s="172"/>
      <c r="L738" s="211"/>
      <c r="M738" s="211"/>
    </row>
    <row r="739">
      <c r="C739" s="139"/>
      <c r="D739" s="139"/>
      <c r="F739" s="169"/>
      <c r="G739" s="172"/>
      <c r="H739" s="209"/>
      <c r="I739" s="172"/>
      <c r="J739" s="172"/>
      <c r="K739" s="172"/>
      <c r="L739" s="211"/>
      <c r="M739" s="211"/>
    </row>
    <row r="740">
      <c r="C740" s="139"/>
      <c r="D740" s="139"/>
      <c r="F740" s="169"/>
      <c r="G740" s="172"/>
      <c r="H740" s="209"/>
      <c r="I740" s="172"/>
      <c r="J740" s="172"/>
      <c r="K740" s="172"/>
      <c r="L740" s="211"/>
      <c r="M740" s="211"/>
    </row>
    <row r="741">
      <c r="C741" s="139"/>
      <c r="D741" s="139"/>
      <c r="F741" s="169"/>
      <c r="G741" s="172"/>
      <c r="H741" s="209"/>
      <c r="I741" s="172"/>
      <c r="J741" s="172"/>
      <c r="K741" s="172"/>
      <c r="L741" s="211"/>
      <c r="M741" s="211"/>
    </row>
    <row r="742">
      <c r="C742" s="139"/>
      <c r="D742" s="139"/>
      <c r="F742" s="169"/>
      <c r="G742" s="172"/>
      <c r="H742" s="209"/>
      <c r="I742" s="172"/>
      <c r="J742" s="172"/>
      <c r="K742" s="172"/>
      <c r="L742" s="211"/>
      <c r="M742" s="211"/>
    </row>
    <row r="743">
      <c r="C743" s="139"/>
      <c r="D743" s="139"/>
      <c r="F743" s="169"/>
      <c r="G743" s="172"/>
      <c r="H743" s="209"/>
      <c r="I743" s="172"/>
      <c r="J743" s="172"/>
      <c r="K743" s="172"/>
      <c r="L743" s="211"/>
      <c r="M743" s="211"/>
    </row>
    <row r="744">
      <c r="C744" s="139"/>
      <c r="D744" s="139"/>
      <c r="F744" s="169"/>
      <c r="G744" s="172"/>
      <c r="H744" s="209"/>
      <c r="I744" s="172"/>
      <c r="J744" s="172"/>
      <c r="K744" s="172"/>
      <c r="L744" s="211"/>
      <c r="M744" s="211"/>
    </row>
    <row r="745">
      <c r="C745" s="139"/>
      <c r="D745" s="139"/>
      <c r="F745" s="169"/>
      <c r="G745" s="172"/>
      <c r="H745" s="209"/>
      <c r="I745" s="172"/>
      <c r="J745" s="172"/>
      <c r="K745" s="172"/>
      <c r="L745" s="211"/>
      <c r="M745" s="211"/>
    </row>
    <row r="746">
      <c r="C746" s="139"/>
      <c r="D746" s="139"/>
      <c r="F746" s="169"/>
      <c r="G746" s="172"/>
      <c r="H746" s="209"/>
      <c r="I746" s="172"/>
      <c r="J746" s="172"/>
      <c r="K746" s="172"/>
      <c r="L746" s="211"/>
      <c r="M746" s="211"/>
    </row>
    <row r="747">
      <c r="C747" s="139"/>
      <c r="D747" s="139"/>
      <c r="F747" s="169"/>
      <c r="G747" s="172"/>
      <c r="H747" s="209"/>
      <c r="I747" s="172"/>
      <c r="J747" s="172"/>
      <c r="K747" s="172"/>
      <c r="L747" s="211"/>
      <c r="M747" s="211"/>
    </row>
    <row r="748">
      <c r="C748" s="139"/>
      <c r="D748" s="139"/>
      <c r="F748" s="169"/>
      <c r="G748" s="172"/>
      <c r="H748" s="209"/>
      <c r="I748" s="172"/>
      <c r="J748" s="172"/>
      <c r="K748" s="172"/>
      <c r="L748" s="211"/>
      <c r="M748" s="211"/>
    </row>
    <row r="749">
      <c r="C749" s="139"/>
      <c r="D749" s="139"/>
      <c r="F749" s="169"/>
      <c r="G749" s="172"/>
      <c r="H749" s="209"/>
      <c r="I749" s="172"/>
      <c r="J749" s="172"/>
      <c r="K749" s="172"/>
      <c r="L749" s="211"/>
      <c r="M749" s="211"/>
    </row>
    <row r="750">
      <c r="C750" s="139"/>
      <c r="D750" s="139"/>
      <c r="F750" s="169"/>
      <c r="G750" s="172"/>
      <c r="H750" s="209"/>
      <c r="I750" s="172"/>
      <c r="J750" s="172"/>
      <c r="K750" s="172"/>
      <c r="L750" s="211"/>
      <c r="M750" s="211"/>
    </row>
    <row r="751">
      <c r="C751" s="139"/>
      <c r="D751" s="139"/>
      <c r="F751" s="169"/>
      <c r="G751" s="172"/>
      <c r="H751" s="209"/>
      <c r="I751" s="172"/>
      <c r="J751" s="172"/>
      <c r="K751" s="172"/>
      <c r="L751" s="211"/>
      <c r="M751" s="211"/>
    </row>
    <row r="752">
      <c r="C752" s="139"/>
      <c r="D752" s="139"/>
      <c r="F752" s="169"/>
      <c r="G752" s="172"/>
      <c r="H752" s="209"/>
      <c r="I752" s="172"/>
      <c r="J752" s="172"/>
      <c r="K752" s="172"/>
      <c r="L752" s="211"/>
      <c r="M752" s="211"/>
    </row>
    <row r="753">
      <c r="C753" s="139"/>
      <c r="D753" s="139"/>
      <c r="F753" s="169"/>
      <c r="G753" s="172"/>
      <c r="H753" s="209"/>
      <c r="I753" s="172"/>
      <c r="J753" s="172"/>
      <c r="K753" s="172"/>
      <c r="L753" s="211"/>
      <c r="M753" s="211"/>
    </row>
    <row r="754">
      <c r="C754" s="139"/>
      <c r="D754" s="139"/>
      <c r="F754" s="169"/>
      <c r="G754" s="172"/>
      <c r="H754" s="209"/>
      <c r="I754" s="172"/>
      <c r="J754" s="172"/>
      <c r="K754" s="172"/>
      <c r="L754" s="211"/>
      <c r="M754" s="211"/>
    </row>
    <row r="755">
      <c r="C755" s="139"/>
      <c r="D755" s="139"/>
      <c r="F755" s="169"/>
      <c r="G755" s="172"/>
      <c r="H755" s="209"/>
      <c r="I755" s="172"/>
      <c r="J755" s="172"/>
      <c r="K755" s="172"/>
      <c r="L755" s="211"/>
      <c r="M755" s="211"/>
    </row>
    <row r="756">
      <c r="C756" s="139"/>
      <c r="D756" s="139"/>
      <c r="F756" s="169"/>
      <c r="G756" s="172"/>
      <c r="H756" s="209"/>
      <c r="I756" s="172"/>
      <c r="J756" s="172"/>
      <c r="K756" s="172"/>
      <c r="L756" s="211"/>
      <c r="M756" s="211"/>
    </row>
    <row r="757">
      <c r="C757" s="139"/>
      <c r="D757" s="139"/>
      <c r="F757" s="169"/>
      <c r="G757" s="172"/>
      <c r="H757" s="209"/>
      <c r="I757" s="172"/>
      <c r="J757" s="172"/>
      <c r="K757" s="172"/>
      <c r="L757" s="211"/>
      <c r="M757" s="211"/>
    </row>
    <row r="758">
      <c r="C758" s="139"/>
      <c r="D758" s="139"/>
      <c r="F758" s="169"/>
      <c r="G758" s="172"/>
      <c r="H758" s="209"/>
      <c r="I758" s="172"/>
      <c r="J758" s="172"/>
      <c r="K758" s="172"/>
      <c r="L758" s="211"/>
      <c r="M758" s="211"/>
    </row>
    <row r="759">
      <c r="C759" s="139"/>
      <c r="D759" s="139"/>
      <c r="F759" s="169"/>
      <c r="G759" s="172"/>
      <c r="H759" s="209"/>
      <c r="I759" s="172"/>
      <c r="J759" s="172"/>
      <c r="K759" s="172"/>
      <c r="L759" s="211"/>
      <c r="M759" s="211"/>
    </row>
    <row r="760">
      <c r="C760" s="139"/>
      <c r="D760" s="139"/>
      <c r="F760" s="169"/>
      <c r="G760" s="172"/>
      <c r="H760" s="209"/>
      <c r="I760" s="172"/>
      <c r="J760" s="172"/>
      <c r="K760" s="172"/>
      <c r="L760" s="211"/>
      <c r="M760" s="211"/>
    </row>
    <row r="761">
      <c r="C761" s="139"/>
      <c r="D761" s="139"/>
      <c r="F761" s="169"/>
      <c r="G761" s="172"/>
      <c r="H761" s="209"/>
      <c r="I761" s="172"/>
      <c r="J761" s="172"/>
      <c r="K761" s="172"/>
      <c r="L761" s="211"/>
      <c r="M761" s="211"/>
    </row>
    <row r="762">
      <c r="C762" s="139"/>
      <c r="D762" s="139"/>
      <c r="F762" s="169"/>
      <c r="G762" s="172"/>
      <c r="H762" s="209"/>
      <c r="I762" s="172"/>
      <c r="J762" s="172"/>
      <c r="K762" s="172"/>
      <c r="L762" s="211"/>
      <c r="M762" s="211"/>
    </row>
    <row r="763">
      <c r="C763" s="139"/>
      <c r="D763" s="139"/>
      <c r="F763" s="169"/>
      <c r="G763" s="172"/>
      <c r="H763" s="209"/>
      <c r="I763" s="172"/>
      <c r="J763" s="172"/>
      <c r="K763" s="172"/>
      <c r="L763" s="211"/>
      <c r="M763" s="211"/>
    </row>
    <row r="764">
      <c r="C764" s="139"/>
      <c r="D764" s="139"/>
      <c r="F764" s="169"/>
      <c r="G764" s="172"/>
      <c r="H764" s="209"/>
      <c r="I764" s="172"/>
      <c r="J764" s="172"/>
      <c r="K764" s="172"/>
      <c r="L764" s="211"/>
      <c r="M764" s="211"/>
    </row>
    <row r="765">
      <c r="C765" s="139"/>
      <c r="D765" s="139"/>
      <c r="F765" s="169"/>
      <c r="G765" s="172"/>
      <c r="H765" s="209"/>
      <c r="I765" s="172"/>
      <c r="J765" s="172"/>
      <c r="K765" s="172"/>
      <c r="L765" s="211"/>
      <c r="M765" s="211"/>
    </row>
    <row r="766">
      <c r="C766" s="139"/>
      <c r="D766" s="139"/>
      <c r="F766" s="169"/>
      <c r="G766" s="172"/>
      <c r="H766" s="209"/>
      <c r="I766" s="172"/>
      <c r="J766" s="172"/>
      <c r="K766" s="172"/>
      <c r="L766" s="211"/>
      <c r="M766" s="211"/>
    </row>
    <row r="767">
      <c r="C767" s="139"/>
      <c r="D767" s="139"/>
      <c r="F767" s="169"/>
      <c r="G767" s="172"/>
      <c r="H767" s="209"/>
      <c r="I767" s="172"/>
      <c r="J767" s="172"/>
      <c r="K767" s="172"/>
      <c r="L767" s="211"/>
      <c r="M767" s="211"/>
    </row>
    <row r="768">
      <c r="C768" s="139"/>
      <c r="D768" s="139"/>
      <c r="F768" s="169"/>
      <c r="G768" s="172"/>
      <c r="H768" s="209"/>
      <c r="I768" s="172"/>
      <c r="J768" s="172"/>
      <c r="K768" s="172"/>
      <c r="L768" s="211"/>
      <c r="M768" s="211"/>
    </row>
    <row r="769">
      <c r="C769" s="139"/>
      <c r="D769" s="139"/>
      <c r="F769" s="169"/>
      <c r="G769" s="172"/>
      <c r="H769" s="209"/>
      <c r="I769" s="172"/>
      <c r="J769" s="172"/>
      <c r="K769" s="172"/>
      <c r="L769" s="211"/>
      <c r="M769" s="211"/>
    </row>
    <row r="770">
      <c r="C770" s="139"/>
      <c r="D770" s="139"/>
      <c r="F770" s="169"/>
      <c r="G770" s="172"/>
      <c r="H770" s="209"/>
      <c r="I770" s="172"/>
      <c r="J770" s="172"/>
      <c r="K770" s="172"/>
      <c r="L770" s="211"/>
      <c r="M770" s="211"/>
    </row>
    <row r="771">
      <c r="C771" s="139"/>
      <c r="D771" s="139"/>
      <c r="F771" s="169"/>
      <c r="G771" s="172"/>
      <c r="H771" s="209"/>
      <c r="I771" s="172"/>
      <c r="J771" s="172"/>
      <c r="K771" s="172"/>
      <c r="L771" s="211"/>
      <c r="M771" s="211"/>
    </row>
    <row r="772">
      <c r="C772" s="139"/>
      <c r="D772" s="139"/>
      <c r="F772" s="169"/>
      <c r="G772" s="172"/>
      <c r="H772" s="209"/>
      <c r="I772" s="172"/>
      <c r="J772" s="172"/>
      <c r="K772" s="172"/>
      <c r="L772" s="211"/>
      <c r="M772" s="211"/>
    </row>
    <row r="773">
      <c r="C773" s="139"/>
      <c r="D773" s="139"/>
      <c r="F773" s="169"/>
      <c r="G773" s="172"/>
      <c r="H773" s="209"/>
      <c r="I773" s="172"/>
      <c r="J773" s="172"/>
      <c r="K773" s="172"/>
      <c r="L773" s="211"/>
      <c r="M773" s="211"/>
    </row>
    <row r="774">
      <c r="C774" s="139"/>
      <c r="D774" s="139"/>
      <c r="F774" s="169"/>
      <c r="G774" s="172"/>
      <c r="H774" s="209"/>
      <c r="I774" s="172"/>
      <c r="J774" s="172"/>
      <c r="K774" s="172"/>
      <c r="L774" s="211"/>
      <c r="M774" s="211"/>
    </row>
    <row r="775">
      <c r="C775" s="139"/>
      <c r="D775" s="139"/>
      <c r="F775" s="169"/>
      <c r="G775" s="172"/>
      <c r="H775" s="209"/>
      <c r="I775" s="172"/>
      <c r="J775" s="172"/>
      <c r="K775" s="172"/>
      <c r="L775" s="211"/>
      <c r="M775" s="211"/>
    </row>
    <row r="776">
      <c r="C776" s="139"/>
      <c r="D776" s="139"/>
      <c r="F776" s="169"/>
      <c r="G776" s="172"/>
      <c r="H776" s="209"/>
      <c r="I776" s="172"/>
      <c r="J776" s="172"/>
      <c r="K776" s="172"/>
      <c r="L776" s="211"/>
      <c r="M776" s="211"/>
    </row>
    <row r="777">
      <c r="C777" s="139"/>
      <c r="D777" s="139"/>
      <c r="F777" s="169"/>
      <c r="G777" s="172"/>
      <c r="H777" s="209"/>
      <c r="I777" s="172"/>
      <c r="J777" s="172"/>
      <c r="K777" s="172"/>
      <c r="L777" s="211"/>
      <c r="M777" s="211"/>
    </row>
    <row r="778">
      <c r="C778" s="139"/>
      <c r="D778" s="139"/>
      <c r="F778" s="169"/>
      <c r="G778" s="172"/>
      <c r="H778" s="209"/>
      <c r="I778" s="172"/>
      <c r="J778" s="172"/>
      <c r="K778" s="172"/>
      <c r="L778" s="211"/>
      <c r="M778" s="211"/>
    </row>
    <row r="779">
      <c r="C779" s="139"/>
      <c r="D779" s="139"/>
      <c r="F779" s="169"/>
      <c r="G779" s="172"/>
      <c r="H779" s="209"/>
      <c r="I779" s="172"/>
      <c r="J779" s="172"/>
      <c r="K779" s="172"/>
      <c r="L779" s="211"/>
      <c r="M779" s="211"/>
    </row>
    <row r="780">
      <c r="C780" s="139"/>
      <c r="D780" s="139"/>
      <c r="F780" s="169"/>
      <c r="G780" s="172"/>
      <c r="H780" s="209"/>
      <c r="I780" s="172"/>
      <c r="J780" s="172"/>
      <c r="K780" s="172"/>
      <c r="L780" s="211"/>
      <c r="M780" s="211"/>
    </row>
    <row r="781">
      <c r="C781" s="139"/>
      <c r="D781" s="139"/>
      <c r="F781" s="169"/>
      <c r="G781" s="172"/>
      <c r="H781" s="209"/>
      <c r="I781" s="172"/>
      <c r="J781" s="172"/>
      <c r="K781" s="172"/>
      <c r="L781" s="211"/>
      <c r="M781" s="211"/>
    </row>
    <row r="782">
      <c r="C782" s="139"/>
      <c r="D782" s="139"/>
      <c r="F782" s="169"/>
      <c r="G782" s="172"/>
      <c r="H782" s="209"/>
      <c r="I782" s="172"/>
      <c r="J782" s="172"/>
      <c r="K782" s="172"/>
      <c r="L782" s="211"/>
      <c r="M782" s="211"/>
    </row>
    <row r="783">
      <c r="C783" s="139"/>
      <c r="D783" s="139"/>
      <c r="F783" s="169"/>
      <c r="G783" s="172"/>
      <c r="H783" s="209"/>
      <c r="I783" s="172"/>
      <c r="J783" s="172"/>
      <c r="K783" s="172"/>
      <c r="L783" s="211"/>
      <c r="M783" s="211"/>
    </row>
    <row r="784">
      <c r="C784" s="139"/>
      <c r="D784" s="139"/>
      <c r="F784" s="169"/>
      <c r="G784" s="172"/>
      <c r="H784" s="209"/>
      <c r="I784" s="172"/>
      <c r="J784" s="172"/>
      <c r="K784" s="172"/>
      <c r="L784" s="211"/>
      <c r="M784" s="211"/>
    </row>
    <row r="785">
      <c r="C785" s="139"/>
      <c r="D785" s="139"/>
      <c r="F785" s="169"/>
      <c r="G785" s="172"/>
      <c r="H785" s="209"/>
      <c r="I785" s="172"/>
      <c r="J785" s="172"/>
      <c r="K785" s="172"/>
      <c r="L785" s="211"/>
      <c r="M785" s="211"/>
    </row>
    <row r="786">
      <c r="C786" s="139"/>
      <c r="D786" s="139"/>
      <c r="F786" s="169"/>
      <c r="G786" s="172"/>
      <c r="H786" s="209"/>
      <c r="I786" s="172"/>
      <c r="J786" s="172"/>
      <c r="K786" s="172"/>
      <c r="L786" s="211"/>
      <c r="M786" s="211"/>
    </row>
    <row r="787">
      <c r="C787" s="139"/>
      <c r="D787" s="139"/>
      <c r="F787" s="169"/>
      <c r="G787" s="172"/>
      <c r="H787" s="209"/>
      <c r="I787" s="172"/>
      <c r="J787" s="172"/>
      <c r="K787" s="172"/>
      <c r="L787" s="211"/>
      <c r="M787" s="211"/>
    </row>
    <row r="788">
      <c r="C788" s="139"/>
      <c r="D788" s="139"/>
      <c r="F788" s="169"/>
      <c r="G788" s="172"/>
      <c r="H788" s="209"/>
      <c r="I788" s="172"/>
      <c r="J788" s="172"/>
      <c r="K788" s="172"/>
      <c r="L788" s="211"/>
      <c r="M788" s="211"/>
    </row>
    <row r="789">
      <c r="C789" s="139"/>
      <c r="D789" s="139"/>
      <c r="F789" s="169"/>
      <c r="G789" s="172"/>
      <c r="H789" s="209"/>
      <c r="I789" s="172"/>
      <c r="J789" s="172"/>
      <c r="K789" s="172"/>
      <c r="L789" s="211"/>
      <c r="M789" s="211"/>
    </row>
    <row r="790">
      <c r="C790" s="139"/>
      <c r="D790" s="139"/>
      <c r="F790" s="169"/>
      <c r="G790" s="172"/>
      <c r="H790" s="209"/>
      <c r="I790" s="172"/>
      <c r="J790" s="172"/>
      <c r="K790" s="172"/>
      <c r="L790" s="211"/>
      <c r="M790" s="211"/>
    </row>
    <row r="791">
      <c r="C791" s="139"/>
      <c r="D791" s="139"/>
      <c r="F791" s="169"/>
      <c r="G791" s="172"/>
      <c r="H791" s="209"/>
      <c r="I791" s="172"/>
      <c r="J791" s="172"/>
      <c r="K791" s="172"/>
      <c r="L791" s="211"/>
      <c r="M791" s="211"/>
    </row>
    <row r="792">
      <c r="C792" s="139"/>
      <c r="D792" s="139"/>
      <c r="F792" s="169"/>
      <c r="G792" s="172"/>
      <c r="H792" s="209"/>
      <c r="I792" s="172"/>
      <c r="J792" s="172"/>
      <c r="K792" s="172"/>
      <c r="L792" s="211"/>
      <c r="M792" s="211"/>
    </row>
    <row r="793">
      <c r="C793" s="139"/>
      <c r="D793" s="139"/>
      <c r="F793" s="169"/>
      <c r="G793" s="172"/>
      <c r="H793" s="209"/>
      <c r="I793" s="172"/>
      <c r="J793" s="172"/>
      <c r="K793" s="172"/>
      <c r="L793" s="211"/>
      <c r="M793" s="211"/>
    </row>
    <row r="794">
      <c r="C794" s="139"/>
      <c r="D794" s="139"/>
      <c r="F794" s="169"/>
      <c r="G794" s="172"/>
      <c r="H794" s="209"/>
      <c r="I794" s="172"/>
      <c r="J794" s="172"/>
      <c r="K794" s="172"/>
      <c r="L794" s="211"/>
      <c r="M794" s="211"/>
    </row>
    <row r="795">
      <c r="C795" s="139"/>
      <c r="D795" s="139"/>
      <c r="F795" s="169"/>
      <c r="G795" s="172"/>
      <c r="H795" s="209"/>
      <c r="I795" s="172"/>
      <c r="J795" s="172"/>
      <c r="K795" s="172"/>
      <c r="L795" s="211"/>
      <c r="M795" s="211"/>
    </row>
    <row r="796">
      <c r="C796" s="139"/>
      <c r="D796" s="139"/>
      <c r="F796" s="169"/>
      <c r="G796" s="172"/>
      <c r="H796" s="209"/>
      <c r="I796" s="172"/>
      <c r="J796" s="172"/>
      <c r="K796" s="172"/>
      <c r="L796" s="211"/>
      <c r="M796" s="211"/>
    </row>
    <row r="797">
      <c r="C797" s="139"/>
      <c r="D797" s="139"/>
      <c r="F797" s="169"/>
      <c r="G797" s="172"/>
      <c r="H797" s="209"/>
      <c r="I797" s="172"/>
      <c r="J797" s="172"/>
      <c r="K797" s="172"/>
      <c r="L797" s="211"/>
      <c r="M797" s="211"/>
    </row>
    <row r="798">
      <c r="C798" s="139"/>
      <c r="D798" s="139"/>
      <c r="F798" s="169"/>
      <c r="G798" s="172"/>
      <c r="H798" s="209"/>
      <c r="I798" s="172"/>
      <c r="J798" s="172"/>
      <c r="K798" s="172"/>
      <c r="L798" s="211"/>
      <c r="M798" s="211"/>
    </row>
    <row r="799">
      <c r="C799" s="139"/>
      <c r="D799" s="139"/>
      <c r="F799" s="169"/>
      <c r="G799" s="172"/>
      <c r="H799" s="209"/>
      <c r="I799" s="172"/>
      <c r="J799" s="172"/>
      <c r="K799" s="172"/>
      <c r="L799" s="211"/>
      <c r="M799" s="211"/>
    </row>
    <row r="800">
      <c r="C800" s="139"/>
      <c r="D800" s="139"/>
      <c r="F800" s="169"/>
      <c r="G800" s="172"/>
      <c r="H800" s="209"/>
      <c r="I800" s="172"/>
      <c r="J800" s="172"/>
      <c r="K800" s="172"/>
      <c r="L800" s="211"/>
      <c r="M800" s="211"/>
    </row>
    <row r="801">
      <c r="C801" s="139"/>
      <c r="D801" s="139"/>
      <c r="F801" s="169"/>
      <c r="G801" s="172"/>
      <c r="H801" s="209"/>
      <c r="I801" s="172"/>
      <c r="J801" s="172"/>
      <c r="K801" s="172"/>
      <c r="L801" s="211"/>
      <c r="M801" s="211"/>
    </row>
    <row r="802">
      <c r="C802" s="139"/>
      <c r="D802" s="139"/>
      <c r="F802" s="169"/>
      <c r="G802" s="172"/>
      <c r="H802" s="209"/>
      <c r="I802" s="172"/>
      <c r="J802" s="172"/>
      <c r="K802" s="172"/>
      <c r="L802" s="211"/>
      <c r="M802" s="211"/>
    </row>
    <row r="803">
      <c r="C803" s="139"/>
      <c r="D803" s="139"/>
      <c r="F803" s="169"/>
      <c r="G803" s="172"/>
      <c r="H803" s="209"/>
      <c r="I803" s="172"/>
      <c r="J803" s="172"/>
      <c r="K803" s="172"/>
      <c r="L803" s="211"/>
      <c r="M803" s="211"/>
    </row>
    <row r="804">
      <c r="C804" s="139"/>
      <c r="D804" s="139"/>
      <c r="F804" s="169"/>
      <c r="G804" s="172"/>
      <c r="H804" s="209"/>
      <c r="I804" s="172"/>
      <c r="J804" s="172"/>
      <c r="K804" s="172"/>
      <c r="L804" s="211"/>
      <c r="M804" s="211"/>
    </row>
    <row r="805">
      <c r="C805" s="139"/>
      <c r="D805" s="139"/>
      <c r="F805" s="169"/>
      <c r="G805" s="172"/>
      <c r="H805" s="209"/>
      <c r="I805" s="172"/>
      <c r="J805" s="172"/>
      <c r="K805" s="172"/>
      <c r="L805" s="211"/>
      <c r="M805" s="211"/>
    </row>
    <row r="806">
      <c r="C806" s="139"/>
      <c r="D806" s="139"/>
      <c r="F806" s="169"/>
      <c r="G806" s="172"/>
      <c r="H806" s="209"/>
      <c r="I806" s="172"/>
      <c r="J806" s="172"/>
      <c r="K806" s="172"/>
      <c r="L806" s="211"/>
      <c r="M806" s="211"/>
    </row>
    <row r="807">
      <c r="C807" s="139"/>
      <c r="D807" s="139"/>
      <c r="F807" s="169"/>
      <c r="G807" s="172"/>
      <c r="H807" s="209"/>
      <c r="I807" s="172"/>
      <c r="J807" s="172"/>
      <c r="K807" s="172"/>
      <c r="L807" s="211"/>
      <c r="M807" s="211"/>
    </row>
    <row r="808">
      <c r="C808" s="139"/>
      <c r="D808" s="139"/>
      <c r="F808" s="169"/>
      <c r="G808" s="172"/>
      <c r="H808" s="209"/>
      <c r="I808" s="172"/>
      <c r="J808" s="172"/>
      <c r="K808" s="172"/>
      <c r="L808" s="211"/>
      <c r="M808" s="211"/>
    </row>
    <row r="809">
      <c r="C809" s="139"/>
      <c r="D809" s="139"/>
      <c r="F809" s="169"/>
      <c r="G809" s="172"/>
      <c r="H809" s="209"/>
      <c r="I809" s="172"/>
      <c r="J809" s="172"/>
      <c r="K809" s="172"/>
      <c r="L809" s="211"/>
      <c r="M809" s="211"/>
    </row>
    <row r="810">
      <c r="C810" s="139"/>
      <c r="D810" s="139"/>
      <c r="F810" s="169"/>
      <c r="G810" s="172"/>
      <c r="H810" s="209"/>
      <c r="I810" s="172"/>
      <c r="J810" s="172"/>
      <c r="K810" s="172"/>
      <c r="L810" s="211"/>
      <c r="M810" s="211"/>
    </row>
    <row r="811">
      <c r="C811" s="139"/>
      <c r="D811" s="139"/>
      <c r="F811" s="169"/>
      <c r="G811" s="172"/>
      <c r="H811" s="209"/>
      <c r="I811" s="172"/>
      <c r="J811" s="172"/>
      <c r="K811" s="172"/>
      <c r="L811" s="211"/>
      <c r="M811" s="211"/>
    </row>
    <row r="812">
      <c r="C812" s="139"/>
      <c r="D812" s="139"/>
      <c r="F812" s="169"/>
      <c r="G812" s="172"/>
      <c r="H812" s="209"/>
      <c r="I812" s="172"/>
      <c r="J812" s="172"/>
      <c r="K812" s="172"/>
      <c r="L812" s="211"/>
      <c r="M812" s="211"/>
    </row>
    <row r="813">
      <c r="C813" s="139"/>
      <c r="D813" s="139"/>
      <c r="F813" s="169"/>
      <c r="G813" s="172"/>
      <c r="H813" s="209"/>
      <c r="I813" s="172"/>
      <c r="J813" s="172"/>
      <c r="K813" s="172"/>
      <c r="L813" s="211"/>
      <c r="M813" s="211"/>
    </row>
    <row r="814">
      <c r="C814" s="139"/>
      <c r="D814" s="139"/>
      <c r="F814" s="169"/>
      <c r="G814" s="172"/>
      <c r="H814" s="209"/>
      <c r="I814" s="172"/>
      <c r="J814" s="172"/>
      <c r="K814" s="172"/>
      <c r="L814" s="211"/>
      <c r="M814" s="211"/>
    </row>
    <row r="815">
      <c r="C815" s="139"/>
      <c r="D815" s="139"/>
      <c r="F815" s="169"/>
      <c r="G815" s="172"/>
      <c r="H815" s="209"/>
      <c r="I815" s="172"/>
      <c r="J815" s="172"/>
      <c r="K815" s="172"/>
      <c r="L815" s="211"/>
      <c r="M815" s="211"/>
    </row>
    <row r="816">
      <c r="C816" s="139"/>
      <c r="D816" s="139"/>
      <c r="F816" s="169"/>
      <c r="G816" s="172"/>
      <c r="H816" s="209"/>
      <c r="I816" s="172"/>
      <c r="J816" s="172"/>
      <c r="K816" s="172"/>
      <c r="L816" s="211"/>
      <c r="M816" s="211"/>
    </row>
    <row r="817">
      <c r="C817" s="139"/>
      <c r="D817" s="139"/>
      <c r="F817" s="169"/>
      <c r="G817" s="172"/>
      <c r="H817" s="209"/>
      <c r="I817" s="172"/>
      <c r="J817" s="172"/>
      <c r="K817" s="172"/>
      <c r="L817" s="211"/>
      <c r="M817" s="211"/>
    </row>
    <row r="818">
      <c r="C818" s="139"/>
      <c r="D818" s="139"/>
      <c r="F818" s="169"/>
      <c r="G818" s="172"/>
      <c r="H818" s="209"/>
      <c r="I818" s="172"/>
      <c r="J818" s="172"/>
      <c r="K818" s="172"/>
      <c r="L818" s="211"/>
      <c r="M818" s="211"/>
    </row>
    <row r="819">
      <c r="C819" s="139"/>
      <c r="D819" s="139"/>
      <c r="F819" s="169"/>
      <c r="G819" s="172"/>
      <c r="H819" s="209"/>
      <c r="I819" s="172"/>
      <c r="J819" s="172"/>
      <c r="K819" s="172"/>
      <c r="L819" s="211"/>
      <c r="M819" s="211"/>
    </row>
    <row r="820">
      <c r="C820" s="139"/>
      <c r="D820" s="139"/>
      <c r="F820" s="169"/>
      <c r="G820" s="172"/>
      <c r="H820" s="209"/>
      <c r="I820" s="172"/>
      <c r="J820" s="172"/>
      <c r="K820" s="172"/>
      <c r="L820" s="211"/>
      <c r="M820" s="211"/>
    </row>
    <row r="821">
      <c r="C821" s="139"/>
      <c r="D821" s="139"/>
      <c r="F821" s="169"/>
      <c r="G821" s="172"/>
      <c r="H821" s="209"/>
      <c r="I821" s="172"/>
      <c r="J821" s="172"/>
      <c r="K821" s="172"/>
      <c r="L821" s="211"/>
      <c r="M821" s="211"/>
    </row>
    <row r="822">
      <c r="C822" s="139"/>
      <c r="D822" s="139"/>
      <c r="F822" s="169"/>
      <c r="G822" s="172"/>
      <c r="H822" s="209"/>
      <c r="I822" s="172"/>
      <c r="J822" s="172"/>
      <c r="K822" s="172"/>
      <c r="L822" s="211"/>
      <c r="M822" s="211"/>
    </row>
    <row r="823">
      <c r="C823" s="139"/>
      <c r="D823" s="139"/>
      <c r="F823" s="169"/>
      <c r="G823" s="172"/>
      <c r="H823" s="209"/>
      <c r="I823" s="172"/>
      <c r="J823" s="172"/>
      <c r="K823" s="172"/>
      <c r="L823" s="211"/>
      <c r="M823" s="211"/>
    </row>
    <row r="824">
      <c r="C824" s="139"/>
      <c r="D824" s="139"/>
      <c r="F824" s="169"/>
      <c r="G824" s="172"/>
      <c r="H824" s="209"/>
      <c r="I824" s="172"/>
      <c r="J824" s="172"/>
      <c r="K824" s="172"/>
      <c r="L824" s="211"/>
      <c r="M824" s="211"/>
    </row>
    <row r="825">
      <c r="C825" s="139"/>
      <c r="D825" s="139"/>
      <c r="F825" s="169"/>
      <c r="G825" s="172"/>
      <c r="H825" s="209"/>
      <c r="I825" s="172"/>
      <c r="J825" s="172"/>
      <c r="K825" s="172"/>
      <c r="L825" s="211"/>
      <c r="M825" s="211"/>
    </row>
    <row r="826">
      <c r="C826" s="139"/>
      <c r="D826" s="139"/>
      <c r="F826" s="169"/>
      <c r="G826" s="172"/>
      <c r="H826" s="209"/>
      <c r="I826" s="172"/>
      <c r="J826" s="172"/>
      <c r="K826" s="172"/>
      <c r="L826" s="211"/>
      <c r="M826" s="211"/>
    </row>
    <row r="827">
      <c r="C827" s="139"/>
      <c r="D827" s="139"/>
      <c r="F827" s="169"/>
      <c r="G827" s="172"/>
      <c r="H827" s="209"/>
      <c r="I827" s="172"/>
      <c r="J827" s="172"/>
      <c r="K827" s="172"/>
      <c r="L827" s="211"/>
      <c r="M827" s="211"/>
    </row>
    <row r="828">
      <c r="C828" s="139"/>
      <c r="D828" s="139"/>
      <c r="F828" s="169"/>
      <c r="G828" s="172"/>
      <c r="H828" s="209"/>
      <c r="I828" s="172"/>
      <c r="J828" s="172"/>
      <c r="K828" s="172"/>
      <c r="L828" s="211"/>
      <c r="M828" s="211"/>
    </row>
    <row r="829">
      <c r="C829" s="139"/>
      <c r="D829" s="139"/>
      <c r="F829" s="169"/>
      <c r="G829" s="172"/>
      <c r="H829" s="209"/>
      <c r="I829" s="172"/>
      <c r="J829" s="172"/>
      <c r="K829" s="172"/>
      <c r="L829" s="211"/>
      <c r="M829" s="211"/>
    </row>
    <row r="830">
      <c r="C830" s="139"/>
      <c r="D830" s="139"/>
      <c r="F830" s="169"/>
      <c r="G830" s="172"/>
      <c r="H830" s="209"/>
      <c r="I830" s="172"/>
      <c r="J830" s="172"/>
      <c r="K830" s="172"/>
      <c r="L830" s="211"/>
      <c r="M830" s="211"/>
    </row>
    <row r="831">
      <c r="C831" s="139"/>
      <c r="D831" s="139"/>
      <c r="F831" s="169"/>
      <c r="G831" s="172"/>
      <c r="H831" s="209"/>
      <c r="I831" s="172"/>
      <c r="J831" s="172"/>
      <c r="K831" s="172"/>
      <c r="L831" s="211"/>
      <c r="M831" s="211"/>
    </row>
    <row r="832">
      <c r="C832" s="139"/>
      <c r="D832" s="139"/>
      <c r="F832" s="169"/>
      <c r="G832" s="172"/>
      <c r="H832" s="209"/>
      <c r="I832" s="172"/>
      <c r="J832" s="172"/>
      <c r="K832" s="172"/>
      <c r="L832" s="211"/>
      <c r="M832" s="211"/>
    </row>
    <row r="833">
      <c r="C833" s="139"/>
      <c r="D833" s="139"/>
      <c r="F833" s="169"/>
      <c r="G833" s="172"/>
      <c r="H833" s="209"/>
      <c r="I833" s="172"/>
      <c r="J833" s="172"/>
      <c r="K833" s="172"/>
      <c r="L833" s="211"/>
      <c r="M833" s="211"/>
    </row>
    <row r="834">
      <c r="C834" s="139"/>
      <c r="D834" s="139"/>
      <c r="F834" s="169"/>
      <c r="G834" s="172"/>
      <c r="H834" s="209"/>
      <c r="I834" s="172"/>
      <c r="J834" s="172"/>
      <c r="K834" s="172"/>
      <c r="L834" s="211"/>
      <c r="M834" s="211"/>
    </row>
    <row r="835">
      <c r="C835" s="139"/>
      <c r="D835" s="139"/>
      <c r="F835" s="169"/>
      <c r="G835" s="172"/>
      <c r="H835" s="209"/>
      <c r="I835" s="172"/>
      <c r="J835" s="172"/>
      <c r="K835" s="172"/>
      <c r="L835" s="211"/>
      <c r="M835" s="211"/>
    </row>
    <row r="836">
      <c r="C836" s="139"/>
      <c r="D836" s="139"/>
      <c r="F836" s="169"/>
      <c r="G836" s="172"/>
      <c r="H836" s="209"/>
      <c r="I836" s="172"/>
      <c r="J836" s="172"/>
      <c r="K836" s="172"/>
      <c r="L836" s="211"/>
      <c r="M836" s="211"/>
    </row>
    <row r="837">
      <c r="C837" s="139"/>
      <c r="D837" s="139"/>
      <c r="F837" s="169"/>
      <c r="G837" s="172"/>
      <c r="H837" s="209"/>
      <c r="I837" s="172"/>
      <c r="J837" s="172"/>
      <c r="K837" s="172"/>
      <c r="L837" s="211"/>
      <c r="M837" s="211"/>
    </row>
    <row r="838">
      <c r="C838" s="139"/>
      <c r="D838" s="139"/>
      <c r="F838" s="169"/>
      <c r="G838" s="172"/>
      <c r="H838" s="209"/>
      <c r="I838" s="172"/>
      <c r="J838" s="172"/>
      <c r="K838" s="172"/>
      <c r="L838" s="211"/>
      <c r="M838" s="211"/>
    </row>
    <row r="839">
      <c r="C839" s="139"/>
      <c r="D839" s="139"/>
      <c r="F839" s="169"/>
      <c r="G839" s="172"/>
      <c r="H839" s="209"/>
      <c r="I839" s="172"/>
      <c r="J839" s="172"/>
      <c r="K839" s="172"/>
      <c r="L839" s="211"/>
      <c r="M839" s="211"/>
    </row>
    <row r="840">
      <c r="C840" s="139"/>
      <c r="D840" s="139"/>
      <c r="F840" s="169"/>
      <c r="G840" s="172"/>
      <c r="H840" s="209"/>
      <c r="I840" s="172"/>
      <c r="J840" s="172"/>
      <c r="K840" s="172"/>
      <c r="L840" s="211"/>
      <c r="M840" s="211"/>
    </row>
    <row r="841">
      <c r="C841" s="139"/>
      <c r="D841" s="139"/>
      <c r="F841" s="169"/>
      <c r="G841" s="172"/>
      <c r="H841" s="209"/>
      <c r="I841" s="172"/>
      <c r="J841" s="172"/>
      <c r="K841" s="172"/>
      <c r="L841" s="211"/>
      <c r="M841" s="211"/>
    </row>
    <row r="842">
      <c r="C842" s="139"/>
      <c r="D842" s="139"/>
      <c r="F842" s="169"/>
      <c r="G842" s="172"/>
      <c r="H842" s="209"/>
      <c r="I842" s="172"/>
      <c r="J842" s="172"/>
      <c r="K842" s="172"/>
      <c r="L842" s="211"/>
      <c r="M842" s="211"/>
    </row>
    <row r="843">
      <c r="C843" s="139"/>
      <c r="D843" s="139"/>
      <c r="F843" s="169"/>
      <c r="G843" s="172"/>
      <c r="H843" s="209"/>
      <c r="I843" s="172"/>
      <c r="J843" s="172"/>
      <c r="K843" s="172"/>
      <c r="L843" s="211"/>
      <c r="M843" s="211"/>
    </row>
    <row r="844">
      <c r="C844" s="139"/>
      <c r="D844" s="139"/>
      <c r="F844" s="169"/>
      <c r="G844" s="172"/>
      <c r="H844" s="209"/>
      <c r="I844" s="172"/>
      <c r="J844" s="172"/>
      <c r="K844" s="172"/>
      <c r="L844" s="211"/>
      <c r="M844" s="211"/>
    </row>
    <row r="845">
      <c r="C845" s="139"/>
      <c r="D845" s="139"/>
      <c r="F845" s="169"/>
      <c r="G845" s="172"/>
      <c r="H845" s="209"/>
      <c r="I845" s="172"/>
      <c r="J845" s="172"/>
      <c r="K845" s="172"/>
      <c r="L845" s="211"/>
      <c r="M845" s="211"/>
    </row>
    <row r="846">
      <c r="C846" s="139"/>
      <c r="D846" s="139"/>
      <c r="F846" s="169"/>
      <c r="G846" s="172"/>
      <c r="H846" s="209"/>
      <c r="I846" s="172"/>
      <c r="J846" s="172"/>
      <c r="K846" s="172"/>
      <c r="L846" s="211"/>
      <c r="M846" s="211"/>
    </row>
    <row r="847">
      <c r="C847" s="139"/>
      <c r="D847" s="139"/>
      <c r="F847" s="169"/>
      <c r="G847" s="172"/>
      <c r="H847" s="209"/>
      <c r="I847" s="172"/>
      <c r="J847" s="172"/>
      <c r="K847" s="172"/>
      <c r="L847" s="211"/>
      <c r="M847" s="211"/>
    </row>
    <row r="848">
      <c r="C848" s="139"/>
      <c r="D848" s="139"/>
      <c r="F848" s="169"/>
      <c r="G848" s="172"/>
      <c r="H848" s="209"/>
      <c r="I848" s="172"/>
      <c r="J848" s="172"/>
      <c r="K848" s="172"/>
      <c r="L848" s="211"/>
      <c r="M848" s="211"/>
    </row>
    <row r="849">
      <c r="C849" s="139"/>
      <c r="D849" s="139"/>
      <c r="F849" s="169"/>
      <c r="G849" s="172"/>
      <c r="H849" s="209"/>
      <c r="I849" s="172"/>
      <c r="J849" s="172"/>
      <c r="K849" s="172"/>
      <c r="L849" s="211"/>
      <c r="M849" s="211"/>
    </row>
    <row r="850">
      <c r="C850" s="139"/>
      <c r="D850" s="139"/>
      <c r="F850" s="169"/>
      <c r="G850" s="172"/>
      <c r="H850" s="209"/>
      <c r="I850" s="172"/>
      <c r="J850" s="172"/>
      <c r="K850" s="172"/>
      <c r="L850" s="211"/>
      <c r="M850" s="211"/>
    </row>
    <row r="851">
      <c r="C851" s="139"/>
      <c r="D851" s="139"/>
      <c r="F851" s="169"/>
      <c r="G851" s="172"/>
      <c r="H851" s="209"/>
      <c r="I851" s="172"/>
      <c r="J851" s="172"/>
      <c r="K851" s="172"/>
      <c r="L851" s="211"/>
      <c r="M851" s="211"/>
    </row>
    <row r="852">
      <c r="C852" s="139"/>
      <c r="D852" s="139"/>
      <c r="F852" s="169"/>
      <c r="G852" s="172"/>
      <c r="H852" s="209"/>
      <c r="I852" s="172"/>
      <c r="J852" s="172"/>
      <c r="K852" s="172"/>
      <c r="L852" s="211"/>
      <c r="M852" s="211"/>
    </row>
    <row r="853">
      <c r="C853" s="139"/>
      <c r="D853" s="139"/>
      <c r="F853" s="169"/>
      <c r="G853" s="172"/>
      <c r="H853" s="209"/>
      <c r="I853" s="172"/>
      <c r="J853" s="172"/>
      <c r="K853" s="172"/>
      <c r="L853" s="211"/>
      <c r="M853" s="211"/>
    </row>
    <row r="854">
      <c r="C854" s="139"/>
      <c r="D854" s="139"/>
      <c r="F854" s="169"/>
      <c r="G854" s="172"/>
      <c r="H854" s="209"/>
      <c r="I854" s="172"/>
      <c r="J854" s="172"/>
      <c r="K854" s="172"/>
      <c r="L854" s="211"/>
      <c r="M854" s="211"/>
    </row>
    <row r="855">
      <c r="C855" s="139"/>
      <c r="D855" s="139"/>
      <c r="F855" s="169"/>
      <c r="G855" s="172"/>
      <c r="H855" s="209"/>
      <c r="I855" s="172"/>
      <c r="J855" s="172"/>
      <c r="K855" s="172"/>
      <c r="L855" s="211"/>
      <c r="M855" s="211"/>
    </row>
    <row r="856">
      <c r="C856" s="139"/>
      <c r="D856" s="139"/>
      <c r="F856" s="169"/>
      <c r="G856" s="172"/>
      <c r="H856" s="209"/>
      <c r="I856" s="172"/>
      <c r="J856" s="172"/>
      <c r="K856" s="172"/>
      <c r="L856" s="211"/>
      <c r="M856" s="211"/>
    </row>
    <row r="857">
      <c r="C857" s="139"/>
      <c r="D857" s="139"/>
      <c r="F857" s="169"/>
      <c r="G857" s="172"/>
      <c r="H857" s="209"/>
      <c r="I857" s="172"/>
      <c r="J857" s="172"/>
      <c r="K857" s="172"/>
      <c r="L857" s="211"/>
      <c r="M857" s="211"/>
    </row>
    <row r="858">
      <c r="C858" s="139"/>
      <c r="D858" s="139"/>
      <c r="F858" s="169"/>
      <c r="G858" s="172"/>
      <c r="H858" s="209"/>
      <c r="I858" s="172"/>
      <c r="J858" s="172"/>
      <c r="K858" s="172"/>
      <c r="L858" s="211"/>
      <c r="M858" s="211"/>
    </row>
    <row r="859">
      <c r="C859" s="139"/>
      <c r="D859" s="139"/>
      <c r="F859" s="169"/>
      <c r="G859" s="172"/>
      <c r="H859" s="209"/>
      <c r="I859" s="172"/>
      <c r="J859" s="172"/>
      <c r="K859" s="172"/>
      <c r="L859" s="211"/>
      <c r="M859" s="211"/>
    </row>
    <row r="860">
      <c r="C860" s="139"/>
      <c r="D860" s="139"/>
      <c r="F860" s="169"/>
      <c r="G860" s="172"/>
      <c r="H860" s="209"/>
      <c r="I860" s="172"/>
      <c r="J860" s="172"/>
      <c r="K860" s="172"/>
      <c r="L860" s="211"/>
      <c r="M860" s="211"/>
    </row>
    <row r="861">
      <c r="C861" s="139"/>
      <c r="D861" s="139"/>
      <c r="F861" s="169"/>
      <c r="G861" s="172"/>
      <c r="H861" s="209"/>
      <c r="I861" s="172"/>
      <c r="J861" s="172"/>
      <c r="K861" s="172"/>
      <c r="L861" s="211"/>
      <c r="M861" s="211"/>
    </row>
    <row r="862">
      <c r="C862" s="139"/>
      <c r="D862" s="139"/>
      <c r="F862" s="169"/>
      <c r="G862" s="172"/>
      <c r="H862" s="209"/>
      <c r="I862" s="172"/>
      <c r="J862" s="172"/>
      <c r="K862" s="172"/>
      <c r="L862" s="211"/>
      <c r="M862" s="211"/>
    </row>
    <row r="863">
      <c r="C863" s="139"/>
      <c r="D863" s="139"/>
      <c r="F863" s="169"/>
      <c r="G863" s="172"/>
      <c r="H863" s="209"/>
      <c r="I863" s="172"/>
      <c r="J863" s="172"/>
      <c r="K863" s="172"/>
      <c r="L863" s="211"/>
      <c r="M863" s="211"/>
    </row>
    <row r="864">
      <c r="C864" s="139"/>
      <c r="D864" s="139"/>
      <c r="F864" s="169"/>
      <c r="G864" s="172"/>
      <c r="H864" s="209"/>
      <c r="I864" s="172"/>
      <c r="J864" s="172"/>
      <c r="K864" s="172"/>
      <c r="L864" s="211"/>
      <c r="M864" s="211"/>
    </row>
    <row r="865">
      <c r="C865" s="139"/>
      <c r="D865" s="139"/>
      <c r="F865" s="169"/>
      <c r="G865" s="172"/>
      <c r="H865" s="209"/>
      <c r="I865" s="172"/>
      <c r="J865" s="172"/>
      <c r="K865" s="172"/>
      <c r="L865" s="211"/>
      <c r="M865" s="211"/>
    </row>
    <row r="866">
      <c r="C866" s="139"/>
      <c r="D866" s="139"/>
      <c r="F866" s="169"/>
      <c r="G866" s="172"/>
      <c r="H866" s="209"/>
      <c r="I866" s="172"/>
      <c r="J866" s="172"/>
      <c r="K866" s="172"/>
      <c r="L866" s="211"/>
      <c r="M866" s="211"/>
    </row>
    <row r="867">
      <c r="C867" s="139"/>
      <c r="D867" s="139"/>
      <c r="F867" s="169"/>
      <c r="G867" s="172"/>
      <c r="H867" s="209"/>
      <c r="I867" s="172"/>
      <c r="J867" s="172"/>
      <c r="K867" s="172"/>
      <c r="L867" s="211"/>
      <c r="M867" s="211"/>
    </row>
    <row r="868">
      <c r="C868" s="139"/>
      <c r="D868" s="139"/>
      <c r="F868" s="169"/>
      <c r="G868" s="172"/>
      <c r="H868" s="209"/>
      <c r="I868" s="172"/>
      <c r="J868" s="172"/>
      <c r="K868" s="172"/>
      <c r="L868" s="211"/>
      <c r="M868" s="211"/>
    </row>
    <row r="869">
      <c r="C869" s="139"/>
      <c r="D869" s="139"/>
      <c r="F869" s="169"/>
      <c r="G869" s="172"/>
      <c r="H869" s="209"/>
      <c r="I869" s="172"/>
      <c r="J869" s="172"/>
      <c r="K869" s="172"/>
      <c r="L869" s="211"/>
      <c r="M869" s="211"/>
    </row>
    <row r="870">
      <c r="C870" s="139"/>
      <c r="D870" s="139"/>
      <c r="F870" s="169"/>
      <c r="G870" s="172"/>
      <c r="H870" s="209"/>
      <c r="I870" s="172"/>
      <c r="J870" s="172"/>
      <c r="K870" s="172"/>
      <c r="L870" s="211"/>
      <c r="M870" s="211"/>
    </row>
    <row r="871">
      <c r="C871" s="139"/>
      <c r="D871" s="139"/>
      <c r="F871" s="169"/>
      <c r="G871" s="172"/>
      <c r="H871" s="209"/>
      <c r="I871" s="172"/>
      <c r="J871" s="172"/>
      <c r="K871" s="172"/>
      <c r="L871" s="211"/>
      <c r="M871" s="211"/>
    </row>
    <row r="872">
      <c r="C872" s="139"/>
      <c r="D872" s="139"/>
      <c r="F872" s="169"/>
      <c r="G872" s="172"/>
      <c r="H872" s="209"/>
      <c r="I872" s="172"/>
      <c r="J872" s="172"/>
      <c r="K872" s="172"/>
      <c r="L872" s="211"/>
      <c r="M872" s="211"/>
    </row>
    <row r="873">
      <c r="C873" s="139"/>
      <c r="D873" s="139"/>
      <c r="F873" s="169"/>
      <c r="G873" s="172"/>
      <c r="H873" s="209"/>
      <c r="I873" s="172"/>
      <c r="J873" s="172"/>
      <c r="K873" s="172"/>
      <c r="L873" s="211"/>
      <c r="M873" s="211"/>
    </row>
    <row r="874">
      <c r="C874" s="139"/>
      <c r="D874" s="139"/>
      <c r="F874" s="169"/>
      <c r="G874" s="172"/>
      <c r="H874" s="209"/>
      <c r="I874" s="172"/>
      <c r="J874" s="172"/>
      <c r="K874" s="172"/>
      <c r="L874" s="211"/>
      <c r="M874" s="211"/>
    </row>
    <row r="875">
      <c r="C875" s="139"/>
      <c r="D875" s="139"/>
      <c r="F875" s="169"/>
      <c r="G875" s="172"/>
      <c r="H875" s="209"/>
      <c r="I875" s="172"/>
      <c r="J875" s="172"/>
      <c r="K875" s="172"/>
      <c r="L875" s="211"/>
      <c r="M875" s="211"/>
    </row>
    <row r="876">
      <c r="C876" s="139"/>
      <c r="D876" s="139"/>
      <c r="F876" s="169"/>
      <c r="G876" s="172"/>
      <c r="H876" s="209"/>
      <c r="I876" s="172"/>
      <c r="J876" s="172"/>
      <c r="K876" s="172"/>
      <c r="L876" s="211"/>
      <c r="M876" s="211"/>
    </row>
    <row r="877">
      <c r="C877" s="139"/>
      <c r="D877" s="139"/>
      <c r="F877" s="169"/>
      <c r="G877" s="172"/>
      <c r="H877" s="209"/>
      <c r="I877" s="172"/>
      <c r="J877" s="172"/>
      <c r="K877" s="172"/>
      <c r="L877" s="211"/>
      <c r="M877" s="211"/>
    </row>
    <row r="878">
      <c r="C878" s="139"/>
      <c r="D878" s="139"/>
      <c r="F878" s="169"/>
      <c r="G878" s="172"/>
      <c r="H878" s="209"/>
      <c r="I878" s="172"/>
      <c r="J878" s="172"/>
      <c r="K878" s="172"/>
      <c r="L878" s="211"/>
      <c r="M878" s="211"/>
    </row>
    <row r="879">
      <c r="C879" s="139"/>
      <c r="D879" s="139"/>
      <c r="F879" s="169"/>
      <c r="G879" s="172"/>
      <c r="H879" s="209"/>
      <c r="I879" s="172"/>
      <c r="J879" s="172"/>
      <c r="K879" s="172"/>
      <c r="L879" s="211"/>
      <c r="M879" s="211"/>
    </row>
    <row r="880">
      <c r="C880" s="139"/>
      <c r="D880" s="139"/>
      <c r="F880" s="169"/>
      <c r="G880" s="172"/>
      <c r="H880" s="209"/>
      <c r="I880" s="172"/>
      <c r="J880" s="172"/>
      <c r="K880" s="172"/>
      <c r="L880" s="211"/>
      <c r="M880" s="211"/>
    </row>
    <row r="881">
      <c r="C881" s="139"/>
      <c r="D881" s="139"/>
      <c r="F881" s="169"/>
      <c r="G881" s="172"/>
      <c r="H881" s="209"/>
      <c r="I881" s="172"/>
      <c r="J881" s="172"/>
      <c r="K881" s="172"/>
      <c r="L881" s="211"/>
      <c r="M881" s="211"/>
    </row>
    <row r="882">
      <c r="C882" s="139"/>
      <c r="D882" s="139"/>
      <c r="F882" s="169"/>
      <c r="G882" s="172"/>
      <c r="H882" s="209"/>
      <c r="I882" s="172"/>
      <c r="J882" s="172"/>
      <c r="K882" s="172"/>
      <c r="L882" s="211"/>
      <c r="M882" s="211"/>
    </row>
    <row r="883">
      <c r="C883" s="139"/>
      <c r="D883" s="139"/>
      <c r="F883" s="169"/>
      <c r="G883" s="172"/>
      <c r="H883" s="209"/>
      <c r="I883" s="172"/>
      <c r="J883" s="172"/>
      <c r="K883" s="172"/>
      <c r="L883" s="211"/>
      <c r="M883" s="211"/>
    </row>
    <row r="884">
      <c r="C884" s="139"/>
      <c r="D884" s="139"/>
      <c r="F884" s="169"/>
      <c r="G884" s="172"/>
      <c r="H884" s="209"/>
      <c r="I884" s="172"/>
      <c r="J884" s="172"/>
      <c r="K884" s="172"/>
      <c r="L884" s="211"/>
      <c r="M884" s="211"/>
    </row>
    <row r="885">
      <c r="C885" s="139"/>
      <c r="D885" s="139"/>
      <c r="F885" s="169"/>
      <c r="G885" s="172"/>
      <c r="H885" s="209"/>
      <c r="I885" s="172"/>
      <c r="J885" s="172"/>
      <c r="K885" s="172"/>
      <c r="L885" s="211"/>
      <c r="M885" s="211"/>
    </row>
    <row r="886">
      <c r="C886" s="139"/>
      <c r="D886" s="139"/>
      <c r="F886" s="169"/>
      <c r="G886" s="172"/>
      <c r="H886" s="209"/>
      <c r="I886" s="172"/>
      <c r="J886" s="172"/>
      <c r="K886" s="172"/>
      <c r="L886" s="211"/>
      <c r="M886" s="211"/>
    </row>
    <row r="887">
      <c r="C887" s="139"/>
      <c r="D887" s="139"/>
      <c r="F887" s="169"/>
      <c r="G887" s="172"/>
      <c r="H887" s="209"/>
      <c r="I887" s="172"/>
      <c r="J887" s="172"/>
      <c r="K887" s="172"/>
      <c r="L887" s="211"/>
      <c r="M887" s="211"/>
    </row>
    <row r="888">
      <c r="C888" s="139"/>
      <c r="D888" s="139"/>
      <c r="F888" s="169"/>
      <c r="G888" s="172"/>
      <c r="H888" s="209"/>
      <c r="I888" s="172"/>
      <c r="J888" s="172"/>
      <c r="K888" s="172"/>
      <c r="L888" s="211"/>
      <c r="M888" s="211"/>
    </row>
    <row r="889">
      <c r="C889" s="139"/>
      <c r="D889" s="139"/>
      <c r="F889" s="169"/>
      <c r="G889" s="172"/>
      <c r="H889" s="209"/>
      <c r="I889" s="172"/>
      <c r="J889" s="172"/>
      <c r="K889" s="172"/>
      <c r="L889" s="211"/>
      <c r="M889" s="211"/>
    </row>
    <row r="890">
      <c r="C890" s="139"/>
      <c r="D890" s="139"/>
      <c r="F890" s="169"/>
      <c r="G890" s="172"/>
      <c r="H890" s="209"/>
      <c r="I890" s="172"/>
      <c r="J890" s="172"/>
      <c r="K890" s="172"/>
      <c r="L890" s="211"/>
      <c r="M890" s="211"/>
    </row>
    <row r="891">
      <c r="C891" s="139"/>
      <c r="D891" s="139"/>
      <c r="F891" s="169"/>
      <c r="G891" s="172"/>
      <c r="H891" s="209"/>
      <c r="I891" s="172"/>
      <c r="J891" s="172"/>
      <c r="K891" s="172"/>
      <c r="L891" s="211"/>
      <c r="M891" s="211"/>
    </row>
    <row r="892">
      <c r="C892" s="139"/>
      <c r="D892" s="139"/>
      <c r="F892" s="169"/>
      <c r="G892" s="172"/>
      <c r="H892" s="209"/>
      <c r="I892" s="172"/>
      <c r="J892" s="172"/>
      <c r="K892" s="172"/>
      <c r="L892" s="211"/>
      <c r="M892" s="211"/>
    </row>
    <row r="893">
      <c r="C893" s="139"/>
      <c r="D893" s="139"/>
      <c r="F893" s="169"/>
      <c r="G893" s="172"/>
      <c r="H893" s="209"/>
      <c r="I893" s="172"/>
      <c r="J893" s="172"/>
      <c r="K893" s="172"/>
      <c r="L893" s="211"/>
      <c r="M893" s="211"/>
    </row>
    <row r="894">
      <c r="C894" s="139"/>
      <c r="D894" s="139"/>
      <c r="F894" s="169"/>
      <c r="G894" s="172"/>
      <c r="H894" s="209"/>
      <c r="I894" s="172"/>
      <c r="J894" s="172"/>
      <c r="K894" s="172"/>
      <c r="L894" s="211"/>
      <c r="M894" s="211"/>
    </row>
    <row r="895">
      <c r="C895" s="139"/>
      <c r="D895" s="139"/>
      <c r="F895" s="169"/>
      <c r="G895" s="172"/>
      <c r="H895" s="209"/>
      <c r="I895" s="172"/>
      <c r="J895" s="172"/>
      <c r="K895" s="172"/>
      <c r="L895" s="211"/>
      <c r="M895" s="211"/>
    </row>
    <row r="896">
      <c r="C896" s="139"/>
      <c r="D896" s="139"/>
      <c r="F896" s="169"/>
      <c r="G896" s="172"/>
      <c r="H896" s="209"/>
      <c r="I896" s="172"/>
      <c r="J896" s="172"/>
      <c r="K896" s="172"/>
      <c r="L896" s="211"/>
      <c r="M896" s="211"/>
    </row>
    <row r="897">
      <c r="C897" s="139"/>
      <c r="D897" s="139"/>
      <c r="F897" s="169"/>
      <c r="G897" s="172"/>
      <c r="H897" s="209"/>
      <c r="I897" s="172"/>
      <c r="J897" s="172"/>
      <c r="K897" s="172"/>
      <c r="L897" s="211"/>
      <c r="M897" s="211"/>
    </row>
    <row r="898">
      <c r="C898" s="139"/>
      <c r="D898" s="139"/>
      <c r="F898" s="169"/>
      <c r="G898" s="172"/>
      <c r="H898" s="209"/>
      <c r="I898" s="172"/>
      <c r="J898" s="172"/>
      <c r="K898" s="172"/>
      <c r="L898" s="211"/>
      <c r="M898" s="211"/>
    </row>
    <row r="899">
      <c r="C899" s="139"/>
      <c r="D899" s="139"/>
      <c r="F899" s="169"/>
      <c r="G899" s="172"/>
      <c r="H899" s="209"/>
      <c r="I899" s="172"/>
      <c r="J899" s="172"/>
      <c r="K899" s="172"/>
      <c r="L899" s="211"/>
      <c r="M899" s="211"/>
    </row>
    <row r="900">
      <c r="C900" s="139"/>
      <c r="D900" s="139"/>
      <c r="F900" s="169"/>
      <c r="G900" s="172"/>
      <c r="H900" s="209"/>
      <c r="I900" s="172"/>
      <c r="J900" s="172"/>
      <c r="K900" s="172"/>
      <c r="L900" s="211"/>
      <c r="M900" s="211"/>
    </row>
    <row r="901">
      <c r="C901" s="139"/>
      <c r="D901" s="139"/>
      <c r="F901" s="169"/>
      <c r="G901" s="172"/>
      <c r="H901" s="209"/>
      <c r="I901" s="172"/>
      <c r="J901" s="172"/>
      <c r="K901" s="172"/>
      <c r="L901" s="211"/>
      <c r="M901" s="211"/>
    </row>
    <row r="902">
      <c r="C902" s="139"/>
      <c r="D902" s="139"/>
      <c r="F902" s="169"/>
      <c r="G902" s="172"/>
      <c r="H902" s="209"/>
      <c r="I902" s="172"/>
      <c r="J902" s="172"/>
      <c r="K902" s="172"/>
      <c r="L902" s="211"/>
      <c r="M902" s="211"/>
    </row>
    <row r="903">
      <c r="C903" s="139"/>
      <c r="D903" s="139"/>
      <c r="F903" s="169"/>
      <c r="G903" s="172"/>
      <c r="H903" s="209"/>
      <c r="I903" s="172"/>
      <c r="J903" s="172"/>
      <c r="K903" s="172"/>
      <c r="L903" s="211"/>
      <c r="M903" s="211"/>
    </row>
    <row r="904">
      <c r="C904" s="139"/>
      <c r="D904" s="139"/>
      <c r="F904" s="169"/>
      <c r="G904" s="172"/>
      <c r="H904" s="209"/>
      <c r="I904" s="172"/>
      <c r="J904" s="172"/>
      <c r="K904" s="172"/>
      <c r="L904" s="211"/>
      <c r="M904" s="211"/>
    </row>
    <row r="905">
      <c r="C905" s="139"/>
      <c r="D905" s="139"/>
      <c r="F905" s="169"/>
      <c r="G905" s="172"/>
      <c r="H905" s="209"/>
      <c r="I905" s="172"/>
      <c r="J905" s="172"/>
      <c r="K905" s="172"/>
      <c r="L905" s="211"/>
      <c r="M905" s="211"/>
    </row>
    <row r="906">
      <c r="C906" s="139"/>
      <c r="D906" s="139"/>
      <c r="F906" s="169"/>
      <c r="G906" s="172"/>
      <c r="H906" s="209"/>
      <c r="I906" s="172"/>
      <c r="J906" s="172"/>
      <c r="K906" s="172"/>
      <c r="L906" s="211"/>
      <c r="M906" s="211"/>
    </row>
    <row r="907">
      <c r="C907" s="139"/>
      <c r="D907" s="139"/>
      <c r="F907" s="169"/>
      <c r="G907" s="172"/>
      <c r="H907" s="209"/>
      <c r="I907" s="172"/>
      <c r="J907" s="172"/>
      <c r="K907" s="172"/>
      <c r="L907" s="211"/>
      <c r="M907" s="211"/>
    </row>
    <row r="908">
      <c r="C908" s="139"/>
      <c r="D908" s="139"/>
      <c r="F908" s="169"/>
      <c r="G908" s="172"/>
      <c r="H908" s="209"/>
      <c r="I908" s="172"/>
      <c r="J908" s="172"/>
      <c r="K908" s="172"/>
      <c r="L908" s="211"/>
      <c r="M908" s="211"/>
    </row>
    <row r="909">
      <c r="C909" s="139"/>
      <c r="D909" s="139"/>
      <c r="F909" s="169"/>
      <c r="G909" s="172"/>
      <c r="H909" s="209"/>
      <c r="I909" s="172"/>
      <c r="J909" s="172"/>
      <c r="K909" s="172"/>
      <c r="L909" s="211"/>
      <c r="M909" s="211"/>
    </row>
    <row r="910">
      <c r="C910" s="139"/>
      <c r="D910" s="139"/>
      <c r="F910" s="169"/>
      <c r="G910" s="172"/>
      <c r="H910" s="209"/>
      <c r="I910" s="172"/>
      <c r="J910" s="172"/>
      <c r="K910" s="172"/>
      <c r="L910" s="211"/>
      <c r="M910" s="211"/>
    </row>
    <row r="911">
      <c r="C911" s="139"/>
      <c r="D911" s="139"/>
      <c r="F911" s="169"/>
      <c r="G911" s="172"/>
      <c r="H911" s="209"/>
      <c r="I911" s="172"/>
      <c r="J911" s="172"/>
      <c r="K911" s="172"/>
      <c r="L911" s="211"/>
      <c r="M911" s="211"/>
    </row>
    <row r="912">
      <c r="C912" s="139"/>
      <c r="D912" s="139"/>
      <c r="F912" s="169"/>
      <c r="G912" s="172"/>
      <c r="H912" s="209"/>
      <c r="I912" s="172"/>
      <c r="J912" s="172"/>
      <c r="K912" s="172"/>
      <c r="L912" s="211"/>
      <c r="M912" s="211"/>
    </row>
    <row r="913">
      <c r="C913" s="139"/>
      <c r="D913" s="139"/>
      <c r="F913" s="169"/>
      <c r="G913" s="172"/>
      <c r="H913" s="209"/>
      <c r="I913" s="172"/>
      <c r="J913" s="172"/>
      <c r="K913" s="172"/>
      <c r="L913" s="211"/>
      <c r="M913" s="211"/>
    </row>
    <row r="914">
      <c r="C914" s="139"/>
      <c r="D914" s="139"/>
      <c r="F914" s="169"/>
      <c r="G914" s="172"/>
      <c r="H914" s="209"/>
      <c r="I914" s="172"/>
      <c r="J914" s="172"/>
      <c r="K914" s="172"/>
      <c r="L914" s="211"/>
      <c r="M914" s="211"/>
    </row>
    <row r="915">
      <c r="C915" s="139"/>
      <c r="D915" s="139"/>
      <c r="F915" s="169"/>
      <c r="G915" s="172"/>
      <c r="H915" s="209"/>
      <c r="I915" s="172"/>
      <c r="J915" s="172"/>
      <c r="K915" s="172"/>
      <c r="L915" s="211"/>
      <c r="M915" s="211"/>
    </row>
    <row r="916">
      <c r="C916" s="139"/>
      <c r="D916" s="139"/>
      <c r="F916" s="169"/>
      <c r="G916" s="172"/>
      <c r="H916" s="209"/>
      <c r="I916" s="172"/>
      <c r="J916" s="172"/>
      <c r="K916" s="172"/>
      <c r="L916" s="211"/>
      <c r="M916" s="211"/>
    </row>
    <row r="917">
      <c r="C917" s="139"/>
      <c r="D917" s="139"/>
      <c r="F917" s="169"/>
      <c r="G917" s="172"/>
      <c r="H917" s="209"/>
      <c r="I917" s="172"/>
      <c r="J917" s="172"/>
      <c r="K917" s="172"/>
      <c r="L917" s="211"/>
      <c r="M917" s="211"/>
    </row>
    <row r="918">
      <c r="C918" s="139"/>
      <c r="D918" s="139"/>
      <c r="F918" s="169"/>
      <c r="G918" s="172"/>
      <c r="H918" s="209"/>
      <c r="I918" s="172"/>
      <c r="J918" s="172"/>
      <c r="K918" s="172"/>
      <c r="L918" s="211"/>
      <c r="M918" s="211"/>
    </row>
    <row r="919">
      <c r="C919" s="139"/>
      <c r="D919" s="139"/>
      <c r="F919" s="169"/>
      <c r="G919" s="172"/>
      <c r="H919" s="209"/>
      <c r="I919" s="172"/>
      <c r="J919" s="172"/>
      <c r="K919" s="172"/>
      <c r="L919" s="211"/>
      <c r="M919" s="211"/>
    </row>
    <row r="920">
      <c r="C920" s="139"/>
      <c r="D920" s="139"/>
      <c r="F920" s="169"/>
      <c r="G920" s="172"/>
      <c r="H920" s="209"/>
      <c r="I920" s="172"/>
      <c r="J920" s="172"/>
      <c r="K920" s="172"/>
      <c r="L920" s="211"/>
      <c r="M920" s="211"/>
    </row>
    <row r="921">
      <c r="C921" s="139"/>
      <c r="D921" s="139"/>
      <c r="F921" s="169"/>
      <c r="G921" s="172"/>
      <c r="H921" s="209"/>
      <c r="I921" s="172"/>
      <c r="J921" s="172"/>
      <c r="K921" s="172"/>
      <c r="L921" s="211"/>
      <c r="M921" s="211"/>
    </row>
    <row r="922">
      <c r="C922" s="139"/>
      <c r="D922" s="139"/>
      <c r="F922" s="169"/>
      <c r="G922" s="172"/>
      <c r="H922" s="209"/>
      <c r="I922" s="172"/>
      <c r="J922" s="172"/>
      <c r="K922" s="172"/>
      <c r="L922" s="211"/>
      <c r="M922" s="211"/>
    </row>
    <row r="923">
      <c r="C923" s="139"/>
      <c r="D923" s="139"/>
      <c r="F923" s="169"/>
      <c r="G923" s="172"/>
      <c r="H923" s="209"/>
      <c r="I923" s="172"/>
      <c r="J923" s="172"/>
      <c r="K923" s="172"/>
      <c r="L923" s="211"/>
      <c r="M923" s="211"/>
    </row>
    <row r="924">
      <c r="C924" s="139"/>
      <c r="D924" s="139"/>
      <c r="F924" s="169"/>
      <c r="G924" s="172"/>
      <c r="H924" s="209"/>
      <c r="I924" s="172"/>
      <c r="J924" s="172"/>
      <c r="K924" s="172"/>
      <c r="L924" s="211"/>
      <c r="M924" s="211"/>
    </row>
    <row r="925">
      <c r="C925" s="139"/>
      <c r="D925" s="139"/>
      <c r="F925" s="169"/>
      <c r="G925" s="172"/>
      <c r="H925" s="209"/>
      <c r="I925" s="172"/>
      <c r="J925" s="172"/>
      <c r="K925" s="172"/>
      <c r="L925" s="211"/>
      <c r="M925" s="211"/>
    </row>
    <row r="926">
      <c r="C926" s="139"/>
      <c r="D926" s="139"/>
      <c r="F926" s="169"/>
      <c r="G926" s="172"/>
      <c r="H926" s="209"/>
      <c r="I926" s="172"/>
      <c r="J926" s="172"/>
      <c r="K926" s="172"/>
      <c r="L926" s="211"/>
      <c r="M926" s="211"/>
    </row>
    <row r="927">
      <c r="C927" s="139"/>
      <c r="D927" s="139"/>
      <c r="F927" s="169"/>
      <c r="G927" s="172"/>
      <c r="H927" s="209"/>
      <c r="I927" s="172"/>
      <c r="J927" s="172"/>
      <c r="K927" s="172"/>
      <c r="L927" s="211"/>
      <c r="M927" s="211"/>
    </row>
    <row r="928">
      <c r="C928" s="139"/>
      <c r="D928" s="139"/>
      <c r="F928" s="169"/>
      <c r="G928" s="172"/>
      <c r="H928" s="209"/>
      <c r="I928" s="172"/>
      <c r="J928" s="172"/>
      <c r="K928" s="172"/>
      <c r="L928" s="211"/>
      <c r="M928" s="211"/>
    </row>
    <row r="929">
      <c r="C929" s="139"/>
      <c r="D929" s="139"/>
      <c r="F929" s="169"/>
      <c r="G929" s="172"/>
      <c r="H929" s="209"/>
      <c r="I929" s="172"/>
      <c r="J929" s="172"/>
      <c r="K929" s="172"/>
      <c r="L929" s="211"/>
      <c r="M929" s="211"/>
    </row>
    <row r="930">
      <c r="C930" s="139"/>
      <c r="D930" s="139"/>
      <c r="F930" s="169"/>
      <c r="G930" s="172"/>
      <c r="H930" s="209"/>
      <c r="I930" s="172"/>
      <c r="J930" s="172"/>
      <c r="K930" s="172"/>
      <c r="L930" s="211"/>
      <c r="M930" s="211"/>
    </row>
    <row r="931">
      <c r="C931" s="139"/>
      <c r="D931" s="139"/>
      <c r="F931" s="169"/>
      <c r="G931" s="172"/>
      <c r="H931" s="209"/>
      <c r="I931" s="172"/>
      <c r="J931" s="172"/>
      <c r="K931" s="172"/>
      <c r="L931" s="211"/>
      <c r="M931" s="211"/>
    </row>
    <row r="932">
      <c r="C932" s="139"/>
      <c r="D932" s="139"/>
      <c r="F932" s="169"/>
      <c r="G932" s="172"/>
      <c r="H932" s="209"/>
      <c r="I932" s="172"/>
      <c r="J932" s="172"/>
      <c r="K932" s="172"/>
      <c r="L932" s="211"/>
      <c r="M932" s="211"/>
    </row>
    <row r="933">
      <c r="C933" s="139"/>
      <c r="D933" s="139"/>
      <c r="F933" s="169"/>
      <c r="G933" s="172"/>
      <c r="H933" s="209"/>
      <c r="I933" s="172"/>
      <c r="J933" s="172"/>
      <c r="K933" s="172"/>
      <c r="L933" s="211"/>
      <c r="M933" s="211"/>
    </row>
    <row r="934">
      <c r="C934" s="139"/>
      <c r="D934" s="139"/>
      <c r="F934" s="169"/>
      <c r="G934" s="172"/>
      <c r="H934" s="209"/>
      <c r="I934" s="172"/>
      <c r="J934" s="172"/>
      <c r="K934" s="172"/>
      <c r="L934" s="211"/>
      <c r="M934" s="211"/>
    </row>
    <row r="935">
      <c r="C935" s="139"/>
      <c r="D935" s="139"/>
      <c r="F935" s="169"/>
      <c r="G935" s="172"/>
      <c r="H935" s="209"/>
      <c r="I935" s="172"/>
      <c r="J935" s="172"/>
      <c r="K935" s="172"/>
      <c r="L935" s="211"/>
      <c r="M935" s="211"/>
    </row>
    <row r="936">
      <c r="C936" s="139"/>
      <c r="D936" s="139"/>
      <c r="F936" s="169"/>
      <c r="G936" s="172"/>
      <c r="H936" s="209"/>
      <c r="I936" s="172"/>
      <c r="J936" s="172"/>
      <c r="K936" s="172"/>
      <c r="L936" s="211"/>
      <c r="M936" s="211"/>
    </row>
    <row r="937">
      <c r="C937" s="139"/>
      <c r="D937" s="139"/>
      <c r="F937" s="169"/>
      <c r="G937" s="172"/>
      <c r="H937" s="209"/>
      <c r="I937" s="172"/>
      <c r="J937" s="172"/>
      <c r="K937" s="172"/>
      <c r="L937" s="211"/>
      <c r="M937" s="211"/>
    </row>
    <row r="938">
      <c r="C938" s="139"/>
      <c r="D938" s="139"/>
      <c r="F938" s="169"/>
      <c r="G938" s="172"/>
      <c r="H938" s="209"/>
      <c r="I938" s="172"/>
      <c r="J938" s="172"/>
      <c r="K938" s="172"/>
      <c r="L938" s="211"/>
      <c r="M938" s="211"/>
    </row>
    <row r="939">
      <c r="C939" s="139"/>
      <c r="D939" s="139"/>
      <c r="F939" s="169"/>
      <c r="G939" s="172"/>
      <c r="H939" s="209"/>
      <c r="I939" s="172"/>
      <c r="J939" s="172"/>
      <c r="K939" s="172"/>
      <c r="L939" s="211"/>
      <c r="M939" s="211"/>
    </row>
    <row r="940">
      <c r="C940" s="139"/>
      <c r="D940" s="139"/>
      <c r="F940" s="169"/>
      <c r="G940" s="172"/>
      <c r="H940" s="209"/>
      <c r="I940" s="172"/>
      <c r="J940" s="172"/>
      <c r="K940" s="172"/>
      <c r="L940" s="211"/>
      <c r="M940" s="211"/>
    </row>
    <row r="941">
      <c r="C941" s="139"/>
      <c r="D941" s="139"/>
      <c r="F941" s="169"/>
      <c r="G941" s="172"/>
      <c r="H941" s="209"/>
      <c r="I941" s="172"/>
      <c r="J941" s="172"/>
      <c r="K941" s="172"/>
      <c r="L941" s="211"/>
      <c r="M941" s="211"/>
    </row>
    <row r="942">
      <c r="C942" s="139"/>
      <c r="D942" s="139"/>
      <c r="F942" s="169"/>
      <c r="G942" s="172"/>
      <c r="H942" s="209"/>
      <c r="I942" s="172"/>
      <c r="J942" s="172"/>
      <c r="K942" s="172"/>
      <c r="L942" s="211"/>
      <c r="M942" s="211"/>
    </row>
    <row r="943">
      <c r="C943" s="139"/>
      <c r="D943" s="139"/>
      <c r="F943" s="169"/>
      <c r="G943" s="172"/>
      <c r="H943" s="209"/>
      <c r="I943" s="172"/>
      <c r="J943" s="172"/>
      <c r="K943" s="172"/>
      <c r="L943" s="211"/>
      <c r="M943" s="211"/>
    </row>
    <row r="944">
      <c r="C944" s="139"/>
      <c r="D944" s="139"/>
      <c r="F944" s="169"/>
      <c r="G944" s="172"/>
      <c r="H944" s="209"/>
      <c r="I944" s="172"/>
      <c r="J944" s="172"/>
      <c r="K944" s="172"/>
      <c r="L944" s="211"/>
      <c r="M944" s="211"/>
    </row>
    <row r="945">
      <c r="C945" s="139"/>
      <c r="D945" s="139"/>
      <c r="F945" s="169"/>
      <c r="G945" s="172"/>
      <c r="H945" s="209"/>
      <c r="I945" s="172"/>
      <c r="J945" s="172"/>
      <c r="K945" s="172"/>
      <c r="L945" s="211"/>
      <c r="M945" s="211"/>
    </row>
    <row r="946">
      <c r="C946" s="139"/>
      <c r="D946" s="139"/>
      <c r="F946" s="169"/>
      <c r="G946" s="172"/>
      <c r="H946" s="209"/>
      <c r="I946" s="172"/>
      <c r="J946" s="172"/>
      <c r="K946" s="172"/>
      <c r="L946" s="211"/>
      <c r="M946" s="211"/>
    </row>
    <row r="947">
      <c r="C947" s="139"/>
      <c r="D947" s="139"/>
      <c r="F947" s="169"/>
      <c r="G947" s="172"/>
      <c r="H947" s="209"/>
      <c r="I947" s="172"/>
      <c r="J947" s="172"/>
      <c r="K947" s="172"/>
      <c r="L947" s="211"/>
      <c r="M947" s="211"/>
    </row>
    <row r="948">
      <c r="C948" s="139"/>
      <c r="D948" s="139"/>
      <c r="F948" s="169"/>
      <c r="G948" s="172"/>
      <c r="H948" s="209"/>
      <c r="I948" s="172"/>
      <c r="J948" s="172"/>
      <c r="K948" s="172"/>
      <c r="L948" s="211"/>
      <c r="M948" s="211"/>
    </row>
    <row r="949">
      <c r="C949" s="139"/>
      <c r="D949" s="139"/>
      <c r="F949" s="169"/>
      <c r="G949" s="172"/>
      <c r="H949" s="209"/>
      <c r="I949" s="172"/>
      <c r="J949" s="172"/>
      <c r="K949" s="172"/>
      <c r="L949" s="211"/>
      <c r="M949" s="211"/>
    </row>
    <row r="950">
      <c r="C950" s="139"/>
      <c r="D950" s="139"/>
      <c r="F950" s="169"/>
      <c r="G950" s="172"/>
      <c r="H950" s="209"/>
      <c r="I950" s="172"/>
      <c r="J950" s="172"/>
      <c r="K950" s="172"/>
      <c r="L950" s="211"/>
      <c r="M950" s="211"/>
    </row>
    <row r="951">
      <c r="C951" s="139"/>
      <c r="D951" s="139"/>
      <c r="F951" s="169"/>
      <c r="G951" s="172"/>
      <c r="H951" s="209"/>
      <c r="I951" s="172"/>
      <c r="J951" s="172"/>
      <c r="K951" s="172"/>
      <c r="L951" s="211"/>
      <c r="M951" s="211"/>
    </row>
    <row r="952">
      <c r="C952" s="139"/>
      <c r="D952" s="139"/>
      <c r="F952" s="169"/>
      <c r="G952" s="172"/>
      <c r="H952" s="209"/>
      <c r="I952" s="172"/>
      <c r="J952" s="172"/>
      <c r="K952" s="172"/>
      <c r="L952" s="211"/>
      <c r="M952" s="211"/>
    </row>
    <row r="953">
      <c r="C953" s="139"/>
      <c r="D953" s="139"/>
      <c r="F953" s="169"/>
      <c r="G953" s="172"/>
      <c r="H953" s="209"/>
      <c r="I953" s="172"/>
      <c r="J953" s="172"/>
      <c r="K953" s="172"/>
      <c r="L953" s="211"/>
      <c r="M953" s="211"/>
    </row>
    <row r="954">
      <c r="C954" s="139"/>
      <c r="D954" s="139"/>
      <c r="F954" s="169"/>
      <c r="G954" s="172"/>
      <c r="H954" s="209"/>
      <c r="I954" s="172"/>
      <c r="J954" s="172"/>
      <c r="K954" s="172"/>
      <c r="L954" s="211"/>
      <c r="M954" s="211"/>
    </row>
    <row r="955">
      <c r="C955" s="139"/>
      <c r="D955" s="139"/>
      <c r="F955" s="169"/>
      <c r="G955" s="172"/>
      <c r="H955" s="209"/>
      <c r="I955" s="172"/>
      <c r="J955" s="172"/>
      <c r="K955" s="172"/>
      <c r="L955" s="211"/>
      <c r="M955" s="211"/>
    </row>
    <row r="956">
      <c r="C956" s="139"/>
      <c r="D956" s="139"/>
      <c r="F956" s="169"/>
      <c r="G956" s="172"/>
      <c r="H956" s="209"/>
      <c r="I956" s="172"/>
      <c r="J956" s="172"/>
      <c r="K956" s="172"/>
      <c r="L956" s="211"/>
      <c r="M956" s="211"/>
    </row>
    <row r="957">
      <c r="C957" s="139"/>
      <c r="D957" s="139"/>
      <c r="F957" s="169"/>
      <c r="G957" s="172"/>
      <c r="H957" s="209"/>
      <c r="I957" s="172"/>
      <c r="J957" s="172"/>
      <c r="K957" s="172"/>
      <c r="L957" s="211"/>
      <c r="M957" s="211"/>
    </row>
    <row r="958">
      <c r="C958" s="139"/>
      <c r="D958" s="139"/>
      <c r="F958" s="169"/>
      <c r="G958" s="172"/>
      <c r="H958" s="209"/>
      <c r="I958" s="172"/>
      <c r="J958" s="172"/>
      <c r="K958" s="172"/>
      <c r="L958" s="211"/>
      <c r="M958" s="211"/>
    </row>
    <row r="959">
      <c r="C959" s="139"/>
      <c r="D959" s="139"/>
      <c r="F959" s="169"/>
      <c r="G959" s="172"/>
      <c r="H959" s="209"/>
      <c r="I959" s="172"/>
      <c r="J959" s="172"/>
      <c r="K959" s="172"/>
      <c r="L959" s="211"/>
      <c r="M959" s="211"/>
    </row>
    <row r="960">
      <c r="C960" s="139"/>
      <c r="D960" s="139"/>
      <c r="F960" s="169"/>
      <c r="G960" s="172"/>
      <c r="H960" s="209"/>
      <c r="I960" s="172"/>
      <c r="J960" s="172"/>
      <c r="K960" s="172"/>
      <c r="L960" s="211"/>
      <c r="M960" s="211"/>
    </row>
    <row r="961">
      <c r="C961" s="139"/>
      <c r="D961" s="139"/>
      <c r="F961" s="169"/>
      <c r="G961" s="172"/>
      <c r="H961" s="209"/>
      <c r="I961" s="172"/>
      <c r="J961" s="172"/>
      <c r="K961" s="172"/>
      <c r="L961" s="211"/>
      <c r="M961" s="211"/>
    </row>
    <row r="962">
      <c r="C962" s="139"/>
      <c r="D962" s="139"/>
      <c r="F962" s="169"/>
      <c r="G962" s="172"/>
      <c r="H962" s="209"/>
      <c r="I962" s="172"/>
      <c r="J962" s="172"/>
      <c r="K962" s="172"/>
      <c r="L962" s="211"/>
      <c r="M962" s="211"/>
    </row>
    <row r="963">
      <c r="C963" s="139"/>
      <c r="D963" s="139"/>
      <c r="F963" s="169"/>
      <c r="G963" s="172"/>
      <c r="H963" s="209"/>
      <c r="I963" s="172"/>
      <c r="J963" s="172"/>
      <c r="K963" s="172"/>
      <c r="L963" s="211"/>
      <c r="M963" s="211"/>
    </row>
    <row r="964">
      <c r="C964" s="139"/>
      <c r="D964" s="139"/>
      <c r="F964" s="169"/>
      <c r="G964" s="172"/>
      <c r="H964" s="209"/>
      <c r="I964" s="172"/>
      <c r="J964" s="172"/>
      <c r="K964" s="172"/>
      <c r="L964" s="211"/>
      <c r="M964" s="211"/>
    </row>
    <row r="965">
      <c r="C965" s="139"/>
      <c r="D965" s="139"/>
      <c r="F965" s="169"/>
      <c r="G965" s="172"/>
      <c r="H965" s="209"/>
      <c r="I965" s="172"/>
      <c r="J965" s="172"/>
      <c r="K965" s="172"/>
      <c r="L965" s="211"/>
      <c r="M965" s="211"/>
    </row>
    <row r="966">
      <c r="C966" s="139"/>
      <c r="D966" s="139"/>
      <c r="F966" s="169"/>
      <c r="G966" s="172"/>
      <c r="H966" s="209"/>
      <c r="I966" s="172"/>
      <c r="J966" s="172"/>
      <c r="K966" s="172"/>
      <c r="L966" s="211"/>
      <c r="M966" s="211"/>
    </row>
    <row r="967">
      <c r="C967" s="139"/>
      <c r="D967" s="139"/>
      <c r="F967" s="169"/>
      <c r="G967" s="172"/>
      <c r="H967" s="209"/>
      <c r="I967" s="172"/>
      <c r="J967" s="172"/>
      <c r="K967" s="172"/>
      <c r="L967" s="211"/>
      <c r="M967" s="211"/>
    </row>
    <row r="968">
      <c r="C968" s="139"/>
      <c r="D968" s="139"/>
      <c r="F968" s="169"/>
      <c r="G968" s="172"/>
      <c r="H968" s="209"/>
      <c r="I968" s="172"/>
      <c r="J968" s="172"/>
      <c r="K968" s="172"/>
      <c r="L968" s="211"/>
      <c r="M968" s="211"/>
    </row>
    <row r="969">
      <c r="C969" s="139"/>
      <c r="D969" s="139"/>
      <c r="F969" s="169"/>
      <c r="G969" s="172"/>
      <c r="H969" s="209"/>
      <c r="I969" s="172"/>
      <c r="J969" s="172"/>
      <c r="K969" s="172"/>
      <c r="L969" s="211"/>
      <c r="M969" s="211"/>
    </row>
    <row r="970">
      <c r="C970" s="139"/>
      <c r="D970" s="139"/>
      <c r="F970" s="169"/>
      <c r="G970" s="172"/>
      <c r="H970" s="209"/>
      <c r="I970" s="172"/>
      <c r="J970" s="172"/>
      <c r="K970" s="172"/>
      <c r="L970" s="211"/>
      <c r="M970" s="211"/>
    </row>
    <row r="971">
      <c r="C971" s="139"/>
      <c r="D971" s="139"/>
      <c r="F971" s="169"/>
      <c r="G971" s="172"/>
      <c r="H971" s="209"/>
      <c r="I971" s="172"/>
      <c r="J971" s="172"/>
      <c r="K971" s="172"/>
      <c r="L971" s="211"/>
      <c r="M971" s="211"/>
    </row>
    <row r="972">
      <c r="C972" s="139"/>
      <c r="D972" s="139"/>
      <c r="F972" s="169"/>
      <c r="G972" s="172"/>
      <c r="H972" s="209"/>
      <c r="I972" s="172"/>
      <c r="J972" s="172"/>
      <c r="K972" s="172"/>
      <c r="L972" s="211"/>
      <c r="M972" s="211"/>
    </row>
    <row r="973">
      <c r="C973" s="139"/>
      <c r="D973" s="139"/>
      <c r="F973" s="169"/>
      <c r="G973" s="172"/>
      <c r="H973" s="209"/>
      <c r="I973" s="172"/>
      <c r="J973" s="172"/>
      <c r="K973" s="172"/>
      <c r="L973" s="211"/>
      <c r="M973" s="211"/>
    </row>
    <row r="974">
      <c r="C974" s="139"/>
      <c r="D974" s="139"/>
      <c r="F974" s="169"/>
      <c r="G974" s="172"/>
      <c r="H974" s="209"/>
      <c r="I974" s="172"/>
      <c r="J974" s="172"/>
      <c r="K974" s="172"/>
      <c r="L974" s="211"/>
      <c r="M974" s="211"/>
    </row>
    <row r="975">
      <c r="C975" s="139"/>
      <c r="D975" s="139"/>
      <c r="F975" s="169"/>
      <c r="G975" s="172"/>
      <c r="H975" s="209"/>
      <c r="I975" s="172"/>
      <c r="J975" s="172"/>
      <c r="K975" s="172"/>
      <c r="L975" s="211"/>
      <c r="M975" s="211"/>
    </row>
    <row r="976">
      <c r="C976" s="139"/>
      <c r="D976" s="139"/>
      <c r="F976" s="169"/>
      <c r="G976" s="172"/>
      <c r="H976" s="209"/>
      <c r="I976" s="172"/>
      <c r="J976" s="172"/>
      <c r="K976" s="172"/>
      <c r="L976" s="211"/>
      <c r="M976" s="211"/>
    </row>
    <row r="977">
      <c r="C977" s="139"/>
      <c r="D977" s="139"/>
      <c r="F977" s="169"/>
      <c r="G977" s="172"/>
      <c r="H977" s="209"/>
      <c r="I977" s="172"/>
      <c r="J977" s="172"/>
      <c r="K977" s="172"/>
      <c r="L977" s="211"/>
      <c r="M977" s="211"/>
    </row>
    <row r="978">
      <c r="C978" s="139"/>
      <c r="D978" s="139"/>
      <c r="F978" s="169"/>
      <c r="G978" s="172"/>
      <c r="H978" s="209"/>
      <c r="I978" s="172"/>
      <c r="J978" s="172"/>
      <c r="K978" s="172"/>
      <c r="L978" s="211"/>
      <c r="M978" s="211"/>
    </row>
    <row r="979">
      <c r="C979" s="139"/>
      <c r="D979" s="139"/>
      <c r="F979" s="169"/>
      <c r="G979" s="172"/>
      <c r="H979" s="209"/>
      <c r="I979" s="172"/>
      <c r="J979" s="172"/>
      <c r="K979" s="172"/>
      <c r="L979" s="211"/>
      <c r="M979" s="211"/>
    </row>
    <row r="980">
      <c r="C980" s="139"/>
      <c r="D980" s="139"/>
      <c r="F980" s="169"/>
      <c r="G980" s="172"/>
      <c r="H980" s="209"/>
      <c r="I980" s="172"/>
      <c r="J980" s="172"/>
      <c r="K980" s="172"/>
      <c r="L980" s="211"/>
      <c r="M980" s="211"/>
    </row>
    <row r="981">
      <c r="C981" s="139"/>
      <c r="D981" s="139"/>
      <c r="F981" s="169"/>
      <c r="G981" s="172"/>
      <c r="H981" s="209"/>
      <c r="I981" s="172"/>
      <c r="J981" s="172"/>
      <c r="K981" s="172"/>
      <c r="L981" s="211"/>
      <c r="M981" s="211"/>
    </row>
    <row r="982">
      <c r="C982" s="139"/>
      <c r="D982" s="139"/>
      <c r="F982" s="169"/>
      <c r="G982" s="172"/>
      <c r="H982" s="209"/>
      <c r="I982" s="172"/>
      <c r="J982" s="172"/>
      <c r="K982" s="172"/>
      <c r="L982" s="211"/>
      <c r="M982" s="211"/>
    </row>
    <row r="983">
      <c r="C983" s="139"/>
      <c r="D983" s="139"/>
      <c r="F983" s="169"/>
      <c r="G983" s="172"/>
      <c r="H983" s="209"/>
      <c r="I983" s="172"/>
      <c r="J983" s="172"/>
      <c r="K983" s="172"/>
      <c r="L983" s="211"/>
      <c r="M983" s="211"/>
    </row>
    <row r="984">
      <c r="C984" s="139"/>
      <c r="D984" s="139"/>
      <c r="F984" s="169"/>
      <c r="G984" s="172"/>
      <c r="H984" s="209"/>
      <c r="I984" s="172"/>
      <c r="J984" s="172"/>
      <c r="K984" s="172"/>
      <c r="L984" s="211"/>
      <c r="M984" s="211"/>
    </row>
    <row r="985">
      <c r="C985" s="139"/>
      <c r="D985" s="139"/>
      <c r="F985" s="169"/>
      <c r="G985" s="172"/>
      <c r="H985" s="209"/>
      <c r="I985" s="172"/>
      <c r="J985" s="172"/>
      <c r="K985" s="172"/>
      <c r="L985" s="211"/>
      <c r="M985" s="211"/>
    </row>
    <row r="986">
      <c r="C986" s="139"/>
      <c r="D986" s="139"/>
      <c r="F986" s="169"/>
      <c r="G986" s="172"/>
      <c r="H986" s="209"/>
      <c r="I986" s="172"/>
      <c r="J986" s="172"/>
      <c r="K986" s="172"/>
      <c r="L986" s="211"/>
      <c r="M986" s="211"/>
    </row>
    <row r="987">
      <c r="C987" s="139"/>
      <c r="D987" s="139"/>
      <c r="F987" s="169"/>
      <c r="G987" s="172"/>
      <c r="H987" s="209"/>
      <c r="I987" s="172"/>
      <c r="J987" s="172"/>
      <c r="K987" s="172"/>
      <c r="L987" s="211"/>
      <c r="M987" s="211"/>
    </row>
    <row r="988">
      <c r="C988" s="139"/>
      <c r="D988" s="139"/>
      <c r="F988" s="169"/>
      <c r="G988" s="172"/>
      <c r="H988" s="209"/>
      <c r="I988" s="172"/>
      <c r="J988" s="172"/>
      <c r="K988" s="172"/>
      <c r="L988" s="211"/>
      <c r="M988" s="211"/>
    </row>
    <row r="989">
      <c r="C989" s="139"/>
      <c r="D989" s="139"/>
      <c r="F989" s="169"/>
      <c r="G989" s="172"/>
      <c r="H989" s="209"/>
      <c r="I989" s="172"/>
      <c r="J989" s="172"/>
      <c r="K989" s="172"/>
      <c r="L989" s="211"/>
      <c r="M989" s="211"/>
    </row>
    <row r="990">
      <c r="C990" s="139"/>
      <c r="D990" s="139"/>
      <c r="F990" s="169"/>
      <c r="G990" s="172"/>
      <c r="H990" s="209"/>
      <c r="I990" s="172"/>
      <c r="J990" s="172"/>
      <c r="K990" s="172"/>
      <c r="L990" s="211"/>
      <c r="M990" s="211"/>
    </row>
    <row r="991">
      <c r="C991" s="139"/>
      <c r="D991" s="139"/>
      <c r="F991" s="169"/>
      <c r="G991" s="172"/>
      <c r="H991" s="209"/>
      <c r="I991" s="172"/>
      <c r="J991" s="172"/>
      <c r="K991" s="172"/>
      <c r="L991" s="211"/>
      <c r="M991" s="211"/>
    </row>
    <row r="992">
      <c r="C992" s="139"/>
      <c r="D992" s="139"/>
      <c r="F992" s="169"/>
      <c r="G992" s="172"/>
      <c r="H992" s="209"/>
      <c r="I992" s="172"/>
      <c r="J992" s="172"/>
      <c r="K992" s="172"/>
      <c r="L992" s="211"/>
      <c r="M992" s="211"/>
    </row>
    <row r="993">
      <c r="C993" s="139"/>
      <c r="D993" s="139"/>
      <c r="F993" s="169"/>
      <c r="G993" s="172"/>
      <c r="H993" s="209"/>
      <c r="I993" s="172"/>
      <c r="J993" s="172"/>
      <c r="K993" s="172"/>
      <c r="L993" s="211"/>
      <c r="M993" s="211"/>
    </row>
    <row r="994">
      <c r="C994" s="139"/>
      <c r="D994" s="139"/>
      <c r="F994" s="169"/>
      <c r="G994" s="172"/>
      <c r="H994" s="209"/>
      <c r="I994" s="172"/>
      <c r="J994" s="172"/>
      <c r="K994" s="172"/>
      <c r="L994" s="211"/>
      <c r="M994" s="211"/>
    </row>
    <row r="995">
      <c r="C995" s="139"/>
      <c r="D995" s="139"/>
      <c r="F995" s="169"/>
      <c r="G995" s="172"/>
      <c r="H995" s="209"/>
      <c r="I995" s="172"/>
      <c r="J995" s="172"/>
      <c r="K995" s="172"/>
      <c r="L995" s="211"/>
      <c r="M995" s="211"/>
    </row>
    <row r="996">
      <c r="C996" s="139"/>
      <c r="D996" s="139"/>
      <c r="F996" s="169"/>
      <c r="G996" s="172"/>
      <c r="H996" s="209"/>
      <c r="I996" s="172"/>
      <c r="J996" s="172"/>
      <c r="K996" s="172"/>
      <c r="L996" s="211"/>
      <c r="M996" s="211"/>
    </row>
    <row r="997">
      <c r="C997" s="139"/>
      <c r="D997" s="139"/>
      <c r="F997" s="169"/>
      <c r="G997" s="172"/>
      <c r="H997" s="209"/>
      <c r="I997" s="172"/>
      <c r="J997" s="172"/>
      <c r="K997" s="172"/>
      <c r="L997" s="211"/>
      <c r="M997" s="211"/>
    </row>
    <row r="998">
      <c r="C998" s="139"/>
      <c r="D998" s="139"/>
      <c r="F998" s="169"/>
      <c r="G998" s="172"/>
      <c r="H998" s="209"/>
      <c r="I998" s="172"/>
      <c r="J998" s="172"/>
      <c r="K998" s="172"/>
      <c r="L998" s="211"/>
      <c r="M998" s="211"/>
    </row>
    <row r="999">
      <c r="C999" s="139"/>
      <c r="D999" s="139"/>
      <c r="F999" s="169"/>
      <c r="G999" s="172"/>
      <c r="H999" s="209"/>
      <c r="I999" s="172"/>
      <c r="J999" s="172"/>
      <c r="K999" s="172"/>
      <c r="L999" s="211"/>
      <c r="M999" s="211"/>
    </row>
    <row r="1000">
      <c r="C1000" s="139"/>
      <c r="D1000" s="139"/>
      <c r="F1000" s="169"/>
      <c r="G1000" s="172"/>
      <c r="H1000" s="209"/>
      <c r="I1000" s="172"/>
      <c r="J1000" s="172"/>
      <c r="K1000" s="172"/>
      <c r="L1000" s="211"/>
      <c r="M1000" s="211"/>
    </row>
    <row r="1001">
      <c r="C1001" s="139"/>
      <c r="D1001" s="139"/>
      <c r="F1001" s="169"/>
      <c r="G1001" s="172"/>
      <c r="H1001" s="209"/>
      <c r="I1001" s="172"/>
      <c r="J1001" s="172"/>
      <c r="K1001" s="172"/>
      <c r="L1001" s="211"/>
      <c r="M1001" s="211"/>
    </row>
    <row r="1002">
      <c r="C1002" s="139"/>
      <c r="D1002" s="139"/>
      <c r="F1002" s="169"/>
      <c r="G1002" s="172"/>
      <c r="H1002" s="209"/>
      <c r="I1002" s="172"/>
      <c r="J1002" s="172"/>
      <c r="K1002" s="172"/>
      <c r="L1002" s="211"/>
      <c r="M1002" s="211"/>
    </row>
    <row r="1003">
      <c r="C1003" s="139"/>
      <c r="D1003" s="139"/>
      <c r="F1003" s="169"/>
      <c r="G1003" s="172"/>
      <c r="H1003" s="209"/>
      <c r="I1003" s="172"/>
      <c r="J1003" s="172"/>
      <c r="K1003" s="172"/>
      <c r="L1003" s="211"/>
      <c r="M1003" s="211"/>
    </row>
    <row r="1004">
      <c r="C1004" s="139"/>
      <c r="D1004" s="139"/>
      <c r="F1004" s="169"/>
      <c r="G1004" s="172"/>
      <c r="H1004" s="209"/>
      <c r="I1004" s="172"/>
      <c r="J1004" s="172"/>
      <c r="K1004" s="172"/>
      <c r="L1004" s="211"/>
      <c r="M1004" s="211"/>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C4"/>
    <hyperlink r:id="rId2" ref="S4"/>
    <hyperlink r:id="rId3" ref="C5"/>
    <hyperlink r:id="rId4" ref="C6"/>
    <hyperlink r:id="rId5" ref="C9"/>
    <hyperlink r:id="rId6" ref="C10"/>
    <hyperlink r:id="rId7" ref="C11"/>
    <hyperlink r:id="rId8" ref="C13"/>
    <hyperlink r:id="rId9" ref="S13"/>
    <hyperlink r:id="rId10" ref="C14"/>
    <hyperlink r:id="rId11" ref="S14"/>
    <hyperlink r:id="rId12" ref="S15"/>
    <hyperlink r:id="rId13" ref="S16"/>
    <hyperlink r:id="rId14" ref="C17"/>
    <hyperlink r:id="rId15" ref="S17"/>
    <hyperlink r:id="rId16" ref="C18"/>
    <hyperlink r:id="rId17" ref="C19"/>
    <hyperlink r:id="rId18" ref="S19"/>
    <hyperlink r:id="rId19" ref="C20"/>
    <hyperlink r:id="rId20" ref="S20"/>
    <hyperlink r:id="rId21" ref="S21"/>
    <hyperlink r:id="rId22" ref="C23"/>
    <hyperlink r:id="rId23" ref="C24"/>
    <hyperlink r:id="rId24" ref="S25"/>
    <hyperlink r:id="rId25" ref="C26"/>
    <hyperlink r:id="rId26" ref="S26"/>
    <hyperlink r:id="rId27" ref="S27"/>
    <hyperlink r:id="rId28" ref="S28"/>
    <hyperlink r:id="rId29" ref="C29"/>
    <hyperlink r:id="rId30" ref="S29"/>
    <hyperlink r:id="rId31" ref="S30"/>
    <hyperlink r:id="rId32" ref="S31"/>
    <hyperlink r:id="rId33" ref="C32"/>
    <hyperlink r:id="rId34" ref="S32"/>
    <hyperlink r:id="rId35" ref="C33"/>
    <hyperlink r:id="rId36" ref="S33"/>
    <hyperlink r:id="rId37" ref="C35"/>
    <hyperlink r:id="rId38" ref="S35"/>
    <hyperlink r:id="rId39" ref="C36"/>
    <hyperlink r:id="rId40" ref="S36"/>
    <hyperlink r:id="rId41" ref="S37"/>
    <hyperlink r:id="rId42" ref="S38"/>
    <hyperlink r:id="rId43" ref="S39"/>
    <hyperlink r:id="rId44" ref="S40"/>
    <hyperlink r:id="rId45" ref="C41"/>
    <hyperlink r:id="rId46" ref="S43"/>
    <hyperlink r:id="rId47" ref="C44"/>
    <hyperlink r:id="rId48" ref="S44"/>
    <hyperlink r:id="rId49" ref="C45"/>
    <hyperlink r:id="rId50" ref="S45"/>
    <hyperlink r:id="rId51" ref="C46"/>
    <hyperlink r:id="rId52" ref="S46"/>
    <hyperlink r:id="rId53" ref="C47"/>
    <hyperlink r:id="rId54" ref="S47"/>
    <hyperlink r:id="rId55" ref="C48"/>
    <hyperlink r:id="rId56" ref="S48"/>
    <hyperlink r:id="rId57" ref="C49"/>
    <hyperlink r:id="rId58" ref="S49"/>
    <hyperlink r:id="rId59" ref="S50"/>
    <hyperlink r:id="rId60" ref="C51"/>
    <hyperlink r:id="rId61" ref="S51"/>
    <hyperlink r:id="rId62" ref="C52"/>
    <hyperlink r:id="rId63" ref="S52"/>
    <hyperlink r:id="rId64" ref="S53"/>
    <hyperlink r:id="rId65" ref="C54"/>
    <hyperlink r:id="rId66" ref="C55"/>
    <hyperlink r:id="rId67" ref="S55"/>
    <hyperlink r:id="rId68" ref="C56"/>
    <hyperlink r:id="rId69" ref="S56"/>
    <hyperlink r:id="rId70" ref="S57"/>
    <hyperlink r:id="rId71" ref="S59"/>
    <hyperlink r:id="rId72" ref="C60"/>
    <hyperlink r:id="rId73" ref="S60"/>
    <hyperlink r:id="rId74" ref="C61"/>
    <hyperlink r:id="rId75" ref="S61"/>
    <hyperlink r:id="rId76" ref="C62"/>
    <hyperlink r:id="rId77" ref="S62"/>
    <hyperlink r:id="rId78" ref="C63"/>
    <hyperlink r:id="rId79" ref="S63"/>
    <hyperlink r:id="rId80" ref="S64"/>
    <hyperlink r:id="rId81" ref="C65"/>
    <hyperlink r:id="rId82" ref="C66"/>
    <hyperlink r:id="rId83" ref="S66"/>
    <hyperlink r:id="rId84" ref="C67"/>
    <hyperlink r:id="rId85" ref="S67"/>
    <hyperlink r:id="rId86" ref="S68"/>
    <hyperlink r:id="rId87" ref="C70"/>
    <hyperlink r:id="rId88" ref="S70"/>
    <hyperlink r:id="rId89" ref="S71"/>
    <hyperlink r:id="rId90" ref="C72"/>
    <hyperlink r:id="rId91" ref="S72"/>
    <hyperlink r:id="rId92" ref="C73"/>
    <hyperlink r:id="rId93" ref="S73"/>
    <hyperlink r:id="rId94" ref="C74"/>
    <hyperlink r:id="rId95" ref="S74"/>
    <hyperlink r:id="rId96" ref="C75"/>
    <hyperlink r:id="rId97" ref="S75"/>
    <hyperlink r:id="rId98" ref="C76"/>
    <hyperlink r:id="rId99" ref="S76"/>
    <hyperlink r:id="rId100" ref="C77"/>
    <hyperlink r:id="rId101" ref="S77"/>
    <hyperlink r:id="rId102" ref="S78"/>
    <hyperlink r:id="rId103" ref="C79"/>
    <hyperlink r:id="rId104" ref="S79"/>
    <hyperlink r:id="rId105" ref="S80"/>
    <hyperlink r:id="rId106" ref="C81"/>
    <hyperlink r:id="rId107" ref="S81"/>
    <hyperlink r:id="rId108" ref="C82"/>
    <hyperlink r:id="rId109" ref="S82"/>
    <hyperlink r:id="rId110" ref="C83"/>
    <hyperlink r:id="rId111" ref="S83"/>
    <hyperlink r:id="rId112" ref="S86"/>
    <hyperlink r:id="rId113" ref="C87"/>
    <hyperlink r:id="rId114" ref="S87"/>
    <hyperlink r:id="rId115" ref="C88"/>
    <hyperlink r:id="rId116" ref="S88"/>
    <hyperlink r:id="rId117" ref="S89"/>
    <hyperlink r:id="rId118" ref="C90"/>
    <hyperlink r:id="rId119" ref="S90"/>
    <hyperlink r:id="rId120" ref="S91"/>
    <hyperlink r:id="rId121" ref="C92"/>
    <hyperlink r:id="rId122" ref="S92"/>
    <hyperlink r:id="rId123" ref="S93"/>
    <hyperlink r:id="rId124" ref="C94"/>
    <hyperlink r:id="rId125" ref="S94"/>
    <hyperlink r:id="rId126" ref="C95"/>
    <hyperlink r:id="rId127" ref="S95"/>
    <hyperlink r:id="rId128" ref="C96"/>
    <hyperlink r:id="rId129" ref="S96"/>
    <hyperlink r:id="rId130" ref="C97"/>
    <hyperlink r:id="rId131" ref="S97"/>
    <hyperlink r:id="rId132" ref="C98"/>
    <hyperlink r:id="rId133" ref="S98"/>
    <hyperlink r:id="rId134" ref="C99"/>
    <hyperlink r:id="rId135" ref="S99"/>
    <hyperlink r:id="rId136" ref="C100"/>
    <hyperlink r:id="rId137" ref="S100"/>
    <hyperlink r:id="rId138" ref="S101"/>
    <hyperlink r:id="rId139" ref="C102"/>
    <hyperlink r:id="rId140" ref="S102"/>
    <hyperlink r:id="rId141" ref="S103"/>
    <hyperlink r:id="rId142" ref="C104"/>
    <hyperlink r:id="rId143" ref="S104"/>
  </hyperlinks>
  <drawing r:id="rId14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topLeftCell="E1" activePane="topRight" state="frozen"/>
      <selection activeCell="F2" sqref="F2" pane="topRight"/>
    </sheetView>
  </sheetViews>
  <sheetFormatPr customHeight="1" defaultColWidth="14.43" defaultRowHeight="15.75"/>
  <cols>
    <col customWidth="1" min="1" max="1" width="8.14"/>
    <col customWidth="1" min="2" max="2" width="5.0"/>
    <col customWidth="1" min="3" max="3" width="14.57"/>
    <col customWidth="1" min="4" max="4" width="15.86"/>
  </cols>
  <sheetData>
    <row r="1">
      <c r="A1" s="4" t="s">
        <v>0</v>
      </c>
      <c r="B1" s="201" t="s">
        <v>1</v>
      </c>
      <c r="C1" s="201" t="s">
        <v>2</v>
      </c>
      <c r="D1" s="201" t="s">
        <v>2</v>
      </c>
      <c r="E1" s="3"/>
      <c r="F1" s="5" t="s">
        <v>3</v>
      </c>
      <c r="G1" s="5" t="s">
        <v>4</v>
      </c>
      <c r="H1" s="5" t="s">
        <v>5</v>
      </c>
      <c r="I1" s="5" t="s">
        <v>6</v>
      </c>
      <c r="J1" s="5" t="s">
        <v>7</v>
      </c>
      <c r="K1" s="5" t="s">
        <v>8</v>
      </c>
      <c r="L1" s="7" t="s">
        <v>9</v>
      </c>
      <c r="N1" s="10" t="s">
        <v>14</v>
      </c>
      <c r="P1" s="19"/>
      <c r="Q1" s="19"/>
      <c r="R1" s="19"/>
      <c r="S1" s="19"/>
      <c r="T1" s="202"/>
      <c r="U1" s="202"/>
      <c r="V1" s="202"/>
      <c r="W1" s="202"/>
      <c r="X1" s="202"/>
      <c r="Y1" s="202"/>
      <c r="Z1" s="202"/>
      <c r="AA1" s="202"/>
      <c r="AB1" s="202"/>
      <c r="AC1" s="202"/>
      <c r="AD1" s="202"/>
    </row>
    <row r="2">
      <c r="A2" s="27" t="s">
        <v>492</v>
      </c>
      <c r="B2" s="27"/>
      <c r="C2" s="27"/>
      <c r="D2" s="25"/>
      <c r="E2" s="3"/>
      <c r="F2" s="25"/>
      <c r="G2" s="25">
        <v>43483.0</v>
      </c>
      <c r="H2" s="27">
        <f>G2-Today()</f>
        <v>-252</v>
      </c>
      <c r="I2" s="25">
        <v>43503.0</v>
      </c>
      <c r="J2" s="25">
        <v>43604.0</v>
      </c>
      <c r="K2" s="25"/>
      <c r="L2" s="26">
        <f>CountIFS($E:$E,"=Dem",$A:$A,"=House")</f>
        <v>88</v>
      </c>
      <c r="M2" s="28">
        <f>CountIFS($E:$E,"=Rep",$A:$A,"=House")</f>
        <v>63</v>
      </c>
      <c r="N2" s="26">
        <f>CountIFS($E:$E,"=Dem",$A:$A,"=Senate")</f>
        <v>20</v>
      </c>
      <c r="O2" s="28">
        <f>CountIFS($E:$E,"=Rep",$A:$A,"=Senate")</f>
        <v>15</v>
      </c>
      <c r="P2" s="19"/>
      <c r="Q2" s="19"/>
      <c r="R2" s="19"/>
      <c r="S2" s="19"/>
      <c r="T2" s="202"/>
      <c r="U2" s="202"/>
      <c r="V2" s="202"/>
      <c r="W2" s="202"/>
      <c r="X2" s="202"/>
      <c r="Y2" s="202"/>
      <c r="Z2" s="202"/>
      <c r="AA2" s="202"/>
      <c r="AB2" s="202"/>
      <c r="AC2" s="202"/>
      <c r="AD2" s="202"/>
    </row>
    <row r="3">
      <c r="A3" s="3" t="s">
        <v>29</v>
      </c>
      <c r="B3" s="3" t="s">
        <v>30</v>
      </c>
      <c r="C3" s="201" t="s">
        <v>31</v>
      </c>
      <c r="D3" s="201" t="s">
        <v>32</v>
      </c>
      <c r="E3" s="3" t="s">
        <v>33</v>
      </c>
      <c r="F3" s="3" t="s">
        <v>10</v>
      </c>
      <c r="G3" s="3" t="s">
        <v>34</v>
      </c>
      <c r="H3" s="3" t="s">
        <v>34</v>
      </c>
      <c r="I3" s="3" t="s">
        <v>34</v>
      </c>
      <c r="J3" s="3" t="s">
        <v>34</v>
      </c>
      <c r="K3" s="3" t="s">
        <v>35</v>
      </c>
      <c r="L3" s="19" t="s">
        <v>36</v>
      </c>
      <c r="M3" s="19" t="s">
        <v>37</v>
      </c>
      <c r="N3" s="19" t="s">
        <v>38</v>
      </c>
      <c r="O3" s="203" t="s">
        <v>39</v>
      </c>
      <c r="P3" s="19" t="s">
        <v>40</v>
      </c>
      <c r="Q3" s="19" t="s">
        <v>41</v>
      </c>
      <c r="R3" s="19" t="s">
        <v>30</v>
      </c>
      <c r="S3" s="19"/>
      <c r="T3" s="202"/>
      <c r="U3" s="202"/>
      <c r="V3" s="202"/>
      <c r="W3" s="202"/>
      <c r="X3" s="202"/>
      <c r="Y3" s="202"/>
      <c r="Z3" s="202"/>
      <c r="AA3" s="202"/>
      <c r="AB3" s="202"/>
      <c r="AC3" s="202"/>
      <c r="AD3" s="202"/>
    </row>
    <row r="4">
      <c r="A4" s="14" t="s">
        <v>44</v>
      </c>
      <c r="B4" s="35">
        <v>1.0</v>
      </c>
      <c r="C4" s="204" t="s">
        <v>896</v>
      </c>
      <c r="D4" s="204" t="s">
        <v>2478</v>
      </c>
      <c r="E4" s="36" t="s">
        <v>49</v>
      </c>
      <c r="F4" s="69" t="s">
        <v>2479</v>
      </c>
      <c r="G4" s="205"/>
      <c r="H4" s="206"/>
      <c r="I4" s="208"/>
      <c r="L4" s="210" t="s">
        <v>2481</v>
      </c>
      <c r="M4" s="88" t="str">
        <f t="shared" ref="M4:M71" si="1">Concatenate(Lower(C4),".",Lower(D4),If(E4="Dem","@cga.ct.gov","@housegop.ct.gov"))</f>
        <v>matthew.ritter@cga.ct.gov</v>
      </c>
      <c r="N4" s="89"/>
      <c r="O4" s="89"/>
      <c r="P4" s="89"/>
      <c r="Q4" s="89"/>
      <c r="R4" s="89"/>
    </row>
    <row r="5">
      <c r="A5" s="14" t="s">
        <v>44</v>
      </c>
      <c r="B5" s="35">
        <v>2.0</v>
      </c>
      <c r="C5" s="213" t="s">
        <v>2489</v>
      </c>
      <c r="D5" s="213" t="s">
        <v>2492</v>
      </c>
      <c r="E5" s="100" t="s">
        <v>49</v>
      </c>
      <c r="F5" s="69"/>
      <c r="G5" s="205"/>
      <c r="H5" s="206"/>
      <c r="I5" s="214"/>
      <c r="L5" s="215" t="s">
        <v>2481</v>
      </c>
      <c r="M5" s="88" t="str">
        <f t="shared" si="1"/>
        <v>raghib.allie-brennan@cga.ct.gov</v>
      </c>
      <c r="N5" s="89"/>
      <c r="O5" s="89"/>
      <c r="P5" s="89"/>
      <c r="Q5" s="89"/>
      <c r="R5" s="89"/>
    </row>
    <row r="6">
      <c r="A6" s="14" t="s">
        <v>44</v>
      </c>
      <c r="B6" s="35">
        <v>3.0</v>
      </c>
      <c r="C6" s="204" t="s">
        <v>2495</v>
      </c>
      <c r="D6" s="204" t="s">
        <v>2496</v>
      </c>
      <c r="E6" s="36" t="s">
        <v>49</v>
      </c>
      <c r="F6" s="69"/>
      <c r="G6" s="205"/>
      <c r="H6" s="206"/>
      <c r="I6" s="208"/>
      <c r="L6" s="218" t="s">
        <v>2481</v>
      </c>
      <c r="M6" s="88" t="str">
        <f t="shared" si="1"/>
        <v>minnie.gonzalez@cga.ct.gov</v>
      </c>
      <c r="N6" s="89"/>
      <c r="O6" s="89"/>
      <c r="P6" s="89"/>
      <c r="Q6" s="89"/>
      <c r="R6" s="89"/>
    </row>
    <row r="7">
      <c r="A7" s="14" t="s">
        <v>44</v>
      </c>
      <c r="B7" s="35">
        <v>4.0</v>
      </c>
      <c r="C7" s="204" t="s">
        <v>2497</v>
      </c>
      <c r="D7" s="204" t="s">
        <v>2498</v>
      </c>
      <c r="E7" s="36" t="s">
        <v>49</v>
      </c>
      <c r="F7" s="69"/>
      <c r="G7" s="205"/>
      <c r="H7" s="206"/>
      <c r="I7" s="214"/>
      <c r="L7" s="218" t="s">
        <v>2499</v>
      </c>
      <c r="M7" s="88" t="str">
        <f t="shared" si="1"/>
        <v>julio.concepcion@cga.ct.gov</v>
      </c>
      <c r="N7" s="89"/>
      <c r="O7" s="89"/>
      <c r="P7" s="89"/>
      <c r="Q7" s="89"/>
      <c r="R7" s="89"/>
    </row>
    <row r="8">
      <c r="A8" s="14" t="s">
        <v>44</v>
      </c>
      <c r="B8" s="35">
        <v>5.0</v>
      </c>
      <c r="C8" s="204" t="s">
        <v>2500</v>
      </c>
      <c r="D8" s="204" t="s">
        <v>1355</v>
      </c>
      <c r="E8" s="36" t="s">
        <v>49</v>
      </c>
      <c r="F8" s="69"/>
      <c r="G8" s="205" t="s">
        <v>2501</v>
      </c>
      <c r="H8" s="206"/>
      <c r="I8" s="214"/>
      <c r="L8" s="218" t="s">
        <v>2481</v>
      </c>
      <c r="M8" s="88" t="str">
        <f t="shared" si="1"/>
        <v>brandon.mcgee@cga.ct.gov</v>
      </c>
      <c r="N8" s="89"/>
      <c r="O8" s="89"/>
      <c r="P8" s="89"/>
      <c r="Q8" s="89"/>
      <c r="R8" s="89"/>
    </row>
    <row r="9">
      <c r="A9" s="14" t="s">
        <v>44</v>
      </c>
      <c r="B9" s="35">
        <v>6.0</v>
      </c>
      <c r="C9" s="204" t="s">
        <v>2502</v>
      </c>
      <c r="D9" s="204" t="s">
        <v>2357</v>
      </c>
      <c r="E9" s="36" t="s">
        <v>49</v>
      </c>
      <c r="F9" s="69"/>
      <c r="G9" s="14" t="s">
        <v>2503</v>
      </c>
      <c r="H9" s="206" t="s">
        <v>2504</v>
      </c>
      <c r="I9" s="214"/>
      <c r="J9" s="205" t="s">
        <v>2505</v>
      </c>
      <c r="L9" s="218" t="s">
        <v>2481</v>
      </c>
      <c r="M9" s="88" t="str">
        <f t="shared" si="1"/>
        <v>edwin.vargas@cga.ct.gov</v>
      </c>
      <c r="N9" s="89"/>
      <c r="O9" s="89"/>
      <c r="P9" s="89"/>
      <c r="Q9" s="89"/>
      <c r="R9" s="89"/>
    </row>
    <row r="10">
      <c r="A10" s="14" t="s">
        <v>44</v>
      </c>
      <c r="B10" s="35">
        <v>7.0</v>
      </c>
      <c r="C10" s="204" t="s">
        <v>2506</v>
      </c>
      <c r="D10" s="219" t="s">
        <v>293</v>
      </c>
      <c r="E10" s="36" t="s">
        <v>49</v>
      </c>
      <c r="F10" s="69"/>
      <c r="G10" s="205"/>
      <c r="H10" s="206"/>
      <c r="I10" s="214"/>
      <c r="L10" s="218" t="s">
        <v>2481</v>
      </c>
      <c r="M10" s="88" t="str">
        <f t="shared" si="1"/>
        <v>joshua.hall@cga.ct.gov</v>
      </c>
      <c r="N10" s="89"/>
      <c r="O10" s="89"/>
      <c r="P10" s="89"/>
      <c r="Q10" s="89"/>
      <c r="R10" s="89"/>
    </row>
    <row r="11">
      <c r="A11" s="14" t="s">
        <v>44</v>
      </c>
      <c r="B11" s="35">
        <v>8.0</v>
      </c>
      <c r="C11" s="204" t="s">
        <v>2507</v>
      </c>
      <c r="D11" s="204" t="s">
        <v>2508</v>
      </c>
      <c r="E11" s="51" t="s">
        <v>53</v>
      </c>
      <c r="F11" s="69"/>
      <c r="G11" s="205"/>
      <c r="H11" s="206"/>
      <c r="I11" s="214"/>
      <c r="L11" s="89"/>
      <c r="M11" s="88" t="str">
        <f t="shared" si="1"/>
        <v>timothy.ackert@housegop.ct.gov</v>
      </c>
      <c r="N11" s="89"/>
      <c r="O11" s="89"/>
      <c r="P11" s="89"/>
      <c r="Q11" s="89"/>
      <c r="R11" s="89"/>
    </row>
    <row r="12">
      <c r="A12" s="14" t="s">
        <v>44</v>
      </c>
      <c r="B12" s="35">
        <v>9.0</v>
      </c>
      <c r="C12" s="204" t="s">
        <v>1231</v>
      </c>
      <c r="D12" s="204" t="s">
        <v>2509</v>
      </c>
      <c r="E12" s="36" t="s">
        <v>49</v>
      </c>
      <c r="F12" s="69"/>
      <c r="G12" s="205" t="s">
        <v>2510</v>
      </c>
      <c r="H12" s="206"/>
      <c r="I12" s="214"/>
      <c r="L12" s="218" t="s">
        <v>2481</v>
      </c>
      <c r="M12" s="88" t="str">
        <f t="shared" si="1"/>
        <v>jason.rojas@cga.ct.gov</v>
      </c>
      <c r="N12" s="89"/>
      <c r="O12" s="89"/>
      <c r="P12" s="89"/>
      <c r="Q12" s="89"/>
      <c r="R12" s="89"/>
    </row>
    <row r="13">
      <c r="A13" s="14" t="s">
        <v>44</v>
      </c>
      <c r="B13" s="35">
        <v>10.0</v>
      </c>
      <c r="C13" s="204" t="s">
        <v>2189</v>
      </c>
      <c r="D13" s="204" t="s">
        <v>2511</v>
      </c>
      <c r="E13" s="36" t="s">
        <v>49</v>
      </c>
      <c r="F13" s="69"/>
      <c r="G13" s="205"/>
      <c r="H13" s="206"/>
      <c r="I13" s="208"/>
      <c r="L13" s="218" t="s">
        <v>2481</v>
      </c>
      <c r="M13" s="88" t="str">
        <f t="shared" si="1"/>
        <v>henry.genga@cga.ct.gov</v>
      </c>
      <c r="N13" s="89"/>
      <c r="O13" s="89"/>
      <c r="P13" s="89"/>
      <c r="Q13" s="89"/>
      <c r="R13" s="89"/>
    </row>
    <row r="14">
      <c r="A14" s="14" t="s">
        <v>44</v>
      </c>
      <c r="B14" s="74">
        <v>11.0</v>
      </c>
      <c r="C14" s="204" t="s">
        <v>2512</v>
      </c>
      <c r="D14" s="204" t="s">
        <v>2513</v>
      </c>
      <c r="E14" s="36" t="s">
        <v>49</v>
      </c>
      <c r="F14" s="69"/>
      <c r="G14" s="205"/>
      <c r="H14" s="206"/>
      <c r="I14" s="208"/>
      <c r="L14" s="218" t="s">
        <v>2514</v>
      </c>
      <c r="M14" s="88" t="str">
        <f t="shared" si="1"/>
        <v>jeffrey.currey@cga.ct.gov</v>
      </c>
      <c r="N14" s="89"/>
      <c r="O14" s="89"/>
      <c r="P14" s="89"/>
      <c r="Q14" s="89"/>
      <c r="R14" s="89"/>
    </row>
    <row r="15">
      <c r="A15" s="14" t="s">
        <v>44</v>
      </c>
      <c r="B15" s="74">
        <v>12.0</v>
      </c>
      <c r="C15" s="213" t="s">
        <v>2515</v>
      </c>
      <c r="D15" s="213" t="s">
        <v>2516</v>
      </c>
      <c r="E15" s="36" t="s">
        <v>49</v>
      </c>
      <c r="F15" s="69"/>
      <c r="G15" s="205"/>
      <c r="H15" s="206"/>
      <c r="I15" s="214"/>
      <c r="L15" s="89"/>
      <c r="M15" s="88" t="str">
        <f t="shared" si="1"/>
        <v>geoff.luxenberg@cga.ct.gov</v>
      </c>
      <c r="N15" s="89"/>
      <c r="O15" s="89"/>
      <c r="P15" s="89"/>
      <c r="Q15" s="89"/>
      <c r="R15" s="89"/>
    </row>
    <row r="16">
      <c r="A16" s="14" t="s">
        <v>44</v>
      </c>
      <c r="B16" s="74">
        <v>13.0</v>
      </c>
      <c r="C16" s="213" t="s">
        <v>278</v>
      </c>
      <c r="D16" s="213" t="s">
        <v>2517</v>
      </c>
      <c r="E16" s="100" t="s">
        <v>49</v>
      </c>
      <c r="F16" s="69"/>
      <c r="G16" s="205"/>
      <c r="H16" s="206"/>
      <c r="I16" s="214"/>
      <c r="L16" s="89"/>
      <c r="M16" s="88" t="str">
        <f t="shared" si="1"/>
        <v>john.doucette@cga.ct.gov</v>
      </c>
      <c r="N16" s="89"/>
      <c r="O16" s="89"/>
      <c r="P16" s="89"/>
      <c r="Q16" s="89"/>
      <c r="R16" s="89"/>
    </row>
    <row r="17">
      <c r="A17" s="14" t="s">
        <v>44</v>
      </c>
      <c r="B17" s="74">
        <v>14.0</v>
      </c>
      <c r="C17" s="204" t="s">
        <v>338</v>
      </c>
      <c r="D17" s="204" t="s">
        <v>2518</v>
      </c>
      <c r="E17" s="51" t="s">
        <v>53</v>
      </c>
      <c r="F17" s="69"/>
      <c r="G17" s="205"/>
      <c r="H17" s="206"/>
      <c r="I17" s="214"/>
      <c r="L17" s="89"/>
      <c r="M17" s="88" t="str">
        <f t="shared" si="1"/>
        <v>tom.delnicki@housegop.ct.gov</v>
      </c>
      <c r="N17" s="89"/>
      <c r="O17" s="89"/>
      <c r="P17" s="89"/>
      <c r="Q17" s="89"/>
      <c r="R17" s="89"/>
    </row>
    <row r="18">
      <c r="A18" s="14" t="s">
        <v>44</v>
      </c>
      <c r="B18" s="35">
        <v>15.0</v>
      </c>
      <c r="C18" s="204" t="s">
        <v>1019</v>
      </c>
      <c r="D18" s="204" t="s">
        <v>2519</v>
      </c>
      <c r="E18" s="36" t="s">
        <v>49</v>
      </c>
      <c r="F18" s="69"/>
      <c r="G18" s="205"/>
      <c r="H18" s="206"/>
      <c r="I18" s="208"/>
      <c r="L18" s="218" t="s">
        <v>2481</v>
      </c>
      <c r="M18" s="88" t="str">
        <f t="shared" si="1"/>
        <v>bobby.gibson@cga.ct.gov</v>
      </c>
      <c r="N18" s="89"/>
      <c r="O18" s="89"/>
      <c r="P18" s="89"/>
      <c r="Q18" s="89"/>
      <c r="R18" s="89"/>
    </row>
    <row r="19">
      <c r="A19" s="14" t="s">
        <v>44</v>
      </c>
      <c r="B19" s="35">
        <v>16.0</v>
      </c>
      <c r="C19" s="204" t="s">
        <v>278</v>
      </c>
      <c r="D19" s="219" t="s">
        <v>2520</v>
      </c>
      <c r="E19" s="36" t="s">
        <v>49</v>
      </c>
      <c r="F19" s="69"/>
      <c r="G19" s="205"/>
      <c r="H19" s="206"/>
      <c r="I19" s="214"/>
      <c r="L19" s="218" t="s">
        <v>2521</v>
      </c>
      <c r="M19" s="88" t="str">
        <f t="shared" si="1"/>
        <v>john.hampton@cga.ct.gov</v>
      </c>
      <c r="N19" s="89"/>
      <c r="O19" s="89"/>
      <c r="P19" s="89"/>
      <c r="Q19" s="89"/>
      <c r="R19" s="89"/>
    </row>
    <row r="20">
      <c r="A20" s="14" t="s">
        <v>44</v>
      </c>
      <c r="B20" s="74">
        <v>17.0</v>
      </c>
      <c r="C20" s="204" t="s">
        <v>2507</v>
      </c>
      <c r="D20" s="204" t="s">
        <v>2522</v>
      </c>
      <c r="E20" s="98" t="s">
        <v>53</v>
      </c>
      <c r="F20" s="69"/>
      <c r="G20" s="205"/>
      <c r="H20" s="206"/>
      <c r="I20" s="214"/>
      <c r="L20" s="89"/>
      <c r="M20" s="88" t="str">
        <f t="shared" si="1"/>
        <v>timothy.legeyt@housegop.ct.gov</v>
      </c>
      <c r="N20" s="89"/>
      <c r="O20" s="89"/>
      <c r="P20" s="89"/>
      <c r="Q20" s="89"/>
      <c r="R20" s="89"/>
    </row>
    <row r="21">
      <c r="A21" s="14" t="s">
        <v>44</v>
      </c>
      <c r="B21" s="74">
        <v>18.0</v>
      </c>
      <c r="C21" s="213" t="s">
        <v>2523</v>
      </c>
      <c r="D21" s="213" t="s">
        <v>2524</v>
      </c>
      <c r="E21" s="36" t="s">
        <v>49</v>
      </c>
      <c r="F21" s="69"/>
      <c r="G21" s="205"/>
      <c r="H21" s="206"/>
      <c r="I21" s="214"/>
      <c r="L21" s="89"/>
      <c r="M21" s="88" t="str">
        <f t="shared" si="1"/>
        <v>jillian.gilchrest@cga.ct.gov</v>
      </c>
      <c r="N21" s="89"/>
      <c r="O21" s="89"/>
      <c r="P21" s="89"/>
      <c r="Q21" s="89"/>
      <c r="R21" s="89"/>
    </row>
    <row r="22">
      <c r="A22" s="14" t="s">
        <v>44</v>
      </c>
      <c r="B22" s="74">
        <v>19.0</v>
      </c>
      <c r="C22" s="204" t="s">
        <v>2525</v>
      </c>
      <c r="D22" s="204" t="s">
        <v>2526</v>
      </c>
      <c r="E22" s="36" t="s">
        <v>49</v>
      </c>
      <c r="F22" s="69"/>
      <c r="G22" s="205"/>
      <c r="H22" s="206"/>
      <c r="I22" s="208"/>
      <c r="L22" s="218" t="s">
        <v>2481</v>
      </c>
      <c r="M22" s="88" t="str">
        <f t="shared" si="1"/>
        <v>derek.slap@cga.ct.gov</v>
      </c>
      <c r="N22" s="89"/>
      <c r="O22" s="89"/>
      <c r="P22" s="89"/>
      <c r="Q22" s="89"/>
      <c r="R22" s="89"/>
    </row>
    <row r="23">
      <c r="A23" s="14" t="s">
        <v>44</v>
      </c>
      <c r="B23" s="74">
        <v>20.0</v>
      </c>
      <c r="C23" s="204" t="s">
        <v>2527</v>
      </c>
      <c r="D23" s="204" t="s">
        <v>2528</v>
      </c>
      <c r="E23" s="36" t="s">
        <v>49</v>
      </c>
      <c r="F23" s="69"/>
      <c r="G23" s="205" t="s">
        <v>2529</v>
      </c>
      <c r="H23" s="206"/>
      <c r="I23" s="208"/>
      <c r="L23" s="89"/>
      <c r="M23" s="88" t="str">
        <f t="shared" si="1"/>
        <v>joseph.verrengia@cga.ct.gov</v>
      </c>
      <c r="N23" s="89"/>
      <c r="O23" s="89"/>
      <c r="P23" s="89"/>
      <c r="Q23" s="89"/>
      <c r="R23" s="89"/>
    </row>
    <row r="24">
      <c r="A24" s="14" t="s">
        <v>44</v>
      </c>
      <c r="B24" s="74">
        <v>21.0</v>
      </c>
      <c r="C24" s="204" t="s">
        <v>157</v>
      </c>
      <c r="D24" s="204" t="s">
        <v>2530</v>
      </c>
      <c r="E24" s="36" t="s">
        <v>49</v>
      </c>
      <c r="F24" s="69"/>
      <c r="G24" s="205" t="s">
        <v>2531</v>
      </c>
      <c r="H24" s="206"/>
      <c r="I24" s="214"/>
      <c r="L24" s="89"/>
      <c r="M24" s="88" t="str">
        <f t="shared" si="1"/>
        <v>mike.demicco@cga.ct.gov</v>
      </c>
      <c r="N24" s="89"/>
      <c r="O24" s="89"/>
      <c r="P24" s="89"/>
      <c r="Q24" s="89"/>
      <c r="R24" s="89"/>
    </row>
    <row r="25">
      <c r="A25" s="14" t="s">
        <v>44</v>
      </c>
      <c r="B25" s="74">
        <v>22.0</v>
      </c>
      <c r="C25" s="204" t="s">
        <v>1058</v>
      </c>
      <c r="D25" s="204" t="s">
        <v>2532</v>
      </c>
      <c r="E25" s="51" t="s">
        <v>53</v>
      </c>
      <c r="F25" s="69"/>
      <c r="G25" s="205"/>
      <c r="H25" s="206"/>
      <c r="I25" s="214"/>
      <c r="L25" s="89"/>
      <c r="M25" s="88" t="str">
        <f t="shared" si="1"/>
        <v>william.petit@housegop.ct.gov</v>
      </c>
      <c r="N25" s="89"/>
      <c r="O25" s="89"/>
      <c r="P25" s="89"/>
      <c r="Q25" s="89"/>
      <c r="R25" s="89"/>
    </row>
    <row r="26">
      <c r="A26" s="14" t="s">
        <v>44</v>
      </c>
      <c r="B26" s="74">
        <v>23.0</v>
      </c>
      <c r="C26" s="204" t="s">
        <v>2312</v>
      </c>
      <c r="D26" s="204" t="s">
        <v>2533</v>
      </c>
      <c r="E26" s="51" t="s">
        <v>53</v>
      </c>
      <c r="F26" s="69"/>
      <c r="G26" s="205"/>
      <c r="H26" s="206"/>
      <c r="I26" s="214"/>
      <c r="L26" s="89"/>
      <c r="M26" s="88" t="str">
        <f t="shared" si="1"/>
        <v>devin.carney@housegop.ct.gov</v>
      </c>
      <c r="N26" s="89"/>
      <c r="O26" s="89"/>
      <c r="P26" s="89"/>
      <c r="Q26" s="89"/>
      <c r="R26" s="89"/>
    </row>
    <row r="27">
      <c r="A27" s="14" t="s">
        <v>44</v>
      </c>
      <c r="B27" s="74">
        <v>24.0</v>
      </c>
      <c r="C27" s="204" t="s">
        <v>1291</v>
      </c>
      <c r="D27" s="204" t="s">
        <v>2534</v>
      </c>
      <c r="E27" s="36" t="s">
        <v>49</v>
      </c>
      <c r="F27" s="69"/>
      <c r="G27" s="205"/>
      <c r="H27" s="206"/>
      <c r="I27" s="214"/>
      <c r="L27" s="89"/>
      <c r="M27" s="88" t="str">
        <f t="shared" si="1"/>
        <v>rick.lopes@cga.ct.gov</v>
      </c>
      <c r="N27" s="89"/>
      <c r="O27" s="89"/>
      <c r="P27" s="89"/>
      <c r="Q27" s="89"/>
      <c r="R27" s="89"/>
    </row>
    <row r="28">
      <c r="A28" s="14" t="s">
        <v>44</v>
      </c>
      <c r="B28" s="74">
        <v>25.0</v>
      </c>
      <c r="C28" s="204" t="s">
        <v>1019</v>
      </c>
      <c r="D28" s="204" t="s">
        <v>2337</v>
      </c>
      <c r="E28" s="36" t="s">
        <v>49</v>
      </c>
      <c r="F28" s="69"/>
      <c r="G28" s="205" t="s">
        <v>2535</v>
      </c>
      <c r="H28" s="206"/>
      <c r="I28" s="214"/>
      <c r="L28" s="89"/>
      <c r="M28" s="88" t="str">
        <f t="shared" si="1"/>
        <v>bobby.sanchez@cga.ct.gov</v>
      </c>
      <c r="N28" s="89"/>
      <c r="O28" s="89"/>
      <c r="P28" s="89"/>
      <c r="Q28" s="89"/>
      <c r="R28" s="89"/>
    </row>
    <row r="29">
      <c r="A29" s="14" t="s">
        <v>44</v>
      </c>
      <c r="B29" s="74">
        <v>26.0</v>
      </c>
      <c r="C29" s="204" t="s">
        <v>367</v>
      </c>
      <c r="D29" s="204" t="s">
        <v>2536</v>
      </c>
      <c r="E29" s="36" t="s">
        <v>49</v>
      </c>
      <c r="F29" s="69"/>
      <c r="G29" s="205"/>
      <c r="H29" s="206"/>
      <c r="I29" s="214"/>
      <c r="L29" s="89"/>
      <c r="M29" s="88" t="str">
        <f t="shared" si="1"/>
        <v>peter.tercyak@cga.ct.gov</v>
      </c>
      <c r="N29" s="89"/>
      <c r="O29" s="89"/>
      <c r="P29" s="89"/>
      <c r="Q29" s="89"/>
      <c r="R29" s="89"/>
    </row>
    <row r="30">
      <c r="A30" s="14" t="s">
        <v>44</v>
      </c>
      <c r="B30" s="74">
        <v>27.0</v>
      </c>
      <c r="C30" s="204" t="s">
        <v>199</v>
      </c>
      <c r="D30" s="204" t="s">
        <v>2537</v>
      </c>
      <c r="E30" s="51" t="s">
        <v>53</v>
      </c>
      <c r="F30" s="69"/>
      <c r="G30" s="205"/>
      <c r="H30" s="206"/>
      <c r="I30" s="214"/>
      <c r="L30" s="89"/>
      <c r="M30" s="88" t="str">
        <f t="shared" si="1"/>
        <v>gary.byron@housegop.ct.gov</v>
      </c>
      <c r="N30" s="89"/>
      <c r="O30" s="89"/>
      <c r="P30" s="89"/>
      <c r="Q30" s="89"/>
      <c r="R30" s="89"/>
    </row>
    <row r="31">
      <c r="A31" s="14" t="s">
        <v>44</v>
      </c>
      <c r="B31" s="35">
        <v>28.0</v>
      </c>
      <c r="C31" s="204" t="s">
        <v>1054</v>
      </c>
      <c r="D31" s="204" t="s">
        <v>2538</v>
      </c>
      <c r="E31" s="36" t="s">
        <v>49</v>
      </c>
      <c r="F31" s="69"/>
      <c r="G31" s="205"/>
      <c r="H31" s="206"/>
      <c r="I31" s="214"/>
      <c r="L31" s="89"/>
      <c r="M31" s="88" t="str">
        <f t="shared" si="1"/>
        <v>russell.morin@cga.ct.gov</v>
      </c>
      <c r="N31" s="89"/>
      <c r="O31" s="89"/>
      <c r="P31" s="89"/>
      <c r="Q31" s="89"/>
      <c r="R31" s="89"/>
    </row>
    <row r="32">
      <c r="A32" s="14" t="s">
        <v>44</v>
      </c>
      <c r="B32" s="35">
        <v>29.0</v>
      </c>
      <c r="C32" s="213" t="s">
        <v>341</v>
      </c>
      <c r="D32" s="213" t="s">
        <v>2539</v>
      </c>
      <c r="E32" s="36" t="s">
        <v>49</v>
      </c>
      <c r="F32" s="69"/>
      <c r="G32" s="205"/>
      <c r="H32" s="206"/>
      <c r="I32" s="214"/>
      <c r="L32" s="89"/>
      <c r="M32" s="88" t="str">
        <f t="shared" si="1"/>
        <v>kerry.szepswood@cga.ct.gov</v>
      </c>
      <c r="N32" s="89"/>
      <c r="O32" s="89"/>
      <c r="P32" s="89"/>
      <c r="Q32" s="89"/>
      <c r="R32" s="89"/>
    </row>
    <row r="33">
      <c r="A33" s="14" t="s">
        <v>44</v>
      </c>
      <c r="B33" s="74">
        <v>30.0</v>
      </c>
      <c r="C33" s="204" t="s">
        <v>622</v>
      </c>
      <c r="D33" s="204" t="s">
        <v>2540</v>
      </c>
      <c r="E33" s="36" t="s">
        <v>49</v>
      </c>
      <c r="F33" s="69" t="s">
        <v>254</v>
      </c>
      <c r="G33" s="205" t="s">
        <v>2541</v>
      </c>
      <c r="H33" s="206"/>
      <c r="I33" s="214"/>
      <c r="L33" s="89"/>
      <c r="M33" s="88" t="str">
        <f t="shared" si="1"/>
        <v>joe.aresimowicz@cga.ct.gov</v>
      </c>
      <c r="N33" s="89"/>
      <c r="O33" s="89"/>
      <c r="P33" s="89"/>
      <c r="Q33" s="89"/>
      <c r="R33" s="89"/>
    </row>
    <row r="34">
      <c r="A34" s="14" t="s">
        <v>44</v>
      </c>
      <c r="B34" s="74">
        <v>31.0</v>
      </c>
      <c r="C34" s="204" t="s">
        <v>2542</v>
      </c>
      <c r="D34" s="204" t="s">
        <v>2543</v>
      </c>
      <c r="E34" s="51" t="s">
        <v>53</v>
      </c>
      <c r="F34" s="69"/>
      <c r="G34" s="205"/>
      <c r="H34" s="206"/>
      <c r="I34" s="214"/>
      <c r="L34" s="89"/>
      <c r="M34" s="88" t="str">
        <f t="shared" si="1"/>
        <v>prasad.srinivasan@housegop.ct.gov</v>
      </c>
      <c r="N34" s="89"/>
      <c r="O34" s="89"/>
      <c r="P34" s="89"/>
      <c r="Q34" s="89"/>
      <c r="R34" s="89"/>
    </row>
    <row r="35">
      <c r="A35" s="14" t="s">
        <v>44</v>
      </c>
      <c r="B35" s="74">
        <v>32.0</v>
      </c>
      <c r="C35" s="204" t="s">
        <v>2544</v>
      </c>
      <c r="D35" s="204" t="s">
        <v>2545</v>
      </c>
      <c r="E35" s="51" t="s">
        <v>53</v>
      </c>
      <c r="F35" s="69"/>
      <c r="G35" s="205"/>
      <c r="H35" s="206"/>
      <c r="I35" s="214"/>
      <c r="L35" s="89"/>
      <c r="M35" s="88" t="str">
        <f t="shared" si="1"/>
        <v>christie.carpino@housegop.ct.gov</v>
      </c>
      <c r="N35" s="89"/>
      <c r="O35" s="89"/>
      <c r="P35" s="89"/>
      <c r="Q35" s="89"/>
      <c r="R35" s="89"/>
    </row>
    <row r="36">
      <c r="A36" s="14" t="s">
        <v>44</v>
      </c>
      <c r="B36" s="74">
        <v>33.0</v>
      </c>
      <c r="C36" s="204" t="s">
        <v>2527</v>
      </c>
      <c r="D36" s="204" t="s">
        <v>2546</v>
      </c>
      <c r="E36" s="36" t="s">
        <v>49</v>
      </c>
      <c r="F36" s="69"/>
      <c r="G36" s="205" t="s">
        <v>2547</v>
      </c>
      <c r="H36" s="206"/>
      <c r="I36" s="214"/>
      <c r="L36" s="89"/>
      <c r="M36" s="88" t="str">
        <f t="shared" si="1"/>
        <v>joseph.serra@cga.ct.gov</v>
      </c>
      <c r="N36" s="89"/>
      <c r="O36" s="89"/>
      <c r="P36" s="89"/>
      <c r="Q36" s="89"/>
      <c r="R36" s="89"/>
    </row>
    <row r="37">
      <c r="A37" s="14" t="s">
        <v>44</v>
      </c>
      <c r="B37" s="74">
        <v>34.0</v>
      </c>
      <c r="C37" s="213" t="s">
        <v>2548</v>
      </c>
      <c r="D37" s="213" t="s">
        <v>2549</v>
      </c>
      <c r="E37" s="51" t="s">
        <v>53</v>
      </c>
      <c r="F37" s="69"/>
      <c r="G37" s="205"/>
      <c r="H37" s="206"/>
      <c r="I37" s="214"/>
      <c r="L37" s="89"/>
      <c r="M37" s="88" t="str">
        <f t="shared" si="1"/>
        <v>irene.haines@housegop.ct.gov</v>
      </c>
      <c r="N37" s="89"/>
      <c r="O37" s="89"/>
      <c r="P37" s="89"/>
      <c r="Q37" s="89"/>
      <c r="R37" s="89"/>
    </row>
    <row r="38">
      <c r="A38" s="14" t="s">
        <v>44</v>
      </c>
      <c r="B38" s="74">
        <v>35.0</v>
      </c>
      <c r="C38" s="204" t="s">
        <v>386</v>
      </c>
      <c r="D38" s="204" t="s">
        <v>2550</v>
      </c>
      <c r="E38" s="51" t="s">
        <v>53</v>
      </c>
      <c r="F38" s="69"/>
      <c r="G38" s="205"/>
      <c r="H38" s="206"/>
      <c r="I38" s="214"/>
      <c r="L38" s="89"/>
      <c r="M38" s="88" t="str">
        <f t="shared" si="1"/>
        <v>jesse.maclachlan@housegop.ct.gov</v>
      </c>
      <c r="N38" s="89"/>
      <c r="O38" s="89"/>
      <c r="P38" s="89"/>
      <c r="Q38" s="89"/>
      <c r="R38" s="89"/>
    </row>
    <row r="39">
      <c r="A39" s="14" t="s">
        <v>44</v>
      </c>
      <c r="B39" s="74">
        <v>36.0</v>
      </c>
      <c r="C39" s="213" t="s">
        <v>2551</v>
      </c>
      <c r="D39" s="213" t="s">
        <v>2552</v>
      </c>
      <c r="E39" s="100" t="s">
        <v>49</v>
      </c>
      <c r="F39" s="69"/>
      <c r="G39" s="205"/>
      <c r="H39" s="206"/>
      <c r="I39" s="214"/>
      <c r="L39" s="89"/>
      <c r="M39" s="88" t="str">
        <f t="shared" si="1"/>
        <v>christine.palm@cga.ct.gov</v>
      </c>
      <c r="N39" s="89"/>
      <c r="O39" s="89"/>
      <c r="P39" s="89"/>
      <c r="Q39" s="89"/>
      <c r="R39" s="89"/>
    </row>
    <row r="40">
      <c r="A40" s="14" t="s">
        <v>44</v>
      </c>
      <c r="B40" s="74">
        <v>37.0</v>
      </c>
      <c r="C40" s="204" t="s">
        <v>2202</v>
      </c>
      <c r="D40" s="204" t="s">
        <v>2553</v>
      </c>
      <c r="E40" s="51" t="s">
        <v>53</v>
      </c>
      <c r="F40" s="69"/>
      <c r="G40" s="205"/>
      <c r="H40" s="206"/>
      <c r="I40" s="214"/>
      <c r="L40" s="89"/>
      <c r="M40" s="88" t="str">
        <f t="shared" si="1"/>
        <v>holly.cheeseman@housegop.ct.gov</v>
      </c>
      <c r="N40" s="89"/>
      <c r="O40" s="89"/>
      <c r="P40" s="89"/>
      <c r="Q40" s="89"/>
      <c r="R40" s="89"/>
    </row>
    <row r="41">
      <c r="A41" s="14" t="s">
        <v>44</v>
      </c>
      <c r="B41" s="74">
        <v>38.0</v>
      </c>
      <c r="C41" s="204" t="s">
        <v>2554</v>
      </c>
      <c r="D41" s="204" t="s">
        <v>1418</v>
      </c>
      <c r="E41" s="51" t="s">
        <v>53</v>
      </c>
      <c r="F41" s="69"/>
      <c r="G41" s="205"/>
      <c r="H41" s="206"/>
      <c r="I41" s="214"/>
      <c r="L41" s="89"/>
      <c r="M41" s="88" t="str">
        <f t="shared" si="1"/>
        <v>kathleen.mccarty@housegop.ct.gov</v>
      </c>
      <c r="N41" s="89"/>
      <c r="O41" s="89"/>
      <c r="P41" s="89"/>
      <c r="Q41" s="89"/>
      <c r="R41" s="89"/>
    </row>
    <row r="42">
      <c r="A42" s="14" t="s">
        <v>44</v>
      </c>
      <c r="B42" s="35">
        <v>39.0</v>
      </c>
      <c r="C42" s="204" t="s">
        <v>173</v>
      </c>
      <c r="D42" s="204" t="s">
        <v>2555</v>
      </c>
      <c r="E42" s="36" t="s">
        <v>49</v>
      </c>
      <c r="F42" s="69"/>
      <c r="G42" s="205"/>
      <c r="H42" s="206"/>
      <c r="I42" s="208"/>
      <c r="L42" s="89"/>
      <c r="M42" s="88" t="str">
        <f t="shared" si="1"/>
        <v>chris.soto@cga.ct.gov</v>
      </c>
      <c r="N42" s="89"/>
      <c r="O42" s="89"/>
      <c r="P42" s="89"/>
      <c r="Q42" s="89"/>
      <c r="R42" s="89"/>
    </row>
    <row r="43">
      <c r="A43" s="14" t="s">
        <v>44</v>
      </c>
      <c r="B43" s="74">
        <v>40.0</v>
      </c>
      <c r="C43" s="204" t="s">
        <v>2551</v>
      </c>
      <c r="D43" s="204" t="s">
        <v>2556</v>
      </c>
      <c r="E43" s="36" t="s">
        <v>49</v>
      </c>
      <c r="F43" s="69"/>
      <c r="G43" s="205"/>
      <c r="H43" s="206"/>
      <c r="I43" s="214"/>
      <c r="L43" s="89"/>
      <c r="M43" s="88" t="str">
        <f t="shared" si="1"/>
        <v>christine.conley@cga.ct.gov</v>
      </c>
      <c r="N43" s="89"/>
      <c r="O43" s="89"/>
      <c r="P43" s="89"/>
      <c r="Q43" s="89"/>
      <c r="R43" s="89"/>
    </row>
    <row r="44">
      <c r="A44" s="14" t="s">
        <v>44</v>
      </c>
      <c r="B44" s="74">
        <v>41.0</v>
      </c>
      <c r="C44" s="204" t="s">
        <v>622</v>
      </c>
      <c r="D44" s="204" t="s">
        <v>2557</v>
      </c>
      <c r="E44" s="36" t="s">
        <v>49</v>
      </c>
      <c r="F44" s="69"/>
      <c r="G44" s="205"/>
      <c r="H44" s="206"/>
      <c r="I44" s="214"/>
      <c r="L44" s="89"/>
      <c r="M44" s="88" t="str">
        <f t="shared" si="1"/>
        <v>joe.delacruz@cga.ct.gov</v>
      </c>
      <c r="N44" s="89"/>
      <c r="O44" s="89"/>
      <c r="P44" s="89"/>
      <c r="Q44" s="89"/>
      <c r="R44" s="89"/>
    </row>
    <row r="45">
      <c r="A45" s="14" t="s">
        <v>44</v>
      </c>
      <c r="B45" s="74">
        <v>42.0</v>
      </c>
      <c r="C45" s="204" t="s">
        <v>157</v>
      </c>
      <c r="D45" s="204" t="s">
        <v>2558</v>
      </c>
      <c r="E45" s="51" t="s">
        <v>53</v>
      </c>
      <c r="F45" s="69"/>
      <c r="G45" s="205"/>
      <c r="H45" s="206"/>
      <c r="I45" s="214"/>
      <c r="L45" s="89"/>
      <c r="M45" s="88" t="str">
        <f t="shared" si="1"/>
        <v>mike.france@housegop.ct.gov</v>
      </c>
      <c r="N45" s="89"/>
      <c r="O45" s="89"/>
      <c r="P45" s="89"/>
      <c r="Q45" s="89"/>
      <c r="R45" s="89"/>
    </row>
    <row r="46">
      <c r="A46" s="14" t="s">
        <v>44</v>
      </c>
      <c r="B46" s="35">
        <v>43.0</v>
      </c>
      <c r="C46" s="213" t="s">
        <v>1354</v>
      </c>
      <c r="D46" s="213" t="s">
        <v>2559</v>
      </c>
      <c r="E46" s="36" t="s">
        <v>49</v>
      </c>
      <c r="F46" s="69"/>
      <c r="G46" s="205"/>
      <c r="H46" s="206"/>
      <c r="I46" s="214"/>
      <c r="L46" s="89"/>
      <c r="M46" s="88" t="str">
        <f t="shared" si="1"/>
        <v>kate.rotella@cga.ct.gov</v>
      </c>
      <c r="N46" s="89"/>
      <c r="O46" s="89"/>
      <c r="P46" s="89"/>
      <c r="Q46" s="89"/>
      <c r="R46" s="89"/>
    </row>
    <row r="47">
      <c r="A47" s="14" t="s">
        <v>44</v>
      </c>
      <c r="B47" s="35">
        <v>44.0</v>
      </c>
      <c r="C47" s="204" t="s">
        <v>2560</v>
      </c>
      <c r="D47" s="204" t="s">
        <v>2561</v>
      </c>
      <c r="E47" s="51" t="s">
        <v>53</v>
      </c>
      <c r="F47" s="69"/>
      <c r="G47" s="205"/>
      <c r="H47" s="206"/>
      <c r="I47" s="214"/>
      <c r="L47" s="89"/>
      <c r="M47" s="88" t="str">
        <f t="shared" si="1"/>
        <v>anne.dauphinais@housegop.ct.gov</v>
      </c>
      <c r="N47" s="89"/>
      <c r="O47" s="89"/>
      <c r="P47" s="89"/>
      <c r="Q47" s="89"/>
      <c r="R47" s="89"/>
    </row>
    <row r="48">
      <c r="A48" s="14" t="s">
        <v>44</v>
      </c>
      <c r="B48" s="74">
        <v>45.0</v>
      </c>
      <c r="C48" s="213" t="s">
        <v>1331</v>
      </c>
      <c r="D48" s="213" t="s">
        <v>2562</v>
      </c>
      <c r="E48" s="51" t="s">
        <v>53</v>
      </c>
      <c r="F48" s="69"/>
      <c r="G48" s="205"/>
      <c r="H48" s="206"/>
      <c r="I48" s="214"/>
      <c r="L48" s="89"/>
      <c r="M48" s="88" t="str">
        <f t="shared" si="1"/>
        <v>brian.lanoue@housegop.ct.gov</v>
      </c>
      <c r="N48" s="89"/>
      <c r="O48" s="89"/>
      <c r="P48" s="89"/>
      <c r="Q48" s="89"/>
      <c r="R48" s="89"/>
    </row>
    <row r="49">
      <c r="A49" s="14" t="s">
        <v>44</v>
      </c>
      <c r="B49" s="74">
        <v>46.0</v>
      </c>
      <c r="C49" s="204" t="s">
        <v>2563</v>
      </c>
      <c r="D49" s="204" t="s">
        <v>2564</v>
      </c>
      <c r="E49" s="36" t="s">
        <v>49</v>
      </c>
      <c r="F49" s="69"/>
      <c r="G49" s="205"/>
      <c r="H49" s="206"/>
      <c r="I49" s="214"/>
      <c r="L49" s="89"/>
      <c r="M49" s="88" t="str">
        <f t="shared" si="1"/>
        <v>emmett.riley@cga.ct.gov</v>
      </c>
      <c r="N49" s="89"/>
      <c r="O49" s="89"/>
      <c r="P49" s="89"/>
      <c r="Q49" s="89"/>
      <c r="R49" s="89"/>
    </row>
    <row r="50">
      <c r="A50" s="14" t="s">
        <v>44</v>
      </c>
      <c r="B50" s="74">
        <v>47.0</v>
      </c>
      <c r="C50" s="204" t="s">
        <v>1146</v>
      </c>
      <c r="D50" s="204" t="s">
        <v>2565</v>
      </c>
      <c r="E50" s="51" t="s">
        <v>53</v>
      </c>
      <c r="F50" s="69"/>
      <c r="G50" s="205"/>
      <c r="H50" s="206"/>
      <c r="I50" s="214"/>
      <c r="L50" s="89"/>
      <c r="M50" s="88" t="str">
        <f t="shared" si="1"/>
        <v>doug.dubitsky@housegop.ct.gov</v>
      </c>
      <c r="N50" s="89"/>
      <c r="O50" s="89"/>
      <c r="P50" s="89"/>
      <c r="Q50" s="89"/>
      <c r="R50" s="89"/>
    </row>
    <row r="51">
      <c r="A51" s="14" t="s">
        <v>44</v>
      </c>
      <c r="B51" s="74">
        <v>48.0</v>
      </c>
      <c r="C51" s="204" t="s">
        <v>978</v>
      </c>
      <c r="D51" s="204" t="s">
        <v>2566</v>
      </c>
      <c r="E51" s="36" t="s">
        <v>49</v>
      </c>
      <c r="F51" s="69"/>
      <c r="G51" s="205"/>
      <c r="H51" s="206"/>
      <c r="I51" s="214"/>
      <c r="L51" s="89"/>
      <c r="M51" s="88" t="str">
        <f t="shared" si="1"/>
        <v>linda.orange@cga.ct.gov</v>
      </c>
      <c r="N51" s="89"/>
      <c r="O51" s="89"/>
      <c r="P51" s="89"/>
      <c r="Q51" s="89"/>
      <c r="R51" s="89"/>
    </row>
    <row r="52">
      <c r="A52" s="14" t="s">
        <v>44</v>
      </c>
      <c r="B52" s="74">
        <v>49.0</v>
      </c>
      <c r="C52" s="204" t="s">
        <v>1446</v>
      </c>
      <c r="D52" s="204" t="s">
        <v>118</v>
      </c>
      <c r="E52" s="36" t="s">
        <v>49</v>
      </c>
      <c r="F52" s="69"/>
      <c r="G52" s="205" t="s">
        <v>2567</v>
      </c>
      <c r="H52" s="206"/>
      <c r="I52" s="208"/>
      <c r="L52" s="89"/>
      <c r="M52" s="88" t="str">
        <f t="shared" si="1"/>
        <v>susan.johnson@cga.ct.gov</v>
      </c>
      <c r="N52" s="89"/>
      <c r="O52" s="89"/>
      <c r="P52" s="89"/>
      <c r="Q52" s="89"/>
      <c r="R52" s="89"/>
    </row>
    <row r="53">
      <c r="A53" s="14" t="s">
        <v>44</v>
      </c>
      <c r="B53" s="74">
        <v>50.0</v>
      </c>
      <c r="C53" s="204" t="s">
        <v>1914</v>
      </c>
      <c r="D53" s="204" t="s">
        <v>388</v>
      </c>
      <c r="E53" s="36" t="s">
        <v>49</v>
      </c>
      <c r="F53" s="69"/>
      <c r="G53" s="205"/>
      <c r="H53" s="206"/>
      <c r="I53" s="214"/>
      <c r="L53" s="89"/>
      <c r="M53" s="88" t="str">
        <f t="shared" si="1"/>
        <v>patrick.boyd@cga.ct.gov</v>
      </c>
      <c r="N53" s="89"/>
      <c r="O53" s="89"/>
      <c r="P53" s="89"/>
      <c r="Q53" s="89"/>
      <c r="R53" s="89"/>
    </row>
    <row r="54">
      <c r="A54" s="14" t="s">
        <v>44</v>
      </c>
      <c r="B54" s="74">
        <v>51.0</v>
      </c>
      <c r="C54" s="213" t="s">
        <v>2395</v>
      </c>
      <c r="D54" s="213" t="s">
        <v>2568</v>
      </c>
      <c r="E54" s="98" t="s">
        <v>53</v>
      </c>
      <c r="F54" s="69"/>
      <c r="G54" s="205"/>
      <c r="H54" s="206"/>
      <c r="I54" s="214"/>
      <c r="L54" s="89"/>
      <c r="M54" s="88" t="str">
        <f t="shared" si="1"/>
        <v>ricky.hayes@housegop.ct.gov</v>
      </c>
      <c r="N54" s="89"/>
      <c r="O54" s="89"/>
      <c r="P54" s="89"/>
      <c r="Q54" s="89"/>
      <c r="R54" s="89"/>
    </row>
    <row r="55">
      <c r="A55" s="14" t="s">
        <v>44</v>
      </c>
      <c r="B55" s="35">
        <v>52.0</v>
      </c>
      <c r="C55" s="204" t="s">
        <v>2569</v>
      </c>
      <c r="D55" s="204" t="s">
        <v>2229</v>
      </c>
      <c r="E55" s="51" t="s">
        <v>53</v>
      </c>
      <c r="F55" s="69"/>
      <c r="G55" s="205"/>
      <c r="H55" s="206"/>
      <c r="I55" s="214"/>
      <c r="L55" s="89"/>
      <c r="M55" s="88" t="str">
        <f t="shared" si="1"/>
        <v>kurt.vail@housegop.ct.gov</v>
      </c>
      <c r="N55" s="89"/>
      <c r="O55" s="89"/>
      <c r="P55" s="89"/>
      <c r="Q55" s="89"/>
      <c r="R55" s="89"/>
    </row>
    <row r="56">
      <c r="A56" s="14" t="s">
        <v>44</v>
      </c>
      <c r="B56" s="74">
        <v>53.0</v>
      </c>
      <c r="C56" s="213" t="s">
        <v>2570</v>
      </c>
      <c r="D56" s="194" t="s">
        <v>2571</v>
      </c>
      <c r="E56" s="100" t="s">
        <v>49</v>
      </c>
      <c r="F56" s="69"/>
      <c r="G56" s="205"/>
      <c r="H56" s="206"/>
      <c r="I56" s="214"/>
      <c r="L56" s="89"/>
      <c r="M56" s="88" t="str">
        <f t="shared" si="1"/>
        <v>pat.pheanious@cga.ct.gov</v>
      </c>
      <c r="N56" s="89"/>
      <c r="O56" s="89"/>
      <c r="P56" s="89"/>
      <c r="Q56" s="89"/>
      <c r="R56" s="89"/>
    </row>
    <row r="57">
      <c r="A57" s="14" t="s">
        <v>44</v>
      </c>
      <c r="B57" s="35">
        <v>54.0</v>
      </c>
      <c r="C57" s="204" t="s">
        <v>823</v>
      </c>
      <c r="D57" s="204" t="s">
        <v>2572</v>
      </c>
      <c r="E57" s="36" t="s">
        <v>49</v>
      </c>
      <c r="F57" s="69"/>
      <c r="G57" s="205" t="s">
        <v>2573</v>
      </c>
      <c r="H57" s="206"/>
      <c r="I57" s="208"/>
      <c r="L57" s="89"/>
      <c r="M57" s="88" t="str">
        <f t="shared" si="1"/>
        <v>gregory.haddad@cga.ct.gov</v>
      </c>
      <c r="N57" s="89"/>
      <c r="O57" s="89"/>
      <c r="P57" s="89"/>
      <c r="Q57" s="89"/>
      <c r="R57" s="89"/>
    </row>
    <row r="58">
      <c r="A58" s="14" t="s">
        <v>44</v>
      </c>
      <c r="B58" s="74">
        <v>55.0</v>
      </c>
      <c r="C58" s="204" t="s">
        <v>1651</v>
      </c>
      <c r="D58" s="204" t="s">
        <v>2574</v>
      </c>
      <c r="E58" s="51" t="s">
        <v>53</v>
      </c>
      <c r="F58" s="69"/>
      <c r="G58" s="205"/>
      <c r="H58" s="206"/>
      <c r="I58" s="214"/>
      <c r="L58" s="89"/>
      <c r="M58" s="88" t="str">
        <f t="shared" si="1"/>
        <v>robin.green@housegop.ct.gov</v>
      </c>
      <c r="N58" s="89"/>
      <c r="O58" s="89"/>
      <c r="P58" s="89"/>
      <c r="Q58" s="89"/>
      <c r="R58" s="89"/>
    </row>
    <row r="59">
      <c r="A59" s="14" t="s">
        <v>44</v>
      </c>
      <c r="B59" s="74">
        <v>56.0</v>
      </c>
      <c r="C59" s="204" t="s">
        <v>157</v>
      </c>
      <c r="D59" s="204" t="s">
        <v>2575</v>
      </c>
      <c r="E59" s="36" t="s">
        <v>49</v>
      </c>
      <c r="F59" s="69"/>
      <c r="G59" s="205"/>
      <c r="H59" s="206"/>
      <c r="I59" s="214"/>
      <c r="L59" s="89"/>
      <c r="M59" s="88" t="str">
        <f t="shared" si="1"/>
        <v>mike.winkler@cga.ct.gov</v>
      </c>
      <c r="N59" s="89"/>
      <c r="O59" s="89"/>
      <c r="P59" s="89"/>
      <c r="Q59" s="89"/>
      <c r="R59" s="89"/>
    </row>
    <row r="60">
      <c r="A60" s="14" t="s">
        <v>44</v>
      </c>
      <c r="B60" s="74">
        <v>57.0</v>
      </c>
      <c r="C60" s="204" t="s">
        <v>575</v>
      </c>
      <c r="D60" s="204" t="s">
        <v>1254</v>
      </c>
      <c r="E60" s="51" t="s">
        <v>53</v>
      </c>
      <c r="F60" s="69"/>
      <c r="G60" s="205"/>
      <c r="H60" s="206"/>
      <c r="I60" s="214"/>
      <c r="L60" s="89"/>
      <c r="M60" s="88" t="str">
        <f t="shared" si="1"/>
        <v>christopher.davis@housegop.ct.gov</v>
      </c>
      <c r="N60" s="89"/>
      <c r="O60" s="89"/>
      <c r="P60" s="89"/>
      <c r="Q60" s="89"/>
      <c r="R60" s="89"/>
    </row>
    <row r="61">
      <c r="A61" s="14" t="s">
        <v>44</v>
      </c>
      <c r="B61" s="35">
        <v>58.0</v>
      </c>
      <c r="C61" s="204" t="s">
        <v>823</v>
      </c>
      <c r="D61" s="204" t="s">
        <v>2576</v>
      </c>
      <c r="E61" s="51" t="s">
        <v>53</v>
      </c>
      <c r="F61" s="69"/>
      <c r="G61" s="205"/>
      <c r="H61" s="206"/>
      <c r="I61" s="208"/>
      <c r="L61" s="89"/>
      <c r="M61" s="88" t="str">
        <f t="shared" si="1"/>
        <v>gregory.stokes@housegop.ct.gov</v>
      </c>
      <c r="N61" s="89"/>
      <c r="O61" s="89"/>
      <c r="P61" s="89"/>
      <c r="Q61" s="89"/>
      <c r="R61" s="89"/>
    </row>
    <row r="62">
      <c r="A62" s="14" t="s">
        <v>44</v>
      </c>
      <c r="B62" s="35">
        <v>59.0</v>
      </c>
      <c r="C62" s="204" t="s">
        <v>801</v>
      </c>
      <c r="D62" s="204" t="s">
        <v>293</v>
      </c>
      <c r="E62" s="51" t="s">
        <v>53</v>
      </c>
      <c r="F62" s="69"/>
      <c r="G62" s="205"/>
      <c r="H62" s="206"/>
      <c r="I62" s="214"/>
      <c r="L62" s="89"/>
      <c r="M62" s="88" t="str">
        <f t="shared" si="1"/>
        <v>carol.hall@housegop.ct.gov</v>
      </c>
      <c r="N62" s="89"/>
      <c r="O62" s="89"/>
      <c r="P62" s="89"/>
      <c r="Q62" s="89"/>
      <c r="R62" s="89"/>
    </row>
    <row r="63">
      <c r="A63" s="14" t="s">
        <v>44</v>
      </c>
      <c r="B63" s="74">
        <v>60.0</v>
      </c>
      <c r="C63" s="213" t="s">
        <v>2443</v>
      </c>
      <c r="D63" s="213" t="s">
        <v>2577</v>
      </c>
      <c r="E63" s="100" t="s">
        <v>49</v>
      </c>
      <c r="F63" s="69"/>
      <c r="G63" s="205"/>
      <c r="H63" s="206"/>
      <c r="I63" s="214"/>
      <c r="L63" s="89"/>
      <c r="M63" s="88" t="str">
        <f t="shared" si="1"/>
        <v>jane.garibay@cga.ct.gov</v>
      </c>
      <c r="N63" s="89"/>
      <c r="O63" s="89"/>
      <c r="P63" s="89"/>
      <c r="Q63" s="89"/>
      <c r="R63" s="89"/>
    </row>
    <row r="64">
      <c r="A64" s="14" t="s">
        <v>44</v>
      </c>
      <c r="B64" s="35">
        <v>61.0</v>
      </c>
      <c r="C64" s="204" t="s">
        <v>2578</v>
      </c>
      <c r="D64" s="204" t="s">
        <v>2579</v>
      </c>
      <c r="E64" s="51" t="s">
        <v>53</v>
      </c>
      <c r="F64" s="69"/>
      <c r="G64" s="205"/>
      <c r="H64" s="206"/>
      <c r="I64" s="214"/>
      <c r="L64" s="89"/>
      <c r="M64" s="88" t="str">
        <f t="shared" si="1"/>
        <v>tami.zawistowski@housegop.ct.gov</v>
      </c>
      <c r="N64" s="89"/>
      <c r="O64" s="89"/>
      <c r="P64" s="89"/>
      <c r="Q64" s="89"/>
      <c r="R64" s="89"/>
    </row>
    <row r="65">
      <c r="A65" s="14" t="s">
        <v>44</v>
      </c>
      <c r="B65" s="35">
        <v>62.0</v>
      </c>
      <c r="C65" s="204" t="s">
        <v>1058</v>
      </c>
      <c r="D65" s="204" t="s">
        <v>2580</v>
      </c>
      <c r="E65" s="51" t="s">
        <v>53</v>
      </c>
      <c r="F65" s="69"/>
      <c r="G65" s="205"/>
      <c r="H65" s="206"/>
      <c r="I65" s="214"/>
      <c r="L65" s="89"/>
      <c r="M65" s="88" t="str">
        <f t="shared" si="1"/>
        <v>william.simanski@housegop.ct.gov</v>
      </c>
      <c r="N65" s="89"/>
      <c r="O65" s="89"/>
      <c r="P65" s="89"/>
      <c r="Q65" s="89"/>
      <c r="R65" s="89"/>
    </row>
    <row r="66">
      <c r="A66" s="14" t="s">
        <v>44</v>
      </c>
      <c r="B66" s="35">
        <v>63.0</v>
      </c>
      <c r="C66" s="204" t="s">
        <v>1013</v>
      </c>
      <c r="D66" s="204" t="s">
        <v>2581</v>
      </c>
      <c r="E66" s="51" t="s">
        <v>53</v>
      </c>
      <c r="F66" s="69"/>
      <c r="G66" s="205"/>
      <c r="H66" s="206"/>
      <c r="I66" s="214"/>
      <c r="L66" s="89"/>
      <c r="M66" s="88" t="str">
        <f t="shared" si="1"/>
        <v>jay.case@housegop.ct.gov</v>
      </c>
      <c r="N66" s="89"/>
      <c r="O66" s="89"/>
      <c r="P66" s="89"/>
      <c r="Q66" s="89"/>
      <c r="R66" s="89"/>
    </row>
    <row r="67">
      <c r="A67" s="14" t="s">
        <v>44</v>
      </c>
      <c r="B67" s="35">
        <v>64.0</v>
      </c>
      <c r="C67" s="204" t="s">
        <v>1331</v>
      </c>
      <c r="D67" s="219" t="s">
        <v>2582</v>
      </c>
      <c r="E67" s="51" t="s">
        <v>53</v>
      </c>
      <c r="F67" s="69"/>
      <c r="G67" s="205"/>
      <c r="H67" s="206"/>
      <c r="I67" s="214"/>
      <c r="L67" s="89"/>
      <c r="M67" s="88" t="str">
        <f t="shared" si="1"/>
        <v>brian.ohler@housegop.ct.gov</v>
      </c>
      <c r="N67" s="89"/>
      <c r="O67" s="89"/>
      <c r="P67" s="89"/>
      <c r="Q67" s="89"/>
      <c r="R67" s="89"/>
    </row>
    <row r="68">
      <c r="A68" s="14" t="s">
        <v>44</v>
      </c>
      <c r="B68" s="35">
        <v>65.0</v>
      </c>
      <c r="C68" s="204" t="s">
        <v>22</v>
      </c>
      <c r="D68" s="204" t="s">
        <v>731</v>
      </c>
      <c r="E68" s="36" t="s">
        <v>49</v>
      </c>
      <c r="F68" s="69"/>
      <c r="G68" s="205"/>
      <c r="H68" s="206"/>
      <c r="I68" s="214"/>
      <c r="L68" s="89"/>
      <c r="M68" s="88" t="str">
        <f t="shared" si="1"/>
        <v>michelle.cook@cga.ct.gov</v>
      </c>
      <c r="N68" s="89"/>
      <c r="O68" s="89"/>
      <c r="P68" s="89"/>
      <c r="Q68" s="89"/>
      <c r="R68" s="89"/>
    </row>
    <row r="69">
      <c r="A69" s="14" t="s">
        <v>44</v>
      </c>
      <c r="B69" s="74">
        <v>66.0</v>
      </c>
      <c r="C69" s="204" t="s">
        <v>108</v>
      </c>
      <c r="D69" s="204" t="s">
        <v>62</v>
      </c>
      <c r="E69" s="51" t="s">
        <v>53</v>
      </c>
      <c r="F69" s="69"/>
      <c r="G69" s="205"/>
      <c r="H69" s="206"/>
      <c r="I69" s="214"/>
      <c r="L69" s="89"/>
      <c r="M69" s="88" t="str">
        <f t="shared" si="1"/>
        <v>david.wilson@housegop.ct.gov</v>
      </c>
      <c r="N69" s="89"/>
      <c r="O69" s="89"/>
      <c r="P69" s="89"/>
      <c r="Q69" s="89"/>
      <c r="R69" s="89"/>
    </row>
    <row r="70">
      <c r="A70" s="14" t="s">
        <v>44</v>
      </c>
      <c r="B70" s="74">
        <v>67.0</v>
      </c>
      <c r="C70" s="204" t="s">
        <v>325</v>
      </c>
      <c r="D70" s="204" t="s">
        <v>2586</v>
      </c>
      <c r="E70" s="51" t="s">
        <v>53</v>
      </c>
      <c r="F70" s="69"/>
      <c r="G70" s="205"/>
      <c r="H70" s="206"/>
      <c r="I70" s="214"/>
      <c r="L70" s="89"/>
      <c r="M70" s="88" t="str">
        <f t="shared" si="1"/>
        <v>bill.buckbee@housegop.ct.gov</v>
      </c>
      <c r="N70" s="89"/>
      <c r="O70" s="89"/>
      <c r="P70" s="89"/>
      <c r="Q70" s="89"/>
      <c r="R70" s="89"/>
    </row>
    <row r="71">
      <c r="A71" s="14" t="s">
        <v>44</v>
      </c>
      <c r="B71" s="74">
        <v>68.0</v>
      </c>
      <c r="C71" s="204" t="s">
        <v>2527</v>
      </c>
      <c r="D71" s="204" t="s">
        <v>2587</v>
      </c>
      <c r="E71" s="51" t="s">
        <v>53</v>
      </c>
      <c r="F71" s="69"/>
      <c r="G71" s="205"/>
      <c r="H71" s="206"/>
      <c r="I71" s="214"/>
      <c r="L71" s="89"/>
      <c r="M71" s="88" t="str">
        <f t="shared" si="1"/>
        <v>joseph.polletta@housegop.ct.gov</v>
      </c>
      <c r="N71" s="89"/>
      <c r="O71" s="89"/>
      <c r="P71" s="89"/>
      <c r="Q71" s="89"/>
      <c r="R71" s="89"/>
    </row>
    <row r="72">
      <c r="A72" s="14" t="s">
        <v>44</v>
      </c>
      <c r="B72" s="74">
        <v>69.0</v>
      </c>
      <c r="C72" s="204" t="s">
        <v>802</v>
      </c>
      <c r="D72" s="204" t="s">
        <v>2591</v>
      </c>
      <c r="E72" s="51" t="s">
        <v>53</v>
      </c>
      <c r="F72" s="69"/>
      <c r="G72" s="205"/>
      <c r="H72" s="206"/>
      <c r="I72" s="214"/>
      <c r="L72" s="89"/>
      <c r="M72" s="224" t="s">
        <v>2592</v>
      </c>
      <c r="N72" s="89"/>
      <c r="O72" s="89"/>
      <c r="P72" s="89"/>
      <c r="Q72" s="89"/>
      <c r="R72" s="89"/>
    </row>
    <row r="73">
      <c r="A73" s="14" t="s">
        <v>44</v>
      </c>
      <c r="B73" s="74">
        <v>70.0</v>
      </c>
      <c r="C73" s="204" t="s">
        <v>2595</v>
      </c>
      <c r="D73" s="204" t="s">
        <v>2602</v>
      </c>
      <c r="E73" s="51" t="s">
        <v>53</v>
      </c>
      <c r="F73" s="69"/>
      <c r="G73" s="205"/>
      <c r="H73" s="206"/>
      <c r="I73" s="208"/>
      <c r="L73" s="89"/>
      <c r="M73" s="88" t="str">
        <f t="shared" ref="M73:M154" si="2">Concatenate(Lower(C73),".",Lower(D73),If(E73="Dem","@cga.ct.gov","@housegop.ct.gov"))</f>
        <v>rosa.rebimbas@housegop.ct.gov</v>
      </c>
      <c r="N73" s="89"/>
      <c r="O73" s="89"/>
      <c r="P73" s="89"/>
      <c r="Q73" s="89"/>
      <c r="R73" s="89"/>
    </row>
    <row r="74">
      <c r="A74" s="14" t="s">
        <v>44</v>
      </c>
      <c r="B74" s="74">
        <v>71.0</v>
      </c>
      <c r="C74" s="204" t="s">
        <v>496</v>
      </c>
      <c r="D74" s="204" t="s">
        <v>2607</v>
      </c>
      <c r="E74" s="51" t="s">
        <v>53</v>
      </c>
      <c r="F74" s="69"/>
      <c r="G74" s="205"/>
      <c r="H74" s="206"/>
      <c r="I74" s="214"/>
      <c r="L74" s="89"/>
      <c r="M74" s="88" t="str">
        <f t="shared" si="2"/>
        <v>anthony.d'amelio@housegop.ct.gov</v>
      </c>
      <c r="N74" s="89"/>
      <c r="O74" s="89"/>
      <c r="P74" s="89"/>
      <c r="Q74" s="89"/>
      <c r="R74" s="89"/>
    </row>
    <row r="75">
      <c r="A75" s="14" t="s">
        <v>44</v>
      </c>
      <c r="B75" s="74">
        <v>72.0</v>
      </c>
      <c r="C75" s="204" t="s">
        <v>839</v>
      </c>
      <c r="D75" s="204" t="s">
        <v>1102</v>
      </c>
      <c r="E75" s="36" t="s">
        <v>49</v>
      </c>
      <c r="F75" s="69"/>
      <c r="G75" s="205"/>
      <c r="H75" s="206"/>
      <c r="I75" s="214"/>
      <c r="L75" s="89"/>
      <c r="M75" s="88" t="str">
        <f t="shared" si="2"/>
        <v>larry.butler@cga.ct.gov</v>
      </c>
      <c r="N75" s="89"/>
      <c r="O75" s="89"/>
      <c r="P75" s="89"/>
      <c r="Q75" s="89"/>
      <c r="R75" s="89"/>
    </row>
    <row r="76">
      <c r="A76" s="14" t="s">
        <v>44</v>
      </c>
      <c r="B76" s="74">
        <v>73.0</v>
      </c>
      <c r="C76" s="204" t="s">
        <v>2512</v>
      </c>
      <c r="D76" s="204" t="s">
        <v>2608</v>
      </c>
      <c r="E76" s="36" t="s">
        <v>49</v>
      </c>
      <c r="F76" s="69"/>
      <c r="G76" s="205"/>
      <c r="H76" s="206"/>
      <c r="I76" s="214"/>
      <c r="L76" s="89"/>
      <c r="M76" s="88" t="str">
        <f t="shared" si="2"/>
        <v>jeffrey.berger@cga.ct.gov</v>
      </c>
      <c r="N76" s="89"/>
      <c r="O76" s="89"/>
      <c r="P76" s="89"/>
      <c r="Q76" s="89"/>
      <c r="R76" s="89"/>
    </row>
    <row r="77">
      <c r="A77" s="14" t="s">
        <v>44</v>
      </c>
      <c r="B77" s="74">
        <v>74.0</v>
      </c>
      <c r="C77" s="204" t="s">
        <v>2254</v>
      </c>
      <c r="D77" s="204" t="s">
        <v>2610</v>
      </c>
      <c r="E77" s="51" t="s">
        <v>53</v>
      </c>
      <c r="F77" s="69"/>
      <c r="G77" s="205"/>
      <c r="H77" s="206"/>
      <c r="I77" s="214"/>
      <c r="L77" s="89"/>
      <c r="M77" s="88" t="str">
        <f t="shared" si="2"/>
        <v>stephanie.cummings@housegop.ct.gov</v>
      </c>
      <c r="N77" s="89"/>
      <c r="O77" s="89"/>
      <c r="P77" s="89"/>
      <c r="Q77" s="89"/>
      <c r="R77" s="89"/>
    </row>
    <row r="78">
      <c r="A78" s="14" t="s">
        <v>44</v>
      </c>
      <c r="B78" s="74">
        <v>75.0</v>
      </c>
      <c r="C78" s="204" t="s">
        <v>2612</v>
      </c>
      <c r="D78" s="204" t="s">
        <v>1692</v>
      </c>
      <c r="E78" s="36" t="s">
        <v>49</v>
      </c>
      <c r="F78" s="69"/>
      <c r="G78" s="205"/>
      <c r="H78" s="206"/>
      <c r="I78" s="214"/>
      <c r="L78" s="89"/>
      <c r="M78" s="88" t="str">
        <f t="shared" si="2"/>
        <v>geraldo.reyes@cga.ct.gov</v>
      </c>
      <c r="N78" s="89"/>
      <c r="O78" s="89"/>
      <c r="P78" s="89"/>
      <c r="Q78" s="89"/>
      <c r="R78" s="89"/>
    </row>
    <row r="79">
      <c r="A79" s="14" t="s">
        <v>44</v>
      </c>
      <c r="B79" s="74">
        <v>76.0</v>
      </c>
      <c r="C79" s="204" t="s">
        <v>278</v>
      </c>
      <c r="D79" s="204" t="s">
        <v>2617</v>
      </c>
      <c r="E79" s="51" t="s">
        <v>53</v>
      </c>
      <c r="F79" s="69"/>
      <c r="G79" s="205"/>
      <c r="H79" s="206"/>
      <c r="I79" s="214"/>
      <c r="L79" s="89"/>
      <c r="M79" s="88" t="str">
        <f t="shared" si="2"/>
        <v>john.piscopo@housegop.ct.gov</v>
      </c>
      <c r="N79" s="89"/>
      <c r="O79" s="89"/>
      <c r="P79" s="89"/>
      <c r="Q79" s="89"/>
      <c r="R79" s="89"/>
    </row>
    <row r="80">
      <c r="A80" s="14" t="s">
        <v>44</v>
      </c>
      <c r="B80" s="74">
        <v>77.0</v>
      </c>
      <c r="C80" s="204" t="s">
        <v>2618</v>
      </c>
      <c r="D80" s="204" t="s">
        <v>2619</v>
      </c>
      <c r="E80" s="51" t="s">
        <v>53</v>
      </c>
      <c r="F80" s="69"/>
      <c r="G80" s="205"/>
      <c r="H80" s="206"/>
      <c r="I80" s="214"/>
      <c r="L80" s="89"/>
      <c r="M80" s="88" t="str">
        <f t="shared" si="2"/>
        <v>cara.pavalock-d'amato@housegop.ct.gov</v>
      </c>
      <c r="N80" s="89"/>
      <c r="O80" s="89"/>
      <c r="P80" s="89"/>
      <c r="Q80" s="89"/>
      <c r="R80" s="89"/>
    </row>
    <row r="81">
      <c r="A81" s="14" t="s">
        <v>44</v>
      </c>
      <c r="B81" s="74">
        <v>78.0</v>
      </c>
      <c r="C81" s="204" t="s">
        <v>2620</v>
      </c>
      <c r="D81" s="204" t="s">
        <v>2621</v>
      </c>
      <c r="E81" s="51" t="s">
        <v>53</v>
      </c>
      <c r="F81" s="69"/>
      <c r="G81" s="205"/>
      <c r="H81" s="206"/>
      <c r="I81" s="214"/>
      <c r="L81" s="89"/>
      <c r="M81" s="88" t="str">
        <f t="shared" si="2"/>
        <v>whit.betts@housegop.ct.gov</v>
      </c>
      <c r="N81" s="89"/>
      <c r="O81" s="89"/>
      <c r="P81" s="89"/>
      <c r="Q81" s="89"/>
      <c r="R81" s="89"/>
    </row>
    <row r="82">
      <c r="A82" s="14" t="s">
        <v>44</v>
      </c>
      <c r="B82" s="74">
        <v>79.0</v>
      </c>
      <c r="C82" s="204" t="s">
        <v>173</v>
      </c>
      <c r="D82" s="204" t="s">
        <v>2622</v>
      </c>
      <c r="E82" s="36" t="s">
        <v>49</v>
      </c>
      <c r="F82" s="69"/>
      <c r="G82" s="205"/>
      <c r="H82" s="206"/>
      <c r="I82" s="214"/>
      <c r="L82" s="89"/>
      <c r="M82" s="88" t="str">
        <f t="shared" si="2"/>
        <v>chris.ziogas@cga.ct.gov</v>
      </c>
      <c r="N82" s="89"/>
      <c r="O82" s="89"/>
      <c r="P82" s="89"/>
      <c r="Q82" s="89"/>
      <c r="R82" s="89"/>
    </row>
    <row r="83">
      <c r="A83" s="14" t="s">
        <v>44</v>
      </c>
      <c r="B83" s="74">
        <v>80.0</v>
      </c>
      <c r="C83" s="213" t="s">
        <v>2623</v>
      </c>
      <c r="D83" s="213" t="s">
        <v>2624</v>
      </c>
      <c r="E83" s="51" t="s">
        <v>53</v>
      </c>
      <c r="F83" s="69"/>
      <c r="G83" s="205"/>
      <c r="H83" s="206"/>
      <c r="I83" s="214"/>
      <c r="L83" s="89"/>
      <c r="M83" s="88" t="str">
        <f t="shared" si="2"/>
        <v>gale.mastrofrancesco@housegop.ct.gov</v>
      </c>
      <c r="N83" s="89"/>
      <c r="O83" s="89"/>
      <c r="P83" s="89"/>
      <c r="Q83" s="89"/>
      <c r="R83" s="89"/>
    </row>
    <row r="84">
      <c r="A84" s="14" t="s">
        <v>44</v>
      </c>
      <c r="B84" s="74">
        <v>81.0</v>
      </c>
      <c r="C84" s="204" t="s">
        <v>278</v>
      </c>
      <c r="D84" s="204" t="s">
        <v>2626</v>
      </c>
      <c r="E84" s="51" t="s">
        <v>53</v>
      </c>
      <c r="F84" s="69"/>
      <c r="G84" s="205"/>
      <c r="H84" s="206"/>
      <c r="I84" s="214"/>
      <c r="L84" s="89"/>
      <c r="M84" s="88" t="str">
        <f t="shared" si="2"/>
        <v>john.fusco@housegop.ct.gov</v>
      </c>
      <c r="N84" s="89"/>
      <c r="O84" s="89"/>
      <c r="P84" s="89"/>
      <c r="Q84" s="89"/>
      <c r="R84" s="89"/>
    </row>
    <row r="85">
      <c r="A85" s="14" t="s">
        <v>44</v>
      </c>
      <c r="B85" s="74">
        <v>82.0</v>
      </c>
      <c r="C85" s="204" t="s">
        <v>2627</v>
      </c>
      <c r="D85" s="219" t="s">
        <v>2628</v>
      </c>
      <c r="E85" s="36" t="s">
        <v>49</v>
      </c>
      <c r="F85" s="69"/>
      <c r="G85" s="205"/>
      <c r="H85" s="206"/>
      <c r="I85" s="214"/>
      <c r="L85" s="89"/>
      <c r="M85" s="88" t="str">
        <f t="shared" si="2"/>
        <v>emil.altobello@cga.ct.gov</v>
      </c>
      <c r="N85" s="89"/>
      <c r="O85" s="89"/>
      <c r="P85" s="89"/>
      <c r="Q85" s="89"/>
      <c r="R85" s="89"/>
    </row>
    <row r="86">
      <c r="A86" s="14" t="s">
        <v>44</v>
      </c>
      <c r="B86" s="74">
        <v>83.0</v>
      </c>
      <c r="C86" s="204" t="s">
        <v>2629</v>
      </c>
      <c r="D86" s="204" t="s">
        <v>2630</v>
      </c>
      <c r="E86" s="36" t="s">
        <v>49</v>
      </c>
      <c r="F86" s="69"/>
      <c r="G86" s="205" t="s">
        <v>2631</v>
      </c>
      <c r="H86" s="206"/>
      <c r="I86" s="214"/>
      <c r="L86" s="89"/>
      <c r="M86" s="88" t="str">
        <f t="shared" si="2"/>
        <v>catherine.abercrombie@cga.ct.gov</v>
      </c>
      <c r="N86" s="89"/>
      <c r="O86" s="89"/>
      <c r="P86" s="89"/>
      <c r="Q86" s="89"/>
      <c r="R86" s="89"/>
    </row>
    <row r="87">
      <c r="A87" s="14" t="s">
        <v>44</v>
      </c>
      <c r="B87" s="74">
        <v>84.0</v>
      </c>
      <c r="C87" s="204" t="s">
        <v>2632</v>
      </c>
      <c r="D87" s="204" t="s">
        <v>1752</v>
      </c>
      <c r="E87" s="36" t="s">
        <v>49</v>
      </c>
      <c r="F87" s="69"/>
      <c r="G87" s="205" t="s">
        <v>2633</v>
      </c>
      <c r="H87" s="206"/>
      <c r="I87" s="208"/>
      <c r="L87" s="89"/>
      <c r="M87" s="88" t="str">
        <f t="shared" si="2"/>
        <v>hilda.santiago@cga.ct.gov</v>
      </c>
      <c r="N87" s="89"/>
      <c r="O87" s="89"/>
      <c r="P87" s="89"/>
      <c r="Q87" s="89"/>
      <c r="R87" s="89"/>
    </row>
    <row r="88">
      <c r="A88" s="14" t="s">
        <v>44</v>
      </c>
      <c r="B88" s="74">
        <v>85.0</v>
      </c>
      <c r="C88" s="204" t="s">
        <v>514</v>
      </c>
      <c r="D88" s="204" t="s">
        <v>2634</v>
      </c>
      <c r="E88" s="36" t="s">
        <v>49</v>
      </c>
      <c r="F88" s="69"/>
      <c r="G88" s="205"/>
      <c r="H88" s="206"/>
      <c r="I88" s="214"/>
      <c r="L88" s="89"/>
      <c r="M88" s="88" t="str">
        <f t="shared" si="2"/>
        <v>mary.mushinsky@cga.ct.gov</v>
      </c>
      <c r="N88" s="89"/>
      <c r="O88" s="89"/>
      <c r="P88" s="89"/>
      <c r="Q88" s="89"/>
      <c r="R88" s="89"/>
    </row>
    <row r="89">
      <c r="A89" s="14" t="s">
        <v>44</v>
      </c>
      <c r="B89" s="74">
        <v>86.0</v>
      </c>
      <c r="C89" s="204" t="s">
        <v>2635</v>
      </c>
      <c r="D89" s="204" t="s">
        <v>2636</v>
      </c>
      <c r="E89" s="51" t="s">
        <v>53</v>
      </c>
      <c r="F89" s="69"/>
      <c r="G89" s="205"/>
      <c r="H89" s="206"/>
      <c r="I89" s="214"/>
      <c r="L89" s="89"/>
      <c r="M89" s="88" t="str">
        <f t="shared" si="2"/>
        <v>vincent.candelora@housegop.ct.gov</v>
      </c>
      <c r="N89" s="89"/>
      <c r="O89" s="89"/>
      <c r="P89" s="89"/>
      <c r="Q89" s="89"/>
      <c r="R89" s="89"/>
    </row>
    <row r="90">
      <c r="A90" s="14" t="s">
        <v>44</v>
      </c>
      <c r="B90" s="35">
        <v>87.0</v>
      </c>
      <c r="C90" s="204" t="s">
        <v>76</v>
      </c>
      <c r="D90" s="204" t="s">
        <v>2640</v>
      </c>
      <c r="E90" s="51" t="s">
        <v>53</v>
      </c>
      <c r="F90" s="69"/>
      <c r="G90" s="205"/>
      <c r="H90" s="206"/>
      <c r="I90" s="214"/>
      <c r="L90" s="89"/>
      <c r="M90" s="88" t="str">
        <f t="shared" si="2"/>
        <v>dave.yaccarino@housegop.ct.gov</v>
      </c>
      <c r="N90" s="89"/>
      <c r="O90" s="89"/>
      <c r="P90" s="89"/>
      <c r="Q90" s="89"/>
      <c r="R90" s="89"/>
    </row>
    <row r="91">
      <c r="A91" s="14" t="s">
        <v>44</v>
      </c>
      <c r="B91" s="74">
        <v>88.0</v>
      </c>
      <c r="C91" s="204" t="s">
        <v>180</v>
      </c>
      <c r="D91" s="204" t="s">
        <v>1098</v>
      </c>
      <c r="E91" s="36" t="s">
        <v>49</v>
      </c>
      <c r="F91" s="69"/>
      <c r="G91" s="205"/>
      <c r="H91" s="206"/>
      <c r="I91" s="214"/>
      <c r="L91" s="89"/>
      <c r="M91" s="88" t="str">
        <f t="shared" si="2"/>
        <v>josh.elliot@cga.ct.gov</v>
      </c>
      <c r="N91" s="89"/>
      <c r="O91" s="89"/>
      <c r="P91" s="89"/>
      <c r="Q91" s="89"/>
      <c r="R91" s="89"/>
    </row>
    <row r="92">
      <c r="A92" s="14" t="s">
        <v>44</v>
      </c>
      <c r="B92" s="74">
        <v>89.0</v>
      </c>
      <c r="C92" s="204" t="s">
        <v>2643</v>
      </c>
      <c r="D92" s="204" t="s">
        <v>2646</v>
      </c>
      <c r="E92" s="51" t="s">
        <v>53</v>
      </c>
      <c r="F92" s="69"/>
      <c r="G92" s="205"/>
      <c r="H92" s="206"/>
      <c r="I92" s="214"/>
      <c r="L92" s="89"/>
      <c r="M92" s="88" t="str">
        <f t="shared" si="2"/>
        <v>lezlye.zupkus@housegop.ct.gov</v>
      </c>
      <c r="N92" s="89"/>
      <c r="O92" s="89"/>
      <c r="P92" s="89"/>
      <c r="Q92" s="89"/>
      <c r="R92" s="89"/>
    </row>
    <row r="93">
      <c r="A93" s="14" t="s">
        <v>44</v>
      </c>
      <c r="B93" s="74">
        <v>90.0</v>
      </c>
      <c r="C93" s="204" t="s">
        <v>373</v>
      </c>
      <c r="D93" s="204" t="s">
        <v>2648</v>
      </c>
      <c r="E93" s="51" t="s">
        <v>53</v>
      </c>
      <c r="F93" s="69"/>
      <c r="G93" s="205"/>
      <c r="H93" s="206"/>
      <c r="I93" s="214"/>
      <c r="L93" s="89"/>
      <c r="M93" s="88" t="str">
        <f t="shared" si="2"/>
        <v>craig.fishbein@housegop.ct.gov</v>
      </c>
      <c r="N93" s="89"/>
      <c r="O93" s="89"/>
      <c r="P93" s="89"/>
      <c r="Q93" s="89"/>
      <c r="R93" s="89"/>
    </row>
    <row r="94">
      <c r="A94" s="14" t="s">
        <v>44</v>
      </c>
      <c r="B94" s="74">
        <v>91.0</v>
      </c>
      <c r="C94" s="204" t="s">
        <v>157</v>
      </c>
      <c r="D94" s="204" t="s">
        <v>2649</v>
      </c>
      <c r="E94" s="36" t="s">
        <v>49</v>
      </c>
      <c r="F94" s="69"/>
      <c r="G94" s="205" t="s">
        <v>2650</v>
      </c>
      <c r="H94" s="206"/>
      <c r="I94" s="214"/>
      <c r="L94" s="89"/>
      <c r="M94" s="88" t="str">
        <f t="shared" si="2"/>
        <v>mike.d'agostino@cga.ct.gov</v>
      </c>
      <c r="N94" s="89"/>
      <c r="O94" s="89"/>
      <c r="P94" s="89"/>
      <c r="Q94" s="89"/>
      <c r="R94" s="89"/>
    </row>
    <row r="95">
      <c r="A95" s="14" t="s">
        <v>44</v>
      </c>
      <c r="B95" s="74">
        <v>92.0</v>
      </c>
      <c r="C95" s="204" t="s">
        <v>2249</v>
      </c>
      <c r="D95" s="204" t="s">
        <v>2136</v>
      </c>
      <c r="E95" s="36" t="s">
        <v>49</v>
      </c>
      <c r="F95" s="69"/>
      <c r="G95" s="205"/>
      <c r="H95" s="206"/>
      <c r="I95" s="214"/>
      <c r="L95" s="89"/>
      <c r="M95" s="88" t="str">
        <f t="shared" si="2"/>
        <v>patricia.dillon@cga.ct.gov</v>
      </c>
      <c r="N95" s="89"/>
      <c r="O95" s="89"/>
      <c r="P95" s="89"/>
      <c r="Q95" s="89"/>
      <c r="R95" s="89"/>
    </row>
    <row r="96">
      <c r="A96" s="14" t="s">
        <v>44</v>
      </c>
      <c r="B96" s="74">
        <v>93.0</v>
      </c>
      <c r="C96" s="204" t="s">
        <v>2262</v>
      </c>
      <c r="D96" s="204" t="s">
        <v>1275</v>
      </c>
      <c r="E96" s="36" t="s">
        <v>49</v>
      </c>
      <c r="F96" s="69"/>
      <c r="G96" s="205" t="s">
        <v>2651</v>
      </c>
      <c r="H96" s="206"/>
      <c r="I96" s="208"/>
      <c r="L96" s="89"/>
      <c r="M96" s="88" t="str">
        <f t="shared" si="2"/>
        <v>toni.walker@cga.ct.gov</v>
      </c>
      <c r="N96" s="89"/>
      <c r="O96" s="89"/>
      <c r="P96" s="89"/>
      <c r="Q96" s="89"/>
      <c r="R96" s="89"/>
    </row>
    <row r="97">
      <c r="A97" s="14" t="s">
        <v>44</v>
      </c>
      <c r="B97" s="74">
        <v>94.0</v>
      </c>
      <c r="C97" s="204" t="s">
        <v>2652</v>
      </c>
      <c r="D97" s="204" t="s">
        <v>2653</v>
      </c>
      <c r="E97" s="36" t="s">
        <v>49</v>
      </c>
      <c r="F97" s="69"/>
      <c r="G97" s="205" t="s">
        <v>2654</v>
      </c>
      <c r="H97" s="206"/>
      <c r="I97" s="214"/>
      <c r="L97" s="89"/>
      <c r="M97" s="88" t="str">
        <f t="shared" si="2"/>
        <v>robyn.porter@cga.ct.gov</v>
      </c>
      <c r="N97" s="89"/>
      <c r="O97" s="89"/>
      <c r="P97" s="89"/>
      <c r="Q97" s="89"/>
      <c r="R97" s="89"/>
    </row>
    <row r="98">
      <c r="A98" s="14" t="s">
        <v>44</v>
      </c>
      <c r="B98" s="74">
        <v>95.0</v>
      </c>
      <c r="C98" s="204" t="s">
        <v>1327</v>
      </c>
      <c r="D98" s="204" t="s">
        <v>2656</v>
      </c>
      <c r="E98" s="36" t="s">
        <v>49</v>
      </c>
      <c r="F98" s="69"/>
      <c r="G98" s="205"/>
      <c r="H98" s="206"/>
      <c r="I98" s="214"/>
      <c r="L98" s="89"/>
      <c r="M98" s="88" t="str">
        <f t="shared" si="2"/>
        <v>juan.candelaria@cga.ct.gov</v>
      </c>
      <c r="N98" s="89"/>
      <c r="O98" s="89"/>
      <c r="P98" s="89"/>
      <c r="Q98" s="89"/>
      <c r="R98" s="89"/>
    </row>
    <row r="99">
      <c r="A99" s="14" t="s">
        <v>44</v>
      </c>
      <c r="B99" s="74">
        <v>96.0</v>
      </c>
      <c r="C99" s="204" t="s">
        <v>2659</v>
      </c>
      <c r="D99" s="204" t="s">
        <v>2660</v>
      </c>
      <c r="E99" s="36" t="s">
        <v>49</v>
      </c>
      <c r="F99" s="69"/>
      <c r="G99" s="205" t="s">
        <v>2661</v>
      </c>
      <c r="H99" s="206"/>
      <c r="I99" s="214"/>
      <c r="L99" s="89"/>
      <c r="M99" s="88" t="str">
        <f t="shared" si="2"/>
        <v>roland.lemar@cga.ct.gov</v>
      </c>
      <c r="N99" s="89"/>
      <c r="O99" s="89"/>
      <c r="P99" s="89"/>
      <c r="Q99" s="89"/>
      <c r="R99" s="89"/>
    </row>
    <row r="100">
      <c r="A100" s="14" t="s">
        <v>44</v>
      </c>
      <c r="B100" s="74">
        <v>97.0</v>
      </c>
      <c r="C100" s="204" t="s">
        <v>1134</v>
      </c>
      <c r="D100" s="204" t="s">
        <v>2662</v>
      </c>
      <c r="E100" s="36" t="s">
        <v>49</v>
      </c>
      <c r="F100" s="69"/>
      <c r="G100" s="205"/>
      <c r="H100" s="206"/>
      <c r="I100" s="214"/>
      <c r="L100" s="89"/>
      <c r="M100" s="88" t="str">
        <f t="shared" si="2"/>
        <v>robert.megna@cga.ct.gov</v>
      </c>
      <c r="N100" s="89"/>
      <c r="O100" s="89"/>
      <c r="P100" s="89"/>
      <c r="Q100" s="89"/>
      <c r="R100" s="89"/>
    </row>
    <row r="101">
      <c r="A101" s="14" t="s">
        <v>44</v>
      </c>
      <c r="B101" s="74">
        <v>98.0</v>
      </c>
      <c r="C101" s="204" t="s">
        <v>1276</v>
      </c>
      <c r="D101" s="204" t="s">
        <v>2663</v>
      </c>
      <c r="E101" s="36" t="s">
        <v>49</v>
      </c>
      <c r="F101" s="69"/>
      <c r="G101" s="205" t="s">
        <v>2664</v>
      </c>
      <c r="H101" s="206"/>
      <c r="I101" s="208"/>
      <c r="L101" s="89"/>
      <c r="M101" s="88" t="str">
        <f t="shared" si="2"/>
        <v>sean.scanlon@cga.ct.gov</v>
      </c>
      <c r="N101" s="89"/>
      <c r="O101" s="89"/>
      <c r="P101" s="89"/>
      <c r="Q101" s="89"/>
      <c r="R101" s="89"/>
    </row>
    <row r="102">
      <c r="A102" s="14" t="s">
        <v>44</v>
      </c>
      <c r="B102" s="74">
        <v>99.0</v>
      </c>
      <c r="C102" s="204" t="s">
        <v>930</v>
      </c>
      <c r="D102" s="204" t="s">
        <v>2668</v>
      </c>
      <c r="E102" s="36" t="s">
        <v>49</v>
      </c>
      <c r="F102" s="69"/>
      <c r="G102" s="205"/>
      <c r="H102" s="206"/>
      <c r="I102" s="214"/>
      <c r="L102" s="89"/>
      <c r="M102" s="88" t="str">
        <f t="shared" si="2"/>
        <v>james.albis@cga.ct.gov</v>
      </c>
      <c r="N102" s="89"/>
      <c r="O102" s="89"/>
      <c r="P102" s="89"/>
      <c r="Q102" s="89"/>
      <c r="R102" s="89"/>
    </row>
    <row r="103">
      <c r="A103" s="14" t="s">
        <v>44</v>
      </c>
      <c r="B103" s="74">
        <v>100.0</v>
      </c>
      <c r="C103" s="204" t="s">
        <v>163</v>
      </c>
      <c r="D103" s="204" t="s">
        <v>2676</v>
      </c>
      <c r="E103" s="36" t="s">
        <v>49</v>
      </c>
      <c r="F103" s="69"/>
      <c r="G103" s="205"/>
      <c r="H103" s="206"/>
      <c r="I103" s="214"/>
      <c r="L103" s="89"/>
      <c r="M103" s="88" t="str">
        <f t="shared" si="2"/>
        <v>matt.lesser@cga.ct.gov</v>
      </c>
      <c r="N103" s="89"/>
      <c r="O103" s="89"/>
      <c r="P103" s="89"/>
      <c r="Q103" s="89"/>
      <c r="R103" s="89"/>
    </row>
    <row r="104">
      <c r="A104" s="14" t="s">
        <v>44</v>
      </c>
      <c r="B104" s="74">
        <v>101.0</v>
      </c>
      <c r="C104" s="204" t="s">
        <v>2677</v>
      </c>
      <c r="D104" s="204" t="s">
        <v>2678</v>
      </c>
      <c r="E104" s="51" t="s">
        <v>53</v>
      </c>
      <c r="F104" s="69"/>
      <c r="G104" s="205"/>
      <c r="H104" s="206"/>
      <c r="I104" s="214"/>
      <c r="L104" s="89"/>
      <c r="M104" s="88" t="str">
        <f t="shared" si="2"/>
        <v>noreen.kokoruda@housegop.ct.gov</v>
      </c>
      <c r="N104" s="89"/>
      <c r="O104" s="89"/>
      <c r="P104" s="89"/>
      <c r="Q104" s="89"/>
      <c r="R104" s="89"/>
    </row>
    <row r="105">
      <c r="A105" s="14" t="s">
        <v>44</v>
      </c>
      <c r="B105" s="74">
        <v>102.0</v>
      </c>
      <c r="C105" s="213" t="s">
        <v>1651</v>
      </c>
      <c r="D105" s="213" t="s">
        <v>2679</v>
      </c>
      <c r="E105" s="36" t="s">
        <v>49</v>
      </c>
      <c r="F105" s="69"/>
      <c r="G105" s="205"/>
      <c r="H105" s="206"/>
      <c r="I105" s="214"/>
      <c r="L105" s="89"/>
      <c r="M105" s="88" t="str">
        <f t="shared" si="2"/>
        <v>robin.comey@cga.ct.gov</v>
      </c>
      <c r="N105" s="89"/>
      <c r="O105" s="89"/>
      <c r="P105" s="89"/>
      <c r="Q105" s="89"/>
      <c r="R105" s="89"/>
    </row>
    <row r="106">
      <c r="A106" s="14" t="s">
        <v>44</v>
      </c>
      <c r="B106" s="74">
        <v>103.0</v>
      </c>
      <c r="C106" s="204" t="s">
        <v>2680</v>
      </c>
      <c r="D106" s="204" t="s">
        <v>2681</v>
      </c>
      <c r="E106" s="36" t="s">
        <v>49</v>
      </c>
      <c r="F106" s="69"/>
      <c r="G106" s="205" t="s">
        <v>2682</v>
      </c>
      <c r="H106" s="206"/>
      <c r="I106" s="214"/>
      <c r="L106" s="89"/>
      <c r="M106" s="88" t="str">
        <f t="shared" si="2"/>
        <v>liz.linehan@cga.ct.gov</v>
      </c>
      <c r="N106" s="89"/>
      <c r="O106" s="89"/>
      <c r="P106" s="89"/>
      <c r="Q106" s="89"/>
      <c r="R106" s="89"/>
    </row>
    <row r="107">
      <c r="A107" s="14" t="s">
        <v>44</v>
      </c>
      <c r="B107" s="74">
        <v>104.0</v>
      </c>
      <c r="C107" s="213" t="s">
        <v>2683</v>
      </c>
      <c r="D107" s="213" t="s">
        <v>2038</v>
      </c>
      <c r="E107" s="36" t="s">
        <v>49</v>
      </c>
      <c r="F107" s="69"/>
      <c r="G107" s="205"/>
      <c r="H107" s="206"/>
      <c r="I107" s="214"/>
      <c r="L107" s="89"/>
      <c r="M107" s="88" t="str">
        <f t="shared" si="2"/>
        <v>kara.rochelle@cga.ct.gov</v>
      </c>
      <c r="N107" s="89"/>
      <c r="O107" s="89"/>
      <c r="P107" s="89"/>
      <c r="Q107" s="89"/>
      <c r="R107" s="89"/>
    </row>
    <row r="108">
      <c r="A108" s="14" t="s">
        <v>44</v>
      </c>
      <c r="B108" s="74">
        <v>105.0</v>
      </c>
      <c r="C108" s="213" t="s">
        <v>1648</v>
      </c>
      <c r="D108" s="213" t="s">
        <v>2684</v>
      </c>
      <c r="E108" s="98" t="s">
        <v>53</v>
      </c>
      <c r="F108" s="69" t="s">
        <v>498</v>
      </c>
      <c r="G108" s="205"/>
      <c r="H108" s="206"/>
      <c r="I108" s="214"/>
      <c r="L108" s="89"/>
      <c r="M108" s="88" t="str">
        <f t="shared" si="2"/>
        <v>nicole.klarides-ditria@housegop.ct.gov</v>
      </c>
      <c r="N108" s="89"/>
      <c r="O108" s="89"/>
      <c r="P108" s="89"/>
      <c r="Q108" s="89"/>
      <c r="R108" s="89"/>
    </row>
    <row r="109">
      <c r="A109" s="14" t="s">
        <v>44</v>
      </c>
      <c r="B109" s="74">
        <v>106.0</v>
      </c>
      <c r="C109" s="204" t="s">
        <v>492</v>
      </c>
      <c r="D109" s="204" t="s">
        <v>2685</v>
      </c>
      <c r="E109" s="51" t="s">
        <v>53</v>
      </c>
      <c r="F109" s="69"/>
      <c r="G109" s="205"/>
      <c r="H109" s="206"/>
      <c r="I109" s="208"/>
      <c r="L109" s="89"/>
      <c r="M109" s="88" t="str">
        <f t="shared" si="2"/>
        <v>mitch.bolinsky@housegop.ct.gov</v>
      </c>
      <c r="N109" s="89"/>
      <c r="O109" s="89"/>
      <c r="P109" s="89"/>
      <c r="Q109" s="89"/>
      <c r="R109" s="89"/>
    </row>
    <row r="110">
      <c r="A110" s="14" t="s">
        <v>44</v>
      </c>
      <c r="B110" s="74">
        <v>107.0</v>
      </c>
      <c r="C110" s="204" t="s">
        <v>1505</v>
      </c>
      <c r="D110" s="204" t="s">
        <v>2690</v>
      </c>
      <c r="E110" s="51" t="s">
        <v>53</v>
      </c>
      <c r="F110" s="69"/>
      <c r="G110" s="205"/>
      <c r="H110" s="206"/>
      <c r="I110" s="214"/>
      <c r="L110" s="89"/>
      <c r="M110" s="88" t="str">
        <f t="shared" si="2"/>
        <v>stephen.harding@housegop.ct.gov</v>
      </c>
      <c r="N110" s="89"/>
      <c r="O110" s="89"/>
      <c r="P110" s="89"/>
      <c r="Q110" s="89"/>
      <c r="R110" s="89"/>
    </row>
    <row r="111">
      <c r="A111" s="14" t="s">
        <v>44</v>
      </c>
      <c r="B111" s="74">
        <v>108.0</v>
      </c>
      <c r="C111" s="204" t="s">
        <v>1112</v>
      </c>
      <c r="D111" s="219" t="s">
        <v>1451</v>
      </c>
      <c r="E111" s="51" t="s">
        <v>53</v>
      </c>
      <c r="F111" s="69"/>
      <c r="G111" s="205"/>
      <c r="H111" s="206"/>
      <c r="I111" s="208"/>
      <c r="L111" s="89"/>
      <c r="M111" s="88" t="str">
        <f t="shared" si="2"/>
        <v>richard.smith@housegop.ct.gov</v>
      </c>
      <c r="N111" s="89"/>
      <c r="O111" s="89"/>
      <c r="P111" s="89"/>
      <c r="Q111" s="89"/>
      <c r="R111" s="89"/>
    </row>
    <row r="112">
      <c r="A112" s="14" t="s">
        <v>44</v>
      </c>
      <c r="B112" s="74">
        <v>109.0</v>
      </c>
      <c r="C112" s="204" t="s">
        <v>108</v>
      </c>
      <c r="D112" s="204" t="s">
        <v>2693</v>
      </c>
      <c r="E112" s="36" t="s">
        <v>49</v>
      </c>
      <c r="F112" s="69"/>
      <c r="G112" s="205" t="s">
        <v>2694</v>
      </c>
      <c r="H112" s="206"/>
      <c r="I112" s="214"/>
      <c r="L112" s="89"/>
      <c r="M112" s="88" t="str">
        <f t="shared" si="2"/>
        <v>david.arconti@cga.ct.gov</v>
      </c>
      <c r="N112" s="89"/>
      <c r="O112" s="89"/>
      <c r="P112" s="89"/>
      <c r="Q112" s="89"/>
      <c r="R112" s="89"/>
    </row>
    <row r="113">
      <c r="A113" s="14" t="s">
        <v>44</v>
      </c>
      <c r="B113" s="74">
        <v>110.0</v>
      </c>
      <c r="C113" s="204" t="s">
        <v>419</v>
      </c>
      <c r="D113" s="204" t="s">
        <v>1688</v>
      </c>
      <c r="E113" s="36" t="s">
        <v>49</v>
      </c>
      <c r="F113" s="69"/>
      <c r="G113" s="205"/>
      <c r="H113" s="206"/>
      <c r="I113" s="214"/>
      <c r="L113" s="89"/>
      <c r="M113" s="88" t="str">
        <f t="shared" si="2"/>
        <v>bob.godfrey@cga.ct.gov</v>
      </c>
      <c r="N113" s="89"/>
      <c r="O113" s="89"/>
      <c r="P113" s="89"/>
      <c r="Q113" s="89"/>
      <c r="R113" s="89"/>
    </row>
    <row r="114">
      <c r="A114" s="14" t="s">
        <v>44</v>
      </c>
      <c r="B114" s="74">
        <v>111.0</v>
      </c>
      <c r="C114" s="204" t="s">
        <v>278</v>
      </c>
      <c r="D114" s="219" t="s">
        <v>2699</v>
      </c>
      <c r="E114" s="51" t="s">
        <v>53</v>
      </c>
      <c r="F114" s="69"/>
      <c r="G114" s="205"/>
      <c r="H114" s="206"/>
      <c r="I114" s="214"/>
      <c r="L114" s="89"/>
      <c r="M114" s="88" t="str">
        <f t="shared" si="2"/>
        <v>john.frey@housegop.ct.gov</v>
      </c>
      <c r="N114" s="89"/>
      <c r="O114" s="89"/>
      <c r="P114" s="89"/>
      <c r="Q114" s="89"/>
      <c r="R114" s="89"/>
    </row>
    <row r="115">
      <c r="A115" s="14" t="s">
        <v>44</v>
      </c>
      <c r="B115" s="74">
        <v>112.0</v>
      </c>
      <c r="C115" s="204" t="s">
        <v>2700</v>
      </c>
      <c r="D115" s="204" t="s">
        <v>2702</v>
      </c>
      <c r="E115" s="51" t="s">
        <v>53</v>
      </c>
      <c r="F115" s="69"/>
      <c r="G115" s="205"/>
      <c r="H115" s="206"/>
      <c r="I115" s="208"/>
      <c r="L115" s="89"/>
      <c r="M115" s="88" t="str">
        <f t="shared" si="2"/>
        <v>jp.sredzinski@housegop.ct.gov</v>
      </c>
      <c r="N115" s="89"/>
      <c r="O115" s="89"/>
      <c r="P115" s="89"/>
      <c r="Q115" s="89"/>
      <c r="R115" s="89"/>
    </row>
    <row r="116">
      <c r="A116" s="14" t="s">
        <v>44</v>
      </c>
      <c r="B116" s="74">
        <v>113.0</v>
      </c>
      <c r="C116" s="204" t="s">
        <v>1231</v>
      </c>
      <c r="D116" s="204" t="s">
        <v>2703</v>
      </c>
      <c r="E116" s="51" t="s">
        <v>53</v>
      </c>
      <c r="F116" s="69"/>
      <c r="G116" s="205"/>
      <c r="H116" s="206"/>
      <c r="I116" s="214"/>
      <c r="L116" s="89"/>
      <c r="M116" s="88" t="str">
        <f t="shared" si="2"/>
        <v>jason.perillo@housegop.ct.gov</v>
      </c>
      <c r="N116" s="89"/>
      <c r="O116" s="89"/>
      <c r="P116" s="89"/>
      <c r="Q116" s="89"/>
      <c r="R116" s="89"/>
    </row>
    <row r="117">
      <c r="A117" s="14" t="s">
        <v>44</v>
      </c>
      <c r="B117" s="74">
        <v>114.0</v>
      </c>
      <c r="C117" s="204" t="s">
        <v>2706</v>
      </c>
      <c r="D117" s="204" t="s">
        <v>2707</v>
      </c>
      <c r="E117" s="51" t="s">
        <v>53</v>
      </c>
      <c r="F117" s="69"/>
      <c r="G117" s="205"/>
      <c r="H117" s="206"/>
      <c r="I117" s="214"/>
      <c r="L117" s="89"/>
      <c r="M117" s="88" t="str">
        <f t="shared" si="2"/>
        <v>themis.klarides@housegop.ct.gov</v>
      </c>
      <c r="N117" s="89"/>
      <c r="O117" s="89"/>
      <c r="P117" s="89"/>
      <c r="Q117" s="89"/>
      <c r="R117" s="89"/>
    </row>
    <row r="118">
      <c r="A118" s="14" t="s">
        <v>44</v>
      </c>
      <c r="B118" s="74">
        <v>115.0</v>
      </c>
      <c r="C118" s="204" t="s">
        <v>2711</v>
      </c>
      <c r="D118" s="213" t="s">
        <v>2713</v>
      </c>
      <c r="E118" s="36" t="s">
        <v>49</v>
      </c>
      <c r="F118" s="69"/>
      <c r="G118" s="205" t="s">
        <v>2715</v>
      </c>
      <c r="H118" s="206"/>
      <c r="I118" s="214"/>
      <c r="L118" s="89"/>
      <c r="M118" s="88" t="str">
        <f t="shared" si="2"/>
        <v>dorinda.keenanborer@cga.ct.gov</v>
      </c>
      <c r="N118" s="89"/>
      <c r="O118" s="89"/>
      <c r="P118" s="89"/>
      <c r="Q118" s="89"/>
      <c r="R118" s="89"/>
    </row>
    <row r="119">
      <c r="A119" s="14" t="s">
        <v>44</v>
      </c>
      <c r="B119" s="74">
        <v>116.0</v>
      </c>
      <c r="C119" s="213" t="s">
        <v>2490</v>
      </c>
      <c r="D119" s="213" t="s">
        <v>2717</v>
      </c>
      <c r="E119" s="36" t="s">
        <v>49</v>
      </c>
      <c r="F119" s="69"/>
      <c r="G119" s="205"/>
      <c r="H119" s="206"/>
      <c r="I119" s="214"/>
      <c r="L119" s="89"/>
      <c r="M119" s="88" t="str">
        <f t="shared" si="2"/>
        <v>michael.dimissa@cga.ct.gov</v>
      </c>
      <c r="N119" s="89"/>
      <c r="O119" s="89"/>
      <c r="P119" s="89"/>
      <c r="Q119" s="89"/>
      <c r="R119" s="89"/>
    </row>
    <row r="120">
      <c r="A120" s="14" t="s">
        <v>44</v>
      </c>
      <c r="B120" s="74">
        <v>117.0</v>
      </c>
      <c r="C120" s="204" t="s">
        <v>1287</v>
      </c>
      <c r="D120" s="204" t="s">
        <v>2718</v>
      </c>
      <c r="E120" s="51" t="s">
        <v>53</v>
      </c>
      <c r="F120" s="69"/>
      <c r="G120" s="205"/>
      <c r="H120" s="206"/>
      <c r="I120" s="214"/>
      <c r="L120" s="89"/>
      <c r="M120" s="88" t="str">
        <f t="shared" si="2"/>
        <v>charles.ferraro@housegop.ct.gov</v>
      </c>
      <c r="N120" s="89"/>
      <c r="O120" s="89"/>
      <c r="P120" s="89"/>
      <c r="Q120" s="89"/>
      <c r="R120" s="89"/>
    </row>
    <row r="121">
      <c r="A121" s="14" t="s">
        <v>44</v>
      </c>
      <c r="B121" s="74">
        <v>118.0</v>
      </c>
      <c r="C121" s="204" t="s">
        <v>1973</v>
      </c>
      <c r="D121" s="204" t="s">
        <v>2719</v>
      </c>
      <c r="E121" s="36" t="s">
        <v>49</v>
      </c>
      <c r="F121" s="69"/>
      <c r="G121" s="205" t="s">
        <v>2720</v>
      </c>
      <c r="H121" s="206"/>
      <c r="I121" s="214"/>
      <c r="L121" s="89"/>
      <c r="M121" s="88" t="str">
        <f t="shared" si="2"/>
        <v>kim.rose@cga.ct.gov</v>
      </c>
      <c r="N121" s="89"/>
      <c r="O121" s="89"/>
      <c r="P121" s="89"/>
      <c r="Q121" s="89"/>
      <c r="R121" s="89"/>
    </row>
    <row r="122">
      <c r="A122" s="14" t="s">
        <v>44</v>
      </c>
      <c r="B122" s="74">
        <v>119.0</v>
      </c>
      <c r="C122" s="213" t="s">
        <v>2724</v>
      </c>
      <c r="D122" s="213" t="s">
        <v>1791</v>
      </c>
      <c r="E122" s="51" t="s">
        <v>53</v>
      </c>
      <c r="F122" s="69"/>
      <c r="G122" s="205"/>
      <c r="H122" s="206"/>
      <c r="I122" s="214"/>
      <c r="L122" s="89"/>
      <c r="M122" s="88" t="str">
        <f t="shared" si="2"/>
        <v>kathy.kennedy@housegop.ct.gov</v>
      </c>
      <c r="N122" s="89"/>
      <c r="O122" s="89"/>
      <c r="P122" s="89"/>
      <c r="Q122" s="89"/>
      <c r="R122" s="89"/>
    </row>
    <row r="123">
      <c r="A123" s="14" t="s">
        <v>44</v>
      </c>
      <c r="B123" s="74">
        <v>120.0</v>
      </c>
      <c r="C123" s="204" t="s">
        <v>1483</v>
      </c>
      <c r="D123" s="204" t="s">
        <v>429</v>
      </c>
      <c r="E123" s="36" t="s">
        <v>49</v>
      </c>
      <c r="F123" s="69"/>
      <c r="G123" s="205"/>
      <c r="H123" s="206"/>
      <c r="I123" s="214"/>
      <c r="L123" s="89"/>
      <c r="M123" s="88" t="str">
        <f t="shared" si="2"/>
        <v>phil.young@cga.ct.gov</v>
      </c>
      <c r="N123" s="89"/>
      <c r="O123" s="89"/>
      <c r="P123" s="89"/>
      <c r="Q123" s="89"/>
      <c r="R123" s="89"/>
    </row>
    <row r="124">
      <c r="A124" s="14" t="s">
        <v>44</v>
      </c>
      <c r="B124" s="74">
        <v>121.0</v>
      </c>
      <c r="C124" s="204" t="s">
        <v>622</v>
      </c>
      <c r="D124" s="204" t="s">
        <v>2730</v>
      </c>
      <c r="E124" s="36" t="s">
        <v>49</v>
      </c>
      <c r="F124" s="69"/>
      <c r="G124" s="205"/>
      <c r="H124" s="206"/>
      <c r="I124" s="214"/>
      <c r="L124" s="89"/>
      <c r="M124" s="88" t="str">
        <f t="shared" si="2"/>
        <v>joe.gresko@cga.ct.gov</v>
      </c>
      <c r="N124" s="89"/>
      <c r="O124" s="89"/>
      <c r="P124" s="89"/>
      <c r="Q124" s="89"/>
      <c r="R124" s="89"/>
    </row>
    <row r="125">
      <c r="A125" s="14" t="s">
        <v>44</v>
      </c>
      <c r="B125" s="74">
        <v>122.0</v>
      </c>
      <c r="C125" s="204" t="s">
        <v>195</v>
      </c>
      <c r="D125" s="204" t="s">
        <v>2732</v>
      </c>
      <c r="E125" s="51" t="s">
        <v>53</v>
      </c>
      <c r="F125" s="69"/>
      <c r="G125" s="205"/>
      <c r="H125" s="206"/>
      <c r="I125" s="214"/>
      <c r="L125" s="89"/>
      <c r="M125" s="88" t="str">
        <f t="shared" si="2"/>
        <v>ben.mcgorty@housegop.ct.gov</v>
      </c>
      <c r="N125" s="89"/>
      <c r="O125" s="89"/>
      <c r="P125" s="89"/>
      <c r="Q125" s="89"/>
      <c r="R125" s="89"/>
    </row>
    <row r="126">
      <c r="A126" s="14" t="s">
        <v>44</v>
      </c>
      <c r="B126" s="74">
        <v>123.0</v>
      </c>
      <c r="C126" s="204" t="s">
        <v>76</v>
      </c>
      <c r="D126" s="204" t="s">
        <v>2733</v>
      </c>
      <c r="E126" s="51" t="s">
        <v>53</v>
      </c>
      <c r="F126" s="69"/>
      <c r="G126" s="205"/>
      <c r="H126" s="206"/>
      <c r="I126" s="214"/>
      <c r="L126" s="89"/>
      <c r="M126" s="88" t="str">
        <f t="shared" si="2"/>
        <v>dave.rutigliano@housegop.ct.gov</v>
      </c>
      <c r="N126" s="89"/>
      <c r="O126" s="89"/>
      <c r="P126" s="89"/>
      <c r="Q126" s="89"/>
      <c r="R126" s="89"/>
    </row>
    <row r="127">
      <c r="A127" s="14" t="s">
        <v>44</v>
      </c>
      <c r="B127" s="74">
        <v>124.0</v>
      </c>
      <c r="C127" s="204" t="s">
        <v>2734</v>
      </c>
      <c r="D127" s="204" t="s">
        <v>553</v>
      </c>
      <c r="E127" s="36" t="s">
        <v>49</v>
      </c>
      <c r="F127" s="69"/>
      <c r="G127" s="205"/>
      <c r="H127" s="206"/>
      <c r="I127" s="214"/>
      <c r="L127" s="89"/>
      <c r="M127" s="88" t="str">
        <f t="shared" si="2"/>
        <v>andre.baker@cga.ct.gov</v>
      </c>
      <c r="N127" s="89"/>
      <c r="O127" s="89"/>
      <c r="P127" s="89"/>
      <c r="Q127" s="89"/>
      <c r="R127" s="89"/>
    </row>
    <row r="128">
      <c r="A128" s="14" t="s">
        <v>44</v>
      </c>
      <c r="B128" s="74">
        <v>125.0</v>
      </c>
      <c r="C128" s="204" t="s">
        <v>338</v>
      </c>
      <c r="D128" s="204" t="s">
        <v>2743</v>
      </c>
      <c r="E128" s="51" t="s">
        <v>53</v>
      </c>
      <c r="F128" s="69"/>
      <c r="G128" s="205"/>
      <c r="H128" s="206"/>
      <c r="I128" s="214"/>
      <c r="L128" s="89"/>
      <c r="M128" s="88" t="str">
        <f t="shared" si="2"/>
        <v>tom.o'dea@housegop.ct.gov</v>
      </c>
      <c r="N128" s="89"/>
      <c r="O128" s="89"/>
      <c r="P128" s="89"/>
      <c r="Q128" s="89"/>
      <c r="R128" s="89"/>
    </row>
    <row r="129">
      <c r="A129" s="14" t="s">
        <v>44</v>
      </c>
      <c r="B129" s="74">
        <v>126.0</v>
      </c>
      <c r="C129" s="204" t="s">
        <v>2746</v>
      </c>
      <c r="D129" s="204" t="s">
        <v>2747</v>
      </c>
      <c r="E129" s="36" t="s">
        <v>49</v>
      </c>
      <c r="F129" s="69"/>
      <c r="G129" s="205"/>
      <c r="H129" s="206"/>
      <c r="I129" s="214"/>
      <c r="L129" s="89"/>
      <c r="M129" s="88" t="str">
        <f t="shared" si="2"/>
        <v>charlie.stallworth@cga.ct.gov</v>
      </c>
      <c r="N129" s="89"/>
      <c r="O129" s="89"/>
      <c r="P129" s="89"/>
      <c r="Q129" s="89"/>
      <c r="R129" s="89"/>
    </row>
    <row r="130">
      <c r="A130" s="14" t="s">
        <v>44</v>
      </c>
      <c r="B130" s="74">
        <v>127.0</v>
      </c>
      <c r="C130" s="204" t="s">
        <v>278</v>
      </c>
      <c r="D130" s="204" t="s">
        <v>2749</v>
      </c>
      <c r="E130" s="36" t="s">
        <v>49</v>
      </c>
      <c r="F130" s="69"/>
      <c r="G130" s="205"/>
      <c r="H130" s="206"/>
      <c r="I130" s="214"/>
      <c r="L130" s="89"/>
      <c r="M130" s="88" t="str">
        <f t="shared" si="2"/>
        <v>john.hennessy@cga.ct.gov</v>
      </c>
      <c r="N130" s="89"/>
      <c r="O130" s="89"/>
      <c r="P130" s="89"/>
      <c r="Q130" s="89"/>
      <c r="R130" s="89"/>
    </row>
    <row r="131">
      <c r="A131" s="14" t="s">
        <v>44</v>
      </c>
      <c r="B131" s="74">
        <v>128.0</v>
      </c>
      <c r="C131" s="204" t="s">
        <v>575</v>
      </c>
      <c r="D131" s="204" t="s">
        <v>2750</v>
      </c>
      <c r="E131" s="36" t="s">
        <v>49</v>
      </c>
      <c r="F131" s="69"/>
      <c r="G131" s="205"/>
      <c r="H131" s="206"/>
      <c r="I131" s="214"/>
      <c r="L131" s="89"/>
      <c r="M131" s="88" t="str">
        <f t="shared" si="2"/>
        <v>christopher.rosario@cga.ct.gov</v>
      </c>
      <c r="N131" s="89"/>
      <c r="O131" s="89"/>
      <c r="P131" s="89"/>
      <c r="Q131" s="89"/>
      <c r="R131" s="89"/>
    </row>
    <row r="132">
      <c r="A132" s="14" t="s">
        <v>44</v>
      </c>
      <c r="B132" s="74">
        <v>129.0</v>
      </c>
      <c r="C132" s="204" t="s">
        <v>1897</v>
      </c>
      <c r="D132" s="204" t="s">
        <v>2751</v>
      </c>
      <c r="E132" s="36" t="s">
        <v>49</v>
      </c>
      <c r="F132" s="69"/>
      <c r="G132" s="205" t="s">
        <v>2752</v>
      </c>
      <c r="H132" s="206"/>
      <c r="I132" s="214"/>
      <c r="L132" s="89"/>
      <c r="M132" s="88" t="str">
        <f t="shared" si="2"/>
        <v>steven.stafstrom@cga.ct.gov</v>
      </c>
      <c r="N132" s="89"/>
      <c r="O132" s="89"/>
      <c r="P132" s="89"/>
      <c r="Q132" s="89"/>
      <c r="R132" s="89"/>
    </row>
    <row r="133">
      <c r="A133" s="14" t="s">
        <v>44</v>
      </c>
      <c r="B133" s="74">
        <v>130.0</v>
      </c>
      <c r="C133" s="204" t="s">
        <v>2753</v>
      </c>
      <c r="D133" s="204" t="s">
        <v>1752</v>
      </c>
      <c r="E133" s="36" t="s">
        <v>49</v>
      </c>
      <c r="F133" s="69"/>
      <c r="G133" s="205"/>
      <c r="H133" s="206"/>
      <c r="I133" s="214"/>
      <c r="L133" s="89"/>
      <c r="M133" s="88" t="str">
        <f t="shared" si="2"/>
        <v>ezequiel.santiago@cga.ct.gov</v>
      </c>
      <c r="N133" s="89"/>
      <c r="O133" s="89"/>
      <c r="P133" s="89"/>
      <c r="Q133" s="89"/>
      <c r="R133" s="89"/>
    </row>
    <row r="134">
      <c r="A134" s="14" t="s">
        <v>44</v>
      </c>
      <c r="B134" s="74">
        <v>131.0</v>
      </c>
      <c r="C134" s="204" t="s">
        <v>108</v>
      </c>
      <c r="D134" s="204" t="s">
        <v>2754</v>
      </c>
      <c r="E134" s="51" t="s">
        <v>53</v>
      </c>
      <c r="F134" s="69"/>
      <c r="G134" s="205"/>
      <c r="H134" s="206"/>
      <c r="I134" s="214"/>
      <c r="L134" s="89"/>
      <c r="M134" s="88" t="str">
        <f t="shared" si="2"/>
        <v>david.labriola@housegop.ct.gov</v>
      </c>
      <c r="N134" s="89"/>
      <c r="O134" s="89"/>
      <c r="P134" s="89"/>
      <c r="Q134" s="89"/>
      <c r="R134" s="89"/>
    </row>
    <row r="135">
      <c r="A135" s="14" t="s">
        <v>44</v>
      </c>
      <c r="B135" s="74">
        <v>132.0</v>
      </c>
      <c r="C135" s="204" t="s">
        <v>2755</v>
      </c>
      <c r="D135" s="204" t="s">
        <v>2756</v>
      </c>
      <c r="E135" s="51" t="s">
        <v>53</v>
      </c>
      <c r="F135" s="69"/>
      <c r="G135" s="205"/>
      <c r="H135" s="206"/>
      <c r="I135" s="214"/>
      <c r="L135" s="89"/>
      <c r="M135" s="88" t="str">
        <f t="shared" si="2"/>
        <v>brenda.kupchick@housegop.ct.gov</v>
      </c>
      <c r="N135" s="89"/>
      <c r="O135" s="89"/>
      <c r="P135" s="89"/>
      <c r="Q135" s="89"/>
      <c r="R135" s="89"/>
    </row>
    <row r="136">
      <c r="A136" s="14" t="s">
        <v>44</v>
      </c>
      <c r="B136" s="74">
        <v>133.0</v>
      </c>
      <c r="C136" s="204" t="s">
        <v>2757</v>
      </c>
      <c r="D136" s="213" t="s">
        <v>2758</v>
      </c>
      <c r="E136" s="36" t="s">
        <v>49</v>
      </c>
      <c r="F136" s="69"/>
      <c r="G136" s="205" t="s">
        <v>2759</v>
      </c>
      <c r="H136" s="206"/>
      <c r="I136" s="214"/>
      <c r="L136" s="89"/>
      <c r="M136" s="88" t="str">
        <f t="shared" si="2"/>
        <v>cristin.mccarthyvahey@cga.ct.gov</v>
      </c>
      <c r="N136" s="89"/>
      <c r="O136" s="89"/>
      <c r="P136" s="89"/>
      <c r="Q136" s="89"/>
      <c r="R136" s="89"/>
    </row>
    <row r="137">
      <c r="A137" s="14" t="s">
        <v>44</v>
      </c>
      <c r="B137" s="74">
        <v>134.0</v>
      </c>
      <c r="C137" s="204" t="s">
        <v>292</v>
      </c>
      <c r="D137" s="204" t="s">
        <v>2761</v>
      </c>
      <c r="E137" s="51" t="s">
        <v>53</v>
      </c>
      <c r="F137" s="69"/>
      <c r="G137" s="205"/>
      <c r="H137" s="206"/>
      <c r="I137" s="214"/>
      <c r="L137" s="89"/>
      <c r="M137" s="88" t="str">
        <f t="shared" si="2"/>
        <v>laura.devlin@housegop.ct.gov</v>
      </c>
      <c r="N137" s="89"/>
      <c r="O137" s="89"/>
      <c r="P137" s="89"/>
      <c r="Q137" s="89"/>
      <c r="R137" s="89"/>
    </row>
    <row r="138">
      <c r="A138" s="14" t="s">
        <v>44</v>
      </c>
      <c r="B138" s="35">
        <v>135.0</v>
      </c>
      <c r="C138" s="213" t="s">
        <v>2560</v>
      </c>
      <c r="D138" s="213" t="s">
        <v>2764</v>
      </c>
      <c r="E138" s="100" t="s">
        <v>49</v>
      </c>
      <c r="F138" s="69"/>
      <c r="G138" s="205"/>
      <c r="H138" s="206"/>
      <c r="I138" s="214"/>
      <c r="L138" s="89"/>
      <c r="M138" s="88" t="str">
        <f t="shared" si="2"/>
        <v>anne.highes@cga.ct.gov</v>
      </c>
      <c r="N138" s="89"/>
      <c r="O138" s="89"/>
      <c r="P138" s="89"/>
      <c r="Q138" s="89"/>
      <c r="R138" s="89"/>
    </row>
    <row r="139">
      <c r="A139" s="14" t="s">
        <v>44</v>
      </c>
      <c r="B139" s="74">
        <v>136.0</v>
      </c>
      <c r="C139" s="204" t="s">
        <v>235</v>
      </c>
      <c r="D139" s="204" t="s">
        <v>2766</v>
      </c>
      <c r="E139" s="36" t="s">
        <v>49</v>
      </c>
      <c r="F139" s="69"/>
      <c r="G139" s="205" t="s">
        <v>2767</v>
      </c>
      <c r="H139" s="206"/>
      <c r="I139" s="214"/>
      <c r="L139" s="89"/>
      <c r="M139" s="88" t="str">
        <f t="shared" si="2"/>
        <v>jonathan.steinberg@cga.ct.gov</v>
      </c>
      <c r="N139" s="89"/>
      <c r="O139" s="89"/>
      <c r="P139" s="89"/>
      <c r="Q139" s="89"/>
      <c r="R139" s="89"/>
    </row>
    <row r="140">
      <c r="A140" s="14" t="s">
        <v>44</v>
      </c>
      <c r="B140" s="35">
        <v>137.0</v>
      </c>
      <c r="C140" s="204" t="s">
        <v>173</v>
      </c>
      <c r="D140" s="204" t="s">
        <v>2774</v>
      </c>
      <c r="E140" s="36" t="s">
        <v>49</v>
      </c>
      <c r="F140" s="69"/>
      <c r="G140" s="205"/>
      <c r="H140" s="206"/>
      <c r="I140" s="214"/>
      <c r="L140" s="89"/>
      <c r="M140" s="88" t="str">
        <f t="shared" si="2"/>
        <v>chris.perone@cga.ct.gov</v>
      </c>
      <c r="N140" s="89"/>
      <c r="O140" s="89"/>
      <c r="P140" s="89"/>
      <c r="Q140" s="89"/>
      <c r="R140" s="89"/>
    </row>
    <row r="141">
      <c r="A141" s="14" t="s">
        <v>44</v>
      </c>
      <c r="B141" s="74">
        <v>138.0</v>
      </c>
      <c r="C141" s="213" t="s">
        <v>2777</v>
      </c>
      <c r="D141" s="213" t="s">
        <v>2778</v>
      </c>
      <c r="E141" s="100" t="s">
        <v>49</v>
      </c>
      <c r="F141" s="69"/>
      <c r="G141" s="205"/>
      <c r="H141" s="206"/>
      <c r="I141" s="214"/>
      <c r="L141" s="89"/>
      <c r="M141" s="88" t="str">
        <f t="shared" si="2"/>
        <v>kenneth.gucker@cga.ct.gov</v>
      </c>
      <c r="N141" s="89"/>
      <c r="O141" s="89"/>
      <c r="P141" s="89"/>
      <c r="Q141" s="89"/>
      <c r="R141" s="89"/>
    </row>
    <row r="142">
      <c r="A142" s="14" t="s">
        <v>44</v>
      </c>
      <c r="B142" s="74">
        <v>139.0</v>
      </c>
      <c r="C142" s="204" t="s">
        <v>971</v>
      </c>
      <c r="D142" s="204" t="s">
        <v>2780</v>
      </c>
      <c r="E142" s="36" t="s">
        <v>49</v>
      </c>
      <c r="F142" s="69"/>
      <c r="G142" s="205"/>
      <c r="H142" s="206"/>
      <c r="I142" s="214"/>
      <c r="L142" s="89"/>
      <c r="M142" s="88" t="str">
        <f t="shared" si="2"/>
        <v>kevin.ryan@cga.ct.gov</v>
      </c>
      <c r="N142" s="89"/>
      <c r="O142" s="89"/>
      <c r="P142" s="89"/>
      <c r="Q142" s="89"/>
      <c r="R142" s="89"/>
    </row>
    <row r="143">
      <c r="A143" s="14" t="s">
        <v>44</v>
      </c>
      <c r="B143" s="35">
        <v>140.0</v>
      </c>
      <c r="C143" s="213" t="s">
        <v>807</v>
      </c>
      <c r="D143" s="213" t="s">
        <v>2784</v>
      </c>
      <c r="E143" s="36" t="s">
        <v>49</v>
      </c>
      <c r="F143" s="69"/>
      <c r="G143" s="205"/>
      <c r="H143" s="206"/>
      <c r="I143" s="214"/>
      <c r="L143" s="89"/>
      <c r="M143" s="88" t="str">
        <f t="shared" si="2"/>
        <v>travis.simms@cga.ct.gov</v>
      </c>
      <c r="N143" s="89"/>
      <c r="O143" s="89"/>
      <c r="P143" s="89"/>
      <c r="Q143" s="89"/>
      <c r="R143" s="89"/>
    </row>
    <row r="144">
      <c r="A144" s="14" t="s">
        <v>44</v>
      </c>
      <c r="B144" s="35">
        <v>141.0</v>
      </c>
      <c r="C144" s="204" t="s">
        <v>2788</v>
      </c>
      <c r="D144" s="204" t="s">
        <v>415</v>
      </c>
      <c r="E144" s="51" t="s">
        <v>53</v>
      </c>
      <c r="F144" s="69"/>
      <c r="G144" s="205"/>
      <c r="H144" s="206"/>
      <c r="I144" s="208"/>
      <c r="L144" s="89"/>
      <c r="M144" s="88" t="str">
        <f t="shared" si="2"/>
        <v>terrie.wood@housegop.ct.gov</v>
      </c>
      <c r="N144" s="89"/>
      <c r="O144" s="89"/>
      <c r="P144" s="89"/>
      <c r="Q144" s="89"/>
      <c r="R144" s="89"/>
    </row>
    <row r="145">
      <c r="A145" s="14" t="s">
        <v>44</v>
      </c>
      <c r="B145" s="35">
        <v>142.0</v>
      </c>
      <c r="C145" s="213" t="s">
        <v>2792</v>
      </c>
      <c r="D145" s="213" t="s">
        <v>2793</v>
      </c>
      <c r="E145" s="100" t="s">
        <v>49</v>
      </c>
      <c r="F145" s="69"/>
      <c r="G145" s="205"/>
      <c r="H145" s="206"/>
      <c r="I145" s="214"/>
      <c r="L145" s="89"/>
      <c r="M145" s="88" t="str">
        <f t="shared" si="2"/>
        <v>lucy.dathan@cga.ct.gov</v>
      </c>
      <c r="N145" s="89"/>
      <c r="O145" s="89"/>
      <c r="P145" s="89"/>
      <c r="Q145" s="89"/>
      <c r="R145" s="89"/>
    </row>
    <row r="146">
      <c r="A146" s="14" t="s">
        <v>44</v>
      </c>
      <c r="B146" s="35">
        <v>143.0</v>
      </c>
      <c r="C146" s="204" t="s">
        <v>850</v>
      </c>
      <c r="D146" s="204" t="s">
        <v>2798</v>
      </c>
      <c r="E146" s="51" t="s">
        <v>53</v>
      </c>
      <c r="F146" s="69"/>
      <c r="G146" s="205"/>
      <c r="H146" s="206"/>
      <c r="I146" s="214"/>
      <c r="L146" s="89"/>
      <c r="M146" s="88" t="str">
        <f t="shared" si="2"/>
        <v>gail.lavielle@housegop.ct.gov</v>
      </c>
      <c r="N146" s="89"/>
      <c r="O146" s="89"/>
      <c r="P146" s="89"/>
      <c r="Q146" s="89"/>
      <c r="R146" s="89"/>
    </row>
    <row r="147">
      <c r="A147" s="14" t="s">
        <v>44</v>
      </c>
      <c r="B147" s="74">
        <v>144.0</v>
      </c>
      <c r="C147" s="204" t="s">
        <v>2799</v>
      </c>
      <c r="D147" s="204" t="s">
        <v>2800</v>
      </c>
      <c r="E147" s="36" t="s">
        <v>49</v>
      </c>
      <c r="F147" s="69"/>
      <c r="G147" s="205" t="s">
        <v>2801</v>
      </c>
      <c r="H147" s="206"/>
      <c r="I147" s="208"/>
      <c r="L147" s="89"/>
      <c r="M147" s="88" t="str">
        <f t="shared" si="2"/>
        <v>caroline.simmons@cga.ct.gov</v>
      </c>
      <c r="N147" s="89"/>
      <c r="O147" s="89"/>
      <c r="P147" s="89"/>
      <c r="Q147" s="89"/>
      <c r="R147" s="89"/>
    </row>
    <row r="148">
      <c r="A148" s="14" t="s">
        <v>44</v>
      </c>
      <c r="B148" s="74">
        <v>145.0</v>
      </c>
      <c r="C148" s="204" t="s">
        <v>2249</v>
      </c>
      <c r="D148" s="204" t="s">
        <v>1501</v>
      </c>
      <c r="E148" s="36" t="s">
        <v>49</v>
      </c>
      <c r="F148" s="69"/>
      <c r="G148" s="205"/>
      <c r="H148" s="206"/>
      <c r="I148" s="214"/>
      <c r="L148" s="89"/>
      <c r="M148" s="88" t="str">
        <f t="shared" si="2"/>
        <v>patricia.miller@cga.ct.gov</v>
      </c>
      <c r="N148" s="89"/>
      <c r="O148" s="89"/>
      <c r="P148" s="89"/>
      <c r="Q148" s="89"/>
      <c r="R148" s="89"/>
    </row>
    <row r="149">
      <c r="A149" s="14" t="s">
        <v>44</v>
      </c>
      <c r="B149" s="74">
        <v>146.0</v>
      </c>
      <c r="C149" s="213" t="s">
        <v>108</v>
      </c>
      <c r="D149" s="213" t="s">
        <v>2804</v>
      </c>
      <c r="E149" s="36" t="s">
        <v>49</v>
      </c>
      <c r="F149" s="69"/>
      <c r="G149" s="205"/>
      <c r="H149" s="206"/>
      <c r="I149" s="214"/>
      <c r="L149" s="89"/>
      <c r="M149" s="88" t="str">
        <f t="shared" si="2"/>
        <v>david.michel@cga.ct.gov</v>
      </c>
      <c r="N149" s="89"/>
      <c r="O149" s="89"/>
      <c r="P149" s="89"/>
      <c r="Q149" s="89"/>
      <c r="R149" s="89"/>
    </row>
    <row r="150">
      <c r="A150" s="14" t="s">
        <v>44</v>
      </c>
      <c r="B150" s="74">
        <v>147.0</v>
      </c>
      <c r="C150" s="213" t="s">
        <v>163</v>
      </c>
      <c r="D150" s="213" t="s">
        <v>2805</v>
      </c>
      <c r="E150" s="36" t="s">
        <v>49</v>
      </c>
      <c r="F150" s="69"/>
      <c r="G150" s="205"/>
      <c r="H150" s="206"/>
      <c r="I150" s="214"/>
      <c r="L150" s="89"/>
      <c r="M150" s="88" t="str">
        <f t="shared" si="2"/>
        <v>matt.blumenthal@cga.ct.gov</v>
      </c>
      <c r="N150" s="89"/>
      <c r="O150" s="89"/>
      <c r="P150" s="89"/>
      <c r="Q150" s="89"/>
      <c r="R150" s="89"/>
    </row>
    <row r="151">
      <c r="A151" s="14" t="s">
        <v>44</v>
      </c>
      <c r="B151" s="74">
        <v>148.0</v>
      </c>
      <c r="C151" s="204" t="s">
        <v>552</v>
      </c>
      <c r="D151" s="204" t="s">
        <v>2806</v>
      </c>
      <c r="E151" s="36" t="s">
        <v>49</v>
      </c>
      <c r="F151" s="69"/>
      <c r="G151" s="205" t="s">
        <v>2807</v>
      </c>
      <c r="H151" s="206"/>
      <c r="I151" s="214"/>
      <c r="L151" s="89"/>
      <c r="M151" s="88" t="str">
        <f t="shared" si="2"/>
        <v>daniel.fox@cga.ct.gov</v>
      </c>
      <c r="N151" s="89"/>
      <c r="O151" s="89"/>
      <c r="P151" s="89"/>
      <c r="Q151" s="89"/>
      <c r="R151" s="89"/>
    </row>
    <row r="152">
      <c r="A152" s="14" t="s">
        <v>44</v>
      </c>
      <c r="B152" s="74">
        <v>149.0</v>
      </c>
      <c r="C152" s="204" t="s">
        <v>2808</v>
      </c>
      <c r="D152" s="204" t="s">
        <v>2809</v>
      </c>
      <c r="E152" s="51" t="s">
        <v>53</v>
      </c>
      <c r="F152" s="69"/>
      <c r="G152" s="205"/>
      <c r="H152" s="206"/>
      <c r="I152" s="208"/>
      <c r="L152" s="89"/>
      <c r="M152" s="88" t="str">
        <f t="shared" si="2"/>
        <v>livvy.floren@housegop.ct.gov</v>
      </c>
      <c r="N152" s="89"/>
      <c r="O152" s="89"/>
      <c r="P152" s="89"/>
      <c r="Q152" s="89"/>
      <c r="R152" s="89"/>
    </row>
    <row r="153">
      <c r="A153" s="14" t="s">
        <v>44</v>
      </c>
      <c r="B153" s="74">
        <v>150.0</v>
      </c>
      <c r="C153" s="213" t="s">
        <v>55</v>
      </c>
      <c r="D153" s="213" t="s">
        <v>2810</v>
      </c>
      <c r="E153" s="100" t="s">
        <v>49</v>
      </c>
      <c r="F153" s="69"/>
      <c r="G153" s="205"/>
      <c r="H153" s="206"/>
      <c r="I153" s="214"/>
      <c r="L153" s="89"/>
      <c r="M153" s="88" t="str">
        <f t="shared" si="2"/>
        <v>steve.meskers@cga.ct.gov</v>
      </c>
      <c r="N153" s="89"/>
      <c r="O153" s="89"/>
      <c r="P153" s="89"/>
      <c r="Q153" s="89"/>
      <c r="R153" s="89"/>
    </row>
    <row r="154">
      <c r="A154" s="14" t="s">
        <v>44</v>
      </c>
      <c r="B154" s="74">
        <v>151.0</v>
      </c>
      <c r="C154" s="204" t="s">
        <v>1242</v>
      </c>
      <c r="D154" s="204" t="s">
        <v>2811</v>
      </c>
      <c r="E154" s="51" t="s">
        <v>53</v>
      </c>
      <c r="F154" s="69"/>
      <c r="G154" s="205"/>
      <c r="H154" s="206"/>
      <c r="I154" s="214"/>
      <c r="L154" s="89"/>
      <c r="M154" s="88" t="str">
        <f t="shared" si="2"/>
        <v>fred.camillo@housegop.ct.gov</v>
      </c>
      <c r="N154" s="89"/>
      <c r="O154" s="89"/>
      <c r="P154" s="89"/>
      <c r="Q154" s="89"/>
      <c r="R154" s="89"/>
    </row>
    <row r="155">
      <c r="A155" s="70"/>
      <c r="B155" s="71"/>
      <c r="C155" s="71"/>
      <c r="D155" s="71"/>
      <c r="E155" s="70"/>
      <c r="F155" s="103"/>
      <c r="G155" s="70"/>
      <c r="H155" s="70"/>
      <c r="I155" s="70"/>
      <c r="J155" s="70"/>
      <c r="K155" s="70"/>
      <c r="L155" s="70"/>
      <c r="M155" s="70"/>
      <c r="N155" s="70"/>
      <c r="O155" s="70"/>
      <c r="P155" s="70"/>
      <c r="Q155" s="70"/>
      <c r="R155" s="70"/>
      <c r="S155" s="70"/>
      <c r="T155" s="70"/>
      <c r="U155" s="70"/>
      <c r="V155" s="70"/>
      <c r="W155" s="70"/>
      <c r="X155" s="70"/>
      <c r="Y155" s="70"/>
      <c r="Z155" s="70"/>
      <c r="AA155" s="70"/>
      <c r="AB155" s="70"/>
      <c r="AC155" s="70"/>
      <c r="AD155" s="70"/>
    </row>
    <row r="156">
      <c r="A156" s="14" t="s">
        <v>286</v>
      </c>
      <c r="B156" s="74">
        <v>1.0</v>
      </c>
      <c r="C156" s="204" t="s">
        <v>278</v>
      </c>
      <c r="D156" s="204" t="s">
        <v>2813</v>
      </c>
      <c r="E156" s="36" t="s">
        <v>49</v>
      </c>
      <c r="F156" s="242"/>
      <c r="H156" s="243"/>
      <c r="I156" s="243"/>
      <c r="L156" s="224" t="s">
        <v>2815</v>
      </c>
      <c r="M156" s="244" t="s">
        <v>2816</v>
      </c>
      <c r="N156" s="89"/>
      <c r="O156" s="89"/>
      <c r="P156" s="89"/>
      <c r="Q156" s="89"/>
      <c r="R156" s="89"/>
    </row>
    <row r="157">
      <c r="A157" s="14" t="s">
        <v>286</v>
      </c>
      <c r="B157" s="74">
        <v>2.0</v>
      </c>
      <c r="C157" s="204" t="s">
        <v>1312</v>
      </c>
      <c r="D157" s="204" t="s">
        <v>2821</v>
      </c>
      <c r="E157" s="36" t="s">
        <v>49</v>
      </c>
      <c r="F157" s="242"/>
      <c r="H157" s="243"/>
      <c r="I157" s="246"/>
      <c r="L157" s="224" t="s">
        <v>2822</v>
      </c>
      <c r="M157" s="244" t="s">
        <v>2823</v>
      </c>
      <c r="N157" s="89"/>
      <c r="O157" s="89"/>
      <c r="P157" s="89"/>
      <c r="Q157" s="89"/>
      <c r="R157" s="89"/>
    </row>
    <row r="158">
      <c r="A158" s="14" t="s">
        <v>286</v>
      </c>
      <c r="B158" s="74">
        <v>3.0</v>
      </c>
      <c r="C158" s="204" t="s">
        <v>225</v>
      </c>
      <c r="D158" s="204" t="s">
        <v>1780</v>
      </c>
      <c r="E158" s="36" t="s">
        <v>49</v>
      </c>
      <c r="F158" s="242"/>
      <c r="H158" s="243"/>
      <c r="I158" s="243"/>
      <c r="L158" s="224" t="s">
        <v>2828</v>
      </c>
      <c r="M158" s="244" t="s">
        <v>2829</v>
      </c>
      <c r="N158" s="89"/>
      <c r="O158" s="89"/>
      <c r="P158" s="89"/>
      <c r="Q158" s="89"/>
      <c r="R158" s="89"/>
    </row>
    <row r="159">
      <c r="A159" s="14" t="s">
        <v>286</v>
      </c>
      <c r="B159" s="74">
        <v>4.0</v>
      </c>
      <c r="C159" s="204" t="s">
        <v>55</v>
      </c>
      <c r="D159" s="204" t="s">
        <v>2835</v>
      </c>
      <c r="E159" s="36" t="s">
        <v>49</v>
      </c>
      <c r="F159" s="242"/>
      <c r="H159" s="243"/>
      <c r="I159" s="243"/>
      <c r="L159" s="224" t="s">
        <v>2836</v>
      </c>
      <c r="M159" s="244" t="s">
        <v>2837</v>
      </c>
      <c r="N159" s="89"/>
      <c r="O159" s="89"/>
      <c r="P159" s="89"/>
      <c r="Q159" s="89"/>
      <c r="R159" s="89"/>
    </row>
    <row r="160">
      <c r="A160" s="14" t="s">
        <v>286</v>
      </c>
      <c r="B160" s="74">
        <v>5.0</v>
      </c>
      <c r="C160" s="204" t="s">
        <v>2842</v>
      </c>
      <c r="D160" s="204" t="s">
        <v>2843</v>
      </c>
      <c r="E160" s="36" t="s">
        <v>49</v>
      </c>
      <c r="F160" s="242"/>
      <c r="H160" s="243"/>
      <c r="I160" s="243"/>
      <c r="L160" s="224" t="s">
        <v>2844</v>
      </c>
      <c r="M160" s="244" t="s">
        <v>2845</v>
      </c>
      <c r="N160" s="89"/>
      <c r="O160" s="89"/>
      <c r="P160" s="89"/>
      <c r="Q160" s="89"/>
      <c r="R160" s="89"/>
    </row>
    <row r="161">
      <c r="A161" s="14" t="s">
        <v>286</v>
      </c>
      <c r="B161" s="74">
        <v>6.0</v>
      </c>
      <c r="C161" s="204" t="s">
        <v>2846</v>
      </c>
      <c r="D161" s="204" t="s">
        <v>2848</v>
      </c>
      <c r="E161" s="36" t="s">
        <v>49</v>
      </c>
      <c r="F161" s="242"/>
      <c r="H161" s="243"/>
      <c r="I161" s="243"/>
      <c r="L161" s="224" t="s">
        <v>2849</v>
      </c>
      <c r="M161" s="244" t="s">
        <v>2851</v>
      </c>
      <c r="N161" s="89"/>
      <c r="O161" s="89"/>
      <c r="P161" s="89"/>
      <c r="Q161" s="89"/>
      <c r="R161" s="89"/>
    </row>
    <row r="162">
      <c r="A162" s="14" t="s">
        <v>286</v>
      </c>
      <c r="B162" s="35">
        <v>7.0</v>
      </c>
      <c r="C162" s="204" t="s">
        <v>278</v>
      </c>
      <c r="D162" s="204" t="s">
        <v>2857</v>
      </c>
      <c r="E162" s="51" t="s">
        <v>53</v>
      </c>
      <c r="F162" s="242"/>
      <c r="H162" s="243"/>
      <c r="I162" s="243"/>
      <c r="L162" s="88"/>
      <c r="M162" s="223" t="s">
        <v>2858</v>
      </c>
      <c r="N162" s="89"/>
      <c r="O162" s="89"/>
      <c r="P162" s="89"/>
      <c r="Q162" s="89"/>
      <c r="R162" s="89"/>
    </row>
    <row r="163">
      <c r="A163" s="14" t="s">
        <v>286</v>
      </c>
      <c r="B163" s="35">
        <v>8.0</v>
      </c>
      <c r="C163" s="204" t="s">
        <v>971</v>
      </c>
      <c r="D163" s="204" t="s">
        <v>2863</v>
      </c>
      <c r="E163" s="51" t="s">
        <v>53</v>
      </c>
      <c r="F163" s="242"/>
      <c r="H163" s="243"/>
      <c r="I163" s="243"/>
      <c r="L163" s="88"/>
      <c r="M163" s="223" t="s">
        <v>2864</v>
      </c>
      <c r="N163" s="89"/>
      <c r="O163" s="89"/>
      <c r="P163" s="89"/>
      <c r="Q163" s="89"/>
      <c r="R163" s="89"/>
    </row>
    <row r="164">
      <c r="A164" s="14" t="s">
        <v>286</v>
      </c>
      <c r="B164" s="74">
        <v>9.0</v>
      </c>
      <c r="C164" s="213" t="s">
        <v>896</v>
      </c>
      <c r="D164" s="213" t="s">
        <v>2676</v>
      </c>
      <c r="E164" s="36" t="s">
        <v>49</v>
      </c>
      <c r="F164" s="242"/>
      <c r="H164" s="243"/>
      <c r="I164" s="243"/>
      <c r="L164" s="88"/>
      <c r="M164" s="223"/>
      <c r="N164" s="89"/>
      <c r="O164" s="89"/>
      <c r="P164" s="89"/>
      <c r="Q164" s="89"/>
      <c r="R164" s="89"/>
    </row>
    <row r="165">
      <c r="A165" s="14" t="s">
        <v>286</v>
      </c>
      <c r="B165" s="74">
        <v>10.0</v>
      </c>
      <c r="C165" s="204" t="s">
        <v>199</v>
      </c>
      <c r="D165" s="213" t="s">
        <v>2867</v>
      </c>
      <c r="E165" s="36" t="s">
        <v>49</v>
      </c>
      <c r="F165" s="242"/>
      <c r="H165" s="243"/>
      <c r="I165" s="243"/>
      <c r="L165" s="224" t="s">
        <v>2868</v>
      </c>
      <c r="M165" s="244" t="s">
        <v>2869</v>
      </c>
      <c r="N165" s="89"/>
      <c r="O165" s="89"/>
      <c r="P165" s="89"/>
      <c r="Q165" s="89"/>
      <c r="R165" s="89"/>
    </row>
    <row r="166">
      <c r="A166" s="14" t="s">
        <v>286</v>
      </c>
      <c r="B166" s="74">
        <v>11.0</v>
      </c>
      <c r="C166" s="204" t="s">
        <v>456</v>
      </c>
      <c r="D166" s="204" t="s">
        <v>2874</v>
      </c>
      <c r="E166" s="36" t="s">
        <v>49</v>
      </c>
      <c r="F166" s="248" t="s">
        <v>903</v>
      </c>
      <c r="H166" s="243"/>
      <c r="I166" s="243"/>
      <c r="K166" s="14" t="s">
        <v>2875</v>
      </c>
      <c r="L166" s="88"/>
      <c r="M166" s="223" t="s">
        <v>2876</v>
      </c>
      <c r="N166" s="89"/>
      <c r="O166" s="89"/>
      <c r="P166" s="89"/>
      <c r="Q166" s="89"/>
      <c r="R166" s="89"/>
    </row>
    <row r="167">
      <c r="A167" s="14" t="s">
        <v>286</v>
      </c>
      <c r="B167" s="35">
        <v>12.0</v>
      </c>
      <c r="C167" s="213" t="s">
        <v>2551</v>
      </c>
      <c r="D167" s="213" t="s">
        <v>2878</v>
      </c>
      <c r="E167" s="36" t="s">
        <v>49</v>
      </c>
      <c r="F167" s="242"/>
      <c r="H167" s="243"/>
      <c r="I167" s="243"/>
      <c r="L167" s="88"/>
      <c r="M167" s="223"/>
      <c r="N167" s="89"/>
      <c r="O167" s="89"/>
      <c r="P167" s="89"/>
      <c r="Q167" s="89"/>
      <c r="R167" s="89"/>
    </row>
    <row r="168">
      <c r="A168" s="14" t="s">
        <v>286</v>
      </c>
      <c r="B168" s="74">
        <v>13.0</v>
      </c>
      <c r="C168" s="213" t="s">
        <v>514</v>
      </c>
      <c r="D168" s="194" t="s">
        <v>2879</v>
      </c>
      <c r="E168" s="100" t="s">
        <v>49</v>
      </c>
      <c r="F168" s="242"/>
      <c r="H168" s="243"/>
      <c r="I168" s="246"/>
      <c r="L168" s="88"/>
      <c r="M168" s="223"/>
      <c r="N168" s="89"/>
      <c r="O168" s="89"/>
      <c r="P168" s="89"/>
      <c r="Q168" s="89"/>
      <c r="R168" s="89"/>
    </row>
    <row r="169">
      <c r="A169" s="14" t="s">
        <v>286</v>
      </c>
      <c r="B169" s="74">
        <v>14.0</v>
      </c>
      <c r="C169" s="213" t="s">
        <v>930</v>
      </c>
      <c r="D169" s="213" t="s">
        <v>2881</v>
      </c>
      <c r="E169" s="36" t="s">
        <v>49</v>
      </c>
      <c r="F169" s="242"/>
      <c r="H169" s="243"/>
      <c r="I169" s="243"/>
      <c r="L169" s="88"/>
      <c r="M169" s="223"/>
      <c r="N169" s="89"/>
      <c r="O169" s="89"/>
      <c r="P169" s="89"/>
      <c r="Q169" s="89"/>
      <c r="R169" s="89"/>
    </row>
    <row r="170">
      <c r="A170" s="14" t="s">
        <v>286</v>
      </c>
      <c r="B170" s="74">
        <v>15.0</v>
      </c>
      <c r="C170" s="204" t="s">
        <v>2882</v>
      </c>
      <c r="D170" s="204" t="s">
        <v>2883</v>
      </c>
      <c r="E170" s="36" t="s">
        <v>49</v>
      </c>
      <c r="F170" s="242"/>
      <c r="H170" s="243"/>
      <c r="I170" s="243"/>
      <c r="L170" s="88"/>
      <c r="M170" s="223" t="s">
        <v>2884</v>
      </c>
      <c r="N170" s="89"/>
      <c r="O170" s="89"/>
      <c r="P170" s="89"/>
      <c r="Q170" s="89"/>
      <c r="R170" s="89"/>
    </row>
    <row r="171">
      <c r="A171" s="14" t="s">
        <v>286</v>
      </c>
      <c r="B171" s="35">
        <v>16.0</v>
      </c>
      <c r="C171" s="213" t="s">
        <v>1134</v>
      </c>
      <c r="D171" s="213" t="s">
        <v>2886</v>
      </c>
      <c r="E171" s="51" t="s">
        <v>53</v>
      </c>
      <c r="F171" s="242"/>
      <c r="H171" s="243"/>
      <c r="I171" s="243"/>
      <c r="L171" s="88"/>
      <c r="M171" s="89"/>
      <c r="N171" s="89"/>
      <c r="O171" s="89"/>
      <c r="P171" s="89"/>
      <c r="Q171" s="89"/>
      <c r="R171" s="89"/>
    </row>
    <row r="172">
      <c r="A172" s="14" t="s">
        <v>286</v>
      </c>
      <c r="B172" s="74">
        <v>17.0</v>
      </c>
      <c r="C172" s="204" t="s">
        <v>98</v>
      </c>
      <c r="D172" s="204" t="s">
        <v>2887</v>
      </c>
      <c r="E172" s="51" t="s">
        <v>53</v>
      </c>
      <c r="F172" s="242"/>
      <c r="H172" s="243"/>
      <c r="L172" s="88"/>
      <c r="M172" s="223" t="s">
        <v>2888</v>
      </c>
      <c r="N172" s="89"/>
      <c r="O172" s="89"/>
      <c r="P172" s="89"/>
      <c r="Q172" s="89"/>
      <c r="R172" s="89"/>
    </row>
    <row r="173">
      <c r="A173" s="14" t="s">
        <v>286</v>
      </c>
      <c r="B173" s="74">
        <v>18.0</v>
      </c>
      <c r="C173" s="204" t="s">
        <v>1255</v>
      </c>
      <c r="D173" s="204" t="s">
        <v>2889</v>
      </c>
      <c r="E173" s="51" t="s">
        <v>53</v>
      </c>
      <c r="F173" s="242"/>
      <c r="H173" s="243"/>
      <c r="L173" s="88"/>
      <c r="M173" s="223" t="s">
        <v>2890</v>
      </c>
      <c r="N173" s="89"/>
      <c r="O173" s="89"/>
      <c r="P173" s="89"/>
      <c r="Q173" s="89"/>
      <c r="R173" s="89"/>
    </row>
    <row r="174">
      <c r="A174" s="14" t="s">
        <v>286</v>
      </c>
      <c r="B174" s="74">
        <v>19.0</v>
      </c>
      <c r="C174" s="204" t="s">
        <v>2629</v>
      </c>
      <c r="D174" s="204" t="s">
        <v>2893</v>
      </c>
      <c r="E174" s="36" t="s">
        <v>49</v>
      </c>
      <c r="F174" s="242"/>
      <c r="H174" s="243"/>
      <c r="I174" s="243"/>
      <c r="L174" s="224" t="s">
        <v>2894</v>
      </c>
      <c r="M174" s="244" t="s">
        <v>2895</v>
      </c>
      <c r="N174" s="89"/>
      <c r="O174" s="89"/>
      <c r="P174" s="89"/>
      <c r="Q174" s="89"/>
      <c r="R174" s="89"/>
    </row>
    <row r="175">
      <c r="A175" s="14" t="s">
        <v>286</v>
      </c>
      <c r="B175" s="35">
        <v>20.0</v>
      </c>
      <c r="C175" s="204" t="s">
        <v>679</v>
      </c>
      <c r="D175" s="204" t="s">
        <v>2904</v>
      </c>
      <c r="E175" s="51" t="s">
        <v>53</v>
      </c>
      <c r="F175" s="242"/>
      <c r="H175" s="243"/>
      <c r="L175" s="88"/>
      <c r="M175" s="223" t="s">
        <v>2905</v>
      </c>
      <c r="N175" s="89"/>
      <c r="O175" s="89"/>
      <c r="P175" s="89"/>
      <c r="Q175" s="89"/>
      <c r="R175" s="89"/>
    </row>
    <row r="176">
      <c r="A176" s="14" t="s">
        <v>286</v>
      </c>
      <c r="B176" s="35">
        <v>21.0</v>
      </c>
      <c r="C176" s="204" t="s">
        <v>971</v>
      </c>
      <c r="D176" s="204" t="s">
        <v>130</v>
      </c>
      <c r="E176" s="51" t="s">
        <v>53</v>
      </c>
      <c r="F176" s="242"/>
      <c r="H176" s="243"/>
      <c r="L176" s="88"/>
      <c r="M176" s="223" t="s">
        <v>2909</v>
      </c>
      <c r="N176" s="89"/>
      <c r="O176" s="89"/>
      <c r="P176" s="89"/>
      <c r="Q176" s="89"/>
      <c r="R176" s="89"/>
    </row>
    <row r="177">
      <c r="A177" s="14" t="s">
        <v>286</v>
      </c>
      <c r="B177" s="74">
        <v>22.0</v>
      </c>
      <c r="C177" s="204" t="s">
        <v>2912</v>
      </c>
      <c r="D177" s="204" t="s">
        <v>89</v>
      </c>
      <c r="E177" s="36" t="s">
        <v>49</v>
      </c>
      <c r="F177" s="242"/>
      <c r="H177" s="243"/>
      <c r="L177" s="224" t="s">
        <v>2915</v>
      </c>
      <c r="M177" s="244" t="s">
        <v>2916</v>
      </c>
      <c r="N177" s="89"/>
      <c r="O177" s="89"/>
      <c r="P177" s="89"/>
      <c r="Q177" s="89"/>
      <c r="R177" s="89"/>
    </row>
    <row r="178">
      <c r="A178" s="14" t="s">
        <v>286</v>
      </c>
      <c r="B178" s="74">
        <v>23.0</v>
      </c>
      <c r="C178" s="213" t="s">
        <v>2194</v>
      </c>
      <c r="D178" s="213" t="s">
        <v>1130</v>
      </c>
      <c r="E178" s="252" t="s">
        <v>2920</v>
      </c>
      <c r="F178" s="242"/>
      <c r="H178" s="243"/>
      <c r="L178" s="88"/>
      <c r="M178" s="89"/>
      <c r="N178" s="89"/>
      <c r="O178" s="89"/>
      <c r="P178" s="89"/>
      <c r="Q178" s="89"/>
      <c r="R178" s="89"/>
    </row>
    <row r="179">
      <c r="A179" s="14" t="s">
        <v>286</v>
      </c>
      <c r="B179" s="35">
        <v>24.0</v>
      </c>
      <c r="C179" s="213" t="s">
        <v>2133</v>
      </c>
      <c r="D179" s="213" t="s">
        <v>2931</v>
      </c>
      <c r="E179" s="100" t="s">
        <v>49</v>
      </c>
      <c r="F179" s="242"/>
      <c r="H179" s="243"/>
      <c r="L179" s="88"/>
      <c r="M179" s="89"/>
      <c r="N179" s="89"/>
      <c r="O179" s="89"/>
      <c r="P179" s="89"/>
      <c r="Q179" s="89"/>
      <c r="R179" s="89"/>
    </row>
    <row r="180">
      <c r="A180" s="14" t="s">
        <v>286</v>
      </c>
      <c r="B180" s="35">
        <v>25.0</v>
      </c>
      <c r="C180" s="204" t="s">
        <v>419</v>
      </c>
      <c r="D180" s="204" t="s">
        <v>2942</v>
      </c>
      <c r="E180" s="36" t="s">
        <v>49</v>
      </c>
      <c r="F180" s="248" t="s">
        <v>176</v>
      </c>
      <c r="H180" s="243"/>
      <c r="I180" s="243"/>
      <c r="K180" s="14" t="s">
        <v>176</v>
      </c>
      <c r="L180" s="88"/>
      <c r="M180" s="223" t="s">
        <v>2943</v>
      </c>
      <c r="N180" s="89"/>
      <c r="O180" s="89"/>
      <c r="P180" s="89"/>
      <c r="Q180" s="89"/>
      <c r="R180" s="89"/>
    </row>
    <row r="181">
      <c r="A181" s="14" t="s">
        <v>286</v>
      </c>
      <c r="B181" s="35">
        <v>26.0</v>
      </c>
      <c r="C181" s="204" t="s">
        <v>2262</v>
      </c>
      <c r="D181" s="204" t="s">
        <v>2949</v>
      </c>
      <c r="E181" s="51" t="s">
        <v>53</v>
      </c>
      <c r="F181" s="242"/>
      <c r="H181" s="243"/>
      <c r="I181" s="243"/>
      <c r="K181" s="14" t="s">
        <v>2950</v>
      </c>
      <c r="L181" s="88"/>
      <c r="M181" s="223" t="s">
        <v>2951</v>
      </c>
      <c r="N181" s="89"/>
      <c r="O181" s="89"/>
      <c r="P181" s="89"/>
      <c r="Q181" s="89"/>
      <c r="R181" s="89"/>
    </row>
    <row r="182">
      <c r="A182" s="14" t="s">
        <v>286</v>
      </c>
      <c r="B182" s="74">
        <v>27.0</v>
      </c>
      <c r="C182" s="204" t="s">
        <v>2952</v>
      </c>
      <c r="D182" s="204" t="s">
        <v>2954</v>
      </c>
      <c r="E182" s="36" t="s">
        <v>49</v>
      </c>
      <c r="F182" s="242"/>
      <c r="H182" s="243"/>
      <c r="I182" s="243"/>
      <c r="L182" s="224" t="s">
        <v>2955</v>
      </c>
      <c r="M182" s="244" t="s">
        <v>2956</v>
      </c>
      <c r="N182" s="89"/>
      <c r="O182" s="89"/>
      <c r="P182" s="89"/>
      <c r="Q182" s="89"/>
      <c r="R182" s="89"/>
    </row>
    <row r="183">
      <c r="A183" s="14" t="s">
        <v>286</v>
      </c>
      <c r="B183" s="35">
        <v>28.0</v>
      </c>
      <c r="C183" s="204" t="s">
        <v>980</v>
      </c>
      <c r="D183" s="204" t="s">
        <v>2962</v>
      </c>
      <c r="E183" s="51" t="s">
        <v>53</v>
      </c>
      <c r="F183" s="242"/>
      <c r="H183" s="243"/>
      <c r="L183" s="88"/>
      <c r="M183" s="223" t="s">
        <v>2963</v>
      </c>
      <c r="N183" s="89"/>
      <c r="O183" s="89"/>
      <c r="P183" s="89"/>
      <c r="Q183" s="89"/>
      <c r="R183" s="89"/>
    </row>
    <row r="184">
      <c r="A184" s="14" t="s">
        <v>286</v>
      </c>
      <c r="B184" s="74">
        <v>29.0</v>
      </c>
      <c r="C184" s="204" t="s">
        <v>2964</v>
      </c>
      <c r="D184" s="204" t="s">
        <v>2970</v>
      </c>
      <c r="E184" s="36" t="s">
        <v>49</v>
      </c>
      <c r="F184" s="242"/>
      <c r="H184" s="243"/>
      <c r="L184" s="224" t="s">
        <v>2971</v>
      </c>
      <c r="M184" s="89"/>
      <c r="N184" s="89"/>
      <c r="O184" s="89"/>
      <c r="P184" s="89"/>
      <c r="Q184" s="89"/>
      <c r="R184" s="89"/>
    </row>
    <row r="185">
      <c r="A185" s="14" t="s">
        <v>286</v>
      </c>
      <c r="B185" s="74">
        <v>30.0</v>
      </c>
      <c r="C185" s="204" t="s">
        <v>373</v>
      </c>
      <c r="D185" s="204" t="s">
        <v>2973</v>
      </c>
      <c r="E185" s="51" t="s">
        <v>53</v>
      </c>
      <c r="F185" s="242"/>
      <c r="H185" s="243"/>
      <c r="L185" s="88"/>
      <c r="M185" s="223" t="s">
        <v>2974</v>
      </c>
      <c r="N185" s="89"/>
      <c r="O185" s="89"/>
      <c r="P185" s="89"/>
      <c r="Q185" s="89"/>
      <c r="R185" s="89"/>
    </row>
    <row r="186">
      <c r="A186" s="14" t="s">
        <v>286</v>
      </c>
      <c r="B186" s="35">
        <v>31.0</v>
      </c>
      <c r="C186" s="204" t="s">
        <v>2977</v>
      </c>
      <c r="D186" s="204" t="s">
        <v>456</v>
      </c>
      <c r="E186" s="51" t="s">
        <v>53</v>
      </c>
      <c r="F186" s="253"/>
      <c r="H186" s="243"/>
      <c r="I186" s="243"/>
      <c r="L186" s="88"/>
      <c r="M186" s="223" t="s">
        <v>2979</v>
      </c>
      <c r="N186" s="89"/>
      <c r="O186" s="89"/>
      <c r="P186" s="89"/>
      <c r="Q186" s="89"/>
      <c r="R186" s="89"/>
    </row>
    <row r="187">
      <c r="A187" s="14" t="s">
        <v>286</v>
      </c>
      <c r="B187" s="35">
        <v>32.0</v>
      </c>
      <c r="C187" s="204" t="s">
        <v>2302</v>
      </c>
      <c r="D187" s="204" t="s">
        <v>2983</v>
      </c>
      <c r="E187" s="51" t="s">
        <v>53</v>
      </c>
      <c r="F187" s="242"/>
      <c r="H187" s="243"/>
      <c r="I187" s="243"/>
      <c r="L187" s="88"/>
      <c r="M187" s="223" t="s">
        <v>2984</v>
      </c>
      <c r="N187" s="89"/>
      <c r="O187" s="89"/>
      <c r="P187" s="89"/>
      <c r="Q187" s="89"/>
      <c r="R187" s="89"/>
    </row>
    <row r="188">
      <c r="A188" s="14" t="s">
        <v>286</v>
      </c>
      <c r="B188" s="35">
        <v>33.0</v>
      </c>
      <c r="C188" s="204" t="s">
        <v>2989</v>
      </c>
      <c r="D188" s="204" t="s">
        <v>2990</v>
      </c>
      <c r="E188" s="51" t="s">
        <v>53</v>
      </c>
      <c r="F188" s="242"/>
      <c r="H188" s="243"/>
      <c r="I188" s="243"/>
      <c r="L188" s="88"/>
      <c r="M188" s="223" t="s">
        <v>2991</v>
      </c>
      <c r="N188" s="89"/>
      <c r="O188" s="89"/>
      <c r="P188" s="89"/>
      <c r="Q188" s="89"/>
      <c r="R188" s="89"/>
    </row>
    <row r="189">
      <c r="A189" s="14" t="s">
        <v>286</v>
      </c>
      <c r="B189" s="35">
        <v>34.0</v>
      </c>
      <c r="C189" s="204" t="s">
        <v>2993</v>
      </c>
      <c r="D189" s="204" t="s">
        <v>2995</v>
      </c>
      <c r="E189" s="51" t="s">
        <v>53</v>
      </c>
      <c r="F189" s="254" t="s">
        <v>498</v>
      </c>
      <c r="H189" s="243"/>
      <c r="I189" s="243"/>
      <c r="K189" s="14" t="s">
        <v>2997</v>
      </c>
      <c r="L189" s="88"/>
      <c r="M189" s="223" t="s">
        <v>2998</v>
      </c>
      <c r="N189" s="89"/>
      <c r="O189" s="89"/>
      <c r="P189" s="89"/>
      <c r="Q189" s="89"/>
      <c r="R189" s="89"/>
    </row>
    <row r="190">
      <c r="A190" s="14" t="s">
        <v>286</v>
      </c>
      <c r="B190" s="35">
        <v>35.0</v>
      </c>
      <c r="C190" s="204" t="s">
        <v>980</v>
      </c>
      <c r="D190" s="204" t="s">
        <v>3004</v>
      </c>
      <c r="E190" s="51" t="s">
        <v>53</v>
      </c>
      <c r="F190" s="242"/>
      <c r="H190" s="243"/>
      <c r="L190" s="88"/>
      <c r="M190" s="223" t="s">
        <v>3005</v>
      </c>
      <c r="N190" s="89"/>
      <c r="O190" s="89"/>
      <c r="P190" s="89"/>
      <c r="Q190" s="89"/>
      <c r="R190" s="89"/>
    </row>
    <row r="191">
      <c r="A191" s="14" t="s">
        <v>286</v>
      </c>
      <c r="B191" s="35">
        <v>36.0</v>
      </c>
      <c r="C191" s="213" t="s">
        <v>3010</v>
      </c>
      <c r="D191" s="213" t="s">
        <v>3011</v>
      </c>
      <c r="E191" s="100" t="s">
        <v>49</v>
      </c>
      <c r="F191" s="242"/>
      <c r="H191" s="243"/>
      <c r="L191" s="88"/>
      <c r="M191" s="89"/>
      <c r="N191" s="89"/>
      <c r="O191" s="89"/>
      <c r="P191" s="89"/>
      <c r="Q191" s="89"/>
      <c r="R191" s="89"/>
    </row>
    <row r="192">
      <c r="A192" s="70"/>
      <c r="B192" s="71"/>
      <c r="C192" s="71"/>
      <c r="D192" s="71"/>
      <c r="E192" s="70"/>
      <c r="F192" s="103"/>
      <c r="G192" s="70"/>
      <c r="H192" s="70"/>
      <c r="I192" s="70"/>
      <c r="J192" s="70"/>
      <c r="K192" s="70"/>
      <c r="L192" s="70"/>
      <c r="M192" s="70"/>
      <c r="N192" s="70"/>
      <c r="O192" s="70"/>
      <c r="P192" s="70"/>
      <c r="Q192" s="70"/>
      <c r="R192" s="70"/>
      <c r="S192" s="70"/>
      <c r="T192" s="70"/>
      <c r="U192" s="70"/>
      <c r="V192" s="70"/>
      <c r="W192" s="70"/>
      <c r="X192" s="70"/>
      <c r="Y192" s="70"/>
      <c r="Z192" s="70"/>
      <c r="AA192" s="70"/>
      <c r="AB192" s="70"/>
      <c r="AC192" s="70"/>
      <c r="AD192" s="70"/>
    </row>
    <row r="193">
      <c r="A193" s="14" t="s">
        <v>421</v>
      </c>
      <c r="B193" s="139"/>
      <c r="C193" s="77" t="s">
        <v>3012</v>
      </c>
      <c r="D193" s="77" t="s">
        <v>3013</v>
      </c>
      <c r="E193" s="36" t="s">
        <v>49</v>
      </c>
      <c r="F193" s="48"/>
    </row>
    <row r="194">
      <c r="A194" s="70"/>
      <c r="B194" s="71"/>
      <c r="C194" s="71"/>
      <c r="D194" s="71"/>
      <c r="E194" s="70"/>
      <c r="F194" s="103"/>
      <c r="G194" s="70"/>
      <c r="H194" s="70"/>
      <c r="I194" s="70"/>
      <c r="J194" s="70"/>
      <c r="K194" s="70"/>
      <c r="L194" s="70"/>
      <c r="M194" s="70"/>
      <c r="N194" s="70"/>
      <c r="O194" s="70"/>
      <c r="P194" s="70"/>
      <c r="Q194" s="70"/>
      <c r="R194" s="70"/>
      <c r="S194" s="70"/>
      <c r="T194" s="70"/>
      <c r="U194" s="70"/>
      <c r="V194" s="70"/>
      <c r="W194" s="70"/>
      <c r="X194" s="70"/>
      <c r="Y194" s="70"/>
      <c r="Z194" s="70"/>
      <c r="AA194" s="70"/>
      <c r="AB194" s="70"/>
      <c r="AC194" s="70"/>
      <c r="AD194" s="70"/>
    </row>
    <row r="195">
      <c r="A195" s="14" t="s">
        <v>427</v>
      </c>
      <c r="B195" s="139"/>
      <c r="C195" s="77" t="s">
        <v>278</v>
      </c>
      <c r="D195" s="77" t="s">
        <v>1780</v>
      </c>
      <c r="E195" s="36" t="s">
        <v>49</v>
      </c>
      <c r="F195" s="48"/>
    </row>
    <row r="196">
      <c r="A196" s="14" t="s">
        <v>427</v>
      </c>
      <c r="B196" s="139"/>
      <c r="C196" s="77" t="s">
        <v>622</v>
      </c>
      <c r="D196" s="77" t="s">
        <v>3014</v>
      </c>
      <c r="E196" s="36" t="s">
        <v>49</v>
      </c>
      <c r="F196" s="48"/>
    </row>
    <row r="197">
      <c r="A197" s="14" t="s">
        <v>427</v>
      </c>
      <c r="B197" s="139"/>
      <c r="C197" s="77" t="s">
        <v>2595</v>
      </c>
      <c r="D197" s="77" t="s">
        <v>3015</v>
      </c>
      <c r="E197" s="36" t="s">
        <v>49</v>
      </c>
      <c r="F197" s="48"/>
    </row>
    <row r="198">
      <c r="A198" s="14" t="s">
        <v>427</v>
      </c>
      <c r="B198" s="139"/>
      <c r="C198" s="77" t="s">
        <v>476</v>
      </c>
      <c r="D198" s="77" t="s">
        <v>3017</v>
      </c>
      <c r="E198" s="36" t="s">
        <v>49</v>
      </c>
      <c r="F198" s="48"/>
    </row>
    <row r="199">
      <c r="A199" s="14" t="s">
        <v>427</v>
      </c>
      <c r="B199" s="139"/>
      <c r="C199" s="77" t="s">
        <v>3018</v>
      </c>
      <c r="D199" s="77" t="s">
        <v>2568</v>
      </c>
      <c r="E199" s="36" t="s">
        <v>49</v>
      </c>
      <c r="F199" s="48"/>
    </row>
    <row r="200">
      <c r="A200" s="70"/>
      <c r="B200" s="71"/>
      <c r="C200" s="71"/>
      <c r="D200" s="71"/>
      <c r="E200" s="70"/>
      <c r="F200" s="103"/>
      <c r="G200" s="70"/>
      <c r="H200" s="70"/>
      <c r="I200" s="70"/>
      <c r="J200" s="70"/>
      <c r="K200" s="70"/>
      <c r="L200" s="70"/>
      <c r="M200" s="70"/>
      <c r="N200" s="70"/>
      <c r="O200" s="70"/>
      <c r="P200" s="70"/>
      <c r="Q200" s="70"/>
      <c r="R200" s="70"/>
      <c r="S200" s="70"/>
      <c r="T200" s="70"/>
      <c r="U200" s="70"/>
      <c r="V200" s="70"/>
      <c r="W200" s="70"/>
      <c r="X200" s="70"/>
      <c r="Y200" s="70"/>
      <c r="Z200" s="70"/>
      <c r="AA200" s="70"/>
      <c r="AB200" s="70"/>
      <c r="AC200" s="70"/>
      <c r="AD200" s="70"/>
    </row>
    <row r="201">
      <c r="A201" s="14" t="s">
        <v>430</v>
      </c>
      <c r="B201" s="77" t="s">
        <v>431</v>
      </c>
      <c r="C201" s="77" t="s">
        <v>1112</v>
      </c>
      <c r="D201" s="77" t="s">
        <v>2805</v>
      </c>
      <c r="E201" s="36" t="s">
        <v>49</v>
      </c>
      <c r="F201" s="48"/>
    </row>
    <row r="202">
      <c r="A202" s="14" t="s">
        <v>430</v>
      </c>
      <c r="B202" s="77" t="s">
        <v>434</v>
      </c>
      <c r="C202" s="77" t="s">
        <v>173</v>
      </c>
      <c r="D202" s="77" t="s">
        <v>3019</v>
      </c>
      <c r="E202" s="36" t="s">
        <v>49</v>
      </c>
      <c r="F202" s="48"/>
    </row>
    <row r="203">
      <c r="A203" s="70"/>
      <c r="B203" s="71"/>
      <c r="C203" s="71"/>
      <c r="D203" s="71"/>
      <c r="E203" s="70"/>
      <c r="F203" s="103"/>
      <c r="G203" s="70"/>
      <c r="H203" s="70"/>
      <c r="I203" s="70"/>
      <c r="J203" s="70"/>
      <c r="K203" s="70"/>
      <c r="L203" s="70"/>
      <c r="M203" s="70"/>
      <c r="N203" s="70"/>
      <c r="O203" s="70"/>
      <c r="P203" s="70"/>
      <c r="Q203" s="70"/>
      <c r="R203" s="70"/>
      <c r="S203" s="70"/>
      <c r="T203" s="70"/>
      <c r="U203" s="70"/>
      <c r="V203" s="70"/>
      <c r="W203" s="70"/>
      <c r="X203" s="70"/>
      <c r="Y203" s="70"/>
      <c r="Z203" s="70"/>
      <c r="AA203" s="70"/>
      <c r="AB203" s="70"/>
      <c r="AC203" s="70"/>
      <c r="AD203" s="70"/>
    </row>
    <row r="204">
      <c r="A204" s="14" t="s">
        <v>438</v>
      </c>
      <c r="B204" s="139"/>
      <c r="C204" s="77" t="s">
        <v>1058</v>
      </c>
      <c r="D204" s="77" t="s">
        <v>3021</v>
      </c>
      <c r="E204" s="36" t="s">
        <v>49</v>
      </c>
      <c r="F204" s="48"/>
    </row>
    <row r="205">
      <c r="A205" s="70"/>
      <c r="B205" s="71"/>
      <c r="C205" s="71"/>
      <c r="D205" s="71"/>
      <c r="E205" s="70"/>
      <c r="F205" s="103"/>
      <c r="G205" s="70"/>
      <c r="H205" s="70"/>
      <c r="I205" s="70"/>
      <c r="J205" s="70"/>
      <c r="K205" s="70"/>
      <c r="L205" s="70"/>
      <c r="M205" s="70"/>
      <c r="N205" s="70"/>
      <c r="O205" s="70"/>
      <c r="P205" s="70"/>
      <c r="Q205" s="70"/>
      <c r="R205" s="70"/>
      <c r="S205" s="70"/>
      <c r="T205" s="70"/>
      <c r="U205" s="70"/>
      <c r="V205" s="70"/>
      <c r="W205" s="70"/>
      <c r="X205" s="70"/>
      <c r="Y205" s="70"/>
      <c r="Z205" s="70"/>
      <c r="AA205" s="70"/>
      <c r="AB205" s="70"/>
      <c r="AC205" s="70"/>
      <c r="AD205" s="70"/>
    </row>
    <row r="206">
      <c r="B206" s="139"/>
      <c r="C206" s="139"/>
      <c r="D206" s="139"/>
      <c r="F206" s="48"/>
    </row>
    <row r="207">
      <c r="B207" s="139"/>
      <c r="C207" s="139"/>
      <c r="D207" s="139"/>
      <c r="F207" s="48"/>
    </row>
    <row r="208">
      <c r="B208" s="139"/>
      <c r="C208" s="139"/>
      <c r="D208" s="139"/>
      <c r="F208" s="48"/>
    </row>
    <row r="209">
      <c r="B209" s="139"/>
      <c r="C209" s="139"/>
      <c r="D209" s="139"/>
      <c r="F209" s="48"/>
    </row>
    <row r="210">
      <c r="B210" s="139"/>
      <c r="C210" s="139"/>
      <c r="D210" s="139"/>
      <c r="F210" s="48"/>
    </row>
    <row r="211">
      <c r="B211" s="139"/>
      <c r="C211" s="139"/>
      <c r="D211" s="139"/>
      <c r="F211" s="48"/>
    </row>
    <row r="212">
      <c r="B212" s="139"/>
      <c r="C212" s="139"/>
      <c r="D212" s="139"/>
      <c r="F212" s="48"/>
    </row>
    <row r="213">
      <c r="B213" s="139"/>
      <c r="C213" s="139"/>
      <c r="D213" s="139"/>
      <c r="F213" s="48"/>
    </row>
    <row r="214">
      <c r="B214" s="139"/>
      <c r="C214" s="139"/>
      <c r="D214" s="139"/>
      <c r="F214" s="48"/>
    </row>
    <row r="215">
      <c r="B215" s="139"/>
      <c r="C215" s="139"/>
      <c r="D215" s="139"/>
      <c r="F215" s="48"/>
    </row>
    <row r="216">
      <c r="B216" s="139"/>
      <c r="C216" s="139"/>
      <c r="D216" s="139"/>
      <c r="F216" s="48"/>
    </row>
    <row r="217">
      <c r="B217" s="139"/>
      <c r="C217" s="139"/>
      <c r="D217" s="139"/>
      <c r="F217" s="48"/>
    </row>
    <row r="218">
      <c r="B218" s="139"/>
      <c r="C218" s="139"/>
      <c r="D218" s="139"/>
      <c r="F218" s="48"/>
    </row>
    <row r="219">
      <c r="B219" s="139"/>
      <c r="C219" s="139"/>
      <c r="D219" s="139"/>
      <c r="F219" s="48"/>
    </row>
    <row r="220">
      <c r="B220" s="139"/>
      <c r="C220" s="139"/>
      <c r="D220" s="139"/>
      <c r="F220" s="48"/>
    </row>
    <row r="221">
      <c r="B221" s="139"/>
      <c r="C221" s="139"/>
      <c r="D221" s="139"/>
      <c r="F221" s="48"/>
    </row>
    <row r="222">
      <c r="B222" s="139"/>
      <c r="C222" s="139"/>
      <c r="D222" s="139"/>
      <c r="F222" s="48"/>
    </row>
    <row r="223">
      <c r="B223" s="139"/>
      <c r="C223" s="139"/>
      <c r="D223" s="139"/>
      <c r="F223" s="48"/>
    </row>
    <row r="224">
      <c r="B224" s="139"/>
      <c r="C224" s="139"/>
      <c r="D224" s="139"/>
      <c r="F224" s="48"/>
    </row>
    <row r="225">
      <c r="B225" s="139"/>
      <c r="C225" s="139"/>
      <c r="D225" s="139"/>
      <c r="F225" s="48"/>
    </row>
    <row r="226">
      <c r="B226" s="139"/>
      <c r="C226" s="139"/>
      <c r="D226" s="139"/>
      <c r="F226" s="48"/>
    </row>
    <row r="227">
      <c r="B227" s="139"/>
      <c r="C227" s="139"/>
      <c r="D227" s="139"/>
      <c r="F227" s="48"/>
    </row>
    <row r="228">
      <c r="B228" s="139"/>
      <c r="C228" s="139"/>
      <c r="D228" s="139"/>
      <c r="F228" s="48"/>
    </row>
    <row r="229">
      <c r="B229" s="139"/>
      <c r="C229" s="139"/>
      <c r="D229" s="139"/>
      <c r="F229" s="48"/>
    </row>
    <row r="230">
      <c r="B230" s="139"/>
      <c r="C230" s="139"/>
      <c r="D230" s="139"/>
      <c r="F230" s="48"/>
    </row>
    <row r="231">
      <c r="B231" s="139"/>
      <c r="C231" s="139"/>
      <c r="D231" s="139"/>
      <c r="F231" s="48"/>
    </row>
    <row r="232">
      <c r="B232" s="139"/>
      <c r="C232" s="139"/>
      <c r="D232" s="139"/>
      <c r="F232" s="48"/>
    </row>
    <row r="233">
      <c r="B233" s="139"/>
      <c r="C233" s="139"/>
      <c r="D233" s="139"/>
      <c r="F233" s="48"/>
    </row>
    <row r="234">
      <c r="B234" s="139"/>
      <c r="C234" s="139"/>
      <c r="D234" s="139"/>
      <c r="F234" s="48"/>
    </row>
    <row r="235">
      <c r="B235" s="139"/>
      <c r="C235" s="139"/>
      <c r="D235" s="139"/>
      <c r="F235" s="48"/>
    </row>
    <row r="236">
      <c r="B236" s="139"/>
      <c r="C236" s="139"/>
      <c r="D236" s="139"/>
      <c r="F236" s="48"/>
    </row>
    <row r="237">
      <c r="B237" s="139"/>
      <c r="C237" s="139"/>
      <c r="D237" s="139"/>
      <c r="F237" s="48"/>
    </row>
    <row r="238">
      <c r="B238" s="139"/>
      <c r="C238" s="139"/>
      <c r="D238" s="139"/>
      <c r="F238" s="48"/>
    </row>
    <row r="239">
      <c r="B239" s="139"/>
      <c r="C239" s="139"/>
      <c r="D239" s="139"/>
      <c r="F239" s="48"/>
    </row>
    <row r="240">
      <c r="B240" s="139"/>
      <c r="C240" s="139"/>
      <c r="D240" s="139"/>
      <c r="F240" s="48"/>
    </row>
    <row r="241">
      <c r="B241" s="139"/>
      <c r="C241" s="139"/>
      <c r="D241" s="139"/>
      <c r="F241" s="48"/>
    </row>
    <row r="242">
      <c r="B242" s="139"/>
      <c r="C242" s="139"/>
      <c r="D242" s="139"/>
      <c r="F242" s="48"/>
    </row>
    <row r="243">
      <c r="B243" s="139"/>
      <c r="C243" s="139"/>
      <c r="D243" s="139"/>
      <c r="F243" s="48"/>
    </row>
    <row r="244">
      <c r="B244" s="139"/>
      <c r="C244" s="139"/>
      <c r="D244" s="139"/>
      <c r="F244" s="48"/>
    </row>
    <row r="245">
      <c r="B245" s="139"/>
      <c r="C245" s="139"/>
      <c r="D245" s="139"/>
      <c r="F245" s="48"/>
    </row>
    <row r="246">
      <c r="B246" s="139"/>
      <c r="C246" s="139"/>
      <c r="D246" s="139"/>
      <c r="F246" s="48"/>
    </row>
    <row r="247">
      <c r="B247" s="139"/>
      <c r="C247" s="139"/>
      <c r="D247" s="139"/>
      <c r="F247" s="48"/>
    </row>
    <row r="248">
      <c r="B248" s="139"/>
      <c r="C248" s="139"/>
      <c r="D248" s="139"/>
      <c r="F248" s="48"/>
    </row>
    <row r="249">
      <c r="B249" s="139"/>
      <c r="C249" s="139"/>
      <c r="D249" s="139"/>
      <c r="F249" s="48"/>
    </row>
    <row r="250">
      <c r="B250" s="139"/>
      <c r="C250" s="139"/>
      <c r="D250" s="139"/>
      <c r="F250" s="48"/>
    </row>
    <row r="251">
      <c r="B251" s="139"/>
      <c r="C251" s="139"/>
      <c r="D251" s="139"/>
      <c r="F251" s="48"/>
    </row>
    <row r="252">
      <c r="B252" s="139"/>
      <c r="C252" s="139"/>
      <c r="D252" s="139"/>
      <c r="F252" s="48"/>
    </row>
    <row r="253">
      <c r="B253" s="139"/>
      <c r="C253" s="139"/>
      <c r="D253" s="139"/>
      <c r="F253" s="48"/>
    </row>
    <row r="254">
      <c r="B254" s="139"/>
      <c r="C254" s="139"/>
      <c r="D254" s="139"/>
      <c r="F254" s="48"/>
    </row>
    <row r="255">
      <c r="B255" s="139"/>
      <c r="C255" s="139"/>
      <c r="D255" s="139"/>
      <c r="F255" s="48"/>
    </row>
    <row r="256">
      <c r="B256" s="139"/>
      <c r="C256" s="139"/>
      <c r="D256" s="139"/>
      <c r="F256" s="48"/>
    </row>
    <row r="257">
      <c r="B257" s="139"/>
      <c r="C257" s="139"/>
      <c r="D257" s="139"/>
      <c r="F257" s="48"/>
    </row>
    <row r="258">
      <c r="B258" s="139"/>
      <c r="C258" s="139"/>
      <c r="D258" s="139"/>
      <c r="F258" s="48"/>
    </row>
    <row r="259">
      <c r="B259" s="139"/>
      <c r="C259" s="139"/>
      <c r="D259" s="139"/>
      <c r="F259" s="48"/>
    </row>
    <row r="260">
      <c r="B260" s="139"/>
      <c r="C260" s="139"/>
      <c r="D260" s="139"/>
      <c r="F260" s="48"/>
    </row>
    <row r="261">
      <c r="B261" s="139"/>
      <c r="C261" s="139"/>
      <c r="D261" s="139"/>
      <c r="F261" s="48"/>
    </row>
    <row r="262">
      <c r="B262" s="139"/>
      <c r="C262" s="139"/>
      <c r="D262" s="139"/>
      <c r="F262" s="48"/>
    </row>
    <row r="263">
      <c r="B263" s="139"/>
      <c r="C263" s="139"/>
      <c r="D263" s="139"/>
      <c r="F263" s="48"/>
    </row>
    <row r="264">
      <c r="B264" s="139"/>
      <c r="C264" s="139"/>
      <c r="D264" s="139"/>
      <c r="F264" s="48"/>
    </row>
    <row r="265">
      <c r="B265" s="139"/>
      <c r="C265" s="139"/>
      <c r="D265" s="139"/>
      <c r="F265" s="48"/>
    </row>
    <row r="266">
      <c r="B266" s="139"/>
      <c r="C266" s="139"/>
      <c r="D266" s="139"/>
      <c r="F266" s="48"/>
    </row>
    <row r="267">
      <c r="B267" s="139"/>
      <c r="C267" s="139"/>
      <c r="D267" s="139"/>
      <c r="F267" s="48"/>
    </row>
    <row r="268">
      <c r="B268" s="139"/>
      <c r="C268" s="139"/>
      <c r="D268" s="139"/>
      <c r="F268" s="48"/>
    </row>
    <row r="269">
      <c r="B269" s="139"/>
      <c r="C269" s="139"/>
      <c r="D269" s="139"/>
      <c r="F269" s="48"/>
    </row>
    <row r="270">
      <c r="B270" s="139"/>
      <c r="C270" s="139"/>
      <c r="D270" s="139"/>
      <c r="F270" s="48"/>
    </row>
    <row r="271">
      <c r="B271" s="139"/>
      <c r="C271" s="139"/>
      <c r="D271" s="139"/>
      <c r="F271" s="48"/>
    </row>
    <row r="272">
      <c r="B272" s="139"/>
      <c r="C272" s="139"/>
      <c r="D272" s="139"/>
      <c r="F272" s="48"/>
    </row>
    <row r="273">
      <c r="B273" s="139"/>
      <c r="C273" s="139"/>
      <c r="D273" s="139"/>
      <c r="F273" s="48"/>
    </row>
    <row r="274">
      <c r="B274" s="139"/>
      <c r="C274" s="139"/>
      <c r="D274" s="139"/>
      <c r="F274" s="48"/>
    </row>
    <row r="275">
      <c r="B275" s="139"/>
      <c r="C275" s="139"/>
      <c r="D275" s="139"/>
      <c r="F275" s="48"/>
    </row>
    <row r="276">
      <c r="B276" s="139"/>
      <c r="C276" s="139"/>
      <c r="D276" s="139"/>
      <c r="F276" s="48"/>
    </row>
    <row r="277">
      <c r="B277" s="139"/>
      <c r="C277" s="139"/>
      <c r="D277" s="139"/>
      <c r="F277" s="48"/>
    </row>
    <row r="278">
      <c r="B278" s="139"/>
      <c r="C278" s="139"/>
      <c r="D278" s="139"/>
      <c r="F278" s="48"/>
    </row>
    <row r="279">
      <c r="B279" s="139"/>
      <c r="C279" s="139"/>
      <c r="D279" s="139"/>
      <c r="F279" s="48"/>
    </row>
    <row r="280">
      <c r="B280" s="139"/>
      <c r="C280" s="139"/>
      <c r="D280" s="139"/>
      <c r="F280" s="48"/>
    </row>
    <row r="281">
      <c r="B281" s="139"/>
      <c r="C281" s="139"/>
      <c r="D281" s="139"/>
      <c r="F281" s="48"/>
    </row>
    <row r="282">
      <c r="B282" s="139"/>
      <c r="C282" s="139"/>
      <c r="D282" s="139"/>
      <c r="F282" s="48"/>
    </row>
    <row r="283">
      <c r="B283" s="139"/>
      <c r="C283" s="139"/>
      <c r="D283" s="139"/>
      <c r="F283" s="48"/>
    </row>
    <row r="284">
      <c r="B284" s="139"/>
      <c r="C284" s="139"/>
      <c r="D284" s="139"/>
      <c r="F284" s="48"/>
    </row>
    <row r="285">
      <c r="B285" s="139"/>
      <c r="C285" s="139"/>
      <c r="D285" s="139"/>
      <c r="F285" s="48"/>
    </row>
    <row r="286">
      <c r="B286" s="139"/>
      <c r="C286" s="139"/>
      <c r="D286" s="139"/>
      <c r="F286" s="48"/>
    </row>
    <row r="287">
      <c r="B287" s="139"/>
      <c r="C287" s="139"/>
      <c r="D287" s="139"/>
      <c r="F287" s="48"/>
    </row>
    <row r="288">
      <c r="B288" s="139"/>
      <c r="C288" s="139"/>
      <c r="D288" s="139"/>
      <c r="F288" s="48"/>
    </row>
    <row r="289">
      <c r="B289" s="139"/>
      <c r="C289" s="139"/>
      <c r="D289" s="139"/>
      <c r="F289" s="48"/>
    </row>
    <row r="290">
      <c r="B290" s="139"/>
      <c r="C290" s="139"/>
      <c r="D290" s="139"/>
      <c r="F290" s="48"/>
    </row>
    <row r="291">
      <c r="B291" s="139"/>
      <c r="C291" s="139"/>
      <c r="D291" s="139"/>
      <c r="F291" s="48"/>
    </row>
    <row r="292">
      <c r="B292" s="139"/>
      <c r="C292" s="139"/>
      <c r="D292" s="139"/>
      <c r="F292" s="48"/>
    </row>
    <row r="293">
      <c r="B293" s="139"/>
      <c r="C293" s="139"/>
      <c r="D293" s="139"/>
      <c r="F293" s="48"/>
    </row>
    <row r="294">
      <c r="B294" s="139"/>
      <c r="C294" s="139"/>
      <c r="D294" s="139"/>
      <c r="F294" s="48"/>
    </row>
    <row r="295">
      <c r="B295" s="139"/>
      <c r="C295" s="139"/>
      <c r="D295" s="139"/>
      <c r="F295" s="48"/>
    </row>
    <row r="296">
      <c r="B296" s="139"/>
      <c r="C296" s="139"/>
      <c r="D296" s="139"/>
      <c r="F296" s="48"/>
    </row>
    <row r="297">
      <c r="B297" s="139"/>
      <c r="C297" s="139"/>
      <c r="D297" s="139"/>
      <c r="F297" s="48"/>
    </row>
    <row r="298">
      <c r="B298" s="139"/>
      <c r="C298" s="139"/>
      <c r="D298" s="139"/>
      <c r="F298" s="48"/>
    </row>
    <row r="299">
      <c r="B299" s="139"/>
      <c r="C299" s="139"/>
      <c r="D299" s="139"/>
      <c r="F299" s="48"/>
    </row>
    <row r="300">
      <c r="B300" s="139"/>
      <c r="C300" s="139"/>
      <c r="D300" s="139"/>
      <c r="F300" s="48"/>
    </row>
    <row r="301">
      <c r="B301" s="139"/>
      <c r="C301" s="139"/>
      <c r="D301" s="139"/>
      <c r="F301" s="48"/>
    </row>
    <row r="302">
      <c r="B302" s="139"/>
      <c r="C302" s="139"/>
      <c r="D302" s="139"/>
      <c r="F302" s="48"/>
    </row>
    <row r="303">
      <c r="B303" s="139"/>
      <c r="C303" s="139"/>
      <c r="D303" s="139"/>
      <c r="F303" s="48"/>
    </row>
    <row r="304">
      <c r="B304" s="139"/>
      <c r="C304" s="139"/>
      <c r="D304" s="139"/>
      <c r="F304" s="48"/>
    </row>
    <row r="305">
      <c r="B305" s="139"/>
      <c r="C305" s="139"/>
      <c r="D305" s="139"/>
      <c r="F305" s="48"/>
    </row>
    <row r="306">
      <c r="B306" s="139"/>
      <c r="C306" s="139"/>
      <c r="D306" s="139"/>
      <c r="F306" s="48"/>
    </row>
    <row r="307">
      <c r="B307" s="139"/>
      <c r="C307" s="139"/>
      <c r="D307" s="139"/>
      <c r="F307" s="48"/>
    </row>
    <row r="308">
      <c r="B308" s="139"/>
      <c r="C308" s="139"/>
      <c r="D308" s="139"/>
      <c r="F308" s="48"/>
    </row>
    <row r="309">
      <c r="B309" s="139"/>
      <c r="C309" s="139"/>
      <c r="D309" s="139"/>
      <c r="F309" s="48"/>
    </row>
    <row r="310">
      <c r="B310" s="139"/>
      <c r="C310" s="139"/>
      <c r="D310" s="139"/>
      <c r="F310" s="48"/>
    </row>
    <row r="311">
      <c r="B311" s="139"/>
      <c r="C311" s="139"/>
      <c r="D311" s="139"/>
      <c r="F311" s="48"/>
    </row>
    <row r="312">
      <c r="B312" s="139"/>
      <c r="C312" s="139"/>
      <c r="D312" s="139"/>
      <c r="F312" s="48"/>
    </row>
    <row r="313">
      <c r="B313" s="139"/>
      <c r="C313" s="139"/>
      <c r="D313" s="139"/>
      <c r="F313" s="48"/>
    </row>
    <row r="314">
      <c r="B314" s="139"/>
      <c r="C314" s="139"/>
      <c r="D314" s="139"/>
      <c r="F314" s="48"/>
    </row>
    <row r="315">
      <c r="B315" s="139"/>
      <c r="C315" s="139"/>
      <c r="D315" s="139"/>
      <c r="F315" s="48"/>
    </row>
    <row r="316">
      <c r="B316" s="139"/>
      <c r="C316" s="139"/>
      <c r="D316" s="139"/>
      <c r="F316" s="48"/>
    </row>
    <row r="317">
      <c r="B317" s="139"/>
      <c r="C317" s="139"/>
      <c r="D317" s="139"/>
      <c r="F317" s="48"/>
    </row>
    <row r="318">
      <c r="B318" s="139"/>
      <c r="C318" s="139"/>
      <c r="D318" s="139"/>
      <c r="F318" s="48"/>
    </row>
    <row r="319">
      <c r="B319" s="139"/>
      <c r="C319" s="139"/>
      <c r="D319" s="139"/>
      <c r="F319" s="48"/>
    </row>
    <row r="320">
      <c r="B320" s="139"/>
      <c r="C320" s="139"/>
      <c r="D320" s="139"/>
      <c r="F320" s="48"/>
    </row>
    <row r="321">
      <c r="B321" s="139"/>
      <c r="C321" s="139"/>
      <c r="D321" s="139"/>
      <c r="F321" s="48"/>
    </row>
    <row r="322">
      <c r="B322" s="139"/>
      <c r="C322" s="139"/>
      <c r="D322" s="139"/>
      <c r="F322" s="48"/>
    </row>
    <row r="323">
      <c r="B323" s="139"/>
      <c r="C323" s="139"/>
      <c r="D323" s="139"/>
      <c r="F323" s="48"/>
    </row>
    <row r="324">
      <c r="B324" s="139"/>
      <c r="C324" s="139"/>
      <c r="D324" s="139"/>
      <c r="F324" s="48"/>
    </row>
    <row r="325">
      <c r="B325" s="139"/>
      <c r="C325" s="139"/>
      <c r="D325" s="139"/>
      <c r="F325" s="48"/>
    </row>
    <row r="326">
      <c r="B326" s="139"/>
      <c r="C326" s="139"/>
      <c r="D326" s="139"/>
      <c r="F326" s="48"/>
    </row>
    <row r="327">
      <c r="B327" s="139"/>
      <c r="C327" s="139"/>
      <c r="D327" s="139"/>
      <c r="F327" s="48"/>
    </row>
    <row r="328">
      <c r="B328" s="139"/>
      <c r="C328" s="139"/>
      <c r="D328" s="139"/>
      <c r="F328" s="48"/>
    </row>
    <row r="329">
      <c r="B329" s="139"/>
      <c r="C329" s="139"/>
      <c r="D329" s="139"/>
      <c r="F329" s="48"/>
    </row>
    <row r="330">
      <c r="B330" s="139"/>
      <c r="C330" s="139"/>
      <c r="D330" s="139"/>
      <c r="F330" s="48"/>
    </row>
    <row r="331">
      <c r="B331" s="139"/>
      <c r="C331" s="139"/>
      <c r="D331" s="139"/>
      <c r="F331" s="48"/>
    </row>
    <row r="332">
      <c r="B332" s="139"/>
      <c r="C332" s="139"/>
      <c r="D332" s="139"/>
      <c r="F332" s="48"/>
    </row>
    <row r="333">
      <c r="B333" s="139"/>
      <c r="C333" s="139"/>
      <c r="D333" s="139"/>
      <c r="F333" s="48"/>
    </row>
    <row r="334">
      <c r="B334" s="139"/>
      <c r="C334" s="139"/>
      <c r="D334" s="139"/>
      <c r="F334" s="48"/>
    </row>
    <row r="335">
      <c r="B335" s="139"/>
      <c r="C335" s="139"/>
      <c r="D335" s="139"/>
      <c r="F335" s="48"/>
    </row>
    <row r="336">
      <c r="B336" s="139"/>
      <c r="C336" s="139"/>
      <c r="D336" s="139"/>
      <c r="F336" s="48"/>
    </row>
    <row r="337">
      <c r="B337" s="139"/>
      <c r="C337" s="139"/>
      <c r="D337" s="139"/>
      <c r="F337" s="48"/>
    </row>
    <row r="338">
      <c r="B338" s="139"/>
      <c r="C338" s="139"/>
      <c r="D338" s="139"/>
      <c r="F338" s="48"/>
    </row>
    <row r="339">
      <c r="B339" s="139"/>
      <c r="C339" s="139"/>
      <c r="D339" s="139"/>
      <c r="F339" s="48"/>
    </row>
    <row r="340">
      <c r="B340" s="139"/>
      <c r="C340" s="139"/>
      <c r="D340" s="139"/>
      <c r="F340" s="48"/>
    </row>
    <row r="341">
      <c r="B341" s="139"/>
      <c r="C341" s="139"/>
      <c r="D341" s="139"/>
      <c r="F341" s="48"/>
    </row>
    <row r="342">
      <c r="B342" s="139"/>
      <c r="C342" s="139"/>
      <c r="D342" s="139"/>
      <c r="F342" s="48"/>
    </row>
    <row r="343">
      <c r="B343" s="139"/>
      <c r="C343" s="139"/>
      <c r="D343" s="139"/>
      <c r="F343" s="48"/>
    </row>
    <row r="344">
      <c r="B344" s="139"/>
      <c r="C344" s="139"/>
      <c r="D344" s="139"/>
      <c r="F344" s="48"/>
    </row>
    <row r="345">
      <c r="B345" s="139"/>
      <c r="C345" s="139"/>
      <c r="D345" s="139"/>
      <c r="F345" s="48"/>
    </row>
    <row r="346">
      <c r="B346" s="139"/>
      <c r="C346" s="139"/>
      <c r="D346" s="139"/>
      <c r="F346" s="48"/>
    </row>
    <row r="347">
      <c r="B347" s="139"/>
      <c r="C347" s="139"/>
      <c r="D347" s="139"/>
      <c r="F347" s="48"/>
    </row>
    <row r="348">
      <c r="B348" s="139"/>
      <c r="C348" s="139"/>
      <c r="D348" s="139"/>
      <c r="F348" s="48"/>
    </row>
    <row r="349">
      <c r="B349" s="139"/>
      <c r="C349" s="139"/>
      <c r="D349" s="139"/>
      <c r="F349" s="48"/>
    </row>
    <row r="350">
      <c r="B350" s="139"/>
      <c r="C350" s="139"/>
      <c r="D350" s="139"/>
      <c r="F350" s="48"/>
    </row>
    <row r="351">
      <c r="B351" s="139"/>
      <c r="C351" s="139"/>
      <c r="D351" s="139"/>
      <c r="F351" s="48"/>
    </row>
    <row r="352">
      <c r="B352" s="139"/>
      <c r="C352" s="139"/>
      <c r="D352" s="139"/>
      <c r="F352" s="48"/>
    </row>
    <row r="353">
      <c r="B353" s="139"/>
      <c r="C353" s="139"/>
      <c r="D353" s="139"/>
      <c r="F353" s="48"/>
    </row>
    <row r="354">
      <c r="B354" s="139"/>
      <c r="C354" s="139"/>
      <c r="D354" s="139"/>
      <c r="F354" s="48"/>
    </row>
    <row r="355">
      <c r="B355" s="139"/>
      <c r="C355" s="139"/>
      <c r="D355" s="139"/>
      <c r="F355" s="48"/>
    </row>
    <row r="356">
      <c r="B356" s="139"/>
      <c r="C356" s="139"/>
      <c r="D356" s="139"/>
      <c r="F356" s="48"/>
    </row>
    <row r="357">
      <c r="B357" s="139"/>
      <c r="C357" s="139"/>
      <c r="D357" s="139"/>
      <c r="F357" s="48"/>
    </row>
    <row r="358">
      <c r="B358" s="139"/>
      <c r="C358" s="139"/>
      <c r="D358" s="139"/>
      <c r="F358" s="48"/>
    </row>
    <row r="359">
      <c r="B359" s="139"/>
      <c r="C359" s="139"/>
      <c r="D359" s="139"/>
      <c r="F359" s="48"/>
    </row>
    <row r="360">
      <c r="B360" s="139"/>
      <c r="C360" s="139"/>
      <c r="D360" s="139"/>
      <c r="F360" s="48"/>
    </row>
    <row r="361">
      <c r="B361" s="139"/>
      <c r="C361" s="139"/>
      <c r="D361" s="139"/>
      <c r="F361" s="48"/>
    </row>
    <row r="362">
      <c r="B362" s="139"/>
      <c r="C362" s="139"/>
      <c r="D362" s="139"/>
      <c r="F362" s="48"/>
    </row>
    <row r="363">
      <c r="B363" s="139"/>
      <c r="C363" s="139"/>
      <c r="D363" s="139"/>
      <c r="F363" s="48"/>
    </row>
    <row r="364">
      <c r="B364" s="139"/>
      <c r="C364" s="139"/>
      <c r="D364" s="139"/>
      <c r="F364" s="48"/>
    </row>
    <row r="365">
      <c r="B365" s="139"/>
      <c r="C365" s="139"/>
      <c r="D365" s="139"/>
      <c r="F365" s="48"/>
    </row>
    <row r="366">
      <c r="B366" s="139"/>
      <c r="C366" s="139"/>
      <c r="D366" s="139"/>
      <c r="F366" s="48"/>
    </row>
    <row r="367">
      <c r="B367" s="139"/>
      <c r="C367" s="139"/>
      <c r="D367" s="139"/>
      <c r="F367" s="48"/>
    </row>
    <row r="368">
      <c r="B368" s="139"/>
      <c r="C368" s="139"/>
      <c r="D368" s="139"/>
      <c r="F368" s="48"/>
    </row>
    <row r="369">
      <c r="B369" s="139"/>
      <c r="C369" s="139"/>
      <c r="D369" s="139"/>
      <c r="F369" s="48"/>
    </row>
    <row r="370">
      <c r="B370" s="139"/>
      <c r="C370" s="139"/>
      <c r="D370" s="139"/>
      <c r="F370" s="48"/>
    </row>
    <row r="371">
      <c r="B371" s="139"/>
      <c r="C371" s="139"/>
      <c r="D371" s="139"/>
      <c r="F371" s="48"/>
    </row>
    <row r="372">
      <c r="B372" s="139"/>
      <c r="C372" s="139"/>
      <c r="D372" s="139"/>
      <c r="F372" s="48"/>
    </row>
    <row r="373">
      <c r="B373" s="139"/>
      <c r="C373" s="139"/>
      <c r="D373" s="139"/>
      <c r="F373" s="48"/>
    </row>
    <row r="374">
      <c r="B374" s="139"/>
      <c r="C374" s="139"/>
      <c r="D374" s="139"/>
      <c r="F374" s="48"/>
    </row>
    <row r="375">
      <c r="B375" s="139"/>
      <c r="C375" s="139"/>
      <c r="D375" s="139"/>
      <c r="F375" s="48"/>
    </row>
    <row r="376">
      <c r="B376" s="139"/>
      <c r="C376" s="139"/>
      <c r="D376" s="139"/>
      <c r="F376" s="48"/>
    </row>
    <row r="377">
      <c r="B377" s="139"/>
      <c r="C377" s="139"/>
      <c r="D377" s="139"/>
      <c r="F377" s="48"/>
    </row>
    <row r="378">
      <c r="B378" s="139"/>
      <c r="C378" s="139"/>
      <c r="D378" s="139"/>
      <c r="F378" s="48"/>
    </row>
    <row r="379">
      <c r="B379" s="139"/>
      <c r="C379" s="139"/>
      <c r="D379" s="139"/>
      <c r="F379" s="48"/>
    </row>
    <row r="380">
      <c r="B380" s="139"/>
      <c r="C380" s="139"/>
      <c r="D380" s="139"/>
      <c r="F380" s="48"/>
    </row>
    <row r="381">
      <c r="B381" s="139"/>
      <c r="C381" s="139"/>
      <c r="D381" s="139"/>
      <c r="F381" s="48"/>
    </row>
    <row r="382">
      <c r="B382" s="139"/>
      <c r="C382" s="139"/>
      <c r="D382" s="139"/>
      <c r="F382" s="48"/>
    </row>
    <row r="383">
      <c r="B383" s="139"/>
      <c r="C383" s="139"/>
      <c r="D383" s="139"/>
      <c r="F383" s="48"/>
    </row>
    <row r="384">
      <c r="B384" s="139"/>
      <c r="C384" s="139"/>
      <c r="D384" s="139"/>
      <c r="F384" s="48"/>
    </row>
    <row r="385">
      <c r="B385" s="139"/>
      <c r="C385" s="139"/>
      <c r="D385" s="139"/>
      <c r="F385" s="48"/>
    </row>
    <row r="386">
      <c r="B386" s="139"/>
      <c r="C386" s="139"/>
      <c r="D386" s="139"/>
      <c r="F386" s="48"/>
    </row>
    <row r="387">
      <c r="B387" s="139"/>
      <c r="C387" s="139"/>
      <c r="D387" s="139"/>
      <c r="F387" s="48"/>
    </row>
    <row r="388">
      <c r="B388" s="139"/>
      <c r="C388" s="139"/>
      <c r="D388" s="139"/>
      <c r="F388" s="48"/>
    </row>
    <row r="389">
      <c r="B389" s="139"/>
      <c r="C389" s="139"/>
      <c r="D389" s="139"/>
      <c r="F389" s="48"/>
    </row>
    <row r="390">
      <c r="B390" s="139"/>
      <c r="C390" s="139"/>
      <c r="D390" s="139"/>
      <c r="F390" s="48"/>
    </row>
    <row r="391">
      <c r="B391" s="139"/>
      <c r="C391" s="139"/>
      <c r="D391" s="139"/>
      <c r="F391" s="48"/>
    </row>
    <row r="392">
      <c r="B392" s="139"/>
      <c r="C392" s="139"/>
      <c r="D392" s="139"/>
      <c r="F392" s="48"/>
    </row>
    <row r="393">
      <c r="B393" s="139"/>
      <c r="C393" s="139"/>
      <c r="D393" s="139"/>
      <c r="F393" s="48"/>
    </row>
    <row r="394">
      <c r="B394" s="139"/>
      <c r="C394" s="139"/>
      <c r="D394" s="139"/>
      <c r="F394" s="48"/>
    </row>
    <row r="395">
      <c r="B395" s="139"/>
      <c r="C395" s="139"/>
      <c r="D395" s="139"/>
      <c r="F395" s="48"/>
    </row>
    <row r="396">
      <c r="B396" s="139"/>
      <c r="C396" s="139"/>
      <c r="D396" s="139"/>
      <c r="F396" s="48"/>
    </row>
    <row r="397">
      <c r="B397" s="139"/>
      <c r="C397" s="139"/>
      <c r="D397" s="139"/>
      <c r="F397" s="48"/>
    </row>
    <row r="398">
      <c r="B398" s="139"/>
      <c r="C398" s="139"/>
      <c r="D398" s="139"/>
      <c r="F398" s="48"/>
    </row>
    <row r="399">
      <c r="B399" s="139"/>
      <c r="C399" s="139"/>
      <c r="D399" s="139"/>
      <c r="F399" s="48"/>
    </row>
    <row r="400">
      <c r="B400" s="139"/>
      <c r="C400" s="139"/>
      <c r="D400" s="139"/>
      <c r="F400" s="48"/>
    </row>
    <row r="401">
      <c r="B401" s="139"/>
      <c r="C401" s="139"/>
      <c r="D401" s="139"/>
      <c r="F401" s="48"/>
    </row>
    <row r="402">
      <c r="B402" s="139"/>
      <c r="C402" s="139"/>
      <c r="D402" s="139"/>
      <c r="F402" s="48"/>
    </row>
    <row r="403">
      <c r="B403" s="139"/>
      <c r="C403" s="139"/>
      <c r="D403" s="139"/>
      <c r="F403" s="48"/>
    </row>
    <row r="404">
      <c r="B404" s="139"/>
      <c r="C404" s="139"/>
      <c r="D404" s="139"/>
      <c r="F404" s="48"/>
    </row>
    <row r="405">
      <c r="B405" s="139"/>
      <c r="C405" s="139"/>
      <c r="D405" s="139"/>
      <c r="F405" s="48"/>
    </row>
    <row r="406">
      <c r="B406" s="139"/>
      <c r="C406" s="139"/>
      <c r="D406" s="139"/>
      <c r="F406" s="48"/>
    </row>
    <row r="407">
      <c r="B407" s="139"/>
      <c r="C407" s="139"/>
      <c r="D407" s="139"/>
      <c r="F407" s="48"/>
    </row>
    <row r="408">
      <c r="B408" s="139"/>
      <c r="C408" s="139"/>
      <c r="D408" s="139"/>
      <c r="F408" s="48"/>
    </row>
    <row r="409">
      <c r="B409" s="139"/>
      <c r="C409" s="139"/>
      <c r="D409" s="139"/>
      <c r="F409" s="48"/>
    </row>
    <row r="410">
      <c r="B410" s="139"/>
      <c r="C410" s="139"/>
      <c r="D410" s="139"/>
      <c r="F410" s="48"/>
    </row>
    <row r="411">
      <c r="B411" s="139"/>
      <c r="C411" s="139"/>
      <c r="D411" s="139"/>
      <c r="F411" s="48"/>
    </row>
    <row r="412">
      <c r="B412" s="139"/>
      <c r="C412" s="139"/>
      <c r="D412" s="139"/>
      <c r="F412" s="48"/>
    </row>
    <row r="413">
      <c r="B413" s="139"/>
      <c r="C413" s="139"/>
      <c r="D413" s="139"/>
      <c r="F413" s="48"/>
    </row>
    <row r="414">
      <c r="B414" s="139"/>
      <c r="C414" s="139"/>
      <c r="D414" s="139"/>
      <c r="F414" s="48"/>
    </row>
    <row r="415">
      <c r="B415" s="139"/>
      <c r="C415" s="139"/>
      <c r="D415" s="139"/>
      <c r="F415" s="48"/>
    </row>
    <row r="416">
      <c r="B416" s="139"/>
      <c r="C416" s="139"/>
      <c r="D416" s="139"/>
      <c r="F416" s="48"/>
    </row>
    <row r="417">
      <c r="B417" s="139"/>
      <c r="C417" s="139"/>
      <c r="D417" s="139"/>
      <c r="F417" s="48"/>
    </row>
    <row r="418">
      <c r="B418" s="139"/>
      <c r="C418" s="139"/>
      <c r="D418" s="139"/>
      <c r="F418" s="48"/>
    </row>
    <row r="419">
      <c r="B419" s="139"/>
      <c r="C419" s="139"/>
      <c r="D419" s="139"/>
      <c r="F419" s="48"/>
    </row>
    <row r="420">
      <c r="B420" s="139"/>
      <c r="C420" s="139"/>
      <c r="D420" s="139"/>
      <c r="F420" s="48"/>
    </row>
    <row r="421">
      <c r="B421" s="139"/>
      <c r="C421" s="139"/>
      <c r="D421" s="139"/>
      <c r="F421" s="48"/>
    </row>
    <row r="422">
      <c r="B422" s="139"/>
      <c r="C422" s="139"/>
      <c r="D422" s="139"/>
      <c r="F422" s="48"/>
    </row>
    <row r="423">
      <c r="B423" s="139"/>
      <c r="C423" s="139"/>
      <c r="D423" s="139"/>
      <c r="F423" s="48"/>
    </row>
    <row r="424">
      <c r="B424" s="139"/>
      <c r="C424" s="139"/>
      <c r="D424" s="139"/>
      <c r="F424" s="48"/>
    </row>
    <row r="425">
      <c r="B425" s="139"/>
      <c r="C425" s="139"/>
      <c r="D425" s="139"/>
      <c r="F425" s="48"/>
    </row>
    <row r="426">
      <c r="B426" s="139"/>
      <c r="C426" s="139"/>
      <c r="D426" s="139"/>
      <c r="F426" s="48"/>
    </row>
    <row r="427">
      <c r="B427" s="139"/>
      <c r="C427" s="139"/>
      <c r="D427" s="139"/>
      <c r="F427" s="48"/>
    </row>
    <row r="428">
      <c r="B428" s="139"/>
      <c r="C428" s="139"/>
      <c r="D428" s="139"/>
      <c r="F428" s="48"/>
    </row>
    <row r="429">
      <c r="B429" s="139"/>
      <c r="C429" s="139"/>
      <c r="D429" s="139"/>
      <c r="F429" s="48"/>
    </row>
    <row r="430">
      <c r="B430" s="139"/>
      <c r="C430" s="139"/>
      <c r="D430" s="139"/>
      <c r="F430" s="48"/>
    </row>
    <row r="431">
      <c r="B431" s="139"/>
      <c r="C431" s="139"/>
      <c r="D431" s="139"/>
      <c r="F431" s="48"/>
    </row>
    <row r="432">
      <c r="B432" s="139"/>
      <c r="C432" s="139"/>
      <c r="D432" s="139"/>
      <c r="F432" s="48"/>
    </row>
    <row r="433">
      <c r="B433" s="139"/>
      <c r="C433" s="139"/>
      <c r="D433" s="139"/>
      <c r="F433" s="48"/>
    </row>
    <row r="434">
      <c r="B434" s="139"/>
      <c r="C434" s="139"/>
      <c r="D434" s="139"/>
      <c r="F434" s="48"/>
    </row>
    <row r="435">
      <c r="B435" s="139"/>
      <c r="C435" s="139"/>
      <c r="D435" s="139"/>
      <c r="F435" s="48"/>
    </row>
    <row r="436">
      <c r="B436" s="139"/>
      <c r="C436" s="139"/>
      <c r="D436" s="139"/>
      <c r="F436" s="48"/>
    </row>
    <row r="437">
      <c r="B437" s="139"/>
      <c r="C437" s="139"/>
      <c r="D437" s="139"/>
      <c r="F437" s="48"/>
    </row>
    <row r="438">
      <c r="B438" s="139"/>
      <c r="C438" s="139"/>
      <c r="D438" s="139"/>
      <c r="F438" s="48"/>
    </row>
    <row r="439">
      <c r="B439" s="139"/>
      <c r="C439" s="139"/>
      <c r="D439" s="139"/>
      <c r="F439" s="48"/>
    </row>
    <row r="440">
      <c r="B440" s="139"/>
      <c r="C440" s="139"/>
      <c r="D440" s="139"/>
      <c r="F440" s="48"/>
    </row>
    <row r="441">
      <c r="B441" s="139"/>
      <c r="C441" s="139"/>
      <c r="D441" s="139"/>
      <c r="F441" s="48"/>
    </row>
    <row r="442">
      <c r="B442" s="139"/>
      <c r="C442" s="139"/>
      <c r="D442" s="139"/>
      <c r="F442" s="48"/>
    </row>
    <row r="443">
      <c r="B443" s="139"/>
      <c r="C443" s="139"/>
      <c r="D443" s="139"/>
      <c r="F443" s="48"/>
    </row>
    <row r="444">
      <c r="B444" s="139"/>
      <c r="C444" s="139"/>
      <c r="D444" s="139"/>
      <c r="F444" s="48"/>
    </row>
    <row r="445">
      <c r="B445" s="139"/>
      <c r="C445" s="139"/>
      <c r="D445" s="139"/>
      <c r="F445" s="48"/>
    </row>
    <row r="446">
      <c r="B446" s="139"/>
      <c r="C446" s="139"/>
      <c r="D446" s="139"/>
      <c r="F446" s="48"/>
    </row>
    <row r="447">
      <c r="B447" s="139"/>
      <c r="C447" s="139"/>
      <c r="D447" s="139"/>
      <c r="F447" s="48"/>
    </row>
    <row r="448">
      <c r="B448" s="139"/>
      <c r="C448" s="139"/>
      <c r="D448" s="139"/>
      <c r="F448" s="48"/>
    </row>
    <row r="449">
      <c r="B449" s="139"/>
      <c r="C449" s="139"/>
      <c r="D449" s="139"/>
      <c r="F449" s="48"/>
    </row>
    <row r="450">
      <c r="B450" s="139"/>
      <c r="C450" s="139"/>
      <c r="D450" s="139"/>
      <c r="F450" s="48"/>
    </row>
    <row r="451">
      <c r="B451" s="139"/>
      <c r="C451" s="139"/>
      <c r="D451" s="139"/>
      <c r="F451" s="48"/>
    </row>
    <row r="452">
      <c r="B452" s="139"/>
      <c r="C452" s="139"/>
      <c r="D452" s="139"/>
      <c r="F452" s="48"/>
    </row>
    <row r="453">
      <c r="B453" s="139"/>
      <c r="C453" s="139"/>
      <c r="D453" s="139"/>
      <c r="F453" s="48"/>
    </row>
    <row r="454">
      <c r="B454" s="139"/>
      <c r="C454" s="139"/>
      <c r="D454" s="139"/>
      <c r="F454" s="48"/>
    </row>
    <row r="455">
      <c r="B455" s="139"/>
      <c r="C455" s="139"/>
      <c r="D455" s="139"/>
      <c r="F455" s="48"/>
    </row>
    <row r="456">
      <c r="B456" s="139"/>
      <c r="C456" s="139"/>
      <c r="D456" s="139"/>
      <c r="F456" s="48"/>
    </row>
    <row r="457">
      <c r="B457" s="139"/>
      <c r="C457" s="139"/>
      <c r="D457" s="139"/>
      <c r="F457" s="48"/>
    </row>
    <row r="458">
      <c r="B458" s="139"/>
      <c r="C458" s="139"/>
      <c r="D458" s="139"/>
      <c r="F458" s="48"/>
    </row>
    <row r="459">
      <c r="B459" s="139"/>
      <c r="C459" s="139"/>
      <c r="D459" s="139"/>
      <c r="F459" s="48"/>
    </row>
    <row r="460">
      <c r="B460" s="139"/>
      <c r="C460" s="139"/>
      <c r="D460" s="139"/>
      <c r="F460" s="48"/>
    </row>
    <row r="461">
      <c r="B461" s="139"/>
      <c r="C461" s="139"/>
      <c r="D461" s="139"/>
      <c r="F461" s="48"/>
    </row>
    <row r="462">
      <c r="B462" s="139"/>
      <c r="C462" s="139"/>
      <c r="D462" s="139"/>
      <c r="F462" s="48"/>
    </row>
    <row r="463">
      <c r="B463" s="139"/>
      <c r="C463" s="139"/>
      <c r="D463" s="139"/>
      <c r="F463" s="48"/>
    </row>
    <row r="464">
      <c r="B464" s="139"/>
      <c r="C464" s="139"/>
      <c r="D464" s="139"/>
      <c r="F464" s="48"/>
    </row>
    <row r="465">
      <c r="B465" s="139"/>
      <c r="C465" s="139"/>
      <c r="D465" s="139"/>
      <c r="F465" s="48"/>
    </row>
    <row r="466">
      <c r="B466" s="139"/>
      <c r="C466" s="139"/>
      <c r="D466" s="139"/>
      <c r="F466" s="48"/>
    </row>
    <row r="467">
      <c r="B467" s="139"/>
      <c r="C467" s="139"/>
      <c r="D467" s="139"/>
      <c r="F467" s="48"/>
    </row>
    <row r="468">
      <c r="B468" s="139"/>
      <c r="C468" s="139"/>
      <c r="D468" s="139"/>
      <c r="F468" s="48"/>
    </row>
    <row r="469">
      <c r="B469" s="139"/>
      <c r="C469" s="139"/>
      <c r="D469" s="139"/>
      <c r="F469" s="48"/>
    </row>
    <row r="470">
      <c r="B470" s="139"/>
      <c r="C470" s="139"/>
      <c r="D470" s="139"/>
      <c r="F470" s="48"/>
    </row>
    <row r="471">
      <c r="B471" s="139"/>
      <c r="C471" s="139"/>
      <c r="D471" s="139"/>
      <c r="F471" s="48"/>
    </row>
    <row r="472">
      <c r="B472" s="139"/>
      <c r="C472" s="139"/>
      <c r="D472" s="139"/>
      <c r="F472" s="48"/>
    </row>
    <row r="473">
      <c r="B473" s="139"/>
      <c r="C473" s="139"/>
      <c r="D473" s="139"/>
      <c r="F473" s="48"/>
    </row>
    <row r="474">
      <c r="B474" s="139"/>
      <c r="C474" s="139"/>
      <c r="D474" s="139"/>
      <c r="F474" s="48"/>
    </row>
    <row r="475">
      <c r="B475" s="139"/>
      <c r="C475" s="139"/>
      <c r="D475" s="139"/>
      <c r="F475" s="48"/>
    </row>
    <row r="476">
      <c r="B476" s="139"/>
      <c r="C476" s="139"/>
      <c r="D476" s="139"/>
      <c r="F476" s="48"/>
    </row>
    <row r="477">
      <c r="B477" s="139"/>
      <c r="C477" s="139"/>
      <c r="D477" s="139"/>
      <c r="F477" s="48"/>
    </row>
    <row r="478">
      <c r="B478" s="139"/>
      <c r="C478" s="139"/>
      <c r="D478" s="139"/>
      <c r="F478" s="48"/>
    </row>
    <row r="479">
      <c r="B479" s="139"/>
      <c r="C479" s="139"/>
      <c r="D479" s="139"/>
      <c r="F479" s="48"/>
    </row>
    <row r="480">
      <c r="B480" s="139"/>
      <c r="C480" s="139"/>
      <c r="D480" s="139"/>
      <c r="F480" s="48"/>
    </row>
    <row r="481">
      <c r="B481" s="139"/>
      <c r="C481" s="139"/>
      <c r="D481" s="139"/>
      <c r="F481" s="48"/>
    </row>
    <row r="482">
      <c r="B482" s="139"/>
      <c r="C482" s="139"/>
      <c r="D482" s="139"/>
      <c r="F482" s="48"/>
    </row>
    <row r="483">
      <c r="B483" s="139"/>
      <c r="C483" s="139"/>
      <c r="D483" s="139"/>
      <c r="F483" s="48"/>
    </row>
    <row r="484">
      <c r="B484" s="139"/>
      <c r="C484" s="139"/>
      <c r="D484" s="139"/>
      <c r="F484" s="48"/>
    </row>
    <row r="485">
      <c r="B485" s="139"/>
      <c r="C485" s="139"/>
      <c r="D485" s="139"/>
      <c r="F485" s="48"/>
    </row>
    <row r="486">
      <c r="B486" s="139"/>
      <c r="C486" s="139"/>
      <c r="D486" s="139"/>
      <c r="F486" s="48"/>
    </row>
    <row r="487">
      <c r="B487" s="139"/>
      <c r="C487" s="139"/>
      <c r="D487" s="139"/>
      <c r="F487" s="48"/>
    </row>
    <row r="488">
      <c r="B488" s="139"/>
      <c r="C488" s="139"/>
      <c r="D488" s="139"/>
      <c r="F488" s="48"/>
    </row>
    <row r="489">
      <c r="B489" s="139"/>
      <c r="C489" s="139"/>
      <c r="D489" s="139"/>
      <c r="F489" s="48"/>
    </row>
    <row r="490">
      <c r="B490" s="139"/>
      <c r="C490" s="139"/>
      <c r="D490" s="139"/>
      <c r="F490" s="48"/>
    </row>
    <row r="491">
      <c r="B491" s="139"/>
      <c r="C491" s="139"/>
      <c r="D491" s="139"/>
      <c r="F491" s="48"/>
    </row>
    <row r="492">
      <c r="B492" s="139"/>
      <c r="C492" s="139"/>
      <c r="D492" s="139"/>
      <c r="F492" s="48"/>
    </row>
    <row r="493">
      <c r="B493" s="139"/>
      <c r="C493" s="139"/>
      <c r="D493" s="139"/>
      <c r="F493" s="48"/>
    </row>
    <row r="494">
      <c r="B494" s="139"/>
      <c r="C494" s="139"/>
      <c r="D494" s="139"/>
      <c r="F494" s="48"/>
    </row>
    <row r="495">
      <c r="B495" s="139"/>
      <c r="C495" s="139"/>
      <c r="D495" s="139"/>
      <c r="F495" s="48"/>
    </row>
    <row r="496">
      <c r="B496" s="139"/>
      <c r="C496" s="139"/>
      <c r="D496" s="139"/>
      <c r="F496" s="48"/>
    </row>
    <row r="497">
      <c r="B497" s="139"/>
      <c r="C497" s="139"/>
      <c r="D497" s="139"/>
      <c r="F497" s="48"/>
    </row>
    <row r="498">
      <c r="B498" s="139"/>
      <c r="C498" s="139"/>
      <c r="D498" s="139"/>
      <c r="F498" s="48"/>
    </row>
    <row r="499">
      <c r="B499" s="139"/>
      <c r="C499" s="139"/>
      <c r="D499" s="139"/>
      <c r="F499" s="48"/>
    </row>
    <row r="500">
      <c r="B500" s="139"/>
      <c r="C500" s="139"/>
      <c r="D500" s="139"/>
      <c r="F500" s="48"/>
    </row>
    <row r="501">
      <c r="B501" s="139"/>
      <c r="C501" s="139"/>
      <c r="D501" s="139"/>
      <c r="F501" s="48"/>
    </row>
    <row r="502">
      <c r="B502" s="139"/>
      <c r="C502" s="139"/>
      <c r="D502" s="139"/>
      <c r="F502" s="48"/>
    </row>
    <row r="503">
      <c r="B503" s="139"/>
      <c r="C503" s="139"/>
      <c r="D503" s="139"/>
      <c r="F503" s="48"/>
    </row>
    <row r="504">
      <c r="B504" s="139"/>
      <c r="C504" s="139"/>
      <c r="D504" s="139"/>
      <c r="F504" s="48"/>
    </row>
    <row r="505">
      <c r="B505" s="139"/>
      <c r="C505" s="139"/>
      <c r="D505" s="139"/>
      <c r="F505" s="48"/>
    </row>
    <row r="506">
      <c r="B506" s="139"/>
      <c r="C506" s="139"/>
      <c r="D506" s="139"/>
      <c r="F506" s="48"/>
    </row>
    <row r="507">
      <c r="B507" s="139"/>
      <c r="C507" s="139"/>
      <c r="D507" s="139"/>
      <c r="F507" s="48"/>
    </row>
    <row r="508">
      <c r="B508" s="139"/>
      <c r="C508" s="139"/>
      <c r="D508" s="139"/>
      <c r="F508" s="48"/>
    </row>
    <row r="509">
      <c r="B509" s="139"/>
      <c r="C509" s="139"/>
      <c r="D509" s="139"/>
      <c r="F509" s="48"/>
    </row>
    <row r="510">
      <c r="B510" s="139"/>
      <c r="C510" s="139"/>
      <c r="D510" s="139"/>
      <c r="F510" s="48"/>
    </row>
    <row r="511">
      <c r="B511" s="139"/>
      <c r="C511" s="139"/>
      <c r="D511" s="139"/>
      <c r="F511" s="48"/>
    </row>
    <row r="512">
      <c r="B512" s="139"/>
      <c r="C512" s="139"/>
      <c r="D512" s="139"/>
      <c r="F512" s="48"/>
    </row>
    <row r="513">
      <c r="B513" s="139"/>
      <c r="C513" s="139"/>
      <c r="D513" s="139"/>
      <c r="F513" s="48"/>
    </row>
    <row r="514">
      <c r="B514" s="139"/>
      <c r="C514" s="139"/>
      <c r="D514" s="139"/>
      <c r="F514" s="48"/>
    </row>
    <row r="515">
      <c r="B515" s="139"/>
      <c r="C515" s="139"/>
      <c r="D515" s="139"/>
      <c r="F515" s="48"/>
    </row>
    <row r="516">
      <c r="B516" s="139"/>
      <c r="C516" s="139"/>
      <c r="D516" s="139"/>
      <c r="F516" s="48"/>
    </row>
    <row r="517">
      <c r="B517" s="139"/>
      <c r="C517" s="139"/>
      <c r="D517" s="139"/>
      <c r="F517" s="48"/>
    </row>
    <row r="518">
      <c r="B518" s="139"/>
      <c r="C518" s="139"/>
      <c r="D518" s="139"/>
      <c r="F518" s="48"/>
    </row>
    <row r="519">
      <c r="B519" s="139"/>
      <c r="C519" s="139"/>
      <c r="D519" s="139"/>
      <c r="F519" s="48"/>
    </row>
    <row r="520">
      <c r="B520" s="139"/>
      <c r="C520" s="139"/>
      <c r="D520" s="139"/>
      <c r="F520" s="48"/>
    </row>
    <row r="521">
      <c r="B521" s="139"/>
      <c r="C521" s="139"/>
      <c r="D521" s="139"/>
      <c r="F521" s="48"/>
    </row>
    <row r="522">
      <c r="B522" s="139"/>
      <c r="C522" s="139"/>
      <c r="D522" s="139"/>
      <c r="F522" s="48"/>
    </row>
    <row r="523">
      <c r="B523" s="139"/>
      <c r="C523" s="139"/>
      <c r="D523" s="139"/>
      <c r="F523" s="48"/>
    </row>
    <row r="524">
      <c r="B524" s="139"/>
      <c r="C524" s="139"/>
      <c r="D524" s="139"/>
      <c r="F524" s="48"/>
    </row>
    <row r="525">
      <c r="B525" s="139"/>
      <c r="C525" s="139"/>
      <c r="D525" s="139"/>
      <c r="F525" s="48"/>
    </row>
    <row r="526">
      <c r="B526" s="139"/>
      <c r="C526" s="139"/>
      <c r="D526" s="139"/>
      <c r="F526" s="48"/>
    </row>
    <row r="527">
      <c r="B527" s="139"/>
      <c r="C527" s="139"/>
      <c r="D527" s="139"/>
      <c r="F527" s="48"/>
    </row>
    <row r="528">
      <c r="B528" s="139"/>
      <c r="C528" s="139"/>
      <c r="D528" s="139"/>
      <c r="F528" s="48"/>
    </row>
    <row r="529">
      <c r="B529" s="139"/>
      <c r="C529" s="139"/>
      <c r="D529" s="139"/>
      <c r="F529" s="48"/>
    </row>
    <row r="530">
      <c r="B530" s="139"/>
      <c r="C530" s="139"/>
      <c r="D530" s="139"/>
      <c r="F530" s="48"/>
    </row>
    <row r="531">
      <c r="B531" s="139"/>
      <c r="C531" s="139"/>
      <c r="D531" s="139"/>
      <c r="F531" s="48"/>
    </row>
    <row r="532">
      <c r="B532" s="139"/>
      <c r="C532" s="139"/>
      <c r="D532" s="139"/>
      <c r="F532" s="48"/>
    </row>
    <row r="533">
      <c r="B533" s="139"/>
      <c r="C533" s="139"/>
      <c r="D533" s="139"/>
      <c r="F533" s="48"/>
    </row>
    <row r="534">
      <c r="B534" s="139"/>
      <c r="C534" s="139"/>
      <c r="D534" s="139"/>
      <c r="F534" s="48"/>
    </row>
    <row r="535">
      <c r="B535" s="139"/>
      <c r="C535" s="139"/>
      <c r="D535" s="139"/>
      <c r="F535" s="48"/>
    </row>
    <row r="536">
      <c r="B536" s="139"/>
      <c r="C536" s="139"/>
      <c r="D536" s="139"/>
      <c r="F536" s="48"/>
    </row>
    <row r="537">
      <c r="B537" s="139"/>
      <c r="C537" s="139"/>
      <c r="D537" s="139"/>
      <c r="F537" s="48"/>
    </row>
    <row r="538">
      <c r="B538" s="139"/>
      <c r="C538" s="139"/>
      <c r="D538" s="139"/>
      <c r="F538" s="48"/>
    </row>
    <row r="539">
      <c r="B539" s="139"/>
      <c r="C539" s="139"/>
      <c r="D539" s="139"/>
      <c r="F539" s="48"/>
    </row>
    <row r="540">
      <c r="B540" s="139"/>
      <c r="C540" s="139"/>
      <c r="D540" s="139"/>
      <c r="F540" s="48"/>
    </row>
    <row r="541">
      <c r="B541" s="139"/>
      <c r="C541" s="139"/>
      <c r="D541" s="139"/>
      <c r="F541" s="48"/>
    </row>
    <row r="542">
      <c r="B542" s="139"/>
      <c r="C542" s="139"/>
      <c r="D542" s="139"/>
      <c r="F542" s="48"/>
    </row>
    <row r="543">
      <c r="B543" s="139"/>
      <c r="C543" s="139"/>
      <c r="D543" s="139"/>
      <c r="F543" s="48"/>
    </row>
    <row r="544">
      <c r="B544" s="139"/>
      <c r="C544" s="139"/>
      <c r="D544" s="139"/>
      <c r="F544" s="48"/>
    </row>
    <row r="545">
      <c r="B545" s="139"/>
      <c r="C545" s="139"/>
      <c r="D545" s="139"/>
      <c r="F545" s="48"/>
    </row>
    <row r="546">
      <c r="B546" s="139"/>
      <c r="C546" s="139"/>
      <c r="D546" s="139"/>
      <c r="F546" s="48"/>
    </row>
    <row r="547">
      <c r="B547" s="139"/>
      <c r="C547" s="139"/>
      <c r="D547" s="139"/>
      <c r="F547" s="48"/>
    </row>
    <row r="548">
      <c r="B548" s="139"/>
      <c r="C548" s="139"/>
      <c r="D548" s="139"/>
      <c r="F548" s="48"/>
    </row>
    <row r="549">
      <c r="B549" s="139"/>
      <c r="C549" s="139"/>
      <c r="D549" s="139"/>
      <c r="F549" s="48"/>
    </row>
    <row r="550">
      <c r="B550" s="139"/>
      <c r="C550" s="139"/>
      <c r="D550" s="139"/>
      <c r="F550" s="48"/>
    </row>
    <row r="551">
      <c r="B551" s="139"/>
      <c r="C551" s="139"/>
      <c r="D551" s="139"/>
      <c r="F551" s="48"/>
    </row>
    <row r="552">
      <c r="B552" s="139"/>
      <c r="C552" s="139"/>
      <c r="D552" s="139"/>
      <c r="F552" s="48"/>
    </row>
    <row r="553">
      <c r="B553" s="139"/>
      <c r="C553" s="139"/>
      <c r="D553" s="139"/>
      <c r="F553" s="48"/>
    </row>
    <row r="554">
      <c r="B554" s="139"/>
      <c r="C554" s="139"/>
      <c r="D554" s="139"/>
      <c r="F554" s="48"/>
    </row>
    <row r="555">
      <c r="B555" s="139"/>
      <c r="C555" s="139"/>
      <c r="D555" s="139"/>
      <c r="F555" s="48"/>
    </row>
    <row r="556">
      <c r="B556" s="139"/>
      <c r="C556" s="139"/>
      <c r="D556" s="139"/>
      <c r="F556" s="48"/>
    </row>
    <row r="557">
      <c r="B557" s="139"/>
      <c r="C557" s="139"/>
      <c r="D557" s="139"/>
      <c r="F557" s="48"/>
    </row>
    <row r="558">
      <c r="B558" s="139"/>
      <c r="C558" s="139"/>
      <c r="D558" s="139"/>
      <c r="F558" s="48"/>
    </row>
    <row r="559">
      <c r="B559" s="139"/>
      <c r="C559" s="139"/>
      <c r="D559" s="139"/>
      <c r="F559" s="48"/>
    </row>
    <row r="560">
      <c r="B560" s="139"/>
      <c r="C560" s="139"/>
      <c r="D560" s="139"/>
      <c r="F560" s="48"/>
    </row>
    <row r="561">
      <c r="B561" s="139"/>
      <c r="C561" s="139"/>
      <c r="D561" s="139"/>
      <c r="F561" s="48"/>
    </row>
    <row r="562">
      <c r="B562" s="139"/>
      <c r="C562" s="139"/>
      <c r="D562" s="139"/>
      <c r="F562" s="48"/>
    </row>
    <row r="563">
      <c r="B563" s="139"/>
      <c r="C563" s="139"/>
      <c r="D563" s="139"/>
      <c r="F563" s="48"/>
    </row>
    <row r="564">
      <c r="B564" s="139"/>
      <c r="C564" s="139"/>
      <c r="D564" s="139"/>
      <c r="F564" s="48"/>
    </row>
    <row r="565">
      <c r="B565" s="139"/>
      <c r="C565" s="139"/>
      <c r="D565" s="139"/>
      <c r="F565" s="48"/>
    </row>
    <row r="566">
      <c r="B566" s="139"/>
      <c r="C566" s="139"/>
      <c r="D566" s="139"/>
      <c r="F566" s="48"/>
    </row>
    <row r="567">
      <c r="B567" s="139"/>
      <c r="C567" s="139"/>
      <c r="D567" s="139"/>
      <c r="F567" s="48"/>
    </row>
    <row r="568">
      <c r="B568" s="139"/>
      <c r="C568" s="139"/>
      <c r="D568" s="139"/>
      <c r="F568" s="48"/>
    </row>
    <row r="569">
      <c r="B569" s="139"/>
      <c r="C569" s="139"/>
      <c r="D569" s="139"/>
      <c r="F569" s="48"/>
    </row>
    <row r="570">
      <c r="B570" s="139"/>
      <c r="C570" s="139"/>
      <c r="D570" s="139"/>
      <c r="F570" s="48"/>
    </row>
    <row r="571">
      <c r="B571" s="139"/>
      <c r="C571" s="139"/>
      <c r="D571" s="139"/>
      <c r="F571" s="48"/>
    </row>
    <row r="572">
      <c r="B572" s="139"/>
      <c r="C572" s="139"/>
      <c r="D572" s="139"/>
      <c r="F572" s="48"/>
    </row>
    <row r="573">
      <c r="B573" s="139"/>
      <c r="C573" s="139"/>
      <c r="D573" s="139"/>
      <c r="F573" s="48"/>
    </row>
    <row r="574">
      <c r="B574" s="139"/>
      <c r="C574" s="139"/>
      <c r="D574" s="139"/>
      <c r="F574" s="48"/>
    </row>
    <row r="575">
      <c r="B575" s="139"/>
      <c r="C575" s="139"/>
      <c r="D575" s="139"/>
      <c r="F575" s="48"/>
    </row>
    <row r="576">
      <c r="B576" s="139"/>
      <c r="C576" s="139"/>
      <c r="D576" s="139"/>
      <c r="F576" s="48"/>
    </row>
    <row r="577">
      <c r="B577" s="139"/>
      <c r="C577" s="139"/>
      <c r="D577" s="139"/>
      <c r="F577" s="48"/>
    </row>
    <row r="578">
      <c r="B578" s="139"/>
      <c r="C578" s="139"/>
      <c r="D578" s="139"/>
      <c r="F578" s="48"/>
    </row>
    <row r="579">
      <c r="B579" s="139"/>
      <c r="C579" s="139"/>
      <c r="D579" s="139"/>
      <c r="F579" s="48"/>
    </row>
    <row r="580">
      <c r="B580" s="139"/>
      <c r="C580" s="139"/>
      <c r="D580" s="139"/>
      <c r="F580" s="48"/>
    </row>
    <row r="581">
      <c r="B581" s="139"/>
      <c r="C581" s="139"/>
      <c r="D581" s="139"/>
      <c r="F581" s="48"/>
    </row>
    <row r="582">
      <c r="B582" s="139"/>
      <c r="C582" s="139"/>
      <c r="D582" s="139"/>
      <c r="F582" s="48"/>
    </row>
    <row r="583">
      <c r="B583" s="139"/>
      <c r="C583" s="139"/>
      <c r="D583" s="139"/>
      <c r="F583" s="48"/>
    </row>
    <row r="584">
      <c r="B584" s="139"/>
      <c r="C584" s="139"/>
      <c r="D584" s="139"/>
      <c r="F584" s="48"/>
    </row>
    <row r="585">
      <c r="B585" s="139"/>
      <c r="C585" s="139"/>
      <c r="D585" s="139"/>
      <c r="F585" s="48"/>
    </row>
    <row r="586">
      <c r="B586" s="139"/>
      <c r="C586" s="139"/>
      <c r="D586" s="139"/>
      <c r="F586" s="48"/>
    </row>
    <row r="587">
      <c r="B587" s="139"/>
      <c r="C587" s="139"/>
      <c r="D587" s="139"/>
      <c r="F587" s="48"/>
    </row>
    <row r="588">
      <c r="B588" s="139"/>
      <c r="C588" s="139"/>
      <c r="D588" s="139"/>
      <c r="F588" s="48"/>
    </row>
    <row r="589">
      <c r="B589" s="139"/>
      <c r="C589" s="139"/>
      <c r="D589" s="139"/>
      <c r="F589" s="48"/>
    </row>
    <row r="590">
      <c r="B590" s="139"/>
      <c r="C590" s="139"/>
      <c r="D590" s="139"/>
      <c r="F590" s="48"/>
    </row>
    <row r="591">
      <c r="B591" s="139"/>
      <c r="C591" s="139"/>
      <c r="D591" s="139"/>
      <c r="F591" s="48"/>
    </row>
    <row r="592">
      <c r="B592" s="139"/>
      <c r="C592" s="139"/>
      <c r="D592" s="139"/>
      <c r="F592" s="48"/>
    </row>
    <row r="593">
      <c r="B593" s="139"/>
      <c r="C593" s="139"/>
      <c r="D593" s="139"/>
      <c r="F593" s="48"/>
    </row>
    <row r="594">
      <c r="B594" s="139"/>
      <c r="C594" s="139"/>
      <c r="D594" s="139"/>
      <c r="F594" s="48"/>
    </row>
    <row r="595">
      <c r="B595" s="139"/>
      <c r="C595" s="139"/>
      <c r="D595" s="139"/>
      <c r="F595" s="48"/>
    </row>
    <row r="596">
      <c r="B596" s="139"/>
      <c r="C596" s="139"/>
      <c r="D596" s="139"/>
      <c r="F596" s="48"/>
    </row>
    <row r="597">
      <c r="B597" s="139"/>
      <c r="C597" s="139"/>
      <c r="D597" s="139"/>
      <c r="F597" s="48"/>
    </row>
    <row r="598">
      <c r="B598" s="139"/>
      <c r="C598" s="139"/>
      <c r="D598" s="139"/>
      <c r="F598" s="48"/>
    </row>
    <row r="599">
      <c r="B599" s="139"/>
      <c r="C599" s="139"/>
      <c r="D599" s="139"/>
      <c r="F599" s="48"/>
    </row>
    <row r="600">
      <c r="B600" s="139"/>
      <c r="C600" s="139"/>
      <c r="D600" s="139"/>
      <c r="F600" s="48"/>
    </row>
    <row r="601">
      <c r="B601" s="139"/>
      <c r="C601" s="139"/>
      <c r="D601" s="139"/>
      <c r="F601" s="48"/>
    </row>
    <row r="602">
      <c r="B602" s="139"/>
      <c r="C602" s="139"/>
      <c r="D602" s="139"/>
      <c r="F602" s="48"/>
    </row>
    <row r="603">
      <c r="B603" s="139"/>
      <c r="C603" s="139"/>
      <c r="D603" s="139"/>
      <c r="F603" s="48"/>
    </row>
    <row r="604">
      <c r="B604" s="139"/>
      <c r="C604" s="139"/>
      <c r="D604" s="139"/>
      <c r="F604" s="48"/>
    </row>
    <row r="605">
      <c r="B605" s="139"/>
      <c r="C605" s="139"/>
      <c r="D605" s="139"/>
      <c r="F605" s="48"/>
    </row>
    <row r="606">
      <c r="B606" s="139"/>
      <c r="C606" s="139"/>
      <c r="D606" s="139"/>
      <c r="F606" s="48"/>
    </row>
    <row r="607">
      <c r="B607" s="139"/>
      <c r="C607" s="139"/>
      <c r="D607" s="139"/>
      <c r="F607" s="48"/>
    </row>
    <row r="608">
      <c r="B608" s="139"/>
      <c r="C608" s="139"/>
      <c r="D608" s="139"/>
      <c r="F608" s="48"/>
    </row>
    <row r="609">
      <c r="B609" s="139"/>
      <c r="C609" s="139"/>
      <c r="D609" s="139"/>
      <c r="F609" s="48"/>
    </row>
    <row r="610">
      <c r="B610" s="139"/>
      <c r="C610" s="139"/>
      <c r="D610" s="139"/>
      <c r="F610" s="48"/>
    </row>
    <row r="611">
      <c r="B611" s="139"/>
      <c r="C611" s="139"/>
      <c r="D611" s="139"/>
      <c r="F611" s="48"/>
    </row>
    <row r="612">
      <c r="B612" s="139"/>
      <c r="C612" s="139"/>
      <c r="D612" s="139"/>
      <c r="F612" s="48"/>
    </row>
    <row r="613">
      <c r="B613" s="139"/>
      <c r="C613" s="139"/>
      <c r="D613" s="139"/>
      <c r="F613" s="48"/>
    </row>
    <row r="614">
      <c r="B614" s="139"/>
      <c r="C614" s="139"/>
      <c r="D614" s="139"/>
      <c r="F614" s="48"/>
    </row>
    <row r="615">
      <c r="B615" s="139"/>
      <c r="C615" s="139"/>
      <c r="D615" s="139"/>
      <c r="F615" s="48"/>
    </row>
    <row r="616">
      <c r="B616" s="139"/>
      <c r="C616" s="139"/>
      <c r="D616" s="139"/>
      <c r="F616" s="48"/>
    </row>
    <row r="617">
      <c r="B617" s="139"/>
      <c r="C617" s="139"/>
      <c r="D617" s="139"/>
      <c r="F617" s="48"/>
    </row>
    <row r="618">
      <c r="B618" s="139"/>
      <c r="C618" s="139"/>
      <c r="D618" s="139"/>
      <c r="F618" s="48"/>
    </row>
    <row r="619">
      <c r="B619" s="139"/>
      <c r="C619" s="139"/>
      <c r="D619" s="139"/>
      <c r="F619" s="48"/>
    </row>
    <row r="620">
      <c r="B620" s="139"/>
      <c r="C620" s="139"/>
      <c r="D620" s="139"/>
      <c r="F620" s="48"/>
    </row>
    <row r="621">
      <c r="B621" s="139"/>
      <c r="C621" s="139"/>
      <c r="D621" s="139"/>
      <c r="F621" s="48"/>
    </row>
    <row r="622">
      <c r="B622" s="139"/>
      <c r="C622" s="139"/>
      <c r="D622" s="139"/>
      <c r="F622" s="48"/>
    </row>
    <row r="623">
      <c r="B623" s="139"/>
      <c r="C623" s="139"/>
      <c r="D623" s="139"/>
      <c r="F623" s="48"/>
    </row>
    <row r="624">
      <c r="B624" s="139"/>
      <c r="C624" s="139"/>
      <c r="D624" s="139"/>
      <c r="F624" s="48"/>
    </row>
    <row r="625">
      <c r="B625" s="139"/>
      <c r="C625" s="139"/>
      <c r="D625" s="139"/>
      <c r="F625" s="48"/>
    </row>
    <row r="626">
      <c r="B626" s="139"/>
      <c r="C626" s="139"/>
      <c r="D626" s="139"/>
      <c r="F626" s="48"/>
    </row>
    <row r="627">
      <c r="B627" s="139"/>
      <c r="C627" s="139"/>
      <c r="D627" s="139"/>
      <c r="F627" s="48"/>
    </row>
    <row r="628">
      <c r="B628" s="139"/>
      <c r="C628" s="139"/>
      <c r="D628" s="139"/>
      <c r="F628" s="48"/>
    </row>
    <row r="629">
      <c r="B629" s="139"/>
      <c r="C629" s="139"/>
      <c r="D629" s="139"/>
      <c r="F629" s="48"/>
    </row>
    <row r="630">
      <c r="B630" s="139"/>
      <c r="C630" s="139"/>
      <c r="D630" s="139"/>
      <c r="F630" s="48"/>
    </row>
    <row r="631">
      <c r="B631" s="139"/>
      <c r="C631" s="139"/>
      <c r="D631" s="139"/>
      <c r="F631" s="48"/>
    </row>
    <row r="632">
      <c r="B632" s="139"/>
      <c r="C632" s="139"/>
      <c r="D632" s="139"/>
      <c r="F632" s="48"/>
    </row>
    <row r="633">
      <c r="B633" s="139"/>
      <c r="C633" s="139"/>
      <c r="D633" s="139"/>
      <c r="F633" s="48"/>
    </row>
    <row r="634">
      <c r="B634" s="139"/>
      <c r="C634" s="139"/>
      <c r="D634" s="139"/>
      <c r="F634" s="48"/>
    </row>
    <row r="635">
      <c r="B635" s="139"/>
      <c r="C635" s="139"/>
      <c r="D635" s="139"/>
      <c r="F635" s="48"/>
    </row>
    <row r="636">
      <c r="B636" s="139"/>
      <c r="C636" s="139"/>
      <c r="D636" s="139"/>
      <c r="F636" s="48"/>
    </row>
    <row r="637">
      <c r="B637" s="139"/>
      <c r="C637" s="139"/>
      <c r="D637" s="139"/>
      <c r="F637" s="48"/>
    </row>
    <row r="638">
      <c r="B638" s="139"/>
      <c r="C638" s="139"/>
      <c r="D638" s="139"/>
      <c r="F638" s="48"/>
    </row>
    <row r="639">
      <c r="B639" s="139"/>
      <c r="C639" s="139"/>
      <c r="D639" s="139"/>
      <c r="F639" s="48"/>
    </row>
    <row r="640">
      <c r="B640" s="139"/>
      <c r="C640" s="139"/>
      <c r="D640" s="139"/>
      <c r="F640" s="48"/>
    </row>
    <row r="641">
      <c r="B641" s="139"/>
      <c r="C641" s="139"/>
      <c r="D641" s="139"/>
      <c r="F641" s="48"/>
    </row>
    <row r="642">
      <c r="B642" s="139"/>
      <c r="C642" s="139"/>
      <c r="D642" s="139"/>
      <c r="F642" s="48"/>
    </row>
    <row r="643">
      <c r="B643" s="139"/>
      <c r="C643" s="139"/>
      <c r="D643" s="139"/>
      <c r="F643" s="48"/>
    </row>
    <row r="644">
      <c r="B644" s="139"/>
      <c r="C644" s="139"/>
      <c r="D644" s="139"/>
      <c r="F644" s="48"/>
    </row>
    <row r="645">
      <c r="B645" s="139"/>
      <c r="C645" s="139"/>
      <c r="D645" s="139"/>
      <c r="F645" s="48"/>
    </row>
    <row r="646">
      <c r="B646" s="139"/>
      <c r="C646" s="139"/>
      <c r="D646" s="139"/>
      <c r="F646" s="48"/>
    </row>
    <row r="647">
      <c r="B647" s="139"/>
      <c r="C647" s="139"/>
      <c r="D647" s="139"/>
      <c r="F647" s="48"/>
    </row>
    <row r="648">
      <c r="B648" s="139"/>
      <c r="C648" s="139"/>
      <c r="D648" s="139"/>
      <c r="F648" s="48"/>
    </row>
    <row r="649">
      <c r="B649" s="139"/>
      <c r="C649" s="139"/>
      <c r="D649" s="139"/>
      <c r="F649" s="48"/>
    </row>
    <row r="650">
      <c r="B650" s="139"/>
      <c r="C650" s="139"/>
      <c r="D650" s="139"/>
      <c r="F650" s="48"/>
    </row>
    <row r="651">
      <c r="B651" s="139"/>
      <c r="C651" s="139"/>
      <c r="D651" s="139"/>
      <c r="F651" s="48"/>
    </row>
    <row r="652">
      <c r="B652" s="139"/>
      <c r="C652" s="139"/>
      <c r="D652" s="139"/>
      <c r="F652" s="48"/>
    </row>
    <row r="653">
      <c r="B653" s="139"/>
      <c r="C653" s="139"/>
      <c r="D653" s="139"/>
      <c r="F653" s="48"/>
    </row>
    <row r="654">
      <c r="B654" s="139"/>
      <c r="C654" s="139"/>
      <c r="D654" s="139"/>
      <c r="F654" s="48"/>
    </row>
    <row r="655">
      <c r="B655" s="139"/>
      <c r="C655" s="139"/>
      <c r="D655" s="139"/>
      <c r="F655" s="48"/>
    </row>
    <row r="656">
      <c r="B656" s="139"/>
      <c r="C656" s="139"/>
      <c r="D656" s="139"/>
      <c r="F656" s="48"/>
    </row>
    <row r="657">
      <c r="B657" s="139"/>
      <c r="C657" s="139"/>
      <c r="D657" s="139"/>
      <c r="F657" s="48"/>
    </row>
    <row r="658">
      <c r="B658" s="139"/>
      <c r="C658" s="139"/>
      <c r="D658" s="139"/>
      <c r="F658" s="48"/>
    </row>
    <row r="659">
      <c r="B659" s="139"/>
      <c r="C659" s="139"/>
      <c r="D659" s="139"/>
      <c r="F659" s="48"/>
    </row>
    <row r="660">
      <c r="B660" s="139"/>
      <c r="C660" s="139"/>
      <c r="D660" s="139"/>
      <c r="F660" s="48"/>
    </row>
    <row r="661">
      <c r="B661" s="139"/>
      <c r="C661" s="139"/>
      <c r="D661" s="139"/>
      <c r="F661" s="48"/>
    </row>
    <row r="662">
      <c r="B662" s="139"/>
      <c r="C662" s="139"/>
      <c r="D662" s="139"/>
      <c r="F662" s="48"/>
    </row>
    <row r="663">
      <c r="B663" s="139"/>
      <c r="C663" s="139"/>
      <c r="D663" s="139"/>
      <c r="F663" s="48"/>
    </row>
    <row r="664">
      <c r="B664" s="139"/>
      <c r="C664" s="139"/>
      <c r="D664" s="139"/>
      <c r="F664" s="48"/>
    </row>
    <row r="665">
      <c r="B665" s="139"/>
      <c r="C665" s="139"/>
      <c r="D665" s="139"/>
      <c r="F665" s="48"/>
    </row>
    <row r="666">
      <c r="B666" s="139"/>
      <c r="C666" s="139"/>
      <c r="D666" s="139"/>
      <c r="F666" s="48"/>
    </row>
    <row r="667">
      <c r="B667" s="139"/>
      <c r="C667" s="139"/>
      <c r="D667" s="139"/>
      <c r="F667" s="48"/>
    </row>
    <row r="668">
      <c r="B668" s="139"/>
      <c r="C668" s="139"/>
      <c r="D668" s="139"/>
      <c r="F668" s="48"/>
    </row>
    <row r="669">
      <c r="B669" s="139"/>
      <c r="C669" s="139"/>
      <c r="D669" s="139"/>
      <c r="F669" s="48"/>
    </row>
    <row r="670">
      <c r="B670" s="139"/>
      <c r="C670" s="139"/>
      <c r="D670" s="139"/>
      <c r="F670" s="48"/>
    </row>
    <row r="671">
      <c r="B671" s="139"/>
      <c r="C671" s="139"/>
      <c r="D671" s="139"/>
      <c r="F671" s="48"/>
    </row>
    <row r="672">
      <c r="B672" s="139"/>
      <c r="C672" s="139"/>
      <c r="D672" s="139"/>
      <c r="F672" s="48"/>
    </row>
    <row r="673">
      <c r="B673" s="139"/>
      <c r="C673" s="139"/>
      <c r="D673" s="139"/>
      <c r="F673" s="48"/>
    </row>
    <row r="674">
      <c r="B674" s="139"/>
      <c r="C674" s="139"/>
      <c r="D674" s="139"/>
      <c r="F674" s="48"/>
    </row>
    <row r="675">
      <c r="B675" s="139"/>
      <c r="C675" s="139"/>
      <c r="D675" s="139"/>
      <c r="F675" s="48"/>
    </row>
    <row r="676">
      <c r="B676" s="139"/>
      <c r="C676" s="139"/>
      <c r="D676" s="139"/>
      <c r="F676" s="48"/>
    </row>
    <row r="677">
      <c r="B677" s="139"/>
      <c r="C677" s="139"/>
      <c r="D677" s="139"/>
      <c r="F677" s="48"/>
    </row>
    <row r="678">
      <c r="B678" s="139"/>
      <c r="C678" s="139"/>
      <c r="D678" s="139"/>
      <c r="F678" s="48"/>
    </row>
    <row r="679">
      <c r="B679" s="139"/>
      <c r="C679" s="139"/>
      <c r="D679" s="139"/>
      <c r="F679" s="48"/>
    </row>
    <row r="680">
      <c r="B680" s="139"/>
      <c r="C680" s="139"/>
      <c r="D680" s="139"/>
      <c r="F680" s="48"/>
    </row>
    <row r="681">
      <c r="B681" s="139"/>
      <c r="C681" s="139"/>
      <c r="D681" s="139"/>
      <c r="F681" s="48"/>
    </row>
    <row r="682">
      <c r="B682" s="139"/>
      <c r="C682" s="139"/>
      <c r="D682" s="139"/>
      <c r="F682" s="48"/>
    </row>
    <row r="683">
      <c r="B683" s="139"/>
      <c r="C683" s="139"/>
      <c r="D683" s="139"/>
      <c r="F683" s="48"/>
    </row>
    <row r="684">
      <c r="B684" s="139"/>
      <c r="C684" s="139"/>
      <c r="D684" s="139"/>
      <c r="F684" s="48"/>
    </row>
    <row r="685">
      <c r="B685" s="139"/>
      <c r="C685" s="139"/>
      <c r="D685" s="139"/>
      <c r="F685" s="48"/>
    </row>
    <row r="686">
      <c r="B686" s="139"/>
      <c r="C686" s="139"/>
      <c r="D686" s="139"/>
      <c r="F686" s="48"/>
    </row>
    <row r="687">
      <c r="B687" s="139"/>
      <c r="C687" s="139"/>
      <c r="D687" s="139"/>
      <c r="F687" s="48"/>
    </row>
    <row r="688">
      <c r="B688" s="139"/>
      <c r="C688" s="139"/>
      <c r="D688" s="139"/>
      <c r="F688" s="48"/>
    </row>
    <row r="689">
      <c r="B689" s="139"/>
      <c r="C689" s="139"/>
      <c r="D689" s="139"/>
      <c r="F689" s="48"/>
    </row>
    <row r="690">
      <c r="B690" s="139"/>
      <c r="C690" s="139"/>
      <c r="D690" s="139"/>
      <c r="F690" s="48"/>
    </row>
    <row r="691">
      <c r="B691" s="139"/>
      <c r="C691" s="139"/>
      <c r="D691" s="139"/>
      <c r="F691" s="48"/>
    </row>
    <row r="692">
      <c r="B692" s="139"/>
      <c r="C692" s="139"/>
      <c r="D692" s="139"/>
      <c r="F692" s="48"/>
    </row>
    <row r="693">
      <c r="B693" s="139"/>
      <c r="C693" s="139"/>
      <c r="D693" s="139"/>
      <c r="F693" s="48"/>
    </row>
    <row r="694">
      <c r="B694" s="139"/>
      <c r="C694" s="139"/>
      <c r="D694" s="139"/>
      <c r="F694" s="48"/>
    </row>
    <row r="695">
      <c r="B695" s="139"/>
      <c r="C695" s="139"/>
      <c r="D695" s="139"/>
      <c r="F695" s="48"/>
    </row>
    <row r="696">
      <c r="B696" s="139"/>
      <c r="C696" s="139"/>
      <c r="D696" s="139"/>
      <c r="F696" s="48"/>
    </row>
    <row r="697">
      <c r="B697" s="139"/>
      <c r="C697" s="139"/>
      <c r="D697" s="139"/>
      <c r="F697" s="48"/>
    </row>
    <row r="698">
      <c r="B698" s="139"/>
      <c r="C698" s="139"/>
      <c r="D698" s="139"/>
      <c r="F698" s="48"/>
    </row>
    <row r="699">
      <c r="B699" s="139"/>
      <c r="C699" s="139"/>
      <c r="D699" s="139"/>
      <c r="F699" s="48"/>
    </row>
    <row r="700">
      <c r="B700" s="139"/>
      <c r="C700" s="139"/>
      <c r="D700" s="139"/>
      <c r="F700" s="48"/>
    </row>
    <row r="701">
      <c r="B701" s="139"/>
      <c r="C701" s="139"/>
      <c r="D701" s="139"/>
      <c r="F701" s="48"/>
    </row>
    <row r="702">
      <c r="B702" s="139"/>
      <c r="C702" s="139"/>
      <c r="D702" s="139"/>
      <c r="F702" s="48"/>
    </row>
    <row r="703">
      <c r="B703" s="139"/>
      <c r="C703" s="139"/>
      <c r="D703" s="139"/>
      <c r="F703" s="48"/>
    </row>
    <row r="704">
      <c r="B704" s="139"/>
      <c r="C704" s="139"/>
      <c r="D704" s="139"/>
      <c r="F704" s="48"/>
    </row>
    <row r="705">
      <c r="B705" s="139"/>
      <c r="C705" s="139"/>
      <c r="D705" s="139"/>
      <c r="F705" s="48"/>
    </row>
    <row r="706">
      <c r="B706" s="139"/>
      <c r="C706" s="139"/>
      <c r="D706" s="139"/>
      <c r="F706" s="48"/>
    </row>
    <row r="707">
      <c r="B707" s="139"/>
      <c r="C707" s="139"/>
      <c r="D707" s="139"/>
      <c r="F707" s="48"/>
    </row>
    <row r="708">
      <c r="B708" s="139"/>
      <c r="C708" s="139"/>
      <c r="D708" s="139"/>
      <c r="F708" s="48"/>
    </row>
    <row r="709">
      <c r="B709" s="139"/>
      <c r="C709" s="139"/>
      <c r="D709" s="139"/>
      <c r="F709" s="48"/>
    </row>
    <row r="710">
      <c r="B710" s="139"/>
      <c r="C710" s="139"/>
      <c r="D710" s="139"/>
      <c r="F710" s="48"/>
    </row>
    <row r="711">
      <c r="B711" s="139"/>
      <c r="C711" s="139"/>
      <c r="D711" s="139"/>
      <c r="F711" s="48"/>
    </row>
    <row r="712">
      <c r="B712" s="139"/>
      <c r="C712" s="139"/>
      <c r="D712" s="139"/>
      <c r="F712" s="48"/>
    </row>
    <row r="713">
      <c r="B713" s="139"/>
      <c r="C713" s="139"/>
      <c r="D713" s="139"/>
      <c r="F713" s="48"/>
    </row>
    <row r="714">
      <c r="B714" s="139"/>
      <c r="C714" s="139"/>
      <c r="D714" s="139"/>
      <c r="F714" s="48"/>
    </row>
    <row r="715">
      <c r="B715" s="139"/>
      <c r="C715" s="139"/>
      <c r="D715" s="139"/>
      <c r="F715" s="48"/>
    </row>
    <row r="716">
      <c r="B716" s="139"/>
      <c r="C716" s="139"/>
      <c r="D716" s="139"/>
      <c r="F716" s="48"/>
    </row>
    <row r="717">
      <c r="B717" s="139"/>
      <c r="C717" s="139"/>
      <c r="D717" s="139"/>
      <c r="F717" s="48"/>
    </row>
    <row r="718">
      <c r="B718" s="139"/>
      <c r="C718" s="139"/>
      <c r="D718" s="139"/>
      <c r="F718" s="48"/>
    </row>
    <row r="719">
      <c r="B719" s="139"/>
      <c r="C719" s="139"/>
      <c r="D719" s="139"/>
      <c r="F719" s="48"/>
    </row>
    <row r="720">
      <c r="B720" s="139"/>
      <c r="C720" s="139"/>
      <c r="D720" s="139"/>
      <c r="F720" s="48"/>
    </row>
    <row r="721">
      <c r="B721" s="139"/>
      <c r="C721" s="139"/>
      <c r="D721" s="139"/>
      <c r="F721" s="48"/>
    </row>
    <row r="722">
      <c r="B722" s="139"/>
      <c r="C722" s="139"/>
      <c r="D722" s="139"/>
      <c r="F722" s="48"/>
    </row>
    <row r="723">
      <c r="B723" s="139"/>
      <c r="C723" s="139"/>
      <c r="D723" s="139"/>
      <c r="F723" s="48"/>
    </row>
    <row r="724">
      <c r="B724" s="139"/>
      <c r="C724" s="139"/>
      <c r="D724" s="139"/>
      <c r="F724" s="48"/>
    </row>
    <row r="725">
      <c r="B725" s="139"/>
      <c r="C725" s="139"/>
      <c r="D725" s="139"/>
      <c r="F725" s="48"/>
    </row>
    <row r="726">
      <c r="B726" s="139"/>
      <c r="C726" s="139"/>
      <c r="D726" s="139"/>
      <c r="F726" s="48"/>
    </row>
    <row r="727">
      <c r="B727" s="139"/>
      <c r="C727" s="139"/>
      <c r="D727" s="139"/>
      <c r="F727" s="48"/>
    </row>
    <row r="728">
      <c r="B728" s="139"/>
      <c r="C728" s="139"/>
      <c r="D728" s="139"/>
      <c r="F728" s="48"/>
    </row>
    <row r="729">
      <c r="B729" s="139"/>
      <c r="C729" s="139"/>
      <c r="D729" s="139"/>
      <c r="F729" s="48"/>
    </row>
    <row r="730">
      <c r="B730" s="139"/>
      <c r="C730" s="139"/>
      <c r="D730" s="139"/>
      <c r="F730" s="48"/>
    </row>
    <row r="731">
      <c r="B731" s="139"/>
      <c r="C731" s="139"/>
      <c r="D731" s="139"/>
      <c r="F731" s="48"/>
    </row>
    <row r="732">
      <c r="B732" s="139"/>
      <c r="C732" s="139"/>
      <c r="D732" s="139"/>
      <c r="F732" s="48"/>
    </row>
    <row r="733">
      <c r="B733" s="139"/>
      <c r="C733" s="139"/>
      <c r="D733" s="139"/>
      <c r="F733" s="48"/>
    </row>
    <row r="734">
      <c r="B734" s="139"/>
      <c r="C734" s="139"/>
      <c r="D734" s="139"/>
      <c r="F734" s="48"/>
    </row>
    <row r="735">
      <c r="B735" s="139"/>
      <c r="C735" s="139"/>
      <c r="D735" s="139"/>
      <c r="F735" s="48"/>
    </row>
    <row r="736">
      <c r="B736" s="139"/>
      <c r="C736" s="139"/>
      <c r="D736" s="139"/>
      <c r="F736" s="48"/>
    </row>
    <row r="737">
      <c r="B737" s="139"/>
      <c r="C737" s="139"/>
      <c r="D737" s="139"/>
      <c r="F737" s="48"/>
    </row>
    <row r="738">
      <c r="B738" s="139"/>
      <c r="C738" s="139"/>
      <c r="D738" s="139"/>
      <c r="F738" s="48"/>
    </row>
    <row r="739">
      <c r="B739" s="139"/>
      <c r="C739" s="139"/>
      <c r="D739" s="139"/>
      <c r="F739" s="48"/>
    </row>
    <row r="740">
      <c r="B740" s="139"/>
      <c r="C740" s="139"/>
      <c r="D740" s="139"/>
      <c r="F740" s="48"/>
    </row>
    <row r="741">
      <c r="B741" s="139"/>
      <c r="C741" s="139"/>
      <c r="D741" s="139"/>
      <c r="F741" s="48"/>
    </row>
    <row r="742">
      <c r="B742" s="139"/>
      <c r="C742" s="139"/>
      <c r="D742" s="139"/>
      <c r="F742" s="48"/>
    </row>
    <row r="743">
      <c r="B743" s="139"/>
      <c r="C743" s="139"/>
      <c r="D743" s="139"/>
      <c r="F743" s="48"/>
    </row>
    <row r="744">
      <c r="B744" s="139"/>
      <c r="C744" s="139"/>
      <c r="D744" s="139"/>
      <c r="F744" s="48"/>
    </row>
    <row r="745">
      <c r="B745" s="139"/>
      <c r="C745" s="139"/>
      <c r="D745" s="139"/>
      <c r="F745" s="48"/>
    </row>
    <row r="746">
      <c r="B746" s="139"/>
      <c r="C746" s="139"/>
      <c r="D746" s="139"/>
      <c r="F746" s="48"/>
    </row>
    <row r="747">
      <c r="B747" s="139"/>
      <c r="C747" s="139"/>
      <c r="D747" s="139"/>
      <c r="F747" s="48"/>
    </row>
    <row r="748">
      <c r="B748" s="139"/>
      <c r="C748" s="139"/>
      <c r="D748" s="139"/>
      <c r="F748" s="48"/>
    </row>
    <row r="749">
      <c r="B749" s="139"/>
      <c r="C749" s="139"/>
      <c r="D749" s="139"/>
      <c r="F749" s="48"/>
    </row>
    <row r="750">
      <c r="B750" s="139"/>
      <c r="C750" s="139"/>
      <c r="D750" s="139"/>
      <c r="F750" s="48"/>
    </row>
    <row r="751">
      <c r="B751" s="139"/>
      <c r="C751" s="139"/>
      <c r="D751" s="139"/>
      <c r="F751" s="48"/>
    </row>
    <row r="752">
      <c r="B752" s="139"/>
      <c r="C752" s="139"/>
      <c r="D752" s="139"/>
      <c r="F752" s="48"/>
    </row>
    <row r="753">
      <c r="B753" s="139"/>
      <c r="C753" s="139"/>
      <c r="D753" s="139"/>
      <c r="F753" s="48"/>
    </row>
    <row r="754">
      <c r="B754" s="139"/>
      <c r="C754" s="139"/>
      <c r="D754" s="139"/>
      <c r="F754" s="48"/>
    </row>
    <row r="755">
      <c r="B755" s="139"/>
      <c r="C755" s="139"/>
      <c r="D755" s="139"/>
      <c r="F755" s="48"/>
    </row>
    <row r="756">
      <c r="B756" s="139"/>
      <c r="C756" s="139"/>
      <c r="D756" s="139"/>
      <c r="F756" s="48"/>
    </row>
    <row r="757">
      <c r="B757" s="139"/>
      <c r="C757" s="139"/>
      <c r="D757" s="139"/>
      <c r="F757" s="48"/>
    </row>
    <row r="758">
      <c r="B758" s="139"/>
      <c r="C758" s="139"/>
      <c r="D758" s="139"/>
      <c r="F758" s="48"/>
    </row>
    <row r="759">
      <c r="B759" s="139"/>
      <c r="C759" s="139"/>
      <c r="D759" s="139"/>
      <c r="F759" s="48"/>
    </row>
    <row r="760">
      <c r="B760" s="139"/>
      <c r="C760" s="139"/>
      <c r="D760" s="139"/>
      <c r="F760" s="48"/>
    </row>
    <row r="761">
      <c r="B761" s="139"/>
      <c r="C761" s="139"/>
      <c r="D761" s="139"/>
      <c r="F761" s="48"/>
    </row>
    <row r="762">
      <c r="B762" s="139"/>
      <c r="C762" s="139"/>
      <c r="D762" s="139"/>
      <c r="F762" s="48"/>
    </row>
    <row r="763">
      <c r="B763" s="139"/>
      <c r="C763" s="139"/>
      <c r="D763" s="139"/>
      <c r="F763" s="48"/>
    </row>
    <row r="764">
      <c r="B764" s="139"/>
      <c r="C764" s="139"/>
      <c r="D764" s="139"/>
      <c r="F764" s="48"/>
    </row>
    <row r="765">
      <c r="B765" s="139"/>
      <c r="C765" s="139"/>
      <c r="D765" s="139"/>
      <c r="F765" s="48"/>
    </row>
    <row r="766">
      <c r="B766" s="139"/>
      <c r="C766" s="139"/>
      <c r="D766" s="139"/>
      <c r="F766" s="48"/>
    </row>
    <row r="767">
      <c r="B767" s="139"/>
      <c r="C767" s="139"/>
      <c r="D767" s="139"/>
      <c r="F767" s="48"/>
    </row>
    <row r="768">
      <c r="B768" s="139"/>
      <c r="C768" s="139"/>
      <c r="D768" s="139"/>
      <c r="F768" s="48"/>
    </row>
    <row r="769">
      <c r="B769" s="139"/>
      <c r="C769" s="139"/>
      <c r="D769" s="139"/>
      <c r="F769" s="48"/>
    </row>
    <row r="770">
      <c r="B770" s="139"/>
      <c r="C770" s="139"/>
      <c r="D770" s="139"/>
      <c r="F770" s="48"/>
    </row>
    <row r="771">
      <c r="B771" s="139"/>
      <c r="C771" s="139"/>
      <c r="D771" s="139"/>
      <c r="F771" s="48"/>
    </row>
    <row r="772">
      <c r="B772" s="139"/>
      <c r="C772" s="139"/>
      <c r="D772" s="139"/>
      <c r="F772" s="48"/>
    </row>
    <row r="773">
      <c r="B773" s="139"/>
      <c r="C773" s="139"/>
      <c r="D773" s="139"/>
      <c r="F773" s="48"/>
    </row>
    <row r="774">
      <c r="B774" s="139"/>
      <c r="C774" s="139"/>
      <c r="D774" s="139"/>
      <c r="F774" s="48"/>
    </row>
    <row r="775">
      <c r="B775" s="139"/>
      <c r="C775" s="139"/>
      <c r="D775" s="139"/>
      <c r="F775" s="48"/>
    </row>
    <row r="776">
      <c r="B776" s="139"/>
      <c r="C776" s="139"/>
      <c r="D776" s="139"/>
      <c r="F776" s="48"/>
    </row>
    <row r="777">
      <c r="B777" s="139"/>
      <c r="C777" s="139"/>
      <c r="D777" s="139"/>
      <c r="F777" s="48"/>
    </row>
    <row r="778">
      <c r="B778" s="139"/>
      <c r="C778" s="139"/>
      <c r="D778" s="139"/>
      <c r="F778" s="48"/>
    </row>
    <row r="779">
      <c r="B779" s="139"/>
      <c r="C779" s="139"/>
      <c r="D779" s="139"/>
      <c r="F779" s="48"/>
    </row>
    <row r="780">
      <c r="B780" s="139"/>
      <c r="C780" s="139"/>
      <c r="D780" s="139"/>
      <c r="F780" s="48"/>
    </row>
    <row r="781">
      <c r="B781" s="139"/>
      <c r="C781" s="139"/>
      <c r="D781" s="139"/>
      <c r="F781" s="48"/>
    </row>
    <row r="782">
      <c r="B782" s="139"/>
      <c r="C782" s="139"/>
      <c r="D782" s="139"/>
      <c r="F782" s="48"/>
    </row>
    <row r="783">
      <c r="B783" s="139"/>
      <c r="C783" s="139"/>
      <c r="D783" s="139"/>
      <c r="F783" s="48"/>
    </row>
    <row r="784">
      <c r="B784" s="139"/>
      <c r="C784" s="139"/>
      <c r="D784" s="139"/>
      <c r="F784" s="48"/>
    </row>
    <row r="785">
      <c r="B785" s="139"/>
      <c r="C785" s="139"/>
      <c r="D785" s="139"/>
      <c r="F785" s="48"/>
    </row>
    <row r="786">
      <c r="B786" s="139"/>
      <c r="C786" s="139"/>
      <c r="D786" s="139"/>
      <c r="F786" s="48"/>
    </row>
    <row r="787">
      <c r="B787" s="139"/>
      <c r="C787" s="139"/>
      <c r="D787" s="139"/>
      <c r="F787" s="48"/>
    </row>
    <row r="788">
      <c r="B788" s="139"/>
      <c r="C788" s="139"/>
      <c r="D788" s="139"/>
      <c r="F788" s="48"/>
    </row>
    <row r="789">
      <c r="B789" s="139"/>
      <c r="C789" s="139"/>
      <c r="D789" s="139"/>
      <c r="F789" s="48"/>
    </row>
    <row r="790">
      <c r="B790" s="139"/>
      <c r="C790" s="139"/>
      <c r="D790" s="139"/>
      <c r="F790" s="48"/>
    </row>
    <row r="791">
      <c r="B791" s="139"/>
      <c r="C791" s="139"/>
      <c r="D791" s="139"/>
      <c r="F791" s="48"/>
    </row>
    <row r="792">
      <c r="B792" s="139"/>
      <c r="C792" s="139"/>
      <c r="D792" s="139"/>
      <c r="F792" s="48"/>
    </row>
    <row r="793">
      <c r="B793" s="139"/>
      <c r="C793" s="139"/>
      <c r="D793" s="139"/>
      <c r="F793" s="48"/>
    </row>
    <row r="794">
      <c r="B794" s="139"/>
      <c r="C794" s="139"/>
      <c r="D794" s="139"/>
      <c r="F794" s="48"/>
    </row>
    <row r="795">
      <c r="B795" s="139"/>
      <c r="C795" s="139"/>
      <c r="D795" s="139"/>
      <c r="F795" s="48"/>
    </row>
    <row r="796">
      <c r="B796" s="139"/>
      <c r="C796" s="139"/>
      <c r="D796" s="139"/>
      <c r="F796" s="48"/>
    </row>
    <row r="797">
      <c r="B797" s="139"/>
      <c r="C797" s="139"/>
      <c r="D797" s="139"/>
      <c r="F797" s="48"/>
    </row>
    <row r="798">
      <c r="B798" s="139"/>
      <c r="C798" s="139"/>
      <c r="D798" s="139"/>
      <c r="F798" s="48"/>
    </row>
    <row r="799">
      <c r="B799" s="139"/>
      <c r="C799" s="139"/>
      <c r="D799" s="139"/>
      <c r="F799" s="48"/>
    </row>
    <row r="800">
      <c r="B800" s="139"/>
      <c r="C800" s="139"/>
      <c r="D800" s="139"/>
      <c r="F800" s="48"/>
    </row>
    <row r="801">
      <c r="B801" s="139"/>
      <c r="C801" s="139"/>
      <c r="D801" s="139"/>
      <c r="F801" s="48"/>
    </row>
    <row r="802">
      <c r="B802" s="139"/>
      <c r="C802" s="139"/>
      <c r="D802" s="139"/>
      <c r="F802" s="48"/>
    </row>
    <row r="803">
      <c r="B803" s="139"/>
      <c r="C803" s="139"/>
      <c r="D803" s="139"/>
      <c r="F803" s="48"/>
    </row>
    <row r="804">
      <c r="B804" s="139"/>
      <c r="C804" s="139"/>
      <c r="D804" s="139"/>
      <c r="F804" s="48"/>
    </row>
    <row r="805">
      <c r="B805" s="139"/>
      <c r="C805" s="139"/>
      <c r="D805" s="139"/>
      <c r="F805" s="48"/>
    </row>
    <row r="806">
      <c r="B806" s="139"/>
      <c r="C806" s="139"/>
      <c r="D806" s="139"/>
      <c r="F806" s="48"/>
    </row>
    <row r="807">
      <c r="B807" s="139"/>
      <c r="C807" s="139"/>
      <c r="D807" s="139"/>
      <c r="F807" s="48"/>
    </row>
    <row r="808">
      <c r="B808" s="139"/>
      <c r="C808" s="139"/>
      <c r="D808" s="139"/>
      <c r="F808" s="48"/>
    </row>
    <row r="809">
      <c r="B809" s="139"/>
      <c r="C809" s="139"/>
      <c r="D809" s="139"/>
      <c r="F809" s="48"/>
    </row>
    <row r="810">
      <c r="B810" s="139"/>
      <c r="C810" s="139"/>
      <c r="D810" s="139"/>
      <c r="F810" s="48"/>
    </row>
    <row r="811">
      <c r="B811" s="139"/>
      <c r="C811" s="139"/>
      <c r="D811" s="139"/>
      <c r="F811" s="48"/>
    </row>
    <row r="812">
      <c r="B812" s="139"/>
      <c r="C812" s="139"/>
      <c r="D812" s="139"/>
      <c r="F812" s="48"/>
    </row>
    <row r="813">
      <c r="B813" s="139"/>
      <c r="C813" s="139"/>
      <c r="D813" s="139"/>
      <c r="F813" s="48"/>
    </row>
    <row r="814">
      <c r="B814" s="139"/>
      <c r="C814" s="139"/>
      <c r="D814" s="139"/>
      <c r="F814" s="48"/>
    </row>
    <row r="815">
      <c r="B815" s="139"/>
      <c r="C815" s="139"/>
      <c r="D815" s="139"/>
      <c r="F815" s="48"/>
    </row>
    <row r="816">
      <c r="B816" s="139"/>
      <c r="C816" s="139"/>
      <c r="D816" s="139"/>
      <c r="F816" s="48"/>
    </row>
    <row r="817">
      <c r="B817" s="139"/>
      <c r="C817" s="139"/>
      <c r="D817" s="139"/>
      <c r="F817" s="48"/>
    </row>
    <row r="818">
      <c r="B818" s="139"/>
      <c r="C818" s="139"/>
      <c r="D818" s="139"/>
      <c r="F818" s="48"/>
    </row>
    <row r="819">
      <c r="B819" s="139"/>
      <c r="C819" s="139"/>
      <c r="D819" s="139"/>
      <c r="F819" s="48"/>
    </row>
    <row r="820">
      <c r="B820" s="139"/>
      <c r="C820" s="139"/>
      <c r="D820" s="139"/>
      <c r="F820" s="48"/>
    </row>
    <row r="821">
      <c r="B821" s="139"/>
      <c r="C821" s="139"/>
      <c r="D821" s="139"/>
      <c r="F821" s="48"/>
    </row>
    <row r="822">
      <c r="B822" s="139"/>
      <c r="C822" s="139"/>
      <c r="D822" s="139"/>
      <c r="F822" s="48"/>
    </row>
    <row r="823">
      <c r="B823" s="139"/>
      <c r="C823" s="139"/>
      <c r="D823" s="139"/>
      <c r="F823" s="48"/>
    </row>
    <row r="824">
      <c r="B824" s="139"/>
      <c r="C824" s="139"/>
      <c r="D824" s="139"/>
      <c r="F824" s="48"/>
    </row>
    <row r="825">
      <c r="B825" s="139"/>
      <c r="C825" s="139"/>
      <c r="D825" s="139"/>
      <c r="F825" s="48"/>
    </row>
    <row r="826">
      <c r="B826" s="139"/>
      <c r="C826" s="139"/>
      <c r="D826" s="139"/>
      <c r="F826" s="48"/>
    </row>
    <row r="827">
      <c r="B827" s="139"/>
      <c r="C827" s="139"/>
      <c r="D827" s="139"/>
      <c r="F827" s="48"/>
    </row>
    <row r="828">
      <c r="B828" s="139"/>
      <c r="C828" s="139"/>
      <c r="D828" s="139"/>
      <c r="F828" s="48"/>
    </row>
    <row r="829">
      <c r="B829" s="139"/>
      <c r="C829" s="139"/>
      <c r="D829" s="139"/>
      <c r="F829" s="48"/>
    </row>
    <row r="830">
      <c r="B830" s="139"/>
      <c r="C830" s="139"/>
      <c r="D830" s="139"/>
      <c r="F830" s="48"/>
    </row>
    <row r="831">
      <c r="B831" s="139"/>
      <c r="C831" s="139"/>
      <c r="D831" s="139"/>
      <c r="F831" s="48"/>
    </row>
    <row r="832">
      <c r="B832" s="139"/>
      <c r="C832" s="139"/>
      <c r="D832" s="139"/>
      <c r="F832" s="48"/>
    </row>
    <row r="833">
      <c r="B833" s="139"/>
      <c r="C833" s="139"/>
      <c r="D833" s="139"/>
      <c r="F833" s="48"/>
    </row>
    <row r="834">
      <c r="B834" s="139"/>
      <c r="C834" s="139"/>
      <c r="D834" s="139"/>
      <c r="F834" s="48"/>
    </row>
    <row r="835">
      <c r="B835" s="139"/>
      <c r="C835" s="139"/>
      <c r="D835" s="139"/>
      <c r="F835" s="48"/>
    </row>
    <row r="836">
      <c r="B836" s="139"/>
      <c r="C836" s="139"/>
      <c r="D836" s="139"/>
      <c r="F836" s="48"/>
    </row>
    <row r="837">
      <c r="B837" s="139"/>
      <c r="C837" s="139"/>
      <c r="D837" s="139"/>
      <c r="F837" s="48"/>
    </row>
    <row r="838">
      <c r="B838" s="139"/>
      <c r="C838" s="139"/>
      <c r="D838" s="139"/>
      <c r="F838" s="48"/>
    </row>
    <row r="839">
      <c r="B839" s="139"/>
      <c r="C839" s="139"/>
      <c r="D839" s="139"/>
      <c r="F839" s="48"/>
    </row>
    <row r="840">
      <c r="B840" s="139"/>
      <c r="C840" s="139"/>
      <c r="D840" s="139"/>
      <c r="F840" s="48"/>
    </row>
    <row r="841">
      <c r="B841" s="139"/>
      <c r="C841" s="139"/>
      <c r="D841" s="139"/>
      <c r="F841" s="48"/>
    </row>
    <row r="842">
      <c r="B842" s="139"/>
      <c r="C842" s="139"/>
      <c r="D842" s="139"/>
      <c r="F842" s="48"/>
    </row>
    <row r="843">
      <c r="B843" s="139"/>
      <c r="C843" s="139"/>
      <c r="D843" s="139"/>
      <c r="F843" s="48"/>
    </row>
    <row r="844">
      <c r="B844" s="139"/>
      <c r="C844" s="139"/>
      <c r="D844" s="139"/>
      <c r="F844" s="48"/>
    </row>
    <row r="845">
      <c r="B845" s="139"/>
      <c r="C845" s="139"/>
      <c r="D845" s="139"/>
      <c r="F845" s="48"/>
    </row>
    <row r="846">
      <c r="B846" s="139"/>
      <c r="C846" s="139"/>
      <c r="D846" s="139"/>
      <c r="F846" s="48"/>
    </row>
    <row r="847">
      <c r="B847" s="139"/>
      <c r="C847" s="139"/>
      <c r="D847" s="139"/>
      <c r="F847" s="48"/>
    </row>
    <row r="848">
      <c r="B848" s="139"/>
      <c r="C848" s="139"/>
      <c r="D848" s="139"/>
      <c r="F848" s="48"/>
    </row>
    <row r="849">
      <c r="B849" s="139"/>
      <c r="C849" s="139"/>
      <c r="D849" s="139"/>
      <c r="F849" s="48"/>
    </row>
    <row r="850">
      <c r="B850" s="139"/>
      <c r="C850" s="139"/>
      <c r="D850" s="139"/>
      <c r="F850" s="48"/>
    </row>
    <row r="851">
      <c r="B851" s="139"/>
      <c r="C851" s="139"/>
      <c r="D851" s="139"/>
      <c r="F851" s="48"/>
    </row>
    <row r="852">
      <c r="B852" s="139"/>
      <c r="C852" s="139"/>
      <c r="D852" s="139"/>
      <c r="F852" s="48"/>
    </row>
    <row r="853">
      <c r="B853" s="139"/>
      <c r="C853" s="139"/>
      <c r="D853" s="139"/>
      <c r="F853" s="48"/>
    </row>
    <row r="854">
      <c r="B854" s="139"/>
      <c r="C854" s="139"/>
      <c r="D854" s="139"/>
      <c r="F854" s="48"/>
    </row>
    <row r="855">
      <c r="B855" s="139"/>
      <c r="C855" s="139"/>
      <c r="D855" s="139"/>
      <c r="F855" s="48"/>
    </row>
    <row r="856">
      <c r="B856" s="139"/>
      <c r="C856" s="139"/>
      <c r="D856" s="139"/>
      <c r="F856" s="48"/>
    </row>
    <row r="857">
      <c r="B857" s="139"/>
      <c r="C857" s="139"/>
      <c r="D857" s="139"/>
      <c r="F857" s="48"/>
    </row>
    <row r="858">
      <c r="B858" s="139"/>
      <c r="C858" s="139"/>
      <c r="D858" s="139"/>
      <c r="F858" s="48"/>
    </row>
    <row r="859">
      <c r="B859" s="139"/>
      <c r="C859" s="139"/>
      <c r="D859" s="139"/>
      <c r="F859" s="48"/>
    </row>
    <row r="860">
      <c r="B860" s="139"/>
      <c r="C860" s="139"/>
      <c r="D860" s="139"/>
      <c r="F860" s="48"/>
    </row>
    <row r="861">
      <c r="B861" s="139"/>
      <c r="C861" s="139"/>
      <c r="D861" s="139"/>
      <c r="F861" s="48"/>
    </row>
    <row r="862">
      <c r="B862" s="139"/>
      <c r="C862" s="139"/>
      <c r="D862" s="139"/>
      <c r="F862" s="48"/>
    </row>
    <row r="863">
      <c r="B863" s="139"/>
      <c r="C863" s="139"/>
      <c r="D863" s="139"/>
      <c r="F863" s="48"/>
    </row>
    <row r="864">
      <c r="B864" s="139"/>
      <c r="C864" s="139"/>
      <c r="D864" s="139"/>
      <c r="F864" s="48"/>
    </row>
    <row r="865">
      <c r="B865" s="139"/>
      <c r="C865" s="139"/>
      <c r="D865" s="139"/>
      <c r="F865" s="48"/>
    </row>
    <row r="866">
      <c r="B866" s="139"/>
      <c r="C866" s="139"/>
      <c r="D866" s="139"/>
      <c r="F866" s="48"/>
    </row>
    <row r="867">
      <c r="B867" s="139"/>
      <c r="C867" s="139"/>
      <c r="D867" s="139"/>
      <c r="F867" s="48"/>
    </row>
    <row r="868">
      <c r="B868" s="139"/>
      <c r="C868" s="139"/>
      <c r="D868" s="139"/>
      <c r="F868" s="48"/>
    </row>
    <row r="869">
      <c r="B869" s="139"/>
      <c r="C869" s="139"/>
      <c r="D869" s="139"/>
      <c r="F869" s="48"/>
    </row>
    <row r="870">
      <c r="B870" s="139"/>
      <c r="C870" s="139"/>
      <c r="D870" s="139"/>
      <c r="F870" s="48"/>
    </row>
    <row r="871">
      <c r="B871" s="139"/>
      <c r="C871" s="139"/>
      <c r="D871" s="139"/>
      <c r="F871" s="48"/>
    </row>
    <row r="872">
      <c r="B872" s="139"/>
      <c r="C872" s="139"/>
      <c r="D872" s="139"/>
      <c r="F872" s="48"/>
    </row>
    <row r="873">
      <c r="B873" s="139"/>
      <c r="C873" s="139"/>
      <c r="D873" s="139"/>
      <c r="F873" s="48"/>
    </row>
    <row r="874">
      <c r="B874" s="139"/>
      <c r="C874" s="139"/>
      <c r="D874" s="139"/>
      <c r="F874" s="48"/>
    </row>
    <row r="875">
      <c r="B875" s="139"/>
      <c r="C875" s="139"/>
      <c r="D875" s="139"/>
      <c r="F875" s="48"/>
    </row>
    <row r="876">
      <c r="B876" s="139"/>
      <c r="C876" s="139"/>
      <c r="D876" s="139"/>
      <c r="F876" s="48"/>
    </row>
    <row r="877">
      <c r="B877" s="139"/>
      <c r="C877" s="139"/>
      <c r="D877" s="139"/>
      <c r="F877" s="48"/>
    </row>
    <row r="878">
      <c r="B878" s="139"/>
      <c r="C878" s="139"/>
      <c r="D878" s="139"/>
      <c r="F878" s="48"/>
    </row>
    <row r="879">
      <c r="B879" s="139"/>
      <c r="C879" s="139"/>
      <c r="D879" s="139"/>
      <c r="F879" s="48"/>
    </row>
    <row r="880">
      <c r="B880" s="139"/>
      <c r="C880" s="139"/>
      <c r="D880" s="139"/>
      <c r="F880" s="48"/>
    </row>
    <row r="881">
      <c r="B881" s="139"/>
      <c r="C881" s="139"/>
      <c r="D881" s="139"/>
      <c r="F881" s="48"/>
    </row>
    <row r="882">
      <c r="B882" s="139"/>
      <c r="C882" s="139"/>
      <c r="D882" s="139"/>
      <c r="F882" s="48"/>
    </row>
    <row r="883">
      <c r="B883" s="139"/>
      <c r="C883" s="139"/>
      <c r="D883" s="139"/>
      <c r="F883" s="48"/>
    </row>
    <row r="884">
      <c r="B884" s="139"/>
      <c r="C884" s="139"/>
      <c r="D884" s="139"/>
      <c r="F884" s="48"/>
    </row>
    <row r="885">
      <c r="B885" s="139"/>
      <c r="C885" s="139"/>
      <c r="D885" s="139"/>
      <c r="F885" s="48"/>
    </row>
    <row r="886">
      <c r="B886" s="139"/>
      <c r="C886" s="139"/>
      <c r="D886" s="139"/>
      <c r="F886" s="48"/>
    </row>
    <row r="887">
      <c r="B887" s="139"/>
      <c r="C887" s="139"/>
      <c r="D887" s="139"/>
      <c r="F887" s="48"/>
    </row>
    <row r="888">
      <c r="B888" s="139"/>
      <c r="C888" s="139"/>
      <c r="D888" s="139"/>
      <c r="F888" s="48"/>
    </row>
    <row r="889">
      <c r="B889" s="139"/>
      <c r="C889" s="139"/>
      <c r="D889" s="139"/>
      <c r="F889" s="48"/>
    </row>
    <row r="890">
      <c r="B890" s="139"/>
      <c r="C890" s="139"/>
      <c r="D890" s="139"/>
      <c r="F890" s="48"/>
    </row>
    <row r="891">
      <c r="B891" s="139"/>
      <c r="C891" s="139"/>
      <c r="D891" s="139"/>
      <c r="F891" s="48"/>
    </row>
    <row r="892">
      <c r="B892" s="139"/>
      <c r="C892" s="139"/>
      <c r="D892" s="139"/>
      <c r="F892" s="48"/>
    </row>
    <row r="893">
      <c r="B893" s="139"/>
      <c r="C893" s="139"/>
      <c r="D893" s="139"/>
      <c r="F893" s="48"/>
    </row>
    <row r="894">
      <c r="B894" s="139"/>
      <c r="C894" s="139"/>
      <c r="D894" s="139"/>
      <c r="F894" s="48"/>
    </row>
    <row r="895">
      <c r="B895" s="139"/>
      <c r="C895" s="139"/>
      <c r="D895" s="139"/>
      <c r="F895" s="48"/>
    </row>
    <row r="896">
      <c r="B896" s="139"/>
      <c r="C896" s="139"/>
      <c r="D896" s="139"/>
      <c r="F896" s="48"/>
    </row>
    <row r="897">
      <c r="B897" s="139"/>
      <c r="C897" s="139"/>
      <c r="D897" s="139"/>
      <c r="F897" s="48"/>
    </row>
    <row r="898">
      <c r="B898" s="139"/>
      <c r="C898" s="139"/>
      <c r="D898" s="139"/>
      <c r="F898" s="48"/>
    </row>
    <row r="899">
      <c r="B899" s="139"/>
      <c r="C899" s="139"/>
      <c r="D899" s="139"/>
      <c r="F899" s="48"/>
    </row>
    <row r="900">
      <c r="B900" s="139"/>
      <c r="C900" s="139"/>
      <c r="D900" s="139"/>
      <c r="F900" s="48"/>
    </row>
    <row r="901">
      <c r="B901" s="139"/>
      <c r="C901" s="139"/>
      <c r="D901" s="139"/>
      <c r="F901" s="48"/>
    </row>
    <row r="902">
      <c r="B902" s="139"/>
      <c r="C902" s="139"/>
      <c r="D902" s="139"/>
      <c r="F902" s="48"/>
    </row>
    <row r="903">
      <c r="B903" s="139"/>
      <c r="C903" s="139"/>
      <c r="D903" s="139"/>
      <c r="F903" s="48"/>
    </row>
    <row r="904">
      <c r="B904" s="139"/>
      <c r="C904" s="139"/>
      <c r="D904" s="139"/>
      <c r="F904" s="48"/>
    </row>
    <row r="905">
      <c r="B905" s="139"/>
      <c r="C905" s="139"/>
      <c r="D905" s="139"/>
      <c r="F905" s="48"/>
    </row>
    <row r="906">
      <c r="B906" s="139"/>
      <c r="C906" s="139"/>
      <c r="D906" s="139"/>
      <c r="F906" s="48"/>
    </row>
    <row r="907">
      <c r="B907" s="139"/>
      <c r="C907" s="139"/>
      <c r="D907" s="139"/>
      <c r="F907" s="48"/>
    </row>
    <row r="908">
      <c r="B908" s="139"/>
      <c r="C908" s="139"/>
      <c r="D908" s="139"/>
      <c r="F908" s="48"/>
    </row>
    <row r="909">
      <c r="B909" s="139"/>
      <c r="C909" s="139"/>
      <c r="D909" s="139"/>
      <c r="F909" s="48"/>
    </row>
    <row r="910">
      <c r="B910" s="139"/>
      <c r="C910" s="139"/>
      <c r="D910" s="139"/>
      <c r="F910" s="48"/>
    </row>
    <row r="911">
      <c r="B911" s="139"/>
      <c r="C911" s="139"/>
      <c r="D911" s="139"/>
      <c r="F911" s="48"/>
    </row>
    <row r="912">
      <c r="B912" s="139"/>
      <c r="C912" s="139"/>
      <c r="D912" s="139"/>
      <c r="F912" s="48"/>
    </row>
    <row r="913">
      <c r="B913" s="139"/>
      <c r="C913" s="139"/>
      <c r="D913" s="139"/>
      <c r="F913" s="48"/>
    </row>
    <row r="914">
      <c r="B914" s="139"/>
      <c r="C914" s="139"/>
      <c r="D914" s="139"/>
      <c r="F914" s="48"/>
    </row>
    <row r="915">
      <c r="B915" s="139"/>
      <c r="C915" s="139"/>
      <c r="D915" s="139"/>
      <c r="F915" s="48"/>
    </row>
    <row r="916">
      <c r="B916" s="139"/>
      <c r="C916" s="139"/>
      <c r="D916" s="139"/>
      <c r="F916" s="48"/>
    </row>
    <row r="917">
      <c r="B917" s="139"/>
      <c r="C917" s="139"/>
      <c r="D917" s="139"/>
      <c r="F917" s="48"/>
    </row>
    <row r="918">
      <c r="B918" s="139"/>
      <c r="C918" s="139"/>
      <c r="D918" s="139"/>
      <c r="F918" s="48"/>
    </row>
    <row r="919">
      <c r="B919" s="139"/>
      <c r="C919" s="139"/>
      <c r="D919" s="139"/>
      <c r="F919" s="48"/>
    </row>
    <row r="920">
      <c r="B920" s="139"/>
      <c r="C920" s="139"/>
      <c r="D920" s="139"/>
      <c r="F920" s="48"/>
    </row>
    <row r="921">
      <c r="B921" s="139"/>
      <c r="C921" s="139"/>
      <c r="D921" s="139"/>
      <c r="F921" s="48"/>
    </row>
    <row r="922">
      <c r="B922" s="139"/>
      <c r="C922" s="139"/>
      <c r="D922" s="139"/>
      <c r="F922" s="48"/>
    </row>
    <row r="923">
      <c r="B923" s="139"/>
      <c r="C923" s="139"/>
      <c r="D923" s="139"/>
      <c r="F923" s="48"/>
    </row>
    <row r="924">
      <c r="B924" s="139"/>
      <c r="C924" s="139"/>
      <c r="D924" s="139"/>
      <c r="F924" s="48"/>
    </row>
    <row r="925">
      <c r="B925" s="139"/>
      <c r="C925" s="139"/>
      <c r="D925" s="139"/>
      <c r="F925" s="48"/>
    </row>
    <row r="926">
      <c r="B926" s="139"/>
      <c r="C926" s="139"/>
      <c r="D926" s="139"/>
      <c r="F926" s="48"/>
    </row>
    <row r="927">
      <c r="B927" s="139"/>
      <c r="C927" s="139"/>
      <c r="D927" s="139"/>
      <c r="F927" s="48"/>
    </row>
    <row r="928">
      <c r="B928" s="139"/>
      <c r="C928" s="139"/>
      <c r="D928" s="139"/>
      <c r="F928" s="48"/>
    </row>
    <row r="929">
      <c r="B929" s="139"/>
      <c r="C929" s="139"/>
      <c r="D929" s="139"/>
      <c r="F929" s="48"/>
    </row>
    <row r="930">
      <c r="B930" s="139"/>
      <c r="C930" s="139"/>
      <c r="D930" s="139"/>
      <c r="F930" s="48"/>
    </row>
    <row r="931">
      <c r="B931" s="139"/>
      <c r="C931" s="139"/>
      <c r="D931" s="139"/>
      <c r="F931" s="48"/>
    </row>
    <row r="932">
      <c r="B932" s="139"/>
      <c r="C932" s="139"/>
      <c r="D932" s="139"/>
      <c r="F932" s="48"/>
    </row>
    <row r="933">
      <c r="B933" s="139"/>
      <c r="C933" s="139"/>
      <c r="D933" s="139"/>
      <c r="F933" s="48"/>
    </row>
    <row r="934">
      <c r="B934" s="139"/>
      <c r="C934" s="139"/>
      <c r="D934" s="139"/>
      <c r="F934" s="48"/>
    </row>
    <row r="935">
      <c r="B935" s="139"/>
      <c r="C935" s="139"/>
      <c r="D935" s="139"/>
      <c r="F935" s="48"/>
    </row>
    <row r="936">
      <c r="B936" s="139"/>
      <c r="C936" s="139"/>
      <c r="D936" s="139"/>
      <c r="F936" s="48"/>
    </row>
    <row r="937">
      <c r="B937" s="139"/>
      <c r="C937" s="139"/>
      <c r="D937" s="139"/>
      <c r="F937" s="48"/>
    </row>
    <row r="938">
      <c r="B938" s="139"/>
      <c r="C938" s="139"/>
      <c r="D938" s="139"/>
      <c r="F938" s="48"/>
    </row>
    <row r="939">
      <c r="B939" s="139"/>
      <c r="C939" s="139"/>
      <c r="D939" s="139"/>
      <c r="F939" s="48"/>
    </row>
    <row r="940">
      <c r="B940" s="139"/>
      <c r="C940" s="139"/>
      <c r="D940" s="139"/>
      <c r="F940" s="48"/>
    </row>
    <row r="941">
      <c r="B941" s="139"/>
      <c r="C941" s="139"/>
      <c r="D941" s="139"/>
      <c r="F941" s="48"/>
    </row>
    <row r="942">
      <c r="B942" s="139"/>
      <c r="C942" s="139"/>
      <c r="D942" s="139"/>
      <c r="F942" s="48"/>
    </row>
    <row r="943">
      <c r="B943" s="139"/>
      <c r="C943" s="139"/>
      <c r="D943" s="139"/>
      <c r="F943" s="48"/>
    </row>
    <row r="944">
      <c r="B944" s="139"/>
      <c r="C944" s="139"/>
      <c r="D944" s="139"/>
      <c r="F944" s="48"/>
    </row>
    <row r="945">
      <c r="B945" s="139"/>
      <c r="C945" s="139"/>
      <c r="D945" s="139"/>
      <c r="F945" s="48"/>
    </row>
    <row r="946">
      <c r="B946" s="139"/>
      <c r="C946" s="139"/>
      <c r="D946" s="139"/>
      <c r="F946" s="48"/>
    </row>
    <row r="947">
      <c r="B947" s="139"/>
      <c r="C947" s="139"/>
      <c r="D947" s="139"/>
      <c r="F947" s="48"/>
    </row>
    <row r="948">
      <c r="B948" s="139"/>
      <c r="C948" s="139"/>
      <c r="D948" s="139"/>
      <c r="F948" s="48"/>
    </row>
    <row r="949">
      <c r="B949" s="139"/>
      <c r="C949" s="139"/>
      <c r="D949" s="139"/>
      <c r="F949" s="48"/>
    </row>
    <row r="950">
      <c r="B950" s="139"/>
      <c r="C950" s="139"/>
      <c r="D950" s="139"/>
      <c r="F950" s="48"/>
    </row>
    <row r="951">
      <c r="B951" s="139"/>
      <c r="C951" s="139"/>
      <c r="D951" s="139"/>
      <c r="F951" s="48"/>
    </row>
    <row r="952">
      <c r="B952" s="139"/>
      <c r="C952" s="139"/>
      <c r="D952" s="139"/>
      <c r="F952" s="48"/>
    </row>
    <row r="953">
      <c r="B953" s="139"/>
      <c r="C953" s="139"/>
      <c r="D953" s="139"/>
      <c r="F953" s="48"/>
    </row>
    <row r="954">
      <c r="B954" s="139"/>
      <c r="C954" s="139"/>
      <c r="D954" s="139"/>
      <c r="F954" s="48"/>
    </row>
    <row r="955">
      <c r="B955" s="139"/>
      <c r="C955" s="139"/>
      <c r="D955" s="139"/>
      <c r="F955" s="48"/>
    </row>
    <row r="956">
      <c r="B956" s="139"/>
      <c r="C956" s="139"/>
      <c r="D956" s="139"/>
      <c r="F956" s="48"/>
    </row>
    <row r="957">
      <c r="B957" s="139"/>
      <c r="C957" s="139"/>
      <c r="D957" s="139"/>
      <c r="F957" s="48"/>
    </row>
    <row r="958">
      <c r="B958" s="139"/>
      <c r="C958" s="139"/>
      <c r="D958" s="139"/>
      <c r="F958" s="48"/>
    </row>
    <row r="959">
      <c r="B959" s="139"/>
      <c r="C959" s="139"/>
      <c r="D959" s="139"/>
      <c r="F959" s="48"/>
    </row>
    <row r="960">
      <c r="B960" s="139"/>
      <c r="C960" s="139"/>
      <c r="D960" s="139"/>
      <c r="F960" s="48"/>
    </row>
    <row r="961">
      <c r="B961" s="139"/>
      <c r="C961" s="139"/>
      <c r="D961" s="139"/>
      <c r="F961" s="48"/>
    </row>
    <row r="962">
      <c r="B962" s="139"/>
      <c r="C962" s="139"/>
      <c r="D962" s="139"/>
      <c r="F962" s="48"/>
    </row>
    <row r="963">
      <c r="B963" s="139"/>
      <c r="C963" s="139"/>
      <c r="D963" s="139"/>
      <c r="F963" s="48"/>
    </row>
    <row r="964">
      <c r="B964" s="139"/>
      <c r="C964" s="139"/>
      <c r="D964" s="139"/>
      <c r="F964" s="48"/>
    </row>
    <row r="965">
      <c r="B965" s="139"/>
      <c r="C965" s="139"/>
      <c r="D965" s="139"/>
      <c r="F965" s="48"/>
    </row>
    <row r="966">
      <c r="B966" s="139"/>
      <c r="C966" s="139"/>
      <c r="D966" s="139"/>
      <c r="F966" s="48"/>
    </row>
    <row r="967">
      <c r="B967" s="139"/>
      <c r="C967" s="139"/>
      <c r="D967" s="139"/>
      <c r="F967" s="48"/>
    </row>
    <row r="968">
      <c r="B968" s="139"/>
      <c r="C968" s="139"/>
      <c r="D968" s="139"/>
      <c r="F968" s="48"/>
    </row>
    <row r="969">
      <c r="B969" s="139"/>
      <c r="C969" s="139"/>
      <c r="D969" s="139"/>
      <c r="F969" s="48"/>
    </row>
    <row r="970">
      <c r="B970" s="139"/>
      <c r="C970" s="139"/>
      <c r="D970" s="139"/>
      <c r="F970" s="48"/>
    </row>
    <row r="971">
      <c r="B971" s="139"/>
      <c r="C971" s="139"/>
      <c r="D971" s="139"/>
      <c r="F971" s="48"/>
    </row>
    <row r="972">
      <c r="B972" s="139"/>
      <c r="C972" s="139"/>
      <c r="D972" s="139"/>
      <c r="F972" s="48"/>
    </row>
    <row r="973">
      <c r="B973" s="139"/>
      <c r="C973" s="139"/>
      <c r="D973" s="139"/>
      <c r="F973" s="48"/>
    </row>
    <row r="974">
      <c r="B974" s="139"/>
      <c r="C974" s="139"/>
      <c r="D974" s="139"/>
      <c r="F974" s="48"/>
    </row>
    <row r="975">
      <c r="B975" s="139"/>
      <c r="C975" s="139"/>
      <c r="D975" s="139"/>
      <c r="F975" s="48"/>
    </row>
    <row r="976">
      <c r="B976" s="139"/>
      <c r="C976" s="139"/>
      <c r="D976" s="139"/>
      <c r="F976" s="48"/>
    </row>
    <row r="977">
      <c r="B977" s="139"/>
      <c r="C977" s="139"/>
      <c r="D977" s="139"/>
      <c r="F977" s="48"/>
    </row>
    <row r="978">
      <c r="B978" s="139"/>
      <c r="C978" s="139"/>
      <c r="D978" s="139"/>
      <c r="F978" s="48"/>
    </row>
    <row r="979">
      <c r="B979" s="139"/>
      <c r="C979" s="139"/>
      <c r="D979" s="139"/>
      <c r="F979" s="48"/>
    </row>
    <row r="980">
      <c r="B980" s="139"/>
      <c r="C980" s="139"/>
      <c r="D980" s="139"/>
      <c r="F980" s="48"/>
    </row>
    <row r="981">
      <c r="B981" s="139"/>
      <c r="C981" s="139"/>
      <c r="D981" s="139"/>
      <c r="F981" s="48"/>
    </row>
    <row r="982">
      <c r="B982" s="139"/>
      <c r="C982" s="139"/>
      <c r="D982" s="139"/>
      <c r="F982" s="48"/>
    </row>
    <row r="983">
      <c r="B983" s="139"/>
      <c r="C983" s="139"/>
      <c r="D983" s="139"/>
      <c r="F983" s="48"/>
    </row>
    <row r="984">
      <c r="B984" s="139"/>
      <c r="C984" s="139"/>
      <c r="D984" s="139"/>
      <c r="F984" s="48"/>
    </row>
    <row r="985">
      <c r="B985" s="139"/>
      <c r="C985" s="139"/>
      <c r="D985" s="139"/>
      <c r="F985" s="48"/>
    </row>
    <row r="986">
      <c r="B986" s="139"/>
      <c r="C986" s="139"/>
      <c r="D986" s="139"/>
      <c r="F986" s="48"/>
    </row>
    <row r="987">
      <c r="B987" s="139"/>
      <c r="C987" s="139"/>
      <c r="D987" s="139"/>
      <c r="F987" s="48"/>
    </row>
    <row r="988">
      <c r="B988" s="139"/>
      <c r="C988" s="139"/>
      <c r="D988" s="139"/>
      <c r="F988" s="48"/>
    </row>
    <row r="989">
      <c r="B989" s="139"/>
      <c r="C989" s="139"/>
      <c r="D989" s="139"/>
      <c r="F989" s="48"/>
    </row>
    <row r="990">
      <c r="B990" s="139"/>
      <c r="C990" s="139"/>
      <c r="D990" s="139"/>
      <c r="F990" s="48"/>
    </row>
    <row r="991">
      <c r="B991" s="139"/>
      <c r="C991" s="139"/>
      <c r="D991" s="139"/>
      <c r="F991" s="48"/>
    </row>
    <row r="992">
      <c r="B992" s="139"/>
      <c r="C992" s="139"/>
      <c r="D992" s="139"/>
      <c r="F992" s="48"/>
    </row>
    <row r="993">
      <c r="B993" s="139"/>
      <c r="C993" s="139"/>
      <c r="D993" s="139"/>
      <c r="F993" s="48"/>
    </row>
    <row r="994">
      <c r="B994" s="139"/>
      <c r="C994" s="139"/>
      <c r="D994" s="139"/>
      <c r="F994" s="48"/>
    </row>
    <row r="995">
      <c r="B995" s="139"/>
      <c r="C995" s="139"/>
      <c r="D995" s="139"/>
      <c r="F995" s="48"/>
    </row>
    <row r="996">
      <c r="B996" s="139"/>
      <c r="C996" s="139"/>
      <c r="D996" s="139"/>
      <c r="F996" s="48"/>
    </row>
    <row r="997">
      <c r="B997" s="139"/>
      <c r="C997" s="139"/>
      <c r="D997" s="139"/>
      <c r="F997" s="48"/>
    </row>
    <row r="998">
      <c r="B998" s="139"/>
      <c r="C998" s="139"/>
      <c r="D998" s="139"/>
      <c r="F998" s="48"/>
    </row>
    <row r="999">
      <c r="B999" s="139"/>
      <c r="C999" s="139"/>
      <c r="D999" s="139"/>
      <c r="F999" s="48"/>
    </row>
    <row r="1000">
      <c r="B1000" s="139"/>
      <c r="C1000" s="139"/>
      <c r="D1000" s="139"/>
      <c r="F1000" s="48"/>
    </row>
    <row r="1001">
      <c r="B1001" s="139"/>
      <c r="C1001" s="139"/>
      <c r="D1001" s="139"/>
      <c r="F1001" s="48"/>
    </row>
    <row r="1002">
      <c r="B1002" s="139"/>
      <c r="C1002" s="139"/>
      <c r="D1002" s="139"/>
      <c r="F1002" s="48"/>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2" ref="B4"/>
    <hyperlink r:id="rId3" ref="C4"/>
    <hyperlink r:id="rId4" ref="B5"/>
    <hyperlink r:id="rId5" ref="B6"/>
    <hyperlink r:id="rId6" ref="C6"/>
    <hyperlink r:id="rId7" ref="B7"/>
    <hyperlink r:id="rId8" ref="B8"/>
    <hyperlink r:id="rId9" ref="B9"/>
    <hyperlink r:id="rId10" ref="B10"/>
    <hyperlink r:id="rId11" ref="C10"/>
    <hyperlink r:id="rId12" ref="B11"/>
    <hyperlink r:id="rId13" ref="B12"/>
    <hyperlink r:id="rId14" ref="C12"/>
    <hyperlink r:id="rId15" ref="B13"/>
    <hyperlink r:id="rId16" ref="C14"/>
    <hyperlink r:id="rId17" ref="B18"/>
    <hyperlink r:id="rId18" ref="B19"/>
    <hyperlink r:id="rId19" ref="C26"/>
    <hyperlink r:id="rId20" ref="B31"/>
    <hyperlink r:id="rId21" ref="B32"/>
    <hyperlink r:id="rId22" ref="C33"/>
    <hyperlink r:id="rId23" ref="C35"/>
    <hyperlink r:id="rId24" ref="B42"/>
    <hyperlink r:id="rId25" ref="B46"/>
    <hyperlink r:id="rId26" ref="B47"/>
    <hyperlink r:id="rId27" ref="C53"/>
    <hyperlink r:id="rId28" ref="B55"/>
    <hyperlink r:id="rId29" ref="C55"/>
    <hyperlink r:id="rId30" ref="B57"/>
    <hyperlink r:id="rId31" ref="B61"/>
    <hyperlink r:id="rId32" ref="B62"/>
    <hyperlink r:id="rId33" ref="B64"/>
    <hyperlink r:id="rId34" ref="B65"/>
    <hyperlink r:id="rId35" ref="B66"/>
    <hyperlink r:id="rId36" ref="B67"/>
    <hyperlink r:id="rId37" ref="B68"/>
    <hyperlink r:id="rId38" ref="C68"/>
    <hyperlink r:id="rId39" ref="C73"/>
    <hyperlink r:id="rId40" ref="C79"/>
    <hyperlink r:id="rId41" ref="B90"/>
    <hyperlink r:id="rId42" ref="C90"/>
    <hyperlink r:id="rId43" ref="C92"/>
    <hyperlink r:id="rId44" ref="C93"/>
    <hyperlink r:id="rId45" ref="C103"/>
    <hyperlink r:id="rId46" ref="C110"/>
    <hyperlink r:id="rId47" ref="C111"/>
    <hyperlink r:id="rId48" ref="C113"/>
    <hyperlink r:id="rId49" ref="C114"/>
    <hyperlink r:id="rId50" ref="C117"/>
    <hyperlink r:id="rId51" ref="C118"/>
    <hyperlink r:id="rId52" ref="C128"/>
    <hyperlink r:id="rId53" ref="B138"/>
    <hyperlink r:id="rId54" ref="B140"/>
    <hyperlink r:id="rId55" ref="C140"/>
    <hyperlink r:id="rId56" ref="B143"/>
    <hyperlink r:id="rId57" ref="B144"/>
    <hyperlink r:id="rId58" ref="C144"/>
    <hyperlink r:id="rId59" ref="B145"/>
    <hyperlink r:id="rId60" ref="B146"/>
    <hyperlink r:id="rId61" ref="C146"/>
    <hyperlink r:id="rId62" ref="C156"/>
    <hyperlink r:id="rId63" ref="M156"/>
    <hyperlink r:id="rId64" ref="C157"/>
    <hyperlink r:id="rId65" ref="M157"/>
    <hyperlink r:id="rId66" ref="C158"/>
    <hyperlink r:id="rId67" ref="M158"/>
    <hyperlink r:id="rId68" ref="C159"/>
    <hyperlink r:id="rId69" ref="M159"/>
    <hyperlink r:id="rId70" ref="C160"/>
    <hyperlink r:id="rId71" ref="M160"/>
    <hyperlink r:id="rId72" ref="C161"/>
    <hyperlink r:id="rId73" ref="M161"/>
    <hyperlink r:id="rId74" ref="B162"/>
    <hyperlink r:id="rId75" ref="C162"/>
    <hyperlink r:id="rId76" ref="B163"/>
    <hyperlink r:id="rId77" ref="C163"/>
    <hyperlink r:id="rId78" ref="C165"/>
    <hyperlink r:id="rId79" ref="M165"/>
    <hyperlink r:id="rId80" ref="C166"/>
    <hyperlink r:id="rId81" ref="B167"/>
    <hyperlink r:id="rId82" ref="C170"/>
    <hyperlink r:id="rId83" ref="B171"/>
    <hyperlink r:id="rId84" ref="C172"/>
    <hyperlink r:id="rId85" ref="C173"/>
    <hyperlink r:id="rId86" ref="C174"/>
    <hyperlink r:id="rId87" ref="M174"/>
    <hyperlink r:id="rId88" ref="B175"/>
    <hyperlink r:id="rId89" ref="C175"/>
    <hyperlink r:id="rId90" ref="B176"/>
    <hyperlink r:id="rId91" ref="C176"/>
    <hyperlink r:id="rId92" ref="C177"/>
    <hyperlink r:id="rId93" ref="M177"/>
    <hyperlink r:id="rId94" location="cite_note-6" ref="E178"/>
    <hyperlink r:id="rId95" ref="B179"/>
    <hyperlink r:id="rId96" ref="B180"/>
    <hyperlink r:id="rId97" ref="C180"/>
    <hyperlink r:id="rId98" ref="B181"/>
    <hyperlink r:id="rId99" ref="C181"/>
    <hyperlink r:id="rId100" ref="C182"/>
    <hyperlink r:id="rId101" ref="M182"/>
    <hyperlink r:id="rId102" ref="B183"/>
    <hyperlink r:id="rId103" ref="C183"/>
    <hyperlink r:id="rId104" ref="C184"/>
    <hyperlink r:id="rId105" ref="C185"/>
    <hyperlink r:id="rId106" ref="B186"/>
    <hyperlink r:id="rId107" ref="C186"/>
    <hyperlink r:id="rId108" ref="B187"/>
    <hyperlink r:id="rId109" ref="C187"/>
    <hyperlink r:id="rId110" ref="B188"/>
    <hyperlink r:id="rId111" ref="C188"/>
    <hyperlink r:id="rId112" ref="B189"/>
    <hyperlink r:id="rId113" ref="C189"/>
    <hyperlink r:id="rId114" ref="B190"/>
    <hyperlink r:id="rId115" ref="C190"/>
    <hyperlink r:id="rId116" ref="B191"/>
  </hyperlinks>
  <drawing r:id="rId117"/>
  <legacyDrawing r:id="rId118"/>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4.43" defaultRowHeight="15.75"/>
  <cols>
    <col customWidth="1" min="1" max="1" width="11.71"/>
    <col customWidth="1" min="2" max="2" width="8.43"/>
    <col customWidth="1" min="3" max="3" width="15.57"/>
    <col customWidth="1" min="4" max="4" width="15.43"/>
    <col customWidth="1" min="5" max="5" width="9.43"/>
    <col customWidth="1" min="11" max="11" width="12.86"/>
  </cols>
  <sheetData>
    <row r="1">
      <c r="A1" s="1" t="s">
        <v>0</v>
      </c>
      <c r="B1" s="2" t="s">
        <v>1</v>
      </c>
      <c r="C1" s="2" t="s">
        <v>2</v>
      </c>
      <c r="D1" s="2" t="s">
        <v>2</v>
      </c>
      <c r="E1" s="3"/>
      <c r="F1" s="1" t="s">
        <v>3</v>
      </c>
      <c r="G1" s="1" t="s">
        <v>4</v>
      </c>
      <c r="H1" s="1" t="s">
        <v>5</v>
      </c>
      <c r="I1" s="1" t="s">
        <v>6</v>
      </c>
      <c r="J1" s="1" t="s">
        <v>7</v>
      </c>
      <c r="K1" s="1" t="s">
        <v>8</v>
      </c>
      <c r="L1" s="7" t="s">
        <v>9</v>
      </c>
      <c r="N1" s="10" t="s">
        <v>14</v>
      </c>
      <c r="P1" s="11"/>
      <c r="Q1" s="11"/>
      <c r="R1" s="17"/>
      <c r="S1" s="20"/>
      <c r="T1" s="20"/>
      <c r="U1" s="20"/>
      <c r="V1" s="20"/>
      <c r="W1" s="20"/>
      <c r="X1" s="20"/>
      <c r="Y1" s="20"/>
      <c r="Z1" s="20"/>
      <c r="AA1" s="20"/>
      <c r="AB1" s="20"/>
      <c r="AC1" s="20"/>
      <c r="AD1" s="20"/>
    </row>
    <row r="2">
      <c r="A2" s="21" t="s">
        <v>492</v>
      </c>
      <c r="B2" s="21"/>
      <c r="C2" s="21"/>
      <c r="D2" s="23"/>
      <c r="E2" s="3"/>
      <c r="F2" s="23">
        <v>43473.0</v>
      </c>
      <c r="G2" s="23">
        <v>44012.0</v>
      </c>
      <c r="H2" s="79">
        <f>G2-TODAY()</f>
        <v>277</v>
      </c>
      <c r="I2" s="23">
        <v>43473.0</v>
      </c>
      <c r="J2" s="23">
        <v>44012.0</v>
      </c>
      <c r="K2" s="23"/>
      <c r="L2" s="26">
        <f>CountIFS($E:$E,"=Dem",$A:$A,"=House")</f>
        <v>26</v>
      </c>
      <c r="M2" s="28">
        <f>CountIFS($E:$E,"=Rep",$A:$A,"=House")</f>
        <v>15</v>
      </c>
      <c r="N2" s="26">
        <f>CountIFS($E:$E,"=Dem",$A:$A,"=Senate")</f>
        <v>12</v>
      </c>
      <c r="O2" s="28">
        <f>CountIFS($E:$E,"=Rep",$A:$A,"=Senate")</f>
        <v>9</v>
      </c>
      <c r="P2" s="11"/>
      <c r="Q2" s="11"/>
      <c r="R2" s="17"/>
      <c r="S2" s="20"/>
      <c r="T2" s="20"/>
      <c r="U2" s="20"/>
      <c r="V2" s="20"/>
      <c r="W2" s="20"/>
      <c r="X2" s="20"/>
      <c r="Y2" s="20"/>
      <c r="Z2" s="20"/>
      <c r="AA2" s="20"/>
      <c r="AB2" s="20"/>
      <c r="AC2" s="20"/>
      <c r="AD2" s="20"/>
    </row>
    <row r="3">
      <c r="A3" s="30" t="s">
        <v>29</v>
      </c>
      <c r="B3" s="2" t="s">
        <v>30</v>
      </c>
      <c r="C3" s="2" t="s">
        <v>31</v>
      </c>
      <c r="D3" s="2" t="s">
        <v>32</v>
      </c>
      <c r="E3" s="3" t="s">
        <v>33</v>
      </c>
      <c r="F3" s="30" t="s">
        <v>10</v>
      </c>
      <c r="G3" s="30" t="s">
        <v>34</v>
      </c>
      <c r="H3" s="30" t="s">
        <v>34</v>
      </c>
      <c r="I3" s="30" t="s">
        <v>34</v>
      </c>
      <c r="J3" s="30" t="s">
        <v>34</v>
      </c>
      <c r="K3" s="30" t="s">
        <v>35</v>
      </c>
      <c r="L3" s="19" t="s">
        <v>36</v>
      </c>
      <c r="M3" s="19" t="s">
        <v>37</v>
      </c>
      <c r="N3" s="19" t="s">
        <v>38</v>
      </c>
      <c r="O3" s="17" t="s">
        <v>39</v>
      </c>
      <c r="P3" s="11" t="s">
        <v>40</v>
      </c>
      <c r="Q3" s="11" t="s">
        <v>41</v>
      </c>
      <c r="R3" s="17" t="s">
        <v>42</v>
      </c>
      <c r="S3" s="20"/>
      <c r="T3" s="20"/>
      <c r="U3" s="20"/>
      <c r="V3" s="20"/>
      <c r="W3" s="20"/>
      <c r="X3" s="20"/>
      <c r="Y3" s="20"/>
      <c r="Z3" s="20"/>
      <c r="AA3" s="20"/>
      <c r="AB3" s="20"/>
      <c r="AC3" s="20"/>
      <c r="AD3" s="20"/>
    </row>
    <row r="4">
      <c r="A4" s="14" t="s">
        <v>44</v>
      </c>
      <c r="B4" s="74">
        <v>1.0</v>
      </c>
      <c r="C4" s="35" t="s">
        <v>2583</v>
      </c>
      <c r="D4" s="35" t="s">
        <v>2584</v>
      </c>
      <c r="E4" s="36" t="s">
        <v>49</v>
      </c>
      <c r="F4" s="220"/>
      <c r="G4" s="221"/>
      <c r="H4" s="222"/>
      <c r="I4" s="118"/>
      <c r="J4" s="119"/>
      <c r="L4" s="223" t="s">
        <v>2585</v>
      </c>
      <c r="M4" s="88" t="str">
        <f t="shared" ref="M4:M44" si="1">Concatenate(Lower(C4),".",Lower(D4),"@state.de.us")</f>
        <v>nnamdi.chukwuocha@state.de.us</v>
      </c>
      <c r="N4" s="89"/>
      <c r="O4" s="88">
        <v>2012.0</v>
      </c>
      <c r="P4" s="89"/>
      <c r="Q4" s="89"/>
      <c r="R4" s="89"/>
      <c r="S4" s="31" t="s">
        <v>2588</v>
      </c>
    </row>
    <row r="5">
      <c r="A5" s="14" t="s">
        <v>44</v>
      </c>
      <c r="B5" s="74">
        <v>2.0</v>
      </c>
      <c r="C5" s="38" t="s">
        <v>2589</v>
      </c>
      <c r="D5" s="35" t="s">
        <v>2590</v>
      </c>
      <c r="E5" s="36" t="s">
        <v>49</v>
      </c>
      <c r="F5" s="220"/>
      <c r="G5" s="221"/>
      <c r="H5" s="222"/>
      <c r="I5" s="118"/>
      <c r="J5" s="119"/>
      <c r="L5" s="89"/>
      <c r="M5" s="88" t="str">
        <f t="shared" si="1"/>
        <v>stephaniet.bolden@state.de.us</v>
      </c>
      <c r="N5" s="89"/>
      <c r="O5" s="88">
        <v>2010.0</v>
      </c>
      <c r="P5" s="89"/>
      <c r="Q5" s="89"/>
      <c r="R5" s="89"/>
      <c r="S5" s="76"/>
    </row>
    <row r="6">
      <c r="A6" s="14" t="s">
        <v>44</v>
      </c>
      <c r="B6" s="74">
        <v>3.0</v>
      </c>
      <c r="C6" s="38" t="s">
        <v>2593</v>
      </c>
      <c r="D6" s="38" t="s">
        <v>1275</v>
      </c>
      <c r="E6" s="36" t="s">
        <v>49</v>
      </c>
      <c r="F6" s="220"/>
      <c r="G6" s="221"/>
      <c r="H6" s="222"/>
      <c r="I6" s="118"/>
      <c r="J6" s="119"/>
      <c r="L6" s="223" t="s">
        <v>2585</v>
      </c>
      <c r="M6" s="88" t="str">
        <f t="shared" si="1"/>
        <v>sherry.walker@state.de.us</v>
      </c>
      <c r="N6" s="89"/>
      <c r="O6" s="88">
        <v>1996.0</v>
      </c>
      <c r="P6" s="89"/>
      <c r="Q6" s="89"/>
      <c r="R6" s="89"/>
      <c r="S6" s="31" t="s">
        <v>2594</v>
      </c>
    </row>
    <row r="7">
      <c r="A7" s="14" t="s">
        <v>44</v>
      </c>
      <c r="B7" s="74">
        <v>4.0</v>
      </c>
      <c r="C7" s="35" t="s">
        <v>987</v>
      </c>
      <c r="D7" s="35" t="s">
        <v>2596</v>
      </c>
      <c r="E7" s="36" t="s">
        <v>49</v>
      </c>
      <c r="F7" s="220"/>
      <c r="G7" s="221"/>
      <c r="H7" s="222"/>
      <c r="I7" s="118"/>
      <c r="J7" s="119"/>
      <c r="L7" s="89"/>
      <c r="M7" s="88" t="str">
        <f t="shared" si="1"/>
        <v>gerald.brady@state.de.us</v>
      </c>
      <c r="N7" s="89"/>
      <c r="O7" s="88">
        <v>2006.0</v>
      </c>
      <c r="P7" s="89"/>
      <c r="Q7" s="89"/>
      <c r="R7" s="89"/>
      <c r="S7" s="31" t="s">
        <v>2597</v>
      </c>
    </row>
    <row r="8">
      <c r="A8" s="14" t="s">
        <v>44</v>
      </c>
      <c r="B8" s="74">
        <v>5.0</v>
      </c>
      <c r="C8" s="38" t="s">
        <v>2598</v>
      </c>
      <c r="D8" s="38" t="s">
        <v>118</v>
      </c>
      <c r="E8" s="36" t="s">
        <v>49</v>
      </c>
      <c r="F8" s="220"/>
      <c r="G8" s="221"/>
      <c r="H8" s="222"/>
      <c r="I8" s="118" t="s">
        <v>2599</v>
      </c>
      <c r="J8" s="119"/>
      <c r="L8" s="223" t="s">
        <v>2585</v>
      </c>
      <c r="M8" s="88" t="str">
        <f t="shared" si="1"/>
        <v>kendra.johnson@state.de.us</v>
      </c>
      <c r="N8" s="89"/>
      <c r="O8" s="88">
        <v>2002.0</v>
      </c>
      <c r="P8" s="89"/>
      <c r="Q8" s="89"/>
      <c r="R8" s="89"/>
      <c r="S8" s="200" t="s">
        <v>2600</v>
      </c>
    </row>
    <row r="9">
      <c r="A9" s="14" t="s">
        <v>44</v>
      </c>
      <c r="B9" s="74">
        <v>6.0</v>
      </c>
      <c r="C9" s="35" t="s">
        <v>2601</v>
      </c>
      <c r="D9" s="35" t="s">
        <v>2603</v>
      </c>
      <c r="E9" s="36" t="s">
        <v>49</v>
      </c>
      <c r="F9" s="220"/>
      <c r="G9" s="221" t="s">
        <v>2604</v>
      </c>
      <c r="H9" s="222"/>
      <c r="I9" s="122" t="s">
        <v>2605</v>
      </c>
      <c r="J9" s="123"/>
      <c r="L9" s="89"/>
      <c r="M9" s="88" t="str">
        <f t="shared" si="1"/>
        <v>debra.heffernan@state.de.us</v>
      </c>
      <c r="N9" s="89"/>
      <c r="O9" s="88">
        <v>2010.0</v>
      </c>
      <c r="P9" s="89"/>
      <c r="Q9" s="89"/>
      <c r="R9" s="89"/>
      <c r="S9" s="45" t="s">
        <v>2606</v>
      </c>
    </row>
    <row r="10">
      <c r="A10" s="14" t="s">
        <v>44</v>
      </c>
      <c r="B10" s="74">
        <v>7.0</v>
      </c>
      <c r="C10" s="38" t="s">
        <v>2609</v>
      </c>
      <c r="D10" s="38" t="s">
        <v>2611</v>
      </c>
      <c r="E10" s="36" t="s">
        <v>49</v>
      </c>
      <c r="F10" s="220"/>
      <c r="G10" s="221"/>
      <c r="H10" s="222"/>
      <c r="I10" s="122"/>
      <c r="J10" s="123"/>
      <c r="L10" s="223" t="s">
        <v>2585</v>
      </c>
      <c r="M10" s="88" t="str">
        <f t="shared" si="1"/>
        <v>raymond.seigfried@state.de.us</v>
      </c>
      <c r="N10" s="89"/>
      <c r="O10" s="88">
        <v>2007.0</v>
      </c>
      <c r="P10" s="89"/>
      <c r="Q10" s="89"/>
      <c r="R10" s="89"/>
      <c r="S10" s="76"/>
    </row>
    <row r="11">
      <c r="A11" s="14" t="s">
        <v>44</v>
      </c>
      <c r="B11" s="74">
        <v>8.0</v>
      </c>
      <c r="C11" s="35" t="s">
        <v>2613</v>
      </c>
      <c r="D11" s="35" t="s">
        <v>118</v>
      </c>
      <c r="E11" s="100" t="s">
        <v>49</v>
      </c>
      <c r="F11" s="220"/>
      <c r="G11" s="221" t="s">
        <v>2614</v>
      </c>
      <c r="H11" s="222"/>
      <c r="I11" s="122" t="s">
        <v>2615</v>
      </c>
      <c r="J11" s="123"/>
      <c r="L11" s="89"/>
      <c r="M11" s="88" t="str">
        <f t="shared" si="1"/>
        <v>quinton.johnson@state.de.us</v>
      </c>
      <c r="N11" s="89"/>
      <c r="O11" s="88">
        <v>2008.0</v>
      </c>
      <c r="P11" s="89"/>
      <c r="Q11" s="89"/>
      <c r="R11" s="89"/>
      <c r="S11" s="45" t="s">
        <v>2616</v>
      </c>
    </row>
    <row r="12">
      <c r="A12" s="14" t="s">
        <v>44</v>
      </c>
      <c r="B12" s="74">
        <v>9.0</v>
      </c>
      <c r="C12" s="35" t="s">
        <v>971</v>
      </c>
      <c r="D12" s="35" t="s">
        <v>2625</v>
      </c>
      <c r="E12" s="51" t="s">
        <v>53</v>
      </c>
      <c r="F12" s="220"/>
      <c r="G12" s="221"/>
      <c r="H12" s="222"/>
      <c r="I12" s="122"/>
      <c r="J12" s="123"/>
      <c r="L12" s="89"/>
      <c r="M12" s="88" t="str">
        <f t="shared" si="1"/>
        <v>kevin.hensley@state.de.us</v>
      </c>
      <c r="N12" s="89"/>
      <c r="O12" s="88">
        <v>2014.0</v>
      </c>
      <c r="P12" s="89"/>
      <c r="Q12" s="89"/>
      <c r="R12" s="89"/>
      <c r="S12" s="76"/>
    </row>
    <row r="13">
      <c r="A13" s="14" t="s">
        <v>44</v>
      </c>
      <c r="B13" s="74">
        <v>10.0</v>
      </c>
      <c r="C13" s="35" t="s">
        <v>1276</v>
      </c>
      <c r="D13" s="35" t="s">
        <v>2637</v>
      </c>
      <c r="E13" s="36" t="s">
        <v>49</v>
      </c>
      <c r="F13" s="220"/>
      <c r="G13" s="221"/>
      <c r="H13" s="222"/>
      <c r="I13" s="122"/>
      <c r="J13" s="123"/>
      <c r="L13" s="89"/>
      <c r="M13" s="88" t="str">
        <f t="shared" si="1"/>
        <v>sean.matthews@state.de.us</v>
      </c>
      <c r="N13" s="89"/>
      <c r="O13" s="88">
        <v>2014.0</v>
      </c>
      <c r="P13" s="89"/>
      <c r="Q13" s="89"/>
      <c r="R13" s="89"/>
      <c r="S13" s="45" t="s">
        <v>82</v>
      </c>
    </row>
    <row r="14">
      <c r="A14" s="14" t="s">
        <v>44</v>
      </c>
      <c r="B14" s="74">
        <v>11.0</v>
      </c>
      <c r="C14" s="35" t="s">
        <v>2512</v>
      </c>
      <c r="D14" s="35" t="s">
        <v>2638</v>
      </c>
      <c r="E14" s="51" t="s">
        <v>53</v>
      </c>
      <c r="F14" s="220"/>
      <c r="G14" s="221"/>
      <c r="H14" s="222"/>
      <c r="I14" s="122"/>
      <c r="J14" s="123"/>
      <c r="L14" s="89"/>
      <c r="M14" s="88" t="str">
        <f t="shared" si="1"/>
        <v>jeffrey.spiegelman@state.de.us</v>
      </c>
      <c r="N14" s="89"/>
      <c r="O14" s="88">
        <v>2012.0</v>
      </c>
      <c r="P14" s="89"/>
      <c r="Q14" s="89"/>
      <c r="R14" s="89"/>
      <c r="S14" s="45" t="s">
        <v>2639</v>
      </c>
    </row>
    <row r="15">
      <c r="A15" s="14" t="s">
        <v>44</v>
      </c>
      <c r="B15" s="74">
        <v>12.0</v>
      </c>
      <c r="C15" s="38" t="s">
        <v>2641</v>
      </c>
      <c r="D15" s="38" t="s">
        <v>2642</v>
      </c>
      <c r="E15" s="100" t="s">
        <v>49</v>
      </c>
      <c r="F15" s="225"/>
      <c r="G15" s="221" t="s">
        <v>2644</v>
      </c>
      <c r="H15" s="222"/>
      <c r="I15" s="122"/>
      <c r="J15" s="123"/>
      <c r="L15" s="223" t="s">
        <v>2585</v>
      </c>
      <c r="M15" s="88" t="str">
        <f t="shared" si="1"/>
        <v>krista.griffith@state.de.us</v>
      </c>
      <c r="N15" s="89"/>
      <c r="O15" s="88">
        <v>1994.0</v>
      </c>
      <c r="P15" s="89"/>
      <c r="Q15" s="89"/>
      <c r="R15" s="89"/>
      <c r="S15" s="31" t="s">
        <v>2645</v>
      </c>
    </row>
    <row r="16">
      <c r="A16" s="14" t="s">
        <v>44</v>
      </c>
      <c r="B16" s="74">
        <v>13.0</v>
      </c>
      <c r="C16" s="35" t="s">
        <v>278</v>
      </c>
      <c r="D16" s="38" t="s">
        <v>2206</v>
      </c>
      <c r="E16" s="36" t="s">
        <v>49</v>
      </c>
      <c r="F16" s="226" t="s">
        <v>1188</v>
      </c>
      <c r="G16" s="221"/>
      <c r="H16" s="222"/>
      <c r="I16" s="118"/>
      <c r="J16" s="119"/>
      <c r="L16" s="89"/>
      <c r="M16" s="88" t="str">
        <f t="shared" si="1"/>
        <v>john.mitchell@state.de.us</v>
      </c>
      <c r="N16" s="89"/>
      <c r="O16" s="88">
        <v>2006.0</v>
      </c>
      <c r="P16" s="89"/>
      <c r="Q16" s="89"/>
      <c r="R16" s="89"/>
      <c r="S16" s="45" t="s">
        <v>2647</v>
      </c>
    </row>
    <row r="17">
      <c r="A17" s="14" t="s">
        <v>44</v>
      </c>
      <c r="B17" s="74">
        <v>14.0</v>
      </c>
      <c r="C17" s="35" t="s">
        <v>367</v>
      </c>
      <c r="D17" s="35" t="s">
        <v>2655</v>
      </c>
      <c r="E17" s="36" t="s">
        <v>49</v>
      </c>
      <c r="F17" s="226" t="s">
        <v>254</v>
      </c>
      <c r="G17" s="221"/>
      <c r="H17" s="222"/>
      <c r="I17" s="122"/>
      <c r="J17" s="123"/>
      <c r="L17" s="89"/>
      <c r="M17" s="88" t="str">
        <f t="shared" si="1"/>
        <v>peter.schwartzkopf@state.de.us</v>
      </c>
      <c r="N17" s="89"/>
      <c r="O17" s="88">
        <v>2002.0</v>
      </c>
      <c r="P17" s="89"/>
      <c r="Q17" s="89"/>
      <c r="R17" s="89"/>
      <c r="S17" s="31" t="s">
        <v>2657</v>
      </c>
    </row>
    <row r="18">
      <c r="A18" s="14" t="s">
        <v>44</v>
      </c>
      <c r="B18" s="74">
        <v>15.0</v>
      </c>
      <c r="C18" s="35" t="s">
        <v>2658</v>
      </c>
      <c r="D18" s="35" t="s">
        <v>2665</v>
      </c>
      <c r="E18" s="36" t="s">
        <v>49</v>
      </c>
      <c r="F18" s="226" t="s">
        <v>176</v>
      </c>
      <c r="G18" s="221" t="s">
        <v>2666</v>
      </c>
      <c r="H18" s="222"/>
      <c r="I18" s="122" t="s">
        <v>2667</v>
      </c>
      <c r="J18" s="227" t="s">
        <v>780</v>
      </c>
      <c r="L18" s="89"/>
      <c r="M18" s="88" t="str">
        <f t="shared" si="1"/>
        <v>valerie.longhurst@state.de.us</v>
      </c>
      <c r="N18" s="89"/>
      <c r="O18" s="88">
        <v>2004.0</v>
      </c>
      <c r="P18" s="89"/>
      <c r="Q18" s="89"/>
      <c r="R18" s="89"/>
      <c r="S18" s="31" t="s">
        <v>2669</v>
      </c>
    </row>
    <row r="19">
      <c r="A19" s="14" t="s">
        <v>44</v>
      </c>
      <c r="B19" s="74">
        <v>16.0</v>
      </c>
      <c r="C19" s="38" t="s">
        <v>2670</v>
      </c>
      <c r="D19" s="38" t="s">
        <v>2353</v>
      </c>
      <c r="E19" s="36" t="s">
        <v>49</v>
      </c>
      <c r="F19" s="220"/>
      <c r="G19" s="221"/>
      <c r="H19" s="222"/>
      <c r="I19" s="122"/>
      <c r="J19" s="123"/>
      <c r="L19" s="223" t="s">
        <v>2585</v>
      </c>
      <c r="M19" s="88" t="str">
        <f t="shared" si="1"/>
        <v>franklin.cooke@state.de.us</v>
      </c>
      <c r="N19" s="89"/>
      <c r="O19" s="88">
        <v>2004.0</v>
      </c>
      <c r="P19" s="89"/>
      <c r="Q19" s="89"/>
      <c r="R19" s="89"/>
      <c r="S19" s="31" t="s">
        <v>2671</v>
      </c>
    </row>
    <row r="20">
      <c r="A20" s="14" t="s">
        <v>44</v>
      </c>
      <c r="B20" s="74">
        <v>17.0</v>
      </c>
      <c r="C20" s="38" t="s">
        <v>2672</v>
      </c>
      <c r="D20" s="38" t="s">
        <v>2673</v>
      </c>
      <c r="E20" s="36" t="s">
        <v>49</v>
      </c>
      <c r="F20" s="220"/>
      <c r="G20" s="221" t="s">
        <v>2674</v>
      </c>
      <c r="H20" s="222"/>
      <c r="I20" s="118"/>
      <c r="J20" s="119"/>
      <c r="L20" s="223" t="s">
        <v>2585</v>
      </c>
      <c r="M20" s="88" t="str">
        <f t="shared" si="1"/>
        <v>meilissa.minor@state.de.us</v>
      </c>
      <c r="N20" s="89"/>
      <c r="O20" s="88">
        <v>1998.0</v>
      </c>
      <c r="P20" s="89"/>
      <c r="Q20" s="89"/>
      <c r="R20" s="89"/>
      <c r="S20" s="228" t="s">
        <v>2675</v>
      </c>
    </row>
    <row r="21">
      <c r="A21" s="14" t="s">
        <v>44</v>
      </c>
      <c r="B21" s="74">
        <v>18.0</v>
      </c>
      <c r="C21" s="35" t="s">
        <v>108</v>
      </c>
      <c r="D21" s="35" t="s">
        <v>2686</v>
      </c>
      <c r="E21" s="36" t="s">
        <v>49</v>
      </c>
      <c r="F21" s="220"/>
      <c r="G21" s="221" t="s">
        <v>2687</v>
      </c>
      <c r="H21" s="222"/>
      <c r="I21" s="118" t="s">
        <v>2688</v>
      </c>
      <c r="J21" s="119"/>
      <c r="L21" s="89"/>
      <c r="M21" s="88" t="str">
        <f t="shared" si="1"/>
        <v>david.bentz@state.de.us</v>
      </c>
      <c r="N21" s="89"/>
      <c r="O21" s="88">
        <v>2015.0</v>
      </c>
      <c r="P21" s="89"/>
      <c r="Q21" s="89"/>
      <c r="R21" s="89"/>
      <c r="S21" s="76"/>
    </row>
    <row r="22">
      <c r="A22" s="14" t="s">
        <v>44</v>
      </c>
      <c r="B22" s="74">
        <v>19.0</v>
      </c>
      <c r="C22" s="35" t="s">
        <v>2689</v>
      </c>
      <c r="D22" s="35" t="s">
        <v>793</v>
      </c>
      <c r="E22" s="36" t="s">
        <v>49</v>
      </c>
      <c r="F22" s="220"/>
      <c r="G22" s="221"/>
      <c r="H22" s="222"/>
      <c r="I22" s="122"/>
      <c r="J22" s="123"/>
      <c r="L22" s="89"/>
      <c r="M22" s="88" t="str">
        <f t="shared" si="1"/>
        <v>kimberly.williams@state.de.us</v>
      </c>
      <c r="N22" s="89"/>
      <c r="O22" s="88">
        <v>2012.0</v>
      </c>
      <c r="P22" s="89"/>
      <c r="Q22" s="89"/>
      <c r="R22" s="89"/>
      <c r="S22" s="31" t="s">
        <v>2691</v>
      </c>
    </row>
    <row r="23">
      <c r="A23" s="14" t="s">
        <v>44</v>
      </c>
      <c r="B23" s="74">
        <v>20.0</v>
      </c>
      <c r="C23" s="35" t="s">
        <v>1505</v>
      </c>
      <c r="D23" s="35" t="s">
        <v>2692</v>
      </c>
      <c r="E23" s="51" t="s">
        <v>53</v>
      </c>
      <c r="F23" s="220"/>
      <c r="G23" s="221"/>
      <c r="H23" s="222"/>
      <c r="I23" s="122"/>
      <c r="J23" s="123"/>
      <c r="L23" s="89"/>
      <c r="M23" s="88" t="str">
        <f t="shared" si="1"/>
        <v>stephen.smyk@state.de.us</v>
      </c>
      <c r="N23" s="89"/>
      <c r="O23" s="88">
        <v>2012.0</v>
      </c>
      <c r="P23" s="89"/>
      <c r="Q23" s="89"/>
      <c r="R23" s="89"/>
      <c r="S23" s="31" t="s">
        <v>1373</v>
      </c>
    </row>
    <row r="24">
      <c r="A24" s="14" t="s">
        <v>44</v>
      </c>
      <c r="B24" s="74">
        <v>21.0</v>
      </c>
      <c r="C24" s="35" t="s">
        <v>2490</v>
      </c>
      <c r="D24" s="35" t="s">
        <v>2695</v>
      </c>
      <c r="E24" s="51" t="s">
        <v>53</v>
      </c>
      <c r="F24" s="220"/>
      <c r="G24" s="221"/>
      <c r="H24" s="222" t="s">
        <v>2696</v>
      </c>
      <c r="I24" s="122"/>
      <c r="J24" s="123"/>
      <c r="L24" s="89"/>
      <c r="M24" s="88" t="str">
        <f t="shared" si="1"/>
        <v>michael.ramone@state.de.us</v>
      </c>
      <c r="N24" s="89"/>
      <c r="O24" s="88">
        <v>2008.0</v>
      </c>
      <c r="P24" s="89"/>
      <c r="Q24" s="89"/>
      <c r="R24" s="89"/>
      <c r="S24" s="31" t="s">
        <v>2697</v>
      </c>
    </row>
    <row r="25">
      <c r="A25" s="14" t="s">
        <v>44</v>
      </c>
      <c r="B25" s="74">
        <v>22.0</v>
      </c>
      <c r="C25" s="38" t="s">
        <v>2490</v>
      </c>
      <c r="D25" s="38" t="s">
        <v>1451</v>
      </c>
      <c r="E25" s="51" t="s">
        <v>53</v>
      </c>
      <c r="F25" s="220"/>
      <c r="G25" s="221"/>
      <c r="H25" s="222"/>
      <c r="I25" s="122"/>
      <c r="J25" s="123"/>
      <c r="L25" s="89"/>
      <c r="M25" s="88" t="str">
        <f t="shared" si="1"/>
        <v>michael.smith@state.de.us</v>
      </c>
      <c r="N25" s="89"/>
      <c r="O25" s="88">
        <v>1998.0</v>
      </c>
      <c r="P25" s="89"/>
      <c r="Q25" s="89"/>
      <c r="R25" s="89"/>
      <c r="S25" s="31" t="s">
        <v>2698</v>
      </c>
    </row>
    <row r="26">
      <c r="A26" s="14" t="s">
        <v>44</v>
      </c>
      <c r="B26" s="74">
        <v>23.0</v>
      </c>
      <c r="C26" s="35" t="s">
        <v>679</v>
      </c>
      <c r="D26" s="35" t="s">
        <v>2701</v>
      </c>
      <c r="E26" s="36" t="s">
        <v>49</v>
      </c>
      <c r="F26" s="220"/>
      <c r="G26" s="221"/>
      <c r="H26" s="222"/>
      <c r="I26" s="118"/>
      <c r="J26" s="119"/>
      <c r="L26" s="89"/>
      <c r="M26" s="88" t="str">
        <f t="shared" si="1"/>
        <v>paul.baumbach@state.de.us</v>
      </c>
      <c r="N26" s="89"/>
      <c r="O26" s="88">
        <v>2012.0</v>
      </c>
      <c r="P26" s="89"/>
      <c r="Q26" s="89"/>
      <c r="R26" s="89"/>
      <c r="S26" s="31" t="s">
        <v>2704</v>
      </c>
    </row>
    <row r="27">
      <c r="A27" s="14" t="s">
        <v>44</v>
      </c>
      <c r="B27" s="74">
        <v>24.0</v>
      </c>
      <c r="C27" s="35" t="s">
        <v>2705</v>
      </c>
      <c r="D27" s="35" t="s">
        <v>2708</v>
      </c>
      <c r="E27" s="36" t="s">
        <v>49</v>
      </c>
      <c r="F27" s="220"/>
      <c r="G27" s="221" t="s">
        <v>2709</v>
      </c>
      <c r="H27" s="222"/>
      <c r="I27" s="122" t="s">
        <v>2710</v>
      </c>
      <c r="J27" s="123"/>
      <c r="L27" s="89"/>
      <c r="M27" s="88" t="str">
        <f t="shared" si="1"/>
        <v>edward.osienski@state.de.us</v>
      </c>
      <c r="N27" s="89"/>
      <c r="O27" s="88">
        <v>2010.0</v>
      </c>
      <c r="P27" s="89"/>
      <c r="Q27" s="89"/>
      <c r="R27" s="89"/>
      <c r="S27" s="76"/>
    </row>
    <row r="28">
      <c r="A28" s="14" t="s">
        <v>44</v>
      </c>
      <c r="B28" s="74">
        <v>25.0</v>
      </c>
      <c r="C28" s="35" t="s">
        <v>278</v>
      </c>
      <c r="D28" s="35" t="s">
        <v>2712</v>
      </c>
      <c r="E28" s="36" t="s">
        <v>49</v>
      </c>
      <c r="F28" s="220"/>
      <c r="G28" s="221"/>
      <c r="H28" s="222"/>
      <c r="I28" s="122" t="s">
        <v>2714</v>
      </c>
      <c r="J28" s="123"/>
      <c r="L28" s="89"/>
      <c r="M28" s="88" t="str">
        <f t="shared" si="1"/>
        <v>john.kowalko@state.de.us</v>
      </c>
      <c r="N28" s="89"/>
      <c r="O28" s="88">
        <v>2006.0</v>
      </c>
      <c r="P28" s="89"/>
      <c r="Q28" s="89"/>
      <c r="R28" s="89"/>
      <c r="S28" s="31" t="s">
        <v>2716</v>
      </c>
    </row>
    <row r="29">
      <c r="A29" s="14" t="s">
        <v>44</v>
      </c>
      <c r="B29" s="74">
        <v>26.0</v>
      </c>
      <c r="C29" s="35" t="s">
        <v>278</v>
      </c>
      <c r="D29" s="35" t="s">
        <v>2721</v>
      </c>
      <c r="E29" s="36" t="s">
        <v>49</v>
      </c>
      <c r="F29" s="225"/>
      <c r="G29" s="221" t="s">
        <v>2722</v>
      </c>
      <c r="H29" s="222"/>
      <c r="I29" s="122" t="s">
        <v>2723</v>
      </c>
      <c r="J29" s="123"/>
      <c r="L29" s="89"/>
      <c r="M29" s="88" t="str">
        <f t="shared" si="1"/>
        <v>john.viola@state.de.us</v>
      </c>
      <c r="N29" s="89"/>
      <c r="O29" s="88">
        <v>1998.0</v>
      </c>
      <c r="P29" s="89"/>
      <c r="Q29" s="89"/>
      <c r="R29" s="89"/>
      <c r="S29" s="31" t="s">
        <v>2704</v>
      </c>
    </row>
    <row r="30">
      <c r="A30" s="14" t="s">
        <v>44</v>
      </c>
      <c r="B30" s="74">
        <v>27.0</v>
      </c>
      <c r="C30" s="35" t="s">
        <v>2725</v>
      </c>
      <c r="D30" s="35" t="s">
        <v>2727</v>
      </c>
      <c r="E30" s="36" t="s">
        <v>49</v>
      </c>
      <c r="F30" s="220"/>
      <c r="G30" s="221" t="s">
        <v>515</v>
      </c>
      <c r="H30" s="222"/>
      <c r="I30" s="122" t="s">
        <v>2729</v>
      </c>
      <c r="J30" s="123"/>
      <c r="L30" s="89"/>
      <c r="M30" s="88" t="str">
        <f t="shared" si="1"/>
        <v>earl.jaques,@state.de.us</v>
      </c>
      <c r="N30" s="89"/>
      <c r="O30" s="88">
        <v>2008.0</v>
      </c>
      <c r="P30" s="89"/>
      <c r="Q30" s="89"/>
      <c r="R30" s="89"/>
      <c r="S30" s="45" t="s">
        <v>2731</v>
      </c>
    </row>
    <row r="31">
      <c r="A31" s="14" t="s">
        <v>44</v>
      </c>
      <c r="B31" s="74">
        <v>28.0</v>
      </c>
      <c r="C31" s="35" t="s">
        <v>1058</v>
      </c>
      <c r="D31" s="35" t="s">
        <v>2735</v>
      </c>
      <c r="E31" s="36" t="s">
        <v>49</v>
      </c>
      <c r="F31" s="220"/>
      <c r="G31" s="221" t="s">
        <v>2736</v>
      </c>
      <c r="H31" s="222"/>
      <c r="I31" s="122" t="s">
        <v>2737</v>
      </c>
      <c r="J31" s="123"/>
      <c r="L31" s="89"/>
      <c r="M31" s="88" t="str">
        <f t="shared" si="1"/>
        <v>william.carson,@state.de.us</v>
      </c>
      <c r="N31" s="89"/>
      <c r="O31" s="88">
        <v>2008.0</v>
      </c>
      <c r="P31" s="89"/>
      <c r="Q31" s="89"/>
      <c r="R31" s="89"/>
      <c r="S31" s="45" t="s">
        <v>2738</v>
      </c>
    </row>
    <row r="32">
      <c r="A32" s="14" t="s">
        <v>44</v>
      </c>
      <c r="B32" s="74">
        <v>29.0</v>
      </c>
      <c r="C32" s="38" t="s">
        <v>1058</v>
      </c>
      <c r="D32" s="38" t="s">
        <v>2740</v>
      </c>
      <c r="E32" s="36" t="s">
        <v>49</v>
      </c>
      <c r="F32" s="220"/>
      <c r="G32" s="221" t="s">
        <v>2741</v>
      </c>
      <c r="H32" s="222" t="s">
        <v>2742</v>
      </c>
      <c r="I32" s="122" t="s">
        <v>2744</v>
      </c>
      <c r="J32" s="123"/>
      <c r="L32" s="89"/>
      <c r="M32" s="88" t="str">
        <f t="shared" si="1"/>
        <v>william.bush@state.de.us</v>
      </c>
      <c r="N32" s="89"/>
      <c r="O32" s="88">
        <v>2012.0</v>
      </c>
      <c r="P32" s="89"/>
      <c r="Q32" s="89"/>
      <c r="R32" s="89"/>
      <c r="S32" s="76"/>
    </row>
    <row r="33">
      <c r="A33" s="14" t="s">
        <v>44</v>
      </c>
      <c r="B33" s="74">
        <v>30.0</v>
      </c>
      <c r="C33" s="38" t="s">
        <v>1891</v>
      </c>
      <c r="D33" s="38" t="s">
        <v>617</v>
      </c>
      <c r="E33" s="51" t="s">
        <v>53</v>
      </c>
      <c r="F33" s="220"/>
      <c r="G33" s="221"/>
      <c r="H33" s="222" t="s">
        <v>2745</v>
      </c>
      <c r="I33" s="122"/>
      <c r="J33" s="123"/>
      <c r="L33" s="89"/>
      <c r="M33" s="88" t="str">
        <f t="shared" si="1"/>
        <v>shannon.morris@state.de.us</v>
      </c>
      <c r="N33" s="89"/>
      <c r="O33" s="88">
        <v>2004.0</v>
      </c>
      <c r="P33" s="89"/>
      <c r="Q33" s="89"/>
      <c r="R33" s="89"/>
      <c r="S33" s="45" t="s">
        <v>2748</v>
      </c>
    </row>
    <row r="34">
      <c r="A34" s="14" t="s">
        <v>44</v>
      </c>
      <c r="B34" s="74">
        <v>31.0</v>
      </c>
      <c r="C34" s="35" t="s">
        <v>1276</v>
      </c>
      <c r="D34" s="35" t="s">
        <v>66</v>
      </c>
      <c r="E34" s="36" t="s">
        <v>49</v>
      </c>
      <c r="F34" s="220"/>
      <c r="G34" s="221"/>
      <c r="H34" s="222"/>
      <c r="I34" s="122" t="s">
        <v>781</v>
      </c>
      <c r="J34" s="123"/>
      <c r="L34" s="89"/>
      <c r="M34" s="88" t="str">
        <f t="shared" si="1"/>
        <v>sean.lynn@state.de.us</v>
      </c>
      <c r="N34" s="89"/>
      <c r="O34" s="88">
        <v>2014.0</v>
      </c>
      <c r="P34" s="89"/>
      <c r="Q34" s="89"/>
      <c r="R34" s="89"/>
      <c r="S34" s="45" t="s">
        <v>2760</v>
      </c>
    </row>
    <row r="35">
      <c r="A35" s="14" t="s">
        <v>44</v>
      </c>
      <c r="B35" s="74">
        <v>32.0</v>
      </c>
      <c r="C35" s="35" t="s">
        <v>2762</v>
      </c>
      <c r="D35" s="35" t="s">
        <v>2763</v>
      </c>
      <c r="E35" s="36" t="s">
        <v>49</v>
      </c>
      <c r="F35" s="220"/>
      <c r="G35" s="221"/>
      <c r="H35" s="222"/>
      <c r="I35" s="122"/>
      <c r="J35" s="123"/>
      <c r="L35" s="89"/>
      <c r="M35" s="88" t="str">
        <f t="shared" si="1"/>
        <v>andria.bennett@state.de.us</v>
      </c>
      <c r="N35" s="89"/>
      <c r="O35" s="88">
        <v>2012.0</v>
      </c>
      <c r="P35" s="89"/>
      <c r="Q35" s="89"/>
      <c r="R35" s="89"/>
      <c r="S35" s="31" t="s">
        <v>2760</v>
      </c>
    </row>
    <row r="36">
      <c r="A36" s="14" t="s">
        <v>44</v>
      </c>
      <c r="B36" s="74">
        <v>33.0</v>
      </c>
      <c r="C36" s="74" t="s">
        <v>1287</v>
      </c>
      <c r="D36" s="78" t="s">
        <v>2765</v>
      </c>
      <c r="E36" s="51" t="s">
        <v>53</v>
      </c>
      <c r="F36" s="220"/>
      <c r="G36" s="221"/>
      <c r="H36" s="222"/>
      <c r="I36" s="122"/>
      <c r="J36" s="123"/>
      <c r="L36" s="89"/>
      <c r="M36" s="88" t="str">
        <f t="shared" si="1"/>
        <v>charles.postles@state.de.us</v>
      </c>
      <c r="N36" s="89"/>
      <c r="O36" s="88">
        <v>2016.0</v>
      </c>
      <c r="P36" s="89"/>
      <c r="Q36" s="89"/>
      <c r="R36" s="89"/>
      <c r="S36" s="76"/>
    </row>
    <row r="37">
      <c r="A37" s="14" t="s">
        <v>44</v>
      </c>
      <c r="B37" s="74">
        <v>34.0</v>
      </c>
      <c r="C37" s="35" t="s">
        <v>2768</v>
      </c>
      <c r="D37" s="35" t="s">
        <v>2769</v>
      </c>
      <c r="E37" s="51" t="s">
        <v>53</v>
      </c>
      <c r="F37" s="220"/>
      <c r="G37" s="221"/>
      <c r="H37" s="222"/>
      <c r="I37" s="122"/>
      <c r="J37" s="123"/>
      <c r="L37" s="89"/>
      <c r="M37" s="88" t="str">
        <f t="shared" si="1"/>
        <v>lyndon.yearick@state.de.us</v>
      </c>
      <c r="N37" s="89"/>
      <c r="O37" s="88">
        <v>2014.0</v>
      </c>
      <c r="P37" s="89"/>
      <c r="Q37" s="89"/>
      <c r="R37" s="89"/>
      <c r="S37" s="76"/>
    </row>
    <row r="38">
      <c r="A38" s="14" t="s">
        <v>44</v>
      </c>
      <c r="B38" s="74">
        <v>35.0</v>
      </c>
      <c r="C38" s="38" t="s">
        <v>386</v>
      </c>
      <c r="D38" s="38" t="s">
        <v>2771</v>
      </c>
      <c r="E38" s="51" t="s">
        <v>53</v>
      </c>
      <c r="F38" s="220"/>
      <c r="G38" s="221"/>
      <c r="H38" s="222"/>
      <c r="I38" s="118"/>
      <c r="J38" s="119"/>
      <c r="L38" s="89"/>
      <c r="M38" s="88" t="str">
        <f t="shared" si="1"/>
        <v>jesse.vanderwende@state.de.us</v>
      </c>
      <c r="N38" s="89"/>
      <c r="O38" s="88">
        <v>2008.0</v>
      </c>
      <c r="P38" s="89"/>
      <c r="Q38" s="89"/>
      <c r="R38" s="89"/>
      <c r="S38" s="45" t="s">
        <v>2773</v>
      </c>
    </row>
    <row r="39">
      <c r="A39" s="14" t="s">
        <v>44</v>
      </c>
      <c r="B39" s="74">
        <v>36.0</v>
      </c>
      <c r="C39" s="38" t="s">
        <v>2775</v>
      </c>
      <c r="D39" s="38" t="s">
        <v>2776</v>
      </c>
      <c r="E39" s="51" t="s">
        <v>53</v>
      </c>
      <c r="F39" s="220"/>
      <c r="G39" s="221"/>
      <c r="H39" s="222"/>
      <c r="I39" s="122"/>
      <c r="J39" s="123"/>
      <c r="L39" s="89"/>
      <c r="M39" s="88" t="str">
        <f t="shared" si="1"/>
        <v>bryan.shupe@state.de.us</v>
      </c>
      <c r="N39" s="89"/>
      <c r="O39" s="88">
        <v>2010.0</v>
      </c>
      <c r="P39" s="89"/>
      <c r="Q39" s="89"/>
      <c r="R39" s="89"/>
      <c r="S39" s="76"/>
    </row>
    <row r="40">
      <c r="A40" s="14" t="s">
        <v>44</v>
      </c>
      <c r="B40" s="74">
        <v>37.0</v>
      </c>
      <c r="C40" s="35" t="s">
        <v>2779</v>
      </c>
      <c r="D40" s="38" t="s">
        <v>2781</v>
      </c>
      <c r="E40" s="51" t="s">
        <v>53</v>
      </c>
      <c r="F40" s="220"/>
      <c r="G40" s="221"/>
      <c r="H40" s="222"/>
      <c r="I40" s="118"/>
      <c r="J40" s="119"/>
      <c r="L40" s="89"/>
      <c r="M40" s="88" t="str">
        <f t="shared" si="1"/>
        <v>ruth.briggsking@state.de.us</v>
      </c>
      <c r="N40" s="89"/>
      <c r="O40" s="88">
        <v>2009.0</v>
      </c>
      <c r="P40" s="89"/>
      <c r="Q40" s="89"/>
      <c r="R40" s="89"/>
      <c r="S40" s="200" t="s">
        <v>2782</v>
      </c>
    </row>
    <row r="41">
      <c r="A41" s="14" t="s">
        <v>44</v>
      </c>
      <c r="B41" s="74">
        <v>38.0</v>
      </c>
      <c r="C41" s="35" t="s">
        <v>393</v>
      </c>
      <c r="D41" s="35" t="s">
        <v>658</v>
      </c>
      <c r="E41" s="51" t="s">
        <v>53</v>
      </c>
      <c r="F41" s="220"/>
      <c r="G41" s="221"/>
      <c r="H41" s="222"/>
      <c r="I41" s="122"/>
      <c r="J41" s="123"/>
      <c r="L41" s="89"/>
      <c r="M41" s="88" t="str">
        <f t="shared" si="1"/>
        <v>ronald.gray@state.de.us</v>
      </c>
      <c r="N41" s="89"/>
      <c r="O41" s="88">
        <v>2012.0</v>
      </c>
      <c r="P41" s="89"/>
      <c r="Q41" s="89"/>
      <c r="R41" s="89"/>
      <c r="S41" s="31" t="s">
        <v>2786</v>
      </c>
    </row>
    <row r="42">
      <c r="A42" s="14" t="s">
        <v>44</v>
      </c>
      <c r="B42" s="74">
        <v>39.0</v>
      </c>
      <c r="C42" s="35" t="s">
        <v>552</v>
      </c>
      <c r="D42" s="35" t="s">
        <v>2787</v>
      </c>
      <c r="E42" s="51" t="s">
        <v>53</v>
      </c>
      <c r="F42" s="226" t="s">
        <v>498</v>
      </c>
      <c r="G42" s="221"/>
      <c r="H42" s="222"/>
      <c r="I42" s="118"/>
      <c r="J42" s="119"/>
      <c r="L42" s="89"/>
      <c r="M42" s="88" t="str">
        <f t="shared" si="1"/>
        <v>daniel.short@state.de.us</v>
      </c>
      <c r="N42" s="89"/>
      <c r="O42" s="88">
        <v>2006.0</v>
      </c>
      <c r="P42" s="89"/>
      <c r="Q42" s="89"/>
      <c r="R42" s="89"/>
      <c r="S42" s="45" t="s">
        <v>2790</v>
      </c>
    </row>
    <row r="43">
      <c r="A43" s="14" t="s">
        <v>44</v>
      </c>
      <c r="B43" s="74">
        <v>40.0</v>
      </c>
      <c r="C43" s="35" t="s">
        <v>2507</v>
      </c>
      <c r="D43" s="35" t="s">
        <v>2794</v>
      </c>
      <c r="E43" s="51" t="s">
        <v>53</v>
      </c>
      <c r="F43" s="226" t="s">
        <v>2004</v>
      </c>
      <c r="G43" s="221"/>
      <c r="H43" s="222"/>
      <c r="I43" s="118"/>
      <c r="J43" s="119"/>
      <c r="L43" s="89"/>
      <c r="M43" s="88" t="str">
        <f t="shared" si="1"/>
        <v>timothy.dukes@state.de.us</v>
      </c>
      <c r="N43" s="89"/>
      <c r="O43" s="88">
        <v>2012.0</v>
      </c>
      <c r="P43" s="89"/>
      <c r="Q43" s="89"/>
      <c r="R43" s="89"/>
      <c r="S43" s="45" t="s">
        <v>2797</v>
      </c>
    </row>
    <row r="44">
      <c r="A44" s="14" t="s">
        <v>44</v>
      </c>
      <c r="B44" s="74">
        <v>41.0</v>
      </c>
      <c r="C44" s="35" t="s">
        <v>1112</v>
      </c>
      <c r="D44" s="35" t="s">
        <v>137</v>
      </c>
      <c r="E44" s="51" t="s">
        <v>53</v>
      </c>
      <c r="F44" s="220"/>
      <c r="G44" s="221"/>
      <c r="H44" s="222"/>
      <c r="I44" s="122"/>
      <c r="J44" s="123"/>
      <c r="L44" s="89"/>
      <c r="M44" s="88" t="str">
        <f t="shared" si="1"/>
        <v>richard.collins@state.de.us</v>
      </c>
      <c r="N44" s="89"/>
      <c r="O44" s="88">
        <v>2014.0</v>
      </c>
      <c r="P44" s="89"/>
      <c r="Q44" s="89"/>
      <c r="R44" s="89"/>
      <c r="S44" s="45" t="s">
        <v>2803</v>
      </c>
    </row>
    <row r="45">
      <c r="A45" s="70"/>
      <c r="B45" s="71"/>
      <c r="C45" s="71"/>
      <c r="D45" s="71"/>
      <c r="E45" s="70"/>
      <c r="F45" s="241"/>
      <c r="G45" s="70"/>
      <c r="H45" s="70"/>
      <c r="I45" s="70"/>
      <c r="J45" s="70"/>
      <c r="K45" s="70"/>
      <c r="L45" s="70"/>
      <c r="M45" s="70"/>
      <c r="N45" s="70"/>
      <c r="O45" s="70"/>
      <c r="P45" s="70"/>
      <c r="Q45" s="70"/>
      <c r="R45" s="70"/>
      <c r="S45" s="70"/>
      <c r="T45" s="70"/>
      <c r="U45" s="70"/>
      <c r="V45" s="70"/>
      <c r="W45" s="70"/>
      <c r="X45" s="70"/>
      <c r="Y45" s="70"/>
      <c r="Z45" s="70"/>
      <c r="AA45" s="70"/>
      <c r="AB45" s="70"/>
      <c r="AC45" s="70"/>
      <c r="AD45" s="70"/>
    </row>
    <row r="46">
      <c r="A46" s="14" t="s">
        <v>286</v>
      </c>
      <c r="B46" s="35">
        <v>1.0</v>
      </c>
      <c r="C46" s="35" t="s">
        <v>2362</v>
      </c>
      <c r="D46" s="35" t="s">
        <v>2818</v>
      </c>
      <c r="E46" s="36" t="s">
        <v>49</v>
      </c>
      <c r="F46" s="220"/>
      <c r="L46" s="89"/>
      <c r="M46" s="88" t="str">
        <f t="shared" ref="M46:M66" si="2">Concatenate(Lower(C46),".",Lower(D46),"@state.de.us")</f>
        <v>harris.mcdowell@state.de.us</v>
      </c>
      <c r="N46" s="89"/>
      <c r="O46" s="88">
        <v>1976.0</v>
      </c>
      <c r="P46" s="89"/>
      <c r="Q46" s="88">
        <v>2020.0</v>
      </c>
      <c r="R46" s="89"/>
      <c r="S46" s="247" t="s">
        <v>2820</v>
      </c>
    </row>
    <row r="47">
      <c r="A47" s="14" t="s">
        <v>286</v>
      </c>
      <c r="B47" s="35">
        <v>2.0</v>
      </c>
      <c r="C47" s="38" t="s">
        <v>2825</v>
      </c>
      <c r="D47" s="38" t="s">
        <v>447</v>
      </c>
      <c r="E47" s="36" t="s">
        <v>49</v>
      </c>
      <c r="F47" s="225"/>
      <c r="L47" s="89"/>
      <c r="M47" s="88" t="str">
        <f t="shared" si="2"/>
        <v>darius.brown@state.de.us</v>
      </c>
      <c r="N47" s="89"/>
      <c r="O47" s="88">
        <v>1994.0</v>
      </c>
      <c r="P47" s="89"/>
      <c r="Q47" s="88">
        <v>2018.0</v>
      </c>
      <c r="R47" s="89"/>
      <c r="S47" s="31" t="s">
        <v>2826</v>
      </c>
    </row>
    <row r="48">
      <c r="A48" s="14" t="s">
        <v>286</v>
      </c>
      <c r="B48" s="35">
        <v>3.0</v>
      </c>
      <c r="C48" s="38" t="s">
        <v>2830</v>
      </c>
      <c r="D48" s="38" t="s">
        <v>2831</v>
      </c>
      <c r="E48" s="36" t="s">
        <v>49</v>
      </c>
      <c r="F48" s="220"/>
      <c r="L48" s="89"/>
      <c r="M48" s="88" t="str">
        <f t="shared" si="2"/>
        <v>elizabeth.lockman@state.de.us</v>
      </c>
      <c r="N48" s="89"/>
      <c r="O48" s="88">
        <v>1978.0</v>
      </c>
      <c r="P48" s="89"/>
      <c r="Q48" s="88">
        <v>2018.0</v>
      </c>
      <c r="R48" s="89"/>
      <c r="S48" s="31" t="s">
        <v>2833</v>
      </c>
    </row>
    <row r="49">
      <c r="A49" s="14" t="s">
        <v>286</v>
      </c>
      <c r="B49" s="35">
        <v>4.0</v>
      </c>
      <c r="C49" s="38" t="s">
        <v>292</v>
      </c>
      <c r="D49" s="38" t="s">
        <v>2838</v>
      </c>
      <c r="E49" s="100" t="s">
        <v>49</v>
      </c>
      <c r="F49" s="225"/>
      <c r="L49" s="89"/>
      <c r="M49" s="88" t="str">
        <f t="shared" si="2"/>
        <v>laura.sturgeon@state.de.us</v>
      </c>
      <c r="N49" s="89"/>
      <c r="O49" s="88">
        <v>2012.0</v>
      </c>
      <c r="P49" s="89"/>
      <c r="Q49" s="88">
        <v>2018.0</v>
      </c>
      <c r="R49" s="89"/>
      <c r="S49" s="45" t="s">
        <v>2839</v>
      </c>
    </row>
    <row r="50">
      <c r="A50" s="14" t="s">
        <v>286</v>
      </c>
      <c r="B50" s="35">
        <v>5.0</v>
      </c>
      <c r="C50" s="35" t="s">
        <v>2629</v>
      </c>
      <c r="D50" s="35" t="s">
        <v>2852</v>
      </c>
      <c r="E50" s="51" t="s">
        <v>53</v>
      </c>
      <c r="F50" s="226" t="s">
        <v>2004</v>
      </c>
      <c r="L50" s="89"/>
      <c r="M50" s="88" t="str">
        <f t="shared" si="2"/>
        <v>catherine.cloutier@state.de.us</v>
      </c>
      <c r="N50" s="89"/>
      <c r="O50" s="88">
        <v>2000.0</v>
      </c>
      <c r="P50" s="89"/>
      <c r="Q50" s="88">
        <v>2020.0</v>
      </c>
      <c r="R50" s="89"/>
      <c r="S50" s="31" t="s">
        <v>2853</v>
      </c>
    </row>
    <row r="51">
      <c r="A51" s="14" t="s">
        <v>286</v>
      </c>
      <c r="B51" s="38">
        <v>6.0</v>
      </c>
      <c r="C51" s="35" t="s">
        <v>2854</v>
      </c>
      <c r="D51" s="35" t="s">
        <v>2855</v>
      </c>
      <c r="E51" s="51" t="s">
        <v>53</v>
      </c>
      <c r="F51" s="225"/>
      <c r="L51" s="89"/>
      <c r="M51" s="88" t="str">
        <f t="shared" si="2"/>
        <v>ernesto.lopez@state.de.us</v>
      </c>
      <c r="N51" s="89"/>
      <c r="O51" s="88">
        <v>2012.0</v>
      </c>
      <c r="P51" s="89"/>
      <c r="Q51" s="88">
        <v>2018.0</v>
      </c>
      <c r="R51" s="89"/>
      <c r="S51" s="45" t="s">
        <v>2856</v>
      </c>
    </row>
    <row r="52">
      <c r="A52" s="14" t="s">
        <v>286</v>
      </c>
      <c r="B52" s="35">
        <v>7.0</v>
      </c>
      <c r="C52" s="35" t="s">
        <v>496</v>
      </c>
      <c r="D52" s="35" t="s">
        <v>2865</v>
      </c>
      <c r="E52" s="51" t="s">
        <v>53</v>
      </c>
      <c r="F52" s="220"/>
      <c r="L52" s="89"/>
      <c r="M52" s="88" t="str">
        <f t="shared" si="2"/>
        <v>anthony.delcollo@state.de.us</v>
      </c>
      <c r="N52" s="89"/>
      <c r="O52" s="88">
        <v>2016.0</v>
      </c>
      <c r="P52" s="89"/>
      <c r="Q52" s="88">
        <v>2020.0</v>
      </c>
      <c r="R52" s="89"/>
      <c r="S52" s="76"/>
    </row>
    <row r="53">
      <c r="A53" s="14" t="s">
        <v>286</v>
      </c>
      <c r="B53" s="35">
        <v>8.0</v>
      </c>
      <c r="C53" s="35" t="s">
        <v>108</v>
      </c>
      <c r="D53" s="35" t="s">
        <v>2872</v>
      </c>
      <c r="E53" s="36" t="s">
        <v>49</v>
      </c>
      <c r="F53" s="220"/>
      <c r="L53" s="89"/>
      <c r="M53" s="88" t="str">
        <f t="shared" si="2"/>
        <v>david.sokola@state.de.us</v>
      </c>
      <c r="N53" s="89"/>
      <c r="O53" s="88">
        <v>1990.0</v>
      </c>
      <c r="P53" s="89"/>
      <c r="Q53" s="88">
        <v>2020.0</v>
      </c>
      <c r="R53" s="89"/>
      <c r="S53" s="45" t="s">
        <v>2704</v>
      </c>
    </row>
    <row r="54">
      <c r="A54" s="14" t="s">
        <v>286</v>
      </c>
      <c r="B54" s="35">
        <v>9.0</v>
      </c>
      <c r="C54" s="35" t="s">
        <v>792</v>
      </c>
      <c r="D54" s="35" t="s">
        <v>2877</v>
      </c>
      <c r="E54" s="36" t="s">
        <v>49</v>
      </c>
      <c r="F54" s="220"/>
      <c r="L54" s="89"/>
      <c r="M54" s="88" t="str">
        <f t="shared" si="2"/>
        <v>jack.walsh@state.de.us</v>
      </c>
      <c r="N54" s="89"/>
      <c r="O54" s="88">
        <v>2016.0</v>
      </c>
      <c r="P54" s="89"/>
      <c r="Q54" s="88">
        <v>2020.0</v>
      </c>
      <c r="R54" s="89"/>
      <c r="S54" s="76"/>
    </row>
    <row r="55">
      <c r="A55" s="14" t="s">
        <v>286</v>
      </c>
      <c r="B55" s="35">
        <v>10.0</v>
      </c>
      <c r="C55" s="35" t="s">
        <v>2254</v>
      </c>
      <c r="D55" s="35" t="s">
        <v>1653</v>
      </c>
      <c r="E55" s="36" t="s">
        <v>49</v>
      </c>
      <c r="F55" s="220"/>
      <c r="L55" s="89"/>
      <c r="M55" s="88" t="str">
        <f t="shared" si="2"/>
        <v>stephanie.hansen@state.de.us</v>
      </c>
      <c r="N55" s="89"/>
      <c r="O55" s="88">
        <v>2017.0</v>
      </c>
      <c r="P55" s="89"/>
      <c r="Q55" s="88">
        <v>2018.0</v>
      </c>
      <c r="R55" s="89"/>
      <c r="S55" s="45" t="s">
        <v>2616</v>
      </c>
    </row>
    <row r="56">
      <c r="A56" s="14" t="s">
        <v>286</v>
      </c>
      <c r="B56" s="35">
        <v>11.0</v>
      </c>
      <c r="C56" s="35" t="s">
        <v>2775</v>
      </c>
      <c r="D56" s="35" t="s">
        <v>895</v>
      </c>
      <c r="E56" s="36" t="s">
        <v>49</v>
      </c>
      <c r="F56" s="226" t="s">
        <v>1188</v>
      </c>
      <c r="L56" s="89"/>
      <c r="M56" s="88" t="str">
        <f t="shared" si="2"/>
        <v>bryan.townsend@state.de.us</v>
      </c>
      <c r="N56" s="89"/>
      <c r="O56" s="88">
        <v>2012.0</v>
      </c>
      <c r="P56" s="89"/>
      <c r="Q56" s="88">
        <v>2018.0</v>
      </c>
      <c r="R56" s="89"/>
      <c r="S56" s="31" t="s">
        <v>2892</v>
      </c>
    </row>
    <row r="57">
      <c r="A57" s="14" t="s">
        <v>286</v>
      </c>
      <c r="B57" s="35">
        <v>12.0</v>
      </c>
      <c r="C57" s="35" t="s">
        <v>1648</v>
      </c>
      <c r="D57" s="35" t="s">
        <v>2898</v>
      </c>
      <c r="E57" s="36" t="s">
        <v>49</v>
      </c>
      <c r="F57" s="226" t="s">
        <v>176</v>
      </c>
      <c r="L57" s="89"/>
      <c r="M57" s="88" t="str">
        <f t="shared" si="2"/>
        <v>nicole.poore@state.de.us</v>
      </c>
      <c r="N57" s="89"/>
      <c r="O57" s="88">
        <v>2012.0</v>
      </c>
      <c r="P57" s="89"/>
      <c r="Q57" s="88">
        <v>2020.0</v>
      </c>
      <c r="R57" s="89"/>
      <c r="S57" s="31" t="s">
        <v>2899</v>
      </c>
    </row>
    <row r="58">
      <c r="A58" s="14" t="s">
        <v>286</v>
      </c>
      <c r="B58" s="35">
        <v>13.0</v>
      </c>
      <c r="C58" s="35" t="s">
        <v>108</v>
      </c>
      <c r="D58" s="35" t="s">
        <v>2906</v>
      </c>
      <c r="E58" s="36" t="s">
        <v>49</v>
      </c>
      <c r="F58" s="226" t="s">
        <v>2875</v>
      </c>
      <c r="L58" s="89"/>
      <c r="M58" s="88" t="str">
        <f t="shared" si="2"/>
        <v>david.mcbride@state.de.us</v>
      </c>
      <c r="N58" s="89"/>
      <c r="O58" s="88">
        <v>1980.0</v>
      </c>
      <c r="P58" s="89"/>
      <c r="Q58" s="88">
        <v>2020.0</v>
      </c>
      <c r="R58" s="89"/>
      <c r="S58" s="31" t="s">
        <v>2907</v>
      </c>
    </row>
    <row r="59">
      <c r="A59" s="14" t="s">
        <v>286</v>
      </c>
      <c r="B59" s="35">
        <v>14.0</v>
      </c>
      <c r="C59" s="35" t="s">
        <v>1193</v>
      </c>
      <c r="D59" s="35" t="s">
        <v>2918</v>
      </c>
      <c r="E59" s="36" t="s">
        <v>49</v>
      </c>
      <c r="F59" s="220"/>
      <c r="L59" s="89"/>
      <c r="M59" s="88" t="str">
        <f t="shared" si="2"/>
        <v>bruce.ennis@state.de.us</v>
      </c>
      <c r="N59" s="89"/>
      <c r="O59" s="88">
        <v>2007.0</v>
      </c>
      <c r="P59" s="89"/>
      <c r="Q59" s="88">
        <v>2020.0</v>
      </c>
      <c r="R59" s="89"/>
      <c r="S59" s="45" t="s">
        <v>2639</v>
      </c>
    </row>
    <row r="60">
      <c r="A60" s="14" t="s">
        <v>286</v>
      </c>
      <c r="B60" s="38">
        <v>15.0</v>
      </c>
      <c r="C60" s="35" t="s">
        <v>108</v>
      </c>
      <c r="D60" s="35" t="s">
        <v>2924</v>
      </c>
      <c r="E60" s="51" t="s">
        <v>53</v>
      </c>
      <c r="F60" s="220"/>
      <c r="L60" s="89"/>
      <c r="M60" s="88" t="str">
        <f t="shared" si="2"/>
        <v>david.lawson@state.de.us</v>
      </c>
      <c r="N60" s="89"/>
      <c r="O60" s="88">
        <v>2010.0</v>
      </c>
      <c r="P60" s="89"/>
      <c r="Q60" s="88">
        <v>2020.0</v>
      </c>
      <c r="R60" s="89"/>
      <c r="S60" s="45" t="s">
        <v>2926</v>
      </c>
    </row>
    <row r="61">
      <c r="A61" s="14" t="s">
        <v>286</v>
      </c>
      <c r="B61" s="38">
        <v>16.0</v>
      </c>
      <c r="C61" s="35" t="s">
        <v>1779</v>
      </c>
      <c r="D61" s="35" t="s">
        <v>2935</v>
      </c>
      <c r="E61" s="51" t="s">
        <v>53</v>
      </c>
      <c r="F61" s="220"/>
      <c r="L61" s="89"/>
      <c r="M61" s="88" t="str">
        <f t="shared" si="2"/>
        <v>colin.bonini@state.de.us</v>
      </c>
      <c r="N61" s="89"/>
      <c r="O61" s="88">
        <v>1994.0</v>
      </c>
      <c r="P61" s="89"/>
      <c r="Q61" s="88">
        <v>2018.0</v>
      </c>
      <c r="R61" s="89"/>
      <c r="S61" s="247" t="s">
        <v>2936</v>
      </c>
    </row>
    <row r="62">
      <c r="A62" s="14" t="s">
        <v>286</v>
      </c>
      <c r="B62" s="38">
        <v>17.0</v>
      </c>
      <c r="C62" s="38" t="s">
        <v>2940</v>
      </c>
      <c r="D62" s="38" t="s">
        <v>2941</v>
      </c>
      <c r="E62" s="36" t="s">
        <v>49</v>
      </c>
      <c r="F62" s="220"/>
      <c r="L62" s="89"/>
      <c r="M62" s="88" t="str">
        <f t="shared" si="2"/>
        <v>trey.paradee@state.de.us</v>
      </c>
      <c r="N62" s="89"/>
      <c r="O62" s="88">
        <v>2008.0</v>
      </c>
      <c r="P62" s="89"/>
      <c r="Q62" s="88">
        <v>2018.0</v>
      </c>
      <c r="R62" s="89"/>
      <c r="S62" s="247" t="s">
        <v>2944</v>
      </c>
    </row>
    <row r="63">
      <c r="A63" s="14" t="s">
        <v>286</v>
      </c>
      <c r="B63" s="38">
        <v>18.0</v>
      </c>
      <c r="C63" s="38" t="s">
        <v>930</v>
      </c>
      <c r="D63" s="38" t="s">
        <v>2946</v>
      </c>
      <c r="E63" s="51" t="s">
        <v>53</v>
      </c>
      <c r="L63" s="89"/>
      <c r="M63" s="88" t="str">
        <f t="shared" si="2"/>
        <v>james.purcell@state.de.us</v>
      </c>
      <c r="N63" s="89"/>
      <c r="O63" s="88">
        <v>1999.0</v>
      </c>
      <c r="P63" s="89"/>
      <c r="Q63" s="88">
        <v>2018.0</v>
      </c>
      <c r="R63" s="89"/>
      <c r="S63" s="45" t="s">
        <v>2947</v>
      </c>
    </row>
    <row r="64">
      <c r="A64" s="14" t="s">
        <v>286</v>
      </c>
      <c r="B64" s="38">
        <v>19.0</v>
      </c>
      <c r="C64" s="35" t="s">
        <v>1331</v>
      </c>
      <c r="D64" s="35" t="s">
        <v>2958</v>
      </c>
      <c r="E64" s="51" t="s">
        <v>53</v>
      </c>
      <c r="F64" s="220"/>
      <c r="L64" s="89"/>
      <c r="M64" s="88" t="str">
        <f t="shared" si="2"/>
        <v>brian.pettyjohn@state.de.us</v>
      </c>
      <c r="N64" s="89"/>
      <c r="O64" s="88">
        <v>2012.0</v>
      </c>
      <c r="P64" s="89"/>
      <c r="Q64" s="88">
        <v>2020.0</v>
      </c>
      <c r="R64" s="89"/>
      <c r="S64" s="45" t="s">
        <v>2959</v>
      </c>
    </row>
    <row r="65">
      <c r="A65" s="14" t="s">
        <v>286</v>
      </c>
      <c r="B65" s="38">
        <v>20.0</v>
      </c>
      <c r="C65" s="35" t="s">
        <v>987</v>
      </c>
      <c r="D65" s="35" t="s">
        <v>2967</v>
      </c>
      <c r="E65" s="51" t="s">
        <v>53</v>
      </c>
      <c r="F65" s="226" t="s">
        <v>498</v>
      </c>
      <c r="L65" s="89"/>
      <c r="M65" s="88" t="str">
        <f t="shared" si="2"/>
        <v>gerald.hocker@state.de.us</v>
      </c>
      <c r="N65" s="89"/>
      <c r="O65" s="88">
        <v>2012.0</v>
      </c>
      <c r="P65" s="89"/>
      <c r="Q65" s="88">
        <v>2020.0</v>
      </c>
      <c r="R65" s="89"/>
      <c r="S65" s="45" t="s">
        <v>2968</v>
      </c>
    </row>
    <row r="66">
      <c r="A66" s="14" t="s">
        <v>286</v>
      </c>
      <c r="B66" s="38">
        <v>21.0</v>
      </c>
      <c r="C66" s="35" t="s">
        <v>2976</v>
      </c>
      <c r="D66" s="35" t="s">
        <v>1571</v>
      </c>
      <c r="E66" s="51" t="s">
        <v>53</v>
      </c>
      <c r="F66" s="220"/>
      <c r="L66" s="89"/>
      <c r="M66" s="88" t="str">
        <f t="shared" si="2"/>
        <v>bryant.richardson@state.de.us</v>
      </c>
      <c r="N66" s="89"/>
      <c r="O66" s="88">
        <v>2014.0</v>
      </c>
      <c r="P66" s="89"/>
      <c r="Q66" s="88">
        <v>2018.0</v>
      </c>
      <c r="R66" s="89"/>
      <c r="S66" s="45" t="s">
        <v>2797</v>
      </c>
    </row>
    <row r="67">
      <c r="A67" s="70"/>
      <c r="B67" s="71"/>
      <c r="C67" s="71"/>
      <c r="D67" s="71"/>
      <c r="E67" s="70"/>
      <c r="F67" s="241"/>
      <c r="G67" s="70"/>
      <c r="H67" s="70"/>
      <c r="I67" s="70"/>
      <c r="J67" s="70"/>
      <c r="K67" s="70"/>
      <c r="L67" s="70"/>
      <c r="M67" s="70"/>
      <c r="N67" s="70"/>
      <c r="O67" s="70"/>
      <c r="P67" s="70"/>
      <c r="Q67" s="70"/>
      <c r="R67" s="70"/>
      <c r="S67" s="70"/>
      <c r="T67" s="70"/>
      <c r="U67" s="70"/>
      <c r="V67" s="70"/>
      <c r="W67" s="70"/>
      <c r="X67" s="70"/>
      <c r="Y67" s="70"/>
      <c r="Z67" s="70"/>
      <c r="AA67" s="70"/>
      <c r="AB67" s="70"/>
      <c r="AC67" s="70"/>
      <c r="AD67" s="70"/>
    </row>
    <row r="68">
      <c r="A68" s="14" t="s">
        <v>421</v>
      </c>
      <c r="B68" s="139"/>
      <c r="C68" s="77" t="s">
        <v>278</v>
      </c>
      <c r="D68" s="77" t="s">
        <v>2533</v>
      </c>
      <c r="E68" s="159" t="s">
        <v>49</v>
      </c>
      <c r="F68" s="220"/>
      <c r="L68" s="89"/>
      <c r="M68" s="89"/>
      <c r="N68" s="89"/>
      <c r="O68" s="89"/>
      <c r="P68" s="89"/>
      <c r="Q68" s="89"/>
      <c r="R68" s="89"/>
    </row>
    <row r="69">
      <c r="A69" s="70"/>
      <c r="B69" s="71"/>
      <c r="C69" s="71"/>
      <c r="D69" s="71"/>
      <c r="E69" s="70"/>
      <c r="F69" s="241"/>
      <c r="G69" s="70"/>
      <c r="H69" s="70"/>
      <c r="I69" s="70"/>
      <c r="J69" s="70"/>
      <c r="K69" s="70"/>
      <c r="L69" s="70"/>
      <c r="M69" s="70"/>
      <c r="N69" s="70"/>
      <c r="O69" s="70"/>
      <c r="P69" s="70"/>
      <c r="Q69" s="70"/>
      <c r="R69" s="70"/>
      <c r="S69" s="70"/>
      <c r="T69" s="70"/>
      <c r="U69" s="70"/>
      <c r="V69" s="70"/>
      <c r="W69" s="70"/>
      <c r="X69" s="70"/>
      <c r="Y69" s="70"/>
      <c r="Z69" s="70"/>
      <c r="AA69" s="70"/>
      <c r="AB69" s="70"/>
      <c r="AC69" s="70"/>
      <c r="AD69" s="70"/>
    </row>
    <row r="70">
      <c r="A70" s="14" t="s">
        <v>427</v>
      </c>
      <c r="B70" s="139"/>
      <c r="C70" s="77" t="s">
        <v>432</v>
      </c>
      <c r="D70" s="77" t="s">
        <v>2982</v>
      </c>
      <c r="E70" s="159" t="s">
        <v>49</v>
      </c>
      <c r="F70" s="220"/>
      <c r="L70" s="89"/>
      <c r="M70" s="89"/>
      <c r="N70" s="89"/>
      <c r="O70" s="89"/>
      <c r="P70" s="89"/>
      <c r="Q70" s="89"/>
      <c r="R70" s="89"/>
    </row>
    <row r="71">
      <c r="A71" s="70"/>
      <c r="B71" s="71"/>
      <c r="C71" s="71"/>
      <c r="D71" s="71"/>
      <c r="E71" s="70"/>
      <c r="F71" s="241"/>
      <c r="G71" s="70"/>
      <c r="H71" s="70"/>
      <c r="I71" s="70"/>
      <c r="J71" s="70"/>
      <c r="K71" s="70"/>
      <c r="L71" s="70"/>
      <c r="M71" s="70"/>
      <c r="N71" s="70"/>
      <c r="O71" s="70"/>
      <c r="P71" s="70"/>
      <c r="Q71" s="70"/>
      <c r="R71" s="70"/>
      <c r="S71" s="70"/>
      <c r="T71" s="70"/>
      <c r="U71" s="70"/>
      <c r="V71" s="70"/>
      <c r="W71" s="70"/>
      <c r="X71" s="70"/>
      <c r="Y71" s="70"/>
      <c r="Z71" s="70"/>
      <c r="AA71" s="70"/>
      <c r="AB71" s="70"/>
      <c r="AC71" s="70"/>
      <c r="AD71" s="70"/>
    </row>
    <row r="72">
      <c r="A72" s="14" t="s">
        <v>430</v>
      </c>
      <c r="B72" s="77" t="s">
        <v>431</v>
      </c>
      <c r="C72" s="77" t="s">
        <v>173</v>
      </c>
      <c r="D72" s="77" t="s">
        <v>2985</v>
      </c>
      <c r="E72" s="159" t="s">
        <v>49</v>
      </c>
      <c r="F72" s="220"/>
      <c r="L72" s="89"/>
      <c r="M72" s="89"/>
      <c r="N72" s="89"/>
      <c r="O72" s="89"/>
      <c r="P72" s="89"/>
      <c r="Q72" s="89"/>
      <c r="R72" s="89"/>
    </row>
    <row r="73">
      <c r="A73" s="14" t="s">
        <v>430</v>
      </c>
      <c r="B73" s="77" t="s">
        <v>431</v>
      </c>
      <c r="C73" s="77" t="s">
        <v>561</v>
      </c>
      <c r="D73" s="77" t="s">
        <v>2986</v>
      </c>
      <c r="E73" s="159" t="s">
        <v>49</v>
      </c>
      <c r="F73" s="220"/>
      <c r="L73" s="89"/>
      <c r="M73" s="89"/>
      <c r="N73" s="89"/>
      <c r="O73" s="89"/>
      <c r="P73" s="89"/>
      <c r="Q73" s="89"/>
      <c r="R73" s="89"/>
    </row>
    <row r="74">
      <c r="A74" s="70"/>
      <c r="B74" s="71"/>
      <c r="C74" s="71"/>
      <c r="D74" s="71"/>
      <c r="E74" s="70"/>
      <c r="F74" s="241"/>
      <c r="G74" s="70"/>
      <c r="H74" s="70"/>
      <c r="I74" s="70"/>
      <c r="J74" s="70"/>
      <c r="K74" s="70"/>
      <c r="L74" s="70"/>
      <c r="M74" s="70"/>
      <c r="N74" s="70"/>
      <c r="O74" s="70"/>
      <c r="P74" s="70"/>
      <c r="Q74" s="70"/>
      <c r="R74" s="70"/>
      <c r="S74" s="70"/>
      <c r="T74" s="70"/>
      <c r="U74" s="70"/>
      <c r="V74" s="70"/>
      <c r="W74" s="70"/>
      <c r="X74" s="70"/>
      <c r="Y74" s="70"/>
      <c r="Z74" s="70"/>
      <c r="AA74" s="70"/>
      <c r="AB74" s="70"/>
      <c r="AC74" s="70"/>
      <c r="AD74" s="70"/>
    </row>
    <row r="75">
      <c r="A75" s="14" t="s">
        <v>438</v>
      </c>
      <c r="B75" s="139"/>
      <c r="C75" s="77" t="s">
        <v>2724</v>
      </c>
      <c r="D75" s="77" t="s">
        <v>2987</v>
      </c>
      <c r="E75" s="159" t="s">
        <v>49</v>
      </c>
      <c r="F75" s="220"/>
      <c r="L75" s="89"/>
      <c r="M75" s="89"/>
      <c r="N75" s="89"/>
      <c r="O75" s="89"/>
      <c r="P75" s="89"/>
      <c r="Q75" s="89"/>
      <c r="R75" s="89"/>
    </row>
    <row r="76">
      <c r="A76" s="70"/>
      <c r="B76" s="71"/>
      <c r="C76" s="71"/>
      <c r="D76" s="71"/>
      <c r="E76" s="70"/>
      <c r="F76" s="241"/>
      <c r="G76" s="70"/>
      <c r="H76" s="70"/>
      <c r="I76" s="70"/>
      <c r="J76" s="70"/>
      <c r="K76" s="70"/>
      <c r="L76" s="70"/>
      <c r="M76" s="70"/>
      <c r="N76" s="70"/>
      <c r="O76" s="70"/>
      <c r="P76" s="70"/>
      <c r="Q76" s="70"/>
      <c r="R76" s="70"/>
      <c r="S76" s="70"/>
      <c r="T76" s="70"/>
      <c r="U76" s="70"/>
      <c r="V76" s="70"/>
      <c r="W76" s="70"/>
      <c r="X76" s="70"/>
      <c r="Y76" s="70"/>
      <c r="Z76" s="70"/>
      <c r="AA76" s="70"/>
      <c r="AB76" s="70"/>
      <c r="AC76" s="70"/>
      <c r="AD76" s="70"/>
    </row>
    <row r="77">
      <c r="B77" s="139"/>
      <c r="C77" s="139"/>
      <c r="D77" s="139"/>
      <c r="F77" s="220"/>
    </row>
    <row r="78">
      <c r="B78" s="139"/>
      <c r="C78" s="139"/>
      <c r="D78" s="139"/>
      <c r="F78" s="220"/>
    </row>
    <row r="79">
      <c r="B79" s="139"/>
      <c r="C79" s="139"/>
      <c r="D79" s="139"/>
      <c r="F79" s="220"/>
    </row>
    <row r="80">
      <c r="B80" s="139"/>
      <c r="C80" s="139"/>
      <c r="D80" s="139"/>
      <c r="F80" s="220"/>
    </row>
    <row r="81">
      <c r="B81" s="139"/>
      <c r="C81" s="139"/>
      <c r="D81" s="139"/>
      <c r="F81" s="220"/>
    </row>
    <row r="82">
      <c r="B82" s="139"/>
      <c r="C82" s="139"/>
      <c r="D82" s="139"/>
      <c r="F82" s="220"/>
    </row>
    <row r="83">
      <c r="B83" s="139"/>
      <c r="C83" s="139"/>
      <c r="D83" s="139"/>
      <c r="F83" s="220"/>
    </row>
    <row r="84">
      <c r="B84" s="139"/>
      <c r="C84" s="139"/>
      <c r="D84" s="139"/>
      <c r="F84" s="220"/>
    </row>
    <row r="85">
      <c r="B85" s="139"/>
      <c r="C85" s="139"/>
      <c r="D85" s="139"/>
      <c r="F85" s="220"/>
    </row>
    <row r="86">
      <c r="B86" s="139"/>
      <c r="C86" s="139"/>
      <c r="D86" s="139"/>
      <c r="F86" s="220"/>
    </row>
    <row r="87">
      <c r="B87" s="139"/>
      <c r="C87" s="139"/>
      <c r="D87" s="139"/>
      <c r="F87" s="220"/>
    </row>
    <row r="88">
      <c r="B88" s="139"/>
      <c r="C88" s="139"/>
      <c r="D88" s="139"/>
      <c r="F88" s="220"/>
    </row>
    <row r="89">
      <c r="B89" s="139"/>
      <c r="C89" s="139"/>
      <c r="D89" s="139"/>
      <c r="F89" s="220"/>
    </row>
    <row r="90">
      <c r="B90" s="139"/>
      <c r="C90" s="139"/>
      <c r="D90" s="139"/>
      <c r="F90" s="220"/>
    </row>
    <row r="91">
      <c r="B91" s="139"/>
      <c r="C91" s="139"/>
      <c r="D91" s="139"/>
      <c r="F91" s="220"/>
    </row>
    <row r="92">
      <c r="B92" s="139"/>
      <c r="C92" s="139"/>
      <c r="D92" s="139"/>
      <c r="F92" s="220"/>
    </row>
    <row r="93">
      <c r="B93" s="139"/>
      <c r="C93" s="139"/>
      <c r="D93" s="139"/>
      <c r="F93" s="220"/>
    </row>
    <row r="94">
      <c r="B94" s="139"/>
      <c r="C94" s="139"/>
      <c r="D94" s="139"/>
      <c r="F94" s="220"/>
    </row>
    <row r="95">
      <c r="B95" s="139"/>
      <c r="C95" s="139"/>
      <c r="D95" s="139"/>
      <c r="F95" s="220"/>
    </row>
    <row r="96">
      <c r="B96" s="139"/>
      <c r="C96" s="139"/>
      <c r="D96" s="139"/>
      <c r="F96" s="220"/>
    </row>
    <row r="97">
      <c r="B97" s="139"/>
      <c r="C97" s="139"/>
      <c r="D97" s="139"/>
      <c r="F97" s="220"/>
    </row>
    <row r="98">
      <c r="B98" s="139"/>
      <c r="C98" s="139"/>
      <c r="D98" s="139"/>
      <c r="F98" s="220"/>
    </row>
    <row r="99">
      <c r="B99" s="139"/>
      <c r="C99" s="139"/>
      <c r="D99" s="139"/>
      <c r="F99" s="220"/>
    </row>
    <row r="100">
      <c r="B100" s="139"/>
      <c r="C100" s="139"/>
      <c r="D100" s="139"/>
      <c r="F100" s="220"/>
    </row>
    <row r="101">
      <c r="B101" s="139"/>
      <c r="C101" s="139"/>
      <c r="D101" s="139"/>
      <c r="F101" s="220"/>
    </row>
    <row r="102">
      <c r="B102" s="139"/>
      <c r="C102" s="139"/>
      <c r="D102" s="139"/>
      <c r="F102" s="220"/>
    </row>
    <row r="103">
      <c r="B103" s="139"/>
      <c r="C103" s="139"/>
      <c r="D103" s="139"/>
      <c r="F103" s="220"/>
    </row>
    <row r="104">
      <c r="B104" s="139"/>
      <c r="C104" s="139"/>
      <c r="D104" s="139"/>
      <c r="F104" s="220"/>
    </row>
    <row r="105">
      <c r="B105" s="139"/>
      <c r="C105" s="139"/>
      <c r="D105" s="139"/>
      <c r="F105" s="220"/>
    </row>
    <row r="106">
      <c r="B106" s="139"/>
      <c r="C106" s="139"/>
      <c r="D106" s="139"/>
      <c r="F106" s="220"/>
    </row>
    <row r="107">
      <c r="B107" s="139"/>
      <c r="C107" s="139"/>
      <c r="D107" s="139"/>
      <c r="F107" s="220"/>
    </row>
    <row r="108">
      <c r="B108" s="139"/>
      <c r="C108" s="139"/>
      <c r="D108" s="139"/>
      <c r="F108" s="220"/>
    </row>
    <row r="109">
      <c r="B109" s="139"/>
      <c r="C109" s="139"/>
      <c r="D109" s="139"/>
      <c r="F109" s="220"/>
    </row>
    <row r="110">
      <c r="B110" s="139"/>
      <c r="C110" s="139"/>
      <c r="D110" s="139"/>
      <c r="F110" s="220"/>
    </row>
    <row r="111">
      <c r="B111" s="139"/>
      <c r="C111" s="139"/>
      <c r="D111" s="139"/>
      <c r="F111" s="220"/>
    </row>
    <row r="112">
      <c r="B112" s="139"/>
      <c r="C112" s="139"/>
      <c r="D112" s="139"/>
      <c r="F112" s="220"/>
    </row>
    <row r="113">
      <c r="B113" s="139"/>
      <c r="C113" s="139"/>
      <c r="D113" s="139"/>
      <c r="F113" s="220"/>
    </row>
    <row r="114">
      <c r="B114" s="139"/>
      <c r="C114" s="139"/>
      <c r="D114" s="139"/>
      <c r="F114" s="220"/>
    </row>
    <row r="115">
      <c r="B115" s="139"/>
      <c r="C115" s="139"/>
      <c r="D115" s="139"/>
      <c r="F115" s="220"/>
    </row>
    <row r="116">
      <c r="B116" s="139"/>
      <c r="C116" s="139"/>
      <c r="D116" s="139"/>
      <c r="F116" s="220"/>
    </row>
    <row r="117">
      <c r="B117" s="139"/>
      <c r="C117" s="139"/>
      <c r="D117" s="139"/>
      <c r="F117" s="220"/>
    </row>
    <row r="118">
      <c r="B118" s="139"/>
      <c r="C118" s="139"/>
      <c r="D118" s="139"/>
      <c r="F118" s="220"/>
    </row>
    <row r="119">
      <c r="B119" s="139"/>
      <c r="C119" s="139"/>
      <c r="D119" s="139"/>
      <c r="F119" s="220"/>
    </row>
    <row r="120">
      <c r="B120" s="139"/>
      <c r="C120" s="139"/>
      <c r="D120" s="139"/>
      <c r="F120" s="220"/>
    </row>
    <row r="121">
      <c r="B121" s="139"/>
      <c r="C121" s="139"/>
      <c r="D121" s="139"/>
      <c r="F121" s="220"/>
    </row>
    <row r="122">
      <c r="B122" s="139"/>
      <c r="C122" s="139"/>
      <c r="D122" s="139"/>
      <c r="F122" s="220"/>
    </row>
    <row r="123">
      <c r="B123" s="139"/>
      <c r="C123" s="139"/>
      <c r="D123" s="139"/>
      <c r="F123" s="220"/>
    </row>
    <row r="124">
      <c r="B124" s="139"/>
      <c r="C124" s="139"/>
      <c r="D124" s="139"/>
      <c r="F124" s="220"/>
    </row>
    <row r="125">
      <c r="B125" s="139"/>
      <c r="C125" s="139"/>
      <c r="D125" s="139"/>
      <c r="F125" s="220"/>
    </row>
    <row r="126">
      <c r="B126" s="139"/>
      <c r="C126" s="139"/>
      <c r="D126" s="139"/>
      <c r="F126" s="220"/>
    </row>
    <row r="127">
      <c r="B127" s="139"/>
      <c r="C127" s="139"/>
      <c r="D127" s="139"/>
      <c r="F127" s="220"/>
    </row>
    <row r="128">
      <c r="B128" s="139"/>
      <c r="C128" s="139"/>
      <c r="D128" s="139"/>
      <c r="F128" s="220"/>
    </row>
    <row r="129">
      <c r="B129" s="139"/>
      <c r="C129" s="139"/>
      <c r="D129" s="139"/>
      <c r="F129" s="220"/>
    </row>
    <row r="130">
      <c r="B130" s="139"/>
      <c r="C130" s="139"/>
      <c r="D130" s="139"/>
      <c r="F130" s="220"/>
    </row>
    <row r="131">
      <c r="B131" s="139"/>
      <c r="C131" s="139"/>
      <c r="D131" s="139"/>
      <c r="F131" s="220"/>
    </row>
    <row r="132">
      <c r="B132" s="139"/>
      <c r="C132" s="139"/>
      <c r="D132" s="139"/>
      <c r="F132" s="220"/>
    </row>
    <row r="133">
      <c r="B133" s="139"/>
      <c r="C133" s="139"/>
      <c r="D133" s="139"/>
      <c r="F133" s="220"/>
    </row>
    <row r="134">
      <c r="B134" s="139"/>
      <c r="C134" s="139"/>
      <c r="D134" s="139"/>
      <c r="F134" s="220"/>
    </row>
    <row r="135">
      <c r="B135" s="139"/>
      <c r="C135" s="139"/>
      <c r="D135" s="139"/>
      <c r="F135" s="220"/>
    </row>
    <row r="136">
      <c r="B136" s="139"/>
      <c r="C136" s="139"/>
      <c r="D136" s="139"/>
      <c r="F136" s="220"/>
    </row>
    <row r="137">
      <c r="B137" s="139"/>
      <c r="C137" s="139"/>
      <c r="D137" s="139"/>
      <c r="F137" s="220"/>
    </row>
    <row r="138">
      <c r="B138" s="139"/>
      <c r="C138" s="139"/>
      <c r="D138" s="139"/>
      <c r="F138" s="220"/>
    </row>
    <row r="139">
      <c r="B139" s="139"/>
      <c r="C139" s="139"/>
      <c r="D139" s="139"/>
      <c r="F139" s="220"/>
    </row>
    <row r="140">
      <c r="B140" s="139"/>
      <c r="C140" s="139"/>
      <c r="D140" s="139"/>
      <c r="F140" s="220"/>
    </row>
    <row r="141">
      <c r="B141" s="139"/>
      <c r="C141" s="139"/>
      <c r="D141" s="139"/>
      <c r="F141" s="220"/>
    </row>
    <row r="142">
      <c r="B142" s="139"/>
      <c r="C142" s="139"/>
      <c r="D142" s="139"/>
      <c r="F142" s="220"/>
    </row>
    <row r="143">
      <c r="B143" s="139"/>
      <c r="C143" s="139"/>
      <c r="D143" s="139"/>
      <c r="F143" s="220"/>
    </row>
    <row r="144">
      <c r="B144" s="139"/>
      <c r="C144" s="139"/>
      <c r="D144" s="139"/>
      <c r="F144" s="220"/>
    </row>
    <row r="145">
      <c r="B145" s="139"/>
      <c r="C145" s="139"/>
      <c r="D145" s="139"/>
      <c r="F145" s="220"/>
    </row>
    <row r="146">
      <c r="B146" s="139"/>
      <c r="C146" s="139"/>
      <c r="D146" s="139"/>
      <c r="F146" s="220"/>
    </row>
    <row r="147">
      <c r="B147" s="139"/>
      <c r="C147" s="139"/>
      <c r="D147" s="139"/>
      <c r="F147" s="220"/>
    </row>
    <row r="148">
      <c r="B148" s="139"/>
      <c r="C148" s="139"/>
      <c r="D148" s="139"/>
      <c r="F148" s="220"/>
    </row>
    <row r="149">
      <c r="B149" s="139"/>
      <c r="C149" s="139"/>
      <c r="D149" s="139"/>
      <c r="F149" s="220"/>
    </row>
    <row r="150">
      <c r="B150" s="139"/>
      <c r="C150" s="139"/>
      <c r="D150" s="139"/>
      <c r="F150" s="220"/>
    </row>
    <row r="151">
      <c r="B151" s="139"/>
      <c r="C151" s="139"/>
      <c r="D151" s="139"/>
      <c r="F151" s="220"/>
    </row>
    <row r="152">
      <c r="B152" s="139"/>
      <c r="C152" s="139"/>
      <c r="D152" s="139"/>
      <c r="F152" s="220"/>
    </row>
    <row r="153">
      <c r="B153" s="139"/>
      <c r="C153" s="139"/>
      <c r="D153" s="139"/>
      <c r="F153" s="220"/>
    </row>
    <row r="154">
      <c r="B154" s="139"/>
      <c r="C154" s="139"/>
      <c r="D154" s="139"/>
      <c r="F154" s="220"/>
    </row>
    <row r="155">
      <c r="B155" s="139"/>
      <c r="C155" s="139"/>
      <c r="D155" s="139"/>
      <c r="F155" s="220"/>
    </row>
    <row r="156">
      <c r="B156" s="139"/>
      <c r="C156" s="139"/>
      <c r="D156" s="139"/>
      <c r="F156" s="220"/>
    </row>
    <row r="157">
      <c r="B157" s="139"/>
      <c r="C157" s="139"/>
      <c r="D157" s="139"/>
      <c r="F157" s="220"/>
    </row>
    <row r="158">
      <c r="B158" s="139"/>
      <c r="C158" s="139"/>
      <c r="D158" s="139"/>
      <c r="F158" s="220"/>
    </row>
    <row r="159">
      <c r="B159" s="139"/>
      <c r="C159" s="139"/>
      <c r="D159" s="139"/>
      <c r="F159" s="220"/>
    </row>
    <row r="160">
      <c r="B160" s="139"/>
      <c r="C160" s="139"/>
      <c r="D160" s="139"/>
      <c r="F160" s="220"/>
    </row>
    <row r="161">
      <c r="B161" s="139"/>
      <c r="C161" s="139"/>
      <c r="D161" s="139"/>
      <c r="F161" s="220"/>
    </row>
    <row r="162">
      <c r="B162" s="139"/>
      <c r="C162" s="139"/>
      <c r="D162" s="139"/>
      <c r="F162" s="220"/>
    </row>
    <row r="163">
      <c r="B163" s="139"/>
      <c r="C163" s="139"/>
      <c r="D163" s="139"/>
      <c r="F163" s="220"/>
    </row>
    <row r="164">
      <c r="B164" s="139"/>
      <c r="C164" s="139"/>
      <c r="D164" s="139"/>
      <c r="F164" s="220"/>
    </row>
    <row r="165">
      <c r="B165" s="139"/>
      <c r="C165" s="139"/>
      <c r="D165" s="139"/>
      <c r="F165" s="220"/>
    </row>
    <row r="166">
      <c r="B166" s="139"/>
      <c r="C166" s="139"/>
      <c r="D166" s="139"/>
      <c r="F166" s="220"/>
    </row>
    <row r="167">
      <c r="B167" s="139"/>
      <c r="C167" s="139"/>
      <c r="D167" s="139"/>
      <c r="F167" s="220"/>
    </row>
    <row r="168">
      <c r="B168" s="139"/>
      <c r="C168" s="139"/>
      <c r="D168" s="139"/>
      <c r="F168" s="220"/>
    </row>
    <row r="169">
      <c r="B169" s="139"/>
      <c r="C169" s="139"/>
      <c r="D169" s="139"/>
      <c r="F169" s="220"/>
    </row>
    <row r="170">
      <c r="B170" s="139"/>
      <c r="C170" s="139"/>
      <c r="D170" s="139"/>
      <c r="F170" s="220"/>
    </row>
    <row r="171">
      <c r="B171" s="139"/>
      <c r="C171" s="139"/>
      <c r="D171" s="139"/>
      <c r="F171" s="220"/>
    </row>
    <row r="172">
      <c r="B172" s="139"/>
      <c r="C172" s="139"/>
      <c r="D172" s="139"/>
      <c r="F172" s="220"/>
    </row>
    <row r="173">
      <c r="B173" s="139"/>
      <c r="C173" s="139"/>
      <c r="D173" s="139"/>
      <c r="F173" s="220"/>
    </row>
    <row r="174">
      <c r="B174" s="139"/>
      <c r="C174" s="139"/>
      <c r="D174" s="139"/>
      <c r="F174" s="220"/>
    </row>
    <row r="175">
      <c r="B175" s="139"/>
      <c r="C175" s="139"/>
      <c r="D175" s="139"/>
      <c r="F175" s="220"/>
    </row>
    <row r="176">
      <c r="B176" s="139"/>
      <c r="C176" s="139"/>
      <c r="D176" s="139"/>
      <c r="F176" s="220"/>
    </row>
    <row r="177">
      <c r="B177" s="139"/>
      <c r="C177" s="139"/>
      <c r="D177" s="139"/>
      <c r="F177" s="220"/>
    </row>
    <row r="178">
      <c r="B178" s="139"/>
      <c r="C178" s="139"/>
      <c r="D178" s="139"/>
      <c r="F178" s="220"/>
    </row>
    <row r="179">
      <c r="B179" s="139"/>
      <c r="C179" s="139"/>
      <c r="D179" s="139"/>
      <c r="F179" s="220"/>
    </row>
    <row r="180">
      <c r="B180" s="139"/>
      <c r="C180" s="139"/>
      <c r="D180" s="139"/>
      <c r="F180" s="220"/>
    </row>
    <row r="181">
      <c r="B181" s="139"/>
      <c r="C181" s="139"/>
      <c r="D181" s="139"/>
      <c r="F181" s="220"/>
    </row>
    <row r="182">
      <c r="B182" s="139"/>
      <c r="C182" s="139"/>
      <c r="D182" s="139"/>
      <c r="F182" s="220"/>
    </row>
    <row r="183">
      <c r="B183" s="139"/>
      <c r="C183" s="139"/>
      <c r="D183" s="139"/>
      <c r="F183" s="220"/>
    </row>
    <row r="184">
      <c r="B184" s="139"/>
      <c r="C184" s="139"/>
      <c r="D184" s="139"/>
      <c r="F184" s="220"/>
    </row>
    <row r="185">
      <c r="B185" s="139"/>
      <c r="C185" s="139"/>
      <c r="D185" s="139"/>
      <c r="F185" s="220"/>
    </row>
    <row r="186">
      <c r="B186" s="139"/>
      <c r="C186" s="139"/>
      <c r="D186" s="139"/>
      <c r="F186" s="220"/>
    </row>
    <row r="187">
      <c r="B187" s="139"/>
      <c r="C187" s="139"/>
      <c r="D187" s="139"/>
      <c r="F187" s="220"/>
    </row>
    <row r="188">
      <c r="B188" s="139"/>
      <c r="C188" s="139"/>
      <c r="D188" s="139"/>
      <c r="F188" s="220"/>
    </row>
    <row r="189">
      <c r="B189" s="139"/>
      <c r="C189" s="139"/>
      <c r="D189" s="139"/>
      <c r="F189" s="220"/>
    </row>
    <row r="190">
      <c r="B190" s="139"/>
      <c r="C190" s="139"/>
      <c r="D190" s="139"/>
      <c r="F190" s="220"/>
    </row>
    <row r="191">
      <c r="B191" s="139"/>
      <c r="C191" s="139"/>
      <c r="D191" s="139"/>
      <c r="F191" s="220"/>
    </row>
    <row r="192">
      <c r="B192" s="139"/>
      <c r="C192" s="139"/>
      <c r="D192" s="139"/>
      <c r="F192" s="220"/>
    </row>
    <row r="193">
      <c r="B193" s="139"/>
      <c r="C193" s="139"/>
      <c r="D193" s="139"/>
      <c r="F193" s="220"/>
    </row>
    <row r="194">
      <c r="B194" s="139"/>
      <c r="C194" s="139"/>
      <c r="D194" s="139"/>
      <c r="F194" s="220"/>
    </row>
    <row r="195">
      <c r="B195" s="139"/>
      <c r="C195" s="139"/>
      <c r="D195" s="139"/>
      <c r="F195" s="220"/>
    </row>
    <row r="196">
      <c r="B196" s="139"/>
      <c r="C196" s="139"/>
      <c r="D196" s="139"/>
      <c r="F196" s="220"/>
    </row>
    <row r="197">
      <c r="B197" s="139"/>
      <c r="C197" s="139"/>
      <c r="D197" s="139"/>
      <c r="F197" s="220"/>
    </row>
    <row r="198">
      <c r="B198" s="139"/>
      <c r="C198" s="139"/>
      <c r="D198" s="139"/>
      <c r="F198" s="220"/>
    </row>
    <row r="199">
      <c r="B199" s="139"/>
      <c r="C199" s="139"/>
      <c r="D199" s="139"/>
      <c r="F199" s="220"/>
    </row>
    <row r="200">
      <c r="B200" s="139"/>
      <c r="C200" s="139"/>
      <c r="D200" s="139"/>
      <c r="F200" s="220"/>
    </row>
    <row r="201">
      <c r="B201" s="139"/>
      <c r="C201" s="139"/>
      <c r="D201" s="139"/>
      <c r="F201" s="220"/>
    </row>
    <row r="202">
      <c r="B202" s="139"/>
      <c r="C202" s="139"/>
      <c r="D202" s="139"/>
      <c r="F202" s="220"/>
    </row>
    <row r="203">
      <c r="B203" s="139"/>
      <c r="C203" s="139"/>
      <c r="D203" s="139"/>
      <c r="F203" s="220"/>
    </row>
    <row r="204">
      <c r="B204" s="139"/>
      <c r="C204" s="139"/>
      <c r="D204" s="139"/>
      <c r="F204" s="220"/>
    </row>
    <row r="205">
      <c r="B205" s="139"/>
      <c r="C205" s="139"/>
      <c r="D205" s="139"/>
      <c r="F205" s="220"/>
    </row>
    <row r="206">
      <c r="B206" s="139"/>
      <c r="C206" s="139"/>
      <c r="D206" s="139"/>
      <c r="F206" s="220"/>
    </row>
    <row r="207">
      <c r="B207" s="139"/>
      <c r="C207" s="139"/>
      <c r="D207" s="139"/>
      <c r="F207" s="220"/>
    </row>
    <row r="208">
      <c r="B208" s="139"/>
      <c r="C208" s="139"/>
      <c r="D208" s="139"/>
      <c r="F208" s="220"/>
    </row>
    <row r="209">
      <c r="B209" s="139"/>
      <c r="C209" s="139"/>
      <c r="D209" s="139"/>
      <c r="F209" s="220"/>
    </row>
    <row r="210">
      <c r="B210" s="139"/>
      <c r="C210" s="139"/>
      <c r="D210" s="139"/>
      <c r="F210" s="220"/>
    </row>
    <row r="211">
      <c r="B211" s="139"/>
      <c r="C211" s="139"/>
      <c r="D211" s="139"/>
      <c r="F211" s="220"/>
    </row>
    <row r="212">
      <c r="B212" s="139"/>
      <c r="C212" s="139"/>
      <c r="D212" s="139"/>
      <c r="F212" s="220"/>
    </row>
    <row r="213">
      <c r="B213" s="139"/>
      <c r="C213" s="139"/>
      <c r="D213" s="139"/>
      <c r="F213" s="220"/>
    </row>
    <row r="214">
      <c r="B214" s="139"/>
      <c r="C214" s="139"/>
      <c r="D214" s="139"/>
      <c r="F214" s="220"/>
    </row>
    <row r="215">
      <c r="B215" s="139"/>
      <c r="C215" s="139"/>
      <c r="D215" s="139"/>
      <c r="F215" s="220"/>
    </row>
    <row r="216">
      <c r="B216" s="139"/>
      <c r="C216" s="139"/>
      <c r="D216" s="139"/>
      <c r="F216" s="220"/>
    </row>
    <row r="217">
      <c r="B217" s="139"/>
      <c r="C217" s="139"/>
      <c r="D217" s="139"/>
      <c r="F217" s="220"/>
    </row>
    <row r="218">
      <c r="B218" s="139"/>
      <c r="C218" s="139"/>
      <c r="D218" s="139"/>
      <c r="F218" s="220"/>
    </row>
    <row r="219">
      <c r="B219" s="139"/>
      <c r="C219" s="139"/>
      <c r="D219" s="139"/>
      <c r="F219" s="220"/>
    </row>
    <row r="220">
      <c r="B220" s="139"/>
      <c r="C220" s="139"/>
      <c r="D220" s="139"/>
      <c r="F220" s="220"/>
    </row>
    <row r="221">
      <c r="B221" s="139"/>
      <c r="C221" s="139"/>
      <c r="D221" s="139"/>
      <c r="F221" s="220"/>
    </row>
    <row r="222">
      <c r="B222" s="139"/>
      <c r="C222" s="139"/>
      <c r="D222" s="139"/>
      <c r="F222" s="220"/>
    </row>
    <row r="223">
      <c r="B223" s="139"/>
      <c r="C223" s="139"/>
      <c r="D223" s="139"/>
      <c r="F223" s="220"/>
    </row>
    <row r="224">
      <c r="B224" s="139"/>
      <c r="C224" s="139"/>
      <c r="D224" s="139"/>
      <c r="F224" s="220"/>
    </row>
    <row r="225">
      <c r="B225" s="139"/>
      <c r="C225" s="139"/>
      <c r="D225" s="139"/>
      <c r="F225" s="220"/>
    </row>
    <row r="226">
      <c r="B226" s="139"/>
      <c r="C226" s="139"/>
      <c r="D226" s="139"/>
      <c r="F226" s="220"/>
    </row>
    <row r="227">
      <c r="B227" s="139"/>
      <c r="C227" s="139"/>
      <c r="D227" s="139"/>
      <c r="F227" s="220"/>
    </row>
    <row r="228">
      <c r="B228" s="139"/>
      <c r="C228" s="139"/>
      <c r="D228" s="139"/>
      <c r="F228" s="220"/>
    </row>
    <row r="229">
      <c r="B229" s="139"/>
      <c r="C229" s="139"/>
      <c r="D229" s="139"/>
      <c r="F229" s="220"/>
    </row>
    <row r="230">
      <c r="B230" s="139"/>
      <c r="C230" s="139"/>
      <c r="D230" s="139"/>
      <c r="F230" s="220"/>
    </row>
    <row r="231">
      <c r="B231" s="139"/>
      <c r="C231" s="139"/>
      <c r="D231" s="139"/>
      <c r="F231" s="220"/>
    </row>
    <row r="232">
      <c r="B232" s="139"/>
      <c r="C232" s="139"/>
      <c r="D232" s="139"/>
      <c r="F232" s="220"/>
    </row>
    <row r="233">
      <c r="B233" s="139"/>
      <c r="C233" s="139"/>
      <c r="D233" s="139"/>
      <c r="F233" s="220"/>
    </row>
    <row r="234">
      <c r="B234" s="139"/>
      <c r="C234" s="139"/>
      <c r="D234" s="139"/>
      <c r="F234" s="220"/>
    </row>
    <row r="235">
      <c r="B235" s="139"/>
      <c r="C235" s="139"/>
      <c r="D235" s="139"/>
      <c r="F235" s="220"/>
    </row>
    <row r="236">
      <c r="B236" s="139"/>
      <c r="C236" s="139"/>
      <c r="D236" s="139"/>
      <c r="F236" s="220"/>
    </row>
    <row r="237">
      <c r="B237" s="139"/>
      <c r="C237" s="139"/>
      <c r="D237" s="139"/>
      <c r="F237" s="220"/>
    </row>
    <row r="238">
      <c r="B238" s="139"/>
      <c r="C238" s="139"/>
      <c r="D238" s="139"/>
      <c r="F238" s="220"/>
    </row>
    <row r="239">
      <c r="B239" s="139"/>
      <c r="C239" s="139"/>
      <c r="D239" s="139"/>
      <c r="F239" s="220"/>
    </row>
    <row r="240">
      <c r="B240" s="139"/>
      <c r="C240" s="139"/>
      <c r="D240" s="139"/>
      <c r="F240" s="220"/>
    </row>
    <row r="241">
      <c r="B241" s="139"/>
      <c r="C241" s="139"/>
      <c r="D241" s="139"/>
      <c r="F241" s="220"/>
    </row>
    <row r="242">
      <c r="B242" s="139"/>
      <c r="C242" s="139"/>
      <c r="D242" s="139"/>
      <c r="F242" s="220"/>
    </row>
    <row r="243">
      <c r="B243" s="139"/>
      <c r="C243" s="139"/>
      <c r="D243" s="139"/>
      <c r="F243" s="220"/>
    </row>
    <row r="244">
      <c r="B244" s="139"/>
      <c r="C244" s="139"/>
      <c r="D244" s="139"/>
      <c r="F244" s="220"/>
    </row>
    <row r="245">
      <c r="B245" s="139"/>
      <c r="C245" s="139"/>
      <c r="D245" s="139"/>
      <c r="F245" s="220"/>
    </row>
    <row r="246">
      <c r="B246" s="139"/>
      <c r="C246" s="139"/>
      <c r="D246" s="139"/>
      <c r="F246" s="220"/>
    </row>
    <row r="247">
      <c r="B247" s="139"/>
      <c r="C247" s="139"/>
      <c r="D247" s="139"/>
      <c r="F247" s="220"/>
    </row>
    <row r="248">
      <c r="B248" s="139"/>
      <c r="C248" s="139"/>
      <c r="D248" s="139"/>
      <c r="F248" s="220"/>
    </row>
    <row r="249">
      <c r="B249" s="139"/>
      <c r="C249" s="139"/>
      <c r="D249" s="139"/>
      <c r="F249" s="220"/>
    </row>
    <row r="250">
      <c r="B250" s="139"/>
      <c r="C250" s="139"/>
      <c r="D250" s="139"/>
      <c r="F250" s="220"/>
    </row>
    <row r="251">
      <c r="B251" s="139"/>
      <c r="C251" s="139"/>
      <c r="D251" s="139"/>
      <c r="F251" s="220"/>
    </row>
    <row r="252">
      <c r="B252" s="139"/>
      <c r="C252" s="139"/>
      <c r="D252" s="139"/>
      <c r="F252" s="220"/>
    </row>
    <row r="253">
      <c r="B253" s="139"/>
      <c r="C253" s="139"/>
      <c r="D253" s="139"/>
      <c r="F253" s="220"/>
    </row>
    <row r="254">
      <c r="B254" s="139"/>
      <c r="C254" s="139"/>
      <c r="D254" s="139"/>
      <c r="F254" s="220"/>
    </row>
    <row r="255">
      <c r="B255" s="139"/>
      <c r="C255" s="139"/>
      <c r="D255" s="139"/>
      <c r="F255" s="220"/>
    </row>
    <row r="256">
      <c r="B256" s="139"/>
      <c r="C256" s="139"/>
      <c r="D256" s="139"/>
      <c r="F256" s="220"/>
    </row>
    <row r="257">
      <c r="B257" s="139"/>
      <c r="C257" s="139"/>
      <c r="D257" s="139"/>
      <c r="F257" s="220"/>
    </row>
    <row r="258">
      <c r="B258" s="139"/>
      <c r="C258" s="139"/>
      <c r="D258" s="139"/>
      <c r="F258" s="220"/>
    </row>
    <row r="259">
      <c r="B259" s="139"/>
      <c r="C259" s="139"/>
      <c r="D259" s="139"/>
      <c r="F259" s="220"/>
    </row>
    <row r="260">
      <c r="B260" s="139"/>
      <c r="C260" s="139"/>
      <c r="D260" s="139"/>
      <c r="F260" s="220"/>
    </row>
    <row r="261">
      <c r="B261" s="139"/>
      <c r="C261" s="139"/>
      <c r="D261" s="139"/>
      <c r="F261" s="220"/>
    </row>
    <row r="262">
      <c r="B262" s="139"/>
      <c r="C262" s="139"/>
      <c r="D262" s="139"/>
      <c r="F262" s="220"/>
    </row>
    <row r="263">
      <c r="B263" s="139"/>
      <c r="C263" s="139"/>
      <c r="D263" s="139"/>
      <c r="F263" s="220"/>
    </row>
    <row r="264">
      <c r="B264" s="139"/>
      <c r="C264" s="139"/>
      <c r="D264" s="139"/>
      <c r="F264" s="220"/>
    </row>
    <row r="265">
      <c r="B265" s="139"/>
      <c r="C265" s="139"/>
      <c r="D265" s="139"/>
      <c r="F265" s="220"/>
    </row>
    <row r="266">
      <c r="B266" s="139"/>
      <c r="C266" s="139"/>
      <c r="D266" s="139"/>
      <c r="F266" s="220"/>
    </row>
    <row r="267">
      <c r="B267" s="139"/>
      <c r="C267" s="139"/>
      <c r="D267" s="139"/>
      <c r="F267" s="220"/>
    </row>
    <row r="268">
      <c r="B268" s="139"/>
      <c r="C268" s="139"/>
      <c r="D268" s="139"/>
      <c r="F268" s="220"/>
    </row>
    <row r="269">
      <c r="B269" s="139"/>
      <c r="C269" s="139"/>
      <c r="D269" s="139"/>
      <c r="F269" s="220"/>
    </row>
    <row r="270">
      <c r="B270" s="139"/>
      <c r="C270" s="139"/>
      <c r="D270" s="139"/>
      <c r="F270" s="220"/>
    </row>
    <row r="271">
      <c r="B271" s="139"/>
      <c r="C271" s="139"/>
      <c r="D271" s="139"/>
      <c r="F271" s="220"/>
    </row>
    <row r="272">
      <c r="B272" s="139"/>
      <c r="C272" s="139"/>
      <c r="D272" s="139"/>
      <c r="F272" s="220"/>
    </row>
    <row r="273">
      <c r="B273" s="139"/>
      <c r="C273" s="139"/>
      <c r="D273" s="139"/>
      <c r="F273" s="220"/>
    </row>
    <row r="274">
      <c r="B274" s="139"/>
      <c r="C274" s="139"/>
      <c r="D274" s="139"/>
      <c r="F274" s="220"/>
    </row>
    <row r="275">
      <c r="B275" s="139"/>
      <c r="C275" s="139"/>
      <c r="D275" s="139"/>
      <c r="F275" s="220"/>
    </row>
    <row r="276">
      <c r="B276" s="139"/>
      <c r="C276" s="139"/>
      <c r="D276" s="139"/>
      <c r="F276" s="220"/>
    </row>
    <row r="277">
      <c r="B277" s="139"/>
      <c r="C277" s="139"/>
      <c r="D277" s="139"/>
      <c r="F277" s="220"/>
    </row>
    <row r="278">
      <c r="B278" s="139"/>
      <c r="C278" s="139"/>
      <c r="D278" s="139"/>
      <c r="F278" s="220"/>
    </row>
    <row r="279">
      <c r="B279" s="139"/>
      <c r="C279" s="139"/>
      <c r="D279" s="139"/>
      <c r="F279" s="220"/>
    </row>
    <row r="280">
      <c r="B280" s="139"/>
      <c r="C280" s="139"/>
      <c r="D280" s="139"/>
      <c r="F280" s="220"/>
    </row>
    <row r="281">
      <c r="B281" s="139"/>
      <c r="C281" s="139"/>
      <c r="D281" s="139"/>
      <c r="F281" s="220"/>
    </row>
    <row r="282">
      <c r="B282" s="139"/>
      <c r="C282" s="139"/>
      <c r="D282" s="139"/>
      <c r="F282" s="220"/>
    </row>
    <row r="283">
      <c r="B283" s="139"/>
      <c r="C283" s="139"/>
      <c r="D283" s="139"/>
      <c r="F283" s="220"/>
    </row>
    <row r="284">
      <c r="B284" s="139"/>
      <c r="C284" s="139"/>
      <c r="D284" s="139"/>
      <c r="F284" s="220"/>
    </row>
    <row r="285">
      <c r="B285" s="139"/>
      <c r="C285" s="139"/>
      <c r="D285" s="139"/>
      <c r="F285" s="220"/>
    </row>
    <row r="286">
      <c r="B286" s="139"/>
      <c r="C286" s="139"/>
      <c r="D286" s="139"/>
      <c r="F286" s="220"/>
    </row>
    <row r="287">
      <c r="B287" s="139"/>
      <c r="C287" s="139"/>
      <c r="D287" s="139"/>
      <c r="F287" s="220"/>
    </row>
    <row r="288">
      <c r="B288" s="139"/>
      <c r="C288" s="139"/>
      <c r="D288" s="139"/>
      <c r="F288" s="220"/>
    </row>
    <row r="289">
      <c r="B289" s="139"/>
      <c r="C289" s="139"/>
      <c r="D289" s="139"/>
      <c r="F289" s="220"/>
    </row>
    <row r="290">
      <c r="B290" s="139"/>
      <c r="C290" s="139"/>
      <c r="D290" s="139"/>
      <c r="F290" s="220"/>
    </row>
    <row r="291">
      <c r="B291" s="139"/>
      <c r="C291" s="139"/>
      <c r="D291" s="139"/>
      <c r="F291" s="220"/>
    </row>
    <row r="292">
      <c r="B292" s="139"/>
      <c r="C292" s="139"/>
      <c r="D292" s="139"/>
      <c r="F292" s="220"/>
    </row>
    <row r="293">
      <c r="B293" s="139"/>
      <c r="C293" s="139"/>
      <c r="D293" s="139"/>
      <c r="F293" s="220"/>
    </row>
    <row r="294">
      <c r="B294" s="139"/>
      <c r="C294" s="139"/>
      <c r="D294" s="139"/>
      <c r="F294" s="220"/>
    </row>
    <row r="295">
      <c r="B295" s="139"/>
      <c r="C295" s="139"/>
      <c r="D295" s="139"/>
      <c r="F295" s="220"/>
    </row>
    <row r="296">
      <c r="B296" s="139"/>
      <c r="C296" s="139"/>
      <c r="D296" s="139"/>
      <c r="F296" s="220"/>
    </row>
    <row r="297">
      <c r="B297" s="139"/>
      <c r="C297" s="139"/>
      <c r="D297" s="139"/>
      <c r="F297" s="220"/>
    </row>
    <row r="298">
      <c r="B298" s="139"/>
      <c r="C298" s="139"/>
      <c r="D298" s="139"/>
      <c r="F298" s="220"/>
    </row>
    <row r="299">
      <c r="B299" s="139"/>
      <c r="C299" s="139"/>
      <c r="D299" s="139"/>
      <c r="F299" s="220"/>
    </row>
    <row r="300">
      <c r="B300" s="139"/>
      <c r="C300" s="139"/>
      <c r="D300" s="139"/>
      <c r="F300" s="220"/>
    </row>
    <row r="301">
      <c r="B301" s="139"/>
      <c r="C301" s="139"/>
      <c r="D301" s="139"/>
      <c r="F301" s="220"/>
    </row>
    <row r="302">
      <c r="B302" s="139"/>
      <c r="C302" s="139"/>
      <c r="D302" s="139"/>
      <c r="F302" s="220"/>
    </row>
    <row r="303">
      <c r="B303" s="139"/>
      <c r="C303" s="139"/>
      <c r="D303" s="139"/>
      <c r="F303" s="220"/>
    </row>
    <row r="304">
      <c r="B304" s="139"/>
      <c r="C304" s="139"/>
      <c r="D304" s="139"/>
      <c r="F304" s="220"/>
    </row>
    <row r="305">
      <c r="B305" s="139"/>
      <c r="C305" s="139"/>
      <c r="D305" s="139"/>
      <c r="F305" s="220"/>
    </row>
    <row r="306">
      <c r="B306" s="139"/>
      <c r="C306" s="139"/>
      <c r="D306" s="139"/>
      <c r="F306" s="220"/>
    </row>
    <row r="307">
      <c r="B307" s="139"/>
      <c r="C307" s="139"/>
      <c r="D307" s="139"/>
      <c r="F307" s="220"/>
    </row>
    <row r="308">
      <c r="B308" s="139"/>
      <c r="C308" s="139"/>
      <c r="D308" s="139"/>
      <c r="F308" s="220"/>
    </row>
    <row r="309">
      <c r="B309" s="139"/>
      <c r="C309" s="139"/>
      <c r="D309" s="139"/>
      <c r="F309" s="220"/>
    </row>
    <row r="310">
      <c r="B310" s="139"/>
      <c r="C310" s="139"/>
      <c r="D310" s="139"/>
      <c r="F310" s="220"/>
    </row>
    <row r="311">
      <c r="B311" s="139"/>
      <c r="C311" s="139"/>
      <c r="D311" s="139"/>
      <c r="F311" s="220"/>
    </row>
    <row r="312">
      <c r="B312" s="139"/>
      <c r="C312" s="139"/>
      <c r="D312" s="139"/>
      <c r="F312" s="220"/>
    </row>
    <row r="313">
      <c r="B313" s="139"/>
      <c r="C313" s="139"/>
      <c r="D313" s="139"/>
      <c r="F313" s="220"/>
    </row>
    <row r="314">
      <c r="B314" s="139"/>
      <c r="C314" s="139"/>
      <c r="D314" s="139"/>
      <c r="F314" s="220"/>
    </row>
    <row r="315">
      <c r="B315" s="139"/>
      <c r="C315" s="139"/>
      <c r="D315" s="139"/>
      <c r="F315" s="220"/>
    </row>
    <row r="316">
      <c r="B316" s="139"/>
      <c r="C316" s="139"/>
      <c r="D316" s="139"/>
      <c r="F316" s="220"/>
    </row>
    <row r="317">
      <c r="B317" s="139"/>
      <c r="C317" s="139"/>
      <c r="D317" s="139"/>
      <c r="F317" s="220"/>
    </row>
    <row r="318">
      <c r="B318" s="139"/>
      <c r="C318" s="139"/>
      <c r="D318" s="139"/>
      <c r="F318" s="220"/>
    </row>
    <row r="319">
      <c r="B319" s="139"/>
      <c r="C319" s="139"/>
      <c r="D319" s="139"/>
      <c r="F319" s="220"/>
    </row>
    <row r="320">
      <c r="B320" s="139"/>
      <c r="C320" s="139"/>
      <c r="D320" s="139"/>
      <c r="F320" s="220"/>
    </row>
    <row r="321">
      <c r="B321" s="139"/>
      <c r="C321" s="139"/>
      <c r="D321" s="139"/>
      <c r="F321" s="220"/>
    </row>
    <row r="322">
      <c r="B322" s="139"/>
      <c r="C322" s="139"/>
      <c r="D322" s="139"/>
      <c r="F322" s="220"/>
    </row>
    <row r="323">
      <c r="B323" s="139"/>
      <c r="C323" s="139"/>
      <c r="D323" s="139"/>
      <c r="F323" s="220"/>
    </row>
    <row r="324">
      <c r="B324" s="139"/>
      <c r="C324" s="139"/>
      <c r="D324" s="139"/>
      <c r="F324" s="220"/>
    </row>
    <row r="325">
      <c r="B325" s="139"/>
      <c r="C325" s="139"/>
      <c r="D325" s="139"/>
      <c r="F325" s="220"/>
    </row>
    <row r="326">
      <c r="B326" s="139"/>
      <c r="C326" s="139"/>
      <c r="D326" s="139"/>
      <c r="F326" s="220"/>
    </row>
    <row r="327">
      <c r="B327" s="139"/>
      <c r="C327" s="139"/>
      <c r="D327" s="139"/>
      <c r="F327" s="220"/>
    </row>
    <row r="328">
      <c r="B328" s="139"/>
      <c r="C328" s="139"/>
      <c r="D328" s="139"/>
      <c r="F328" s="220"/>
    </row>
    <row r="329">
      <c r="B329" s="139"/>
      <c r="C329" s="139"/>
      <c r="D329" s="139"/>
      <c r="F329" s="220"/>
    </row>
    <row r="330">
      <c r="B330" s="139"/>
      <c r="C330" s="139"/>
      <c r="D330" s="139"/>
      <c r="F330" s="220"/>
    </row>
    <row r="331">
      <c r="B331" s="139"/>
      <c r="C331" s="139"/>
      <c r="D331" s="139"/>
      <c r="F331" s="220"/>
    </row>
    <row r="332">
      <c r="B332" s="139"/>
      <c r="C332" s="139"/>
      <c r="D332" s="139"/>
      <c r="F332" s="220"/>
    </row>
    <row r="333">
      <c r="B333" s="139"/>
      <c r="C333" s="139"/>
      <c r="D333" s="139"/>
      <c r="F333" s="220"/>
    </row>
    <row r="334">
      <c r="B334" s="139"/>
      <c r="C334" s="139"/>
      <c r="D334" s="139"/>
      <c r="F334" s="220"/>
    </row>
    <row r="335">
      <c r="B335" s="139"/>
      <c r="C335" s="139"/>
      <c r="D335" s="139"/>
      <c r="F335" s="220"/>
    </row>
    <row r="336">
      <c r="B336" s="139"/>
      <c r="C336" s="139"/>
      <c r="D336" s="139"/>
      <c r="F336" s="220"/>
    </row>
    <row r="337">
      <c r="B337" s="139"/>
      <c r="C337" s="139"/>
      <c r="D337" s="139"/>
      <c r="F337" s="220"/>
    </row>
    <row r="338">
      <c r="B338" s="139"/>
      <c r="C338" s="139"/>
      <c r="D338" s="139"/>
      <c r="F338" s="220"/>
    </row>
    <row r="339">
      <c r="B339" s="139"/>
      <c r="C339" s="139"/>
      <c r="D339" s="139"/>
      <c r="F339" s="220"/>
    </row>
    <row r="340">
      <c r="B340" s="139"/>
      <c r="C340" s="139"/>
      <c r="D340" s="139"/>
      <c r="F340" s="220"/>
    </row>
    <row r="341">
      <c r="B341" s="139"/>
      <c r="C341" s="139"/>
      <c r="D341" s="139"/>
      <c r="F341" s="220"/>
    </row>
    <row r="342">
      <c r="B342" s="139"/>
      <c r="C342" s="139"/>
      <c r="D342" s="139"/>
      <c r="F342" s="220"/>
    </row>
    <row r="343">
      <c r="B343" s="139"/>
      <c r="C343" s="139"/>
      <c r="D343" s="139"/>
      <c r="F343" s="220"/>
    </row>
    <row r="344">
      <c r="B344" s="139"/>
      <c r="C344" s="139"/>
      <c r="D344" s="139"/>
      <c r="F344" s="220"/>
    </row>
    <row r="345">
      <c r="B345" s="139"/>
      <c r="C345" s="139"/>
      <c r="D345" s="139"/>
      <c r="F345" s="220"/>
    </row>
    <row r="346">
      <c r="B346" s="139"/>
      <c r="C346" s="139"/>
      <c r="D346" s="139"/>
      <c r="F346" s="220"/>
    </row>
    <row r="347">
      <c r="B347" s="139"/>
      <c r="C347" s="139"/>
      <c r="D347" s="139"/>
      <c r="F347" s="220"/>
    </row>
    <row r="348">
      <c r="B348" s="139"/>
      <c r="C348" s="139"/>
      <c r="D348" s="139"/>
      <c r="F348" s="220"/>
    </row>
    <row r="349">
      <c r="B349" s="139"/>
      <c r="C349" s="139"/>
      <c r="D349" s="139"/>
      <c r="F349" s="220"/>
    </row>
    <row r="350">
      <c r="B350" s="139"/>
      <c r="C350" s="139"/>
      <c r="D350" s="139"/>
      <c r="F350" s="220"/>
    </row>
    <row r="351">
      <c r="B351" s="139"/>
      <c r="C351" s="139"/>
      <c r="D351" s="139"/>
      <c r="F351" s="220"/>
    </row>
    <row r="352">
      <c r="B352" s="139"/>
      <c r="C352" s="139"/>
      <c r="D352" s="139"/>
      <c r="F352" s="220"/>
    </row>
    <row r="353">
      <c r="B353" s="139"/>
      <c r="C353" s="139"/>
      <c r="D353" s="139"/>
      <c r="F353" s="220"/>
    </row>
    <row r="354">
      <c r="B354" s="139"/>
      <c r="C354" s="139"/>
      <c r="D354" s="139"/>
      <c r="F354" s="220"/>
    </row>
    <row r="355">
      <c r="B355" s="139"/>
      <c r="C355" s="139"/>
      <c r="D355" s="139"/>
      <c r="F355" s="220"/>
    </row>
    <row r="356">
      <c r="B356" s="139"/>
      <c r="C356" s="139"/>
      <c r="D356" s="139"/>
      <c r="F356" s="220"/>
    </row>
    <row r="357">
      <c r="B357" s="139"/>
      <c r="C357" s="139"/>
      <c r="D357" s="139"/>
      <c r="F357" s="220"/>
    </row>
    <row r="358">
      <c r="B358" s="139"/>
      <c r="C358" s="139"/>
      <c r="D358" s="139"/>
      <c r="F358" s="220"/>
    </row>
    <row r="359">
      <c r="B359" s="139"/>
      <c r="C359" s="139"/>
      <c r="D359" s="139"/>
      <c r="F359" s="220"/>
    </row>
    <row r="360">
      <c r="B360" s="139"/>
      <c r="C360" s="139"/>
      <c r="D360" s="139"/>
      <c r="F360" s="220"/>
    </row>
    <row r="361">
      <c r="B361" s="139"/>
      <c r="C361" s="139"/>
      <c r="D361" s="139"/>
      <c r="F361" s="220"/>
    </row>
    <row r="362">
      <c r="B362" s="139"/>
      <c r="C362" s="139"/>
      <c r="D362" s="139"/>
      <c r="F362" s="220"/>
    </row>
    <row r="363">
      <c r="B363" s="139"/>
      <c r="C363" s="139"/>
      <c r="D363" s="139"/>
      <c r="F363" s="220"/>
    </row>
    <row r="364">
      <c r="B364" s="139"/>
      <c r="C364" s="139"/>
      <c r="D364" s="139"/>
      <c r="F364" s="220"/>
    </row>
    <row r="365">
      <c r="B365" s="139"/>
      <c r="C365" s="139"/>
      <c r="D365" s="139"/>
      <c r="F365" s="220"/>
    </row>
    <row r="366">
      <c r="B366" s="139"/>
      <c r="C366" s="139"/>
      <c r="D366" s="139"/>
      <c r="F366" s="220"/>
    </row>
    <row r="367">
      <c r="B367" s="139"/>
      <c r="C367" s="139"/>
      <c r="D367" s="139"/>
      <c r="F367" s="220"/>
    </row>
    <row r="368">
      <c r="B368" s="139"/>
      <c r="C368" s="139"/>
      <c r="D368" s="139"/>
      <c r="F368" s="220"/>
    </row>
    <row r="369">
      <c r="B369" s="139"/>
      <c r="C369" s="139"/>
      <c r="D369" s="139"/>
      <c r="F369" s="220"/>
    </row>
    <row r="370">
      <c r="B370" s="139"/>
      <c r="C370" s="139"/>
      <c r="D370" s="139"/>
      <c r="F370" s="220"/>
    </row>
    <row r="371">
      <c r="B371" s="139"/>
      <c r="C371" s="139"/>
      <c r="D371" s="139"/>
      <c r="F371" s="220"/>
    </row>
    <row r="372">
      <c r="B372" s="139"/>
      <c r="C372" s="139"/>
      <c r="D372" s="139"/>
      <c r="F372" s="220"/>
    </row>
    <row r="373">
      <c r="B373" s="139"/>
      <c r="C373" s="139"/>
      <c r="D373" s="139"/>
      <c r="F373" s="220"/>
    </row>
    <row r="374">
      <c r="B374" s="139"/>
      <c r="C374" s="139"/>
      <c r="D374" s="139"/>
      <c r="F374" s="220"/>
    </row>
    <row r="375">
      <c r="B375" s="139"/>
      <c r="C375" s="139"/>
      <c r="D375" s="139"/>
      <c r="F375" s="220"/>
    </row>
    <row r="376">
      <c r="B376" s="139"/>
      <c r="C376" s="139"/>
      <c r="D376" s="139"/>
      <c r="F376" s="220"/>
    </row>
    <row r="377">
      <c r="B377" s="139"/>
      <c r="C377" s="139"/>
      <c r="D377" s="139"/>
      <c r="F377" s="220"/>
    </row>
    <row r="378">
      <c r="B378" s="139"/>
      <c r="C378" s="139"/>
      <c r="D378" s="139"/>
      <c r="F378" s="220"/>
    </row>
    <row r="379">
      <c r="B379" s="139"/>
      <c r="C379" s="139"/>
      <c r="D379" s="139"/>
      <c r="F379" s="220"/>
    </row>
    <row r="380">
      <c r="B380" s="139"/>
      <c r="C380" s="139"/>
      <c r="D380" s="139"/>
      <c r="F380" s="220"/>
    </row>
    <row r="381">
      <c r="B381" s="139"/>
      <c r="C381" s="139"/>
      <c r="D381" s="139"/>
      <c r="F381" s="220"/>
    </row>
    <row r="382">
      <c r="B382" s="139"/>
      <c r="C382" s="139"/>
      <c r="D382" s="139"/>
      <c r="F382" s="220"/>
    </row>
    <row r="383">
      <c r="B383" s="139"/>
      <c r="C383" s="139"/>
      <c r="D383" s="139"/>
      <c r="F383" s="220"/>
    </row>
    <row r="384">
      <c r="B384" s="139"/>
      <c r="C384" s="139"/>
      <c r="D384" s="139"/>
      <c r="F384" s="220"/>
    </row>
    <row r="385">
      <c r="B385" s="139"/>
      <c r="C385" s="139"/>
      <c r="D385" s="139"/>
      <c r="F385" s="220"/>
    </row>
    <row r="386">
      <c r="B386" s="139"/>
      <c r="C386" s="139"/>
      <c r="D386" s="139"/>
      <c r="F386" s="220"/>
    </row>
    <row r="387">
      <c r="B387" s="139"/>
      <c r="C387" s="139"/>
      <c r="D387" s="139"/>
      <c r="F387" s="220"/>
    </row>
    <row r="388">
      <c r="B388" s="139"/>
      <c r="C388" s="139"/>
      <c r="D388" s="139"/>
      <c r="F388" s="220"/>
    </row>
    <row r="389">
      <c r="B389" s="139"/>
      <c r="C389" s="139"/>
      <c r="D389" s="139"/>
      <c r="F389" s="220"/>
    </row>
    <row r="390">
      <c r="B390" s="139"/>
      <c r="C390" s="139"/>
      <c r="D390" s="139"/>
      <c r="F390" s="220"/>
    </row>
    <row r="391">
      <c r="B391" s="139"/>
      <c r="C391" s="139"/>
      <c r="D391" s="139"/>
      <c r="F391" s="220"/>
    </row>
    <row r="392">
      <c r="B392" s="139"/>
      <c r="C392" s="139"/>
      <c r="D392" s="139"/>
      <c r="F392" s="220"/>
    </row>
    <row r="393">
      <c r="B393" s="139"/>
      <c r="C393" s="139"/>
      <c r="D393" s="139"/>
      <c r="F393" s="220"/>
    </row>
    <row r="394">
      <c r="B394" s="139"/>
      <c r="C394" s="139"/>
      <c r="D394" s="139"/>
      <c r="F394" s="220"/>
    </row>
    <row r="395">
      <c r="B395" s="139"/>
      <c r="C395" s="139"/>
      <c r="D395" s="139"/>
      <c r="F395" s="220"/>
    </row>
    <row r="396">
      <c r="B396" s="139"/>
      <c r="C396" s="139"/>
      <c r="D396" s="139"/>
      <c r="F396" s="220"/>
    </row>
    <row r="397">
      <c r="B397" s="139"/>
      <c r="C397" s="139"/>
      <c r="D397" s="139"/>
      <c r="F397" s="220"/>
    </row>
    <row r="398">
      <c r="B398" s="139"/>
      <c r="C398" s="139"/>
      <c r="D398" s="139"/>
      <c r="F398" s="220"/>
    </row>
    <row r="399">
      <c r="B399" s="139"/>
      <c r="C399" s="139"/>
      <c r="D399" s="139"/>
      <c r="F399" s="220"/>
    </row>
    <row r="400">
      <c r="B400" s="139"/>
      <c r="C400" s="139"/>
      <c r="D400" s="139"/>
      <c r="F400" s="220"/>
    </row>
    <row r="401">
      <c r="B401" s="139"/>
      <c r="C401" s="139"/>
      <c r="D401" s="139"/>
      <c r="F401" s="220"/>
    </row>
    <row r="402">
      <c r="B402" s="139"/>
      <c r="C402" s="139"/>
      <c r="D402" s="139"/>
      <c r="F402" s="220"/>
    </row>
    <row r="403">
      <c r="B403" s="139"/>
      <c r="C403" s="139"/>
      <c r="D403" s="139"/>
      <c r="F403" s="220"/>
    </row>
    <row r="404">
      <c r="B404" s="139"/>
      <c r="C404" s="139"/>
      <c r="D404" s="139"/>
      <c r="F404" s="220"/>
    </row>
    <row r="405">
      <c r="B405" s="139"/>
      <c r="C405" s="139"/>
      <c r="D405" s="139"/>
      <c r="F405" s="220"/>
    </row>
    <row r="406">
      <c r="B406" s="139"/>
      <c r="C406" s="139"/>
      <c r="D406" s="139"/>
      <c r="F406" s="220"/>
    </row>
    <row r="407">
      <c r="B407" s="139"/>
      <c r="C407" s="139"/>
      <c r="D407" s="139"/>
      <c r="F407" s="220"/>
    </row>
    <row r="408">
      <c r="B408" s="139"/>
      <c r="C408" s="139"/>
      <c r="D408" s="139"/>
      <c r="F408" s="220"/>
    </row>
    <row r="409">
      <c r="B409" s="139"/>
      <c r="C409" s="139"/>
      <c r="D409" s="139"/>
      <c r="F409" s="220"/>
    </row>
    <row r="410">
      <c r="B410" s="139"/>
      <c r="C410" s="139"/>
      <c r="D410" s="139"/>
      <c r="F410" s="220"/>
    </row>
    <row r="411">
      <c r="B411" s="139"/>
      <c r="C411" s="139"/>
      <c r="D411" s="139"/>
      <c r="F411" s="220"/>
    </row>
    <row r="412">
      <c r="B412" s="139"/>
      <c r="C412" s="139"/>
      <c r="D412" s="139"/>
      <c r="F412" s="220"/>
    </row>
    <row r="413">
      <c r="B413" s="139"/>
      <c r="C413" s="139"/>
      <c r="D413" s="139"/>
      <c r="F413" s="220"/>
    </row>
    <row r="414">
      <c r="B414" s="139"/>
      <c r="C414" s="139"/>
      <c r="D414" s="139"/>
      <c r="F414" s="220"/>
    </row>
    <row r="415">
      <c r="B415" s="139"/>
      <c r="C415" s="139"/>
      <c r="D415" s="139"/>
      <c r="F415" s="220"/>
    </row>
    <row r="416">
      <c r="B416" s="139"/>
      <c r="C416" s="139"/>
      <c r="D416" s="139"/>
      <c r="F416" s="220"/>
    </row>
    <row r="417">
      <c r="B417" s="139"/>
      <c r="C417" s="139"/>
      <c r="D417" s="139"/>
      <c r="F417" s="220"/>
    </row>
    <row r="418">
      <c r="B418" s="139"/>
      <c r="C418" s="139"/>
      <c r="D418" s="139"/>
      <c r="F418" s="220"/>
    </row>
    <row r="419">
      <c r="B419" s="139"/>
      <c r="C419" s="139"/>
      <c r="D419" s="139"/>
      <c r="F419" s="220"/>
    </row>
    <row r="420">
      <c r="B420" s="139"/>
      <c r="C420" s="139"/>
      <c r="D420" s="139"/>
      <c r="F420" s="220"/>
    </row>
    <row r="421">
      <c r="B421" s="139"/>
      <c r="C421" s="139"/>
      <c r="D421" s="139"/>
      <c r="F421" s="220"/>
    </row>
    <row r="422">
      <c r="B422" s="139"/>
      <c r="C422" s="139"/>
      <c r="D422" s="139"/>
      <c r="F422" s="220"/>
    </row>
    <row r="423">
      <c r="B423" s="139"/>
      <c r="C423" s="139"/>
      <c r="D423" s="139"/>
      <c r="F423" s="220"/>
    </row>
    <row r="424">
      <c r="B424" s="139"/>
      <c r="C424" s="139"/>
      <c r="D424" s="139"/>
      <c r="F424" s="220"/>
    </row>
    <row r="425">
      <c r="B425" s="139"/>
      <c r="C425" s="139"/>
      <c r="D425" s="139"/>
      <c r="F425" s="220"/>
    </row>
    <row r="426">
      <c r="B426" s="139"/>
      <c r="C426" s="139"/>
      <c r="D426" s="139"/>
      <c r="F426" s="220"/>
    </row>
    <row r="427">
      <c r="B427" s="139"/>
      <c r="C427" s="139"/>
      <c r="D427" s="139"/>
      <c r="F427" s="220"/>
    </row>
    <row r="428">
      <c r="B428" s="139"/>
      <c r="C428" s="139"/>
      <c r="D428" s="139"/>
      <c r="F428" s="220"/>
    </row>
    <row r="429">
      <c r="B429" s="139"/>
      <c r="C429" s="139"/>
      <c r="D429" s="139"/>
      <c r="F429" s="220"/>
    </row>
    <row r="430">
      <c r="B430" s="139"/>
      <c r="C430" s="139"/>
      <c r="D430" s="139"/>
      <c r="F430" s="220"/>
    </row>
    <row r="431">
      <c r="B431" s="139"/>
      <c r="C431" s="139"/>
      <c r="D431" s="139"/>
      <c r="F431" s="220"/>
    </row>
    <row r="432">
      <c r="B432" s="139"/>
      <c r="C432" s="139"/>
      <c r="D432" s="139"/>
      <c r="F432" s="220"/>
    </row>
    <row r="433">
      <c r="B433" s="139"/>
      <c r="C433" s="139"/>
      <c r="D433" s="139"/>
      <c r="F433" s="220"/>
    </row>
    <row r="434">
      <c r="B434" s="139"/>
      <c r="C434" s="139"/>
      <c r="D434" s="139"/>
      <c r="F434" s="220"/>
    </row>
    <row r="435">
      <c r="B435" s="139"/>
      <c r="C435" s="139"/>
      <c r="D435" s="139"/>
      <c r="F435" s="220"/>
    </row>
    <row r="436">
      <c r="B436" s="139"/>
      <c r="C436" s="139"/>
      <c r="D436" s="139"/>
      <c r="F436" s="220"/>
    </row>
    <row r="437">
      <c r="B437" s="139"/>
      <c r="C437" s="139"/>
      <c r="D437" s="139"/>
      <c r="F437" s="220"/>
    </row>
    <row r="438">
      <c r="B438" s="139"/>
      <c r="C438" s="139"/>
      <c r="D438" s="139"/>
      <c r="F438" s="220"/>
    </row>
    <row r="439">
      <c r="B439" s="139"/>
      <c r="C439" s="139"/>
      <c r="D439" s="139"/>
      <c r="F439" s="220"/>
    </row>
    <row r="440">
      <c r="B440" s="139"/>
      <c r="C440" s="139"/>
      <c r="D440" s="139"/>
      <c r="F440" s="220"/>
    </row>
    <row r="441">
      <c r="B441" s="139"/>
      <c r="C441" s="139"/>
      <c r="D441" s="139"/>
      <c r="F441" s="220"/>
    </row>
    <row r="442">
      <c r="B442" s="139"/>
      <c r="C442" s="139"/>
      <c r="D442" s="139"/>
      <c r="F442" s="220"/>
    </row>
    <row r="443">
      <c r="B443" s="139"/>
      <c r="C443" s="139"/>
      <c r="D443" s="139"/>
      <c r="F443" s="220"/>
    </row>
    <row r="444">
      <c r="B444" s="139"/>
      <c r="C444" s="139"/>
      <c r="D444" s="139"/>
      <c r="F444" s="220"/>
    </row>
    <row r="445">
      <c r="B445" s="139"/>
      <c r="C445" s="139"/>
      <c r="D445" s="139"/>
      <c r="F445" s="220"/>
    </row>
    <row r="446">
      <c r="B446" s="139"/>
      <c r="C446" s="139"/>
      <c r="D446" s="139"/>
      <c r="F446" s="220"/>
    </row>
    <row r="447">
      <c r="B447" s="139"/>
      <c r="C447" s="139"/>
      <c r="D447" s="139"/>
      <c r="F447" s="220"/>
    </row>
    <row r="448">
      <c r="B448" s="139"/>
      <c r="C448" s="139"/>
      <c r="D448" s="139"/>
      <c r="F448" s="220"/>
    </row>
    <row r="449">
      <c r="B449" s="139"/>
      <c r="C449" s="139"/>
      <c r="D449" s="139"/>
      <c r="F449" s="220"/>
    </row>
    <row r="450">
      <c r="B450" s="139"/>
      <c r="C450" s="139"/>
      <c r="D450" s="139"/>
      <c r="F450" s="220"/>
    </row>
    <row r="451">
      <c r="B451" s="139"/>
      <c r="C451" s="139"/>
      <c r="D451" s="139"/>
      <c r="F451" s="220"/>
    </row>
    <row r="452">
      <c r="B452" s="139"/>
      <c r="C452" s="139"/>
      <c r="D452" s="139"/>
      <c r="F452" s="220"/>
    </row>
    <row r="453">
      <c r="B453" s="139"/>
      <c r="C453" s="139"/>
      <c r="D453" s="139"/>
      <c r="F453" s="220"/>
    </row>
    <row r="454">
      <c r="B454" s="139"/>
      <c r="C454" s="139"/>
      <c r="D454" s="139"/>
      <c r="F454" s="220"/>
    </row>
    <row r="455">
      <c r="B455" s="139"/>
      <c r="C455" s="139"/>
      <c r="D455" s="139"/>
      <c r="F455" s="220"/>
    </row>
    <row r="456">
      <c r="B456" s="139"/>
      <c r="C456" s="139"/>
      <c r="D456" s="139"/>
      <c r="F456" s="220"/>
    </row>
    <row r="457">
      <c r="B457" s="139"/>
      <c r="C457" s="139"/>
      <c r="D457" s="139"/>
      <c r="F457" s="220"/>
    </row>
    <row r="458">
      <c r="B458" s="139"/>
      <c r="C458" s="139"/>
      <c r="D458" s="139"/>
      <c r="F458" s="220"/>
    </row>
    <row r="459">
      <c r="B459" s="139"/>
      <c r="C459" s="139"/>
      <c r="D459" s="139"/>
      <c r="F459" s="220"/>
    </row>
    <row r="460">
      <c r="B460" s="139"/>
      <c r="C460" s="139"/>
      <c r="D460" s="139"/>
      <c r="F460" s="220"/>
    </row>
    <row r="461">
      <c r="B461" s="139"/>
      <c r="C461" s="139"/>
      <c r="D461" s="139"/>
      <c r="F461" s="220"/>
    </row>
    <row r="462">
      <c r="B462" s="139"/>
      <c r="C462" s="139"/>
      <c r="D462" s="139"/>
      <c r="F462" s="220"/>
    </row>
    <row r="463">
      <c r="B463" s="139"/>
      <c r="C463" s="139"/>
      <c r="D463" s="139"/>
      <c r="F463" s="220"/>
    </row>
    <row r="464">
      <c r="B464" s="139"/>
      <c r="C464" s="139"/>
      <c r="D464" s="139"/>
      <c r="F464" s="220"/>
    </row>
    <row r="465">
      <c r="B465" s="139"/>
      <c r="C465" s="139"/>
      <c r="D465" s="139"/>
      <c r="F465" s="220"/>
    </row>
    <row r="466">
      <c r="B466" s="139"/>
      <c r="C466" s="139"/>
      <c r="D466" s="139"/>
      <c r="F466" s="220"/>
    </row>
    <row r="467">
      <c r="B467" s="139"/>
      <c r="C467" s="139"/>
      <c r="D467" s="139"/>
      <c r="F467" s="220"/>
    </row>
    <row r="468">
      <c r="B468" s="139"/>
      <c r="C468" s="139"/>
      <c r="D468" s="139"/>
      <c r="F468" s="220"/>
    </row>
    <row r="469">
      <c r="B469" s="139"/>
      <c r="C469" s="139"/>
      <c r="D469" s="139"/>
      <c r="F469" s="220"/>
    </row>
    <row r="470">
      <c r="B470" s="139"/>
      <c r="C470" s="139"/>
      <c r="D470" s="139"/>
      <c r="F470" s="220"/>
    </row>
    <row r="471">
      <c r="B471" s="139"/>
      <c r="C471" s="139"/>
      <c r="D471" s="139"/>
      <c r="F471" s="220"/>
    </row>
    <row r="472">
      <c r="B472" s="139"/>
      <c r="C472" s="139"/>
      <c r="D472" s="139"/>
      <c r="F472" s="220"/>
    </row>
    <row r="473">
      <c r="B473" s="139"/>
      <c r="C473" s="139"/>
      <c r="D473" s="139"/>
      <c r="F473" s="220"/>
    </row>
    <row r="474">
      <c r="B474" s="139"/>
      <c r="C474" s="139"/>
      <c r="D474" s="139"/>
      <c r="F474" s="220"/>
    </row>
    <row r="475">
      <c r="B475" s="139"/>
      <c r="C475" s="139"/>
      <c r="D475" s="139"/>
      <c r="F475" s="220"/>
    </row>
    <row r="476">
      <c r="B476" s="139"/>
      <c r="C476" s="139"/>
      <c r="D476" s="139"/>
      <c r="F476" s="220"/>
    </row>
    <row r="477">
      <c r="B477" s="139"/>
      <c r="C477" s="139"/>
      <c r="D477" s="139"/>
      <c r="F477" s="220"/>
    </row>
    <row r="478">
      <c r="B478" s="139"/>
      <c r="C478" s="139"/>
      <c r="D478" s="139"/>
      <c r="F478" s="220"/>
    </row>
    <row r="479">
      <c r="B479" s="139"/>
      <c r="C479" s="139"/>
      <c r="D479" s="139"/>
      <c r="F479" s="220"/>
    </row>
    <row r="480">
      <c r="B480" s="139"/>
      <c r="C480" s="139"/>
      <c r="D480" s="139"/>
      <c r="F480" s="220"/>
    </row>
    <row r="481">
      <c r="B481" s="139"/>
      <c r="C481" s="139"/>
      <c r="D481" s="139"/>
      <c r="F481" s="220"/>
    </row>
    <row r="482">
      <c r="B482" s="139"/>
      <c r="C482" s="139"/>
      <c r="D482" s="139"/>
      <c r="F482" s="220"/>
    </row>
    <row r="483">
      <c r="B483" s="139"/>
      <c r="C483" s="139"/>
      <c r="D483" s="139"/>
      <c r="F483" s="220"/>
    </row>
    <row r="484">
      <c r="B484" s="139"/>
      <c r="C484" s="139"/>
      <c r="D484" s="139"/>
      <c r="F484" s="220"/>
    </row>
    <row r="485">
      <c r="B485" s="139"/>
      <c r="C485" s="139"/>
      <c r="D485" s="139"/>
      <c r="F485" s="220"/>
    </row>
    <row r="486">
      <c r="B486" s="139"/>
      <c r="C486" s="139"/>
      <c r="D486" s="139"/>
      <c r="F486" s="220"/>
    </row>
    <row r="487">
      <c r="B487" s="139"/>
      <c r="C487" s="139"/>
      <c r="D487" s="139"/>
      <c r="F487" s="220"/>
    </row>
    <row r="488">
      <c r="B488" s="139"/>
      <c r="C488" s="139"/>
      <c r="D488" s="139"/>
      <c r="F488" s="220"/>
    </row>
    <row r="489">
      <c r="B489" s="139"/>
      <c r="C489" s="139"/>
      <c r="D489" s="139"/>
      <c r="F489" s="220"/>
    </row>
    <row r="490">
      <c r="B490" s="139"/>
      <c r="C490" s="139"/>
      <c r="D490" s="139"/>
      <c r="F490" s="220"/>
    </row>
    <row r="491">
      <c r="B491" s="139"/>
      <c r="C491" s="139"/>
      <c r="D491" s="139"/>
      <c r="F491" s="220"/>
    </row>
    <row r="492">
      <c r="B492" s="139"/>
      <c r="C492" s="139"/>
      <c r="D492" s="139"/>
      <c r="F492" s="220"/>
    </row>
    <row r="493">
      <c r="B493" s="139"/>
      <c r="C493" s="139"/>
      <c r="D493" s="139"/>
      <c r="F493" s="220"/>
    </row>
    <row r="494">
      <c r="B494" s="139"/>
      <c r="C494" s="139"/>
      <c r="D494" s="139"/>
      <c r="F494" s="220"/>
    </row>
    <row r="495">
      <c r="B495" s="139"/>
      <c r="C495" s="139"/>
      <c r="D495" s="139"/>
      <c r="F495" s="220"/>
    </row>
    <row r="496">
      <c r="B496" s="139"/>
      <c r="C496" s="139"/>
      <c r="D496" s="139"/>
      <c r="F496" s="220"/>
    </row>
    <row r="497">
      <c r="B497" s="139"/>
      <c r="C497" s="139"/>
      <c r="D497" s="139"/>
      <c r="F497" s="220"/>
    </row>
    <row r="498">
      <c r="B498" s="139"/>
      <c r="C498" s="139"/>
      <c r="D498" s="139"/>
      <c r="F498" s="220"/>
    </row>
    <row r="499">
      <c r="B499" s="139"/>
      <c r="C499" s="139"/>
      <c r="D499" s="139"/>
      <c r="F499" s="220"/>
    </row>
    <row r="500">
      <c r="B500" s="139"/>
      <c r="C500" s="139"/>
      <c r="D500" s="139"/>
      <c r="F500" s="220"/>
    </row>
    <row r="501">
      <c r="B501" s="139"/>
      <c r="C501" s="139"/>
      <c r="D501" s="139"/>
      <c r="F501" s="220"/>
    </row>
    <row r="502">
      <c r="B502" s="139"/>
      <c r="C502" s="139"/>
      <c r="D502" s="139"/>
      <c r="F502" s="220"/>
    </row>
    <row r="503">
      <c r="B503" s="139"/>
      <c r="C503" s="139"/>
      <c r="D503" s="139"/>
      <c r="F503" s="220"/>
    </row>
    <row r="504">
      <c r="B504" s="139"/>
      <c r="C504" s="139"/>
      <c r="D504" s="139"/>
      <c r="F504" s="220"/>
    </row>
    <row r="505">
      <c r="B505" s="139"/>
      <c r="C505" s="139"/>
      <c r="D505" s="139"/>
      <c r="F505" s="220"/>
    </row>
    <row r="506">
      <c r="B506" s="139"/>
      <c r="C506" s="139"/>
      <c r="D506" s="139"/>
      <c r="F506" s="220"/>
    </row>
    <row r="507">
      <c r="B507" s="139"/>
      <c r="C507" s="139"/>
      <c r="D507" s="139"/>
      <c r="F507" s="220"/>
    </row>
    <row r="508">
      <c r="B508" s="139"/>
      <c r="C508" s="139"/>
      <c r="D508" s="139"/>
      <c r="F508" s="220"/>
    </row>
    <row r="509">
      <c r="B509" s="139"/>
      <c r="C509" s="139"/>
      <c r="D509" s="139"/>
      <c r="F509" s="220"/>
    </row>
    <row r="510">
      <c r="B510" s="139"/>
      <c r="C510" s="139"/>
      <c r="D510" s="139"/>
      <c r="F510" s="220"/>
    </row>
    <row r="511">
      <c r="B511" s="139"/>
      <c r="C511" s="139"/>
      <c r="D511" s="139"/>
      <c r="F511" s="220"/>
    </row>
    <row r="512">
      <c r="B512" s="139"/>
      <c r="C512" s="139"/>
      <c r="D512" s="139"/>
      <c r="F512" s="220"/>
    </row>
    <row r="513">
      <c r="B513" s="139"/>
      <c r="C513" s="139"/>
      <c r="D513" s="139"/>
      <c r="F513" s="220"/>
    </row>
    <row r="514">
      <c r="B514" s="139"/>
      <c r="C514" s="139"/>
      <c r="D514" s="139"/>
      <c r="F514" s="220"/>
    </row>
    <row r="515">
      <c r="B515" s="139"/>
      <c r="C515" s="139"/>
      <c r="D515" s="139"/>
      <c r="F515" s="220"/>
    </row>
    <row r="516">
      <c r="B516" s="139"/>
      <c r="C516" s="139"/>
      <c r="D516" s="139"/>
      <c r="F516" s="220"/>
    </row>
    <row r="517">
      <c r="B517" s="139"/>
      <c r="C517" s="139"/>
      <c r="D517" s="139"/>
      <c r="F517" s="220"/>
    </row>
    <row r="518">
      <c r="B518" s="139"/>
      <c r="C518" s="139"/>
      <c r="D518" s="139"/>
      <c r="F518" s="220"/>
    </row>
    <row r="519">
      <c r="B519" s="139"/>
      <c r="C519" s="139"/>
      <c r="D519" s="139"/>
      <c r="F519" s="220"/>
    </row>
    <row r="520">
      <c r="B520" s="139"/>
      <c r="C520" s="139"/>
      <c r="D520" s="139"/>
      <c r="F520" s="220"/>
    </row>
    <row r="521">
      <c r="B521" s="139"/>
      <c r="C521" s="139"/>
      <c r="D521" s="139"/>
      <c r="F521" s="220"/>
    </row>
    <row r="522">
      <c r="B522" s="139"/>
      <c r="C522" s="139"/>
      <c r="D522" s="139"/>
      <c r="F522" s="220"/>
    </row>
    <row r="523">
      <c r="B523" s="139"/>
      <c r="C523" s="139"/>
      <c r="D523" s="139"/>
      <c r="F523" s="220"/>
    </row>
    <row r="524">
      <c r="B524" s="139"/>
      <c r="C524" s="139"/>
      <c r="D524" s="139"/>
      <c r="F524" s="220"/>
    </row>
    <row r="525">
      <c r="B525" s="139"/>
      <c r="C525" s="139"/>
      <c r="D525" s="139"/>
      <c r="F525" s="220"/>
    </row>
    <row r="526">
      <c r="B526" s="139"/>
      <c r="C526" s="139"/>
      <c r="D526" s="139"/>
      <c r="F526" s="220"/>
    </row>
    <row r="527">
      <c r="B527" s="139"/>
      <c r="C527" s="139"/>
      <c r="D527" s="139"/>
      <c r="F527" s="220"/>
    </row>
    <row r="528">
      <c r="B528" s="139"/>
      <c r="C528" s="139"/>
      <c r="D528" s="139"/>
      <c r="F528" s="220"/>
    </row>
    <row r="529">
      <c r="B529" s="139"/>
      <c r="C529" s="139"/>
      <c r="D529" s="139"/>
      <c r="F529" s="220"/>
    </row>
    <row r="530">
      <c r="B530" s="139"/>
      <c r="C530" s="139"/>
      <c r="D530" s="139"/>
      <c r="F530" s="220"/>
    </row>
    <row r="531">
      <c r="B531" s="139"/>
      <c r="C531" s="139"/>
      <c r="D531" s="139"/>
      <c r="F531" s="220"/>
    </row>
    <row r="532">
      <c r="B532" s="139"/>
      <c r="C532" s="139"/>
      <c r="D532" s="139"/>
      <c r="F532" s="220"/>
    </row>
    <row r="533">
      <c r="B533" s="139"/>
      <c r="C533" s="139"/>
      <c r="D533" s="139"/>
      <c r="F533" s="220"/>
    </row>
    <row r="534">
      <c r="B534" s="139"/>
      <c r="C534" s="139"/>
      <c r="D534" s="139"/>
      <c r="F534" s="220"/>
    </row>
    <row r="535">
      <c r="B535" s="139"/>
      <c r="C535" s="139"/>
      <c r="D535" s="139"/>
      <c r="F535" s="220"/>
    </row>
    <row r="536">
      <c r="B536" s="139"/>
      <c r="C536" s="139"/>
      <c r="D536" s="139"/>
      <c r="F536" s="220"/>
    </row>
    <row r="537">
      <c r="B537" s="139"/>
      <c r="C537" s="139"/>
      <c r="D537" s="139"/>
      <c r="F537" s="220"/>
    </row>
    <row r="538">
      <c r="B538" s="139"/>
      <c r="C538" s="139"/>
      <c r="D538" s="139"/>
      <c r="F538" s="220"/>
    </row>
    <row r="539">
      <c r="B539" s="139"/>
      <c r="C539" s="139"/>
      <c r="D539" s="139"/>
      <c r="F539" s="220"/>
    </row>
    <row r="540">
      <c r="B540" s="139"/>
      <c r="C540" s="139"/>
      <c r="D540" s="139"/>
      <c r="F540" s="220"/>
    </row>
    <row r="541">
      <c r="B541" s="139"/>
      <c r="C541" s="139"/>
      <c r="D541" s="139"/>
      <c r="F541" s="220"/>
    </row>
    <row r="542">
      <c r="B542" s="139"/>
      <c r="C542" s="139"/>
      <c r="D542" s="139"/>
      <c r="F542" s="220"/>
    </row>
    <row r="543">
      <c r="B543" s="139"/>
      <c r="C543" s="139"/>
      <c r="D543" s="139"/>
      <c r="F543" s="220"/>
    </row>
    <row r="544">
      <c r="B544" s="139"/>
      <c r="C544" s="139"/>
      <c r="D544" s="139"/>
      <c r="F544" s="220"/>
    </row>
    <row r="545">
      <c r="B545" s="139"/>
      <c r="C545" s="139"/>
      <c r="D545" s="139"/>
      <c r="F545" s="220"/>
    </row>
    <row r="546">
      <c r="B546" s="139"/>
      <c r="C546" s="139"/>
      <c r="D546" s="139"/>
      <c r="F546" s="220"/>
    </row>
    <row r="547">
      <c r="B547" s="139"/>
      <c r="C547" s="139"/>
      <c r="D547" s="139"/>
      <c r="F547" s="220"/>
    </row>
    <row r="548">
      <c r="B548" s="139"/>
      <c r="C548" s="139"/>
      <c r="D548" s="139"/>
      <c r="F548" s="220"/>
    </row>
    <row r="549">
      <c r="B549" s="139"/>
      <c r="C549" s="139"/>
      <c r="D549" s="139"/>
      <c r="F549" s="220"/>
    </row>
    <row r="550">
      <c r="B550" s="139"/>
      <c r="C550" s="139"/>
      <c r="D550" s="139"/>
      <c r="F550" s="220"/>
    </row>
    <row r="551">
      <c r="B551" s="139"/>
      <c r="C551" s="139"/>
      <c r="D551" s="139"/>
      <c r="F551" s="220"/>
    </row>
    <row r="552">
      <c r="B552" s="139"/>
      <c r="C552" s="139"/>
      <c r="D552" s="139"/>
      <c r="F552" s="220"/>
    </row>
    <row r="553">
      <c r="B553" s="139"/>
      <c r="C553" s="139"/>
      <c r="D553" s="139"/>
      <c r="F553" s="220"/>
    </row>
    <row r="554">
      <c r="B554" s="139"/>
      <c r="C554" s="139"/>
      <c r="D554" s="139"/>
      <c r="F554" s="220"/>
    </row>
    <row r="555">
      <c r="B555" s="139"/>
      <c r="C555" s="139"/>
      <c r="D555" s="139"/>
      <c r="F555" s="220"/>
    </row>
    <row r="556">
      <c r="B556" s="139"/>
      <c r="C556" s="139"/>
      <c r="D556" s="139"/>
      <c r="F556" s="220"/>
    </row>
    <row r="557">
      <c r="B557" s="139"/>
      <c r="C557" s="139"/>
      <c r="D557" s="139"/>
      <c r="F557" s="220"/>
    </row>
    <row r="558">
      <c r="B558" s="139"/>
      <c r="C558" s="139"/>
      <c r="D558" s="139"/>
      <c r="F558" s="220"/>
    </row>
    <row r="559">
      <c r="B559" s="139"/>
      <c r="C559" s="139"/>
      <c r="D559" s="139"/>
      <c r="F559" s="220"/>
    </row>
    <row r="560">
      <c r="B560" s="139"/>
      <c r="C560" s="139"/>
      <c r="D560" s="139"/>
      <c r="F560" s="220"/>
    </row>
    <row r="561">
      <c r="B561" s="139"/>
      <c r="C561" s="139"/>
      <c r="D561" s="139"/>
      <c r="F561" s="220"/>
    </row>
    <row r="562">
      <c r="B562" s="139"/>
      <c r="C562" s="139"/>
      <c r="D562" s="139"/>
      <c r="F562" s="220"/>
    </row>
    <row r="563">
      <c r="B563" s="139"/>
      <c r="C563" s="139"/>
      <c r="D563" s="139"/>
      <c r="F563" s="220"/>
    </row>
    <row r="564">
      <c r="B564" s="139"/>
      <c r="C564" s="139"/>
      <c r="D564" s="139"/>
      <c r="F564" s="220"/>
    </row>
    <row r="565">
      <c r="B565" s="139"/>
      <c r="C565" s="139"/>
      <c r="D565" s="139"/>
      <c r="F565" s="220"/>
    </row>
    <row r="566">
      <c r="B566" s="139"/>
      <c r="C566" s="139"/>
      <c r="D566" s="139"/>
      <c r="F566" s="220"/>
    </row>
    <row r="567">
      <c r="B567" s="139"/>
      <c r="C567" s="139"/>
      <c r="D567" s="139"/>
      <c r="F567" s="220"/>
    </row>
    <row r="568">
      <c r="B568" s="139"/>
      <c r="C568" s="139"/>
      <c r="D568" s="139"/>
      <c r="F568" s="220"/>
    </row>
    <row r="569">
      <c r="B569" s="139"/>
      <c r="C569" s="139"/>
      <c r="D569" s="139"/>
      <c r="F569" s="220"/>
    </row>
    <row r="570">
      <c r="B570" s="139"/>
      <c r="C570" s="139"/>
      <c r="D570" s="139"/>
      <c r="F570" s="220"/>
    </row>
    <row r="571">
      <c r="B571" s="139"/>
      <c r="C571" s="139"/>
      <c r="D571" s="139"/>
      <c r="F571" s="220"/>
    </row>
    <row r="572">
      <c r="B572" s="139"/>
      <c r="C572" s="139"/>
      <c r="D572" s="139"/>
      <c r="F572" s="220"/>
    </row>
    <row r="573">
      <c r="B573" s="139"/>
      <c r="C573" s="139"/>
      <c r="D573" s="139"/>
      <c r="F573" s="220"/>
    </row>
    <row r="574">
      <c r="B574" s="139"/>
      <c r="C574" s="139"/>
      <c r="D574" s="139"/>
      <c r="F574" s="220"/>
    </row>
    <row r="575">
      <c r="B575" s="139"/>
      <c r="C575" s="139"/>
      <c r="D575" s="139"/>
      <c r="F575" s="220"/>
    </row>
    <row r="576">
      <c r="B576" s="139"/>
      <c r="C576" s="139"/>
      <c r="D576" s="139"/>
      <c r="F576" s="220"/>
    </row>
    <row r="577">
      <c r="B577" s="139"/>
      <c r="C577" s="139"/>
      <c r="D577" s="139"/>
      <c r="F577" s="220"/>
    </row>
    <row r="578">
      <c r="B578" s="139"/>
      <c r="C578" s="139"/>
      <c r="D578" s="139"/>
      <c r="F578" s="220"/>
    </row>
    <row r="579">
      <c r="B579" s="139"/>
      <c r="C579" s="139"/>
      <c r="D579" s="139"/>
      <c r="F579" s="220"/>
    </row>
    <row r="580">
      <c r="B580" s="139"/>
      <c r="C580" s="139"/>
      <c r="D580" s="139"/>
      <c r="F580" s="220"/>
    </row>
    <row r="581">
      <c r="B581" s="139"/>
      <c r="C581" s="139"/>
      <c r="D581" s="139"/>
      <c r="F581" s="220"/>
    </row>
    <row r="582">
      <c r="B582" s="139"/>
      <c r="C582" s="139"/>
      <c r="D582" s="139"/>
      <c r="F582" s="220"/>
    </row>
    <row r="583">
      <c r="B583" s="139"/>
      <c r="C583" s="139"/>
      <c r="D583" s="139"/>
      <c r="F583" s="220"/>
    </row>
    <row r="584">
      <c r="B584" s="139"/>
      <c r="C584" s="139"/>
      <c r="D584" s="139"/>
      <c r="F584" s="220"/>
    </row>
    <row r="585">
      <c r="B585" s="139"/>
      <c r="C585" s="139"/>
      <c r="D585" s="139"/>
      <c r="F585" s="220"/>
    </row>
    <row r="586">
      <c r="B586" s="139"/>
      <c r="C586" s="139"/>
      <c r="D586" s="139"/>
      <c r="F586" s="220"/>
    </row>
    <row r="587">
      <c r="B587" s="139"/>
      <c r="C587" s="139"/>
      <c r="D587" s="139"/>
      <c r="F587" s="220"/>
    </row>
    <row r="588">
      <c r="B588" s="139"/>
      <c r="C588" s="139"/>
      <c r="D588" s="139"/>
      <c r="F588" s="220"/>
    </row>
    <row r="589">
      <c r="B589" s="139"/>
      <c r="C589" s="139"/>
      <c r="D589" s="139"/>
      <c r="F589" s="220"/>
    </row>
    <row r="590">
      <c r="B590" s="139"/>
      <c r="C590" s="139"/>
      <c r="D590" s="139"/>
      <c r="F590" s="220"/>
    </row>
    <row r="591">
      <c r="B591" s="139"/>
      <c r="C591" s="139"/>
      <c r="D591" s="139"/>
      <c r="F591" s="220"/>
    </row>
    <row r="592">
      <c r="B592" s="139"/>
      <c r="C592" s="139"/>
      <c r="D592" s="139"/>
      <c r="F592" s="220"/>
    </row>
    <row r="593">
      <c r="B593" s="139"/>
      <c r="C593" s="139"/>
      <c r="D593" s="139"/>
      <c r="F593" s="220"/>
    </row>
    <row r="594">
      <c r="B594" s="139"/>
      <c r="C594" s="139"/>
      <c r="D594" s="139"/>
      <c r="F594" s="220"/>
    </row>
    <row r="595">
      <c r="B595" s="139"/>
      <c r="C595" s="139"/>
      <c r="D595" s="139"/>
      <c r="F595" s="220"/>
    </row>
    <row r="596">
      <c r="B596" s="139"/>
      <c r="C596" s="139"/>
      <c r="D596" s="139"/>
      <c r="F596" s="220"/>
    </row>
    <row r="597">
      <c r="B597" s="139"/>
      <c r="C597" s="139"/>
      <c r="D597" s="139"/>
      <c r="F597" s="220"/>
    </row>
    <row r="598">
      <c r="B598" s="139"/>
      <c r="C598" s="139"/>
      <c r="D598" s="139"/>
      <c r="F598" s="220"/>
    </row>
    <row r="599">
      <c r="B599" s="139"/>
      <c r="C599" s="139"/>
      <c r="D599" s="139"/>
      <c r="F599" s="220"/>
    </row>
    <row r="600">
      <c r="B600" s="139"/>
      <c r="C600" s="139"/>
      <c r="D600" s="139"/>
      <c r="F600" s="220"/>
    </row>
    <row r="601">
      <c r="B601" s="139"/>
      <c r="C601" s="139"/>
      <c r="D601" s="139"/>
      <c r="F601" s="220"/>
    </row>
    <row r="602">
      <c r="B602" s="139"/>
      <c r="C602" s="139"/>
      <c r="D602" s="139"/>
      <c r="F602" s="220"/>
    </row>
    <row r="603">
      <c r="B603" s="139"/>
      <c r="C603" s="139"/>
      <c r="D603" s="139"/>
      <c r="F603" s="220"/>
    </row>
    <row r="604">
      <c r="B604" s="139"/>
      <c r="C604" s="139"/>
      <c r="D604" s="139"/>
      <c r="F604" s="220"/>
    </row>
    <row r="605">
      <c r="B605" s="139"/>
      <c r="C605" s="139"/>
      <c r="D605" s="139"/>
      <c r="F605" s="220"/>
    </row>
    <row r="606">
      <c r="B606" s="139"/>
      <c r="C606" s="139"/>
      <c r="D606" s="139"/>
      <c r="F606" s="220"/>
    </row>
    <row r="607">
      <c r="B607" s="139"/>
      <c r="C607" s="139"/>
      <c r="D607" s="139"/>
      <c r="F607" s="220"/>
    </row>
    <row r="608">
      <c r="B608" s="139"/>
      <c r="C608" s="139"/>
      <c r="D608" s="139"/>
      <c r="F608" s="220"/>
    </row>
    <row r="609">
      <c r="B609" s="139"/>
      <c r="C609" s="139"/>
      <c r="D609" s="139"/>
      <c r="F609" s="220"/>
    </row>
    <row r="610">
      <c r="B610" s="139"/>
      <c r="C610" s="139"/>
      <c r="D610" s="139"/>
      <c r="F610" s="220"/>
    </row>
    <row r="611">
      <c r="B611" s="139"/>
      <c r="C611" s="139"/>
      <c r="D611" s="139"/>
      <c r="F611" s="220"/>
    </row>
    <row r="612">
      <c r="B612" s="139"/>
      <c r="C612" s="139"/>
      <c r="D612" s="139"/>
      <c r="F612" s="220"/>
    </row>
    <row r="613">
      <c r="B613" s="139"/>
      <c r="C613" s="139"/>
      <c r="D613" s="139"/>
      <c r="F613" s="220"/>
    </row>
    <row r="614">
      <c r="B614" s="139"/>
      <c r="C614" s="139"/>
      <c r="D614" s="139"/>
      <c r="F614" s="220"/>
    </row>
    <row r="615">
      <c r="B615" s="139"/>
      <c r="C615" s="139"/>
      <c r="D615" s="139"/>
      <c r="F615" s="220"/>
    </row>
    <row r="616">
      <c r="B616" s="139"/>
      <c r="C616" s="139"/>
      <c r="D616" s="139"/>
      <c r="F616" s="220"/>
    </row>
    <row r="617">
      <c r="B617" s="139"/>
      <c r="C617" s="139"/>
      <c r="D617" s="139"/>
      <c r="F617" s="220"/>
    </row>
    <row r="618">
      <c r="B618" s="139"/>
      <c r="C618" s="139"/>
      <c r="D618" s="139"/>
      <c r="F618" s="220"/>
    </row>
    <row r="619">
      <c r="B619" s="139"/>
      <c r="C619" s="139"/>
      <c r="D619" s="139"/>
      <c r="F619" s="220"/>
    </row>
    <row r="620">
      <c r="B620" s="139"/>
      <c r="C620" s="139"/>
      <c r="D620" s="139"/>
      <c r="F620" s="220"/>
    </row>
    <row r="621">
      <c r="B621" s="139"/>
      <c r="C621" s="139"/>
      <c r="D621" s="139"/>
      <c r="F621" s="220"/>
    </row>
    <row r="622">
      <c r="B622" s="139"/>
      <c r="C622" s="139"/>
      <c r="D622" s="139"/>
      <c r="F622" s="220"/>
    </row>
    <row r="623">
      <c r="B623" s="139"/>
      <c r="C623" s="139"/>
      <c r="D623" s="139"/>
      <c r="F623" s="220"/>
    </row>
    <row r="624">
      <c r="B624" s="139"/>
      <c r="C624" s="139"/>
      <c r="D624" s="139"/>
      <c r="F624" s="220"/>
    </row>
    <row r="625">
      <c r="B625" s="139"/>
      <c r="C625" s="139"/>
      <c r="D625" s="139"/>
      <c r="F625" s="220"/>
    </row>
    <row r="626">
      <c r="B626" s="139"/>
      <c r="C626" s="139"/>
      <c r="D626" s="139"/>
      <c r="F626" s="220"/>
    </row>
    <row r="627">
      <c r="B627" s="139"/>
      <c r="C627" s="139"/>
      <c r="D627" s="139"/>
      <c r="F627" s="220"/>
    </row>
    <row r="628">
      <c r="B628" s="139"/>
      <c r="C628" s="139"/>
      <c r="D628" s="139"/>
      <c r="F628" s="220"/>
    </row>
    <row r="629">
      <c r="B629" s="139"/>
      <c r="C629" s="139"/>
      <c r="D629" s="139"/>
      <c r="F629" s="220"/>
    </row>
    <row r="630">
      <c r="B630" s="139"/>
      <c r="C630" s="139"/>
      <c r="D630" s="139"/>
      <c r="F630" s="220"/>
    </row>
    <row r="631">
      <c r="B631" s="139"/>
      <c r="C631" s="139"/>
      <c r="D631" s="139"/>
      <c r="F631" s="220"/>
    </row>
    <row r="632">
      <c r="B632" s="139"/>
      <c r="C632" s="139"/>
      <c r="D632" s="139"/>
      <c r="F632" s="220"/>
    </row>
    <row r="633">
      <c r="B633" s="139"/>
      <c r="C633" s="139"/>
      <c r="D633" s="139"/>
      <c r="F633" s="220"/>
    </row>
    <row r="634">
      <c r="B634" s="139"/>
      <c r="C634" s="139"/>
      <c r="D634" s="139"/>
      <c r="F634" s="220"/>
    </row>
    <row r="635">
      <c r="B635" s="139"/>
      <c r="C635" s="139"/>
      <c r="D635" s="139"/>
      <c r="F635" s="220"/>
    </row>
    <row r="636">
      <c r="B636" s="139"/>
      <c r="C636" s="139"/>
      <c r="D636" s="139"/>
      <c r="F636" s="220"/>
    </row>
    <row r="637">
      <c r="B637" s="139"/>
      <c r="C637" s="139"/>
      <c r="D637" s="139"/>
      <c r="F637" s="220"/>
    </row>
    <row r="638">
      <c r="B638" s="139"/>
      <c r="C638" s="139"/>
      <c r="D638" s="139"/>
      <c r="F638" s="220"/>
    </row>
    <row r="639">
      <c r="B639" s="139"/>
      <c r="C639" s="139"/>
      <c r="D639" s="139"/>
      <c r="F639" s="220"/>
    </row>
    <row r="640">
      <c r="B640" s="139"/>
      <c r="C640" s="139"/>
      <c r="D640" s="139"/>
      <c r="F640" s="220"/>
    </row>
    <row r="641">
      <c r="B641" s="139"/>
      <c r="C641" s="139"/>
      <c r="D641" s="139"/>
      <c r="F641" s="220"/>
    </row>
    <row r="642">
      <c r="B642" s="139"/>
      <c r="C642" s="139"/>
      <c r="D642" s="139"/>
      <c r="F642" s="220"/>
    </row>
    <row r="643">
      <c r="B643" s="139"/>
      <c r="C643" s="139"/>
      <c r="D643" s="139"/>
      <c r="F643" s="220"/>
    </row>
    <row r="644">
      <c r="B644" s="139"/>
      <c r="C644" s="139"/>
      <c r="D644" s="139"/>
      <c r="F644" s="220"/>
    </row>
    <row r="645">
      <c r="B645" s="139"/>
      <c r="C645" s="139"/>
      <c r="D645" s="139"/>
      <c r="F645" s="220"/>
    </row>
    <row r="646">
      <c r="B646" s="139"/>
      <c r="C646" s="139"/>
      <c r="D646" s="139"/>
      <c r="F646" s="220"/>
    </row>
    <row r="647">
      <c r="B647" s="139"/>
      <c r="C647" s="139"/>
      <c r="D647" s="139"/>
      <c r="F647" s="220"/>
    </row>
    <row r="648">
      <c r="B648" s="139"/>
      <c r="C648" s="139"/>
      <c r="D648" s="139"/>
      <c r="F648" s="220"/>
    </row>
    <row r="649">
      <c r="B649" s="139"/>
      <c r="C649" s="139"/>
      <c r="D649" s="139"/>
      <c r="F649" s="220"/>
    </row>
    <row r="650">
      <c r="B650" s="139"/>
      <c r="C650" s="139"/>
      <c r="D650" s="139"/>
      <c r="F650" s="220"/>
    </row>
    <row r="651">
      <c r="B651" s="139"/>
      <c r="C651" s="139"/>
      <c r="D651" s="139"/>
      <c r="F651" s="220"/>
    </row>
    <row r="652">
      <c r="B652" s="139"/>
      <c r="C652" s="139"/>
      <c r="D652" s="139"/>
      <c r="F652" s="220"/>
    </row>
    <row r="653">
      <c r="B653" s="139"/>
      <c r="C653" s="139"/>
      <c r="D653" s="139"/>
      <c r="F653" s="220"/>
    </row>
    <row r="654">
      <c r="B654" s="139"/>
      <c r="C654" s="139"/>
      <c r="D654" s="139"/>
      <c r="F654" s="220"/>
    </row>
    <row r="655">
      <c r="B655" s="139"/>
      <c r="C655" s="139"/>
      <c r="D655" s="139"/>
      <c r="F655" s="220"/>
    </row>
    <row r="656">
      <c r="B656" s="139"/>
      <c r="C656" s="139"/>
      <c r="D656" s="139"/>
      <c r="F656" s="220"/>
    </row>
    <row r="657">
      <c r="B657" s="139"/>
      <c r="C657" s="139"/>
      <c r="D657" s="139"/>
      <c r="F657" s="220"/>
    </row>
    <row r="658">
      <c r="B658" s="139"/>
      <c r="C658" s="139"/>
      <c r="D658" s="139"/>
      <c r="F658" s="220"/>
    </row>
    <row r="659">
      <c r="B659" s="139"/>
      <c r="C659" s="139"/>
      <c r="D659" s="139"/>
      <c r="F659" s="220"/>
    </row>
    <row r="660">
      <c r="B660" s="139"/>
      <c r="C660" s="139"/>
      <c r="D660" s="139"/>
      <c r="F660" s="220"/>
    </row>
    <row r="661">
      <c r="B661" s="139"/>
      <c r="C661" s="139"/>
      <c r="D661" s="139"/>
      <c r="F661" s="220"/>
    </row>
    <row r="662">
      <c r="B662" s="139"/>
      <c r="C662" s="139"/>
      <c r="D662" s="139"/>
      <c r="F662" s="220"/>
    </row>
    <row r="663">
      <c r="B663" s="139"/>
      <c r="C663" s="139"/>
      <c r="D663" s="139"/>
      <c r="F663" s="220"/>
    </row>
    <row r="664">
      <c r="B664" s="139"/>
      <c r="C664" s="139"/>
      <c r="D664" s="139"/>
      <c r="F664" s="220"/>
    </row>
    <row r="665">
      <c r="B665" s="139"/>
      <c r="C665" s="139"/>
      <c r="D665" s="139"/>
      <c r="F665" s="220"/>
    </row>
    <row r="666">
      <c r="B666" s="139"/>
      <c r="C666" s="139"/>
      <c r="D666" s="139"/>
      <c r="F666" s="220"/>
    </row>
    <row r="667">
      <c r="B667" s="139"/>
      <c r="C667" s="139"/>
      <c r="D667" s="139"/>
      <c r="F667" s="220"/>
    </row>
    <row r="668">
      <c r="B668" s="139"/>
      <c r="C668" s="139"/>
      <c r="D668" s="139"/>
      <c r="F668" s="220"/>
    </row>
    <row r="669">
      <c r="B669" s="139"/>
      <c r="C669" s="139"/>
      <c r="D669" s="139"/>
      <c r="F669" s="220"/>
    </row>
    <row r="670">
      <c r="B670" s="139"/>
      <c r="C670" s="139"/>
      <c r="D670" s="139"/>
      <c r="F670" s="220"/>
    </row>
    <row r="671">
      <c r="B671" s="139"/>
      <c r="C671" s="139"/>
      <c r="D671" s="139"/>
      <c r="F671" s="220"/>
    </row>
    <row r="672">
      <c r="B672" s="139"/>
      <c r="C672" s="139"/>
      <c r="D672" s="139"/>
      <c r="F672" s="220"/>
    </row>
    <row r="673">
      <c r="B673" s="139"/>
      <c r="C673" s="139"/>
      <c r="D673" s="139"/>
      <c r="F673" s="220"/>
    </row>
    <row r="674">
      <c r="B674" s="139"/>
      <c r="C674" s="139"/>
      <c r="D674" s="139"/>
      <c r="F674" s="220"/>
    </row>
    <row r="675">
      <c r="B675" s="139"/>
      <c r="C675" s="139"/>
      <c r="D675" s="139"/>
      <c r="F675" s="220"/>
    </row>
    <row r="676">
      <c r="B676" s="139"/>
      <c r="C676" s="139"/>
      <c r="D676" s="139"/>
      <c r="F676" s="220"/>
    </row>
    <row r="677">
      <c r="B677" s="139"/>
      <c r="C677" s="139"/>
      <c r="D677" s="139"/>
      <c r="F677" s="220"/>
    </row>
    <row r="678">
      <c r="B678" s="139"/>
      <c r="C678" s="139"/>
      <c r="D678" s="139"/>
      <c r="F678" s="220"/>
    </row>
    <row r="679">
      <c r="B679" s="139"/>
      <c r="C679" s="139"/>
      <c r="D679" s="139"/>
      <c r="F679" s="220"/>
    </row>
    <row r="680">
      <c r="B680" s="139"/>
      <c r="C680" s="139"/>
      <c r="D680" s="139"/>
      <c r="F680" s="220"/>
    </row>
    <row r="681">
      <c r="B681" s="139"/>
      <c r="C681" s="139"/>
      <c r="D681" s="139"/>
      <c r="F681" s="220"/>
    </row>
    <row r="682">
      <c r="B682" s="139"/>
      <c r="C682" s="139"/>
      <c r="D682" s="139"/>
      <c r="F682" s="220"/>
    </row>
    <row r="683">
      <c r="B683" s="139"/>
      <c r="C683" s="139"/>
      <c r="D683" s="139"/>
      <c r="F683" s="220"/>
    </row>
    <row r="684">
      <c r="B684" s="139"/>
      <c r="C684" s="139"/>
      <c r="D684" s="139"/>
      <c r="F684" s="220"/>
    </row>
    <row r="685">
      <c r="B685" s="139"/>
      <c r="C685" s="139"/>
      <c r="D685" s="139"/>
      <c r="F685" s="220"/>
    </row>
    <row r="686">
      <c r="B686" s="139"/>
      <c r="C686" s="139"/>
      <c r="D686" s="139"/>
      <c r="F686" s="220"/>
    </row>
    <row r="687">
      <c r="B687" s="139"/>
      <c r="C687" s="139"/>
      <c r="D687" s="139"/>
      <c r="F687" s="220"/>
    </row>
    <row r="688">
      <c r="B688" s="139"/>
      <c r="C688" s="139"/>
      <c r="D688" s="139"/>
      <c r="F688" s="220"/>
    </row>
    <row r="689">
      <c r="B689" s="139"/>
      <c r="C689" s="139"/>
      <c r="D689" s="139"/>
      <c r="F689" s="220"/>
    </row>
    <row r="690">
      <c r="B690" s="139"/>
      <c r="C690" s="139"/>
      <c r="D690" s="139"/>
      <c r="F690" s="220"/>
    </row>
    <row r="691">
      <c r="B691" s="139"/>
      <c r="C691" s="139"/>
      <c r="D691" s="139"/>
      <c r="F691" s="220"/>
    </row>
    <row r="692">
      <c r="B692" s="139"/>
      <c r="C692" s="139"/>
      <c r="D692" s="139"/>
      <c r="F692" s="220"/>
    </row>
    <row r="693">
      <c r="B693" s="139"/>
      <c r="C693" s="139"/>
      <c r="D693" s="139"/>
      <c r="F693" s="220"/>
    </row>
    <row r="694">
      <c r="B694" s="139"/>
      <c r="C694" s="139"/>
      <c r="D694" s="139"/>
      <c r="F694" s="220"/>
    </row>
    <row r="695">
      <c r="B695" s="139"/>
      <c r="C695" s="139"/>
      <c r="D695" s="139"/>
      <c r="F695" s="220"/>
    </row>
    <row r="696">
      <c r="B696" s="139"/>
      <c r="C696" s="139"/>
      <c r="D696" s="139"/>
      <c r="F696" s="220"/>
    </row>
    <row r="697">
      <c r="B697" s="139"/>
      <c r="C697" s="139"/>
      <c r="D697" s="139"/>
      <c r="F697" s="220"/>
    </row>
    <row r="698">
      <c r="B698" s="139"/>
      <c r="C698" s="139"/>
      <c r="D698" s="139"/>
      <c r="F698" s="220"/>
    </row>
    <row r="699">
      <c r="B699" s="139"/>
      <c r="C699" s="139"/>
      <c r="D699" s="139"/>
      <c r="F699" s="220"/>
    </row>
    <row r="700">
      <c r="B700" s="139"/>
      <c r="C700" s="139"/>
      <c r="D700" s="139"/>
      <c r="F700" s="220"/>
    </row>
    <row r="701">
      <c r="B701" s="139"/>
      <c r="C701" s="139"/>
      <c r="D701" s="139"/>
      <c r="F701" s="220"/>
    </row>
    <row r="702">
      <c r="B702" s="139"/>
      <c r="C702" s="139"/>
      <c r="D702" s="139"/>
      <c r="F702" s="220"/>
    </row>
    <row r="703">
      <c r="B703" s="139"/>
      <c r="C703" s="139"/>
      <c r="D703" s="139"/>
      <c r="F703" s="220"/>
    </row>
    <row r="704">
      <c r="B704" s="139"/>
      <c r="C704" s="139"/>
      <c r="D704" s="139"/>
      <c r="F704" s="220"/>
    </row>
    <row r="705">
      <c r="B705" s="139"/>
      <c r="C705" s="139"/>
      <c r="D705" s="139"/>
      <c r="F705" s="220"/>
    </row>
    <row r="706">
      <c r="B706" s="139"/>
      <c r="C706" s="139"/>
      <c r="D706" s="139"/>
      <c r="F706" s="220"/>
    </row>
    <row r="707">
      <c r="B707" s="139"/>
      <c r="C707" s="139"/>
      <c r="D707" s="139"/>
      <c r="F707" s="220"/>
    </row>
    <row r="708">
      <c r="B708" s="139"/>
      <c r="C708" s="139"/>
      <c r="D708" s="139"/>
      <c r="F708" s="220"/>
    </row>
    <row r="709">
      <c r="B709" s="139"/>
      <c r="C709" s="139"/>
      <c r="D709" s="139"/>
      <c r="F709" s="220"/>
    </row>
    <row r="710">
      <c r="B710" s="139"/>
      <c r="C710" s="139"/>
      <c r="D710" s="139"/>
      <c r="F710" s="220"/>
    </row>
    <row r="711">
      <c r="B711" s="139"/>
      <c r="C711" s="139"/>
      <c r="D711" s="139"/>
      <c r="F711" s="220"/>
    </row>
    <row r="712">
      <c r="B712" s="139"/>
      <c r="C712" s="139"/>
      <c r="D712" s="139"/>
      <c r="F712" s="220"/>
    </row>
    <row r="713">
      <c r="B713" s="139"/>
      <c r="C713" s="139"/>
      <c r="D713" s="139"/>
      <c r="F713" s="220"/>
    </row>
    <row r="714">
      <c r="B714" s="139"/>
      <c r="C714" s="139"/>
      <c r="D714" s="139"/>
      <c r="F714" s="220"/>
    </row>
    <row r="715">
      <c r="B715" s="139"/>
      <c r="C715" s="139"/>
      <c r="D715" s="139"/>
      <c r="F715" s="220"/>
    </row>
    <row r="716">
      <c r="B716" s="139"/>
      <c r="C716" s="139"/>
      <c r="D716" s="139"/>
      <c r="F716" s="220"/>
    </row>
    <row r="717">
      <c r="B717" s="139"/>
      <c r="C717" s="139"/>
      <c r="D717" s="139"/>
      <c r="F717" s="220"/>
    </row>
    <row r="718">
      <c r="B718" s="139"/>
      <c r="C718" s="139"/>
      <c r="D718" s="139"/>
      <c r="F718" s="220"/>
    </row>
    <row r="719">
      <c r="B719" s="139"/>
      <c r="C719" s="139"/>
      <c r="D719" s="139"/>
      <c r="F719" s="220"/>
    </row>
    <row r="720">
      <c r="B720" s="139"/>
      <c r="C720" s="139"/>
      <c r="D720" s="139"/>
      <c r="F720" s="220"/>
    </row>
    <row r="721">
      <c r="B721" s="139"/>
      <c r="C721" s="139"/>
      <c r="D721" s="139"/>
      <c r="F721" s="220"/>
    </row>
    <row r="722">
      <c r="B722" s="139"/>
      <c r="C722" s="139"/>
      <c r="D722" s="139"/>
      <c r="F722" s="220"/>
    </row>
    <row r="723">
      <c r="B723" s="139"/>
      <c r="C723" s="139"/>
      <c r="D723" s="139"/>
      <c r="F723" s="220"/>
    </row>
    <row r="724">
      <c r="B724" s="139"/>
      <c r="C724" s="139"/>
      <c r="D724" s="139"/>
      <c r="F724" s="220"/>
    </row>
    <row r="725">
      <c r="B725" s="139"/>
      <c r="C725" s="139"/>
      <c r="D725" s="139"/>
      <c r="F725" s="220"/>
    </row>
    <row r="726">
      <c r="B726" s="139"/>
      <c r="C726" s="139"/>
      <c r="D726" s="139"/>
      <c r="F726" s="220"/>
    </row>
    <row r="727">
      <c r="B727" s="139"/>
      <c r="C727" s="139"/>
      <c r="D727" s="139"/>
      <c r="F727" s="220"/>
    </row>
    <row r="728">
      <c r="B728" s="139"/>
      <c r="C728" s="139"/>
      <c r="D728" s="139"/>
      <c r="F728" s="220"/>
    </row>
    <row r="729">
      <c r="B729" s="139"/>
      <c r="C729" s="139"/>
      <c r="D729" s="139"/>
      <c r="F729" s="220"/>
    </row>
    <row r="730">
      <c r="B730" s="139"/>
      <c r="C730" s="139"/>
      <c r="D730" s="139"/>
      <c r="F730" s="220"/>
    </row>
    <row r="731">
      <c r="B731" s="139"/>
      <c r="C731" s="139"/>
      <c r="D731" s="139"/>
      <c r="F731" s="220"/>
    </row>
    <row r="732">
      <c r="B732" s="139"/>
      <c r="C732" s="139"/>
      <c r="D732" s="139"/>
      <c r="F732" s="220"/>
    </row>
    <row r="733">
      <c r="B733" s="139"/>
      <c r="C733" s="139"/>
      <c r="D733" s="139"/>
      <c r="F733" s="220"/>
    </row>
    <row r="734">
      <c r="B734" s="139"/>
      <c r="C734" s="139"/>
      <c r="D734" s="139"/>
      <c r="F734" s="220"/>
    </row>
    <row r="735">
      <c r="B735" s="139"/>
      <c r="C735" s="139"/>
      <c r="D735" s="139"/>
      <c r="F735" s="220"/>
    </row>
    <row r="736">
      <c r="B736" s="139"/>
      <c r="C736" s="139"/>
      <c r="D736" s="139"/>
      <c r="F736" s="220"/>
    </row>
    <row r="737">
      <c r="B737" s="139"/>
      <c r="C737" s="139"/>
      <c r="D737" s="139"/>
      <c r="F737" s="220"/>
    </row>
    <row r="738">
      <c r="B738" s="139"/>
      <c r="C738" s="139"/>
      <c r="D738" s="139"/>
      <c r="F738" s="220"/>
    </row>
    <row r="739">
      <c r="B739" s="139"/>
      <c r="C739" s="139"/>
      <c r="D739" s="139"/>
      <c r="F739" s="220"/>
    </row>
    <row r="740">
      <c r="B740" s="139"/>
      <c r="C740" s="139"/>
      <c r="D740" s="139"/>
      <c r="F740" s="220"/>
    </row>
    <row r="741">
      <c r="B741" s="139"/>
      <c r="C741" s="139"/>
      <c r="D741" s="139"/>
      <c r="F741" s="220"/>
    </row>
    <row r="742">
      <c r="B742" s="139"/>
      <c r="C742" s="139"/>
      <c r="D742" s="139"/>
      <c r="F742" s="220"/>
    </row>
    <row r="743">
      <c r="B743" s="139"/>
      <c r="C743" s="139"/>
      <c r="D743" s="139"/>
      <c r="F743" s="220"/>
    </row>
    <row r="744">
      <c r="B744" s="139"/>
      <c r="C744" s="139"/>
      <c r="D744" s="139"/>
      <c r="F744" s="220"/>
    </row>
    <row r="745">
      <c r="B745" s="139"/>
      <c r="C745" s="139"/>
      <c r="D745" s="139"/>
      <c r="F745" s="220"/>
    </row>
    <row r="746">
      <c r="B746" s="139"/>
      <c r="C746" s="139"/>
      <c r="D746" s="139"/>
      <c r="F746" s="220"/>
    </row>
    <row r="747">
      <c r="B747" s="139"/>
      <c r="C747" s="139"/>
      <c r="D747" s="139"/>
      <c r="F747" s="220"/>
    </row>
    <row r="748">
      <c r="B748" s="139"/>
      <c r="C748" s="139"/>
      <c r="D748" s="139"/>
      <c r="F748" s="220"/>
    </row>
    <row r="749">
      <c r="B749" s="139"/>
      <c r="C749" s="139"/>
      <c r="D749" s="139"/>
      <c r="F749" s="220"/>
    </row>
    <row r="750">
      <c r="B750" s="139"/>
      <c r="C750" s="139"/>
      <c r="D750" s="139"/>
      <c r="F750" s="220"/>
    </row>
    <row r="751">
      <c r="B751" s="139"/>
      <c r="C751" s="139"/>
      <c r="D751" s="139"/>
      <c r="F751" s="220"/>
    </row>
    <row r="752">
      <c r="B752" s="139"/>
      <c r="C752" s="139"/>
      <c r="D752" s="139"/>
      <c r="F752" s="220"/>
    </row>
    <row r="753">
      <c r="B753" s="139"/>
      <c r="C753" s="139"/>
      <c r="D753" s="139"/>
      <c r="F753" s="220"/>
    </row>
    <row r="754">
      <c r="B754" s="139"/>
      <c r="C754" s="139"/>
      <c r="D754" s="139"/>
      <c r="F754" s="220"/>
    </row>
    <row r="755">
      <c r="B755" s="139"/>
      <c r="C755" s="139"/>
      <c r="D755" s="139"/>
      <c r="F755" s="220"/>
    </row>
    <row r="756">
      <c r="B756" s="139"/>
      <c r="C756" s="139"/>
      <c r="D756" s="139"/>
      <c r="F756" s="220"/>
    </row>
    <row r="757">
      <c r="B757" s="139"/>
      <c r="C757" s="139"/>
      <c r="D757" s="139"/>
      <c r="F757" s="220"/>
    </row>
    <row r="758">
      <c r="B758" s="139"/>
      <c r="C758" s="139"/>
      <c r="D758" s="139"/>
      <c r="F758" s="220"/>
    </row>
    <row r="759">
      <c r="B759" s="139"/>
      <c r="C759" s="139"/>
      <c r="D759" s="139"/>
      <c r="F759" s="220"/>
    </row>
    <row r="760">
      <c r="B760" s="139"/>
      <c r="C760" s="139"/>
      <c r="D760" s="139"/>
      <c r="F760" s="220"/>
    </row>
    <row r="761">
      <c r="B761" s="139"/>
      <c r="C761" s="139"/>
      <c r="D761" s="139"/>
      <c r="F761" s="220"/>
    </row>
    <row r="762">
      <c r="B762" s="139"/>
      <c r="C762" s="139"/>
      <c r="D762" s="139"/>
      <c r="F762" s="220"/>
    </row>
    <row r="763">
      <c r="B763" s="139"/>
      <c r="C763" s="139"/>
      <c r="D763" s="139"/>
      <c r="F763" s="220"/>
    </row>
    <row r="764">
      <c r="B764" s="139"/>
      <c r="C764" s="139"/>
      <c r="D764" s="139"/>
      <c r="F764" s="220"/>
    </row>
    <row r="765">
      <c r="B765" s="139"/>
      <c r="C765" s="139"/>
      <c r="D765" s="139"/>
      <c r="F765" s="220"/>
    </row>
    <row r="766">
      <c r="B766" s="139"/>
      <c r="C766" s="139"/>
      <c r="D766" s="139"/>
      <c r="F766" s="220"/>
    </row>
    <row r="767">
      <c r="B767" s="139"/>
      <c r="C767" s="139"/>
      <c r="D767" s="139"/>
      <c r="F767" s="220"/>
    </row>
    <row r="768">
      <c r="B768" s="139"/>
      <c r="C768" s="139"/>
      <c r="D768" s="139"/>
      <c r="F768" s="220"/>
    </row>
    <row r="769">
      <c r="B769" s="139"/>
      <c r="C769" s="139"/>
      <c r="D769" s="139"/>
      <c r="F769" s="220"/>
    </row>
    <row r="770">
      <c r="B770" s="139"/>
      <c r="C770" s="139"/>
      <c r="D770" s="139"/>
      <c r="F770" s="220"/>
    </row>
    <row r="771">
      <c r="B771" s="139"/>
      <c r="C771" s="139"/>
      <c r="D771" s="139"/>
      <c r="F771" s="220"/>
    </row>
    <row r="772">
      <c r="B772" s="139"/>
      <c r="C772" s="139"/>
      <c r="D772" s="139"/>
      <c r="F772" s="220"/>
    </row>
    <row r="773">
      <c r="B773" s="139"/>
      <c r="C773" s="139"/>
      <c r="D773" s="139"/>
      <c r="F773" s="220"/>
    </row>
    <row r="774">
      <c r="B774" s="139"/>
      <c r="C774" s="139"/>
      <c r="D774" s="139"/>
      <c r="F774" s="220"/>
    </row>
    <row r="775">
      <c r="B775" s="139"/>
      <c r="C775" s="139"/>
      <c r="D775" s="139"/>
      <c r="F775" s="220"/>
    </row>
    <row r="776">
      <c r="B776" s="139"/>
      <c r="C776" s="139"/>
      <c r="D776" s="139"/>
      <c r="F776" s="220"/>
    </row>
    <row r="777">
      <c r="B777" s="139"/>
      <c r="C777" s="139"/>
      <c r="D777" s="139"/>
      <c r="F777" s="220"/>
    </row>
    <row r="778">
      <c r="B778" s="139"/>
      <c r="C778" s="139"/>
      <c r="D778" s="139"/>
      <c r="F778" s="220"/>
    </row>
    <row r="779">
      <c r="B779" s="139"/>
      <c r="C779" s="139"/>
      <c r="D779" s="139"/>
      <c r="F779" s="220"/>
    </row>
    <row r="780">
      <c r="B780" s="139"/>
      <c r="C780" s="139"/>
      <c r="D780" s="139"/>
      <c r="F780" s="220"/>
    </row>
    <row r="781">
      <c r="B781" s="139"/>
      <c r="C781" s="139"/>
      <c r="D781" s="139"/>
      <c r="F781" s="220"/>
    </row>
    <row r="782">
      <c r="B782" s="139"/>
      <c r="C782" s="139"/>
      <c r="D782" s="139"/>
      <c r="F782" s="220"/>
    </row>
    <row r="783">
      <c r="B783" s="139"/>
      <c r="C783" s="139"/>
      <c r="D783" s="139"/>
      <c r="F783" s="220"/>
    </row>
    <row r="784">
      <c r="B784" s="139"/>
      <c r="C784" s="139"/>
      <c r="D784" s="139"/>
      <c r="F784" s="220"/>
    </row>
    <row r="785">
      <c r="B785" s="139"/>
      <c r="C785" s="139"/>
      <c r="D785" s="139"/>
      <c r="F785" s="220"/>
    </row>
    <row r="786">
      <c r="B786" s="139"/>
      <c r="C786" s="139"/>
      <c r="D786" s="139"/>
      <c r="F786" s="220"/>
    </row>
    <row r="787">
      <c r="B787" s="139"/>
      <c r="C787" s="139"/>
      <c r="D787" s="139"/>
      <c r="F787" s="220"/>
    </row>
    <row r="788">
      <c r="B788" s="139"/>
      <c r="C788" s="139"/>
      <c r="D788" s="139"/>
      <c r="F788" s="220"/>
    </row>
    <row r="789">
      <c r="B789" s="139"/>
      <c r="C789" s="139"/>
      <c r="D789" s="139"/>
      <c r="F789" s="220"/>
    </row>
    <row r="790">
      <c r="B790" s="139"/>
      <c r="C790" s="139"/>
      <c r="D790" s="139"/>
      <c r="F790" s="220"/>
    </row>
    <row r="791">
      <c r="B791" s="139"/>
      <c r="C791" s="139"/>
      <c r="D791" s="139"/>
      <c r="F791" s="220"/>
    </row>
    <row r="792">
      <c r="B792" s="139"/>
      <c r="C792" s="139"/>
      <c r="D792" s="139"/>
      <c r="F792" s="220"/>
    </row>
    <row r="793">
      <c r="B793" s="139"/>
      <c r="C793" s="139"/>
      <c r="D793" s="139"/>
      <c r="F793" s="220"/>
    </row>
    <row r="794">
      <c r="B794" s="139"/>
      <c r="C794" s="139"/>
      <c r="D794" s="139"/>
      <c r="F794" s="220"/>
    </row>
    <row r="795">
      <c r="B795" s="139"/>
      <c r="C795" s="139"/>
      <c r="D795" s="139"/>
      <c r="F795" s="220"/>
    </row>
    <row r="796">
      <c r="B796" s="139"/>
      <c r="C796" s="139"/>
      <c r="D796" s="139"/>
      <c r="F796" s="220"/>
    </row>
    <row r="797">
      <c r="B797" s="139"/>
      <c r="C797" s="139"/>
      <c r="D797" s="139"/>
      <c r="F797" s="220"/>
    </row>
    <row r="798">
      <c r="B798" s="139"/>
      <c r="C798" s="139"/>
      <c r="D798" s="139"/>
      <c r="F798" s="220"/>
    </row>
    <row r="799">
      <c r="B799" s="139"/>
      <c r="C799" s="139"/>
      <c r="D799" s="139"/>
      <c r="F799" s="220"/>
    </row>
    <row r="800">
      <c r="B800" s="139"/>
      <c r="C800" s="139"/>
      <c r="D800" s="139"/>
      <c r="F800" s="220"/>
    </row>
    <row r="801">
      <c r="B801" s="139"/>
      <c r="C801" s="139"/>
      <c r="D801" s="139"/>
      <c r="F801" s="220"/>
    </row>
    <row r="802">
      <c r="B802" s="139"/>
      <c r="C802" s="139"/>
      <c r="D802" s="139"/>
      <c r="F802" s="220"/>
    </row>
    <row r="803">
      <c r="B803" s="139"/>
      <c r="C803" s="139"/>
      <c r="D803" s="139"/>
      <c r="F803" s="220"/>
    </row>
    <row r="804">
      <c r="B804" s="139"/>
      <c r="C804" s="139"/>
      <c r="D804" s="139"/>
      <c r="F804" s="220"/>
    </row>
    <row r="805">
      <c r="B805" s="139"/>
      <c r="C805" s="139"/>
      <c r="D805" s="139"/>
      <c r="F805" s="220"/>
    </row>
    <row r="806">
      <c r="B806" s="139"/>
      <c r="C806" s="139"/>
      <c r="D806" s="139"/>
      <c r="F806" s="220"/>
    </row>
    <row r="807">
      <c r="B807" s="139"/>
      <c r="C807" s="139"/>
      <c r="D807" s="139"/>
      <c r="F807" s="220"/>
    </row>
    <row r="808">
      <c r="B808" s="139"/>
      <c r="C808" s="139"/>
      <c r="D808" s="139"/>
      <c r="F808" s="220"/>
    </row>
    <row r="809">
      <c r="B809" s="139"/>
      <c r="C809" s="139"/>
      <c r="D809" s="139"/>
      <c r="F809" s="220"/>
    </row>
    <row r="810">
      <c r="B810" s="139"/>
      <c r="C810" s="139"/>
      <c r="D810" s="139"/>
      <c r="F810" s="220"/>
    </row>
    <row r="811">
      <c r="B811" s="139"/>
      <c r="C811" s="139"/>
      <c r="D811" s="139"/>
      <c r="F811" s="220"/>
    </row>
    <row r="812">
      <c r="B812" s="139"/>
      <c r="C812" s="139"/>
      <c r="D812" s="139"/>
      <c r="F812" s="220"/>
    </row>
    <row r="813">
      <c r="B813" s="139"/>
      <c r="C813" s="139"/>
      <c r="D813" s="139"/>
      <c r="F813" s="220"/>
    </row>
    <row r="814">
      <c r="B814" s="139"/>
      <c r="C814" s="139"/>
      <c r="D814" s="139"/>
      <c r="F814" s="220"/>
    </row>
    <row r="815">
      <c r="B815" s="139"/>
      <c r="C815" s="139"/>
      <c r="D815" s="139"/>
      <c r="F815" s="220"/>
    </row>
    <row r="816">
      <c r="B816" s="139"/>
      <c r="C816" s="139"/>
      <c r="D816" s="139"/>
      <c r="F816" s="220"/>
    </row>
    <row r="817">
      <c r="B817" s="139"/>
      <c r="C817" s="139"/>
      <c r="D817" s="139"/>
      <c r="F817" s="220"/>
    </row>
    <row r="818">
      <c r="B818" s="139"/>
      <c r="C818" s="139"/>
      <c r="D818" s="139"/>
      <c r="F818" s="220"/>
    </row>
    <row r="819">
      <c r="B819" s="139"/>
      <c r="C819" s="139"/>
      <c r="D819" s="139"/>
      <c r="F819" s="220"/>
    </row>
    <row r="820">
      <c r="B820" s="139"/>
      <c r="C820" s="139"/>
      <c r="D820" s="139"/>
      <c r="F820" s="220"/>
    </row>
    <row r="821">
      <c r="B821" s="139"/>
      <c r="C821" s="139"/>
      <c r="D821" s="139"/>
      <c r="F821" s="220"/>
    </row>
    <row r="822">
      <c r="B822" s="139"/>
      <c r="C822" s="139"/>
      <c r="D822" s="139"/>
      <c r="F822" s="220"/>
    </row>
    <row r="823">
      <c r="B823" s="139"/>
      <c r="C823" s="139"/>
      <c r="D823" s="139"/>
      <c r="F823" s="220"/>
    </row>
    <row r="824">
      <c r="B824" s="139"/>
      <c r="C824" s="139"/>
      <c r="D824" s="139"/>
      <c r="F824" s="220"/>
    </row>
    <row r="825">
      <c r="B825" s="139"/>
      <c r="C825" s="139"/>
      <c r="D825" s="139"/>
      <c r="F825" s="220"/>
    </row>
    <row r="826">
      <c r="B826" s="139"/>
      <c r="C826" s="139"/>
      <c r="D826" s="139"/>
      <c r="F826" s="220"/>
    </row>
    <row r="827">
      <c r="B827" s="139"/>
      <c r="C827" s="139"/>
      <c r="D827" s="139"/>
      <c r="F827" s="220"/>
    </row>
    <row r="828">
      <c r="B828" s="139"/>
      <c r="C828" s="139"/>
      <c r="D828" s="139"/>
      <c r="F828" s="220"/>
    </row>
    <row r="829">
      <c r="B829" s="139"/>
      <c r="C829" s="139"/>
      <c r="D829" s="139"/>
      <c r="F829" s="220"/>
    </row>
    <row r="830">
      <c r="B830" s="139"/>
      <c r="C830" s="139"/>
      <c r="D830" s="139"/>
      <c r="F830" s="220"/>
    </row>
    <row r="831">
      <c r="B831" s="139"/>
      <c r="C831" s="139"/>
      <c r="D831" s="139"/>
      <c r="F831" s="220"/>
    </row>
    <row r="832">
      <c r="B832" s="139"/>
      <c r="C832" s="139"/>
      <c r="D832" s="139"/>
      <c r="F832" s="220"/>
    </row>
    <row r="833">
      <c r="B833" s="139"/>
      <c r="C833" s="139"/>
      <c r="D833" s="139"/>
      <c r="F833" s="220"/>
    </row>
    <row r="834">
      <c r="B834" s="139"/>
      <c r="C834" s="139"/>
      <c r="D834" s="139"/>
      <c r="F834" s="220"/>
    </row>
    <row r="835">
      <c r="B835" s="139"/>
      <c r="C835" s="139"/>
      <c r="D835" s="139"/>
      <c r="F835" s="220"/>
    </row>
    <row r="836">
      <c r="B836" s="139"/>
      <c r="C836" s="139"/>
      <c r="D836" s="139"/>
      <c r="F836" s="220"/>
    </row>
    <row r="837">
      <c r="B837" s="139"/>
      <c r="C837" s="139"/>
      <c r="D837" s="139"/>
      <c r="F837" s="220"/>
    </row>
    <row r="838">
      <c r="B838" s="139"/>
      <c r="C838" s="139"/>
      <c r="D838" s="139"/>
      <c r="F838" s="220"/>
    </row>
    <row r="839">
      <c r="B839" s="139"/>
      <c r="C839" s="139"/>
      <c r="D839" s="139"/>
      <c r="F839" s="220"/>
    </row>
    <row r="840">
      <c r="B840" s="139"/>
      <c r="C840" s="139"/>
      <c r="D840" s="139"/>
      <c r="F840" s="220"/>
    </row>
    <row r="841">
      <c r="B841" s="139"/>
      <c r="C841" s="139"/>
      <c r="D841" s="139"/>
      <c r="F841" s="220"/>
    </row>
    <row r="842">
      <c r="B842" s="139"/>
      <c r="C842" s="139"/>
      <c r="D842" s="139"/>
      <c r="F842" s="220"/>
    </row>
    <row r="843">
      <c r="B843" s="139"/>
      <c r="C843" s="139"/>
      <c r="D843" s="139"/>
      <c r="F843" s="220"/>
    </row>
    <row r="844">
      <c r="B844" s="139"/>
      <c r="C844" s="139"/>
      <c r="D844" s="139"/>
      <c r="F844" s="220"/>
    </row>
    <row r="845">
      <c r="B845" s="139"/>
      <c r="C845" s="139"/>
      <c r="D845" s="139"/>
      <c r="F845" s="220"/>
    </row>
    <row r="846">
      <c r="B846" s="139"/>
      <c r="C846" s="139"/>
      <c r="D846" s="139"/>
      <c r="F846" s="220"/>
    </row>
    <row r="847">
      <c r="B847" s="139"/>
      <c r="C847" s="139"/>
      <c r="D847" s="139"/>
      <c r="F847" s="220"/>
    </row>
    <row r="848">
      <c r="B848" s="139"/>
      <c r="C848" s="139"/>
      <c r="D848" s="139"/>
      <c r="F848" s="220"/>
    </row>
    <row r="849">
      <c r="B849" s="139"/>
      <c r="C849" s="139"/>
      <c r="D849" s="139"/>
      <c r="F849" s="220"/>
    </row>
    <row r="850">
      <c r="B850" s="139"/>
      <c r="C850" s="139"/>
      <c r="D850" s="139"/>
      <c r="F850" s="220"/>
    </row>
    <row r="851">
      <c r="B851" s="139"/>
      <c r="C851" s="139"/>
      <c r="D851" s="139"/>
      <c r="F851" s="220"/>
    </row>
    <row r="852">
      <c r="B852" s="139"/>
      <c r="C852" s="139"/>
      <c r="D852" s="139"/>
      <c r="F852" s="220"/>
    </row>
    <row r="853">
      <c r="B853" s="139"/>
      <c r="C853" s="139"/>
      <c r="D853" s="139"/>
      <c r="F853" s="220"/>
    </row>
    <row r="854">
      <c r="B854" s="139"/>
      <c r="C854" s="139"/>
      <c r="D854" s="139"/>
      <c r="F854" s="220"/>
    </row>
    <row r="855">
      <c r="B855" s="139"/>
      <c r="C855" s="139"/>
      <c r="D855" s="139"/>
      <c r="F855" s="220"/>
    </row>
    <row r="856">
      <c r="B856" s="139"/>
      <c r="C856" s="139"/>
      <c r="D856" s="139"/>
      <c r="F856" s="220"/>
    </row>
    <row r="857">
      <c r="B857" s="139"/>
      <c r="C857" s="139"/>
      <c r="D857" s="139"/>
      <c r="F857" s="220"/>
    </row>
    <row r="858">
      <c r="B858" s="139"/>
      <c r="C858" s="139"/>
      <c r="D858" s="139"/>
      <c r="F858" s="220"/>
    </row>
    <row r="859">
      <c r="B859" s="139"/>
      <c r="C859" s="139"/>
      <c r="D859" s="139"/>
      <c r="F859" s="220"/>
    </row>
    <row r="860">
      <c r="B860" s="139"/>
      <c r="C860" s="139"/>
      <c r="D860" s="139"/>
      <c r="F860" s="220"/>
    </row>
    <row r="861">
      <c r="B861" s="139"/>
      <c r="C861" s="139"/>
      <c r="D861" s="139"/>
      <c r="F861" s="220"/>
    </row>
    <row r="862">
      <c r="B862" s="139"/>
      <c r="C862" s="139"/>
      <c r="D862" s="139"/>
      <c r="F862" s="220"/>
    </row>
    <row r="863">
      <c r="B863" s="139"/>
      <c r="C863" s="139"/>
      <c r="D863" s="139"/>
      <c r="F863" s="220"/>
    </row>
    <row r="864">
      <c r="B864" s="139"/>
      <c r="C864" s="139"/>
      <c r="D864" s="139"/>
      <c r="F864" s="220"/>
    </row>
    <row r="865">
      <c r="B865" s="139"/>
      <c r="C865" s="139"/>
      <c r="D865" s="139"/>
      <c r="F865" s="220"/>
    </row>
    <row r="866">
      <c r="B866" s="139"/>
      <c r="C866" s="139"/>
      <c r="D866" s="139"/>
      <c r="F866" s="220"/>
    </row>
    <row r="867">
      <c r="B867" s="139"/>
      <c r="C867" s="139"/>
      <c r="D867" s="139"/>
      <c r="F867" s="220"/>
    </row>
    <row r="868">
      <c r="B868" s="139"/>
      <c r="C868" s="139"/>
      <c r="D868" s="139"/>
      <c r="F868" s="220"/>
    </row>
    <row r="869">
      <c r="B869" s="139"/>
      <c r="C869" s="139"/>
      <c r="D869" s="139"/>
      <c r="F869" s="220"/>
    </row>
    <row r="870">
      <c r="B870" s="139"/>
      <c r="C870" s="139"/>
      <c r="D870" s="139"/>
      <c r="F870" s="220"/>
    </row>
    <row r="871">
      <c r="B871" s="139"/>
      <c r="C871" s="139"/>
      <c r="D871" s="139"/>
      <c r="F871" s="220"/>
    </row>
    <row r="872">
      <c r="B872" s="139"/>
      <c r="C872" s="139"/>
      <c r="D872" s="139"/>
      <c r="F872" s="220"/>
    </row>
    <row r="873">
      <c r="B873" s="139"/>
      <c r="C873" s="139"/>
      <c r="D873" s="139"/>
      <c r="F873" s="220"/>
    </row>
    <row r="874">
      <c r="B874" s="139"/>
      <c r="C874" s="139"/>
      <c r="D874" s="139"/>
      <c r="F874" s="220"/>
    </row>
    <row r="875">
      <c r="B875" s="139"/>
      <c r="C875" s="139"/>
      <c r="D875" s="139"/>
      <c r="F875" s="220"/>
    </row>
    <row r="876">
      <c r="B876" s="139"/>
      <c r="C876" s="139"/>
      <c r="D876" s="139"/>
      <c r="F876" s="220"/>
    </row>
    <row r="877">
      <c r="B877" s="139"/>
      <c r="C877" s="139"/>
      <c r="D877" s="139"/>
      <c r="F877" s="220"/>
    </row>
    <row r="878">
      <c r="B878" s="139"/>
      <c r="C878" s="139"/>
      <c r="D878" s="139"/>
      <c r="F878" s="220"/>
    </row>
    <row r="879">
      <c r="B879" s="139"/>
      <c r="C879" s="139"/>
      <c r="D879" s="139"/>
      <c r="F879" s="220"/>
    </row>
    <row r="880">
      <c r="B880" s="139"/>
      <c r="C880" s="139"/>
      <c r="D880" s="139"/>
      <c r="F880" s="220"/>
    </row>
    <row r="881">
      <c r="B881" s="139"/>
      <c r="C881" s="139"/>
      <c r="D881" s="139"/>
      <c r="F881" s="220"/>
    </row>
    <row r="882">
      <c r="B882" s="139"/>
      <c r="C882" s="139"/>
      <c r="D882" s="139"/>
      <c r="F882" s="220"/>
    </row>
    <row r="883">
      <c r="B883" s="139"/>
      <c r="C883" s="139"/>
      <c r="D883" s="139"/>
      <c r="F883" s="220"/>
    </row>
    <row r="884">
      <c r="B884" s="139"/>
      <c r="C884" s="139"/>
      <c r="D884" s="139"/>
      <c r="F884" s="220"/>
    </row>
    <row r="885">
      <c r="B885" s="139"/>
      <c r="C885" s="139"/>
      <c r="D885" s="139"/>
      <c r="F885" s="220"/>
    </row>
    <row r="886">
      <c r="B886" s="139"/>
      <c r="C886" s="139"/>
      <c r="D886" s="139"/>
      <c r="F886" s="220"/>
    </row>
    <row r="887">
      <c r="B887" s="139"/>
      <c r="C887" s="139"/>
      <c r="D887" s="139"/>
      <c r="F887" s="220"/>
    </row>
    <row r="888">
      <c r="B888" s="139"/>
      <c r="C888" s="139"/>
      <c r="D888" s="139"/>
      <c r="F888" s="220"/>
    </row>
    <row r="889">
      <c r="B889" s="139"/>
      <c r="C889" s="139"/>
      <c r="D889" s="139"/>
      <c r="F889" s="220"/>
    </row>
    <row r="890">
      <c r="B890" s="139"/>
      <c r="C890" s="139"/>
      <c r="D890" s="139"/>
      <c r="F890" s="220"/>
    </row>
    <row r="891">
      <c r="B891" s="139"/>
      <c r="C891" s="139"/>
      <c r="D891" s="139"/>
      <c r="F891" s="220"/>
    </row>
    <row r="892">
      <c r="B892" s="139"/>
      <c r="C892" s="139"/>
      <c r="D892" s="139"/>
      <c r="F892" s="220"/>
    </row>
    <row r="893">
      <c r="B893" s="139"/>
      <c r="C893" s="139"/>
      <c r="D893" s="139"/>
      <c r="F893" s="220"/>
    </row>
    <row r="894">
      <c r="B894" s="139"/>
      <c r="C894" s="139"/>
      <c r="D894" s="139"/>
      <c r="F894" s="220"/>
    </row>
    <row r="895">
      <c r="B895" s="139"/>
      <c r="C895" s="139"/>
      <c r="D895" s="139"/>
      <c r="F895" s="220"/>
    </row>
    <row r="896">
      <c r="B896" s="139"/>
      <c r="C896" s="139"/>
      <c r="D896" s="139"/>
      <c r="F896" s="220"/>
    </row>
    <row r="897">
      <c r="B897" s="139"/>
      <c r="C897" s="139"/>
      <c r="D897" s="139"/>
      <c r="F897" s="220"/>
    </row>
    <row r="898">
      <c r="B898" s="139"/>
      <c r="C898" s="139"/>
      <c r="D898" s="139"/>
      <c r="F898" s="220"/>
    </row>
    <row r="899">
      <c r="B899" s="139"/>
      <c r="C899" s="139"/>
      <c r="D899" s="139"/>
      <c r="F899" s="220"/>
    </row>
    <row r="900">
      <c r="B900" s="139"/>
      <c r="C900" s="139"/>
      <c r="D900" s="139"/>
      <c r="F900" s="220"/>
    </row>
    <row r="901">
      <c r="B901" s="139"/>
      <c r="C901" s="139"/>
      <c r="D901" s="139"/>
      <c r="F901" s="220"/>
    </row>
    <row r="902">
      <c r="B902" s="139"/>
      <c r="C902" s="139"/>
      <c r="D902" s="139"/>
      <c r="F902" s="220"/>
    </row>
    <row r="903">
      <c r="B903" s="139"/>
      <c r="C903" s="139"/>
      <c r="D903" s="139"/>
      <c r="F903" s="220"/>
    </row>
    <row r="904">
      <c r="B904" s="139"/>
      <c r="C904" s="139"/>
      <c r="D904" s="139"/>
      <c r="F904" s="220"/>
    </row>
    <row r="905">
      <c r="B905" s="139"/>
      <c r="C905" s="139"/>
      <c r="D905" s="139"/>
      <c r="F905" s="220"/>
    </row>
    <row r="906">
      <c r="B906" s="139"/>
      <c r="C906" s="139"/>
      <c r="D906" s="139"/>
      <c r="F906" s="220"/>
    </row>
    <row r="907">
      <c r="B907" s="139"/>
      <c r="C907" s="139"/>
      <c r="D907" s="139"/>
      <c r="F907" s="220"/>
    </row>
    <row r="908">
      <c r="B908" s="139"/>
      <c r="C908" s="139"/>
      <c r="D908" s="139"/>
      <c r="F908" s="220"/>
    </row>
    <row r="909">
      <c r="B909" s="139"/>
      <c r="C909" s="139"/>
      <c r="D909" s="139"/>
      <c r="F909" s="220"/>
    </row>
    <row r="910">
      <c r="B910" s="139"/>
      <c r="C910" s="139"/>
      <c r="D910" s="139"/>
      <c r="F910" s="220"/>
    </row>
    <row r="911">
      <c r="B911" s="139"/>
      <c r="C911" s="139"/>
      <c r="D911" s="139"/>
      <c r="F911" s="220"/>
    </row>
    <row r="912">
      <c r="B912" s="139"/>
      <c r="C912" s="139"/>
      <c r="D912" s="139"/>
      <c r="F912" s="220"/>
    </row>
    <row r="913">
      <c r="B913" s="139"/>
      <c r="C913" s="139"/>
      <c r="D913" s="139"/>
      <c r="F913" s="220"/>
    </row>
    <row r="914">
      <c r="B914" s="139"/>
      <c r="C914" s="139"/>
      <c r="D914" s="139"/>
      <c r="F914" s="220"/>
    </row>
    <row r="915">
      <c r="B915" s="139"/>
      <c r="C915" s="139"/>
      <c r="D915" s="139"/>
      <c r="F915" s="220"/>
    </row>
    <row r="916">
      <c r="B916" s="139"/>
      <c r="C916" s="139"/>
      <c r="D916" s="139"/>
      <c r="F916" s="220"/>
    </row>
    <row r="917">
      <c r="B917" s="139"/>
      <c r="C917" s="139"/>
      <c r="D917" s="139"/>
      <c r="F917" s="220"/>
    </row>
    <row r="918">
      <c r="B918" s="139"/>
      <c r="C918" s="139"/>
      <c r="D918" s="139"/>
      <c r="F918" s="220"/>
    </row>
    <row r="919">
      <c r="B919" s="139"/>
      <c r="C919" s="139"/>
      <c r="D919" s="139"/>
      <c r="F919" s="220"/>
    </row>
    <row r="920">
      <c r="B920" s="139"/>
      <c r="C920" s="139"/>
      <c r="D920" s="139"/>
      <c r="F920" s="220"/>
    </row>
    <row r="921">
      <c r="B921" s="139"/>
      <c r="C921" s="139"/>
      <c r="D921" s="139"/>
      <c r="F921" s="220"/>
    </row>
    <row r="922">
      <c r="B922" s="139"/>
      <c r="C922" s="139"/>
      <c r="D922" s="139"/>
      <c r="F922" s="220"/>
    </row>
    <row r="923">
      <c r="B923" s="139"/>
      <c r="C923" s="139"/>
      <c r="D923" s="139"/>
      <c r="F923" s="220"/>
    </row>
    <row r="924">
      <c r="B924" s="139"/>
      <c r="C924" s="139"/>
      <c r="D924" s="139"/>
      <c r="F924" s="220"/>
    </row>
    <row r="925">
      <c r="B925" s="139"/>
      <c r="C925" s="139"/>
      <c r="D925" s="139"/>
      <c r="F925" s="220"/>
    </row>
    <row r="926">
      <c r="B926" s="139"/>
      <c r="C926" s="139"/>
      <c r="D926" s="139"/>
      <c r="F926" s="220"/>
    </row>
    <row r="927">
      <c r="B927" s="139"/>
      <c r="C927" s="139"/>
      <c r="D927" s="139"/>
      <c r="F927" s="220"/>
    </row>
    <row r="928">
      <c r="B928" s="139"/>
      <c r="C928" s="139"/>
      <c r="D928" s="139"/>
      <c r="F928" s="220"/>
    </row>
    <row r="929">
      <c r="B929" s="139"/>
      <c r="C929" s="139"/>
      <c r="D929" s="139"/>
      <c r="F929" s="220"/>
    </row>
    <row r="930">
      <c r="B930" s="139"/>
      <c r="C930" s="139"/>
      <c r="D930" s="139"/>
      <c r="F930" s="220"/>
    </row>
    <row r="931">
      <c r="B931" s="139"/>
      <c r="C931" s="139"/>
      <c r="D931" s="139"/>
      <c r="F931" s="220"/>
    </row>
    <row r="932">
      <c r="B932" s="139"/>
      <c r="C932" s="139"/>
      <c r="D932" s="139"/>
      <c r="F932" s="220"/>
    </row>
    <row r="933">
      <c r="B933" s="139"/>
      <c r="C933" s="139"/>
      <c r="D933" s="139"/>
      <c r="F933" s="220"/>
    </row>
    <row r="934">
      <c r="B934" s="139"/>
      <c r="C934" s="139"/>
      <c r="D934" s="139"/>
      <c r="F934" s="220"/>
    </row>
    <row r="935">
      <c r="B935" s="139"/>
      <c r="C935" s="139"/>
      <c r="D935" s="139"/>
      <c r="F935" s="220"/>
    </row>
    <row r="936">
      <c r="B936" s="139"/>
      <c r="C936" s="139"/>
      <c r="D936" s="139"/>
      <c r="F936" s="220"/>
    </row>
    <row r="937">
      <c r="B937" s="139"/>
      <c r="C937" s="139"/>
      <c r="D937" s="139"/>
      <c r="F937" s="220"/>
    </row>
    <row r="938">
      <c r="B938" s="139"/>
      <c r="C938" s="139"/>
      <c r="D938" s="139"/>
      <c r="F938" s="220"/>
    </row>
    <row r="939">
      <c r="B939" s="139"/>
      <c r="C939" s="139"/>
      <c r="D939" s="139"/>
      <c r="F939" s="220"/>
    </row>
    <row r="940">
      <c r="B940" s="139"/>
      <c r="C940" s="139"/>
      <c r="D940" s="139"/>
      <c r="F940" s="220"/>
    </row>
    <row r="941">
      <c r="B941" s="139"/>
      <c r="C941" s="139"/>
      <c r="D941" s="139"/>
      <c r="F941" s="220"/>
    </row>
    <row r="942">
      <c r="B942" s="139"/>
      <c r="C942" s="139"/>
      <c r="D942" s="139"/>
      <c r="F942" s="220"/>
    </row>
    <row r="943">
      <c r="B943" s="139"/>
      <c r="C943" s="139"/>
      <c r="D943" s="139"/>
      <c r="F943" s="220"/>
    </row>
    <row r="944">
      <c r="B944" s="139"/>
      <c r="C944" s="139"/>
      <c r="D944" s="139"/>
      <c r="F944" s="220"/>
    </row>
    <row r="945">
      <c r="B945" s="139"/>
      <c r="C945" s="139"/>
      <c r="D945" s="139"/>
      <c r="F945" s="220"/>
    </row>
    <row r="946">
      <c r="B946" s="139"/>
      <c r="C946" s="139"/>
      <c r="D946" s="139"/>
      <c r="F946" s="220"/>
    </row>
    <row r="947">
      <c r="B947" s="139"/>
      <c r="C947" s="139"/>
      <c r="D947" s="139"/>
      <c r="F947" s="220"/>
    </row>
    <row r="948">
      <c r="B948" s="139"/>
      <c r="C948" s="139"/>
      <c r="D948" s="139"/>
      <c r="F948" s="220"/>
    </row>
    <row r="949">
      <c r="B949" s="139"/>
      <c r="C949" s="139"/>
      <c r="D949" s="139"/>
      <c r="F949" s="220"/>
    </row>
    <row r="950">
      <c r="B950" s="139"/>
      <c r="C950" s="139"/>
      <c r="D950" s="139"/>
      <c r="F950" s="220"/>
    </row>
    <row r="951">
      <c r="B951" s="139"/>
      <c r="C951" s="139"/>
      <c r="D951" s="139"/>
      <c r="F951" s="220"/>
    </row>
    <row r="952">
      <c r="B952" s="139"/>
      <c r="C952" s="139"/>
      <c r="D952" s="139"/>
      <c r="F952" s="220"/>
    </row>
    <row r="953">
      <c r="B953" s="139"/>
      <c r="C953" s="139"/>
      <c r="D953" s="139"/>
      <c r="F953" s="220"/>
    </row>
    <row r="954">
      <c r="B954" s="139"/>
      <c r="C954" s="139"/>
      <c r="D954" s="139"/>
      <c r="F954" s="220"/>
    </row>
    <row r="955">
      <c r="B955" s="139"/>
      <c r="C955" s="139"/>
      <c r="D955" s="139"/>
      <c r="F955" s="220"/>
    </row>
    <row r="956">
      <c r="B956" s="139"/>
      <c r="C956" s="139"/>
      <c r="D956" s="139"/>
      <c r="F956" s="220"/>
    </row>
    <row r="957">
      <c r="B957" s="139"/>
      <c r="C957" s="139"/>
      <c r="D957" s="139"/>
      <c r="F957" s="220"/>
    </row>
    <row r="958">
      <c r="B958" s="139"/>
      <c r="C958" s="139"/>
      <c r="D958" s="139"/>
      <c r="F958" s="220"/>
    </row>
    <row r="959">
      <c r="B959" s="139"/>
      <c r="C959" s="139"/>
      <c r="D959" s="139"/>
      <c r="F959" s="220"/>
    </row>
    <row r="960">
      <c r="B960" s="139"/>
      <c r="C960" s="139"/>
      <c r="D960" s="139"/>
      <c r="F960" s="220"/>
    </row>
    <row r="961">
      <c r="B961" s="139"/>
      <c r="C961" s="139"/>
      <c r="D961" s="139"/>
      <c r="F961" s="220"/>
    </row>
    <row r="962">
      <c r="B962" s="139"/>
      <c r="C962" s="139"/>
      <c r="D962" s="139"/>
      <c r="F962" s="220"/>
    </row>
    <row r="963">
      <c r="B963" s="139"/>
      <c r="C963" s="139"/>
      <c r="D963" s="139"/>
      <c r="F963" s="220"/>
    </row>
    <row r="964">
      <c r="B964" s="139"/>
      <c r="C964" s="139"/>
      <c r="D964" s="139"/>
      <c r="F964" s="220"/>
    </row>
    <row r="965">
      <c r="B965" s="139"/>
      <c r="C965" s="139"/>
      <c r="D965" s="139"/>
      <c r="F965" s="220"/>
    </row>
    <row r="966">
      <c r="B966" s="139"/>
      <c r="C966" s="139"/>
      <c r="D966" s="139"/>
      <c r="F966" s="220"/>
    </row>
    <row r="967">
      <c r="B967" s="139"/>
      <c r="C967" s="139"/>
      <c r="D967" s="139"/>
      <c r="F967" s="220"/>
    </row>
    <row r="968">
      <c r="B968" s="139"/>
      <c r="C968" s="139"/>
      <c r="D968" s="139"/>
      <c r="F968" s="220"/>
    </row>
    <row r="969">
      <c r="B969" s="139"/>
      <c r="C969" s="139"/>
      <c r="D969" s="139"/>
      <c r="F969" s="220"/>
    </row>
    <row r="970">
      <c r="B970" s="139"/>
      <c r="C970" s="139"/>
      <c r="D970" s="139"/>
      <c r="F970" s="220"/>
    </row>
    <row r="971">
      <c r="B971" s="139"/>
      <c r="C971" s="139"/>
      <c r="D971" s="139"/>
      <c r="F971" s="220"/>
    </row>
    <row r="972">
      <c r="B972" s="139"/>
      <c r="C972" s="139"/>
      <c r="D972" s="139"/>
      <c r="F972" s="220"/>
    </row>
    <row r="973">
      <c r="B973" s="139"/>
      <c r="C973" s="139"/>
      <c r="D973" s="139"/>
      <c r="F973" s="220"/>
    </row>
    <row r="974">
      <c r="B974" s="139"/>
      <c r="C974" s="139"/>
      <c r="D974" s="139"/>
      <c r="F974" s="220"/>
    </row>
    <row r="975">
      <c r="B975" s="139"/>
      <c r="C975" s="139"/>
      <c r="D975" s="139"/>
      <c r="F975" s="220"/>
    </row>
    <row r="976">
      <c r="B976" s="139"/>
      <c r="C976" s="139"/>
      <c r="D976" s="139"/>
      <c r="F976" s="220"/>
    </row>
    <row r="977">
      <c r="B977" s="139"/>
      <c r="C977" s="139"/>
      <c r="D977" s="139"/>
      <c r="F977" s="220"/>
    </row>
    <row r="978">
      <c r="B978" s="139"/>
      <c r="C978" s="139"/>
      <c r="D978" s="139"/>
      <c r="F978" s="220"/>
    </row>
    <row r="979">
      <c r="B979" s="139"/>
      <c r="C979" s="139"/>
      <c r="D979" s="139"/>
      <c r="F979" s="220"/>
    </row>
    <row r="980">
      <c r="B980" s="139"/>
      <c r="C980" s="139"/>
      <c r="D980" s="139"/>
      <c r="F980" s="220"/>
    </row>
    <row r="981">
      <c r="B981" s="139"/>
      <c r="C981" s="139"/>
      <c r="D981" s="139"/>
      <c r="F981" s="220"/>
    </row>
    <row r="982">
      <c r="B982" s="139"/>
      <c r="C982" s="139"/>
      <c r="D982" s="139"/>
      <c r="F982" s="220"/>
    </row>
    <row r="983">
      <c r="B983" s="139"/>
      <c r="C983" s="139"/>
      <c r="D983" s="139"/>
      <c r="F983" s="220"/>
    </row>
    <row r="984">
      <c r="B984" s="139"/>
      <c r="C984" s="139"/>
      <c r="D984" s="139"/>
      <c r="F984" s="220"/>
    </row>
    <row r="985">
      <c r="B985" s="139"/>
      <c r="C985" s="139"/>
      <c r="D985" s="139"/>
      <c r="F985" s="220"/>
    </row>
    <row r="986">
      <c r="B986" s="139"/>
      <c r="C986" s="139"/>
      <c r="D986" s="139"/>
      <c r="F986" s="220"/>
    </row>
    <row r="987">
      <c r="B987" s="139"/>
      <c r="C987" s="139"/>
      <c r="D987" s="139"/>
      <c r="F987" s="220"/>
    </row>
    <row r="988">
      <c r="B988" s="139"/>
      <c r="C988" s="139"/>
      <c r="D988" s="139"/>
      <c r="F988" s="220"/>
    </row>
    <row r="989">
      <c r="B989" s="139"/>
      <c r="C989" s="139"/>
      <c r="D989" s="139"/>
      <c r="F989" s="220"/>
    </row>
    <row r="990">
      <c r="B990" s="139"/>
      <c r="C990" s="139"/>
      <c r="D990" s="139"/>
      <c r="F990" s="220"/>
    </row>
    <row r="991">
      <c r="B991" s="139"/>
      <c r="C991" s="139"/>
      <c r="D991" s="139"/>
      <c r="F991" s="220"/>
    </row>
    <row r="992">
      <c r="B992" s="139"/>
      <c r="C992" s="139"/>
      <c r="D992" s="139"/>
      <c r="F992" s="220"/>
    </row>
    <row r="993">
      <c r="B993" s="139"/>
      <c r="C993" s="139"/>
      <c r="D993" s="139"/>
      <c r="F993" s="220"/>
    </row>
    <row r="994">
      <c r="B994" s="139"/>
      <c r="C994" s="139"/>
      <c r="D994" s="139"/>
      <c r="F994" s="220"/>
    </row>
    <row r="995">
      <c r="B995" s="139"/>
      <c r="C995" s="139"/>
      <c r="D995" s="139"/>
      <c r="F995" s="220"/>
    </row>
    <row r="996">
      <c r="B996" s="139"/>
      <c r="C996" s="139"/>
      <c r="D996" s="139"/>
      <c r="F996" s="220"/>
    </row>
    <row r="997">
      <c r="B997" s="139"/>
      <c r="C997" s="139"/>
      <c r="D997" s="139"/>
      <c r="F997" s="220"/>
    </row>
    <row r="998">
      <c r="B998" s="139"/>
      <c r="C998" s="139"/>
      <c r="D998" s="139"/>
      <c r="F998" s="220"/>
    </row>
    <row r="999">
      <c r="B999" s="139"/>
      <c r="C999" s="139"/>
      <c r="D999" s="139"/>
      <c r="F999" s="220"/>
    </row>
    <row r="1000">
      <c r="B1000" s="139"/>
      <c r="C1000" s="139"/>
      <c r="D1000" s="139"/>
      <c r="F1000" s="220"/>
    </row>
    <row r="1001">
      <c r="B1001" s="139"/>
      <c r="C1001" s="139"/>
      <c r="D1001" s="139"/>
      <c r="F1001" s="220"/>
    </row>
    <row r="1002">
      <c r="B1002" s="139"/>
      <c r="C1002" s="139"/>
      <c r="D1002" s="139"/>
      <c r="F1002" s="220"/>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C7"/>
    <hyperlink r:id="rId2" ref="C9"/>
    <hyperlink r:id="rId3" ref="S9"/>
    <hyperlink r:id="rId4" ref="S11"/>
    <hyperlink r:id="rId5" ref="C12"/>
    <hyperlink r:id="rId6" ref="C13"/>
    <hyperlink r:id="rId7" ref="S13"/>
    <hyperlink r:id="rId8" ref="C14"/>
    <hyperlink r:id="rId9" ref="S14"/>
    <hyperlink r:id="rId10" ref="C16"/>
    <hyperlink r:id="rId11" ref="S16"/>
    <hyperlink r:id="rId12" ref="C17"/>
    <hyperlink r:id="rId13" ref="C18"/>
    <hyperlink r:id="rId14" ref="S20"/>
    <hyperlink r:id="rId15" ref="C21"/>
    <hyperlink r:id="rId16" ref="C22"/>
    <hyperlink r:id="rId17" ref="C23"/>
    <hyperlink r:id="rId18" ref="C24"/>
    <hyperlink r:id="rId19" ref="C26"/>
    <hyperlink r:id="rId20" ref="C27"/>
    <hyperlink r:id="rId21" ref="C28"/>
    <hyperlink r:id="rId22" ref="C29"/>
    <hyperlink r:id="rId23" ref="C30"/>
    <hyperlink r:id="rId24" ref="S30"/>
    <hyperlink r:id="rId25" ref="C31"/>
    <hyperlink r:id="rId26" ref="S31"/>
    <hyperlink r:id="rId27" ref="S33"/>
    <hyperlink r:id="rId28" ref="C34"/>
    <hyperlink r:id="rId29" ref="S34"/>
    <hyperlink r:id="rId30" ref="C35"/>
    <hyperlink r:id="rId31" ref="C37"/>
    <hyperlink r:id="rId32" ref="S38"/>
    <hyperlink r:id="rId33" ref="C40"/>
    <hyperlink r:id="rId34" ref="C41"/>
    <hyperlink r:id="rId35" ref="C42"/>
    <hyperlink r:id="rId36" ref="S42"/>
    <hyperlink r:id="rId37" ref="C43"/>
    <hyperlink r:id="rId38" ref="S43"/>
    <hyperlink r:id="rId39" ref="C44"/>
    <hyperlink r:id="rId40" ref="S44"/>
    <hyperlink r:id="rId41" ref="B46"/>
    <hyperlink r:id="rId42" ref="C46"/>
    <hyperlink r:id="rId43" ref="S46"/>
    <hyperlink r:id="rId44" ref="B47"/>
    <hyperlink r:id="rId45" ref="B48"/>
    <hyperlink r:id="rId46" ref="B49"/>
    <hyperlink r:id="rId47" ref="S49"/>
    <hyperlink r:id="rId48" ref="B50"/>
    <hyperlink r:id="rId49" ref="C50"/>
    <hyperlink r:id="rId50" ref="C51"/>
    <hyperlink r:id="rId51" ref="S51"/>
    <hyperlink r:id="rId52" ref="B52"/>
    <hyperlink r:id="rId53" ref="C52"/>
    <hyperlink r:id="rId54" ref="B53"/>
    <hyperlink r:id="rId55" ref="C53"/>
    <hyperlink r:id="rId56" ref="S53"/>
    <hyperlink r:id="rId57" ref="B54"/>
    <hyperlink r:id="rId58" ref="C54"/>
    <hyperlink r:id="rId59" ref="B55"/>
    <hyperlink r:id="rId60" ref="C55"/>
    <hyperlink r:id="rId61" ref="S55"/>
    <hyperlink r:id="rId62" ref="B56"/>
    <hyperlink r:id="rId63" ref="C56"/>
    <hyperlink r:id="rId64" ref="B57"/>
    <hyperlink r:id="rId65" ref="C57"/>
    <hyperlink r:id="rId66" ref="B58"/>
    <hyperlink r:id="rId67" ref="C58"/>
    <hyperlink r:id="rId68" ref="B59"/>
    <hyperlink r:id="rId69" ref="C59"/>
    <hyperlink r:id="rId70" ref="S59"/>
    <hyperlink r:id="rId71" ref="C60"/>
    <hyperlink r:id="rId72" ref="S60"/>
    <hyperlink r:id="rId73" ref="C61"/>
    <hyperlink r:id="rId74" ref="S61"/>
    <hyperlink r:id="rId75" ref="S62"/>
    <hyperlink r:id="rId76" ref="S63"/>
    <hyperlink r:id="rId77" ref="C64"/>
    <hyperlink r:id="rId78" ref="S64"/>
    <hyperlink r:id="rId79" ref="C65"/>
    <hyperlink r:id="rId80" ref="S65"/>
    <hyperlink r:id="rId81" ref="C66"/>
    <hyperlink r:id="rId82" ref="S66"/>
  </hyperlinks>
  <drawing r:id="rId8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2" max="2" width="8.71"/>
    <col customWidth="1" min="3" max="3" width="12.86"/>
    <col customWidth="1" min="4" max="4" width="17.0"/>
    <col customWidth="1" min="5" max="5" width="10.14"/>
    <col customWidth="1" min="6" max="6" width="15.57"/>
    <col customWidth="1" min="7" max="7" width="25.14"/>
    <col customWidth="1" min="8" max="8" width="16.43"/>
    <col customWidth="1" min="9" max="9" width="18.43"/>
    <col customWidth="1" min="10" max="10" width="22.29"/>
    <col customWidth="1" min="11" max="11" width="13.43"/>
    <col customWidth="1" min="12" max="12" width="16.29"/>
    <col customWidth="1" min="13" max="13" width="16.43"/>
    <col customWidth="1" min="18" max="18" width="20.71"/>
  </cols>
  <sheetData>
    <row r="1" ht="15.0" customHeight="1" outlineLevel="1">
      <c r="A1" s="1" t="s">
        <v>0</v>
      </c>
      <c r="B1" s="2" t="s">
        <v>1</v>
      </c>
      <c r="C1" s="2" t="s">
        <v>2</v>
      </c>
      <c r="D1" s="2" t="s">
        <v>2</v>
      </c>
      <c r="E1" s="3"/>
      <c r="F1" s="1" t="s">
        <v>3</v>
      </c>
      <c r="G1" s="1" t="s">
        <v>4</v>
      </c>
      <c r="H1" s="1" t="s">
        <v>5</v>
      </c>
      <c r="I1" s="1" t="s">
        <v>6</v>
      </c>
      <c r="J1" s="1" t="s">
        <v>7</v>
      </c>
      <c r="K1" s="1" t="s">
        <v>8</v>
      </c>
      <c r="L1" s="7" t="s">
        <v>9</v>
      </c>
      <c r="N1" s="10" t="s">
        <v>14</v>
      </c>
      <c r="P1" s="11"/>
      <c r="Q1" s="11"/>
      <c r="R1" s="17"/>
      <c r="S1" s="20"/>
      <c r="T1" s="20"/>
      <c r="U1" s="20"/>
      <c r="V1" s="20"/>
      <c r="W1" s="20"/>
      <c r="X1" s="20"/>
      <c r="Y1" s="20"/>
      <c r="Z1" s="20"/>
      <c r="AA1" s="20"/>
      <c r="AB1" s="20"/>
      <c r="AC1" s="20"/>
      <c r="AD1" s="20"/>
    </row>
    <row r="2" ht="16.5" customHeight="1" outlineLevel="1">
      <c r="A2" s="21" t="s">
        <v>492</v>
      </c>
      <c r="B2" s="21" t="s">
        <v>22</v>
      </c>
      <c r="C2" s="21" t="s">
        <v>2726</v>
      </c>
      <c r="D2" s="21" t="s">
        <v>2728</v>
      </c>
      <c r="E2" s="3"/>
      <c r="F2" s="23">
        <v>43474.0</v>
      </c>
      <c r="G2" s="23">
        <v>43490.0</v>
      </c>
      <c r="H2" s="21">
        <f>G2-TODAY()</f>
        <v>-245</v>
      </c>
      <c r="I2" s="23">
        <v>43474.0</v>
      </c>
      <c r="J2" s="23">
        <v>43535.0</v>
      </c>
      <c r="K2" s="23"/>
      <c r="L2" s="26">
        <f>CountIFS($E:$E,"=Dem",$A:$A,"=House")</f>
        <v>47</v>
      </c>
      <c r="M2" s="28">
        <f>CountIFS($E:$E,"=Rep",$A:$A,"=House")</f>
        <v>73</v>
      </c>
      <c r="N2" s="26">
        <f>CountIFS($E:$E,"=Dem",$A:$A,"=Senate")</f>
        <v>17</v>
      </c>
      <c r="O2" s="28">
        <f>CountIFS($E:$E,"=Rep",$A:$A,"=Senate")</f>
        <v>25</v>
      </c>
      <c r="P2" s="11"/>
      <c r="Q2" s="11"/>
      <c r="R2" s="17"/>
      <c r="S2" s="20"/>
      <c r="T2" s="3" t="s">
        <v>2739</v>
      </c>
      <c r="X2" s="20"/>
      <c r="Y2" s="20"/>
      <c r="Z2" s="20"/>
      <c r="AA2" s="20"/>
      <c r="AB2" s="20"/>
      <c r="AC2" s="20"/>
      <c r="AD2" s="20"/>
    </row>
    <row r="3">
      <c r="A3" s="30" t="s">
        <v>29</v>
      </c>
      <c r="B3" s="30" t="s">
        <v>30</v>
      </c>
      <c r="C3" s="2" t="s">
        <v>31</v>
      </c>
      <c r="D3" s="2" t="s">
        <v>32</v>
      </c>
      <c r="E3" s="3" t="s">
        <v>33</v>
      </c>
      <c r="F3" s="1" t="s">
        <v>10</v>
      </c>
      <c r="G3" s="1" t="s">
        <v>34</v>
      </c>
      <c r="H3" s="1" t="s">
        <v>34</v>
      </c>
      <c r="I3" s="1" t="s">
        <v>34</v>
      </c>
      <c r="J3" s="1" t="s">
        <v>34</v>
      </c>
      <c r="K3" s="1" t="s">
        <v>35</v>
      </c>
      <c r="L3" s="19" t="s">
        <v>36</v>
      </c>
      <c r="M3" s="19" t="s">
        <v>37</v>
      </c>
      <c r="N3" s="19" t="s">
        <v>38</v>
      </c>
      <c r="O3" s="17" t="s">
        <v>39</v>
      </c>
      <c r="P3" s="11" t="s">
        <v>40</v>
      </c>
      <c r="Q3" s="11" t="s">
        <v>41</v>
      </c>
      <c r="R3" s="17" t="s">
        <v>42</v>
      </c>
      <c r="S3" s="20"/>
      <c r="T3" s="30" t="s">
        <v>1590</v>
      </c>
      <c r="U3" s="2" t="s">
        <v>1591</v>
      </c>
      <c r="V3" s="30" t="s">
        <v>1592</v>
      </c>
      <c r="W3" s="30" t="s">
        <v>37</v>
      </c>
      <c r="X3" s="20"/>
      <c r="Y3" s="20"/>
      <c r="Z3" s="20"/>
      <c r="AA3" s="20"/>
      <c r="AB3" s="20"/>
      <c r="AC3" s="20"/>
      <c r="AD3" s="20"/>
    </row>
    <row r="4">
      <c r="A4" s="229" t="s">
        <v>44</v>
      </c>
      <c r="B4" s="230"/>
      <c r="C4" s="230"/>
      <c r="D4" s="230"/>
      <c r="E4" s="231"/>
      <c r="F4" s="232"/>
      <c r="G4" s="232"/>
      <c r="H4" s="232"/>
      <c r="I4" s="232"/>
      <c r="J4" s="233"/>
      <c r="K4" s="233"/>
      <c r="L4" s="234"/>
      <c r="M4" s="234"/>
      <c r="N4" s="235"/>
      <c r="O4" s="184"/>
      <c r="P4" s="236"/>
      <c r="Q4" s="236"/>
      <c r="R4" s="184"/>
      <c r="T4" t="str">
        <f t="shared" ref="T4:T165" si="1">if(U4="","",if(A4="House","Representative","Senator"))</f>
        <v/>
      </c>
      <c r="U4" s="139" t="str">
        <f t="shared" ref="U4:U165" si="2">if(or(isnumber(search("chair",G4)),isnumber(search("chair",H4)),not(isblank(F4))),C4,"")</f>
        <v/>
      </c>
      <c r="V4" t="str">
        <f t="shared" ref="V4:V165" si="3">if(U4="","",D4)</f>
        <v/>
      </c>
      <c r="W4" t="str">
        <f t="shared" ref="W4:W165" si="4">if(V4="","",M4)</f>
        <v/>
      </c>
    </row>
    <row r="5" outlineLevel="1">
      <c r="A5" s="164" t="s">
        <v>44</v>
      </c>
      <c r="B5" s="31">
        <v>1.0</v>
      </c>
      <c r="C5" s="35" t="s">
        <v>157</v>
      </c>
      <c r="D5" s="35" t="s">
        <v>485</v>
      </c>
      <c r="E5" s="40" t="s">
        <v>53</v>
      </c>
      <c r="F5" s="237"/>
      <c r="G5" s="170" t="s">
        <v>781</v>
      </c>
      <c r="H5" s="238" t="s">
        <v>2770</v>
      </c>
      <c r="I5" s="216"/>
      <c r="J5" s="172"/>
      <c r="K5" s="239" t="s">
        <v>2772</v>
      </c>
      <c r="L5" s="39" t="str">
        <f t="shared" ref="L5:L13" si="5">Concatenate("(850) 717-500",B5)</f>
        <v>(850) 717-5001</v>
      </c>
      <c r="M5" s="39" t="str">
        <f t="shared" ref="M5:M93" si="6">Concatenate(Lower(C5),".",Lower(D5),"@myfloridahouse.gov")</f>
        <v>mike.hill@myfloridahouse.gov</v>
      </c>
      <c r="N5" s="240" t="str">
        <f>HYPERLINK("https://docs.google.com/document/d/1dxDg9MaS3rJ5gSqhPJXna70NC8kIN7U9fSKfblwxdWU/edit","GVP")</f>
        <v>GVP</v>
      </c>
      <c r="O5" s="41"/>
      <c r="P5" s="37"/>
      <c r="Q5" s="37"/>
      <c r="R5" s="41"/>
      <c r="T5" t="str">
        <f t="shared" si="1"/>
        <v/>
      </c>
      <c r="U5" s="139" t="str">
        <f t="shared" si="2"/>
        <v/>
      </c>
      <c r="V5" t="str">
        <f t="shared" si="3"/>
        <v/>
      </c>
      <c r="W5" t="str">
        <f t="shared" si="4"/>
        <v/>
      </c>
    </row>
    <row r="6" outlineLevel="1">
      <c r="A6" s="164" t="s">
        <v>44</v>
      </c>
      <c r="B6" s="31">
        <v>2.0</v>
      </c>
      <c r="C6" s="38" t="s">
        <v>1134</v>
      </c>
      <c r="D6" s="38" t="s">
        <v>1116</v>
      </c>
      <c r="E6" s="40" t="s">
        <v>53</v>
      </c>
      <c r="F6" s="237"/>
      <c r="G6" s="170" t="s">
        <v>652</v>
      </c>
      <c r="H6" s="216"/>
      <c r="I6" s="216"/>
      <c r="J6" s="172"/>
      <c r="K6" s="179" t="s">
        <v>2783</v>
      </c>
      <c r="L6" s="39" t="str">
        <f t="shared" si="5"/>
        <v>(850) 717-5002</v>
      </c>
      <c r="M6" s="39" t="str">
        <f t="shared" si="6"/>
        <v>robert.andrade@myfloridahouse.gov</v>
      </c>
      <c r="N6" s="39"/>
      <c r="O6" s="41"/>
      <c r="P6" s="39"/>
      <c r="Q6" s="39"/>
      <c r="R6" s="41"/>
      <c r="T6" t="str">
        <f t="shared" si="1"/>
        <v/>
      </c>
      <c r="U6" s="139" t="str">
        <f t="shared" si="2"/>
        <v/>
      </c>
      <c r="V6" t="str">
        <f t="shared" si="3"/>
        <v/>
      </c>
      <c r="W6" t="str">
        <f t="shared" si="4"/>
        <v/>
      </c>
    </row>
    <row r="7" outlineLevel="1">
      <c r="A7" s="164" t="s">
        <v>44</v>
      </c>
      <c r="B7" s="31">
        <v>3.0</v>
      </c>
      <c r="C7" s="35" t="s">
        <v>2785</v>
      </c>
      <c r="D7" s="35" t="s">
        <v>2789</v>
      </c>
      <c r="E7" s="40" t="s">
        <v>53</v>
      </c>
      <c r="F7" s="237"/>
      <c r="G7" s="170" t="s">
        <v>626</v>
      </c>
      <c r="H7" s="170" t="s">
        <v>652</v>
      </c>
      <c r="I7" s="172"/>
      <c r="J7" s="172"/>
      <c r="K7" s="179" t="s">
        <v>2783</v>
      </c>
      <c r="L7" s="39" t="str">
        <f t="shared" si="5"/>
        <v>(850) 717-5003</v>
      </c>
      <c r="M7" s="39" t="str">
        <f t="shared" si="6"/>
        <v>jayer.williamson@myfloridahouse.gov</v>
      </c>
      <c r="N7" s="89"/>
      <c r="O7" s="41"/>
      <c r="P7" s="37"/>
      <c r="Q7" s="37"/>
      <c r="R7" s="41"/>
      <c r="T7" t="str">
        <f t="shared" si="1"/>
        <v/>
      </c>
      <c r="U7" s="139" t="str">
        <f t="shared" si="2"/>
        <v/>
      </c>
      <c r="V7" t="str">
        <f t="shared" si="3"/>
        <v/>
      </c>
      <c r="W7" t="str">
        <f t="shared" si="4"/>
        <v/>
      </c>
    </row>
    <row r="8" outlineLevel="1">
      <c r="A8" s="164" t="s">
        <v>44</v>
      </c>
      <c r="B8" s="31">
        <v>4.0</v>
      </c>
      <c r="C8" s="35" t="s">
        <v>2791</v>
      </c>
      <c r="D8" s="35" t="s">
        <v>2795</v>
      </c>
      <c r="E8" s="40" t="s">
        <v>53</v>
      </c>
      <c r="F8" s="237"/>
      <c r="G8" s="170" t="s">
        <v>2796</v>
      </c>
      <c r="H8" s="170" t="s">
        <v>592</v>
      </c>
      <c r="I8" s="172"/>
      <c r="J8" s="172"/>
      <c r="K8" s="179" t="s">
        <v>2783</v>
      </c>
      <c r="L8" s="39" t="str">
        <f t="shared" si="5"/>
        <v>(850) 717-5004</v>
      </c>
      <c r="M8" s="39" t="str">
        <f t="shared" si="6"/>
        <v>mel.ponder@myfloridahouse.gov</v>
      </c>
      <c r="N8" s="39"/>
      <c r="O8" s="41"/>
      <c r="P8" s="39"/>
      <c r="Q8" s="39"/>
      <c r="R8" s="41"/>
      <c r="T8" t="str">
        <f t="shared" si="1"/>
        <v/>
      </c>
      <c r="U8" s="139" t="str">
        <f t="shared" si="2"/>
        <v/>
      </c>
      <c r="V8" t="str">
        <f t="shared" si="3"/>
        <v/>
      </c>
      <c r="W8" t="str">
        <f t="shared" si="4"/>
        <v/>
      </c>
    </row>
    <row r="9" outlineLevel="1">
      <c r="A9" s="164" t="s">
        <v>44</v>
      </c>
      <c r="B9" s="31">
        <v>5.0</v>
      </c>
      <c r="C9" s="35" t="s">
        <v>2323</v>
      </c>
      <c r="D9" s="35" t="s">
        <v>469</v>
      </c>
      <c r="E9" s="40" t="s">
        <v>53</v>
      </c>
      <c r="F9" s="237"/>
      <c r="G9" s="170" t="s">
        <v>2802</v>
      </c>
      <c r="H9" s="170" t="s">
        <v>592</v>
      </c>
      <c r="I9" s="216"/>
      <c r="J9" s="172"/>
      <c r="K9" s="179" t="s">
        <v>2783</v>
      </c>
      <c r="L9" s="39" t="str">
        <f t="shared" si="5"/>
        <v>(850) 717-5005</v>
      </c>
      <c r="M9" s="39" t="str">
        <f t="shared" si="6"/>
        <v>brad.drake@myfloridahouse.gov</v>
      </c>
      <c r="N9" s="39"/>
      <c r="O9" s="41"/>
      <c r="P9" s="39"/>
      <c r="Q9" s="39"/>
      <c r="R9" s="41"/>
      <c r="T9" t="str">
        <f t="shared" si="1"/>
        <v/>
      </c>
      <c r="U9" s="139" t="str">
        <f t="shared" si="2"/>
        <v/>
      </c>
      <c r="V9" t="str">
        <f t="shared" si="3"/>
        <v/>
      </c>
      <c r="W9" t="str">
        <f t="shared" si="4"/>
        <v/>
      </c>
    </row>
    <row r="10" outlineLevel="1">
      <c r="A10" s="164" t="s">
        <v>44</v>
      </c>
      <c r="B10" s="31">
        <v>6.0</v>
      </c>
      <c r="C10" s="35" t="s">
        <v>1013</v>
      </c>
      <c r="D10" s="35" t="s">
        <v>2812</v>
      </c>
      <c r="E10" s="40" t="s">
        <v>53</v>
      </c>
      <c r="F10" s="237"/>
      <c r="G10" s="170" t="s">
        <v>626</v>
      </c>
      <c r="H10" s="179" t="s">
        <v>780</v>
      </c>
      <c r="I10" s="170" t="s">
        <v>2802</v>
      </c>
      <c r="J10" s="172"/>
      <c r="K10" s="179" t="s">
        <v>2783</v>
      </c>
      <c r="L10" s="39" t="str">
        <f t="shared" si="5"/>
        <v>(850) 717-5006</v>
      </c>
      <c r="M10" s="39" t="str">
        <f t="shared" si="6"/>
        <v>jay.trumbull@myfloridahouse.gov</v>
      </c>
      <c r="N10" s="39"/>
      <c r="O10" s="41"/>
      <c r="P10" s="39"/>
      <c r="Q10" s="39"/>
      <c r="R10" s="41"/>
      <c r="T10" t="str">
        <f t="shared" si="1"/>
        <v/>
      </c>
      <c r="U10" s="139" t="str">
        <f t="shared" si="2"/>
        <v/>
      </c>
      <c r="V10" t="str">
        <f t="shared" si="3"/>
        <v/>
      </c>
      <c r="W10" t="str">
        <f t="shared" si="4"/>
        <v/>
      </c>
    </row>
    <row r="11" outlineLevel="1">
      <c r="A11" s="164" t="s">
        <v>44</v>
      </c>
      <c r="B11" s="31">
        <v>7.0</v>
      </c>
      <c r="C11" s="35" t="s">
        <v>2814</v>
      </c>
      <c r="D11" s="35" t="s">
        <v>2817</v>
      </c>
      <c r="E11" s="40" t="s">
        <v>53</v>
      </c>
      <c r="F11" s="237"/>
      <c r="G11" s="170" t="s">
        <v>994</v>
      </c>
      <c r="H11" s="216"/>
      <c r="I11" s="216"/>
      <c r="J11" s="172"/>
      <c r="K11" s="179" t="s">
        <v>2783</v>
      </c>
      <c r="L11" s="39" t="str">
        <f t="shared" si="5"/>
        <v>(850) 717-5007</v>
      </c>
      <c r="M11" s="39" t="str">
        <f t="shared" si="6"/>
        <v>halsey.beshears@myfloridahouse.gov</v>
      </c>
      <c r="N11" s="39"/>
      <c r="O11" s="41"/>
      <c r="P11" s="37"/>
      <c r="Q11" s="37"/>
      <c r="R11" s="41"/>
      <c r="T11" t="str">
        <f t="shared" si="1"/>
        <v>Representative</v>
      </c>
      <c r="U11" s="139" t="str">
        <f t="shared" si="2"/>
        <v>Halsey</v>
      </c>
      <c r="V11" t="str">
        <f t="shared" si="3"/>
        <v>Beshears</v>
      </c>
      <c r="W11" t="str">
        <f t="shared" si="4"/>
        <v>halsey.beshears@myfloridahouse.gov</v>
      </c>
    </row>
    <row r="12" outlineLevel="1">
      <c r="A12" s="164" t="s">
        <v>44</v>
      </c>
      <c r="B12" s="31">
        <v>8.0</v>
      </c>
      <c r="C12" s="35" t="s">
        <v>2819</v>
      </c>
      <c r="D12" s="35" t="s">
        <v>505</v>
      </c>
      <c r="E12" s="73" t="s">
        <v>49</v>
      </c>
      <c r="F12" s="245" t="s">
        <v>2004</v>
      </c>
      <c r="G12" s="170" t="s">
        <v>781</v>
      </c>
      <c r="H12" s="216"/>
      <c r="I12" s="216"/>
      <c r="J12" s="172"/>
      <c r="K12" s="239" t="s">
        <v>2772</v>
      </c>
      <c r="L12" s="39" t="str">
        <f t="shared" si="5"/>
        <v>(850) 717-5008</v>
      </c>
      <c r="M12" s="39" t="str">
        <f t="shared" si="6"/>
        <v>ramon.alexander@myfloridahouse.gov</v>
      </c>
      <c r="N12" s="240" t="str">
        <f>HYPERLINK("https://docs.google.com/document/d/1cp4zh8iIR1ag235qKEL0mtnGtPpxMJnxPAPBgbJXS-k/edit?usp=sharing","Zero")</f>
        <v>Zero</v>
      </c>
      <c r="O12" s="41"/>
      <c r="P12" s="37"/>
      <c r="Q12" s="37"/>
      <c r="R12" s="41"/>
      <c r="T12" t="str">
        <f t="shared" si="1"/>
        <v>Representative</v>
      </c>
      <c r="U12" s="139" t="str">
        <f t="shared" si="2"/>
        <v>Ramon</v>
      </c>
      <c r="V12" t="str">
        <f t="shared" si="3"/>
        <v>Alexander</v>
      </c>
      <c r="W12" t="str">
        <f t="shared" si="4"/>
        <v>ramon.alexander@myfloridahouse.gov</v>
      </c>
    </row>
    <row r="13" outlineLevel="1">
      <c r="A13" s="164" t="s">
        <v>44</v>
      </c>
      <c r="B13" s="31">
        <v>9.0</v>
      </c>
      <c r="C13" s="35" t="s">
        <v>2824</v>
      </c>
      <c r="D13" s="35" t="s">
        <v>2827</v>
      </c>
      <c r="E13" s="73" t="s">
        <v>49</v>
      </c>
      <c r="F13" s="237"/>
      <c r="G13" s="170" t="s">
        <v>2770</v>
      </c>
      <c r="H13" s="216"/>
      <c r="I13" s="216"/>
      <c r="J13" s="172"/>
      <c r="K13" s="179" t="s">
        <v>2783</v>
      </c>
      <c r="L13" s="39" t="str">
        <f t="shared" si="5"/>
        <v>(850) 717-5009</v>
      </c>
      <c r="M13" s="39" t="str">
        <f t="shared" si="6"/>
        <v>loranne.ausley@myfloridahouse.gov</v>
      </c>
      <c r="N13" s="39"/>
      <c r="O13" s="41"/>
      <c r="P13" s="37"/>
      <c r="Q13" s="37"/>
      <c r="R13" s="41"/>
      <c r="T13" t="str">
        <f t="shared" si="1"/>
        <v/>
      </c>
      <c r="U13" s="139" t="str">
        <f t="shared" si="2"/>
        <v/>
      </c>
      <c r="V13" t="str">
        <f t="shared" si="3"/>
        <v/>
      </c>
      <c r="W13" t="str">
        <f t="shared" si="4"/>
        <v/>
      </c>
    </row>
    <row r="14" outlineLevel="1">
      <c r="A14" s="164" t="s">
        <v>44</v>
      </c>
      <c r="B14" s="31">
        <v>10.0</v>
      </c>
      <c r="C14" s="35" t="s">
        <v>177</v>
      </c>
      <c r="D14" s="35" t="s">
        <v>2832</v>
      </c>
      <c r="E14" s="40" t="s">
        <v>53</v>
      </c>
      <c r="F14" s="237"/>
      <c r="G14" s="170" t="s">
        <v>781</v>
      </c>
      <c r="H14" s="216"/>
      <c r="I14" s="216"/>
      <c r="J14" s="172"/>
      <c r="K14" s="179" t="s">
        <v>2783</v>
      </c>
      <c r="L14" s="39" t="str">
        <f t="shared" ref="L14:L93" si="7">Concatenate("(850) 717-50",B14)</f>
        <v>(850) 717-5010</v>
      </c>
      <c r="M14" s="39" t="str">
        <f t="shared" si="6"/>
        <v>chuck.brannan@myfloridahouse.gov</v>
      </c>
      <c r="N14" s="39"/>
      <c r="O14" s="41"/>
      <c r="P14" s="37"/>
      <c r="Q14" s="37"/>
      <c r="R14" s="41"/>
      <c r="T14" t="str">
        <f t="shared" si="1"/>
        <v/>
      </c>
      <c r="U14" s="139" t="str">
        <f t="shared" si="2"/>
        <v/>
      </c>
      <c r="V14" t="str">
        <f t="shared" si="3"/>
        <v/>
      </c>
      <c r="W14" t="str">
        <f t="shared" si="4"/>
        <v/>
      </c>
    </row>
    <row r="15" outlineLevel="1">
      <c r="A15" s="164" t="s">
        <v>44</v>
      </c>
      <c r="B15" s="31">
        <v>11.0</v>
      </c>
      <c r="C15" s="35" t="s">
        <v>2834</v>
      </c>
      <c r="D15" s="35" t="s">
        <v>2840</v>
      </c>
      <c r="E15" s="40" t="s">
        <v>53</v>
      </c>
      <c r="F15" s="15"/>
      <c r="G15" s="170" t="s">
        <v>2841</v>
      </c>
      <c r="H15" s="170" t="s">
        <v>515</v>
      </c>
      <c r="I15" s="170" t="s">
        <v>626</v>
      </c>
      <c r="J15" s="172"/>
      <c r="K15" s="179" t="s">
        <v>2783</v>
      </c>
      <c r="L15" s="39" t="str">
        <f t="shared" si="7"/>
        <v>(850) 717-5011</v>
      </c>
      <c r="M15" s="39" t="str">
        <f t="shared" si="6"/>
        <v>cord.byrd@myfloridahouse.gov</v>
      </c>
      <c r="N15" s="39"/>
      <c r="O15" s="41"/>
      <c r="P15" s="37"/>
      <c r="Q15" s="37"/>
      <c r="R15" s="41"/>
      <c r="T15" t="str">
        <f t="shared" si="1"/>
        <v>Representative</v>
      </c>
      <c r="U15" s="139" t="str">
        <f t="shared" si="2"/>
        <v>Cord</v>
      </c>
      <c r="V15" t="str">
        <f t="shared" si="3"/>
        <v>Byrd</v>
      </c>
      <c r="W15" t="str">
        <f t="shared" si="4"/>
        <v>cord.byrd@myfloridahouse.gov</v>
      </c>
    </row>
    <row r="16" outlineLevel="1">
      <c r="A16" s="164" t="s">
        <v>44</v>
      </c>
      <c r="B16" s="31">
        <v>12.0</v>
      </c>
      <c r="C16" s="35" t="s">
        <v>868</v>
      </c>
      <c r="D16" s="35" t="s">
        <v>2847</v>
      </c>
      <c r="E16" s="40" t="s">
        <v>53</v>
      </c>
      <c r="F16" s="237"/>
      <c r="G16" s="170" t="s">
        <v>626</v>
      </c>
      <c r="H16" s="238" t="s">
        <v>2796</v>
      </c>
      <c r="I16" s="216"/>
      <c r="J16" s="172"/>
      <c r="K16" s="179" t="s">
        <v>2783</v>
      </c>
      <c r="L16" s="39" t="str">
        <f t="shared" si="7"/>
        <v>(850) 717-5012</v>
      </c>
      <c r="M16" s="39" t="str">
        <f t="shared" si="6"/>
        <v>clay.yarborough@myfloridahouse.gov</v>
      </c>
      <c r="N16" s="39"/>
      <c r="O16" s="41"/>
      <c r="P16" s="39"/>
      <c r="Q16" s="39"/>
      <c r="R16" s="41"/>
      <c r="T16" t="str">
        <f t="shared" si="1"/>
        <v/>
      </c>
      <c r="U16" s="139" t="str">
        <f t="shared" si="2"/>
        <v/>
      </c>
      <c r="V16" t="str">
        <f t="shared" si="3"/>
        <v/>
      </c>
      <c r="W16" t="str">
        <f t="shared" si="4"/>
        <v/>
      </c>
    </row>
    <row r="17" outlineLevel="1">
      <c r="A17" s="164" t="s">
        <v>44</v>
      </c>
      <c r="B17" s="31">
        <v>13.0</v>
      </c>
      <c r="C17" s="35" t="s">
        <v>2850</v>
      </c>
      <c r="D17" s="35" t="s">
        <v>1254</v>
      </c>
      <c r="E17" s="73" t="s">
        <v>49</v>
      </c>
      <c r="F17" s="237"/>
      <c r="G17" s="170" t="s">
        <v>2770</v>
      </c>
      <c r="H17" s="216"/>
      <c r="I17" s="216"/>
      <c r="J17" s="172"/>
      <c r="K17" s="179" t="s">
        <v>2783</v>
      </c>
      <c r="L17" s="39" t="str">
        <f t="shared" si="7"/>
        <v>(850) 717-5013</v>
      </c>
      <c r="M17" s="39" t="str">
        <f t="shared" si="6"/>
        <v>tracie.davis@myfloridahouse.gov</v>
      </c>
      <c r="N17" s="39"/>
      <c r="O17" s="41"/>
      <c r="P17" s="39"/>
      <c r="Q17" s="39"/>
      <c r="R17" s="41"/>
      <c r="T17" t="str">
        <f t="shared" si="1"/>
        <v/>
      </c>
      <c r="U17" s="139" t="str">
        <f t="shared" si="2"/>
        <v/>
      </c>
      <c r="V17" t="str">
        <f t="shared" si="3"/>
        <v/>
      </c>
      <c r="W17" t="str">
        <f t="shared" si="4"/>
        <v/>
      </c>
    </row>
    <row r="18" outlineLevel="1">
      <c r="A18" s="164" t="s">
        <v>44</v>
      </c>
      <c r="B18" s="31">
        <v>14.0</v>
      </c>
      <c r="C18" s="35" t="s">
        <v>2689</v>
      </c>
      <c r="D18" s="35" t="s">
        <v>497</v>
      </c>
      <c r="E18" s="73" t="s">
        <v>49</v>
      </c>
      <c r="F18" s="237"/>
      <c r="G18" s="170" t="s">
        <v>515</v>
      </c>
      <c r="H18" s="216"/>
      <c r="I18" s="216"/>
      <c r="J18" s="172"/>
      <c r="K18" s="179" t="s">
        <v>2783</v>
      </c>
      <c r="L18" s="39" t="str">
        <f t="shared" si="7"/>
        <v>(850) 717-5014</v>
      </c>
      <c r="M18" s="39" t="str">
        <f t="shared" si="6"/>
        <v>kimberly.daniels@myfloridahouse.gov</v>
      </c>
      <c r="N18" s="39"/>
      <c r="O18" s="41"/>
      <c r="P18" s="37"/>
      <c r="Q18" s="37"/>
      <c r="R18" s="41"/>
      <c r="T18" t="str">
        <f t="shared" si="1"/>
        <v/>
      </c>
      <c r="U18" s="139" t="str">
        <f t="shared" si="2"/>
        <v/>
      </c>
      <c r="V18" t="str">
        <f t="shared" si="3"/>
        <v/>
      </c>
      <c r="W18" t="str">
        <f t="shared" si="4"/>
        <v/>
      </c>
    </row>
    <row r="19" outlineLevel="1">
      <c r="A19" s="164" t="s">
        <v>44</v>
      </c>
      <c r="B19" s="31">
        <v>15.0</v>
      </c>
      <c r="C19" s="35" t="s">
        <v>2859</v>
      </c>
      <c r="D19" s="35" t="s">
        <v>2860</v>
      </c>
      <c r="E19" s="40" t="s">
        <v>53</v>
      </c>
      <c r="F19" s="237"/>
      <c r="G19" s="170" t="s">
        <v>2770</v>
      </c>
      <c r="H19" s="216"/>
      <c r="I19" s="216"/>
      <c r="J19" s="172"/>
      <c r="K19" s="179" t="s">
        <v>2783</v>
      </c>
      <c r="L19" s="39" t="str">
        <f t="shared" si="7"/>
        <v>(850) 717-5015</v>
      </c>
      <c r="M19" s="39" t="str">
        <f t="shared" si="6"/>
        <v>wyman.duggan@myfloridahouse.gov</v>
      </c>
      <c r="N19" s="39"/>
      <c r="O19" s="41"/>
      <c r="P19" s="39"/>
      <c r="Q19" s="39"/>
      <c r="R19" s="41"/>
      <c r="T19" t="str">
        <f t="shared" si="1"/>
        <v/>
      </c>
      <c r="U19" s="139" t="str">
        <f t="shared" si="2"/>
        <v/>
      </c>
      <c r="V19" t="str">
        <f t="shared" si="3"/>
        <v/>
      </c>
      <c r="W19" t="str">
        <f t="shared" si="4"/>
        <v/>
      </c>
    </row>
    <row r="20" outlineLevel="1">
      <c r="A20" s="164" t="s">
        <v>44</v>
      </c>
      <c r="B20" s="31">
        <v>16.0</v>
      </c>
      <c r="C20" s="35" t="s">
        <v>1231</v>
      </c>
      <c r="D20" s="35" t="s">
        <v>2861</v>
      </c>
      <c r="E20" s="40" t="s">
        <v>53</v>
      </c>
      <c r="F20" s="237"/>
      <c r="G20" s="170" t="s">
        <v>2862</v>
      </c>
      <c r="H20" s="216"/>
      <c r="I20" s="216"/>
      <c r="J20" s="172"/>
      <c r="K20" s="179" t="s">
        <v>2783</v>
      </c>
      <c r="L20" s="39" t="str">
        <f t="shared" si="7"/>
        <v>(850) 717-5016</v>
      </c>
      <c r="M20" s="39" t="str">
        <f t="shared" si="6"/>
        <v>jason.fischer@myfloridahouse.gov</v>
      </c>
      <c r="N20" s="39"/>
      <c r="O20" s="41"/>
      <c r="P20" s="37"/>
      <c r="Q20" s="37"/>
      <c r="R20" s="41"/>
      <c r="T20" t="str">
        <f t="shared" si="1"/>
        <v>Representative</v>
      </c>
      <c r="U20" s="139" t="str">
        <f t="shared" si="2"/>
        <v>Jason</v>
      </c>
      <c r="V20" t="str">
        <f t="shared" si="3"/>
        <v>Fischer</v>
      </c>
      <c r="W20" t="str">
        <f t="shared" si="4"/>
        <v>jason.fischer@myfloridahouse.gov</v>
      </c>
    </row>
    <row r="21" outlineLevel="1">
      <c r="A21" s="164" t="s">
        <v>44</v>
      </c>
      <c r="B21" s="31">
        <v>17.0</v>
      </c>
      <c r="C21" s="35" t="s">
        <v>2866</v>
      </c>
      <c r="D21" s="35" t="s">
        <v>2870</v>
      </c>
      <c r="E21" s="40" t="s">
        <v>53</v>
      </c>
      <c r="F21" s="237"/>
      <c r="G21" s="170" t="s">
        <v>652</v>
      </c>
      <c r="H21" s="238" t="s">
        <v>2796</v>
      </c>
      <c r="I21" s="216"/>
      <c r="J21" s="172"/>
      <c r="K21" s="179" t="s">
        <v>2871</v>
      </c>
      <c r="L21" s="39" t="str">
        <f t="shared" si="7"/>
        <v>(850) 717-5017</v>
      </c>
      <c r="M21" s="39" t="str">
        <f t="shared" si="6"/>
        <v>cyndi.stevenson@myfloridahouse.gov</v>
      </c>
      <c r="N21" s="39"/>
      <c r="O21" s="41"/>
      <c r="P21" s="39"/>
      <c r="Q21" s="39"/>
      <c r="R21" s="41"/>
      <c r="T21" t="str">
        <f t="shared" si="1"/>
        <v/>
      </c>
      <c r="U21" s="139" t="str">
        <f t="shared" si="2"/>
        <v/>
      </c>
      <c r="V21" t="str">
        <f t="shared" si="3"/>
        <v/>
      </c>
      <c r="W21" t="str">
        <f t="shared" si="4"/>
        <v/>
      </c>
    </row>
    <row r="22" outlineLevel="1">
      <c r="A22" s="164" t="s">
        <v>44</v>
      </c>
      <c r="B22" s="31">
        <v>18.0</v>
      </c>
      <c r="C22" s="35" t="s">
        <v>807</v>
      </c>
      <c r="D22" s="35" t="s">
        <v>2610</v>
      </c>
      <c r="E22" s="40" t="s">
        <v>53</v>
      </c>
      <c r="F22" s="237"/>
      <c r="G22" s="170" t="s">
        <v>662</v>
      </c>
      <c r="H22" s="179" t="s">
        <v>780</v>
      </c>
      <c r="I22" s="216"/>
      <c r="J22" s="172"/>
      <c r="K22" s="179" t="s">
        <v>2873</v>
      </c>
      <c r="L22" s="39" t="str">
        <f t="shared" si="7"/>
        <v>(850) 717-5018</v>
      </c>
      <c r="M22" s="39" t="str">
        <f t="shared" si="6"/>
        <v>travis.cummings@myfloridahouse.gov</v>
      </c>
      <c r="N22" s="240" t="str">
        <f>HYPERLINK("https://docs.google.com/document/d/1Xtw_ixjN3rrvKnXzffEwjETXCAa1uVXWRuVhOUTJSSI/edit?usp=drive_web&amp;ouid=111300232804728282603","Zero")</f>
        <v>Zero</v>
      </c>
      <c r="O22" s="41"/>
      <c r="P22" s="37"/>
      <c r="Q22" s="37"/>
      <c r="R22" s="41"/>
      <c r="T22" t="str">
        <f t="shared" si="1"/>
        <v>Representative</v>
      </c>
      <c r="U22" s="139" t="str">
        <f t="shared" si="2"/>
        <v>Travis</v>
      </c>
      <c r="V22" t="str">
        <f t="shared" si="3"/>
        <v>Cummings</v>
      </c>
      <c r="W22" t="str">
        <f t="shared" si="4"/>
        <v>travis.cummings@myfloridahouse.gov</v>
      </c>
    </row>
    <row r="23" outlineLevel="1">
      <c r="A23" s="164" t="s">
        <v>44</v>
      </c>
      <c r="B23" s="31">
        <v>19.0</v>
      </c>
      <c r="C23" s="35" t="s">
        <v>1019</v>
      </c>
      <c r="D23" s="35" t="s">
        <v>973</v>
      </c>
      <c r="E23" s="40" t="s">
        <v>53</v>
      </c>
      <c r="F23" s="237"/>
      <c r="G23" s="170" t="s">
        <v>2802</v>
      </c>
      <c r="H23" s="216"/>
      <c r="I23" s="216"/>
      <c r="J23" s="172"/>
      <c r="K23" s="179" t="s">
        <v>2783</v>
      </c>
      <c r="L23" s="39" t="str">
        <f t="shared" si="7"/>
        <v>(850) 717-5019</v>
      </c>
      <c r="M23" s="39" t="str">
        <f t="shared" si="6"/>
        <v>bobby.payne@myfloridahouse.gov</v>
      </c>
      <c r="N23" s="39"/>
      <c r="O23" s="41"/>
      <c r="P23" s="39"/>
      <c r="Q23" s="39"/>
      <c r="R23" s="41"/>
      <c r="T23" t="str">
        <f t="shared" si="1"/>
        <v/>
      </c>
      <c r="U23" s="139" t="str">
        <f t="shared" si="2"/>
        <v/>
      </c>
      <c r="V23" t="str">
        <f t="shared" si="3"/>
        <v/>
      </c>
      <c r="W23" t="str">
        <f t="shared" si="4"/>
        <v/>
      </c>
    </row>
    <row r="24" outlineLevel="1">
      <c r="A24" s="164" t="s">
        <v>44</v>
      </c>
      <c r="B24" s="31">
        <v>20.0</v>
      </c>
      <c r="C24" s="35" t="s">
        <v>2880</v>
      </c>
      <c r="D24" s="38" t="s">
        <v>853</v>
      </c>
      <c r="E24" s="73" t="s">
        <v>49</v>
      </c>
      <c r="F24" s="237"/>
      <c r="G24" s="170" t="s">
        <v>2802</v>
      </c>
      <c r="H24" s="216"/>
      <c r="I24" s="216"/>
      <c r="J24" s="172"/>
      <c r="K24" s="179" t="s">
        <v>2783</v>
      </c>
      <c r="L24" s="39" t="str">
        <f t="shared" si="7"/>
        <v>(850) 717-5020</v>
      </c>
      <c r="M24" s="39" t="str">
        <f t="shared" si="6"/>
        <v>clovis.watson@myfloridahouse.gov</v>
      </c>
      <c r="N24" s="39"/>
      <c r="O24" s="41"/>
      <c r="P24" s="39"/>
      <c r="Q24" s="39"/>
      <c r="R24" s="41"/>
      <c r="T24" t="str">
        <f t="shared" si="1"/>
        <v/>
      </c>
      <c r="U24" s="139" t="str">
        <f t="shared" si="2"/>
        <v/>
      </c>
      <c r="V24" t="str">
        <f t="shared" si="3"/>
        <v/>
      </c>
      <c r="W24" t="str">
        <f t="shared" si="4"/>
        <v/>
      </c>
    </row>
    <row r="25" outlineLevel="1">
      <c r="A25" s="164" t="s">
        <v>44</v>
      </c>
      <c r="B25" s="31">
        <v>21.0</v>
      </c>
      <c r="C25" s="35" t="s">
        <v>177</v>
      </c>
      <c r="D25" s="35" t="s">
        <v>2885</v>
      </c>
      <c r="E25" s="40" t="s">
        <v>53</v>
      </c>
      <c r="F25" s="237"/>
      <c r="G25" s="170" t="s">
        <v>2802</v>
      </c>
      <c r="H25" s="216"/>
      <c r="I25" s="216"/>
      <c r="J25" s="172"/>
      <c r="K25" s="179" t="s">
        <v>2783</v>
      </c>
      <c r="L25" s="39" t="str">
        <f t="shared" si="7"/>
        <v>(850) 717-5021</v>
      </c>
      <c r="M25" s="39" t="str">
        <f t="shared" si="6"/>
        <v>chuck.clemons@myfloridahouse.gov</v>
      </c>
      <c r="N25" s="39"/>
      <c r="O25" s="41"/>
      <c r="P25" s="39"/>
      <c r="Q25" s="39"/>
      <c r="R25" s="41"/>
      <c r="T25" t="str">
        <f t="shared" si="1"/>
        <v/>
      </c>
      <c r="U25" s="139" t="str">
        <f t="shared" si="2"/>
        <v/>
      </c>
      <c r="V25" t="str">
        <f t="shared" si="3"/>
        <v/>
      </c>
      <c r="W25" t="str">
        <f t="shared" si="4"/>
        <v/>
      </c>
    </row>
    <row r="26" outlineLevel="1">
      <c r="A26" s="164" t="s">
        <v>44</v>
      </c>
      <c r="B26" s="31">
        <v>22.0</v>
      </c>
      <c r="C26" s="35" t="s">
        <v>2746</v>
      </c>
      <c r="D26" s="35" t="s">
        <v>1547</v>
      </c>
      <c r="E26" s="40" t="s">
        <v>53</v>
      </c>
      <c r="F26" s="237"/>
      <c r="G26" s="170" t="s">
        <v>652</v>
      </c>
      <c r="H26" s="170" t="s">
        <v>515</v>
      </c>
      <c r="I26" s="170" t="s">
        <v>592</v>
      </c>
      <c r="J26" s="172"/>
      <c r="K26" s="179" t="s">
        <v>2873</v>
      </c>
      <c r="L26" s="39" t="str">
        <f t="shared" si="7"/>
        <v>(850) 717-5022</v>
      </c>
      <c r="M26" s="39" t="str">
        <f t="shared" si="6"/>
        <v>charlie.stone@myfloridahouse.gov</v>
      </c>
      <c r="N26" s="39"/>
      <c r="O26" s="41"/>
      <c r="P26" s="37"/>
      <c r="Q26" s="37"/>
      <c r="R26" s="41"/>
      <c r="T26" t="str">
        <f t="shared" si="1"/>
        <v/>
      </c>
      <c r="U26" s="139" t="str">
        <f t="shared" si="2"/>
        <v/>
      </c>
      <c r="V26" t="str">
        <f t="shared" si="3"/>
        <v/>
      </c>
      <c r="W26" t="str">
        <f t="shared" si="4"/>
        <v/>
      </c>
    </row>
    <row r="27" outlineLevel="1">
      <c r="A27" s="164" t="s">
        <v>44</v>
      </c>
      <c r="B27" s="31">
        <v>23.0</v>
      </c>
      <c r="C27" s="35" t="s">
        <v>1513</v>
      </c>
      <c r="D27" s="35" t="s">
        <v>2891</v>
      </c>
      <c r="E27" s="40" t="s">
        <v>53</v>
      </c>
      <c r="F27" s="237"/>
      <c r="G27" s="170" t="s">
        <v>2802</v>
      </c>
      <c r="H27" s="216"/>
      <c r="I27" s="216"/>
      <c r="J27" s="172"/>
      <c r="K27" s="179" t="s">
        <v>2783</v>
      </c>
      <c r="L27" s="39" t="str">
        <f t="shared" si="7"/>
        <v>(850) 717-5023</v>
      </c>
      <c r="M27" s="39" t="str">
        <f t="shared" si="6"/>
        <v>stan.mcclain@myfloridahouse.gov</v>
      </c>
      <c r="N27" s="39"/>
      <c r="O27" s="41"/>
      <c r="P27" s="37"/>
      <c r="Q27" s="37"/>
      <c r="R27" s="41"/>
      <c r="T27" t="str">
        <f t="shared" si="1"/>
        <v/>
      </c>
      <c r="U27" s="139" t="str">
        <f t="shared" si="2"/>
        <v/>
      </c>
      <c r="V27" t="str">
        <f t="shared" si="3"/>
        <v/>
      </c>
      <c r="W27" t="str">
        <f t="shared" si="4"/>
        <v/>
      </c>
    </row>
    <row r="28" outlineLevel="1">
      <c r="A28" s="164" t="s">
        <v>44</v>
      </c>
      <c r="B28" s="31">
        <v>24.0</v>
      </c>
      <c r="C28" s="35" t="s">
        <v>679</v>
      </c>
      <c r="D28" s="35" t="s">
        <v>2896</v>
      </c>
      <c r="E28" s="40" t="s">
        <v>53</v>
      </c>
      <c r="F28" s="237"/>
      <c r="G28" s="170" t="s">
        <v>877</v>
      </c>
      <c r="H28" s="170" t="s">
        <v>626</v>
      </c>
      <c r="I28" s="179" t="s">
        <v>780</v>
      </c>
      <c r="J28" s="172"/>
      <c r="K28" s="179" t="s">
        <v>2897</v>
      </c>
      <c r="L28" s="39" t="str">
        <f t="shared" si="7"/>
        <v>(850) 717-5024</v>
      </c>
      <c r="M28" s="39" t="str">
        <f t="shared" si="6"/>
        <v>paul.renner@myfloridahouse.gov</v>
      </c>
      <c r="N28" s="240" t="str">
        <f>HYPERLINK("https://docs.google.com/document/d/1ZrZAZXoPdVF5zbtwcVvjuT2OOgLHW_Mwy-ZwlADN-tk/edit","Zero")</f>
        <v>Zero</v>
      </c>
      <c r="O28" s="41"/>
      <c r="P28" s="39"/>
      <c r="Q28" s="39"/>
      <c r="R28" s="41"/>
      <c r="T28" t="str">
        <f t="shared" si="1"/>
        <v>Representative</v>
      </c>
      <c r="U28" s="139" t="str">
        <f t="shared" si="2"/>
        <v>Paul</v>
      </c>
      <c r="V28" t="str">
        <f t="shared" si="3"/>
        <v>Renner</v>
      </c>
      <c r="W28" t="str">
        <f t="shared" si="4"/>
        <v>paul.renner@myfloridahouse.gov</v>
      </c>
    </row>
    <row r="29" outlineLevel="1">
      <c r="A29" s="164" t="s">
        <v>44</v>
      </c>
      <c r="B29" s="31">
        <v>25.0</v>
      </c>
      <c r="C29" s="35" t="s">
        <v>338</v>
      </c>
      <c r="D29" s="35" t="s">
        <v>2900</v>
      </c>
      <c r="E29" s="40" t="s">
        <v>53</v>
      </c>
      <c r="F29" s="237"/>
      <c r="G29" s="170" t="s">
        <v>2901</v>
      </c>
      <c r="H29" s="170" t="s">
        <v>626</v>
      </c>
      <c r="I29" s="170" t="s">
        <v>2796</v>
      </c>
      <c r="J29" s="172"/>
      <c r="K29" s="179" t="s">
        <v>2783</v>
      </c>
      <c r="L29" s="39" t="str">
        <f t="shared" si="7"/>
        <v>(850) 717-5025</v>
      </c>
      <c r="M29" s="39" t="str">
        <f t="shared" si="6"/>
        <v>tom.leek@myfloridahouse.gov</v>
      </c>
      <c r="N29" s="39"/>
      <c r="O29" s="41"/>
      <c r="P29" s="39"/>
      <c r="Q29" s="39"/>
      <c r="R29" s="41"/>
      <c r="T29" t="str">
        <f t="shared" si="1"/>
        <v>Representative</v>
      </c>
      <c r="U29" s="139" t="str">
        <f t="shared" si="2"/>
        <v>Tom</v>
      </c>
      <c r="V29" t="str">
        <f t="shared" si="3"/>
        <v>Leek</v>
      </c>
      <c r="W29" t="str">
        <f t="shared" si="4"/>
        <v>tom.leek@myfloridahouse.gov</v>
      </c>
    </row>
    <row r="30" outlineLevel="1">
      <c r="A30" s="164" t="s">
        <v>44</v>
      </c>
      <c r="B30" s="31">
        <v>26.0</v>
      </c>
      <c r="C30" s="74" t="s">
        <v>2830</v>
      </c>
      <c r="D30" s="74" t="s">
        <v>2902</v>
      </c>
      <c r="E30" s="40" t="s">
        <v>53</v>
      </c>
      <c r="F30" s="237"/>
      <c r="G30" s="170" t="s">
        <v>515</v>
      </c>
      <c r="H30" s="216"/>
      <c r="I30" s="216"/>
      <c r="J30" s="172"/>
      <c r="K30" s="179" t="s">
        <v>2903</v>
      </c>
      <c r="L30" s="39" t="str">
        <f t="shared" si="7"/>
        <v>(850) 717-5026</v>
      </c>
      <c r="M30" s="39" t="str">
        <f t="shared" si="6"/>
        <v>elizabeth.fetterhoff@myfloridahouse.gov</v>
      </c>
      <c r="N30" s="39"/>
      <c r="O30" s="41"/>
      <c r="P30" s="39"/>
      <c r="Q30" s="39"/>
      <c r="R30" s="41"/>
      <c r="T30" t="str">
        <f t="shared" si="1"/>
        <v/>
      </c>
      <c r="U30" s="139" t="str">
        <f t="shared" si="2"/>
        <v/>
      </c>
      <c r="V30" t="str">
        <f t="shared" si="3"/>
        <v/>
      </c>
      <c r="W30" t="str">
        <f t="shared" si="4"/>
        <v/>
      </c>
    </row>
    <row r="31" outlineLevel="1">
      <c r="A31" s="164" t="s">
        <v>44</v>
      </c>
      <c r="B31" s="31">
        <v>27.0</v>
      </c>
      <c r="C31" s="35" t="s">
        <v>108</v>
      </c>
      <c r="D31" s="35" t="s">
        <v>1752</v>
      </c>
      <c r="E31" s="40" t="s">
        <v>53</v>
      </c>
      <c r="F31" s="237"/>
      <c r="G31" s="170" t="s">
        <v>652</v>
      </c>
      <c r="H31" s="170" t="s">
        <v>592</v>
      </c>
      <c r="I31" s="216"/>
      <c r="J31" s="172"/>
      <c r="K31" s="179" t="s">
        <v>2783</v>
      </c>
      <c r="L31" s="39" t="str">
        <f t="shared" si="7"/>
        <v>(850) 717-5027</v>
      </c>
      <c r="M31" s="39" t="str">
        <f t="shared" si="6"/>
        <v>david.santiago@myfloridahouse.gov</v>
      </c>
      <c r="N31" s="39"/>
      <c r="O31" s="41"/>
      <c r="P31" s="39"/>
      <c r="Q31" s="39"/>
      <c r="R31" s="41"/>
      <c r="T31" t="str">
        <f t="shared" si="1"/>
        <v/>
      </c>
      <c r="U31" s="139" t="str">
        <f t="shared" si="2"/>
        <v/>
      </c>
      <c r="V31" t="str">
        <f t="shared" si="3"/>
        <v/>
      </c>
      <c r="W31" t="str">
        <f t="shared" si="4"/>
        <v/>
      </c>
    </row>
    <row r="32" outlineLevel="1">
      <c r="A32" s="164" t="s">
        <v>44</v>
      </c>
      <c r="B32" s="31">
        <v>28.0</v>
      </c>
      <c r="C32" s="35" t="s">
        <v>108</v>
      </c>
      <c r="D32" s="35" t="s">
        <v>1451</v>
      </c>
      <c r="E32" s="40" t="s">
        <v>53</v>
      </c>
      <c r="F32" s="237"/>
      <c r="G32" s="170" t="s">
        <v>2770</v>
      </c>
      <c r="H32" s="216"/>
      <c r="I32" s="216"/>
      <c r="J32" s="172"/>
      <c r="K32" s="179" t="s">
        <v>2783</v>
      </c>
      <c r="L32" s="39" t="str">
        <f t="shared" si="7"/>
        <v>(850) 717-5028</v>
      </c>
      <c r="M32" s="39" t="str">
        <f t="shared" si="6"/>
        <v>david.smith@myfloridahouse.gov</v>
      </c>
      <c r="N32" s="39"/>
      <c r="O32" s="41"/>
      <c r="P32" s="37"/>
      <c r="Q32" s="37"/>
      <c r="R32" s="41"/>
      <c r="T32" t="str">
        <f t="shared" si="1"/>
        <v/>
      </c>
      <c r="U32" s="139" t="str">
        <f t="shared" si="2"/>
        <v/>
      </c>
      <c r="V32" t="str">
        <f t="shared" si="3"/>
        <v/>
      </c>
      <c r="W32" t="str">
        <f t="shared" si="4"/>
        <v/>
      </c>
    </row>
    <row r="33" outlineLevel="1">
      <c r="A33" s="164" t="s">
        <v>44</v>
      </c>
      <c r="B33" s="31">
        <v>29.0</v>
      </c>
      <c r="C33" s="35" t="s">
        <v>45</v>
      </c>
      <c r="D33" s="35" t="s">
        <v>2908</v>
      </c>
      <c r="E33" s="40" t="s">
        <v>53</v>
      </c>
      <c r="F33" s="237"/>
      <c r="G33" s="170" t="s">
        <v>2910</v>
      </c>
      <c r="H33" s="170" t="s">
        <v>626</v>
      </c>
      <c r="I33" s="170" t="s">
        <v>2796</v>
      </c>
      <c r="J33" s="172"/>
      <c r="K33" s="179" t="s">
        <v>2911</v>
      </c>
      <c r="L33" s="39" t="str">
        <f t="shared" si="7"/>
        <v>(850) 717-5029</v>
      </c>
      <c r="M33" s="39" t="str">
        <f t="shared" si="6"/>
        <v>scott.plakon@myfloridahouse.gov</v>
      </c>
      <c r="N33" s="39"/>
      <c r="O33" s="41"/>
      <c r="P33" s="37"/>
      <c r="Q33" s="37"/>
      <c r="R33" s="41"/>
      <c r="T33" t="str">
        <f t="shared" si="1"/>
        <v>Representative</v>
      </c>
      <c r="U33" s="139" t="str">
        <f t="shared" si="2"/>
        <v>Scott</v>
      </c>
      <c r="V33" t="str">
        <f t="shared" si="3"/>
        <v>Plakon</v>
      </c>
      <c r="W33" t="str">
        <f t="shared" si="4"/>
        <v>scott.plakon@myfloridahouse.gov</v>
      </c>
    </row>
    <row r="34" outlineLevel="1">
      <c r="A34" s="164" t="s">
        <v>44</v>
      </c>
      <c r="B34" s="31">
        <v>30.0</v>
      </c>
      <c r="C34" s="35" t="s">
        <v>2913</v>
      </c>
      <c r="D34" s="35" t="s">
        <v>2914</v>
      </c>
      <c r="E34" s="73" t="s">
        <v>49</v>
      </c>
      <c r="F34" s="237"/>
      <c r="G34" s="170" t="s">
        <v>2796</v>
      </c>
      <c r="H34" s="170" t="s">
        <v>2770</v>
      </c>
      <c r="I34" s="216"/>
      <c r="J34" s="172"/>
      <c r="K34" s="179" t="s">
        <v>2783</v>
      </c>
      <c r="L34" s="39" t="str">
        <f t="shared" si="7"/>
        <v>(850) 717-5030</v>
      </c>
      <c r="M34" s="39" t="str">
        <f t="shared" si="6"/>
        <v>joy.goff-marcil@myfloridahouse.gov</v>
      </c>
      <c r="N34" s="39"/>
      <c r="O34" s="41"/>
      <c r="P34" s="39"/>
      <c r="Q34" s="39"/>
      <c r="R34" s="41"/>
      <c r="T34" t="str">
        <f t="shared" si="1"/>
        <v/>
      </c>
      <c r="U34" s="139" t="str">
        <f t="shared" si="2"/>
        <v/>
      </c>
      <c r="V34" t="str">
        <f t="shared" si="3"/>
        <v/>
      </c>
      <c r="W34" t="str">
        <f t="shared" si="4"/>
        <v/>
      </c>
    </row>
    <row r="35" outlineLevel="1">
      <c r="A35" s="164" t="s">
        <v>44</v>
      </c>
      <c r="B35" s="31">
        <v>31.0</v>
      </c>
      <c r="C35" s="35" t="s">
        <v>191</v>
      </c>
      <c r="D35" s="35" t="s">
        <v>435</v>
      </c>
      <c r="E35" s="40" t="s">
        <v>53</v>
      </c>
      <c r="F35" s="237"/>
      <c r="G35" s="170" t="s">
        <v>1047</v>
      </c>
      <c r="H35" s="170" t="s">
        <v>2770</v>
      </c>
      <c r="I35" s="170" t="s">
        <v>592</v>
      </c>
      <c r="J35" s="172"/>
      <c r="K35" s="179" t="s">
        <v>2917</v>
      </c>
      <c r="L35" s="39" t="str">
        <f t="shared" si="7"/>
        <v>(850) 717-5031</v>
      </c>
      <c r="M35" s="39" t="str">
        <f t="shared" si="6"/>
        <v>jennifer.sullivan@myfloridahouse.gov</v>
      </c>
      <c r="N35" s="39"/>
      <c r="O35" s="41"/>
      <c r="P35" s="37"/>
      <c r="Q35" s="37"/>
      <c r="R35" s="41"/>
      <c r="T35" t="str">
        <f t="shared" si="1"/>
        <v>Representative</v>
      </c>
      <c r="U35" s="139" t="str">
        <f t="shared" si="2"/>
        <v>Jennifer</v>
      </c>
      <c r="V35" t="str">
        <f t="shared" si="3"/>
        <v>Sullivan</v>
      </c>
      <c r="W35" t="str">
        <f t="shared" si="4"/>
        <v>jennifer.sullivan@myfloridahouse.gov</v>
      </c>
    </row>
    <row r="36" outlineLevel="1">
      <c r="A36" s="164" t="s">
        <v>44</v>
      </c>
      <c r="B36" s="31">
        <v>32.0</v>
      </c>
      <c r="C36" s="249" t="s">
        <v>496</v>
      </c>
      <c r="D36" s="249" t="s">
        <v>2919</v>
      </c>
      <c r="E36" s="40" t="s">
        <v>53</v>
      </c>
      <c r="F36" s="250"/>
      <c r="G36" s="170" t="s">
        <v>652</v>
      </c>
      <c r="H36" s="216"/>
      <c r="I36" s="251"/>
      <c r="J36" s="172"/>
      <c r="K36" s="179" t="s">
        <v>2783</v>
      </c>
      <c r="L36" s="39" t="str">
        <f t="shared" si="7"/>
        <v>(850) 717-5032</v>
      </c>
      <c r="M36" s="39" t="str">
        <f t="shared" si="6"/>
        <v>anthony.sabatini@myfloridahouse.gov</v>
      </c>
      <c r="N36" s="39"/>
      <c r="O36" s="41"/>
      <c r="P36" s="39"/>
      <c r="Q36" s="39"/>
      <c r="R36" s="41"/>
      <c r="T36" t="str">
        <f t="shared" si="1"/>
        <v/>
      </c>
      <c r="U36" s="139" t="str">
        <f t="shared" si="2"/>
        <v/>
      </c>
      <c r="V36" t="str">
        <f t="shared" si="3"/>
        <v/>
      </c>
      <c r="W36" t="str">
        <f t="shared" si="4"/>
        <v/>
      </c>
    </row>
    <row r="37" outlineLevel="1">
      <c r="A37" s="164" t="s">
        <v>44</v>
      </c>
      <c r="B37" s="31">
        <v>33.0</v>
      </c>
      <c r="C37" s="249" t="s">
        <v>547</v>
      </c>
      <c r="D37" s="249" t="s">
        <v>2921</v>
      </c>
      <c r="E37" s="40" t="s">
        <v>53</v>
      </c>
      <c r="F37" s="250"/>
      <c r="G37" s="170" t="s">
        <v>652</v>
      </c>
      <c r="H37" s="216"/>
      <c r="I37" s="251"/>
      <c r="J37" s="172"/>
      <c r="K37" s="179" t="s">
        <v>2783</v>
      </c>
      <c r="L37" s="39" t="str">
        <f t="shared" si="7"/>
        <v>(850) 717-5033</v>
      </c>
      <c r="M37" s="39" t="str">
        <f t="shared" si="6"/>
        <v>brett.hage@myfloridahouse.gov</v>
      </c>
      <c r="N37" s="39"/>
      <c r="O37" s="41"/>
      <c r="P37" s="37"/>
      <c r="Q37" s="37"/>
      <c r="R37" s="41"/>
      <c r="T37" t="str">
        <f t="shared" si="1"/>
        <v/>
      </c>
      <c r="U37" s="139" t="str">
        <f t="shared" si="2"/>
        <v/>
      </c>
      <c r="V37" t="str">
        <f t="shared" si="3"/>
        <v/>
      </c>
      <c r="W37" t="str">
        <f t="shared" si="4"/>
        <v/>
      </c>
    </row>
    <row r="38" outlineLevel="1">
      <c r="A38" s="164" t="s">
        <v>44</v>
      </c>
      <c r="B38" s="31">
        <v>34.0</v>
      </c>
      <c r="C38" s="35" t="s">
        <v>588</v>
      </c>
      <c r="D38" s="35" t="s">
        <v>2922</v>
      </c>
      <c r="E38" s="40" t="s">
        <v>53</v>
      </c>
      <c r="F38" s="237"/>
      <c r="G38" s="170" t="s">
        <v>626</v>
      </c>
      <c r="H38" s="170" t="s">
        <v>515</v>
      </c>
      <c r="I38" s="170" t="s">
        <v>2770</v>
      </c>
      <c r="J38" s="172"/>
      <c r="K38" s="179" t="s">
        <v>2923</v>
      </c>
      <c r="L38" s="39" t="str">
        <f t="shared" si="7"/>
        <v>(850) 717-5034</v>
      </c>
      <c r="M38" s="39" t="str">
        <f t="shared" si="6"/>
        <v>ralph.massullo@myfloridahouse.gov</v>
      </c>
      <c r="N38" s="39"/>
      <c r="O38" s="41"/>
      <c r="P38" s="39"/>
      <c r="Q38" s="39"/>
      <c r="R38" s="41"/>
      <c r="T38" t="str">
        <f t="shared" si="1"/>
        <v/>
      </c>
      <c r="U38" s="139" t="str">
        <f t="shared" si="2"/>
        <v/>
      </c>
      <c r="V38" t="str">
        <f t="shared" si="3"/>
        <v/>
      </c>
      <c r="W38" t="str">
        <f t="shared" si="4"/>
        <v/>
      </c>
    </row>
    <row r="39" outlineLevel="1">
      <c r="A39" s="164" t="s">
        <v>44</v>
      </c>
      <c r="B39" s="31">
        <v>35.0</v>
      </c>
      <c r="C39" s="35" t="s">
        <v>2925</v>
      </c>
      <c r="D39" s="35" t="s">
        <v>2927</v>
      </c>
      <c r="E39" s="40" t="s">
        <v>53</v>
      </c>
      <c r="F39" s="237"/>
      <c r="G39" s="170" t="s">
        <v>2928</v>
      </c>
      <c r="H39" s="170" t="s">
        <v>592</v>
      </c>
      <c r="I39" s="216"/>
      <c r="J39" s="172"/>
      <c r="K39" s="179" t="s">
        <v>2783</v>
      </c>
      <c r="L39" s="39" t="str">
        <f t="shared" si="7"/>
        <v>(850) 717-5035</v>
      </c>
      <c r="M39" s="39" t="str">
        <f t="shared" si="6"/>
        <v>blaise.ingoglia@myfloridahouse.gov</v>
      </c>
      <c r="N39" s="39"/>
      <c r="O39" s="41"/>
      <c r="P39" s="39"/>
      <c r="Q39" s="39"/>
      <c r="R39" s="41"/>
      <c r="T39" t="str">
        <f t="shared" si="1"/>
        <v>Representative</v>
      </c>
      <c r="U39" s="139" t="str">
        <f t="shared" si="2"/>
        <v>Blaise</v>
      </c>
      <c r="V39" t="str">
        <f t="shared" si="3"/>
        <v>Ingoglia</v>
      </c>
      <c r="W39" t="str">
        <f t="shared" si="4"/>
        <v>blaise.ingoglia@myfloridahouse.gov</v>
      </c>
    </row>
    <row r="40" outlineLevel="1">
      <c r="A40" s="164" t="s">
        <v>44</v>
      </c>
      <c r="B40" s="31">
        <v>36.0</v>
      </c>
      <c r="C40" s="35" t="s">
        <v>2929</v>
      </c>
      <c r="D40" s="35" t="s">
        <v>2930</v>
      </c>
      <c r="E40" s="40" t="s">
        <v>53</v>
      </c>
      <c r="F40" s="237"/>
      <c r="G40" s="170" t="s">
        <v>515</v>
      </c>
      <c r="H40" s="216"/>
      <c r="I40" s="216"/>
      <c r="J40" s="172"/>
      <c r="K40" s="239" t="s">
        <v>2932</v>
      </c>
      <c r="L40" s="39" t="str">
        <f t="shared" si="7"/>
        <v>(850) 717-5036</v>
      </c>
      <c r="M40" s="39" t="str">
        <f t="shared" si="6"/>
        <v>amber.mariano@myfloridahouse.gov</v>
      </c>
      <c r="N40" s="39"/>
      <c r="O40" s="41"/>
      <c r="P40" s="39"/>
      <c r="Q40" s="39"/>
      <c r="R40" s="41"/>
      <c r="T40" t="str">
        <f t="shared" si="1"/>
        <v/>
      </c>
      <c r="U40" s="139" t="str">
        <f t="shared" si="2"/>
        <v/>
      </c>
      <c r="V40" t="str">
        <f t="shared" si="3"/>
        <v/>
      </c>
      <c r="W40" t="str">
        <f t="shared" si="4"/>
        <v/>
      </c>
    </row>
    <row r="41" outlineLevel="1">
      <c r="A41" s="164" t="s">
        <v>44</v>
      </c>
      <c r="B41" s="31">
        <v>37.0</v>
      </c>
      <c r="C41" s="35" t="s">
        <v>2933</v>
      </c>
      <c r="D41" s="35" t="s">
        <v>2934</v>
      </c>
      <c r="E41" s="40" t="s">
        <v>53</v>
      </c>
      <c r="F41" s="237"/>
      <c r="G41" s="170" t="s">
        <v>2802</v>
      </c>
      <c r="H41" s="216"/>
      <c r="I41" s="216"/>
      <c r="J41" s="172"/>
      <c r="K41" s="179" t="s">
        <v>2783</v>
      </c>
      <c r="L41" s="39" t="str">
        <f t="shared" si="7"/>
        <v>(850) 717-5037</v>
      </c>
      <c r="M41" s="39" t="str">
        <f t="shared" si="6"/>
        <v>ardian.zika@myfloridahouse.gov</v>
      </c>
      <c r="N41" s="39"/>
      <c r="O41" s="41"/>
      <c r="P41" s="37"/>
      <c r="Q41" s="37"/>
      <c r="R41" s="41"/>
      <c r="T41" t="str">
        <f t="shared" si="1"/>
        <v/>
      </c>
      <c r="U41" s="139" t="str">
        <f t="shared" si="2"/>
        <v/>
      </c>
      <c r="V41" t="str">
        <f t="shared" si="3"/>
        <v/>
      </c>
      <c r="W41" t="str">
        <f t="shared" si="4"/>
        <v/>
      </c>
    </row>
    <row r="42" outlineLevel="1">
      <c r="A42" s="164" t="s">
        <v>44</v>
      </c>
      <c r="B42" s="31">
        <v>38.0</v>
      </c>
      <c r="C42" s="35" t="s">
        <v>100</v>
      </c>
      <c r="D42" s="35" t="s">
        <v>2937</v>
      </c>
      <c r="E42" s="40" t="s">
        <v>53</v>
      </c>
      <c r="F42" s="237"/>
      <c r="G42" s="216"/>
      <c r="H42" s="216"/>
      <c r="I42" s="216"/>
      <c r="J42" s="172"/>
      <c r="K42" s="179" t="s">
        <v>2783</v>
      </c>
      <c r="L42" s="39" t="str">
        <f t="shared" si="7"/>
        <v>(850) 717-5038</v>
      </c>
      <c r="M42" s="39" t="str">
        <f t="shared" si="6"/>
        <v>danny.burgess@myfloridahouse.gov</v>
      </c>
      <c r="N42" s="39"/>
      <c r="O42" s="41"/>
      <c r="P42" s="39"/>
      <c r="Q42" s="39"/>
      <c r="R42" s="41"/>
      <c r="T42" t="str">
        <f t="shared" si="1"/>
        <v/>
      </c>
      <c r="U42" s="139" t="str">
        <f t="shared" si="2"/>
        <v/>
      </c>
      <c r="V42" t="str">
        <f t="shared" si="3"/>
        <v/>
      </c>
      <c r="W42" t="str">
        <f t="shared" si="4"/>
        <v/>
      </c>
    </row>
    <row r="43" outlineLevel="1">
      <c r="A43" s="164" t="s">
        <v>44</v>
      </c>
      <c r="B43" s="31">
        <v>39.0</v>
      </c>
      <c r="C43" s="35" t="s">
        <v>2938</v>
      </c>
      <c r="D43" s="35" t="s">
        <v>2939</v>
      </c>
      <c r="E43" s="40" t="s">
        <v>53</v>
      </c>
      <c r="F43" s="237"/>
      <c r="G43" s="170" t="s">
        <v>2770</v>
      </c>
      <c r="H43" s="216"/>
      <c r="I43" s="216"/>
      <c r="J43" s="172"/>
      <c r="K43" s="179" t="s">
        <v>2783</v>
      </c>
      <c r="L43" s="39" t="str">
        <f t="shared" si="7"/>
        <v>(850) 717-5039</v>
      </c>
      <c r="M43" s="39" t="str">
        <f t="shared" si="6"/>
        <v>josie.tomkow@myfloridahouse.gov</v>
      </c>
      <c r="N43" s="39"/>
      <c r="O43" s="41"/>
      <c r="P43" s="39"/>
      <c r="Q43" s="39"/>
      <c r="R43" s="41"/>
      <c r="T43" t="str">
        <f t="shared" si="1"/>
        <v/>
      </c>
      <c r="U43" s="139" t="str">
        <f t="shared" si="2"/>
        <v/>
      </c>
      <c r="V43" t="str">
        <f t="shared" si="3"/>
        <v/>
      </c>
      <c r="W43" t="str">
        <f t="shared" si="4"/>
        <v/>
      </c>
    </row>
    <row r="44" outlineLevel="1">
      <c r="A44" s="164" t="s">
        <v>44</v>
      </c>
      <c r="B44" s="31">
        <v>40.0</v>
      </c>
      <c r="C44" s="35" t="s">
        <v>84</v>
      </c>
      <c r="D44" s="35" t="s">
        <v>2945</v>
      </c>
      <c r="E44" s="40" t="s">
        <v>53</v>
      </c>
      <c r="F44" s="237"/>
      <c r="G44" s="170" t="s">
        <v>2796</v>
      </c>
      <c r="H44" s="170" t="s">
        <v>592</v>
      </c>
      <c r="I44" s="216"/>
      <c r="J44" s="172"/>
      <c r="K44" s="179" t="s">
        <v>2783</v>
      </c>
      <c r="L44" s="39" t="str">
        <f t="shared" si="7"/>
        <v>(850) 717-5040</v>
      </c>
      <c r="M44" s="39" t="str">
        <f t="shared" si="6"/>
        <v>colleen.burton@myfloridahouse.gov</v>
      </c>
      <c r="N44" s="39"/>
      <c r="O44" s="41"/>
      <c r="P44" s="39"/>
      <c r="Q44" s="39"/>
      <c r="R44" s="41"/>
      <c r="T44" t="str">
        <f t="shared" si="1"/>
        <v/>
      </c>
      <c r="U44" s="139" t="str">
        <f t="shared" si="2"/>
        <v/>
      </c>
      <c r="V44" t="str">
        <f t="shared" si="3"/>
        <v/>
      </c>
      <c r="W44" t="str">
        <f t="shared" si="4"/>
        <v/>
      </c>
    </row>
    <row r="45" outlineLevel="1">
      <c r="A45" s="164" t="s">
        <v>44</v>
      </c>
      <c r="B45" s="31">
        <v>41.0</v>
      </c>
      <c r="C45" s="35" t="s">
        <v>224</v>
      </c>
      <c r="D45" s="35" t="s">
        <v>2948</v>
      </c>
      <c r="E45" s="40" t="s">
        <v>53</v>
      </c>
      <c r="F45" s="237"/>
      <c r="G45" s="170" t="s">
        <v>781</v>
      </c>
      <c r="H45" s="170" t="s">
        <v>2770</v>
      </c>
      <c r="I45" s="216"/>
      <c r="J45" s="172"/>
      <c r="K45" s="179" t="s">
        <v>2783</v>
      </c>
      <c r="L45" s="39" t="str">
        <f t="shared" si="7"/>
        <v>(850) 717-5041</v>
      </c>
      <c r="M45" s="39" t="str">
        <f t="shared" si="6"/>
        <v>sam.killebrew@myfloridahouse.gov</v>
      </c>
      <c r="N45" s="39"/>
      <c r="O45" s="41"/>
      <c r="P45" s="39"/>
      <c r="Q45" s="39"/>
      <c r="R45" s="41"/>
      <c r="T45" t="str">
        <f t="shared" si="1"/>
        <v/>
      </c>
      <c r="U45" s="139" t="str">
        <f t="shared" si="2"/>
        <v/>
      </c>
      <c r="V45" t="str">
        <f t="shared" si="3"/>
        <v/>
      </c>
      <c r="W45" t="str">
        <f t="shared" si="4"/>
        <v/>
      </c>
    </row>
    <row r="46" outlineLevel="1">
      <c r="A46" s="164" t="s">
        <v>44</v>
      </c>
      <c r="B46" s="31">
        <v>42.0</v>
      </c>
      <c r="C46" s="35" t="s">
        <v>157</v>
      </c>
      <c r="D46" s="38" t="s">
        <v>2953</v>
      </c>
      <c r="E46" s="40" t="s">
        <v>53</v>
      </c>
      <c r="F46" s="237"/>
      <c r="G46" s="170" t="s">
        <v>911</v>
      </c>
      <c r="H46" s="170" t="s">
        <v>626</v>
      </c>
      <c r="I46" s="179" t="s">
        <v>780</v>
      </c>
      <c r="J46" s="172"/>
      <c r="K46" s="179" t="s">
        <v>2783</v>
      </c>
      <c r="L46" s="39" t="str">
        <f t="shared" si="7"/>
        <v>(850) 717-5042</v>
      </c>
      <c r="M46" s="39" t="str">
        <f t="shared" si="6"/>
        <v>mike.larosa@myfloridahouse.gov</v>
      </c>
      <c r="N46" s="39"/>
      <c r="O46" s="41"/>
      <c r="P46" s="39"/>
      <c r="Q46" s="39"/>
      <c r="R46" s="41"/>
      <c r="T46" t="str">
        <f t="shared" si="1"/>
        <v>Representative</v>
      </c>
      <c r="U46" s="139" t="str">
        <f t="shared" si="2"/>
        <v>Mike</v>
      </c>
      <c r="V46" t="str">
        <f t="shared" si="3"/>
        <v>LaRosa</v>
      </c>
      <c r="W46" t="str">
        <f t="shared" si="4"/>
        <v>mike.larosa@myfloridahouse.gov</v>
      </c>
    </row>
    <row r="47" outlineLevel="1">
      <c r="A47" s="164" t="s">
        <v>44</v>
      </c>
      <c r="B47" s="31">
        <v>43.0</v>
      </c>
      <c r="C47" s="35" t="s">
        <v>278</v>
      </c>
      <c r="D47" s="35" t="s">
        <v>2957</v>
      </c>
      <c r="E47" s="73" t="s">
        <v>49</v>
      </c>
      <c r="F47" s="237"/>
      <c r="G47" s="170" t="s">
        <v>2796</v>
      </c>
      <c r="H47" s="170" t="s">
        <v>592</v>
      </c>
      <c r="I47" s="216"/>
      <c r="J47" s="172"/>
      <c r="K47" s="179" t="s">
        <v>2783</v>
      </c>
      <c r="L47" s="39" t="str">
        <f t="shared" si="7"/>
        <v>(850) 717-5043</v>
      </c>
      <c r="M47" s="39" t="str">
        <f t="shared" si="6"/>
        <v>john.cortes@myfloridahouse.gov</v>
      </c>
      <c r="N47" s="39"/>
      <c r="O47" s="41"/>
      <c r="P47" s="39"/>
      <c r="Q47" s="39"/>
      <c r="R47" s="41"/>
      <c r="T47" t="str">
        <f t="shared" si="1"/>
        <v/>
      </c>
      <c r="U47" s="139" t="str">
        <f t="shared" si="2"/>
        <v/>
      </c>
      <c r="V47" t="str">
        <f t="shared" si="3"/>
        <v/>
      </c>
      <c r="W47" t="str">
        <f t="shared" si="4"/>
        <v/>
      </c>
    </row>
    <row r="48" outlineLevel="1">
      <c r="A48" s="164" t="s">
        <v>44</v>
      </c>
      <c r="B48" s="31">
        <v>44.0</v>
      </c>
      <c r="C48" s="35" t="s">
        <v>635</v>
      </c>
      <c r="D48" s="35" t="s">
        <v>59</v>
      </c>
      <c r="E48" s="73" t="s">
        <v>49</v>
      </c>
      <c r="F48" s="237"/>
      <c r="G48" s="216"/>
      <c r="H48" s="216"/>
      <c r="I48" s="216"/>
      <c r="J48" s="172"/>
      <c r="K48" s="179" t="s">
        <v>2783</v>
      </c>
      <c r="L48" s="39" t="str">
        <f t="shared" si="7"/>
        <v>(850) 717-5044</v>
      </c>
      <c r="M48" s="39" t="str">
        <f t="shared" si="6"/>
        <v>geraldine.thompson@myfloridahouse.gov</v>
      </c>
      <c r="N48" s="39"/>
      <c r="O48" s="41"/>
      <c r="P48" s="39"/>
      <c r="Q48" s="39"/>
      <c r="R48" s="41"/>
      <c r="T48" t="str">
        <f t="shared" si="1"/>
        <v/>
      </c>
      <c r="U48" s="139" t="str">
        <f t="shared" si="2"/>
        <v/>
      </c>
      <c r="V48" t="str">
        <f t="shared" si="3"/>
        <v/>
      </c>
      <c r="W48" t="str">
        <f t="shared" si="4"/>
        <v/>
      </c>
    </row>
    <row r="49" outlineLevel="1">
      <c r="A49" s="164" t="s">
        <v>44</v>
      </c>
      <c r="B49" s="31">
        <v>45.0</v>
      </c>
      <c r="C49" s="35" t="s">
        <v>2960</v>
      </c>
      <c r="D49" s="35" t="s">
        <v>447</v>
      </c>
      <c r="E49" s="73" t="s">
        <v>49</v>
      </c>
      <c r="F49" s="237"/>
      <c r="G49" s="170" t="s">
        <v>2796</v>
      </c>
      <c r="H49" s="216"/>
      <c r="I49" s="216"/>
      <c r="J49" s="172"/>
      <c r="K49" s="239" t="s">
        <v>2961</v>
      </c>
      <c r="L49" s="39" t="str">
        <f t="shared" si="7"/>
        <v>(850) 717-5045</v>
      </c>
      <c r="M49" s="39" t="str">
        <f t="shared" si="6"/>
        <v>kamia.brown@myfloridahouse.gov</v>
      </c>
      <c r="N49" s="39"/>
      <c r="O49" s="41"/>
      <c r="P49" s="39"/>
      <c r="Q49" s="39"/>
      <c r="R49" s="41"/>
      <c r="T49" t="str">
        <f t="shared" si="1"/>
        <v/>
      </c>
      <c r="U49" s="139" t="str">
        <f t="shared" si="2"/>
        <v/>
      </c>
      <c r="V49" t="str">
        <f t="shared" si="3"/>
        <v/>
      </c>
      <c r="W49" t="str">
        <f t="shared" si="4"/>
        <v/>
      </c>
    </row>
    <row r="50" outlineLevel="1">
      <c r="A50" s="164" t="s">
        <v>44</v>
      </c>
      <c r="B50" s="31">
        <v>46.0</v>
      </c>
      <c r="C50" s="35" t="s">
        <v>1193</v>
      </c>
      <c r="D50" s="35" t="s">
        <v>2965</v>
      </c>
      <c r="E50" s="73" t="s">
        <v>49</v>
      </c>
      <c r="F50" s="237"/>
      <c r="G50" s="170" t="s">
        <v>515</v>
      </c>
      <c r="H50" s="216"/>
      <c r="I50" s="216"/>
      <c r="J50" s="172"/>
      <c r="K50" s="172"/>
      <c r="L50" s="39" t="str">
        <f t="shared" si="7"/>
        <v>(850) 717-5046</v>
      </c>
      <c r="M50" s="39" t="str">
        <f t="shared" si="6"/>
        <v>bruce.antone@myfloridahouse.gov</v>
      </c>
      <c r="N50" s="39"/>
      <c r="O50" s="41"/>
      <c r="P50" s="39"/>
      <c r="Q50" s="39"/>
      <c r="R50" s="41"/>
      <c r="T50" t="str">
        <f t="shared" si="1"/>
        <v/>
      </c>
      <c r="U50" s="139" t="str">
        <f t="shared" si="2"/>
        <v/>
      </c>
      <c r="V50" t="str">
        <f t="shared" si="3"/>
        <v/>
      </c>
      <c r="W50" t="str">
        <f t="shared" si="4"/>
        <v/>
      </c>
    </row>
    <row r="51" outlineLevel="1">
      <c r="A51" s="164" t="s">
        <v>44</v>
      </c>
      <c r="B51" s="31">
        <v>47.0</v>
      </c>
      <c r="C51" s="35" t="s">
        <v>2099</v>
      </c>
      <c r="D51" s="35" t="s">
        <v>2966</v>
      </c>
      <c r="E51" s="73" t="s">
        <v>49</v>
      </c>
      <c r="F51" s="237"/>
      <c r="G51" s="170" t="s">
        <v>592</v>
      </c>
      <c r="H51" s="216"/>
      <c r="I51" s="216"/>
      <c r="J51" s="172"/>
      <c r="K51" s="172"/>
      <c r="L51" s="39" t="str">
        <f t="shared" si="7"/>
        <v>(850) 717-5047</v>
      </c>
      <c r="M51" s="39" t="str">
        <f t="shared" si="6"/>
        <v>anna.eskamani@myfloridahouse.gov</v>
      </c>
      <c r="N51" s="39"/>
      <c r="O51" s="41"/>
      <c r="P51" s="39"/>
      <c r="Q51" s="39"/>
      <c r="R51" s="41"/>
      <c r="T51" t="str">
        <f t="shared" si="1"/>
        <v/>
      </c>
      <c r="U51" s="139" t="str">
        <f t="shared" si="2"/>
        <v/>
      </c>
      <c r="V51" t="str">
        <f t="shared" si="3"/>
        <v/>
      </c>
      <c r="W51" t="str">
        <f t="shared" si="4"/>
        <v/>
      </c>
    </row>
    <row r="52" outlineLevel="1">
      <c r="A52" s="164" t="s">
        <v>44</v>
      </c>
      <c r="B52" s="31">
        <v>48.0</v>
      </c>
      <c r="C52" s="35" t="s">
        <v>2969</v>
      </c>
      <c r="D52" s="35" t="s">
        <v>2972</v>
      </c>
      <c r="E52" s="73" t="s">
        <v>49</v>
      </c>
      <c r="F52" s="237"/>
      <c r="G52" s="170" t="s">
        <v>781</v>
      </c>
      <c r="H52" s="170" t="s">
        <v>2770</v>
      </c>
      <c r="I52" s="170" t="s">
        <v>592</v>
      </c>
      <c r="J52" s="172"/>
      <c r="K52" s="179" t="s">
        <v>2783</v>
      </c>
      <c r="L52" s="39" t="str">
        <f t="shared" si="7"/>
        <v>(850) 717-5048</v>
      </c>
      <c r="M52" s="39" t="str">
        <f t="shared" si="6"/>
        <v>amy.mercado@myfloridahouse.gov</v>
      </c>
      <c r="N52" s="39"/>
      <c r="O52" s="41"/>
      <c r="P52" s="39"/>
      <c r="Q52" s="39"/>
      <c r="R52" s="41"/>
      <c r="T52" t="str">
        <f t="shared" si="1"/>
        <v/>
      </c>
      <c r="U52" s="139" t="str">
        <f t="shared" si="2"/>
        <v/>
      </c>
      <c r="V52" t="str">
        <f t="shared" si="3"/>
        <v/>
      </c>
      <c r="W52" t="str">
        <f t="shared" si="4"/>
        <v/>
      </c>
    </row>
    <row r="53" outlineLevel="1">
      <c r="A53" s="164" t="s">
        <v>44</v>
      </c>
      <c r="B53" s="31">
        <v>49.0</v>
      </c>
      <c r="C53" s="35" t="s">
        <v>2975</v>
      </c>
      <c r="D53" s="35" t="s">
        <v>1451</v>
      </c>
      <c r="E53" s="73" t="s">
        <v>49</v>
      </c>
      <c r="F53" s="237"/>
      <c r="G53" s="170" t="s">
        <v>626</v>
      </c>
      <c r="H53" s="216"/>
      <c r="I53" s="216"/>
      <c r="J53" s="172"/>
      <c r="K53" s="172"/>
      <c r="L53" s="39" t="str">
        <f t="shared" si="7"/>
        <v>(850) 717-5049</v>
      </c>
      <c r="M53" s="39" t="str">
        <f t="shared" si="6"/>
        <v>carlos.smith@myfloridahouse.gov</v>
      </c>
      <c r="N53" s="39"/>
      <c r="O53" s="41"/>
      <c r="P53" s="37"/>
      <c r="Q53" s="37"/>
      <c r="R53" s="41"/>
      <c r="T53" t="str">
        <f t="shared" si="1"/>
        <v/>
      </c>
      <c r="U53" s="139" t="str">
        <f t="shared" si="2"/>
        <v/>
      </c>
      <c r="V53" t="str">
        <f t="shared" si="3"/>
        <v/>
      </c>
      <c r="W53" t="str">
        <f t="shared" si="4"/>
        <v/>
      </c>
    </row>
    <row r="54" outlineLevel="1">
      <c r="A54" s="164" t="s">
        <v>44</v>
      </c>
      <c r="B54" s="31">
        <v>50.0</v>
      </c>
      <c r="C54" s="35" t="s">
        <v>2978</v>
      </c>
      <c r="D54" s="35" t="s">
        <v>2980</v>
      </c>
      <c r="E54" s="40" t="s">
        <v>53</v>
      </c>
      <c r="F54" s="237"/>
      <c r="G54" s="170" t="s">
        <v>626</v>
      </c>
      <c r="H54" s="170" t="s">
        <v>652</v>
      </c>
      <c r="I54" s="216"/>
      <c r="J54" s="172"/>
      <c r="K54" s="179" t="s">
        <v>2783</v>
      </c>
      <c r="L54" s="39" t="str">
        <f t="shared" si="7"/>
        <v>(850) 717-5050</v>
      </c>
      <c r="M54" s="39" t="str">
        <f t="shared" si="6"/>
        <v>rene.plasencia@myfloridahouse.gov</v>
      </c>
      <c r="N54" s="39"/>
      <c r="O54" s="41"/>
      <c r="P54" s="39"/>
      <c r="Q54" s="39"/>
      <c r="R54" s="41"/>
      <c r="T54" t="str">
        <f t="shared" si="1"/>
        <v/>
      </c>
      <c r="U54" s="139" t="str">
        <f t="shared" si="2"/>
        <v/>
      </c>
      <c r="V54" t="str">
        <f t="shared" si="3"/>
        <v/>
      </c>
      <c r="W54" t="str">
        <f t="shared" si="4"/>
        <v/>
      </c>
    </row>
    <row r="55" outlineLevel="1">
      <c r="A55" s="164" t="s">
        <v>44</v>
      </c>
      <c r="B55" s="31">
        <v>51.0</v>
      </c>
      <c r="C55" s="35" t="s">
        <v>1323</v>
      </c>
      <c r="D55" s="35" t="s">
        <v>2981</v>
      </c>
      <c r="E55" s="40" t="s">
        <v>53</v>
      </c>
      <c r="F55" s="237"/>
      <c r="G55" s="170" t="s">
        <v>781</v>
      </c>
      <c r="H55" s="216"/>
      <c r="I55" s="216"/>
      <c r="J55" s="172"/>
      <c r="K55" s="179" t="s">
        <v>2783</v>
      </c>
      <c r="L55" s="39" t="str">
        <f t="shared" si="7"/>
        <v>(850) 717-5051</v>
      </c>
      <c r="M55" s="39" t="str">
        <f t="shared" si="6"/>
        <v>tyler.sirois@myfloridahouse.gov</v>
      </c>
      <c r="N55" s="39"/>
      <c r="O55" s="41"/>
      <c r="P55" s="39"/>
      <c r="Q55" s="39"/>
      <c r="R55" s="41"/>
      <c r="T55" t="str">
        <f t="shared" si="1"/>
        <v/>
      </c>
      <c r="U55" s="139" t="str">
        <f t="shared" si="2"/>
        <v/>
      </c>
      <c r="V55" t="str">
        <f t="shared" si="3"/>
        <v/>
      </c>
      <c r="W55" t="str">
        <f t="shared" si="4"/>
        <v/>
      </c>
    </row>
    <row r="56" outlineLevel="1">
      <c r="A56" s="164" t="s">
        <v>44</v>
      </c>
      <c r="B56" s="31">
        <v>52.0</v>
      </c>
      <c r="C56" s="35" t="s">
        <v>612</v>
      </c>
      <c r="D56" s="35" t="s">
        <v>2988</v>
      </c>
      <c r="E56" s="40" t="s">
        <v>53</v>
      </c>
      <c r="F56" s="237"/>
      <c r="G56" s="170" t="s">
        <v>515</v>
      </c>
      <c r="H56" s="170" t="s">
        <v>2770</v>
      </c>
      <c r="I56" s="216"/>
      <c r="J56" s="172"/>
      <c r="K56" s="179" t="s">
        <v>2783</v>
      </c>
      <c r="L56" s="39" t="str">
        <f t="shared" si="7"/>
        <v>(850) 717-5052</v>
      </c>
      <c r="M56" s="39" t="str">
        <f t="shared" si="6"/>
        <v>thad.altman@myfloridahouse.gov</v>
      </c>
      <c r="N56" s="39"/>
      <c r="O56" s="41"/>
      <c r="P56" s="39"/>
      <c r="Q56" s="39"/>
      <c r="R56" s="41"/>
      <c r="T56" t="str">
        <f t="shared" si="1"/>
        <v/>
      </c>
      <c r="U56" s="139" t="str">
        <f t="shared" si="2"/>
        <v/>
      </c>
      <c r="V56" t="str">
        <f t="shared" si="3"/>
        <v/>
      </c>
      <c r="W56" t="str">
        <f t="shared" si="4"/>
        <v/>
      </c>
    </row>
    <row r="57" outlineLevel="1">
      <c r="A57" s="164" t="s">
        <v>44</v>
      </c>
      <c r="B57" s="31">
        <v>53.0</v>
      </c>
      <c r="C57" s="35" t="s">
        <v>412</v>
      </c>
      <c r="D57" s="35" t="s">
        <v>2992</v>
      </c>
      <c r="E57" s="40" t="s">
        <v>53</v>
      </c>
      <c r="F57" s="237"/>
      <c r="G57" s="170" t="s">
        <v>626</v>
      </c>
      <c r="H57" s="170" t="s">
        <v>515</v>
      </c>
      <c r="I57" s="216"/>
      <c r="J57" s="172"/>
      <c r="K57" s="179" t="s">
        <v>2783</v>
      </c>
      <c r="L57" s="39" t="str">
        <f t="shared" si="7"/>
        <v>(850) 717-5053</v>
      </c>
      <c r="M57" s="39" t="str">
        <f t="shared" si="6"/>
        <v>randy.fine@myfloridahouse.gov</v>
      </c>
      <c r="N57" s="39"/>
      <c r="O57" s="41"/>
      <c r="P57" s="39"/>
      <c r="Q57" s="39"/>
      <c r="R57" s="41"/>
      <c r="T57" t="str">
        <f t="shared" si="1"/>
        <v/>
      </c>
      <c r="U57" s="139" t="str">
        <f t="shared" si="2"/>
        <v/>
      </c>
      <c r="V57" t="str">
        <f t="shared" si="3"/>
        <v/>
      </c>
      <c r="W57" t="str">
        <f t="shared" si="4"/>
        <v/>
      </c>
    </row>
    <row r="58" outlineLevel="1">
      <c r="A58" s="164" t="s">
        <v>44</v>
      </c>
      <c r="B58" s="31">
        <v>54.0</v>
      </c>
      <c r="C58" s="35" t="s">
        <v>2994</v>
      </c>
      <c r="D58" s="35" t="s">
        <v>2996</v>
      </c>
      <c r="E58" s="40" t="s">
        <v>53</v>
      </c>
      <c r="F58" s="237"/>
      <c r="G58" s="170" t="s">
        <v>2802</v>
      </c>
      <c r="H58" s="216"/>
      <c r="I58" s="216"/>
      <c r="J58" s="172"/>
      <c r="K58" s="179" t="s">
        <v>2999</v>
      </c>
      <c r="L58" s="39" t="str">
        <f t="shared" si="7"/>
        <v>(850) 717-5054</v>
      </c>
      <c r="M58" s="39" t="str">
        <f t="shared" si="6"/>
        <v>erin.grall@myfloridahouse.gov</v>
      </c>
      <c r="N58" s="39"/>
      <c r="O58" s="41"/>
      <c r="P58" s="39"/>
      <c r="Q58" s="39"/>
      <c r="R58" s="41"/>
      <c r="T58" t="str">
        <f t="shared" si="1"/>
        <v/>
      </c>
      <c r="U58" s="139" t="str">
        <f t="shared" si="2"/>
        <v/>
      </c>
      <c r="V58" t="str">
        <f t="shared" si="3"/>
        <v/>
      </c>
      <c r="W58" t="str">
        <f t="shared" si="4"/>
        <v/>
      </c>
    </row>
    <row r="59" outlineLevel="1">
      <c r="A59" s="164" t="s">
        <v>44</v>
      </c>
      <c r="B59" s="31">
        <v>55.0</v>
      </c>
      <c r="C59" s="35" t="s">
        <v>3000</v>
      </c>
      <c r="D59" s="35" t="s">
        <v>3001</v>
      </c>
      <c r="E59" s="40" t="s">
        <v>53</v>
      </c>
      <c r="F59" s="237"/>
      <c r="G59" s="170" t="s">
        <v>3002</v>
      </c>
      <c r="H59" s="170" t="s">
        <v>626</v>
      </c>
      <c r="I59" s="216"/>
      <c r="J59" s="172"/>
      <c r="K59" s="179" t="s">
        <v>3003</v>
      </c>
      <c r="L59" s="39" t="str">
        <f t="shared" si="7"/>
        <v>(850) 717-5055</v>
      </c>
      <c r="M59" s="39" t="str">
        <f t="shared" si="6"/>
        <v>cary.pigman@myfloridahouse.gov</v>
      </c>
      <c r="N59" s="39"/>
      <c r="O59" s="41"/>
      <c r="P59" s="39"/>
      <c r="Q59" s="39"/>
      <c r="R59" s="41"/>
      <c r="T59" t="str">
        <f t="shared" si="1"/>
        <v>Representative</v>
      </c>
      <c r="U59" s="139" t="str">
        <f t="shared" si="2"/>
        <v>Cary</v>
      </c>
      <c r="V59" t="str">
        <f t="shared" si="3"/>
        <v>Pigman</v>
      </c>
      <c r="W59" t="str">
        <f t="shared" si="4"/>
        <v>cary.pigman@myfloridahouse.gov</v>
      </c>
    </row>
    <row r="60" outlineLevel="1">
      <c r="A60" s="164" t="s">
        <v>44</v>
      </c>
      <c r="B60" s="31">
        <v>56.0</v>
      </c>
      <c r="C60" s="35" t="s">
        <v>3006</v>
      </c>
      <c r="D60" s="35" t="s">
        <v>3007</v>
      </c>
      <c r="E60" s="40" t="s">
        <v>53</v>
      </c>
      <c r="F60" s="237"/>
      <c r="G60" s="216"/>
      <c r="H60" s="216"/>
      <c r="I60" s="216"/>
      <c r="J60" s="172"/>
      <c r="K60" s="179" t="s">
        <v>3003</v>
      </c>
      <c r="L60" s="39" t="str">
        <f t="shared" si="7"/>
        <v>(850) 717-5056</v>
      </c>
      <c r="M60" s="39" t="str">
        <f t="shared" si="6"/>
        <v>melony.bell@myfloridahouse.gov</v>
      </c>
      <c r="N60" s="39"/>
      <c r="O60" s="41"/>
      <c r="P60" s="39"/>
      <c r="Q60" s="39"/>
      <c r="R60" s="41"/>
      <c r="T60" t="str">
        <f t="shared" si="1"/>
        <v/>
      </c>
      <c r="U60" s="139" t="str">
        <f t="shared" si="2"/>
        <v/>
      </c>
      <c r="V60" t="str">
        <f t="shared" si="3"/>
        <v/>
      </c>
      <c r="W60" t="str">
        <f t="shared" si="4"/>
        <v/>
      </c>
    </row>
    <row r="61" outlineLevel="1">
      <c r="A61" s="164" t="s">
        <v>44</v>
      </c>
      <c r="B61" s="31">
        <v>57.0</v>
      </c>
      <c r="C61" s="35" t="s">
        <v>157</v>
      </c>
      <c r="D61" s="35" t="s">
        <v>3008</v>
      </c>
      <c r="E61" s="40" t="s">
        <v>53</v>
      </c>
      <c r="F61" s="237"/>
      <c r="G61" s="170" t="s">
        <v>781</v>
      </c>
      <c r="H61" s="216"/>
      <c r="I61" s="216"/>
      <c r="J61" s="172"/>
      <c r="K61" s="239" t="s">
        <v>3009</v>
      </c>
      <c r="L61" s="39" t="str">
        <f t="shared" si="7"/>
        <v>(850) 717-5057</v>
      </c>
      <c r="M61" s="39" t="str">
        <f t="shared" si="6"/>
        <v>mike.beltran@myfloridahouse.gov</v>
      </c>
      <c r="N61" s="39"/>
      <c r="O61" s="41"/>
      <c r="P61" s="39"/>
      <c r="Q61" s="39"/>
      <c r="R61" s="41"/>
      <c r="T61" t="str">
        <f t="shared" si="1"/>
        <v/>
      </c>
      <c r="U61" s="139" t="str">
        <f t="shared" si="2"/>
        <v/>
      </c>
      <c r="V61" t="str">
        <f t="shared" si="3"/>
        <v/>
      </c>
      <c r="W61" t="str">
        <f t="shared" si="4"/>
        <v/>
      </c>
    </row>
    <row r="62" outlineLevel="1">
      <c r="A62" s="164" t="s">
        <v>44</v>
      </c>
      <c r="B62" s="31">
        <v>58.0</v>
      </c>
      <c r="C62" s="35" t="s">
        <v>572</v>
      </c>
      <c r="D62" s="35" t="s">
        <v>3016</v>
      </c>
      <c r="E62" s="40" t="s">
        <v>53</v>
      </c>
      <c r="F62" s="237"/>
      <c r="G62" s="170" t="s">
        <v>2802</v>
      </c>
      <c r="H62" s="216"/>
      <c r="I62" s="216"/>
      <c r="J62" s="172"/>
      <c r="K62" s="239" t="s">
        <v>2999</v>
      </c>
      <c r="L62" s="39" t="str">
        <f t="shared" si="7"/>
        <v>(850) 717-5058</v>
      </c>
      <c r="M62" s="39" t="str">
        <f t="shared" si="6"/>
        <v>lawrence.mcclure@myfloridahouse.gov</v>
      </c>
      <c r="N62" s="39"/>
      <c r="O62" s="41"/>
      <c r="P62" s="39"/>
      <c r="Q62" s="39"/>
      <c r="R62" s="41"/>
      <c r="T62" t="str">
        <f t="shared" si="1"/>
        <v/>
      </c>
      <c r="U62" s="139" t="str">
        <f t="shared" si="2"/>
        <v/>
      </c>
      <c r="V62" t="str">
        <f t="shared" si="3"/>
        <v/>
      </c>
      <c r="W62" t="str">
        <f t="shared" si="4"/>
        <v/>
      </c>
    </row>
    <row r="63" outlineLevel="1">
      <c r="A63" s="164" t="s">
        <v>44</v>
      </c>
      <c r="B63" s="31">
        <v>59.0</v>
      </c>
      <c r="C63" s="35" t="s">
        <v>69</v>
      </c>
      <c r="D63" s="35" t="s">
        <v>3020</v>
      </c>
      <c r="E63" s="73" t="s">
        <v>49</v>
      </c>
      <c r="F63" s="237"/>
      <c r="G63" s="170" t="s">
        <v>2802</v>
      </c>
      <c r="H63" s="216"/>
      <c r="I63" s="216"/>
      <c r="J63" s="172"/>
      <c r="K63" s="179" t="s">
        <v>2783</v>
      </c>
      <c r="L63" s="39" t="str">
        <f t="shared" si="7"/>
        <v>(850) 717-5059</v>
      </c>
      <c r="M63" s="39" t="str">
        <f t="shared" si="6"/>
        <v>adam.hattersley@myfloridahouse.gov</v>
      </c>
      <c r="N63" s="255" t="str">
        <f>HYPERLINK("https://docs.google.com/document/d/1pxCEmXoT55ob2rIIles8o1jKb1NwC4ThdfAYvm7QGkg/edit?usp=sharing","zero")</f>
        <v>zero</v>
      </c>
      <c r="O63" s="41"/>
      <c r="P63" s="39"/>
      <c r="Q63" s="39"/>
      <c r="R63" s="41"/>
      <c r="T63" t="str">
        <f t="shared" si="1"/>
        <v/>
      </c>
      <c r="U63" s="139" t="str">
        <f t="shared" si="2"/>
        <v/>
      </c>
      <c r="V63" t="str">
        <f t="shared" si="3"/>
        <v/>
      </c>
      <c r="W63" t="str">
        <f t="shared" si="4"/>
        <v/>
      </c>
    </row>
    <row r="64" outlineLevel="1">
      <c r="A64" s="164" t="s">
        <v>44</v>
      </c>
      <c r="B64" s="31">
        <v>60.0</v>
      </c>
      <c r="C64" s="35" t="s">
        <v>2300</v>
      </c>
      <c r="D64" s="35" t="s">
        <v>3022</v>
      </c>
      <c r="E64" s="40" t="s">
        <v>53</v>
      </c>
      <c r="F64" s="15"/>
      <c r="G64" s="170" t="s">
        <v>745</v>
      </c>
      <c r="H64" s="170" t="s">
        <v>2770</v>
      </c>
      <c r="I64" s="216"/>
      <c r="J64" s="172"/>
      <c r="K64" s="239" t="s">
        <v>2999</v>
      </c>
      <c r="L64" s="39" t="str">
        <f t="shared" si="7"/>
        <v>(850) 717-5060</v>
      </c>
      <c r="M64" s="39" t="str">
        <f t="shared" si="6"/>
        <v>jackie.toledo@myfloridahouse.gov</v>
      </c>
      <c r="N64" s="240" t="str">
        <f>HYPERLINK("https://docs.google.com/document/d/1-cA3TdqjDAEKldSKyFJcdhfZnX_C-N8W47wTYsYjHRU/edit","Zero")</f>
        <v>Zero</v>
      </c>
      <c r="O64" s="41"/>
      <c r="P64" s="39"/>
      <c r="Q64" s="39"/>
      <c r="R64" s="41"/>
      <c r="T64" t="str">
        <f t="shared" si="1"/>
        <v>Representative</v>
      </c>
      <c r="U64" s="139" t="str">
        <f t="shared" si="2"/>
        <v>Jackie</v>
      </c>
      <c r="V64" t="str">
        <f t="shared" si="3"/>
        <v>Toledo</v>
      </c>
      <c r="W64" t="str">
        <f t="shared" si="4"/>
        <v>jackie.toledo@myfloridahouse.gov</v>
      </c>
    </row>
    <row r="65" outlineLevel="1">
      <c r="A65" s="164" t="s">
        <v>44</v>
      </c>
      <c r="B65" s="31">
        <v>61.0</v>
      </c>
      <c r="C65" s="35" t="s">
        <v>2359</v>
      </c>
      <c r="D65" s="35" t="s">
        <v>3023</v>
      </c>
      <c r="E65" s="73" t="s">
        <v>49</v>
      </c>
      <c r="F65" s="237"/>
      <c r="G65" s="170" t="s">
        <v>2802</v>
      </c>
      <c r="H65" s="170" t="s">
        <v>592</v>
      </c>
      <c r="I65" s="216"/>
      <c r="J65" s="172"/>
      <c r="K65" s="179" t="s">
        <v>2783</v>
      </c>
      <c r="L65" s="39" t="str">
        <f t="shared" si="7"/>
        <v>(850) 717-5061</v>
      </c>
      <c r="M65" s="39" t="str">
        <f t="shared" si="6"/>
        <v>dianne.hart@myfloridahouse.gov</v>
      </c>
      <c r="N65" s="39"/>
      <c r="O65" s="41"/>
      <c r="P65" s="37"/>
      <c r="Q65" s="37"/>
      <c r="R65" s="41"/>
      <c r="T65" t="str">
        <f t="shared" si="1"/>
        <v/>
      </c>
      <c r="U65" s="139" t="str">
        <f t="shared" si="2"/>
        <v/>
      </c>
      <c r="V65" t="str">
        <f t="shared" si="3"/>
        <v/>
      </c>
      <c r="W65" t="str">
        <f t="shared" si="4"/>
        <v/>
      </c>
    </row>
    <row r="66" outlineLevel="1">
      <c r="A66" s="164" t="s">
        <v>44</v>
      </c>
      <c r="B66" s="31">
        <v>62.0</v>
      </c>
      <c r="C66" s="38" t="s">
        <v>1446</v>
      </c>
      <c r="D66" s="38" t="s">
        <v>3024</v>
      </c>
      <c r="E66" s="73" t="s">
        <v>49</v>
      </c>
      <c r="F66" s="237"/>
      <c r="G66" s="170" t="s">
        <v>515</v>
      </c>
      <c r="H66" s="216"/>
      <c r="I66" s="216"/>
      <c r="J66" s="172"/>
      <c r="K66" s="179" t="s">
        <v>2783</v>
      </c>
      <c r="L66" s="39" t="str">
        <f t="shared" si="7"/>
        <v>(850) 717-5062</v>
      </c>
      <c r="M66" s="39" t="str">
        <f t="shared" si="6"/>
        <v>susan.valdes@myfloridahouse.gov</v>
      </c>
      <c r="N66" s="39"/>
      <c r="O66" s="41"/>
      <c r="P66" s="39"/>
      <c r="Q66" s="39"/>
      <c r="R66" s="41"/>
      <c r="T66" t="str">
        <f t="shared" si="1"/>
        <v/>
      </c>
      <c r="U66" s="139" t="str">
        <f t="shared" si="2"/>
        <v/>
      </c>
      <c r="V66" t="str">
        <f t="shared" si="3"/>
        <v/>
      </c>
      <c r="W66" t="str">
        <f t="shared" si="4"/>
        <v/>
      </c>
    </row>
    <row r="67" outlineLevel="1">
      <c r="A67" s="164" t="s">
        <v>44</v>
      </c>
      <c r="B67" s="31">
        <v>63.0</v>
      </c>
      <c r="C67" s="35" t="s">
        <v>3025</v>
      </c>
      <c r="D67" s="35" t="s">
        <v>3026</v>
      </c>
      <c r="E67" s="73" t="s">
        <v>49</v>
      </c>
      <c r="F67" s="237"/>
      <c r="G67" s="170" t="s">
        <v>781</v>
      </c>
      <c r="H67" s="216"/>
      <c r="I67" s="216"/>
      <c r="J67" s="172"/>
      <c r="K67" s="179" t="s">
        <v>2783</v>
      </c>
      <c r="L67" s="39" t="str">
        <f t="shared" si="7"/>
        <v>(850) 717-5063</v>
      </c>
      <c r="M67" s="39" t="str">
        <f t="shared" si="6"/>
        <v>fentrice.driskell@myfloridahouse.gov</v>
      </c>
      <c r="N67" s="39"/>
      <c r="O67" s="41"/>
      <c r="P67" s="39"/>
      <c r="Q67" s="39"/>
      <c r="R67" s="41"/>
      <c r="T67" t="str">
        <f t="shared" si="1"/>
        <v/>
      </c>
      <c r="U67" s="139" t="str">
        <f t="shared" si="2"/>
        <v/>
      </c>
      <c r="V67" t="str">
        <f t="shared" si="3"/>
        <v/>
      </c>
      <c r="W67" t="str">
        <f t="shared" si="4"/>
        <v/>
      </c>
    </row>
    <row r="68" outlineLevel="1">
      <c r="A68" s="164" t="s">
        <v>44</v>
      </c>
      <c r="B68" s="31">
        <v>64.0</v>
      </c>
      <c r="C68" s="38" t="s">
        <v>930</v>
      </c>
      <c r="D68" s="35" t="s">
        <v>1787</v>
      </c>
      <c r="E68" s="40" t="s">
        <v>53</v>
      </c>
      <c r="F68" s="237"/>
      <c r="G68" s="170" t="s">
        <v>781</v>
      </c>
      <c r="H68" s="216"/>
      <c r="I68" s="216"/>
      <c r="J68" s="172"/>
      <c r="K68" s="239" t="s">
        <v>3027</v>
      </c>
      <c r="L68" s="39" t="str">
        <f t="shared" si="7"/>
        <v>(850) 717-5064</v>
      </c>
      <c r="M68" s="39" t="str">
        <f t="shared" si="6"/>
        <v>james.grant@myfloridahouse.gov</v>
      </c>
      <c r="N68" s="39"/>
      <c r="O68" s="41"/>
      <c r="P68" s="37"/>
      <c r="Q68" s="37"/>
      <c r="R68" s="41"/>
      <c r="T68" t="str">
        <f t="shared" si="1"/>
        <v/>
      </c>
      <c r="U68" s="139" t="str">
        <f t="shared" si="2"/>
        <v/>
      </c>
      <c r="V68" t="str">
        <f t="shared" si="3"/>
        <v/>
      </c>
      <c r="W68" t="str">
        <f t="shared" si="4"/>
        <v/>
      </c>
    </row>
    <row r="69" outlineLevel="1">
      <c r="A69" s="164" t="s">
        <v>44</v>
      </c>
      <c r="B69" s="31">
        <v>65.0</v>
      </c>
      <c r="C69" s="35" t="s">
        <v>173</v>
      </c>
      <c r="D69" s="35" t="s">
        <v>3028</v>
      </c>
      <c r="E69" s="40" t="s">
        <v>53</v>
      </c>
      <c r="F69" s="237"/>
      <c r="G69" s="170" t="s">
        <v>957</v>
      </c>
      <c r="H69" s="216"/>
      <c r="I69" s="216"/>
      <c r="J69" s="172"/>
      <c r="K69" s="179" t="s">
        <v>3029</v>
      </c>
      <c r="L69" s="39" t="str">
        <f t="shared" si="7"/>
        <v>(850) 717-5065</v>
      </c>
      <c r="M69" s="39" t="str">
        <f t="shared" si="6"/>
        <v>chris.sprowls@myfloridahouse.gov</v>
      </c>
      <c r="N69" s="240" t="str">
        <f>HYPERLINK("https://docs.google.com/document/d/17jatqnw_tp6VoPRlL2aZ-vc9WP-09XlGD7TDsH9sZFY/edit","Zero")</f>
        <v>Zero</v>
      </c>
      <c r="O69" s="41"/>
      <c r="P69" s="37"/>
      <c r="Q69" s="37"/>
      <c r="R69" s="41"/>
      <c r="T69" t="str">
        <f t="shared" si="1"/>
        <v>Representative</v>
      </c>
      <c r="U69" s="139" t="str">
        <f t="shared" si="2"/>
        <v>Chris</v>
      </c>
      <c r="V69" t="str">
        <f t="shared" si="3"/>
        <v>Sprowls</v>
      </c>
      <c r="W69" t="str">
        <f t="shared" si="4"/>
        <v>chris.sprowls@myfloridahouse.gov</v>
      </c>
    </row>
    <row r="70" outlineLevel="1">
      <c r="A70" s="164" t="s">
        <v>44</v>
      </c>
      <c r="B70" s="31">
        <v>66.0</v>
      </c>
      <c r="C70" s="35" t="s">
        <v>3030</v>
      </c>
      <c r="D70" s="35" t="s">
        <v>3031</v>
      </c>
      <c r="E70" s="40" t="s">
        <v>53</v>
      </c>
      <c r="F70" s="237"/>
      <c r="G70" s="170" t="s">
        <v>2796</v>
      </c>
      <c r="H70" s="170" t="s">
        <v>2802</v>
      </c>
      <c r="I70" s="216"/>
      <c r="J70" s="172"/>
      <c r="K70" s="179" t="s">
        <v>3029</v>
      </c>
      <c r="L70" s="39" t="str">
        <f t="shared" si="7"/>
        <v>(850) 717-5066</v>
      </c>
      <c r="M70" s="39" t="str">
        <f t="shared" si="6"/>
        <v>nick.diceglie@myfloridahouse.gov</v>
      </c>
      <c r="N70" s="39"/>
      <c r="O70" s="41"/>
      <c r="P70" s="39"/>
      <c r="Q70" s="39"/>
      <c r="R70" s="41"/>
      <c r="T70" t="str">
        <f t="shared" si="1"/>
        <v/>
      </c>
      <c r="U70" s="139" t="str">
        <f t="shared" si="2"/>
        <v/>
      </c>
      <c r="V70" t="str">
        <f t="shared" si="3"/>
        <v/>
      </c>
      <c r="W70" t="str">
        <f t="shared" si="4"/>
        <v/>
      </c>
    </row>
    <row r="71" outlineLevel="1">
      <c r="A71" s="164" t="s">
        <v>44</v>
      </c>
      <c r="B71" s="31">
        <v>67.0</v>
      </c>
      <c r="C71" s="38" t="s">
        <v>575</v>
      </c>
      <c r="D71" s="35" t="s">
        <v>3032</v>
      </c>
      <c r="E71" s="40" t="s">
        <v>53</v>
      </c>
      <c r="F71" s="237"/>
      <c r="G71" s="170" t="s">
        <v>626</v>
      </c>
      <c r="H71" s="170" t="s">
        <v>888</v>
      </c>
      <c r="I71" s="170" t="s">
        <v>2802</v>
      </c>
      <c r="J71" s="172"/>
      <c r="K71" s="179" t="s">
        <v>3033</v>
      </c>
      <c r="L71" s="39" t="str">
        <f t="shared" si="7"/>
        <v>(850) 717-5067</v>
      </c>
      <c r="M71" s="39" t="str">
        <f t="shared" si="6"/>
        <v>christopher.latvala@myfloridahouse.gov</v>
      </c>
      <c r="N71" s="39"/>
      <c r="O71" s="41"/>
      <c r="P71" s="37"/>
      <c r="Q71" s="37"/>
      <c r="R71" s="41"/>
      <c r="T71" t="str">
        <f t="shared" si="1"/>
        <v>Representative</v>
      </c>
      <c r="U71" s="139" t="str">
        <f t="shared" si="2"/>
        <v>Christopher</v>
      </c>
      <c r="V71" t="str">
        <f t="shared" si="3"/>
        <v>Latvala</v>
      </c>
      <c r="W71" t="str">
        <f t="shared" si="4"/>
        <v>christopher.latvala@myfloridahouse.gov</v>
      </c>
    </row>
    <row r="72" outlineLevel="1">
      <c r="A72" s="164" t="s">
        <v>44</v>
      </c>
      <c r="B72" s="31">
        <v>68.0</v>
      </c>
      <c r="C72" s="35" t="s">
        <v>195</v>
      </c>
      <c r="D72" s="35" t="s">
        <v>3034</v>
      </c>
      <c r="E72" s="73" t="s">
        <v>49</v>
      </c>
      <c r="F72" s="237"/>
      <c r="G72" s="170" t="s">
        <v>626</v>
      </c>
      <c r="H72" s="170" t="s">
        <v>781</v>
      </c>
      <c r="I72" s="216"/>
      <c r="J72" s="172"/>
      <c r="K72" s="239" t="s">
        <v>3035</v>
      </c>
      <c r="L72" s="39" t="str">
        <f t="shared" si="7"/>
        <v>(850) 717-5068</v>
      </c>
      <c r="M72" s="39" t="str">
        <f t="shared" si="6"/>
        <v>ben.diamond@myfloridahouse.gov</v>
      </c>
      <c r="N72" s="39"/>
      <c r="O72" s="41"/>
      <c r="P72" s="39"/>
      <c r="Q72" s="39"/>
      <c r="R72" s="41"/>
      <c r="T72" t="str">
        <f t="shared" si="1"/>
        <v/>
      </c>
      <c r="U72" s="139" t="str">
        <f t="shared" si="2"/>
        <v/>
      </c>
      <c r="V72" t="str">
        <f t="shared" si="3"/>
        <v/>
      </c>
      <c r="W72" t="str">
        <f t="shared" si="4"/>
        <v/>
      </c>
    </row>
    <row r="73" outlineLevel="1">
      <c r="A73" s="164" t="s">
        <v>44</v>
      </c>
      <c r="B73" s="31">
        <v>69.0</v>
      </c>
      <c r="C73" s="35" t="s">
        <v>191</v>
      </c>
      <c r="D73" s="35" t="s">
        <v>3036</v>
      </c>
      <c r="E73" s="73" t="s">
        <v>49</v>
      </c>
      <c r="F73" s="237"/>
      <c r="G73" s="170" t="s">
        <v>652</v>
      </c>
      <c r="H73" s="216"/>
      <c r="I73" s="216"/>
      <c r="J73" s="172"/>
      <c r="K73" s="179" t="s">
        <v>2783</v>
      </c>
      <c r="L73" s="39" t="str">
        <f t="shared" si="7"/>
        <v>(850) 717-5069</v>
      </c>
      <c r="M73" s="39" t="str">
        <f t="shared" si="6"/>
        <v>jennifer.webb@myfloridahouse.gov</v>
      </c>
      <c r="N73" s="39"/>
      <c r="O73" s="41"/>
      <c r="P73" s="39"/>
      <c r="Q73" s="39"/>
      <c r="R73" s="41"/>
      <c r="T73" t="str">
        <f t="shared" si="1"/>
        <v/>
      </c>
      <c r="U73" s="139" t="str">
        <f t="shared" si="2"/>
        <v/>
      </c>
      <c r="V73" t="str">
        <f t="shared" si="3"/>
        <v/>
      </c>
      <c r="W73" t="str">
        <f t="shared" si="4"/>
        <v/>
      </c>
    </row>
    <row r="74" outlineLevel="1">
      <c r="A74" s="164" t="s">
        <v>44</v>
      </c>
      <c r="B74" s="31">
        <v>70.0</v>
      </c>
      <c r="C74" s="35" t="s">
        <v>3037</v>
      </c>
      <c r="D74" s="35" t="s">
        <v>3038</v>
      </c>
      <c r="E74" s="73" t="s">
        <v>49</v>
      </c>
      <c r="F74" s="237"/>
      <c r="G74" s="170" t="s">
        <v>2802</v>
      </c>
      <c r="H74" s="216"/>
      <c r="I74" s="216"/>
      <c r="J74" s="172"/>
      <c r="K74" s="179" t="s">
        <v>2783</v>
      </c>
      <c r="L74" s="39" t="str">
        <f t="shared" si="7"/>
        <v>(850) 717-5070</v>
      </c>
      <c r="M74" s="39" t="str">
        <f t="shared" si="6"/>
        <v>wengay.newton@myfloridahouse.gov</v>
      </c>
      <c r="N74" s="39"/>
      <c r="O74" s="41"/>
      <c r="P74" s="39"/>
      <c r="Q74" s="39"/>
      <c r="R74" s="41"/>
      <c r="T74" t="str">
        <f t="shared" si="1"/>
        <v/>
      </c>
      <c r="U74" s="139" t="str">
        <f t="shared" si="2"/>
        <v/>
      </c>
      <c r="V74" t="str">
        <f t="shared" si="3"/>
        <v/>
      </c>
      <c r="W74" t="str">
        <f t="shared" si="4"/>
        <v/>
      </c>
    </row>
    <row r="75" outlineLevel="1">
      <c r="A75" s="164" t="s">
        <v>44</v>
      </c>
      <c r="B75" s="31">
        <v>71.0</v>
      </c>
      <c r="C75" s="38" t="s">
        <v>1058</v>
      </c>
      <c r="D75" s="35" t="s">
        <v>3039</v>
      </c>
      <c r="E75" s="40" t="s">
        <v>53</v>
      </c>
      <c r="F75" s="237"/>
      <c r="G75" s="170" t="s">
        <v>652</v>
      </c>
      <c r="H75" s="216"/>
      <c r="I75" s="216"/>
      <c r="J75" s="172"/>
      <c r="K75" s="179" t="s">
        <v>2999</v>
      </c>
      <c r="L75" s="39" t="str">
        <f t="shared" si="7"/>
        <v>(850) 717-5071</v>
      </c>
      <c r="M75" s="39" t="str">
        <f t="shared" si="6"/>
        <v>william.robinson@myfloridahouse.gov</v>
      </c>
      <c r="N75" s="39"/>
      <c r="O75" s="41"/>
      <c r="P75" s="39"/>
      <c r="Q75" s="39"/>
      <c r="R75" s="41"/>
      <c r="T75" t="str">
        <f t="shared" si="1"/>
        <v/>
      </c>
      <c r="U75" s="139" t="str">
        <f t="shared" si="2"/>
        <v/>
      </c>
      <c r="V75" t="str">
        <f t="shared" si="3"/>
        <v/>
      </c>
      <c r="W75" t="str">
        <f t="shared" si="4"/>
        <v/>
      </c>
    </row>
    <row r="76" outlineLevel="1">
      <c r="A76" s="164" t="s">
        <v>44</v>
      </c>
      <c r="B76" s="31">
        <v>72.0</v>
      </c>
      <c r="C76" s="35" t="s">
        <v>3040</v>
      </c>
      <c r="D76" s="35" t="s">
        <v>3041</v>
      </c>
      <c r="E76" s="73" t="s">
        <v>49</v>
      </c>
      <c r="F76" s="237"/>
      <c r="G76" s="170" t="s">
        <v>2802</v>
      </c>
      <c r="H76" s="216"/>
      <c r="I76" s="216"/>
      <c r="J76" s="172"/>
      <c r="K76" s="179" t="s">
        <v>2783</v>
      </c>
      <c r="L76" s="39" t="str">
        <f t="shared" si="7"/>
        <v>(850) 717-5072</v>
      </c>
      <c r="M76" s="39" t="str">
        <f t="shared" si="6"/>
        <v>margaret.good@myfloridahouse.gov</v>
      </c>
      <c r="N76" s="39"/>
      <c r="O76" s="41"/>
      <c r="P76" s="39"/>
      <c r="Q76" s="39"/>
      <c r="R76" s="41"/>
      <c r="T76" t="str">
        <f t="shared" si="1"/>
        <v/>
      </c>
      <c r="U76" s="139" t="str">
        <f t="shared" si="2"/>
        <v/>
      </c>
      <c r="V76" t="str">
        <f t="shared" si="3"/>
        <v/>
      </c>
      <c r="W76" t="str">
        <f t="shared" si="4"/>
        <v/>
      </c>
    </row>
    <row r="77" outlineLevel="1">
      <c r="A77" s="164" t="s">
        <v>44</v>
      </c>
      <c r="B77" s="31">
        <v>73.0</v>
      </c>
      <c r="C77" s="35" t="s">
        <v>317</v>
      </c>
      <c r="D77" s="35" t="s">
        <v>823</v>
      </c>
      <c r="E77" s="40" t="s">
        <v>53</v>
      </c>
      <c r="F77" s="237"/>
      <c r="G77" s="170" t="s">
        <v>781</v>
      </c>
      <c r="H77" s="216"/>
      <c r="I77" s="216"/>
      <c r="J77" s="172"/>
      <c r="K77" s="179" t="s">
        <v>3042</v>
      </c>
      <c r="L77" s="39" t="str">
        <f t="shared" si="7"/>
        <v>(850) 717-5073</v>
      </c>
      <c r="M77" s="39" t="str">
        <f t="shared" si="6"/>
        <v>tommy.gregory@myfloridahouse.gov</v>
      </c>
      <c r="N77" s="39"/>
      <c r="O77" s="41"/>
      <c r="P77" s="39"/>
      <c r="Q77" s="39"/>
      <c r="R77" s="41"/>
      <c r="T77" t="str">
        <f t="shared" si="1"/>
        <v/>
      </c>
      <c r="U77" s="139" t="str">
        <f t="shared" si="2"/>
        <v/>
      </c>
      <c r="V77" t="str">
        <f t="shared" si="3"/>
        <v/>
      </c>
      <c r="W77" t="str">
        <f t="shared" si="4"/>
        <v/>
      </c>
    </row>
    <row r="78" outlineLevel="1">
      <c r="A78" s="164" t="s">
        <v>44</v>
      </c>
      <c r="B78" s="31">
        <v>74.0</v>
      </c>
      <c r="C78" s="35" t="s">
        <v>930</v>
      </c>
      <c r="D78" s="35" t="s">
        <v>3043</v>
      </c>
      <c r="E78" s="40" t="s">
        <v>53</v>
      </c>
      <c r="F78" s="237"/>
      <c r="G78" s="170" t="s">
        <v>652</v>
      </c>
      <c r="H78" s="216"/>
      <c r="I78" s="216"/>
      <c r="J78" s="172"/>
      <c r="K78" s="179" t="s">
        <v>2999</v>
      </c>
      <c r="L78" s="39" t="str">
        <f t="shared" si="7"/>
        <v>(850) 717-5074</v>
      </c>
      <c r="M78" s="39" t="str">
        <f t="shared" si="6"/>
        <v>james.buchanan@myfloridahouse.gov</v>
      </c>
      <c r="N78" s="39"/>
      <c r="O78" s="41"/>
      <c r="P78" s="39"/>
      <c r="Q78" s="39"/>
      <c r="R78" s="41"/>
      <c r="T78" t="str">
        <f t="shared" si="1"/>
        <v/>
      </c>
      <c r="U78" s="139" t="str">
        <f t="shared" si="2"/>
        <v/>
      </c>
      <c r="V78" t="str">
        <f t="shared" si="3"/>
        <v/>
      </c>
      <c r="W78" t="str">
        <f t="shared" si="4"/>
        <v/>
      </c>
    </row>
    <row r="79" outlineLevel="1">
      <c r="A79" s="164" t="s">
        <v>44</v>
      </c>
      <c r="B79" s="31">
        <v>75.0</v>
      </c>
      <c r="C79" s="38" t="s">
        <v>2490</v>
      </c>
      <c r="D79" s="38" t="s">
        <v>1787</v>
      </c>
      <c r="E79" s="40" t="s">
        <v>53</v>
      </c>
      <c r="F79" s="237"/>
      <c r="G79" s="170" t="s">
        <v>2796</v>
      </c>
      <c r="H79" s="179" t="s">
        <v>780</v>
      </c>
      <c r="I79" s="216"/>
      <c r="J79" s="172"/>
      <c r="K79" s="179" t="s">
        <v>2999</v>
      </c>
      <c r="L79" s="39" t="str">
        <f t="shared" si="7"/>
        <v>(850) 717-5075</v>
      </c>
      <c r="M79" s="39" t="str">
        <f t="shared" si="6"/>
        <v>michael.grant@myfloridahouse.gov</v>
      </c>
      <c r="N79" s="39"/>
      <c r="O79" s="41"/>
      <c r="P79" s="39"/>
      <c r="Q79" s="39"/>
      <c r="R79" s="41"/>
      <c r="T79" t="str">
        <f t="shared" si="1"/>
        <v/>
      </c>
      <c r="U79" s="139" t="str">
        <f t="shared" si="2"/>
        <v/>
      </c>
      <c r="V79" t="str">
        <f t="shared" si="3"/>
        <v/>
      </c>
      <c r="W79" t="str">
        <f t="shared" si="4"/>
        <v/>
      </c>
    </row>
    <row r="80" outlineLevel="1">
      <c r="A80" s="164" t="s">
        <v>44</v>
      </c>
      <c r="B80" s="31">
        <v>76.0</v>
      </c>
      <c r="C80" s="35" t="s">
        <v>2250</v>
      </c>
      <c r="D80" s="35" t="s">
        <v>3044</v>
      </c>
      <c r="E80" s="40" t="s">
        <v>53</v>
      </c>
      <c r="F80" s="237"/>
      <c r="G80" s="170" t="s">
        <v>3045</v>
      </c>
      <c r="H80" s="170" t="s">
        <v>626</v>
      </c>
      <c r="I80" s="170" t="s">
        <v>652</v>
      </c>
      <c r="J80" s="179" t="s">
        <v>780</v>
      </c>
      <c r="K80" s="179" t="s">
        <v>2999</v>
      </c>
      <c r="L80" s="39" t="str">
        <f t="shared" si="7"/>
        <v>(850) 717-5076</v>
      </c>
      <c r="M80" s="39" t="str">
        <f t="shared" si="6"/>
        <v>ray.rodrigues@myfloridahouse.gov</v>
      </c>
      <c r="N80" s="39"/>
      <c r="O80" s="41"/>
      <c r="P80" s="39"/>
      <c r="Q80" s="39"/>
      <c r="R80" s="41"/>
      <c r="T80" t="str">
        <f t="shared" si="1"/>
        <v>Representative</v>
      </c>
      <c r="U80" s="139" t="str">
        <f t="shared" si="2"/>
        <v>Ray</v>
      </c>
      <c r="V80" t="str">
        <f t="shared" si="3"/>
        <v>Rodrigues</v>
      </c>
      <c r="W80" t="str">
        <f t="shared" si="4"/>
        <v>ray.rodrigues@myfloridahouse.gov</v>
      </c>
    </row>
    <row r="81" outlineLevel="1">
      <c r="A81" s="164" t="s">
        <v>44</v>
      </c>
      <c r="B81" s="31">
        <v>77.0</v>
      </c>
      <c r="C81" s="35" t="s">
        <v>3046</v>
      </c>
      <c r="D81" s="35" t="s">
        <v>1822</v>
      </c>
      <c r="E81" s="40" t="s">
        <v>53</v>
      </c>
      <c r="F81" s="245" t="s">
        <v>176</v>
      </c>
      <c r="G81" s="170" t="s">
        <v>1024</v>
      </c>
      <c r="H81" s="179" t="s">
        <v>780</v>
      </c>
      <c r="I81" s="216"/>
      <c r="J81" s="172"/>
      <c r="K81" s="179" t="s">
        <v>3047</v>
      </c>
      <c r="L81" s="39" t="str">
        <f t="shared" si="7"/>
        <v>(850) 717-5077</v>
      </c>
      <c r="M81" s="39" t="str">
        <f t="shared" si="6"/>
        <v>dane.eagle@myfloridahouse.gov</v>
      </c>
      <c r="N81" s="240" t="str">
        <f>HYPERLINK("https://docs.google.com/document/d/1-g6IH80oYKXTBPEaU4ziiAmtnhYZ719cZvkku257K1Q/edit","Zero")</f>
        <v>Zero</v>
      </c>
      <c r="O81" s="41"/>
      <c r="P81" s="39"/>
      <c r="Q81" s="39"/>
      <c r="R81" s="41"/>
      <c r="T81" t="str">
        <f t="shared" si="1"/>
        <v>Representative</v>
      </c>
      <c r="U81" s="139" t="str">
        <f t="shared" si="2"/>
        <v>Dane</v>
      </c>
      <c r="V81" t="str">
        <f t="shared" si="3"/>
        <v>Eagle</v>
      </c>
      <c r="W81" t="str">
        <f t="shared" si="4"/>
        <v>dane.eagle@myfloridahouse.gov</v>
      </c>
    </row>
    <row r="82" outlineLevel="1">
      <c r="A82" s="164" t="s">
        <v>44</v>
      </c>
      <c r="B82" s="31">
        <v>78.0</v>
      </c>
      <c r="C82" s="35" t="s">
        <v>1255</v>
      </c>
      <c r="D82" s="35" t="s">
        <v>3048</v>
      </c>
      <c r="E82" s="40" t="s">
        <v>53</v>
      </c>
      <c r="F82" s="237"/>
      <c r="G82" s="170" t="s">
        <v>652</v>
      </c>
      <c r="H82" s="170" t="s">
        <v>781</v>
      </c>
      <c r="I82" s="170" t="s">
        <v>592</v>
      </c>
      <c r="J82" s="172"/>
      <c r="K82" s="179" t="s">
        <v>3049</v>
      </c>
      <c r="L82" s="39" t="str">
        <f t="shared" si="7"/>
        <v>(850) 717-5078</v>
      </c>
      <c r="M82" s="39" t="str">
        <f t="shared" si="6"/>
        <v>heather.fitzenhagen@myfloridahouse.gov</v>
      </c>
      <c r="N82" s="39"/>
      <c r="O82" s="41"/>
      <c r="P82" s="39"/>
      <c r="Q82" s="39"/>
      <c r="R82" s="41"/>
      <c r="T82" t="str">
        <f t="shared" si="1"/>
        <v/>
      </c>
      <c r="U82" s="139" t="str">
        <f t="shared" si="2"/>
        <v/>
      </c>
      <c r="V82" t="str">
        <f t="shared" si="3"/>
        <v/>
      </c>
      <c r="W82" t="str">
        <f t="shared" si="4"/>
        <v/>
      </c>
    </row>
    <row r="83" outlineLevel="1">
      <c r="A83" s="164" t="s">
        <v>44</v>
      </c>
      <c r="B83" s="31">
        <v>79.0</v>
      </c>
      <c r="C83" s="35" t="s">
        <v>1532</v>
      </c>
      <c r="D83" s="35" t="s">
        <v>3050</v>
      </c>
      <c r="E83" s="40" t="s">
        <v>53</v>
      </c>
      <c r="F83" s="237"/>
      <c r="G83" s="170" t="s">
        <v>2796</v>
      </c>
      <c r="H83" s="216"/>
      <c r="I83" s="216"/>
      <c r="J83" s="172"/>
      <c r="K83" s="179" t="s">
        <v>2999</v>
      </c>
      <c r="L83" s="39" t="str">
        <f t="shared" si="7"/>
        <v>(850) 717-5079</v>
      </c>
      <c r="M83" s="39" t="str">
        <f t="shared" si="6"/>
        <v>spencer.roach@myfloridahouse.gov</v>
      </c>
      <c r="N83" s="39"/>
      <c r="O83" s="41"/>
      <c r="P83" s="39"/>
      <c r="Q83" s="39"/>
      <c r="R83" s="41"/>
      <c r="T83" t="str">
        <f t="shared" si="1"/>
        <v/>
      </c>
      <c r="U83" s="139" t="str">
        <f t="shared" si="2"/>
        <v/>
      </c>
      <c r="V83" t="str">
        <f t="shared" si="3"/>
        <v/>
      </c>
      <c r="W83" t="str">
        <f t="shared" si="4"/>
        <v/>
      </c>
    </row>
    <row r="84" outlineLevel="1">
      <c r="A84" s="164" t="s">
        <v>44</v>
      </c>
      <c r="B84" s="31">
        <v>80.0</v>
      </c>
      <c r="C84" s="35" t="s">
        <v>2537</v>
      </c>
      <c r="D84" s="35" t="s">
        <v>3051</v>
      </c>
      <c r="E84" s="40" t="s">
        <v>53</v>
      </c>
      <c r="F84" s="237"/>
      <c r="G84" s="170" t="s">
        <v>515</v>
      </c>
      <c r="H84" s="170" t="s">
        <v>592</v>
      </c>
      <c r="I84" s="216"/>
      <c r="J84" s="172"/>
      <c r="K84" s="179" t="s">
        <v>3052</v>
      </c>
      <c r="L84" s="39" t="str">
        <f t="shared" si="7"/>
        <v>(850) 717-5080</v>
      </c>
      <c r="M84" s="39" t="str">
        <f t="shared" si="6"/>
        <v>byron.donalds@myfloridahouse.gov</v>
      </c>
      <c r="N84" s="39"/>
      <c r="O84" s="41"/>
      <c r="P84" s="39"/>
      <c r="Q84" s="39"/>
      <c r="R84" s="41"/>
      <c r="T84" t="str">
        <f t="shared" si="1"/>
        <v/>
      </c>
      <c r="U84" s="139" t="str">
        <f t="shared" si="2"/>
        <v/>
      </c>
      <c r="V84" t="str">
        <f t="shared" si="3"/>
        <v/>
      </c>
      <c r="W84" t="str">
        <f t="shared" si="4"/>
        <v/>
      </c>
    </row>
    <row r="85" outlineLevel="1">
      <c r="A85" s="164" t="s">
        <v>44</v>
      </c>
      <c r="B85" s="31">
        <v>81.0</v>
      </c>
      <c r="C85" s="38" t="s">
        <v>3053</v>
      </c>
      <c r="D85" s="38" t="s">
        <v>3054</v>
      </c>
      <c r="E85" s="73" t="s">
        <v>49</v>
      </c>
      <c r="F85" s="237"/>
      <c r="G85" s="170" t="s">
        <v>2802</v>
      </c>
      <c r="H85" s="216"/>
      <c r="I85" s="216"/>
      <c r="J85" s="172"/>
      <c r="K85" s="179" t="s">
        <v>2783</v>
      </c>
      <c r="L85" s="39" t="str">
        <f t="shared" si="7"/>
        <v>(850) 717-5081</v>
      </c>
      <c r="M85" s="39" t="str">
        <f t="shared" si="6"/>
        <v>tina.polsky@myfloridahouse.gov</v>
      </c>
      <c r="N85" s="39"/>
      <c r="O85" s="41"/>
      <c r="P85" s="39"/>
      <c r="Q85" s="39"/>
      <c r="R85" s="41"/>
      <c r="T85" t="str">
        <f t="shared" si="1"/>
        <v/>
      </c>
      <c r="U85" s="139" t="str">
        <f t="shared" si="2"/>
        <v/>
      </c>
      <c r="V85" t="str">
        <f t="shared" si="3"/>
        <v/>
      </c>
      <c r="W85" t="str">
        <f t="shared" si="4"/>
        <v/>
      </c>
    </row>
    <row r="86" outlineLevel="1">
      <c r="A86" s="164" t="s">
        <v>44</v>
      </c>
      <c r="B86" s="31">
        <v>82.0</v>
      </c>
      <c r="C86" s="35" t="s">
        <v>3055</v>
      </c>
      <c r="D86" s="35" t="s">
        <v>3056</v>
      </c>
      <c r="E86" s="40" t="s">
        <v>53</v>
      </c>
      <c r="F86" s="245" t="s">
        <v>3057</v>
      </c>
      <c r="G86" s="170" t="s">
        <v>626</v>
      </c>
      <c r="H86" s="170" t="s">
        <v>2796</v>
      </c>
      <c r="I86" s="179" t="s">
        <v>780</v>
      </c>
      <c r="J86" s="172"/>
      <c r="K86" s="179" t="s">
        <v>2783</v>
      </c>
      <c r="L86" s="39" t="str">
        <f t="shared" si="7"/>
        <v>(850) 717-5082</v>
      </c>
      <c r="M86" s="39" t="str">
        <f t="shared" si="6"/>
        <v>marylynn.magar@myfloridahouse.gov</v>
      </c>
      <c r="N86" s="240" t="str">
        <f>HYPERLINK("https://docs.google.com/document/d/1ctVYYY4QKbih-JCU2cr99HPUaKt5mGZdObObg82ltW0/edit","Zero")</f>
        <v>Zero</v>
      </c>
      <c r="O86" s="41"/>
      <c r="P86" s="39"/>
      <c r="Q86" s="39"/>
      <c r="R86" s="41"/>
      <c r="T86" t="str">
        <f t="shared" si="1"/>
        <v>Representative</v>
      </c>
      <c r="U86" s="139" t="str">
        <f t="shared" si="2"/>
        <v>MaryLynn</v>
      </c>
      <c r="V86" t="str">
        <f t="shared" si="3"/>
        <v>Magar</v>
      </c>
      <c r="W86" t="str">
        <f t="shared" si="4"/>
        <v>marylynn.magar@myfloridahouse.gov</v>
      </c>
    </row>
    <row r="87" outlineLevel="1">
      <c r="A87" s="164" t="s">
        <v>44</v>
      </c>
      <c r="B87" s="31">
        <v>83.0</v>
      </c>
      <c r="C87" s="35" t="s">
        <v>3058</v>
      </c>
      <c r="D87" s="35" t="s">
        <v>3059</v>
      </c>
      <c r="E87" s="40" t="s">
        <v>53</v>
      </c>
      <c r="F87" s="237"/>
      <c r="G87" s="170" t="s">
        <v>652</v>
      </c>
      <c r="H87" s="216"/>
      <c r="I87" s="216"/>
      <c r="J87" s="179"/>
      <c r="K87" s="179" t="s">
        <v>3060</v>
      </c>
      <c r="L87" s="39" t="str">
        <f t="shared" si="7"/>
        <v>(850) 717-5083</v>
      </c>
      <c r="M87" s="39" t="str">
        <f t="shared" si="6"/>
        <v>toby.overdorf@myfloridahouse.gov</v>
      </c>
      <c r="N87" s="75"/>
      <c r="O87" s="41"/>
      <c r="P87" s="39"/>
      <c r="Q87" s="39"/>
      <c r="R87" s="41"/>
      <c r="T87" t="str">
        <f t="shared" si="1"/>
        <v/>
      </c>
      <c r="U87" s="139" t="str">
        <f t="shared" si="2"/>
        <v/>
      </c>
      <c r="V87" t="str">
        <f t="shared" si="3"/>
        <v/>
      </c>
      <c r="W87" t="str">
        <f t="shared" si="4"/>
        <v/>
      </c>
    </row>
    <row r="88" outlineLevel="1">
      <c r="A88" s="164" t="s">
        <v>44</v>
      </c>
      <c r="B88" s="31">
        <v>84.0</v>
      </c>
      <c r="C88" s="38" t="s">
        <v>3061</v>
      </c>
      <c r="D88" s="38" t="s">
        <v>118</v>
      </c>
      <c r="E88" s="73" t="s">
        <v>49</v>
      </c>
      <c r="F88" s="237"/>
      <c r="G88" s="170" t="s">
        <v>515</v>
      </c>
      <c r="H88" s="216"/>
      <c r="I88" s="216"/>
      <c r="J88" s="172"/>
      <c r="K88" s="179" t="s">
        <v>2783</v>
      </c>
      <c r="L88" s="39" t="str">
        <f t="shared" si="7"/>
        <v>(850) 717-5084</v>
      </c>
      <c r="M88" s="39" t="str">
        <f t="shared" si="6"/>
        <v>delores.johnson@myfloridahouse.gov</v>
      </c>
      <c r="N88" s="39"/>
      <c r="O88" s="41"/>
      <c r="P88" s="37"/>
      <c r="Q88" s="37"/>
      <c r="R88" s="41"/>
      <c r="T88" t="str">
        <f t="shared" si="1"/>
        <v/>
      </c>
      <c r="U88" s="139" t="str">
        <f t="shared" si="2"/>
        <v/>
      </c>
      <c r="V88" t="str">
        <f t="shared" si="3"/>
        <v/>
      </c>
      <c r="W88" t="str">
        <f t="shared" si="4"/>
        <v/>
      </c>
    </row>
    <row r="89" outlineLevel="1">
      <c r="A89" s="164" t="s">
        <v>44</v>
      </c>
      <c r="B89" s="31">
        <v>85.0</v>
      </c>
      <c r="C89" s="35" t="s">
        <v>1291</v>
      </c>
      <c r="D89" s="35" t="s">
        <v>2209</v>
      </c>
      <c r="E89" s="40" t="s">
        <v>53</v>
      </c>
      <c r="F89" s="237"/>
      <c r="G89" s="170" t="s">
        <v>2802</v>
      </c>
      <c r="H89" s="216"/>
      <c r="I89" s="216"/>
      <c r="J89" s="172"/>
      <c r="K89" s="179" t="s">
        <v>2999</v>
      </c>
      <c r="L89" s="39" t="str">
        <f t="shared" si="7"/>
        <v>(850) 717-5085</v>
      </c>
      <c r="M89" s="39" t="str">
        <f t="shared" si="6"/>
        <v>rick.roth@myfloridahouse.gov</v>
      </c>
      <c r="N89" s="39"/>
      <c r="O89" s="41"/>
      <c r="P89" s="37"/>
      <c r="Q89" s="37"/>
      <c r="R89" s="41"/>
      <c r="T89" t="str">
        <f t="shared" si="1"/>
        <v/>
      </c>
      <c r="U89" s="139" t="str">
        <f t="shared" si="2"/>
        <v/>
      </c>
      <c r="V89" t="str">
        <f t="shared" si="3"/>
        <v/>
      </c>
      <c r="W89" t="str">
        <f t="shared" si="4"/>
        <v/>
      </c>
    </row>
    <row r="90" outlineLevel="1">
      <c r="A90" s="164" t="s">
        <v>44</v>
      </c>
      <c r="B90" s="31">
        <v>86.0</v>
      </c>
      <c r="C90" s="35" t="s">
        <v>163</v>
      </c>
      <c r="D90" s="35" t="s">
        <v>3062</v>
      </c>
      <c r="E90" s="73" t="s">
        <v>49</v>
      </c>
      <c r="F90" s="237"/>
      <c r="G90" s="170" t="s">
        <v>652</v>
      </c>
      <c r="H90" s="179" t="s">
        <v>780</v>
      </c>
      <c r="I90" s="216"/>
      <c r="J90" s="172"/>
      <c r="K90" s="179" t="s">
        <v>2783</v>
      </c>
      <c r="L90" s="39" t="str">
        <f t="shared" si="7"/>
        <v>(850) 717-5086</v>
      </c>
      <c r="M90" s="39" t="str">
        <f t="shared" si="6"/>
        <v>matt.willhite@myfloridahouse.gov</v>
      </c>
      <c r="N90" s="39"/>
      <c r="O90" s="41"/>
      <c r="P90" s="39"/>
      <c r="Q90" s="39"/>
      <c r="R90" s="41"/>
      <c r="T90" t="str">
        <f t="shared" si="1"/>
        <v/>
      </c>
      <c r="U90" s="139" t="str">
        <f t="shared" si="2"/>
        <v/>
      </c>
      <c r="V90" t="str">
        <f t="shared" si="3"/>
        <v/>
      </c>
      <c r="W90" t="str">
        <f t="shared" si="4"/>
        <v/>
      </c>
    </row>
    <row r="91" outlineLevel="1">
      <c r="A91" s="164" t="s">
        <v>44</v>
      </c>
      <c r="B91" s="31">
        <v>87.0</v>
      </c>
      <c r="C91" s="35" t="s">
        <v>108</v>
      </c>
      <c r="D91" s="35" t="s">
        <v>3063</v>
      </c>
      <c r="E91" s="73" t="s">
        <v>49</v>
      </c>
      <c r="F91" s="237"/>
      <c r="G91" s="170" t="s">
        <v>652</v>
      </c>
      <c r="H91" s="170" t="s">
        <v>592</v>
      </c>
      <c r="I91" s="216"/>
      <c r="J91" s="172"/>
      <c r="K91" s="179" t="s">
        <v>2783</v>
      </c>
      <c r="L91" s="39" t="str">
        <f t="shared" si="7"/>
        <v>(850) 717-5087</v>
      </c>
      <c r="M91" s="39" t="str">
        <f t="shared" si="6"/>
        <v>david.silvers@myfloridahouse.gov</v>
      </c>
      <c r="N91" s="39"/>
      <c r="O91" s="41"/>
      <c r="P91" s="37"/>
      <c r="Q91" s="37"/>
      <c r="R91" s="41"/>
      <c r="T91" t="str">
        <f t="shared" si="1"/>
        <v/>
      </c>
      <c r="U91" s="139" t="str">
        <f t="shared" si="2"/>
        <v/>
      </c>
      <c r="V91" t="str">
        <f t="shared" si="3"/>
        <v/>
      </c>
      <c r="W91" t="str">
        <f t="shared" si="4"/>
        <v/>
      </c>
    </row>
    <row r="92" outlineLevel="1">
      <c r="A92" s="164" t="s">
        <v>44</v>
      </c>
      <c r="B92" s="31">
        <v>88.0</v>
      </c>
      <c r="C92" s="35" t="s">
        <v>1874</v>
      </c>
      <c r="D92" s="35" t="s">
        <v>3064</v>
      </c>
      <c r="E92" s="73" t="s">
        <v>49</v>
      </c>
      <c r="F92" s="237"/>
      <c r="G92" s="170" t="s">
        <v>652</v>
      </c>
      <c r="H92" s="179" t="s">
        <v>780</v>
      </c>
      <c r="I92" s="170" t="s">
        <v>592</v>
      </c>
      <c r="J92" s="172"/>
      <c r="K92" s="179" t="s">
        <v>2783</v>
      </c>
      <c r="L92" s="39" t="str">
        <f t="shared" si="7"/>
        <v>(850) 717-5088</v>
      </c>
      <c r="M92" s="39" t="str">
        <f t="shared" si="6"/>
        <v>al.jacquet@myfloridahouse.gov</v>
      </c>
      <c r="N92" s="255" t="str">
        <f>HYPERLINK("https://docs.google.com/document/d/1C5X6avmfBfnejbqADvaYZWc-sxL_ihfqoCv2oCfofss/edit?usp=sharing","Zero")</f>
        <v>Zero</v>
      </c>
      <c r="O92" s="41"/>
      <c r="P92" s="39"/>
      <c r="Q92" s="39"/>
      <c r="R92" s="41"/>
      <c r="T92" t="str">
        <f t="shared" si="1"/>
        <v/>
      </c>
      <c r="U92" s="139" t="str">
        <f t="shared" si="2"/>
        <v/>
      </c>
      <c r="V92" t="str">
        <f t="shared" si="3"/>
        <v/>
      </c>
      <c r="W92" t="str">
        <f t="shared" si="4"/>
        <v/>
      </c>
    </row>
    <row r="93" outlineLevel="1">
      <c r="A93" s="164" t="s">
        <v>44</v>
      </c>
      <c r="B93" s="31">
        <v>89.0</v>
      </c>
      <c r="C93" s="35" t="s">
        <v>157</v>
      </c>
      <c r="D93" s="35" t="s">
        <v>3065</v>
      </c>
      <c r="E93" s="40" t="s">
        <v>53</v>
      </c>
      <c r="F93" s="237"/>
      <c r="G93" s="170" t="s">
        <v>592</v>
      </c>
      <c r="H93" s="216"/>
      <c r="I93" s="216"/>
      <c r="J93" s="172"/>
      <c r="K93" s="179" t="s">
        <v>3066</v>
      </c>
      <c r="L93" s="39" t="str">
        <f t="shared" si="7"/>
        <v>(850) 717-5089</v>
      </c>
      <c r="M93" s="39" t="str">
        <f t="shared" si="6"/>
        <v>mike.caruso@myfloridahouse.gov</v>
      </c>
      <c r="N93" s="39"/>
      <c r="O93" s="41"/>
      <c r="P93" s="37"/>
      <c r="Q93" s="37"/>
      <c r="R93" s="41"/>
      <c r="T93" t="str">
        <f t="shared" si="1"/>
        <v/>
      </c>
      <c r="U93" s="139" t="str">
        <f t="shared" si="2"/>
        <v/>
      </c>
      <c r="V93" t="str">
        <f t="shared" si="3"/>
        <v/>
      </c>
      <c r="W93" t="str">
        <f t="shared" si="4"/>
        <v/>
      </c>
    </row>
    <row r="94" outlineLevel="1">
      <c r="A94" s="164" t="s">
        <v>44</v>
      </c>
      <c r="B94" s="31">
        <v>90.0</v>
      </c>
      <c r="C94" s="256" t="s">
        <v>2527</v>
      </c>
      <c r="D94" s="256" t="s">
        <v>3067</v>
      </c>
      <c r="E94" s="257" t="s">
        <v>49</v>
      </c>
      <c r="F94" s="258"/>
      <c r="G94" s="259" t="s">
        <v>652</v>
      </c>
      <c r="H94" s="216"/>
      <c r="I94" s="251"/>
      <c r="J94" s="172"/>
      <c r="K94" s="172"/>
      <c r="L94" s="39"/>
      <c r="M94" s="39"/>
      <c r="N94" s="39"/>
      <c r="O94" s="41"/>
      <c r="P94" s="37"/>
      <c r="Q94" s="37"/>
      <c r="R94" s="41"/>
      <c r="T94" t="str">
        <f t="shared" si="1"/>
        <v/>
      </c>
      <c r="U94" s="139" t="str">
        <f t="shared" si="2"/>
        <v/>
      </c>
      <c r="V94" t="str">
        <f t="shared" si="3"/>
        <v/>
      </c>
      <c r="W94" t="str">
        <f t="shared" si="4"/>
        <v/>
      </c>
    </row>
    <row r="95" outlineLevel="1">
      <c r="A95" s="164" t="s">
        <v>44</v>
      </c>
      <c r="B95" s="31">
        <v>91.0</v>
      </c>
      <c r="C95" s="35" t="s">
        <v>1674</v>
      </c>
      <c r="D95" s="35" t="s">
        <v>3068</v>
      </c>
      <c r="E95" s="73" t="s">
        <v>49</v>
      </c>
      <c r="F95" s="237"/>
      <c r="G95" s="170" t="s">
        <v>2796</v>
      </c>
      <c r="H95" s="170" t="s">
        <v>2802</v>
      </c>
      <c r="I95" s="216"/>
      <c r="J95" s="172"/>
      <c r="K95" s="179" t="s">
        <v>2783</v>
      </c>
      <c r="L95" s="39" t="str">
        <f t="shared" ref="L95:L103" si="8">Concatenate("(850) 717-50",B95)</f>
        <v>(850) 717-5091</v>
      </c>
      <c r="M95" s="39" t="str">
        <f t="shared" ref="M95:M124" si="9">Concatenate(Lower(C95),".",Lower(D95),"@myfloridahouse.gov")</f>
        <v>emily.slosberg@myfloridahouse.gov</v>
      </c>
      <c r="N95" s="39"/>
      <c r="O95" s="41"/>
      <c r="P95" s="39"/>
      <c r="Q95" s="39"/>
      <c r="R95" s="41"/>
      <c r="T95" t="str">
        <f t="shared" si="1"/>
        <v/>
      </c>
      <c r="U95" s="139" t="str">
        <f t="shared" si="2"/>
        <v/>
      </c>
      <c r="V95" t="str">
        <f t="shared" si="3"/>
        <v/>
      </c>
      <c r="W95" t="str">
        <f t="shared" si="4"/>
        <v/>
      </c>
    </row>
    <row r="96" outlineLevel="1">
      <c r="A96" s="164" t="s">
        <v>44</v>
      </c>
      <c r="B96" s="31">
        <v>92.0</v>
      </c>
      <c r="C96" s="35" t="s">
        <v>2249</v>
      </c>
      <c r="D96" s="38" t="s">
        <v>3069</v>
      </c>
      <c r="E96" s="73" t="s">
        <v>49</v>
      </c>
      <c r="F96" s="237"/>
      <c r="G96" s="170" t="s">
        <v>515</v>
      </c>
      <c r="H96" s="216"/>
      <c r="I96" s="216"/>
      <c r="J96" s="172"/>
      <c r="K96" s="179" t="s">
        <v>2783</v>
      </c>
      <c r="L96" s="39" t="str">
        <f t="shared" si="8"/>
        <v>(850) 717-5092</v>
      </c>
      <c r="M96" s="39" t="str">
        <f t="shared" si="9"/>
        <v>patricia.hawkins-williams@myfloridahouse.gov</v>
      </c>
      <c r="N96" s="39"/>
      <c r="O96" s="41"/>
      <c r="P96" s="39"/>
      <c r="Q96" s="39"/>
      <c r="R96" s="41"/>
      <c r="T96" t="str">
        <f t="shared" si="1"/>
        <v/>
      </c>
      <c r="U96" s="139" t="str">
        <f t="shared" si="2"/>
        <v/>
      </c>
      <c r="V96" t="str">
        <f t="shared" si="3"/>
        <v/>
      </c>
      <c r="W96" t="str">
        <f t="shared" si="4"/>
        <v/>
      </c>
    </row>
    <row r="97" outlineLevel="1">
      <c r="A97" s="164" t="s">
        <v>44</v>
      </c>
      <c r="B97" s="31">
        <v>93.0</v>
      </c>
      <c r="C97" s="35" t="s">
        <v>767</v>
      </c>
      <c r="D97" s="35" t="s">
        <v>3070</v>
      </c>
      <c r="E97" s="40" t="s">
        <v>53</v>
      </c>
      <c r="F97" s="237"/>
      <c r="G97" s="170" t="s">
        <v>781</v>
      </c>
      <c r="H97" s="216"/>
      <c r="I97" s="216"/>
      <c r="J97" s="172"/>
      <c r="K97" s="136" t="s">
        <v>3071</v>
      </c>
      <c r="L97" s="39" t="str">
        <f t="shared" si="8"/>
        <v>(850) 717-5093</v>
      </c>
      <c r="M97" s="39" t="str">
        <f t="shared" si="9"/>
        <v>chip.lamarca@myfloridahouse.gov</v>
      </c>
      <c r="N97" s="39"/>
      <c r="O97" s="136"/>
      <c r="P97" s="39"/>
      <c r="Q97" s="39"/>
      <c r="R97" s="41"/>
      <c r="T97" t="str">
        <f t="shared" si="1"/>
        <v/>
      </c>
      <c r="U97" s="139" t="str">
        <f t="shared" si="2"/>
        <v/>
      </c>
      <c r="V97" t="str">
        <f t="shared" si="3"/>
        <v/>
      </c>
      <c r="W97" t="str">
        <f t="shared" si="4"/>
        <v/>
      </c>
    </row>
    <row r="98" outlineLevel="1">
      <c r="A98" s="164" t="s">
        <v>44</v>
      </c>
      <c r="B98" s="31">
        <v>94.0</v>
      </c>
      <c r="C98" s="35" t="s">
        <v>1019</v>
      </c>
      <c r="D98" s="35" t="s">
        <v>3072</v>
      </c>
      <c r="E98" s="73" t="s">
        <v>49</v>
      </c>
      <c r="F98" s="237"/>
      <c r="G98" s="170" t="s">
        <v>626</v>
      </c>
      <c r="H98" s="170" t="s">
        <v>2802</v>
      </c>
      <c r="I98" s="216"/>
      <c r="J98" s="172"/>
      <c r="K98" s="179" t="s">
        <v>2783</v>
      </c>
      <c r="L98" s="39" t="str">
        <f t="shared" si="8"/>
        <v>(850) 717-5094</v>
      </c>
      <c r="M98" s="39" t="str">
        <f t="shared" si="9"/>
        <v>bobby.dubose@myfloridahouse.gov</v>
      </c>
      <c r="N98" s="39"/>
      <c r="O98" s="41"/>
      <c r="P98" s="39"/>
      <c r="Q98" s="39"/>
      <c r="R98" s="41"/>
      <c r="T98" t="str">
        <f t="shared" si="1"/>
        <v/>
      </c>
      <c r="U98" s="139" t="str">
        <f t="shared" si="2"/>
        <v/>
      </c>
      <c r="V98" t="str">
        <f t="shared" si="3"/>
        <v/>
      </c>
      <c r="W98" t="str">
        <f t="shared" si="4"/>
        <v/>
      </c>
    </row>
    <row r="99" outlineLevel="1">
      <c r="A99" s="164" t="s">
        <v>44</v>
      </c>
      <c r="B99" s="31">
        <v>95.0</v>
      </c>
      <c r="C99" s="35" t="s">
        <v>3073</v>
      </c>
      <c r="D99" s="35" t="s">
        <v>1054</v>
      </c>
      <c r="E99" s="73" t="s">
        <v>49</v>
      </c>
      <c r="F99" s="237"/>
      <c r="G99" s="216"/>
      <c r="H99" s="216"/>
      <c r="I99" s="216"/>
      <c r="J99" s="172"/>
      <c r="K99" s="179" t="s">
        <v>2783</v>
      </c>
      <c r="L99" s="39" t="str">
        <f t="shared" si="8"/>
        <v>(850) 717-5095</v>
      </c>
      <c r="M99" s="39" t="str">
        <f t="shared" si="9"/>
        <v>barrington.russell@myfloridahouse.gov</v>
      </c>
      <c r="N99" s="39"/>
      <c r="O99" s="41"/>
      <c r="P99" s="39"/>
      <c r="Q99" s="39"/>
      <c r="R99" s="41"/>
      <c r="T99" t="str">
        <f t="shared" si="1"/>
        <v/>
      </c>
      <c r="U99" s="139" t="str">
        <f t="shared" si="2"/>
        <v/>
      </c>
      <c r="V99" t="str">
        <f t="shared" si="3"/>
        <v/>
      </c>
      <c r="W99" t="str">
        <f t="shared" si="4"/>
        <v/>
      </c>
    </row>
    <row r="100" outlineLevel="1">
      <c r="A100" s="164" t="s">
        <v>44</v>
      </c>
      <c r="B100" s="31">
        <v>96.0</v>
      </c>
      <c r="C100" s="38" t="s">
        <v>3074</v>
      </c>
      <c r="D100" s="35" t="s">
        <v>3075</v>
      </c>
      <c r="E100" s="73" t="s">
        <v>49</v>
      </c>
      <c r="F100" s="237"/>
      <c r="G100" s="170" t="s">
        <v>626</v>
      </c>
      <c r="H100" s="179" t="s">
        <v>780</v>
      </c>
      <c r="I100" s="216"/>
      <c r="J100" s="172"/>
      <c r="K100" s="179" t="s">
        <v>2783</v>
      </c>
      <c r="L100" s="39" t="str">
        <f t="shared" si="8"/>
        <v>(850) 717-5096</v>
      </c>
      <c r="M100" s="39" t="str">
        <f t="shared" si="9"/>
        <v>kristin.jacobs@myfloridahouse.gov</v>
      </c>
      <c r="N100" s="39"/>
      <c r="O100" s="41"/>
      <c r="P100" s="39"/>
      <c r="Q100" s="39"/>
      <c r="R100" s="41"/>
      <c r="T100" t="str">
        <f t="shared" si="1"/>
        <v/>
      </c>
      <c r="U100" s="139" t="str">
        <f t="shared" si="2"/>
        <v/>
      </c>
      <c r="V100" t="str">
        <f t="shared" si="3"/>
        <v/>
      </c>
      <c r="W100" t="str">
        <f t="shared" si="4"/>
        <v/>
      </c>
    </row>
    <row r="101" outlineLevel="1">
      <c r="A101" s="164" t="s">
        <v>44</v>
      </c>
      <c r="B101" s="31">
        <v>97.0</v>
      </c>
      <c r="C101" s="35" t="s">
        <v>2285</v>
      </c>
      <c r="D101" s="35" t="s">
        <v>3076</v>
      </c>
      <c r="E101" s="73" t="s">
        <v>49</v>
      </c>
      <c r="F101" s="237"/>
      <c r="G101" s="216"/>
      <c r="H101" s="216"/>
      <c r="I101" s="216"/>
      <c r="J101" s="172"/>
      <c r="K101" s="172"/>
      <c r="L101" s="39" t="str">
        <f t="shared" si="8"/>
        <v>(850) 717-5097</v>
      </c>
      <c r="M101" s="39" t="str">
        <f t="shared" si="9"/>
        <v>jared.moskowitz@myfloridahouse.gov</v>
      </c>
      <c r="N101" s="39"/>
      <c r="O101" s="41"/>
      <c r="P101" s="39"/>
      <c r="Q101" s="39"/>
      <c r="R101" s="41"/>
      <c r="T101" t="str">
        <f t="shared" si="1"/>
        <v/>
      </c>
      <c r="U101" s="139" t="str">
        <f t="shared" si="2"/>
        <v/>
      </c>
      <c r="V101" t="str">
        <f t="shared" si="3"/>
        <v/>
      </c>
      <c r="W101" t="str">
        <f t="shared" si="4"/>
        <v/>
      </c>
    </row>
    <row r="102" outlineLevel="1">
      <c r="A102" s="164" t="s">
        <v>44</v>
      </c>
      <c r="B102" s="31">
        <v>98.0</v>
      </c>
      <c r="C102" s="35" t="s">
        <v>2490</v>
      </c>
      <c r="D102" s="35" t="s">
        <v>3077</v>
      </c>
      <c r="E102" s="73" t="s">
        <v>49</v>
      </c>
      <c r="F102" s="237"/>
      <c r="G102" s="170" t="s">
        <v>781</v>
      </c>
      <c r="H102" s="216"/>
      <c r="I102" s="216"/>
      <c r="J102" s="172"/>
      <c r="K102" s="179" t="s">
        <v>2783</v>
      </c>
      <c r="L102" s="39" t="str">
        <f t="shared" si="8"/>
        <v>(850) 717-5098</v>
      </c>
      <c r="M102" s="39" t="str">
        <f t="shared" si="9"/>
        <v>michael.gottlieb@myfloridahouse.gov</v>
      </c>
      <c r="N102" s="39"/>
      <c r="O102" s="41"/>
      <c r="P102" s="39"/>
      <c r="Q102" s="39"/>
      <c r="R102" s="41"/>
      <c r="T102" t="str">
        <f t="shared" si="1"/>
        <v/>
      </c>
      <c r="U102" s="139" t="str">
        <f t="shared" si="2"/>
        <v/>
      </c>
      <c r="V102" t="str">
        <f t="shared" si="3"/>
        <v/>
      </c>
      <c r="W102" t="str">
        <f t="shared" si="4"/>
        <v/>
      </c>
    </row>
    <row r="103" outlineLevel="1">
      <c r="A103" s="164" t="s">
        <v>44</v>
      </c>
      <c r="B103" s="31">
        <v>99.0</v>
      </c>
      <c r="C103" s="35" t="s">
        <v>1541</v>
      </c>
      <c r="D103" s="35" t="s">
        <v>3078</v>
      </c>
      <c r="E103" s="73" t="s">
        <v>49</v>
      </c>
      <c r="F103" s="237"/>
      <c r="G103" s="170" t="s">
        <v>626</v>
      </c>
      <c r="H103" s="170" t="s">
        <v>652</v>
      </c>
      <c r="I103" s="179" t="s">
        <v>780</v>
      </c>
      <c r="J103" s="172"/>
      <c r="K103" s="172"/>
      <c r="L103" s="39" t="str">
        <f t="shared" si="8"/>
        <v>(850) 717-5099</v>
      </c>
      <c r="M103" s="39" t="str">
        <f t="shared" si="9"/>
        <v>evan.jenne@myfloridahouse.gov</v>
      </c>
      <c r="N103" s="39"/>
      <c r="O103" s="41"/>
      <c r="P103" s="39"/>
      <c r="Q103" s="39"/>
      <c r="R103" s="41"/>
      <c r="T103" t="str">
        <f t="shared" si="1"/>
        <v/>
      </c>
      <c r="U103" s="139" t="str">
        <f t="shared" si="2"/>
        <v/>
      </c>
      <c r="V103" t="str">
        <f t="shared" si="3"/>
        <v/>
      </c>
      <c r="W103" t="str">
        <f t="shared" si="4"/>
        <v/>
      </c>
    </row>
    <row r="104" outlineLevel="1">
      <c r="A104" s="164" t="s">
        <v>44</v>
      </c>
      <c r="B104" s="31">
        <v>100.0</v>
      </c>
      <c r="C104" s="35" t="s">
        <v>622</v>
      </c>
      <c r="D104" s="35" t="s">
        <v>3080</v>
      </c>
      <c r="E104" s="73" t="s">
        <v>49</v>
      </c>
      <c r="F104" s="237"/>
      <c r="G104" s="170" t="s">
        <v>626</v>
      </c>
      <c r="H104" s="170" t="s">
        <v>781</v>
      </c>
      <c r="I104" s="179" t="s">
        <v>780</v>
      </c>
      <c r="J104" s="172"/>
      <c r="K104" s="172"/>
      <c r="L104" s="39" t="str">
        <f t="shared" ref="L104:L124" si="10">Concatenate("(850) 717-5",B104)</f>
        <v>(850) 717-5100</v>
      </c>
      <c r="M104" s="39" t="str">
        <f t="shared" si="9"/>
        <v>joe.geller@myfloridahouse.gov</v>
      </c>
      <c r="N104" s="39"/>
      <c r="O104" s="41"/>
      <c r="P104" s="39"/>
      <c r="Q104" s="39"/>
      <c r="R104" s="41"/>
      <c r="T104" t="str">
        <f t="shared" si="1"/>
        <v/>
      </c>
      <c r="U104" s="139" t="str">
        <f t="shared" si="2"/>
        <v/>
      </c>
      <c r="V104" t="str">
        <f t="shared" si="3"/>
        <v/>
      </c>
      <c r="W104" t="str">
        <f t="shared" si="4"/>
        <v/>
      </c>
    </row>
    <row r="105" outlineLevel="1">
      <c r="A105" s="164" t="s">
        <v>44</v>
      </c>
      <c r="B105" s="31">
        <v>101.0</v>
      </c>
      <c r="C105" s="38" t="s">
        <v>3081</v>
      </c>
      <c r="D105" s="38" t="s">
        <v>706</v>
      </c>
      <c r="E105" s="73" t="s">
        <v>49</v>
      </c>
      <c r="F105" s="237"/>
      <c r="G105" s="170" t="s">
        <v>2796</v>
      </c>
      <c r="H105" s="216"/>
      <c r="I105" s="216"/>
      <c r="J105" s="172"/>
      <c r="K105" s="172"/>
      <c r="L105" s="39" t="str">
        <f t="shared" si="10"/>
        <v>(850) 717-5101</v>
      </c>
      <c r="M105" s="39" t="str">
        <f t="shared" si="9"/>
        <v>shevrin.jones@myfloridahouse.gov</v>
      </c>
      <c r="N105" s="39"/>
      <c r="O105" s="41"/>
      <c r="P105" s="39"/>
      <c r="Q105" s="39"/>
      <c r="R105" s="41"/>
      <c r="T105" t="str">
        <f t="shared" si="1"/>
        <v/>
      </c>
      <c r="U105" s="139" t="str">
        <f t="shared" si="2"/>
        <v/>
      </c>
      <c r="V105" t="str">
        <f t="shared" si="3"/>
        <v/>
      </c>
      <c r="W105" t="str">
        <f t="shared" si="4"/>
        <v/>
      </c>
    </row>
    <row r="106" outlineLevel="1">
      <c r="A106" s="164" t="s">
        <v>44</v>
      </c>
      <c r="B106" s="31">
        <v>102.0</v>
      </c>
      <c r="C106" s="35" t="s">
        <v>1863</v>
      </c>
      <c r="D106" s="35" t="s">
        <v>3082</v>
      </c>
      <c r="E106" s="73" t="s">
        <v>49</v>
      </c>
      <c r="F106" s="237"/>
      <c r="G106" s="170" t="s">
        <v>2770</v>
      </c>
      <c r="H106" s="216"/>
      <c r="I106" s="216"/>
      <c r="J106" s="172"/>
      <c r="K106" s="172"/>
      <c r="L106" s="39" t="str">
        <f t="shared" si="10"/>
        <v>(850) 717-5102</v>
      </c>
      <c r="M106" s="39" t="str">
        <f t="shared" si="9"/>
        <v>sharon.pritchett@myfloridahouse.gov</v>
      </c>
      <c r="N106" s="39"/>
      <c r="O106" s="41"/>
      <c r="P106" s="39"/>
      <c r="Q106" s="39"/>
      <c r="R106" s="41"/>
      <c r="T106" t="str">
        <f t="shared" si="1"/>
        <v/>
      </c>
      <c r="U106" s="139" t="str">
        <f t="shared" si="2"/>
        <v/>
      </c>
      <c r="V106" t="str">
        <f t="shared" si="3"/>
        <v/>
      </c>
      <c r="W106" t="str">
        <f t="shared" si="4"/>
        <v/>
      </c>
    </row>
    <row r="107" outlineLevel="1">
      <c r="A107" s="164" t="s">
        <v>44</v>
      </c>
      <c r="B107" s="31">
        <v>103.0</v>
      </c>
      <c r="C107" s="35" t="s">
        <v>1561</v>
      </c>
      <c r="D107" s="35" t="s">
        <v>3083</v>
      </c>
      <c r="E107" s="73" t="s">
        <v>49</v>
      </c>
      <c r="F107" s="237"/>
      <c r="G107" s="170" t="s">
        <v>2770</v>
      </c>
      <c r="H107" s="216"/>
      <c r="I107" s="216"/>
      <c r="J107" s="172"/>
      <c r="K107" s="172"/>
      <c r="L107" s="39" t="str">
        <f t="shared" si="10"/>
        <v>(850) 717-5103</v>
      </c>
      <c r="M107" s="39" t="str">
        <f t="shared" si="9"/>
        <v>cindy.polo@myfloridahouse.gov</v>
      </c>
      <c r="N107" s="39"/>
      <c r="O107" s="41"/>
      <c r="P107" s="39"/>
      <c r="Q107" s="39"/>
      <c r="R107" s="41"/>
      <c r="T107" t="str">
        <f t="shared" si="1"/>
        <v/>
      </c>
      <c r="U107" s="139" t="str">
        <f t="shared" si="2"/>
        <v/>
      </c>
      <c r="V107" t="str">
        <f t="shared" si="3"/>
        <v/>
      </c>
      <c r="W107" t="str">
        <f t="shared" si="4"/>
        <v/>
      </c>
    </row>
    <row r="108" outlineLevel="1">
      <c r="A108" s="164" t="s">
        <v>44</v>
      </c>
      <c r="B108" s="31">
        <v>104.0</v>
      </c>
      <c r="C108" s="35" t="s">
        <v>1112</v>
      </c>
      <c r="D108" s="35" t="s">
        <v>3085</v>
      </c>
      <c r="E108" s="73" t="s">
        <v>49</v>
      </c>
      <c r="F108" s="237"/>
      <c r="G108" s="170" t="s">
        <v>626</v>
      </c>
      <c r="H108" s="170" t="s">
        <v>652</v>
      </c>
      <c r="I108" s="216"/>
      <c r="J108" s="172"/>
      <c r="K108" s="172"/>
      <c r="L108" s="39" t="str">
        <f t="shared" si="10"/>
        <v>(850) 717-5104</v>
      </c>
      <c r="M108" s="39" t="str">
        <f t="shared" si="9"/>
        <v>richard.stark@myfloridahouse.gov</v>
      </c>
      <c r="N108" s="39"/>
      <c r="O108" s="41"/>
      <c r="P108" s="39"/>
      <c r="Q108" s="39"/>
      <c r="R108" s="41"/>
      <c r="T108" t="str">
        <f t="shared" si="1"/>
        <v/>
      </c>
      <c r="U108" s="139" t="str">
        <f t="shared" si="2"/>
        <v/>
      </c>
      <c r="V108" t="str">
        <f t="shared" si="3"/>
        <v/>
      </c>
      <c r="W108" t="str">
        <f t="shared" si="4"/>
        <v/>
      </c>
    </row>
    <row r="109" outlineLevel="1">
      <c r="A109" s="164" t="s">
        <v>44</v>
      </c>
      <c r="B109" s="31">
        <v>105.0</v>
      </c>
      <c r="C109" s="266" t="s">
        <v>3087</v>
      </c>
      <c r="D109" s="266" t="s">
        <v>1094</v>
      </c>
      <c r="E109" s="40" t="s">
        <v>53</v>
      </c>
      <c r="F109" s="250"/>
      <c r="G109" s="170" t="s">
        <v>2770</v>
      </c>
      <c r="H109" s="216"/>
      <c r="I109" s="251"/>
      <c r="J109" s="172"/>
      <c r="K109" s="179" t="s">
        <v>3029</v>
      </c>
      <c r="L109" s="39" t="str">
        <f t="shared" si="10"/>
        <v>(850) 717-5105</v>
      </c>
      <c r="M109" s="39" t="str">
        <f t="shared" si="9"/>
        <v>ana.rodriguez@myfloridahouse.gov</v>
      </c>
      <c r="N109" s="39"/>
      <c r="O109" s="41"/>
      <c r="P109" s="39"/>
      <c r="Q109" s="39"/>
      <c r="R109" s="41"/>
      <c r="T109" t="str">
        <f t="shared" si="1"/>
        <v/>
      </c>
      <c r="U109" s="139" t="str">
        <f t="shared" si="2"/>
        <v/>
      </c>
      <c r="V109" t="str">
        <f t="shared" si="3"/>
        <v/>
      </c>
      <c r="W109" t="str">
        <f t="shared" si="4"/>
        <v/>
      </c>
    </row>
    <row r="110" outlineLevel="1">
      <c r="A110" s="164" t="s">
        <v>44</v>
      </c>
      <c r="B110" s="31">
        <v>106.0</v>
      </c>
      <c r="C110" s="35" t="s">
        <v>419</v>
      </c>
      <c r="D110" s="35" t="s">
        <v>3089</v>
      </c>
      <c r="E110" s="40" t="s">
        <v>53</v>
      </c>
      <c r="F110" s="237"/>
      <c r="G110" s="170" t="s">
        <v>517</v>
      </c>
      <c r="H110" s="216"/>
      <c r="I110" s="216"/>
      <c r="J110" s="172"/>
      <c r="K110" s="179" t="s">
        <v>2999</v>
      </c>
      <c r="L110" s="39" t="str">
        <f t="shared" si="10"/>
        <v>(850) 717-5106</v>
      </c>
      <c r="M110" s="39" t="str">
        <f t="shared" si="9"/>
        <v>bob.rommel@myfloridahouse.gov</v>
      </c>
      <c r="N110" s="267" t="str">
        <f>HYPERLINK("https://docs.google.com/document/d/1VulGixn7JiVfISACCXvqRsBFIh8x2N7ZID4tr2oj0Xk/edit?usp=drive_web&amp;ouid=111300232804728282603","Zero")</f>
        <v>Zero</v>
      </c>
      <c r="O110" s="41"/>
      <c r="P110" s="41"/>
      <c r="Q110" s="41"/>
      <c r="R110" s="41"/>
      <c r="T110" t="str">
        <f t="shared" si="1"/>
        <v>Representative</v>
      </c>
      <c r="U110" s="139" t="str">
        <f t="shared" si="2"/>
        <v>Bob</v>
      </c>
      <c r="V110" t="str">
        <f t="shared" si="3"/>
        <v>Rommel</v>
      </c>
      <c r="W110" t="str">
        <f t="shared" si="4"/>
        <v>bob.rommel@myfloridahouse.gov</v>
      </c>
    </row>
    <row r="111" outlineLevel="1">
      <c r="A111" s="164" t="s">
        <v>44</v>
      </c>
      <c r="B111" s="31">
        <v>107.0</v>
      </c>
      <c r="C111" s="35" t="s">
        <v>384</v>
      </c>
      <c r="D111" s="35" t="s">
        <v>853</v>
      </c>
      <c r="E111" s="73" t="s">
        <v>49</v>
      </c>
      <c r="F111" s="237"/>
      <c r="G111" s="170" t="s">
        <v>626</v>
      </c>
      <c r="H111" s="179" t="s">
        <v>780</v>
      </c>
      <c r="I111" s="216"/>
      <c r="J111" s="172"/>
      <c r="K111" s="172"/>
      <c r="L111" s="39" t="str">
        <f t="shared" si="10"/>
        <v>(850) 717-5107</v>
      </c>
      <c r="M111" s="39" t="str">
        <f t="shared" si="9"/>
        <v>barbara.watson@myfloridahouse.gov</v>
      </c>
      <c r="N111" s="39"/>
      <c r="O111" s="41"/>
      <c r="P111" s="37"/>
      <c r="Q111" s="37"/>
      <c r="R111" s="41"/>
      <c r="T111" t="str">
        <f t="shared" si="1"/>
        <v/>
      </c>
      <c r="U111" s="139" t="str">
        <f t="shared" si="2"/>
        <v/>
      </c>
      <c r="V111" t="str">
        <f t="shared" si="3"/>
        <v/>
      </c>
      <c r="W111" t="str">
        <f t="shared" si="4"/>
        <v/>
      </c>
    </row>
    <row r="112" outlineLevel="1">
      <c r="A112" s="164" t="s">
        <v>44</v>
      </c>
      <c r="B112" s="31">
        <v>108.0</v>
      </c>
      <c r="C112" s="35" t="s">
        <v>3091</v>
      </c>
      <c r="D112" s="35" t="s">
        <v>2527</v>
      </c>
      <c r="E112" s="73" t="s">
        <v>49</v>
      </c>
      <c r="F112" s="237"/>
      <c r="G112" s="216"/>
      <c r="H112" s="216"/>
      <c r="I112" s="216"/>
      <c r="J112" s="172"/>
      <c r="K112" s="172"/>
      <c r="L112" s="39" t="str">
        <f t="shared" si="10"/>
        <v>(850) 717-5108</v>
      </c>
      <c r="M112" s="39" t="str">
        <f t="shared" si="9"/>
        <v>dotie.joseph@myfloridahouse.gov</v>
      </c>
      <c r="N112" s="39"/>
      <c r="O112" s="41"/>
      <c r="P112" s="39"/>
      <c r="Q112" s="39"/>
      <c r="R112" s="41"/>
      <c r="T112" t="str">
        <f t="shared" si="1"/>
        <v/>
      </c>
      <c r="U112" s="139" t="str">
        <f t="shared" si="2"/>
        <v/>
      </c>
      <c r="V112" t="str">
        <f t="shared" si="3"/>
        <v/>
      </c>
      <c r="W112" t="str">
        <f t="shared" si="4"/>
        <v/>
      </c>
    </row>
    <row r="113" outlineLevel="1">
      <c r="A113" s="164" t="s">
        <v>44</v>
      </c>
      <c r="B113" s="31">
        <v>109.0</v>
      </c>
      <c r="C113" s="38" t="s">
        <v>930</v>
      </c>
      <c r="D113" s="38" t="s">
        <v>2740</v>
      </c>
      <c r="E113" s="73" t="s">
        <v>49</v>
      </c>
      <c r="F113" s="237"/>
      <c r="G113" s="170" t="s">
        <v>515</v>
      </c>
      <c r="H113" s="216"/>
      <c r="I113" s="216"/>
      <c r="J113" s="172"/>
      <c r="K113" s="172"/>
      <c r="L113" s="39" t="str">
        <f t="shared" si="10"/>
        <v>(850) 717-5109</v>
      </c>
      <c r="M113" s="39" t="str">
        <f t="shared" si="9"/>
        <v>james.bush@myfloridahouse.gov</v>
      </c>
      <c r="N113" s="39"/>
      <c r="O113" s="41"/>
      <c r="P113" s="39"/>
      <c r="Q113" s="39"/>
      <c r="R113" s="41"/>
      <c r="T113" t="str">
        <f t="shared" si="1"/>
        <v/>
      </c>
      <c r="U113" s="139" t="str">
        <f t="shared" si="2"/>
        <v/>
      </c>
      <c r="V113" t="str">
        <f t="shared" si="3"/>
        <v/>
      </c>
      <c r="W113" t="str">
        <f t="shared" si="4"/>
        <v/>
      </c>
    </row>
    <row r="114" outlineLevel="1">
      <c r="A114" s="164" t="s">
        <v>44</v>
      </c>
      <c r="B114" s="31">
        <v>110.0</v>
      </c>
      <c r="C114" s="38" t="s">
        <v>1823</v>
      </c>
      <c r="D114" s="38" t="s">
        <v>3092</v>
      </c>
      <c r="E114" s="40" t="s">
        <v>53</v>
      </c>
      <c r="F114" s="245" t="s">
        <v>1056</v>
      </c>
      <c r="G114" s="216"/>
      <c r="H114" s="216"/>
      <c r="I114" s="216"/>
      <c r="J114" s="172"/>
      <c r="K114" s="179" t="s">
        <v>3093</v>
      </c>
      <c r="L114" s="39" t="str">
        <f t="shared" si="10"/>
        <v>(850) 717-5110</v>
      </c>
      <c r="M114" s="39" t="str">
        <f t="shared" si="9"/>
        <v>jose.oliva@myfloridahouse.gov</v>
      </c>
      <c r="N114" s="240" t="str">
        <f>HYPERLINK("https://docs.google.com/document/d/1SRgd-R1HZBqz3vwT2coM_IHG9QSV3J-67uYCJN3y8Ms/edit","Zero")</f>
        <v>Zero</v>
      </c>
      <c r="O114" s="41"/>
      <c r="P114" s="37"/>
      <c r="Q114" s="37"/>
      <c r="R114" s="41"/>
      <c r="T114" t="str">
        <f t="shared" si="1"/>
        <v>Representative</v>
      </c>
      <c r="U114" s="139" t="str">
        <f t="shared" si="2"/>
        <v>Jose</v>
      </c>
      <c r="V114" t="str">
        <f t="shared" si="3"/>
        <v>Oliva</v>
      </c>
      <c r="W114" t="str">
        <f t="shared" si="4"/>
        <v>jose.oliva@myfloridahouse.gov</v>
      </c>
    </row>
    <row r="115" outlineLevel="1">
      <c r="A115" s="164" t="s">
        <v>44</v>
      </c>
      <c r="B115" s="31">
        <v>111.0</v>
      </c>
      <c r="C115" s="35" t="s">
        <v>2775</v>
      </c>
      <c r="D115" s="35" t="s">
        <v>3095</v>
      </c>
      <c r="E115" s="40" t="s">
        <v>53</v>
      </c>
      <c r="F115" s="237"/>
      <c r="G115" s="170" t="s">
        <v>3096</v>
      </c>
      <c r="H115" s="170" t="s">
        <v>626</v>
      </c>
      <c r="I115" s="170" t="s">
        <v>652</v>
      </c>
      <c r="J115" s="179" t="s">
        <v>780</v>
      </c>
      <c r="K115" s="179" t="s">
        <v>3029</v>
      </c>
      <c r="L115" s="39" t="str">
        <f t="shared" si="10"/>
        <v>(850) 717-5111</v>
      </c>
      <c r="M115" s="39" t="str">
        <f t="shared" si="9"/>
        <v>bryan.avila@myfloridahouse.gov</v>
      </c>
      <c r="N115" s="39"/>
      <c r="O115" s="41"/>
      <c r="P115" s="37"/>
      <c r="Q115" s="37"/>
      <c r="R115" s="41"/>
      <c r="T115" t="str">
        <f t="shared" si="1"/>
        <v>Representative</v>
      </c>
      <c r="U115" s="139" t="str">
        <f t="shared" si="2"/>
        <v>Bryan</v>
      </c>
      <c r="V115" t="str">
        <f t="shared" si="3"/>
        <v>Avila</v>
      </c>
      <c r="W115" t="str">
        <f t="shared" si="4"/>
        <v>bryan.avila@myfloridahouse.gov</v>
      </c>
    </row>
    <row r="116" outlineLevel="1">
      <c r="A116" s="164" t="s">
        <v>44</v>
      </c>
      <c r="B116" s="31">
        <v>112.0</v>
      </c>
      <c r="C116" s="35" t="s">
        <v>3097</v>
      </c>
      <c r="D116" s="35" t="s">
        <v>1799</v>
      </c>
      <c r="E116" s="73" t="s">
        <v>49</v>
      </c>
      <c r="F116" s="237"/>
      <c r="G116" s="170" t="s">
        <v>626</v>
      </c>
      <c r="H116" s="170" t="s">
        <v>2796</v>
      </c>
      <c r="I116" s="216"/>
      <c r="J116" s="172"/>
      <c r="K116" s="172"/>
      <c r="L116" s="39" t="str">
        <f t="shared" si="10"/>
        <v>(850) 717-5112</v>
      </c>
      <c r="M116" s="39" t="str">
        <f t="shared" si="9"/>
        <v>nicholas.duran@myfloridahouse.gov</v>
      </c>
      <c r="N116" s="39"/>
      <c r="O116" s="41"/>
      <c r="P116" s="37"/>
      <c r="Q116" s="37"/>
      <c r="R116" s="41"/>
      <c r="T116" t="str">
        <f t="shared" si="1"/>
        <v/>
      </c>
      <c r="U116" s="139" t="str">
        <f t="shared" si="2"/>
        <v/>
      </c>
      <c r="V116" t="str">
        <f t="shared" si="3"/>
        <v/>
      </c>
      <c r="W116" t="str">
        <f t="shared" si="4"/>
        <v/>
      </c>
    </row>
    <row r="117" outlineLevel="1">
      <c r="A117" s="164" t="s">
        <v>44</v>
      </c>
      <c r="B117" s="31">
        <v>113.0</v>
      </c>
      <c r="C117" s="35" t="s">
        <v>2490</v>
      </c>
      <c r="D117" s="35" t="s">
        <v>3099</v>
      </c>
      <c r="E117" s="73" t="s">
        <v>49</v>
      </c>
      <c r="F117" s="237"/>
      <c r="G117" s="216"/>
      <c r="H117" s="216"/>
      <c r="I117" s="216"/>
      <c r="J117" s="172"/>
      <c r="K117" s="172"/>
      <c r="L117" s="39" t="str">
        <f t="shared" si="10"/>
        <v>(850) 717-5113</v>
      </c>
      <c r="M117" s="39" t="str">
        <f t="shared" si="9"/>
        <v>michael.grieco@myfloridahouse.gov</v>
      </c>
      <c r="N117" s="39"/>
      <c r="O117" s="41"/>
      <c r="P117" s="39"/>
      <c r="Q117" s="39"/>
      <c r="R117" s="41"/>
      <c r="T117" t="str">
        <f t="shared" si="1"/>
        <v/>
      </c>
      <c r="U117" s="139" t="str">
        <f t="shared" si="2"/>
        <v/>
      </c>
      <c r="V117" t="str">
        <f t="shared" si="3"/>
        <v/>
      </c>
      <c r="W117" t="str">
        <f t="shared" si="4"/>
        <v/>
      </c>
    </row>
    <row r="118" outlineLevel="1">
      <c r="A118" s="164" t="s">
        <v>44</v>
      </c>
      <c r="B118" s="31">
        <v>114.0</v>
      </c>
      <c r="C118" s="35" t="s">
        <v>3100</v>
      </c>
      <c r="D118" s="35" t="s">
        <v>624</v>
      </c>
      <c r="E118" s="73" t="s">
        <v>49</v>
      </c>
      <c r="F118" s="237"/>
      <c r="G118" s="170" t="s">
        <v>652</v>
      </c>
      <c r="H118" s="216"/>
      <c r="I118" s="216"/>
      <c r="J118" s="172"/>
      <c r="K118" s="172"/>
      <c r="L118" s="39" t="str">
        <f t="shared" si="10"/>
        <v>(850) 717-5114</v>
      </c>
      <c r="M118" s="39" t="str">
        <f t="shared" si="9"/>
        <v>javier.fernandez@myfloridahouse.gov</v>
      </c>
      <c r="N118" s="39"/>
      <c r="O118" s="41"/>
      <c r="P118" s="37"/>
      <c r="Q118" s="37"/>
      <c r="R118" s="41"/>
      <c r="T118" t="str">
        <f t="shared" si="1"/>
        <v/>
      </c>
      <c r="U118" s="139" t="str">
        <f t="shared" si="2"/>
        <v/>
      </c>
      <c r="V118" t="str">
        <f t="shared" si="3"/>
        <v/>
      </c>
      <c r="W118" t="str">
        <f t="shared" si="4"/>
        <v/>
      </c>
    </row>
    <row r="119" outlineLevel="1">
      <c r="A119" s="164" t="s">
        <v>44</v>
      </c>
      <c r="B119" s="31">
        <v>115.0</v>
      </c>
      <c r="C119" s="35" t="s">
        <v>211</v>
      </c>
      <c r="D119" s="35" t="s">
        <v>3101</v>
      </c>
      <c r="E119" s="40" t="s">
        <v>53</v>
      </c>
      <c r="F119" s="237"/>
      <c r="G119" s="170" t="s">
        <v>515</v>
      </c>
      <c r="H119" s="216"/>
      <c r="I119" s="216"/>
      <c r="J119" s="172"/>
      <c r="K119" s="179" t="s">
        <v>3029</v>
      </c>
      <c r="L119" s="39" t="str">
        <f t="shared" si="10"/>
        <v>(850) 717-5115</v>
      </c>
      <c r="M119" s="39" t="str">
        <f t="shared" si="9"/>
        <v>vance.aloupis@myfloridahouse.gov</v>
      </c>
      <c r="N119" s="39"/>
      <c r="O119" s="41"/>
      <c r="P119" s="37"/>
      <c r="Q119" s="37"/>
      <c r="R119" s="41"/>
      <c r="T119" t="str">
        <f t="shared" si="1"/>
        <v/>
      </c>
      <c r="U119" s="139" t="str">
        <f t="shared" si="2"/>
        <v/>
      </c>
      <c r="V119" t="str">
        <f t="shared" si="3"/>
        <v/>
      </c>
      <c r="W119" t="str">
        <f t="shared" si="4"/>
        <v/>
      </c>
    </row>
    <row r="120" outlineLevel="1">
      <c r="A120" s="164" t="s">
        <v>44</v>
      </c>
      <c r="B120" s="31">
        <v>116.0</v>
      </c>
      <c r="C120" s="35" t="s">
        <v>552</v>
      </c>
      <c r="D120" s="35" t="s">
        <v>3103</v>
      </c>
      <c r="E120" s="40" t="s">
        <v>53</v>
      </c>
      <c r="F120" s="237"/>
      <c r="G120" s="170" t="s">
        <v>515</v>
      </c>
      <c r="H120" s="216"/>
      <c r="I120" s="216"/>
      <c r="J120" s="172"/>
      <c r="K120" s="179" t="s">
        <v>3029</v>
      </c>
      <c r="L120" s="39" t="str">
        <f t="shared" si="10"/>
        <v>(850) 717-5116</v>
      </c>
      <c r="M120" s="39" t="str">
        <f t="shared" si="9"/>
        <v>daniel.perez@myfloridahouse.gov</v>
      </c>
      <c r="N120" s="39"/>
      <c r="O120" s="41"/>
      <c r="P120" s="37"/>
      <c r="Q120" s="37"/>
      <c r="R120" s="41"/>
      <c r="T120" t="str">
        <f t="shared" si="1"/>
        <v/>
      </c>
      <c r="U120" s="139" t="str">
        <f t="shared" si="2"/>
        <v/>
      </c>
      <c r="V120" t="str">
        <f t="shared" si="3"/>
        <v/>
      </c>
      <c r="W120" t="str">
        <f t="shared" si="4"/>
        <v/>
      </c>
    </row>
    <row r="121" outlineLevel="1">
      <c r="A121" s="164" t="s">
        <v>44</v>
      </c>
      <c r="B121" s="31">
        <v>117.0</v>
      </c>
      <c r="C121" s="35" t="s">
        <v>3104</v>
      </c>
      <c r="D121" s="35" t="s">
        <v>3106</v>
      </c>
      <c r="E121" s="73" t="s">
        <v>49</v>
      </c>
      <c r="F121" s="245" t="s">
        <v>498</v>
      </c>
      <c r="G121" s="170" t="s">
        <v>626</v>
      </c>
      <c r="H121" s="216"/>
      <c r="I121" s="216"/>
      <c r="J121" s="172"/>
      <c r="K121" s="179" t="s">
        <v>2783</v>
      </c>
      <c r="L121" s="39" t="str">
        <f t="shared" si="10"/>
        <v>(850) 717-5117</v>
      </c>
      <c r="M121" s="39" t="str">
        <f t="shared" si="9"/>
        <v>kionne.mcghee@myfloridahouse.gov</v>
      </c>
      <c r="N121" s="240" t="str">
        <f>HYPERLINK("https://docs.google.com/document/d/1CnjbLU_BB_B2gzm6-CMzp33ag_6drT6QdIR-6pTFJDI/edit","Zero")</f>
        <v>Zero</v>
      </c>
      <c r="O121" s="41"/>
      <c r="P121" s="37"/>
      <c r="Q121" s="37"/>
      <c r="R121" s="41"/>
      <c r="T121" t="str">
        <f t="shared" si="1"/>
        <v>Representative</v>
      </c>
      <c r="U121" s="139" t="str">
        <f t="shared" si="2"/>
        <v>Kionne</v>
      </c>
      <c r="V121" t="str">
        <f t="shared" si="3"/>
        <v>McGhee</v>
      </c>
      <c r="W121" t="str">
        <f t="shared" si="4"/>
        <v>kionne.mcghee@myfloridahouse.gov</v>
      </c>
    </row>
    <row r="122" outlineLevel="1">
      <c r="A122" s="164" t="s">
        <v>44</v>
      </c>
      <c r="B122" s="31">
        <v>118.0</v>
      </c>
      <c r="C122" s="35" t="s">
        <v>496</v>
      </c>
      <c r="D122" s="35" t="s">
        <v>1094</v>
      </c>
      <c r="E122" s="40" t="s">
        <v>53</v>
      </c>
      <c r="F122" s="237"/>
      <c r="G122" s="170" t="s">
        <v>2802</v>
      </c>
      <c r="H122" s="216"/>
      <c r="I122" s="216"/>
      <c r="J122" s="172"/>
      <c r="K122" s="179" t="s">
        <v>3029</v>
      </c>
      <c r="L122" s="39" t="str">
        <f t="shared" si="10"/>
        <v>(850) 717-5118</v>
      </c>
      <c r="M122" s="39" t="str">
        <f t="shared" si="9"/>
        <v>anthony.rodriguez@myfloridahouse.gov</v>
      </c>
      <c r="N122" s="39"/>
      <c r="O122" s="41"/>
      <c r="P122" s="37"/>
      <c r="Q122" s="37"/>
      <c r="R122" s="41"/>
      <c r="T122" t="str">
        <f t="shared" si="1"/>
        <v/>
      </c>
      <c r="U122" s="139" t="str">
        <f t="shared" si="2"/>
        <v/>
      </c>
      <c r="V122" t="str">
        <f t="shared" si="3"/>
        <v/>
      </c>
      <c r="W122" t="str">
        <f t="shared" si="4"/>
        <v/>
      </c>
    </row>
    <row r="123" outlineLevel="1">
      <c r="A123" s="164" t="s">
        <v>44</v>
      </c>
      <c r="B123" s="31">
        <v>119.0</v>
      </c>
      <c r="C123" s="35" t="s">
        <v>1327</v>
      </c>
      <c r="D123" s="35" t="s">
        <v>3110</v>
      </c>
      <c r="E123" s="40" t="s">
        <v>53</v>
      </c>
      <c r="F123" s="237"/>
      <c r="G123" s="170" t="s">
        <v>781</v>
      </c>
      <c r="H123" s="216"/>
      <c r="I123" s="216"/>
      <c r="J123" s="172"/>
      <c r="K123" s="179" t="s">
        <v>3066</v>
      </c>
      <c r="L123" s="39" t="str">
        <f t="shared" si="10"/>
        <v>(850) 717-5119</v>
      </c>
      <c r="M123" s="39" t="str">
        <f t="shared" si="9"/>
        <v>juan.fernandez-barquin@myfloridahouse.gov</v>
      </c>
      <c r="N123" s="39"/>
      <c r="O123" s="41"/>
      <c r="P123" s="37"/>
      <c r="Q123" s="37"/>
      <c r="R123" s="41"/>
      <c r="T123" t="str">
        <f t="shared" si="1"/>
        <v/>
      </c>
      <c r="U123" s="139" t="str">
        <f t="shared" si="2"/>
        <v/>
      </c>
      <c r="V123" t="str">
        <f t="shared" si="3"/>
        <v/>
      </c>
      <c r="W123" t="str">
        <f t="shared" si="4"/>
        <v/>
      </c>
    </row>
    <row r="124" outlineLevel="1">
      <c r="A124" s="164" t="s">
        <v>44</v>
      </c>
      <c r="B124" s="31">
        <v>120.0</v>
      </c>
      <c r="C124" s="35" t="s">
        <v>2202</v>
      </c>
      <c r="D124" s="35" t="s">
        <v>3113</v>
      </c>
      <c r="E124" s="40" t="s">
        <v>53</v>
      </c>
      <c r="F124" s="237"/>
      <c r="G124" s="170" t="s">
        <v>626</v>
      </c>
      <c r="H124" s="179" t="s">
        <v>780</v>
      </c>
      <c r="I124" s="170" t="s">
        <v>2802</v>
      </c>
      <c r="J124" s="172"/>
      <c r="K124" s="179" t="s">
        <v>3029</v>
      </c>
      <c r="L124" s="39" t="str">
        <f t="shared" si="10"/>
        <v>(850) 717-5120</v>
      </c>
      <c r="M124" s="39" t="str">
        <f t="shared" si="9"/>
        <v>holly.raschein@myfloridahouse.gov</v>
      </c>
      <c r="N124" s="39"/>
      <c r="O124" s="41"/>
      <c r="P124" s="37"/>
      <c r="Q124" s="37"/>
      <c r="R124" s="41"/>
      <c r="T124" t="str">
        <f t="shared" si="1"/>
        <v/>
      </c>
      <c r="U124" s="139" t="str">
        <f t="shared" si="2"/>
        <v/>
      </c>
      <c r="V124" t="str">
        <f t="shared" si="3"/>
        <v/>
      </c>
      <c r="W124" t="str">
        <f t="shared" si="4"/>
        <v/>
      </c>
    </row>
    <row r="125">
      <c r="A125" s="229" t="s">
        <v>286</v>
      </c>
      <c r="B125" s="286"/>
      <c r="C125" s="288"/>
      <c r="D125" s="288"/>
      <c r="E125" s="290"/>
      <c r="F125" s="232"/>
      <c r="G125" s="291"/>
      <c r="H125" s="291"/>
      <c r="I125" s="291"/>
      <c r="J125" s="291"/>
      <c r="K125" s="291"/>
      <c r="L125" s="286"/>
      <c r="M125" s="286"/>
      <c r="N125" s="286"/>
      <c r="O125" s="70"/>
      <c r="P125" s="286"/>
      <c r="Q125" s="286"/>
      <c r="R125" s="70"/>
      <c r="S125" s="70"/>
      <c r="T125" t="str">
        <f t="shared" si="1"/>
        <v/>
      </c>
      <c r="U125" s="139" t="str">
        <f t="shared" si="2"/>
        <v/>
      </c>
      <c r="V125" t="str">
        <f t="shared" si="3"/>
        <v/>
      </c>
      <c r="W125" t="str">
        <f t="shared" si="4"/>
        <v/>
      </c>
      <c r="X125" s="70"/>
      <c r="Y125" s="70"/>
      <c r="Z125" s="70"/>
      <c r="AA125" s="70"/>
      <c r="AB125" s="70"/>
      <c r="AC125" s="70"/>
      <c r="AD125" s="70"/>
    </row>
    <row r="126" outlineLevel="1">
      <c r="A126" s="164" t="s">
        <v>286</v>
      </c>
      <c r="B126" s="31">
        <v>1.0</v>
      </c>
      <c r="C126" s="35" t="s">
        <v>1146</v>
      </c>
      <c r="D126" s="35" t="s">
        <v>3119</v>
      </c>
      <c r="E126" s="40" t="s">
        <v>53</v>
      </c>
      <c r="F126" s="237"/>
      <c r="G126" s="170" t="s">
        <v>3120</v>
      </c>
      <c r="H126" s="170" t="s">
        <v>2184</v>
      </c>
      <c r="I126" s="292" t="s">
        <v>3121</v>
      </c>
      <c r="J126" s="217"/>
      <c r="K126" s="217"/>
      <c r="L126" s="39" t="str">
        <f t="shared" ref="L126:L134" si="11">Concatenate("(850) 487-500",B126)</f>
        <v>(850) 487-5001</v>
      </c>
      <c r="M126" s="39" t="str">
        <f t="shared" ref="M126:M165" si="12">Concatenate(Lower(D126),".",Lower(C126),"@flsenate.gov")</f>
        <v>broxson.doug@flsenate.gov</v>
      </c>
      <c r="N126" s="31"/>
      <c r="P126" s="31"/>
      <c r="Q126" s="31"/>
      <c r="T126" t="str">
        <f t="shared" si="1"/>
        <v>Senator</v>
      </c>
      <c r="U126" s="139" t="str">
        <f t="shared" si="2"/>
        <v>Doug</v>
      </c>
      <c r="V126" t="str">
        <f t="shared" si="3"/>
        <v>Broxson</v>
      </c>
      <c r="W126" t="str">
        <f t="shared" si="4"/>
        <v>broxson.doug@flsenate.gov</v>
      </c>
    </row>
    <row r="127" outlineLevel="1">
      <c r="A127" s="164" t="s">
        <v>286</v>
      </c>
      <c r="B127" s="31">
        <v>2.0</v>
      </c>
      <c r="C127" s="35" t="s">
        <v>98</v>
      </c>
      <c r="D127" s="35" t="s">
        <v>3135</v>
      </c>
      <c r="E127" s="40" t="s">
        <v>53</v>
      </c>
      <c r="F127" s="237"/>
      <c r="G127" s="170" t="s">
        <v>3136</v>
      </c>
      <c r="H127" s="170" t="s">
        <v>2392</v>
      </c>
      <c r="I127" s="292" t="s">
        <v>3137</v>
      </c>
      <c r="J127" s="292" t="s">
        <v>626</v>
      </c>
      <c r="K127" s="217"/>
      <c r="L127" s="39" t="str">
        <f t="shared" si="11"/>
        <v>(850) 487-5002</v>
      </c>
      <c r="M127" s="39" t="str">
        <f t="shared" si="12"/>
        <v>gainer.george@flsenate.gov</v>
      </c>
      <c r="N127" s="31"/>
      <c r="P127" s="200"/>
      <c r="Q127" s="200"/>
      <c r="T127" t="str">
        <f t="shared" si="1"/>
        <v>Senator</v>
      </c>
      <c r="U127" s="139" t="str">
        <f t="shared" si="2"/>
        <v>George</v>
      </c>
      <c r="V127" t="str">
        <f t="shared" si="3"/>
        <v>Gainer</v>
      </c>
      <c r="W127" t="str">
        <f t="shared" si="4"/>
        <v>gainer.george@flsenate.gov</v>
      </c>
    </row>
    <row r="128" outlineLevel="1">
      <c r="A128" s="164" t="s">
        <v>286</v>
      </c>
      <c r="B128" s="31">
        <v>3.0</v>
      </c>
      <c r="C128" s="35" t="s">
        <v>325</v>
      </c>
      <c r="D128" s="35" t="s">
        <v>3139</v>
      </c>
      <c r="E128" s="73" t="s">
        <v>49</v>
      </c>
      <c r="F128" s="237"/>
      <c r="G128" s="170" t="s">
        <v>3140</v>
      </c>
      <c r="H128" s="170" t="s">
        <v>888</v>
      </c>
      <c r="I128" s="170" t="s">
        <v>2184</v>
      </c>
      <c r="J128" s="292" t="s">
        <v>780</v>
      </c>
      <c r="K128" s="292" t="s">
        <v>626</v>
      </c>
      <c r="L128" s="39" t="str">
        <f t="shared" si="11"/>
        <v>(850) 487-5003</v>
      </c>
      <c r="M128" s="39" t="str">
        <f t="shared" si="12"/>
        <v>montford.bill@flsenate.gov</v>
      </c>
      <c r="N128" s="31"/>
      <c r="P128" s="31"/>
      <c r="Q128" s="31"/>
      <c r="T128" t="str">
        <f t="shared" si="1"/>
        <v>Senator</v>
      </c>
      <c r="U128" s="139" t="str">
        <f t="shared" si="2"/>
        <v>Bill</v>
      </c>
      <c r="V128" t="str">
        <f t="shared" si="3"/>
        <v>Montford</v>
      </c>
      <c r="W128" t="str">
        <f t="shared" si="4"/>
        <v>montford.bill@flsenate.gov</v>
      </c>
    </row>
    <row r="129" outlineLevel="1">
      <c r="A129" s="164" t="s">
        <v>286</v>
      </c>
      <c r="B129" s="31">
        <v>4.0</v>
      </c>
      <c r="C129" s="35" t="s">
        <v>1107</v>
      </c>
      <c r="D129" s="35" t="s">
        <v>3147</v>
      </c>
      <c r="E129" s="40" t="s">
        <v>53</v>
      </c>
      <c r="F129" s="237"/>
      <c r="G129" s="170" t="s">
        <v>3148</v>
      </c>
      <c r="H129" s="292" t="s">
        <v>3149</v>
      </c>
      <c r="I129" s="292" t="s">
        <v>3150</v>
      </c>
      <c r="J129" s="292" t="s">
        <v>3151</v>
      </c>
      <c r="K129" s="292" t="s">
        <v>626</v>
      </c>
      <c r="L129" s="39" t="str">
        <f t="shared" si="11"/>
        <v>(850) 487-5004</v>
      </c>
      <c r="M129" s="39" t="str">
        <f t="shared" si="12"/>
        <v>bean.aaron@flsenate.gov</v>
      </c>
      <c r="N129" s="31"/>
      <c r="P129" s="31"/>
      <c r="Q129" s="31"/>
      <c r="T129" t="str">
        <f t="shared" si="1"/>
        <v/>
      </c>
      <c r="U129" s="139" t="str">
        <f t="shared" si="2"/>
        <v/>
      </c>
      <c r="V129" t="str">
        <f t="shared" si="3"/>
        <v/>
      </c>
      <c r="W129" t="str">
        <f t="shared" si="4"/>
        <v/>
      </c>
    </row>
    <row r="130" outlineLevel="1">
      <c r="A130" s="164" t="s">
        <v>286</v>
      </c>
      <c r="B130" s="31">
        <v>5.0</v>
      </c>
      <c r="C130" s="35" t="s">
        <v>1476</v>
      </c>
      <c r="D130" s="35" t="s">
        <v>1130</v>
      </c>
      <c r="E130" s="40" t="s">
        <v>53</v>
      </c>
      <c r="F130" s="245"/>
      <c r="G130" s="170" t="s">
        <v>662</v>
      </c>
      <c r="H130" s="170" t="s">
        <v>3158</v>
      </c>
      <c r="I130" s="292" t="s">
        <v>780</v>
      </c>
      <c r="J130" s="217"/>
      <c r="K130" s="217"/>
      <c r="L130" s="39" t="str">
        <f t="shared" si="11"/>
        <v>(850) 487-5005</v>
      </c>
      <c r="M130" s="39" t="str">
        <f t="shared" si="12"/>
        <v>bradley.rob@flsenate.gov</v>
      </c>
      <c r="N130" s="293" t="str">
        <f>HYPERLINK("https://docs.google.com/document/d/1h1nqFqb6xKcvYAiS9ydg6MdoxZEbFol4Q5sce3SwJwo/edit?usp=drive_web&amp;ouid=111300232804728282603","Zero")</f>
        <v>Zero</v>
      </c>
      <c r="P130" s="31"/>
      <c r="Q130" s="31"/>
      <c r="T130" t="str">
        <f t="shared" si="1"/>
        <v>Senator</v>
      </c>
      <c r="U130" s="139" t="str">
        <f t="shared" si="2"/>
        <v>Rob</v>
      </c>
      <c r="V130" t="str">
        <f t="shared" si="3"/>
        <v>Bradley</v>
      </c>
      <c r="W130" t="str">
        <f t="shared" si="4"/>
        <v>bradley.rob@flsenate.gov</v>
      </c>
    </row>
    <row r="131" outlineLevel="1">
      <c r="A131" s="164" t="s">
        <v>286</v>
      </c>
      <c r="B131" s="31">
        <v>6.0</v>
      </c>
      <c r="C131" s="35" t="s">
        <v>3164</v>
      </c>
      <c r="D131" s="35" t="s">
        <v>2519</v>
      </c>
      <c r="E131" s="73" t="s">
        <v>49</v>
      </c>
      <c r="F131" s="12" t="s">
        <v>498</v>
      </c>
      <c r="G131" s="292" t="s">
        <v>745</v>
      </c>
      <c r="H131" s="170" t="s">
        <v>3158</v>
      </c>
      <c r="I131" s="170" t="s">
        <v>781</v>
      </c>
      <c r="J131" s="292" t="s">
        <v>626</v>
      </c>
      <c r="K131" s="217"/>
      <c r="L131" s="39" t="str">
        <f t="shared" si="11"/>
        <v>(850) 487-5006</v>
      </c>
      <c r="M131" s="39" t="str">
        <f t="shared" si="12"/>
        <v>gibson.audrey@flsenate.gov</v>
      </c>
      <c r="N131" s="293" t="str">
        <f>HYPERLINK("https://docs.google.com/document/d/1piAk7vjy5E7pznNIWJq77vvW1gT9tX8IrdNu_ELhFuA/edit","Zero")</f>
        <v>Zero</v>
      </c>
      <c r="P131" s="200"/>
      <c r="Q131" s="200"/>
      <c r="T131" t="str">
        <f t="shared" si="1"/>
        <v>Senator</v>
      </c>
      <c r="U131" s="139" t="str">
        <f t="shared" si="2"/>
        <v>Audrey</v>
      </c>
      <c r="V131" t="str">
        <f t="shared" si="3"/>
        <v>Gibson</v>
      </c>
      <c r="W131" t="str">
        <f t="shared" si="4"/>
        <v>gibson.audrey@flsenate.gov</v>
      </c>
    </row>
    <row r="132" outlineLevel="1">
      <c r="A132" s="164" t="s">
        <v>286</v>
      </c>
      <c r="B132" s="31">
        <v>7.0</v>
      </c>
      <c r="C132" s="35" t="s">
        <v>807</v>
      </c>
      <c r="D132" s="35" t="s">
        <v>3177</v>
      </c>
      <c r="E132" s="40" t="s">
        <v>53</v>
      </c>
      <c r="F132" s="237"/>
      <c r="G132" s="170" t="s">
        <v>781</v>
      </c>
      <c r="H132" s="14" t="s">
        <v>3178</v>
      </c>
      <c r="I132" s="170" t="s">
        <v>3158</v>
      </c>
      <c r="J132" s="292" t="s">
        <v>3151</v>
      </c>
      <c r="K132" s="292" t="s">
        <v>3179</v>
      </c>
      <c r="L132" s="39" t="str">
        <f t="shared" si="11"/>
        <v>(850) 487-5007</v>
      </c>
      <c r="M132" s="39" t="str">
        <f t="shared" si="12"/>
        <v>hutson.travis@flsenate.gov</v>
      </c>
      <c r="N132" s="31"/>
      <c r="P132" s="200"/>
      <c r="Q132" s="200"/>
      <c r="T132" t="str">
        <f t="shared" si="1"/>
        <v/>
      </c>
      <c r="U132" s="139" t="str">
        <f t="shared" si="2"/>
        <v/>
      </c>
      <c r="V132" t="str">
        <f t="shared" si="3"/>
        <v/>
      </c>
      <c r="W132" t="str">
        <f t="shared" si="4"/>
        <v/>
      </c>
    </row>
    <row r="133" outlineLevel="1">
      <c r="A133" s="164" t="s">
        <v>286</v>
      </c>
      <c r="B133" s="31">
        <v>8.0</v>
      </c>
      <c r="C133" s="35" t="s">
        <v>1617</v>
      </c>
      <c r="D133" s="35" t="s">
        <v>1329</v>
      </c>
      <c r="E133" s="40" t="s">
        <v>53</v>
      </c>
      <c r="F133" s="15"/>
      <c r="G133" s="14" t="s">
        <v>3185</v>
      </c>
      <c r="H133" s="170" t="s">
        <v>3186</v>
      </c>
      <c r="I133" s="292" t="s">
        <v>515</v>
      </c>
      <c r="J133" s="170" t="s">
        <v>3187</v>
      </c>
      <c r="K133" s="217"/>
      <c r="L133" s="39" t="str">
        <f t="shared" si="11"/>
        <v>(850) 487-5008</v>
      </c>
      <c r="M133" s="39" t="str">
        <f t="shared" si="12"/>
        <v>perry.keith@flsenate.gov</v>
      </c>
      <c r="N133" s="293" t="str">
        <f>HYPERLINK("https://docs.google.com/document/d/1efLJGCbBbMfHYpu4RDD417MOUoD8NdZjTsRazl5vHxU/edit?usp=drive_web&amp;ouid=111300232804728282603","Zero")</f>
        <v>Zero</v>
      </c>
      <c r="P133" s="200"/>
      <c r="Q133" s="200"/>
      <c r="T133" t="str">
        <f t="shared" si="1"/>
        <v>Senator</v>
      </c>
      <c r="U133" s="139" t="str">
        <f t="shared" si="2"/>
        <v>Keith</v>
      </c>
      <c r="V133" t="str">
        <f t="shared" si="3"/>
        <v>Perry</v>
      </c>
      <c r="W133" t="str">
        <f t="shared" si="4"/>
        <v>perry.keith@flsenate.gov</v>
      </c>
    </row>
    <row r="134" outlineLevel="1">
      <c r="A134" s="164" t="s">
        <v>286</v>
      </c>
      <c r="B134" s="31">
        <v>9.0</v>
      </c>
      <c r="C134" s="35" t="s">
        <v>108</v>
      </c>
      <c r="D134" s="35" t="s">
        <v>2800</v>
      </c>
      <c r="E134" s="40" t="s">
        <v>53</v>
      </c>
      <c r="F134" s="245" t="s">
        <v>903</v>
      </c>
      <c r="G134" s="170" t="s">
        <v>877</v>
      </c>
      <c r="H134" s="292" t="s">
        <v>515</v>
      </c>
      <c r="I134" s="292" t="s">
        <v>3121</v>
      </c>
      <c r="J134" s="292" t="s">
        <v>780</v>
      </c>
      <c r="K134" s="292" t="s">
        <v>626</v>
      </c>
      <c r="L134" s="39" t="str">
        <f t="shared" si="11"/>
        <v>(850) 487-5009</v>
      </c>
      <c r="M134" s="39" t="str">
        <f t="shared" si="12"/>
        <v>simmons.david@flsenate.gov</v>
      </c>
      <c r="N134" s="293" t="str">
        <f>HYPERLINK("https://docs.google.com/document/d/1-RRSMmyWipYrYoAbYV0REqosyku_tDiC7FGla5AaAdA/edit","Zero")</f>
        <v>Zero</v>
      </c>
      <c r="P134" s="31"/>
      <c r="Q134" s="31"/>
      <c r="T134" t="str">
        <f t="shared" si="1"/>
        <v>Senator</v>
      </c>
      <c r="U134" s="139" t="str">
        <f t="shared" si="2"/>
        <v>David</v>
      </c>
      <c r="V134" t="str">
        <f t="shared" si="3"/>
        <v>Simmons</v>
      </c>
      <c r="W134" t="str">
        <f t="shared" si="4"/>
        <v>simmons.david@flsenate.gov</v>
      </c>
    </row>
    <row r="135" outlineLevel="1">
      <c r="A135" s="164" t="s">
        <v>286</v>
      </c>
      <c r="B135" s="31">
        <v>10.0</v>
      </c>
      <c r="C135" s="35" t="s">
        <v>3194</v>
      </c>
      <c r="D135" s="35" t="s">
        <v>728</v>
      </c>
      <c r="E135" s="40" t="s">
        <v>53</v>
      </c>
      <c r="F135" s="15"/>
      <c r="G135" s="170" t="s">
        <v>3200</v>
      </c>
      <c r="H135" s="292" t="s">
        <v>1024</v>
      </c>
      <c r="I135" s="170" t="s">
        <v>780</v>
      </c>
      <c r="J135" s="217"/>
      <c r="K135" s="217"/>
      <c r="L135" s="39" t="str">
        <f t="shared" ref="L135:L165" si="13">Concatenate("(850) 487-50",B135)</f>
        <v>(850) 487-5010</v>
      </c>
      <c r="M135" s="39" t="str">
        <f t="shared" si="12"/>
        <v>simpson.wilton@flsenate.gov</v>
      </c>
      <c r="N135" s="293" t="str">
        <f>HYPERLINK("https://docs.google.com/document/d/1At5LRmlT7xgP1mUMVFOqX3AV8qsdPw2jUmK2-Lger_s/edit","Zero")</f>
        <v>Zero</v>
      </c>
      <c r="P135" s="200"/>
      <c r="Q135" s="200"/>
      <c r="T135" t="str">
        <f t="shared" si="1"/>
        <v>Senator</v>
      </c>
      <c r="U135" s="139" t="str">
        <f t="shared" si="2"/>
        <v>Wilton</v>
      </c>
      <c r="V135" t="str">
        <f t="shared" si="3"/>
        <v>Simpson</v>
      </c>
      <c r="W135" t="str">
        <f t="shared" si="4"/>
        <v>simpson.wilton@flsenate.gov</v>
      </c>
    </row>
    <row r="136" outlineLevel="1">
      <c r="A136" s="164" t="s">
        <v>286</v>
      </c>
      <c r="B136" s="31">
        <v>11.0</v>
      </c>
      <c r="C136" s="35" t="s">
        <v>3202</v>
      </c>
      <c r="D136" s="35" t="s">
        <v>741</v>
      </c>
      <c r="E136" s="73" t="s">
        <v>49</v>
      </c>
      <c r="F136" s="245"/>
      <c r="G136" s="170" t="s">
        <v>3208</v>
      </c>
      <c r="H136" s="170" t="s">
        <v>3158</v>
      </c>
      <c r="I136" s="292" t="s">
        <v>3209</v>
      </c>
      <c r="J136" s="217"/>
      <c r="K136" s="217"/>
      <c r="L136" s="39" t="str">
        <f t="shared" si="13"/>
        <v>(850) 487-5011</v>
      </c>
      <c r="M136" s="39" t="str">
        <f t="shared" si="12"/>
        <v>bracy.randolph@flsenate.gov</v>
      </c>
      <c r="N136" s="31"/>
      <c r="P136" s="31"/>
      <c r="Q136" s="31"/>
      <c r="T136" t="str">
        <f t="shared" si="1"/>
        <v/>
      </c>
      <c r="U136" s="139" t="str">
        <f t="shared" si="2"/>
        <v/>
      </c>
      <c r="V136" t="str">
        <f t="shared" si="3"/>
        <v/>
      </c>
      <c r="W136" t="str">
        <f t="shared" si="4"/>
        <v/>
      </c>
    </row>
    <row r="137" outlineLevel="1">
      <c r="A137" s="164" t="s">
        <v>286</v>
      </c>
      <c r="B137" s="31">
        <v>12.0</v>
      </c>
      <c r="C137" s="35" t="s">
        <v>2194</v>
      </c>
      <c r="D137" s="35" t="s">
        <v>3213</v>
      </c>
      <c r="E137" s="40" t="s">
        <v>53</v>
      </c>
      <c r="F137" s="15"/>
      <c r="G137" s="292" t="s">
        <v>3214</v>
      </c>
      <c r="H137" s="170" t="s">
        <v>781</v>
      </c>
      <c r="I137" s="292" t="s">
        <v>515</v>
      </c>
      <c r="J137" s="14" t="s">
        <v>3149</v>
      </c>
      <c r="K137" s="292" t="s">
        <v>3209</v>
      </c>
      <c r="L137" s="39" t="str">
        <f t="shared" si="13"/>
        <v>(850) 487-5012</v>
      </c>
      <c r="M137" s="39" t="str">
        <f t="shared" si="12"/>
        <v>baxley.dennis@flsenate.gov</v>
      </c>
      <c r="N137" s="31"/>
      <c r="P137" s="31"/>
      <c r="Q137" s="31"/>
      <c r="T137" t="str">
        <f t="shared" si="1"/>
        <v>Senator</v>
      </c>
      <c r="U137" s="139" t="str">
        <f t="shared" si="2"/>
        <v>Dennis</v>
      </c>
      <c r="V137" t="str">
        <f t="shared" si="3"/>
        <v>Baxley</v>
      </c>
      <c r="W137" t="str">
        <f t="shared" si="4"/>
        <v>baxley.dennis@flsenate.gov</v>
      </c>
    </row>
    <row r="138" outlineLevel="1">
      <c r="A138" s="164" t="s">
        <v>286</v>
      </c>
      <c r="B138" s="31">
        <v>13.0</v>
      </c>
      <c r="C138" s="35" t="s">
        <v>978</v>
      </c>
      <c r="D138" s="35" t="s">
        <v>3220</v>
      </c>
      <c r="E138" s="73" t="s">
        <v>49</v>
      </c>
      <c r="F138" s="237"/>
      <c r="G138" s="14" t="s">
        <v>3178</v>
      </c>
      <c r="H138" s="292" t="s">
        <v>3151</v>
      </c>
      <c r="I138" s="292" t="s">
        <v>626</v>
      </c>
      <c r="J138" s="217"/>
      <c r="K138" s="217"/>
      <c r="L138" s="39" t="str">
        <f t="shared" si="13"/>
        <v>(850) 487-5013</v>
      </c>
      <c r="M138" s="39" t="str">
        <f t="shared" si="12"/>
        <v>stewart.linda@flsenate.gov</v>
      </c>
      <c r="N138" s="31"/>
      <c r="P138" s="200"/>
      <c r="Q138" s="200"/>
      <c r="T138" t="str">
        <f t="shared" si="1"/>
        <v/>
      </c>
      <c r="U138" s="139" t="str">
        <f t="shared" si="2"/>
        <v/>
      </c>
      <c r="V138" t="str">
        <f t="shared" si="3"/>
        <v/>
      </c>
      <c r="W138" t="str">
        <f t="shared" si="4"/>
        <v/>
      </c>
    </row>
    <row r="139" outlineLevel="1">
      <c r="A139" s="164" t="s">
        <v>286</v>
      </c>
      <c r="B139" s="31">
        <v>14.0</v>
      </c>
      <c r="C139" s="38" t="s">
        <v>338</v>
      </c>
      <c r="D139" s="35" t="s">
        <v>3221</v>
      </c>
      <c r="E139" s="40" t="s">
        <v>53</v>
      </c>
      <c r="F139" s="15"/>
      <c r="G139" s="292" t="s">
        <v>3222</v>
      </c>
      <c r="H139" s="14" t="s">
        <v>3178</v>
      </c>
      <c r="I139" s="292" t="s">
        <v>3223</v>
      </c>
      <c r="J139" s="170" t="s">
        <v>3148</v>
      </c>
      <c r="K139" s="217"/>
      <c r="L139" s="39" t="str">
        <f t="shared" si="13"/>
        <v>(850) 487-5014</v>
      </c>
      <c r="M139" s="39" t="str">
        <f t="shared" si="12"/>
        <v>wright.tom@flsenate.gov</v>
      </c>
      <c r="N139" s="31"/>
      <c r="P139" s="200"/>
      <c r="Q139" s="200"/>
      <c r="T139" t="str">
        <f t="shared" si="1"/>
        <v>Senator</v>
      </c>
      <c r="U139" s="139" t="str">
        <f t="shared" si="2"/>
        <v>Tom</v>
      </c>
      <c r="V139" t="str">
        <f t="shared" si="3"/>
        <v>Wright</v>
      </c>
      <c r="W139" t="str">
        <f t="shared" si="4"/>
        <v>wright.tom@flsenate.gov</v>
      </c>
    </row>
    <row r="140" outlineLevel="1">
      <c r="A140" s="164" t="s">
        <v>286</v>
      </c>
      <c r="B140" s="31">
        <v>15.0</v>
      </c>
      <c r="C140" s="35" t="s">
        <v>749</v>
      </c>
      <c r="D140" s="35" t="s">
        <v>2334</v>
      </c>
      <c r="E140" s="73" t="s">
        <v>49</v>
      </c>
      <c r="F140" s="237"/>
      <c r="G140" s="14" t="s">
        <v>3228</v>
      </c>
      <c r="H140" s="170" t="s">
        <v>3148</v>
      </c>
      <c r="I140" s="292" t="s">
        <v>3150</v>
      </c>
      <c r="J140" s="217"/>
      <c r="K140" s="217"/>
      <c r="L140" s="39" t="str">
        <f t="shared" si="13"/>
        <v>(850) 487-5015</v>
      </c>
      <c r="M140" s="39" t="str">
        <f t="shared" si="12"/>
        <v>torres.victor@flsenate.gov</v>
      </c>
      <c r="N140" s="31"/>
      <c r="P140" s="200"/>
      <c r="Q140" s="200"/>
      <c r="T140" t="str">
        <f t="shared" si="1"/>
        <v>Senator</v>
      </c>
      <c r="U140" s="139" t="str">
        <f t="shared" si="2"/>
        <v>Victor</v>
      </c>
      <c r="V140" t="str">
        <f t="shared" si="3"/>
        <v>Torres</v>
      </c>
      <c r="W140" t="str">
        <f t="shared" si="4"/>
        <v>torres.victor@flsenate.gov</v>
      </c>
    </row>
    <row r="141" outlineLevel="1">
      <c r="A141" s="164" t="s">
        <v>286</v>
      </c>
      <c r="B141" s="31">
        <v>16.0</v>
      </c>
      <c r="C141" s="295" t="s">
        <v>636</v>
      </c>
      <c r="D141" s="295" t="s">
        <v>3231</v>
      </c>
      <c r="E141" s="40" t="s">
        <v>53</v>
      </c>
      <c r="F141" s="296"/>
      <c r="G141" s="14" t="s">
        <v>3232</v>
      </c>
      <c r="H141" s="292" t="s">
        <v>3149</v>
      </c>
      <c r="I141" s="292" t="s">
        <v>3151</v>
      </c>
      <c r="J141" s="217"/>
      <c r="K141" s="217"/>
      <c r="L141" s="39" t="str">
        <f t="shared" si="13"/>
        <v>(850) 487-5016</v>
      </c>
      <c r="M141" s="39" t="str">
        <f t="shared" si="12"/>
        <v>hooper.ed@flsenate.gov</v>
      </c>
      <c r="N141" s="31"/>
      <c r="P141" s="200"/>
      <c r="Q141" s="200"/>
      <c r="T141" t="str">
        <f t="shared" si="1"/>
        <v>Senator</v>
      </c>
      <c r="U141" s="139" t="str">
        <f t="shared" si="2"/>
        <v>Ed</v>
      </c>
      <c r="V141" t="str">
        <f t="shared" si="3"/>
        <v>Hooper</v>
      </c>
      <c r="W141" t="str">
        <f t="shared" si="4"/>
        <v>hooper.ed@flsenate.gov</v>
      </c>
    </row>
    <row r="142" outlineLevel="1">
      <c r="A142" s="164" t="s">
        <v>286</v>
      </c>
      <c r="B142" s="31">
        <v>17.0</v>
      </c>
      <c r="C142" s="35" t="s">
        <v>425</v>
      </c>
      <c r="D142" s="35" t="s">
        <v>3240</v>
      </c>
      <c r="E142" s="40" t="s">
        <v>53</v>
      </c>
      <c r="F142" s="245"/>
      <c r="G142" s="170" t="s">
        <v>3241</v>
      </c>
      <c r="H142" s="292" t="s">
        <v>3149</v>
      </c>
      <c r="I142" s="292" t="s">
        <v>626</v>
      </c>
      <c r="J142" s="217"/>
      <c r="K142" s="217"/>
      <c r="L142" s="39" t="str">
        <f t="shared" si="13"/>
        <v>(850) 487-5017</v>
      </c>
      <c r="M142" s="39" t="str">
        <f t="shared" si="12"/>
        <v>mayfield.debbie@flsenate.gov</v>
      </c>
      <c r="N142" s="31"/>
      <c r="P142" s="200"/>
      <c r="Q142" s="200"/>
      <c r="T142" t="str">
        <f t="shared" si="1"/>
        <v>Senator</v>
      </c>
      <c r="U142" s="139" t="str">
        <f t="shared" si="2"/>
        <v>Debbie</v>
      </c>
      <c r="V142" t="str">
        <f t="shared" si="3"/>
        <v>Mayfield</v>
      </c>
      <c r="W142" t="str">
        <f t="shared" si="4"/>
        <v>mayfield.debbie@flsenate.gov</v>
      </c>
    </row>
    <row r="143" outlineLevel="1">
      <c r="A143" s="164" t="s">
        <v>286</v>
      </c>
      <c r="B143" s="31">
        <v>18.0</v>
      </c>
      <c r="C143" s="35" t="s">
        <v>1930</v>
      </c>
      <c r="D143" s="35" t="s">
        <v>3243</v>
      </c>
      <c r="E143" s="73" t="s">
        <v>49</v>
      </c>
      <c r="F143" s="15"/>
      <c r="G143" s="292" t="s">
        <v>3244</v>
      </c>
      <c r="H143" s="292" t="s">
        <v>515</v>
      </c>
      <c r="I143" s="292" t="s">
        <v>3151</v>
      </c>
      <c r="J143" s="292" t="s">
        <v>3149</v>
      </c>
      <c r="K143" s="217"/>
      <c r="L143" s="39" t="str">
        <f t="shared" si="13"/>
        <v>(850) 487-5018</v>
      </c>
      <c r="M143" s="39" t="str">
        <f t="shared" si="12"/>
        <v>cruz.janet@flsenate.gov</v>
      </c>
      <c r="N143" s="31"/>
      <c r="P143" s="200"/>
      <c r="Q143" s="200"/>
      <c r="T143" t="str">
        <f t="shared" si="1"/>
        <v>Senator</v>
      </c>
      <c r="U143" s="139" t="str">
        <f t="shared" si="2"/>
        <v>Janet</v>
      </c>
      <c r="V143" t="str">
        <f t="shared" si="3"/>
        <v>Cruz</v>
      </c>
      <c r="W143" t="str">
        <f t="shared" si="4"/>
        <v>cruz.janet@flsenate.gov</v>
      </c>
    </row>
    <row r="144" outlineLevel="1">
      <c r="A144" s="164" t="s">
        <v>286</v>
      </c>
      <c r="B144" s="31">
        <v>19.0</v>
      </c>
      <c r="C144" s="35" t="s">
        <v>3245</v>
      </c>
      <c r="D144" s="35" t="s">
        <v>3249</v>
      </c>
      <c r="E144" s="73" t="s">
        <v>49</v>
      </c>
      <c r="F144" s="237"/>
      <c r="G144" s="170" t="s">
        <v>3251</v>
      </c>
      <c r="H144" s="292" t="s">
        <v>3149</v>
      </c>
      <c r="I144" s="292" t="s">
        <v>626</v>
      </c>
      <c r="J144" s="217"/>
      <c r="K144" s="217"/>
      <c r="L144" s="39" t="str">
        <f t="shared" si="13"/>
        <v>(850) 487-5019</v>
      </c>
      <c r="M144" s="39" t="str">
        <f t="shared" si="12"/>
        <v>rouson.darryl@flsenate.gov</v>
      </c>
      <c r="N144" s="31"/>
      <c r="P144" s="31"/>
      <c r="Q144" s="31"/>
      <c r="T144" t="str">
        <f t="shared" si="1"/>
        <v>Senator</v>
      </c>
      <c r="U144" s="139" t="str">
        <f t="shared" si="2"/>
        <v>Darryl</v>
      </c>
      <c r="V144" t="str">
        <f t="shared" si="3"/>
        <v>Rouson</v>
      </c>
      <c r="W144" t="str">
        <f t="shared" si="4"/>
        <v>rouson.darryl@flsenate.gov</v>
      </c>
    </row>
    <row r="145" outlineLevel="1">
      <c r="A145" s="164" t="s">
        <v>286</v>
      </c>
      <c r="B145" s="31">
        <v>20.0</v>
      </c>
      <c r="C145" s="35" t="s">
        <v>338</v>
      </c>
      <c r="D145" s="35" t="s">
        <v>629</v>
      </c>
      <c r="E145" s="40" t="s">
        <v>53</v>
      </c>
      <c r="F145" s="237"/>
      <c r="G145" s="170" t="s">
        <v>3254</v>
      </c>
      <c r="H145" s="170" t="s">
        <v>3187</v>
      </c>
      <c r="I145" s="292" t="s">
        <v>780</v>
      </c>
      <c r="J145" s="292" t="s">
        <v>626</v>
      </c>
      <c r="K145" s="217"/>
      <c r="L145" s="39" t="str">
        <f t="shared" si="13"/>
        <v>(850) 487-5020</v>
      </c>
      <c r="M145" s="39" t="str">
        <f t="shared" si="12"/>
        <v>lee.tom@flsenate.gov</v>
      </c>
      <c r="N145" s="31"/>
      <c r="P145" s="31"/>
      <c r="Q145" s="31"/>
      <c r="T145" t="str">
        <f t="shared" si="1"/>
        <v>Senator</v>
      </c>
      <c r="U145" s="139" t="str">
        <f t="shared" si="2"/>
        <v>Tom</v>
      </c>
      <c r="V145" t="str">
        <f t="shared" si="3"/>
        <v>Lee</v>
      </c>
      <c r="W145" t="str">
        <f t="shared" si="4"/>
        <v>lee.tom@flsenate.gov</v>
      </c>
    </row>
    <row r="146" outlineLevel="1">
      <c r="A146" s="164" t="s">
        <v>286</v>
      </c>
      <c r="B146" s="31">
        <v>21.0</v>
      </c>
      <c r="C146" s="35" t="s">
        <v>325</v>
      </c>
      <c r="D146" s="35" t="s">
        <v>3259</v>
      </c>
      <c r="E146" s="40" t="s">
        <v>53</v>
      </c>
      <c r="F146" s="245" t="s">
        <v>1156</v>
      </c>
      <c r="G146" s="216"/>
      <c r="H146" s="216"/>
      <c r="I146" s="292"/>
      <c r="J146" s="217"/>
      <c r="K146" s="217"/>
      <c r="L146" s="39" t="str">
        <f t="shared" si="13"/>
        <v>(850) 487-5021</v>
      </c>
      <c r="M146" s="39" t="str">
        <f t="shared" si="12"/>
        <v>galvano.bill@flsenate.gov</v>
      </c>
      <c r="N146" s="178" t="str">
        <f>HYPERLINK("https://docs.google.com/document/d/1LTxQBAdvivfE8HZqIV2k5V7yXn-E8ogNpDOexNZUKSg/edit","Zero")</f>
        <v>Zero</v>
      </c>
      <c r="T146" t="str">
        <f t="shared" si="1"/>
        <v>Senator</v>
      </c>
      <c r="U146" s="139" t="str">
        <f t="shared" si="2"/>
        <v>Bill</v>
      </c>
      <c r="V146" t="str">
        <f t="shared" si="3"/>
        <v>Galvano</v>
      </c>
      <c r="W146" t="str">
        <f t="shared" si="4"/>
        <v>galvano.bill@flsenate.gov</v>
      </c>
    </row>
    <row r="147" outlineLevel="1">
      <c r="A147" s="164" t="s">
        <v>286</v>
      </c>
      <c r="B147" s="31">
        <v>22.0</v>
      </c>
      <c r="C147" s="35" t="s">
        <v>1101</v>
      </c>
      <c r="D147" s="35" t="s">
        <v>3268</v>
      </c>
      <c r="E147" s="40" t="s">
        <v>53</v>
      </c>
      <c r="F147" s="237"/>
      <c r="G147" s="170" t="s">
        <v>781</v>
      </c>
      <c r="H147" s="292" t="s">
        <v>515</v>
      </c>
      <c r="I147" s="14" t="s">
        <v>3269</v>
      </c>
      <c r="J147" s="292" t="s">
        <v>3209</v>
      </c>
      <c r="K147" s="292" t="s">
        <v>626</v>
      </c>
      <c r="L147" s="39" t="str">
        <f t="shared" si="13"/>
        <v>(850) 487-5022</v>
      </c>
      <c r="M147" s="39" t="str">
        <f t="shared" si="12"/>
        <v>stargel.kelli@flsenate.gov</v>
      </c>
      <c r="T147" t="str">
        <f t="shared" si="1"/>
        <v/>
      </c>
      <c r="U147" s="139" t="str">
        <f t="shared" si="2"/>
        <v/>
      </c>
      <c r="V147" t="str">
        <f t="shared" si="3"/>
        <v/>
      </c>
      <c r="W147" t="str">
        <f t="shared" si="4"/>
        <v/>
      </c>
    </row>
    <row r="148" outlineLevel="1">
      <c r="A148" s="164" t="s">
        <v>286</v>
      </c>
      <c r="B148" s="31">
        <v>23.0</v>
      </c>
      <c r="C148" s="35" t="s">
        <v>622</v>
      </c>
      <c r="D148" s="35" t="s">
        <v>3270</v>
      </c>
      <c r="E148" s="40" t="s">
        <v>53</v>
      </c>
      <c r="F148" s="15"/>
      <c r="G148" s="14" t="s">
        <v>3271</v>
      </c>
      <c r="H148" s="170" t="s">
        <v>3272</v>
      </c>
      <c r="I148" s="170" t="s">
        <v>3187</v>
      </c>
      <c r="J148" s="217"/>
      <c r="K148" s="217"/>
      <c r="L148" s="39" t="str">
        <f t="shared" si="13"/>
        <v>(850) 487-5023</v>
      </c>
      <c r="M148" s="39" t="str">
        <f t="shared" si="12"/>
        <v>gruters.joe@flsenate.gov</v>
      </c>
      <c r="T148" t="str">
        <f t="shared" si="1"/>
        <v>Senator</v>
      </c>
      <c r="U148" s="139" t="str">
        <f t="shared" si="2"/>
        <v>Joe</v>
      </c>
      <c r="V148" t="str">
        <f t="shared" si="3"/>
        <v>Gruters</v>
      </c>
      <c r="W148" t="str">
        <f t="shared" si="4"/>
        <v>gruters.joe@flsenate.gov</v>
      </c>
    </row>
    <row r="149" outlineLevel="1">
      <c r="A149" s="164" t="s">
        <v>286</v>
      </c>
      <c r="B149" s="31">
        <v>24.0</v>
      </c>
      <c r="C149" s="35" t="s">
        <v>683</v>
      </c>
      <c r="D149" s="35" t="s">
        <v>3276</v>
      </c>
      <c r="E149" s="40" t="s">
        <v>53</v>
      </c>
      <c r="F149" s="15"/>
      <c r="G149" s="292" t="s">
        <v>3277</v>
      </c>
      <c r="H149" s="170" t="s">
        <v>3187</v>
      </c>
      <c r="I149" s="170" t="s">
        <v>3158</v>
      </c>
      <c r="J149" s="292" t="s">
        <v>780</v>
      </c>
      <c r="K149" s="292" t="s">
        <v>626</v>
      </c>
      <c r="L149" s="39" t="str">
        <f t="shared" si="13"/>
        <v>(850) 487-5024</v>
      </c>
      <c r="M149" s="39" t="str">
        <f t="shared" si="12"/>
        <v>brandes.jeff@flsenate.gov</v>
      </c>
      <c r="N149" s="178" t="str">
        <f>HYPERLINK("https://docs.google.com/document/d/1gPRaB6RE2X1zwe5b_8s5MhFkOc1us7nh046IjD0c0Xo/edit","Zero")</f>
        <v>Zero</v>
      </c>
      <c r="T149" t="str">
        <f t="shared" si="1"/>
        <v>Senator</v>
      </c>
      <c r="U149" s="139" t="str">
        <f t="shared" si="2"/>
        <v>Jeff</v>
      </c>
      <c r="V149" t="str">
        <f t="shared" si="3"/>
        <v>Brandes</v>
      </c>
      <c r="W149" t="str">
        <f t="shared" si="4"/>
        <v>brandes.jeff@flsenate.gov</v>
      </c>
    </row>
    <row r="150" outlineLevel="1">
      <c r="A150" s="164" t="s">
        <v>286</v>
      </c>
      <c r="B150" s="31">
        <v>25.0</v>
      </c>
      <c r="C150" s="35" t="s">
        <v>3282</v>
      </c>
      <c r="D150" s="35" t="s">
        <v>3283</v>
      </c>
      <c r="E150" s="40" t="s">
        <v>53</v>
      </c>
      <c r="F150" s="237"/>
      <c r="G150" s="14" t="s">
        <v>3285</v>
      </c>
      <c r="H150" s="170" t="s">
        <v>3148</v>
      </c>
      <c r="I150" s="292" t="s">
        <v>3137</v>
      </c>
      <c r="J150" s="217"/>
      <c r="K150" s="217"/>
      <c r="L150" s="39" t="str">
        <f t="shared" si="13"/>
        <v>(850) 487-5025</v>
      </c>
      <c r="M150" s="39" t="str">
        <f t="shared" si="12"/>
        <v>harrell.gayle@flsenate.gov</v>
      </c>
      <c r="T150" t="str">
        <f t="shared" si="1"/>
        <v>Senator</v>
      </c>
      <c r="U150" s="139" t="str">
        <f t="shared" si="2"/>
        <v>Gayle</v>
      </c>
      <c r="V150" t="str">
        <f t="shared" si="3"/>
        <v>Harrell</v>
      </c>
      <c r="W150" t="str">
        <f t="shared" si="4"/>
        <v>harrell.gayle@flsenate.gov</v>
      </c>
    </row>
    <row r="151" outlineLevel="1">
      <c r="A151" s="164" t="s">
        <v>286</v>
      </c>
      <c r="B151" s="31">
        <v>26.0</v>
      </c>
      <c r="C151" s="35" t="s">
        <v>195</v>
      </c>
      <c r="D151" s="35" t="s">
        <v>1006</v>
      </c>
      <c r="E151" s="40" t="s">
        <v>53</v>
      </c>
      <c r="F151" s="237"/>
      <c r="G151" s="170" t="s">
        <v>2226</v>
      </c>
      <c r="H151" s="170" t="s">
        <v>3286</v>
      </c>
      <c r="I151" s="292" t="s">
        <v>3150</v>
      </c>
      <c r="K151" s="217"/>
      <c r="L151" s="39" t="str">
        <f t="shared" si="13"/>
        <v>(850) 487-5026</v>
      </c>
      <c r="M151" s="39" t="str">
        <f t="shared" si="12"/>
        <v>albritton.ben@flsenate.gov</v>
      </c>
      <c r="T151" t="str">
        <f t="shared" si="1"/>
        <v>Senator</v>
      </c>
      <c r="U151" s="139" t="str">
        <f t="shared" si="2"/>
        <v>Ben</v>
      </c>
      <c r="V151" t="str">
        <f t="shared" si="3"/>
        <v>Albritton</v>
      </c>
      <c r="W151" t="str">
        <f t="shared" si="4"/>
        <v>albritton.ben@flsenate.gov</v>
      </c>
    </row>
    <row r="152" outlineLevel="1">
      <c r="A152" s="164" t="s">
        <v>286</v>
      </c>
      <c r="B152" s="31">
        <v>27.0</v>
      </c>
      <c r="C152" s="35" t="s">
        <v>3287</v>
      </c>
      <c r="D152" s="35" t="s">
        <v>3289</v>
      </c>
      <c r="E152" s="40" t="s">
        <v>53</v>
      </c>
      <c r="F152" s="245"/>
      <c r="G152" s="170" t="s">
        <v>957</v>
      </c>
      <c r="H152" s="170" t="s">
        <v>3290</v>
      </c>
      <c r="I152" s="292" t="s">
        <v>626</v>
      </c>
      <c r="J152" s="217"/>
      <c r="K152" s="217"/>
      <c r="L152" s="39" t="str">
        <f t="shared" si="13"/>
        <v>(850) 487-5027</v>
      </c>
      <c r="M152" s="39" t="str">
        <f t="shared" si="12"/>
        <v>benacquisto.lizbeth@flsenate.gov</v>
      </c>
      <c r="N152" s="178" t="str">
        <f>HYPERLINK("https://docs.google.com/document/d/1VuudvwbuKllm0G_rhCiycoq_Yy4SysxhbqAluHFa5UU/edit","Zero")</f>
        <v>Zero</v>
      </c>
      <c r="T152" t="str">
        <f t="shared" si="1"/>
        <v>Senator</v>
      </c>
      <c r="U152" s="139" t="str">
        <f t="shared" si="2"/>
        <v>Lizbeth</v>
      </c>
      <c r="V152" t="str">
        <f t="shared" si="3"/>
        <v>Benacquisto</v>
      </c>
      <c r="W152" t="str">
        <f t="shared" si="4"/>
        <v>benacquisto.lizbeth@flsenate.gov</v>
      </c>
    </row>
    <row r="153" outlineLevel="1">
      <c r="A153" s="164" t="s">
        <v>286</v>
      </c>
      <c r="B153" s="31">
        <v>28.0</v>
      </c>
      <c r="C153" s="35" t="s">
        <v>2554</v>
      </c>
      <c r="D153" s="35" t="s">
        <v>3300</v>
      </c>
      <c r="E153" s="40" t="s">
        <v>53</v>
      </c>
      <c r="F153" s="245" t="s">
        <v>176</v>
      </c>
      <c r="G153" s="170" t="s">
        <v>3158</v>
      </c>
      <c r="H153" s="14" t="s">
        <v>3269</v>
      </c>
      <c r="I153" s="292" t="s">
        <v>780</v>
      </c>
      <c r="J153" s="292" t="s">
        <v>626</v>
      </c>
      <c r="K153" s="217"/>
      <c r="L153" s="39" t="str">
        <f t="shared" si="13"/>
        <v>(850) 487-5028</v>
      </c>
      <c r="M153" s="39" t="str">
        <f t="shared" si="12"/>
        <v>passidomo.kathleen@flsenate.gov</v>
      </c>
      <c r="N153" s="178" t="str">
        <f>HYPERLINK("https://docs.google.com/document/d/1BjXYmvNh2fgDYnp7u91uq55uyyUa0uyETgLVRpQXsBo/edit","Zero")</f>
        <v>Zero</v>
      </c>
      <c r="T153" t="str">
        <f t="shared" si="1"/>
        <v>Senator</v>
      </c>
      <c r="U153" s="139" t="str">
        <f t="shared" si="2"/>
        <v>Kathleen</v>
      </c>
      <c r="V153" t="str">
        <f t="shared" si="3"/>
        <v>Passidomo</v>
      </c>
      <c r="W153" t="str">
        <f t="shared" si="4"/>
        <v>passidomo.kathleen@flsenate.gov</v>
      </c>
    </row>
    <row r="154" outlineLevel="1">
      <c r="A154" s="164" t="s">
        <v>286</v>
      </c>
      <c r="B154" s="31">
        <v>29.0</v>
      </c>
      <c r="C154" s="35" t="s">
        <v>971</v>
      </c>
      <c r="D154" s="35" t="s">
        <v>3306</v>
      </c>
      <c r="E154" s="73" t="s">
        <v>49</v>
      </c>
      <c r="F154" s="15"/>
      <c r="G154" s="14" t="s">
        <v>3307</v>
      </c>
      <c r="H154" s="170" t="s">
        <v>2184</v>
      </c>
      <c r="I154" s="170" t="s">
        <v>3148</v>
      </c>
      <c r="J154" s="217"/>
      <c r="K154" s="217"/>
      <c r="L154" s="39" t="str">
        <f t="shared" si="13"/>
        <v>(850) 487-5029</v>
      </c>
      <c r="M154" s="39" t="str">
        <f t="shared" si="12"/>
        <v>rader.kevin@flsenate.gov</v>
      </c>
      <c r="T154" t="str">
        <f t="shared" si="1"/>
        <v>Senator</v>
      </c>
      <c r="U154" s="139" t="str">
        <f t="shared" si="2"/>
        <v>Kevin</v>
      </c>
      <c r="V154" t="str">
        <f t="shared" si="3"/>
        <v>Rader</v>
      </c>
      <c r="W154" t="str">
        <f t="shared" si="4"/>
        <v>rader.kevin@flsenate.gov</v>
      </c>
    </row>
    <row r="155" outlineLevel="1">
      <c r="A155" s="164" t="s">
        <v>286</v>
      </c>
      <c r="B155" s="31">
        <v>30.0</v>
      </c>
      <c r="C155" s="35" t="s">
        <v>1019</v>
      </c>
      <c r="D155" s="35" t="s">
        <v>3264</v>
      </c>
      <c r="E155" s="73" t="s">
        <v>49</v>
      </c>
      <c r="F155" s="245"/>
      <c r="G155" s="14" t="s">
        <v>3269</v>
      </c>
      <c r="H155" s="292" t="s">
        <v>3209</v>
      </c>
      <c r="I155" s="292" t="s">
        <v>626</v>
      </c>
      <c r="J155" s="217"/>
      <c r="K155" s="217"/>
      <c r="L155" s="39" t="str">
        <f t="shared" si="13"/>
        <v>(850) 487-5030</v>
      </c>
      <c r="M155" s="39" t="str">
        <f t="shared" si="12"/>
        <v>powell.bobby@flsenate.gov</v>
      </c>
      <c r="T155" t="str">
        <f t="shared" si="1"/>
        <v/>
      </c>
      <c r="U155" s="139" t="str">
        <f t="shared" si="2"/>
        <v/>
      </c>
      <c r="V155" t="str">
        <f t="shared" si="3"/>
        <v/>
      </c>
      <c r="W155" t="str">
        <f t="shared" si="4"/>
        <v/>
      </c>
    </row>
    <row r="156" outlineLevel="1">
      <c r="A156" s="164" t="s">
        <v>286</v>
      </c>
      <c r="B156" s="31">
        <v>31.0</v>
      </c>
      <c r="C156" s="35" t="s">
        <v>2149</v>
      </c>
      <c r="D156" s="35" t="s">
        <v>1517</v>
      </c>
      <c r="E156" s="73" t="s">
        <v>49</v>
      </c>
      <c r="F156" s="237"/>
      <c r="G156" s="170" t="s">
        <v>3313</v>
      </c>
      <c r="H156" s="292" t="s">
        <v>515</v>
      </c>
      <c r="I156" s="292" t="s">
        <v>3223</v>
      </c>
      <c r="J156" s="217"/>
      <c r="K156" s="217"/>
      <c r="L156" s="39" t="str">
        <f t="shared" si="13"/>
        <v>(850) 487-5031</v>
      </c>
      <c r="M156" s="39" t="str">
        <f t="shared" si="12"/>
        <v>berman.lori@flsenate.gov</v>
      </c>
      <c r="T156" t="str">
        <f t="shared" si="1"/>
        <v>Senator</v>
      </c>
      <c r="U156" s="139" t="str">
        <f t="shared" si="2"/>
        <v>Lori</v>
      </c>
      <c r="V156" t="str">
        <f t="shared" si="3"/>
        <v>Berman</v>
      </c>
      <c r="W156" t="str">
        <f t="shared" si="4"/>
        <v>berman.lori@flsenate.gov</v>
      </c>
    </row>
    <row r="157" outlineLevel="1">
      <c r="A157" s="164" t="s">
        <v>286</v>
      </c>
      <c r="B157" s="31">
        <v>32.0</v>
      </c>
      <c r="C157" s="35" t="s">
        <v>3317</v>
      </c>
      <c r="D157" s="35" t="s">
        <v>3319</v>
      </c>
      <c r="E157" s="73" t="s">
        <v>49</v>
      </c>
      <c r="F157" s="237"/>
      <c r="G157" s="170" t="s">
        <v>3320</v>
      </c>
      <c r="H157" s="292" t="s">
        <v>3149</v>
      </c>
      <c r="I157" s="292" t="s">
        <v>780</v>
      </c>
      <c r="J157" s="292" t="s">
        <v>626</v>
      </c>
      <c r="K157" s="217"/>
      <c r="L157" s="39" t="str">
        <f t="shared" si="13"/>
        <v>(850) 487-5032</v>
      </c>
      <c r="M157" s="39" t="str">
        <f t="shared" si="12"/>
        <v>book.lauren@flsenate.gov</v>
      </c>
      <c r="T157" t="str">
        <f t="shared" si="1"/>
        <v>Senator</v>
      </c>
      <c r="U157" s="139" t="str">
        <f t="shared" si="2"/>
        <v>Lauren</v>
      </c>
      <c r="V157" t="str">
        <f t="shared" si="3"/>
        <v>Book</v>
      </c>
      <c r="W157" t="str">
        <f t="shared" si="4"/>
        <v>book.lauren@flsenate.gov</v>
      </c>
    </row>
    <row r="158" outlineLevel="1">
      <c r="A158" s="164" t="s">
        <v>286</v>
      </c>
      <c r="B158" s="31">
        <v>33.0</v>
      </c>
      <c r="C158" s="35" t="s">
        <v>1329</v>
      </c>
      <c r="D158" s="35" t="s">
        <v>3326</v>
      </c>
      <c r="E158" s="73" t="s">
        <v>49</v>
      </c>
      <c r="F158" s="245"/>
      <c r="G158" s="170" t="s">
        <v>3187</v>
      </c>
      <c r="H158" s="292" t="s">
        <v>780</v>
      </c>
      <c r="I158" s="292" t="s">
        <v>626</v>
      </c>
      <c r="J158" s="217"/>
      <c r="K158" s="217"/>
      <c r="L158" s="39" t="str">
        <f t="shared" si="13"/>
        <v>(850) 487-5033</v>
      </c>
      <c r="M158" s="39" t="str">
        <f t="shared" si="12"/>
        <v>thurston.perry@flsenate.gov</v>
      </c>
      <c r="T158" t="str">
        <f t="shared" si="1"/>
        <v/>
      </c>
      <c r="U158" s="139" t="str">
        <f t="shared" si="2"/>
        <v/>
      </c>
      <c r="V158" t="str">
        <f t="shared" si="3"/>
        <v/>
      </c>
      <c r="W158" t="str">
        <f t="shared" si="4"/>
        <v/>
      </c>
    </row>
    <row r="159" outlineLevel="1">
      <c r="A159" s="164" t="s">
        <v>286</v>
      </c>
      <c r="B159" s="31">
        <v>34.0</v>
      </c>
      <c r="C159" s="35" t="s">
        <v>199</v>
      </c>
      <c r="D159" s="35" t="s">
        <v>3331</v>
      </c>
      <c r="E159" s="73" t="s">
        <v>49</v>
      </c>
      <c r="F159" s="15"/>
      <c r="G159" s="170" t="s">
        <v>3332</v>
      </c>
      <c r="H159" s="170" t="s">
        <v>3158</v>
      </c>
      <c r="I159" s="292" t="s">
        <v>780</v>
      </c>
      <c r="J159" s="217"/>
      <c r="K159" s="217"/>
      <c r="L159" s="39" t="str">
        <f t="shared" si="13"/>
        <v>(850) 487-5034</v>
      </c>
      <c r="M159" s="39" t="str">
        <f t="shared" si="12"/>
        <v>farmer.gary@flsenate.gov</v>
      </c>
      <c r="T159" t="str">
        <f t="shared" si="1"/>
        <v>Senator</v>
      </c>
      <c r="U159" s="139" t="str">
        <f t="shared" si="2"/>
        <v>Gary</v>
      </c>
      <c r="V159" t="str">
        <f t="shared" si="3"/>
        <v>Farmer</v>
      </c>
      <c r="W159" t="str">
        <f t="shared" si="4"/>
        <v>farmer.gary@flsenate.gov</v>
      </c>
    </row>
    <row r="160" outlineLevel="1">
      <c r="A160" s="164" t="s">
        <v>286</v>
      </c>
      <c r="B160" s="31">
        <v>35.0</v>
      </c>
      <c r="C160" s="35" t="s">
        <v>3334</v>
      </c>
      <c r="D160" s="35" t="s">
        <v>3335</v>
      </c>
      <c r="E160" s="73" t="s">
        <v>49</v>
      </c>
      <c r="F160" s="237"/>
      <c r="G160" s="14" t="s">
        <v>3336</v>
      </c>
      <c r="H160" s="170" t="s">
        <v>3158</v>
      </c>
      <c r="I160" s="292" t="s">
        <v>780</v>
      </c>
      <c r="J160" s="292" t="s">
        <v>626</v>
      </c>
      <c r="K160" s="217"/>
      <c r="L160" s="39" t="str">
        <f t="shared" si="13"/>
        <v>(850) 487-5035</v>
      </c>
      <c r="M160" s="39" t="str">
        <f t="shared" si="12"/>
        <v>braynon.oscar@flsenate.gov</v>
      </c>
      <c r="T160" t="str">
        <f t="shared" si="1"/>
        <v>Senator</v>
      </c>
      <c r="U160" s="139" t="str">
        <f t="shared" si="2"/>
        <v>Oscar</v>
      </c>
      <c r="V160" t="str">
        <f t="shared" si="3"/>
        <v>Braynon</v>
      </c>
      <c r="W160" t="str">
        <f t="shared" si="4"/>
        <v>braynon.oscar@flsenate.gov</v>
      </c>
    </row>
    <row r="161" outlineLevel="1">
      <c r="A161" s="164" t="s">
        <v>286</v>
      </c>
      <c r="B161" s="31">
        <v>36.0</v>
      </c>
      <c r="C161" s="35" t="s">
        <v>3337</v>
      </c>
      <c r="D161" s="35" t="s">
        <v>3338</v>
      </c>
      <c r="E161" s="40" t="s">
        <v>53</v>
      </c>
      <c r="F161" s="245"/>
      <c r="G161" s="14" t="s">
        <v>1047</v>
      </c>
      <c r="H161" s="14" t="s">
        <v>3269</v>
      </c>
      <c r="I161" s="292" t="s">
        <v>3149</v>
      </c>
      <c r="J161" s="217"/>
      <c r="K161" s="217"/>
      <c r="L161" s="39" t="str">
        <f t="shared" si="13"/>
        <v>(850) 487-5036</v>
      </c>
      <c r="M161" s="39" t="str">
        <f t="shared" si="12"/>
        <v>diaz.manny@flsenate.gov</v>
      </c>
      <c r="T161" t="str">
        <f t="shared" si="1"/>
        <v>Senator</v>
      </c>
      <c r="U161" s="139" t="str">
        <f t="shared" si="2"/>
        <v>Manny</v>
      </c>
      <c r="V161" t="str">
        <f t="shared" si="3"/>
        <v>Diaz</v>
      </c>
      <c r="W161" t="str">
        <f t="shared" si="4"/>
        <v>diaz.manny@flsenate.gov</v>
      </c>
    </row>
    <row r="162" outlineLevel="1">
      <c r="A162" s="164" t="s">
        <v>286</v>
      </c>
      <c r="B162" s="31">
        <v>37.0</v>
      </c>
      <c r="C162" s="35" t="s">
        <v>3341</v>
      </c>
      <c r="D162" s="35" t="s">
        <v>3345</v>
      </c>
      <c r="E162" s="73" t="s">
        <v>49</v>
      </c>
      <c r="F162" s="237"/>
      <c r="G162" s="170" t="s">
        <v>517</v>
      </c>
      <c r="H162" s="14" t="s">
        <v>3269</v>
      </c>
      <c r="I162" s="292" t="s">
        <v>780</v>
      </c>
      <c r="J162" s="217"/>
      <c r="K162" s="217"/>
      <c r="L162" s="39" t="str">
        <f t="shared" si="13"/>
        <v>(850) 487-5037</v>
      </c>
      <c r="M162" s="39" t="str">
        <f t="shared" si="12"/>
        <v>rodríguez.josé@flsenate.gov</v>
      </c>
      <c r="N162" s="178" t="str">
        <f>HYPERLINK("https://docs.google.com/document/d/1v8ZpARo6-ROCLOqwPhx2hxHIcnrnyWDVqTpd3SDsvqE/edit","Zero")</f>
        <v>Zero</v>
      </c>
      <c r="T162" t="str">
        <f t="shared" si="1"/>
        <v>Senator</v>
      </c>
      <c r="U162" s="139" t="str">
        <f t="shared" si="2"/>
        <v>José</v>
      </c>
      <c r="V162" t="str">
        <f t="shared" si="3"/>
        <v>Rodríguez</v>
      </c>
      <c r="W162" t="str">
        <f t="shared" si="4"/>
        <v>rodríguez.josé@flsenate.gov</v>
      </c>
    </row>
    <row r="163" outlineLevel="1">
      <c r="A163" s="164" t="s">
        <v>286</v>
      </c>
      <c r="B163" s="31">
        <v>38.0</v>
      </c>
      <c r="C163" s="38" t="s">
        <v>1231</v>
      </c>
      <c r="D163" s="38" t="s">
        <v>3350</v>
      </c>
      <c r="E163" s="73" t="s">
        <v>49</v>
      </c>
      <c r="F163" s="237"/>
      <c r="G163" s="170" t="s">
        <v>3208</v>
      </c>
      <c r="H163" s="292" t="s">
        <v>3121</v>
      </c>
      <c r="I163" s="292" t="s">
        <v>3209</v>
      </c>
      <c r="J163" s="292" t="s">
        <v>3137</v>
      </c>
      <c r="K163" s="217"/>
      <c r="L163" s="39" t="str">
        <f t="shared" si="13"/>
        <v>(850) 487-5038</v>
      </c>
      <c r="M163" s="39" t="str">
        <f t="shared" si="12"/>
        <v>pizzo.jason@flsenate.gov</v>
      </c>
      <c r="T163" t="str">
        <f t="shared" si="1"/>
        <v/>
      </c>
      <c r="U163" s="139" t="str">
        <f t="shared" si="2"/>
        <v/>
      </c>
      <c r="V163" t="str">
        <f t="shared" si="3"/>
        <v/>
      </c>
      <c r="W163" t="str">
        <f t="shared" si="4"/>
        <v/>
      </c>
    </row>
    <row r="164" outlineLevel="1">
      <c r="A164" s="164" t="s">
        <v>286</v>
      </c>
      <c r="B164" s="31">
        <v>39.0</v>
      </c>
      <c r="C164" s="35" t="s">
        <v>3351</v>
      </c>
      <c r="D164" s="35" t="s">
        <v>3353</v>
      </c>
      <c r="E164" s="40" t="s">
        <v>53</v>
      </c>
      <c r="F164" s="245"/>
      <c r="G164" s="170" t="s">
        <v>3354</v>
      </c>
      <c r="H164" s="170" t="s">
        <v>3208</v>
      </c>
      <c r="I164" s="292" t="s">
        <v>780</v>
      </c>
      <c r="J164" s="292" t="s">
        <v>626</v>
      </c>
      <c r="K164" s="217"/>
      <c r="L164" s="39" t="str">
        <f t="shared" si="13"/>
        <v>(850) 487-5039</v>
      </c>
      <c r="M164" s="39" t="str">
        <f t="shared" si="12"/>
        <v>flores.anitere@flsenate.gov</v>
      </c>
      <c r="N164" s="178" t="str">
        <f>HYPERLINK("https://docs.google.com/document/d/1plwy4c9QU5ImE50kW3s_wtZMyUUfgCp64g41NuRqoDs/edit?usp=sharing","RISE")</f>
        <v>RISE</v>
      </c>
      <c r="T164" t="str">
        <f t="shared" si="1"/>
        <v>Senator</v>
      </c>
      <c r="U164" s="139" t="str">
        <f t="shared" si="2"/>
        <v>Anitere</v>
      </c>
      <c r="V164" t="str">
        <f t="shared" si="3"/>
        <v>Flores</v>
      </c>
      <c r="W164" t="str">
        <f t="shared" si="4"/>
        <v>flores.anitere@flsenate.gov</v>
      </c>
    </row>
    <row r="165" outlineLevel="1">
      <c r="A165" s="164" t="s">
        <v>286</v>
      </c>
      <c r="B165" s="31">
        <v>40.0</v>
      </c>
      <c r="C165" s="35" t="s">
        <v>3358</v>
      </c>
      <c r="D165" s="35" t="s">
        <v>3360</v>
      </c>
      <c r="E165" s="73" t="s">
        <v>49</v>
      </c>
      <c r="F165" s="237"/>
      <c r="G165" s="170" t="s">
        <v>3187</v>
      </c>
      <c r="H165" s="292" t="s">
        <v>3151</v>
      </c>
      <c r="I165" s="217"/>
      <c r="J165" s="217"/>
      <c r="K165" s="217"/>
      <c r="L165" s="39" t="str">
        <f t="shared" si="13"/>
        <v>(850) 487-5040</v>
      </c>
      <c r="M165" s="39" t="str">
        <f t="shared" si="12"/>
        <v>taddeo.annette@flsenate.gov</v>
      </c>
      <c r="T165" t="str">
        <f t="shared" si="1"/>
        <v/>
      </c>
      <c r="U165" s="139" t="str">
        <f t="shared" si="2"/>
        <v/>
      </c>
      <c r="V165" t="str">
        <f t="shared" si="3"/>
        <v/>
      </c>
      <c r="W165" t="str">
        <f t="shared" si="4"/>
        <v/>
      </c>
    </row>
    <row r="166">
      <c r="A166" s="301" t="s">
        <v>421</v>
      </c>
      <c r="B166" s="302"/>
      <c r="C166" s="71"/>
      <c r="D166" s="71"/>
      <c r="E166" s="101"/>
      <c r="F166" s="233"/>
      <c r="G166" s="191"/>
      <c r="H166" s="191"/>
      <c r="I166" s="191"/>
      <c r="J166" s="191"/>
      <c r="K166" s="191"/>
      <c r="L166" s="70"/>
      <c r="M166" s="70"/>
      <c r="N166" s="70"/>
      <c r="O166" s="70"/>
      <c r="P166" s="70"/>
      <c r="Q166" s="70"/>
      <c r="R166" s="70"/>
      <c r="S166" s="70"/>
      <c r="T166" s="70"/>
      <c r="U166" s="70"/>
      <c r="V166" s="70"/>
      <c r="W166" s="70"/>
      <c r="X166" s="70"/>
      <c r="Y166" s="70"/>
      <c r="Z166" s="70"/>
      <c r="AA166" s="70"/>
      <c r="AB166" s="70"/>
      <c r="AC166" s="70"/>
      <c r="AD166" s="70"/>
    </row>
    <row r="167" outlineLevel="1">
      <c r="A167" s="14" t="s">
        <v>421</v>
      </c>
      <c r="C167" s="77" t="s">
        <v>1813</v>
      </c>
      <c r="D167" s="77" t="s">
        <v>3364</v>
      </c>
      <c r="E167" s="6" t="s">
        <v>53</v>
      </c>
      <c r="F167" s="173"/>
      <c r="G167" s="172"/>
      <c r="H167" s="172"/>
      <c r="I167" s="172"/>
      <c r="J167" s="172"/>
      <c r="K167" s="172"/>
      <c r="L167" s="138"/>
      <c r="M167" s="138"/>
      <c r="N167" s="138"/>
      <c r="P167" s="138"/>
      <c r="Q167" s="138"/>
    </row>
    <row r="168">
      <c r="A168" s="301" t="s">
        <v>427</v>
      </c>
      <c r="B168" s="70"/>
      <c r="C168" s="71"/>
      <c r="D168" s="71"/>
      <c r="E168" s="101"/>
      <c r="F168" s="233"/>
      <c r="G168" s="191"/>
      <c r="H168" s="191"/>
      <c r="I168" s="191"/>
      <c r="J168" s="191"/>
      <c r="K168" s="191"/>
      <c r="L168" s="70"/>
      <c r="M168" s="70"/>
      <c r="N168" s="70"/>
      <c r="O168" s="70"/>
      <c r="P168" s="70"/>
      <c r="Q168" s="70"/>
      <c r="R168" s="70"/>
      <c r="S168" s="70"/>
      <c r="T168" s="70"/>
      <c r="U168" s="70"/>
      <c r="V168" s="70"/>
      <c r="W168" s="70"/>
      <c r="X168" s="70"/>
      <c r="Y168" s="70"/>
      <c r="Z168" s="70"/>
      <c r="AA168" s="70"/>
      <c r="AB168" s="70"/>
      <c r="AC168" s="70"/>
      <c r="AD168" s="70"/>
    </row>
    <row r="169" outlineLevel="1">
      <c r="A169" s="14" t="s">
        <v>427</v>
      </c>
      <c r="C169" s="77" t="s">
        <v>163</v>
      </c>
      <c r="D169" s="77" t="s">
        <v>3370</v>
      </c>
      <c r="E169" s="6" t="s">
        <v>53</v>
      </c>
      <c r="F169" s="173"/>
      <c r="G169" s="172"/>
      <c r="H169" s="172"/>
      <c r="I169" s="172"/>
      <c r="J169" s="172"/>
      <c r="K169" s="172"/>
    </row>
    <row r="170" outlineLevel="1">
      <c r="A170" s="14" t="s">
        <v>427</v>
      </c>
      <c r="C170" s="77" t="s">
        <v>268</v>
      </c>
      <c r="D170" s="77" t="s">
        <v>825</v>
      </c>
      <c r="E170" s="6" t="s">
        <v>53</v>
      </c>
      <c r="F170" s="173"/>
      <c r="G170" s="172"/>
      <c r="H170" s="172"/>
      <c r="I170" s="172"/>
      <c r="J170" s="172"/>
      <c r="K170" s="172"/>
    </row>
    <row r="171" outlineLevel="1">
      <c r="A171" s="14" t="s">
        <v>427</v>
      </c>
      <c r="C171" s="77" t="s">
        <v>1998</v>
      </c>
      <c r="D171" s="77" t="s">
        <v>3371</v>
      </c>
      <c r="E171" s="6" t="s">
        <v>53</v>
      </c>
      <c r="F171" s="173"/>
      <c r="G171" s="172"/>
      <c r="H171" s="172"/>
      <c r="I171" s="172"/>
      <c r="J171" s="172"/>
      <c r="K171" s="172"/>
    </row>
    <row r="172" outlineLevel="1">
      <c r="A172" s="14" t="s">
        <v>427</v>
      </c>
      <c r="C172" s="77" t="s">
        <v>278</v>
      </c>
      <c r="D172" s="77" t="s">
        <v>3372</v>
      </c>
      <c r="E172" s="6" t="s">
        <v>53</v>
      </c>
      <c r="F172" s="173"/>
      <c r="G172" s="172"/>
      <c r="H172" s="172"/>
      <c r="I172" s="172"/>
      <c r="J172" s="172"/>
      <c r="K172" s="172"/>
    </row>
    <row r="173" outlineLevel="1">
      <c r="A173" s="14" t="s">
        <v>427</v>
      </c>
      <c r="C173" s="77" t="s">
        <v>1874</v>
      </c>
      <c r="D173" s="77" t="s">
        <v>2924</v>
      </c>
      <c r="E173" s="6" t="s">
        <v>49</v>
      </c>
      <c r="F173" s="173"/>
      <c r="G173" s="172"/>
      <c r="H173" s="172"/>
      <c r="I173" s="172"/>
      <c r="J173" s="172"/>
      <c r="K173" s="172"/>
    </row>
    <row r="174" outlineLevel="1">
      <c r="A174" s="14" t="s">
        <v>427</v>
      </c>
      <c r="C174" s="77" t="s">
        <v>2490</v>
      </c>
      <c r="D174" s="77" t="s">
        <v>3373</v>
      </c>
      <c r="E174" s="6" t="s">
        <v>53</v>
      </c>
      <c r="F174" s="173"/>
      <c r="G174" s="172"/>
      <c r="H174" s="172"/>
      <c r="I174" s="172"/>
      <c r="J174" s="172"/>
      <c r="K174" s="172"/>
    </row>
    <row r="175" outlineLevel="1">
      <c r="A175" s="14" t="s">
        <v>427</v>
      </c>
      <c r="C175" s="77" t="s">
        <v>2254</v>
      </c>
      <c r="D175" s="77" t="s">
        <v>3019</v>
      </c>
      <c r="E175" s="6" t="s">
        <v>49</v>
      </c>
      <c r="F175" s="173"/>
      <c r="G175" s="172"/>
      <c r="H175" s="172"/>
      <c r="I175" s="172"/>
      <c r="J175" s="172"/>
      <c r="K175" s="172"/>
    </row>
    <row r="176" outlineLevel="1">
      <c r="A176" s="14" t="s">
        <v>427</v>
      </c>
      <c r="C176" s="77" t="s">
        <v>325</v>
      </c>
      <c r="D176" s="77" t="s">
        <v>3374</v>
      </c>
      <c r="E176" s="6" t="s">
        <v>53</v>
      </c>
      <c r="F176" s="173"/>
      <c r="G176" s="172"/>
      <c r="H176" s="172"/>
      <c r="I176" s="172"/>
      <c r="J176" s="172"/>
      <c r="K176" s="172"/>
    </row>
    <row r="177" outlineLevel="1">
      <c r="A177" s="14" t="s">
        <v>427</v>
      </c>
      <c r="C177" s="77" t="s">
        <v>3375</v>
      </c>
      <c r="D177" s="77" t="s">
        <v>2555</v>
      </c>
      <c r="E177" s="6" t="s">
        <v>49</v>
      </c>
      <c r="F177" s="173"/>
      <c r="G177" s="172"/>
      <c r="H177" s="172"/>
      <c r="I177" s="172"/>
      <c r="J177" s="172"/>
      <c r="K177" s="172"/>
    </row>
    <row r="178" outlineLevel="1">
      <c r="A178" s="14" t="s">
        <v>427</v>
      </c>
      <c r="C178" s="77" t="s">
        <v>3376</v>
      </c>
      <c r="D178" s="77" t="s">
        <v>3377</v>
      </c>
      <c r="E178" s="6" t="s">
        <v>49</v>
      </c>
      <c r="F178" s="173"/>
      <c r="G178" s="172"/>
      <c r="H178" s="172"/>
      <c r="I178" s="172"/>
      <c r="J178" s="172"/>
      <c r="K178" s="172"/>
    </row>
    <row r="179" outlineLevel="1">
      <c r="A179" s="14" t="s">
        <v>427</v>
      </c>
      <c r="C179" s="77" t="s">
        <v>552</v>
      </c>
      <c r="D179" s="77" t="s">
        <v>3378</v>
      </c>
      <c r="E179" s="6" t="s">
        <v>53</v>
      </c>
      <c r="F179" s="173"/>
      <c r="G179" s="172"/>
      <c r="H179" s="172"/>
      <c r="I179" s="172"/>
      <c r="J179" s="172"/>
      <c r="K179" s="172"/>
    </row>
    <row r="180" outlineLevel="1">
      <c r="A180" s="14" t="s">
        <v>427</v>
      </c>
      <c r="C180" s="77" t="s">
        <v>3379</v>
      </c>
      <c r="D180" s="77" t="s">
        <v>3380</v>
      </c>
      <c r="E180" s="6" t="s">
        <v>53</v>
      </c>
      <c r="F180" s="173"/>
      <c r="G180" s="172"/>
      <c r="H180" s="172"/>
      <c r="I180" s="172"/>
      <c r="J180" s="172"/>
      <c r="K180" s="172"/>
    </row>
    <row r="181" outlineLevel="1">
      <c r="A181" s="14" t="s">
        <v>427</v>
      </c>
      <c r="C181" s="77" t="s">
        <v>2746</v>
      </c>
      <c r="D181" s="77" t="s">
        <v>3381</v>
      </c>
      <c r="E181" s="6" t="s">
        <v>49</v>
      </c>
      <c r="F181" s="173"/>
      <c r="G181" s="172"/>
      <c r="H181" s="172"/>
      <c r="I181" s="172"/>
      <c r="J181" s="172"/>
      <c r="K181" s="172"/>
    </row>
    <row r="182" outlineLevel="1">
      <c r="A182" s="14" t="s">
        <v>427</v>
      </c>
      <c r="C182" s="77" t="s">
        <v>2724</v>
      </c>
      <c r="D182" s="77" t="s">
        <v>3383</v>
      </c>
      <c r="E182" s="6" t="s">
        <v>49</v>
      </c>
      <c r="F182" s="173"/>
      <c r="G182" s="172"/>
      <c r="H182" s="172"/>
      <c r="I182" s="172"/>
      <c r="J182" s="172"/>
      <c r="K182" s="172"/>
    </row>
    <row r="183" outlineLevel="1">
      <c r="A183" s="14" t="s">
        <v>427</v>
      </c>
      <c r="C183" s="77" t="s">
        <v>3384</v>
      </c>
      <c r="D183" s="77" t="s">
        <v>3385</v>
      </c>
      <c r="E183" s="6" t="s">
        <v>53</v>
      </c>
      <c r="F183" s="173"/>
      <c r="G183" s="172"/>
      <c r="H183" s="172"/>
      <c r="I183" s="172"/>
      <c r="J183" s="172"/>
      <c r="K183" s="172"/>
    </row>
    <row r="184" outlineLevel="1">
      <c r="A184" s="14" t="s">
        <v>427</v>
      </c>
      <c r="C184" s="77" t="s">
        <v>3388</v>
      </c>
      <c r="D184" s="77" t="s">
        <v>3043</v>
      </c>
      <c r="E184" s="6" t="s">
        <v>53</v>
      </c>
      <c r="F184" s="173"/>
      <c r="G184" s="172"/>
      <c r="H184" s="172"/>
      <c r="I184" s="172"/>
      <c r="J184" s="172"/>
      <c r="K184" s="172"/>
    </row>
    <row r="185" outlineLevel="1">
      <c r="A185" s="14" t="s">
        <v>427</v>
      </c>
      <c r="C185" s="77" t="s">
        <v>997</v>
      </c>
      <c r="D185" s="77" t="s">
        <v>3389</v>
      </c>
      <c r="E185" s="6" t="s">
        <v>53</v>
      </c>
      <c r="F185" s="173"/>
      <c r="G185" s="172"/>
      <c r="H185" s="172"/>
      <c r="I185" s="172"/>
      <c r="J185" s="172"/>
      <c r="K185" s="172"/>
    </row>
    <row r="186" outlineLevel="1">
      <c r="A186" s="14" t="s">
        <v>427</v>
      </c>
      <c r="C186" s="77" t="s">
        <v>1331</v>
      </c>
      <c r="D186" s="77" t="s">
        <v>3390</v>
      </c>
      <c r="E186" s="6" t="s">
        <v>53</v>
      </c>
      <c r="F186" s="173"/>
      <c r="G186" s="172"/>
      <c r="H186" s="172"/>
      <c r="I186" s="172"/>
      <c r="J186" s="172"/>
      <c r="K186" s="172"/>
    </row>
    <row r="187" outlineLevel="1">
      <c r="A187" s="14" t="s">
        <v>427</v>
      </c>
      <c r="C187" s="77" t="s">
        <v>3391</v>
      </c>
      <c r="D187" s="77" t="s">
        <v>3392</v>
      </c>
      <c r="E187" s="6" t="s">
        <v>53</v>
      </c>
      <c r="F187" s="173"/>
      <c r="G187" s="172"/>
      <c r="H187" s="172"/>
      <c r="I187" s="172"/>
      <c r="J187" s="172"/>
      <c r="K187" s="172"/>
    </row>
    <row r="188" outlineLevel="1">
      <c r="A188" s="14" t="s">
        <v>427</v>
      </c>
      <c r="C188" s="77" t="s">
        <v>3393</v>
      </c>
      <c r="D188" s="77" t="s">
        <v>3394</v>
      </c>
      <c r="E188" s="6" t="s">
        <v>49</v>
      </c>
      <c r="F188" s="173"/>
      <c r="G188" s="172"/>
      <c r="H188" s="172"/>
      <c r="I188" s="172"/>
      <c r="J188" s="172"/>
      <c r="K188" s="172"/>
    </row>
    <row r="189" outlineLevel="1">
      <c r="A189" s="14" t="s">
        <v>427</v>
      </c>
      <c r="C189" s="77" t="s">
        <v>1771</v>
      </c>
      <c r="D189" s="77" t="s">
        <v>3395</v>
      </c>
      <c r="E189" s="6" t="s">
        <v>49</v>
      </c>
      <c r="F189" s="173"/>
      <c r="G189" s="172"/>
      <c r="H189" s="172"/>
      <c r="I189" s="172"/>
      <c r="J189" s="172"/>
      <c r="K189" s="172"/>
    </row>
    <row r="190" outlineLevel="1">
      <c r="A190" s="14" t="s">
        <v>427</v>
      </c>
      <c r="C190" s="77" t="s">
        <v>1998</v>
      </c>
      <c r="D190" s="77" t="s">
        <v>3397</v>
      </c>
      <c r="E190" s="6" t="s">
        <v>49</v>
      </c>
      <c r="F190" s="173"/>
      <c r="G190" s="172"/>
      <c r="H190" s="172"/>
      <c r="I190" s="172"/>
      <c r="J190" s="172"/>
      <c r="K190" s="172"/>
    </row>
    <row r="191" outlineLevel="1">
      <c r="A191" s="14" t="s">
        <v>427</v>
      </c>
      <c r="C191" s="77" t="s">
        <v>3398</v>
      </c>
      <c r="D191" s="77" t="s">
        <v>3399</v>
      </c>
      <c r="E191" s="6" t="s">
        <v>49</v>
      </c>
      <c r="F191" s="173"/>
      <c r="G191" s="172"/>
      <c r="H191" s="172"/>
      <c r="I191" s="172"/>
      <c r="J191" s="172"/>
      <c r="K191" s="172"/>
    </row>
    <row r="192" outlineLevel="1">
      <c r="A192" s="14" t="s">
        <v>427</v>
      </c>
      <c r="C192" s="77" t="s">
        <v>3400</v>
      </c>
      <c r="D192" s="77" t="s">
        <v>62</v>
      </c>
      <c r="E192" s="6" t="s">
        <v>49</v>
      </c>
      <c r="F192" s="173"/>
      <c r="G192" s="172"/>
      <c r="H192" s="172"/>
      <c r="I192" s="172"/>
      <c r="J192" s="172"/>
      <c r="K192" s="172"/>
    </row>
    <row r="193" outlineLevel="1">
      <c r="A193" s="14" t="s">
        <v>427</v>
      </c>
      <c r="C193" s="77" t="s">
        <v>3401</v>
      </c>
      <c r="D193" s="77" t="s">
        <v>3402</v>
      </c>
      <c r="E193" s="6" t="s">
        <v>53</v>
      </c>
      <c r="F193" s="173"/>
      <c r="G193" s="172"/>
      <c r="H193" s="172"/>
      <c r="I193" s="172"/>
      <c r="J193" s="172"/>
      <c r="K193" s="172"/>
    </row>
    <row r="194" outlineLevel="1">
      <c r="A194" s="14" t="s">
        <v>427</v>
      </c>
      <c r="C194" s="77" t="s">
        <v>425</v>
      </c>
      <c r="D194" s="77" t="s">
        <v>3403</v>
      </c>
      <c r="E194" s="6" t="s">
        <v>49</v>
      </c>
      <c r="F194" s="173"/>
      <c r="G194" s="172"/>
      <c r="H194" s="172"/>
      <c r="I194" s="172"/>
      <c r="J194" s="172"/>
      <c r="K194" s="172"/>
    </row>
    <row r="195" outlineLevel="1">
      <c r="A195" s="14" t="s">
        <v>427</v>
      </c>
      <c r="C195" s="77" t="s">
        <v>3404</v>
      </c>
      <c r="D195" s="77" t="s">
        <v>3405</v>
      </c>
      <c r="E195" s="6" t="s">
        <v>49</v>
      </c>
      <c r="F195" s="173"/>
      <c r="G195" s="172"/>
      <c r="H195" s="172"/>
      <c r="I195" s="172"/>
      <c r="J195" s="172"/>
      <c r="K195" s="172"/>
    </row>
    <row r="196" collapsed="1">
      <c r="A196" s="126" t="s">
        <v>286</v>
      </c>
      <c r="B196" s="303"/>
      <c r="C196" s="77" t="s">
        <v>3410</v>
      </c>
      <c r="D196" s="77" t="s">
        <v>1704</v>
      </c>
      <c r="E196" s="6" t="s">
        <v>53</v>
      </c>
      <c r="F196" s="173"/>
      <c r="G196" s="172"/>
      <c r="H196" s="172"/>
      <c r="I196" s="172"/>
      <c r="J196" s="172"/>
      <c r="K196" s="172"/>
      <c r="L196" s="303"/>
      <c r="M196" s="303"/>
      <c r="N196" s="303"/>
      <c r="O196" s="303"/>
      <c r="P196" s="303"/>
      <c r="Q196" s="303"/>
      <c r="R196" s="303"/>
      <c r="S196" s="303"/>
      <c r="T196" s="303"/>
      <c r="U196" s="303"/>
      <c r="V196" s="303"/>
      <c r="W196" s="303"/>
      <c r="X196" s="303"/>
      <c r="Y196" s="303"/>
      <c r="Z196" s="303"/>
      <c r="AA196" s="303"/>
      <c r="AB196" s="303"/>
      <c r="AC196" s="303"/>
      <c r="AD196" s="303"/>
    </row>
    <row r="197" hidden="1" outlineLevel="1">
      <c r="A197" s="226" t="s">
        <v>430</v>
      </c>
      <c r="B197" s="226" t="s">
        <v>431</v>
      </c>
      <c r="C197" s="77" t="s">
        <v>3410</v>
      </c>
      <c r="D197" s="77" t="s">
        <v>1704</v>
      </c>
      <c r="E197" s="304" t="s">
        <v>53</v>
      </c>
      <c r="F197" s="173"/>
      <c r="G197" s="172"/>
      <c r="H197" s="172"/>
      <c r="I197" s="172"/>
      <c r="J197" s="172"/>
      <c r="K197" s="172"/>
      <c r="L197" s="303"/>
      <c r="M197" s="303"/>
      <c r="N197" s="303"/>
      <c r="O197" s="303"/>
      <c r="P197" s="303"/>
      <c r="Q197" s="303"/>
      <c r="R197" s="303"/>
      <c r="S197" s="303"/>
      <c r="T197" s="303"/>
      <c r="U197" s="303"/>
      <c r="V197" s="303"/>
      <c r="W197" s="303"/>
      <c r="X197" s="303"/>
      <c r="Y197" s="303"/>
      <c r="Z197" s="303"/>
      <c r="AA197" s="303"/>
      <c r="AB197" s="303"/>
      <c r="AC197" s="303"/>
      <c r="AD197" s="303"/>
    </row>
    <row r="198" hidden="1" outlineLevel="1">
      <c r="A198" s="226" t="s">
        <v>430</v>
      </c>
      <c r="B198" s="226" t="s">
        <v>434</v>
      </c>
      <c r="C198" s="77" t="s">
        <v>1291</v>
      </c>
      <c r="D198" s="77" t="s">
        <v>45</v>
      </c>
      <c r="E198" s="304" t="s">
        <v>53</v>
      </c>
      <c r="F198" s="173"/>
      <c r="G198" s="172"/>
      <c r="H198" s="172"/>
      <c r="I198" s="172"/>
      <c r="J198" s="172"/>
      <c r="K198" s="172"/>
      <c r="L198" s="303"/>
      <c r="M198" s="303"/>
      <c r="N198" s="303"/>
      <c r="O198" s="303"/>
      <c r="P198" s="303"/>
      <c r="Q198" s="303"/>
      <c r="R198" s="303"/>
      <c r="S198" s="303"/>
      <c r="T198" s="303"/>
      <c r="U198" s="303"/>
      <c r="V198" s="303"/>
      <c r="W198" s="303"/>
      <c r="X198" s="303"/>
      <c r="Y198" s="303"/>
      <c r="Z198" s="303"/>
      <c r="AA198" s="303"/>
      <c r="AB198" s="303"/>
      <c r="AC198" s="303"/>
      <c r="AD198" s="303"/>
    </row>
    <row r="199">
      <c r="A199" s="126" t="s">
        <v>286</v>
      </c>
      <c r="B199" s="303"/>
      <c r="C199" s="77" t="s">
        <v>1291</v>
      </c>
      <c r="D199" s="77" t="s">
        <v>45</v>
      </c>
      <c r="E199" s="6" t="s">
        <v>53</v>
      </c>
      <c r="F199" s="173"/>
      <c r="G199" s="172"/>
      <c r="H199" s="172"/>
      <c r="I199" s="172"/>
      <c r="J199" s="172"/>
      <c r="K199" s="172"/>
      <c r="L199" s="303"/>
      <c r="M199" s="303"/>
      <c r="N199" s="303"/>
      <c r="O199" s="303"/>
      <c r="P199" s="303"/>
      <c r="Q199" s="303"/>
      <c r="R199" s="303"/>
      <c r="S199" s="303"/>
      <c r="T199" s="303"/>
      <c r="U199" s="303"/>
      <c r="V199" s="303"/>
      <c r="W199" s="303"/>
      <c r="X199" s="303"/>
      <c r="Y199" s="303"/>
      <c r="Z199" s="303"/>
      <c r="AA199" s="303"/>
      <c r="AB199" s="303"/>
      <c r="AC199" s="303"/>
      <c r="AD199" s="303"/>
    </row>
    <row r="200">
      <c r="A200" s="14" t="s">
        <v>438</v>
      </c>
      <c r="C200" s="77" t="s">
        <v>3414</v>
      </c>
      <c r="D200" s="77" t="s">
        <v>3416</v>
      </c>
      <c r="E200" s="6" t="s">
        <v>53</v>
      </c>
      <c r="F200" s="173"/>
      <c r="G200" s="172"/>
      <c r="H200" s="172"/>
      <c r="I200" s="172"/>
      <c r="J200" s="172"/>
      <c r="K200" s="172"/>
    </row>
    <row r="201">
      <c r="A201" s="70"/>
      <c r="B201" s="70"/>
      <c r="C201" s="71"/>
      <c r="D201" s="71"/>
      <c r="E201" s="101"/>
      <c r="F201" s="233"/>
      <c r="G201" s="191"/>
      <c r="H201" s="191"/>
      <c r="I201" s="191"/>
      <c r="J201" s="191"/>
      <c r="K201" s="191"/>
      <c r="L201" s="70"/>
      <c r="M201" s="70"/>
      <c r="N201" s="70"/>
      <c r="O201" s="70"/>
      <c r="P201" s="70"/>
      <c r="Q201" s="70"/>
      <c r="R201" s="70"/>
      <c r="S201" s="70"/>
      <c r="T201" s="70"/>
      <c r="U201" s="70"/>
      <c r="V201" s="70"/>
      <c r="W201" s="70"/>
      <c r="X201" s="70"/>
      <c r="Y201" s="70"/>
      <c r="Z201" s="70"/>
      <c r="AA201" s="70"/>
      <c r="AB201" s="70"/>
      <c r="AC201" s="70"/>
      <c r="AD201" s="70"/>
    </row>
    <row r="202">
      <c r="C202" s="139"/>
      <c r="D202" s="139"/>
      <c r="E202" s="18"/>
      <c r="F202" s="173"/>
      <c r="G202" s="172"/>
      <c r="H202" s="172"/>
      <c r="I202" s="172"/>
      <c r="J202" s="172"/>
      <c r="K202" s="172"/>
    </row>
    <row r="203">
      <c r="C203" s="139"/>
      <c r="D203" s="139"/>
      <c r="E203" s="18"/>
      <c r="F203" s="173"/>
      <c r="G203" s="172"/>
      <c r="H203" s="172"/>
      <c r="I203" s="172"/>
      <c r="J203" s="172"/>
      <c r="K203" s="172"/>
    </row>
    <row r="204">
      <c r="C204" s="139"/>
      <c r="D204" s="139"/>
      <c r="E204" s="18"/>
      <c r="F204" s="173"/>
      <c r="G204" s="172"/>
      <c r="H204" s="172"/>
      <c r="I204" s="172"/>
      <c r="J204" s="172"/>
      <c r="K204" s="172"/>
    </row>
    <row r="205">
      <c r="C205" s="139"/>
      <c r="D205" s="139"/>
      <c r="E205" s="18"/>
      <c r="F205" s="173"/>
      <c r="G205" s="172"/>
      <c r="H205" s="172"/>
      <c r="I205" s="172"/>
      <c r="J205" s="172"/>
      <c r="K205" s="172"/>
    </row>
    <row r="206">
      <c r="C206" s="139"/>
      <c r="D206" s="139"/>
      <c r="E206" s="18"/>
      <c r="F206" s="173"/>
      <c r="G206" s="172"/>
      <c r="H206" s="172"/>
      <c r="I206" s="172"/>
      <c r="J206" s="172"/>
      <c r="K206" s="172"/>
    </row>
    <row r="207">
      <c r="C207" s="139"/>
      <c r="D207" s="139"/>
      <c r="E207" s="18"/>
      <c r="F207" s="173"/>
      <c r="G207" s="172"/>
      <c r="H207" s="172"/>
      <c r="I207" s="172"/>
      <c r="J207" s="172"/>
      <c r="K207" s="172"/>
    </row>
    <row r="208">
      <c r="C208" s="139"/>
      <c r="D208" s="139"/>
      <c r="E208" s="18"/>
      <c r="F208" s="173"/>
      <c r="G208" s="172"/>
      <c r="H208" s="172"/>
      <c r="I208" s="172"/>
      <c r="J208" s="172"/>
      <c r="K208" s="172"/>
    </row>
    <row r="209">
      <c r="C209" s="139"/>
      <c r="D209" s="139"/>
      <c r="E209" s="18"/>
      <c r="F209" s="173"/>
      <c r="G209" s="172"/>
      <c r="H209" s="172"/>
      <c r="I209" s="172"/>
      <c r="J209" s="172"/>
      <c r="K209" s="172"/>
    </row>
    <row r="210">
      <c r="C210" s="139"/>
      <c r="D210" s="139"/>
      <c r="E210" s="18"/>
      <c r="F210" s="173"/>
      <c r="G210" s="172"/>
      <c r="H210" s="172"/>
      <c r="I210" s="172"/>
      <c r="J210" s="172"/>
      <c r="K210" s="172"/>
    </row>
    <row r="211">
      <c r="C211" s="139"/>
      <c r="D211" s="139"/>
      <c r="E211" s="18"/>
      <c r="F211" s="173"/>
      <c r="G211" s="172"/>
      <c r="H211" s="172"/>
      <c r="I211" s="172"/>
      <c r="J211" s="172"/>
      <c r="K211" s="172"/>
    </row>
    <row r="212">
      <c r="C212" s="139"/>
      <c r="D212" s="139"/>
      <c r="E212" s="18"/>
      <c r="F212" s="173"/>
      <c r="G212" s="172"/>
      <c r="H212" s="172"/>
      <c r="I212" s="172"/>
      <c r="J212" s="172"/>
      <c r="K212" s="172"/>
    </row>
    <row r="213">
      <c r="C213" s="139"/>
      <c r="D213" s="139"/>
      <c r="E213" s="18"/>
      <c r="F213" s="173"/>
      <c r="G213" s="172"/>
      <c r="H213" s="172"/>
      <c r="I213" s="172"/>
      <c r="J213" s="172"/>
      <c r="K213" s="172"/>
    </row>
    <row r="214">
      <c r="C214" s="139"/>
      <c r="D214" s="139"/>
      <c r="E214" s="18"/>
      <c r="F214" s="173"/>
      <c r="G214" s="172"/>
      <c r="H214" s="172"/>
      <c r="I214" s="172"/>
      <c r="J214" s="172"/>
      <c r="K214" s="172"/>
    </row>
    <row r="215">
      <c r="C215" s="139"/>
      <c r="D215" s="139"/>
      <c r="E215" s="18"/>
      <c r="F215" s="173"/>
      <c r="G215" s="172"/>
      <c r="H215" s="172"/>
      <c r="I215" s="172"/>
      <c r="J215" s="172"/>
      <c r="K215" s="172"/>
    </row>
    <row r="216">
      <c r="C216" s="139"/>
      <c r="D216" s="139"/>
      <c r="E216" s="18"/>
      <c r="F216" s="173"/>
      <c r="G216" s="172"/>
      <c r="H216" s="172"/>
      <c r="I216" s="172"/>
      <c r="J216" s="172"/>
      <c r="K216" s="172"/>
    </row>
    <row r="217">
      <c r="C217" s="139"/>
      <c r="D217" s="139"/>
      <c r="E217" s="18"/>
      <c r="F217" s="173"/>
      <c r="G217" s="172"/>
      <c r="H217" s="172"/>
      <c r="I217" s="172"/>
      <c r="J217" s="172"/>
      <c r="K217" s="172"/>
    </row>
    <row r="218">
      <c r="C218" s="139"/>
      <c r="D218" s="139"/>
      <c r="E218" s="18"/>
      <c r="F218" s="173"/>
      <c r="G218" s="172"/>
      <c r="H218" s="172"/>
      <c r="I218" s="172"/>
      <c r="J218" s="172"/>
      <c r="K218" s="172"/>
    </row>
    <row r="219">
      <c r="C219" s="139"/>
      <c r="D219" s="139"/>
      <c r="E219" s="18"/>
      <c r="F219" s="173"/>
      <c r="G219" s="172"/>
      <c r="H219" s="172"/>
      <c r="I219" s="172"/>
      <c r="J219" s="172"/>
      <c r="K219" s="172"/>
    </row>
    <row r="220">
      <c r="C220" s="139"/>
      <c r="D220" s="139"/>
      <c r="E220" s="18"/>
      <c r="F220" s="173"/>
      <c r="G220" s="172"/>
      <c r="H220" s="172"/>
      <c r="I220" s="172"/>
      <c r="J220" s="172"/>
      <c r="K220" s="172"/>
    </row>
    <row r="221">
      <c r="C221" s="139"/>
      <c r="D221" s="139"/>
      <c r="E221" s="18"/>
      <c r="F221" s="173"/>
      <c r="G221" s="172"/>
      <c r="H221" s="172"/>
      <c r="I221" s="172"/>
      <c r="J221" s="172"/>
      <c r="K221" s="172"/>
    </row>
    <row r="222">
      <c r="C222" s="139"/>
      <c r="D222" s="139"/>
      <c r="E222" s="18"/>
      <c r="F222" s="173"/>
      <c r="G222" s="172"/>
      <c r="H222" s="172"/>
      <c r="I222" s="172"/>
      <c r="J222" s="172"/>
      <c r="K222" s="172"/>
    </row>
    <row r="223">
      <c r="C223" s="139"/>
      <c r="D223" s="139"/>
      <c r="E223" s="18"/>
      <c r="F223" s="173"/>
      <c r="G223" s="172"/>
      <c r="H223" s="172"/>
      <c r="I223" s="172"/>
      <c r="J223" s="172"/>
      <c r="K223" s="172"/>
    </row>
    <row r="224">
      <c r="C224" s="139"/>
      <c r="D224" s="139"/>
      <c r="E224" s="18"/>
      <c r="F224" s="173"/>
      <c r="G224" s="172"/>
      <c r="H224" s="172"/>
      <c r="I224" s="172"/>
      <c r="J224" s="172"/>
      <c r="K224" s="172"/>
    </row>
    <row r="225">
      <c r="C225" s="139"/>
      <c r="D225" s="139"/>
      <c r="E225" s="18"/>
      <c r="F225" s="173"/>
      <c r="G225" s="172"/>
      <c r="H225" s="172"/>
      <c r="I225" s="172"/>
      <c r="J225" s="172"/>
      <c r="K225" s="172"/>
    </row>
    <row r="226">
      <c r="C226" s="139"/>
      <c r="D226" s="139"/>
      <c r="E226" s="18"/>
      <c r="F226" s="173"/>
      <c r="G226" s="172"/>
      <c r="H226" s="172"/>
      <c r="I226" s="172"/>
      <c r="J226" s="172"/>
      <c r="K226" s="172"/>
    </row>
    <row r="227">
      <c r="C227" s="139"/>
      <c r="D227" s="139"/>
      <c r="E227" s="18"/>
      <c r="F227" s="173"/>
      <c r="G227" s="172"/>
      <c r="H227" s="172"/>
      <c r="I227" s="172"/>
      <c r="J227" s="172"/>
      <c r="K227" s="172"/>
    </row>
    <row r="228">
      <c r="C228" s="139"/>
      <c r="D228" s="139"/>
      <c r="E228" s="18"/>
      <c r="F228" s="173"/>
      <c r="G228" s="172"/>
      <c r="H228" s="172"/>
      <c r="I228" s="172"/>
      <c r="J228" s="172"/>
      <c r="K228" s="172"/>
    </row>
    <row r="229">
      <c r="C229" s="139"/>
      <c r="D229" s="139"/>
      <c r="E229" s="18"/>
      <c r="F229" s="173"/>
      <c r="G229" s="172"/>
      <c r="H229" s="172"/>
      <c r="I229" s="172"/>
      <c r="J229" s="172"/>
      <c r="K229" s="172"/>
    </row>
    <row r="230">
      <c r="C230" s="139"/>
      <c r="D230" s="139"/>
      <c r="E230" s="18"/>
      <c r="F230" s="173"/>
      <c r="G230" s="172"/>
      <c r="H230" s="172"/>
      <c r="I230" s="172"/>
      <c r="J230" s="172"/>
      <c r="K230" s="172"/>
    </row>
    <row r="231">
      <c r="C231" s="139"/>
      <c r="D231" s="139"/>
      <c r="E231" s="18"/>
      <c r="F231" s="173"/>
      <c r="G231" s="172"/>
      <c r="H231" s="172"/>
      <c r="I231" s="172"/>
      <c r="J231" s="172"/>
      <c r="K231" s="172"/>
    </row>
    <row r="232">
      <c r="C232" s="139"/>
      <c r="D232" s="139"/>
      <c r="E232" s="18"/>
      <c r="F232" s="173"/>
      <c r="G232" s="172"/>
      <c r="H232" s="172"/>
      <c r="I232" s="172"/>
      <c r="J232" s="172"/>
      <c r="K232" s="172"/>
    </row>
    <row r="233">
      <c r="C233" s="139"/>
      <c r="D233" s="139"/>
      <c r="E233" s="18"/>
      <c r="F233" s="173"/>
      <c r="G233" s="172"/>
      <c r="H233" s="172"/>
      <c r="I233" s="172"/>
      <c r="J233" s="172"/>
      <c r="K233" s="172"/>
    </row>
    <row r="234">
      <c r="C234" s="139"/>
      <c r="D234" s="139"/>
      <c r="E234" s="18"/>
      <c r="F234" s="173"/>
      <c r="G234" s="172"/>
      <c r="H234" s="172"/>
      <c r="I234" s="172"/>
      <c r="J234" s="172"/>
      <c r="K234" s="172"/>
    </row>
    <row r="235">
      <c r="C235" s="139"/>
      <c r="D235" s="139"/>
      <c r="E235" s="18"/>
      <c r="F235" s="173"/>
      <c r="G235" s="172"/>
      <c r="H235" s="172"/>
      <c r="I235" s="172"/>
      <c r="J235" s="172"/>
      <c r="K235" s="172"/>
    </row>
    <row r="236">
      <c r="C236" s="139"/>
      <c r="D236" s="139"/>
      <c r="E236" s="18"/>
      <c r="F236" s="173"/>
      <c r="G236" s="172"/>
      <c r="H236" s="172"/>
      <c r="I236" s="172"/>
      <c r="J236" s="172"/>
      <c r="K236" s="172"/>
    </row>
    <row r="237">
      <c r="C237" s="139"/>
      <c r="D237" s="139"/>
      <c r="E237" s="18"/>
      <c r="F237" s="173"/>
      <c r="G237" s="172"/>
      <c r="H237" s="172"/>
      <c r="I237" s="172"/>
      <c r="J237" s="172"/>
      <c r="K237" s="172"/>
    </row>
    <row r="238">
      <c r="C238" s="139"/>
      <c r="D238" s="139"/>
      <c r="E238" s="18"/>
      <c r="F238" s="173"/>
      <c r="G238" s="172"/>
      <c r="H238" s="172"/>
      <c r="I238" s="172"/>
      <c r="J238" s="172"/>
      <c r="K238" s="172"/>
    </row>
    <row r="239">
      <c r="C239" s="139"/>
      <c r="D239" s="139"/>
      <c r="E239" s="18"/>
      <c r="F239" s="173"/>
      <c r="G239" s="172"/>
      <c r="H239" s="172"/>
      <c r="I239" s="172"/>
      <c r="J239" s="172"/>
      <c r="K239" s="172"/>
    </row>
    <row r="240">
      <c r="C240" s="139"/>
      <c r="D240" s="139"/>
      <c r="E240" s="18"/>
      <c r="F240" s="173"/>
      <c r="G240" s="172"/>
      <c r="H240" s="172"/>
      <c r="I240" s="172"/>
      <c r="J240" s="172"/>
      <c r="K240" s="172"/>
    </row>
    <row r="241">
      <c r="C241" s="139"/>
      <c r="D241" s="139"/>
      <c r="E241" s="18"/>
      <c r="F241" s="173"/>
      <c r="G241" s="172"/>
      <c r="H241" s="172"/>
      <c r="I241" s="172"/>
      <c r="J241" s="172"/>
      <c r="K241" s="172"/>
    </row>
    <row r="242">
      <c r="C242" s="139"/>
      <c r="D242" s="139"/>
      <c r="E242" s="18"/>
      <c r="F242" s="173"/>
      <c r="G242" s="172"/>
      <c r="H242" s="172"/>
      <c r="I242" s="172"/>
      <c r="J242" s="172"/>
      <c r="K242" s="172"/>
    </row>
    <row r="243">
      <c r="C243" s="139"/>
      <c r="D243" s="139"/>
      <c r="E243" s="18"/>
      <c r="F243" s="173"/>
      <c r="G243" s="172"/>
      <c r="H243" s="172"/>
      <c r="I243" s="172"/>
      <c r="J243" s="172"/>
      <c r="K243" s="172"/>
    </row>
    <row r="244">
      <c r="C244" s="139"/>
      <c r="D244" s="139"/>
      <c r="E244" s="18"/>
      <c r="F244" s="173"/>
      <c r="G244" s="172"/>
      <c r="H244" s="172"/>
      <c r="I244" s="172"/>
      <c r="J244" s="172"/>
      <c r="K244" s="172"/>
    </row>
    <row r="245">
      <c r="C245" s="139"/>
      <c r="D245" s="139"/>
      <c r="E245" s="18"/>
      <c r="F245" s="173"/>
      <c r="G245" s="172"/>
      <c r="H245" s="172"/>
      <c r="I245" s="172"/>
      <c r="J245" s="172"/>
      <c r="K245" s="172"/>
    </row>
    <row r="246">
      <c r="C246" s="139"/>
      <c r="D246" s="139"/>
      <c r="E246" s="18"/>
      <c r="F246" s="173"/>
      <c r="G246" s="172"/>
      <c r="H246" s="172"/>
      <c r="I246" s="172"/>
      <c r="J246" s="172"/>
      <c r="K246" s="172"/>
    </row>
    <row r="247">
      <c r="C247" s="139"/>
      <c r="D247" s="139"/>
      <c r="E247" s="18"/>
      <c r="F247" s="173"/>
      <c r="G247" s="172"/>
      <c r="H247" s="172"/>
      <c r="I247" s="172"/>
      <c r="J247" s="172"/>
      <c r="K247" s="172"/>
    </row>
    <row r="248">
      <c r="C248" s="139"/>
      <c r="D248" s="139"/>
      <c r="E248" s="18"/>
      <c r="F248" s="173"/>
      <c r="G248" s="172"/>
      <c r="H248" s="172"/>
      <c r="I248" s="172"/>
      <c r="J248" s="172"/>
      <c r="K248" s="172"/>
    </row>
    <row r="249">
      <c r="C249" s="139"/>
      <c r="D249" s="139"/>
      <c r="E249" s="18"/>
      <c r="F249" s="173"/>
      <c r="G249" s="172"/>
      <c r="H249" s="172"/>
      <c r="I249" s="172"/>
      <c r="J249" s="172"/>
      <c r="K249" s="172"/>
    </row>
    <row r="250">
      <c r="C250" s="139"/>
      <c r="D250" s="139"/>
      <c r="E250" s="18"/>
      <c r="F250" s="173"/>
      <c r="G250" s="172"/>
      <c r="H250" s="172"/>
      <c r="I250" s="172"/>
      <c r="J250" s="172"/>
      <c r="K250" s="172"/>
    </row>
    <row r="251">
      <c r="C251" s="139"/>
      <c r="D251" s="139"/>
      <c r="E251" s="18"/>
      <c r="F251" s="173"/>
      <c r="G251" s="172"/>
      <c r="H251" s="172"/>
      <c r="I251" s="172"/>
      <c r="J251" s="172"/>
      <c r="K251" s="172"/>
    </row>
    <row r="252">
      <c r="C252" s="139"/>
      <c r="D252" s="139"/>
      <c r="E252" s="18"/>
      <c r="F252" s="173"/>
      <c r="G252" s="172"/>
      <c r="H252" s="172"/>
      <c r="I252" s="172"/>
      <c r="J252" s="172"/>
      <c r="K252" s="172"/>
    </row>
    <row r="253">
      <c r="C253" s="139"/>
      <c r="D253" s="139"/>
      <c r="E253" s="18"/>
      <c r="F253" s="173"/>
      <c r="G253" s="172"/>
      <c r="H253" s="172"/>
      <c r="I253" s="172"/>
      <c r="J253" s="172"/>
      <c r="K253" s="172"/>
    </row>
    <row r="254">
      <c r="C254" s="139"/>
      <c r="D254" s="139"/>
      <c r="E254" s="18"/>
      <c r="F254" s="173"/>
      <c r="G254" s="172"/>
      <c r="H254" s="172"/>
      <c r="I254" s="172"/>
      <c r="J254" s="172"/>
      <c r="K254" s="172"/>
    </row>
    <row r="255">
      <c r="C255" s="139"/>
      <c r="D255" s="139"/>
      <c r="E255" s="18"/>
      <c r="F255" s="173"/>
      <c r="G255" s="172"/>
      <c r="H255" s="172"/>
      <c r="I255" s="172"/>
      <c r="J255" s="172"/>
      <c r="K255" s="172"/>
    </row>
    <row r="256">
      <c r="C256" s="139"/>
      <c r="D256" s="139"/>
      <c r="E256" s="18"/>
      <c r="F256" s="173"/>
      <c r="G256" s="172"/>
      <c r="H256" s="172"/>
      <c r="I256" s="172"/>
      <c r="J256" s="172"/>
      <c r="K256" s="172"/>
    </row>
    <row r="257">
      <c r="C257" s="139"/>
      <c r="D257" s="139"/>
      <c r="E257" s="18"/>
      <c r="F257" s="173"/>
      <c r="G257" s="172"/>
      <c r="H257" s="172"/>
      <c r="I257" s="172"/>
      <c r="J257" s="172"/>
      <c r="K257" s="172"/>
    </row>
    <row r="258">
      <c r="C258" s="139"/>
      <c r="D258" s="139"/>
      <c r="E258" s="18"/>
      <c r="F258" s="173"/>
      <c r="G258" s="172"/>
      <c r="H258" s="172"/>
      <c r="I258" s="172"/>
      <c r="J258" s="172"/>
      <c r="K258" s="172"/>
    </row>
    <row r="259">
      <c r="C259" s="139"/>
      <c r="D259" s="139"/>
      <c r="E259" s="18"/>
      <c r="F259" s="173"/>
      <c r="G259" s="172"/>
      <c r="H259" s="172"/>
      <c r="I259" s="172"/>
      <c r="J259" s="172"/>
      <c r="K259" s="172"/>
    </row>
    <row r="260">
      <c r="C260" s="139"/>
      <c r="D260" s="139"/>
      <c r="E260" s="18"/>
      <c r="F260" s="173"/>
      <c r="G260" s="172"/>
      <c r="H260" s="172"/>
      <c r="I260" s="172"/>
      <c r="J260" s="172"/>
      <c r="K260" s="172"/>
    </row>
    <row r="261">
      <c r="C261" s="139"/>
      <c r="D261" s="139"/>
      <c r="E261" s="18"/>
      <c r="F261" s="173"/>
      <c r="G261" s="172"/>
      <c r="H261" s="172"/>
      <c r="I261" s="172"/>
      <c r="J261" s="172"/>
      <c r="K261" s="172"/>
    </row>
    <row r="262">
      <c r="C262" s="139"/>
      <c r="D262" s="139"/>
      <c r="E262" s="18"/>
      <c r="F262" s="173"/>
      <c r="G262" s="172"/>
      <c r="H262" s="172"/>
      <c r="I262" s="172"/>
      <c r="J262" s="172"/>
      <c r="K262" s="172"/>
    </row>
    <row r="263">
      <c r="C263" s="139"/>
      <c r="D263" s="139"/>
      <c r="E263" s="18"/>
      <c r="F263" s="173"/>
      <c r="G263" s="172"/>
      <c r="H263" s="172"/>
      <c r="I263" s="172"/>
      <c r="J263" s="172"/>
      <c r="K263" s="172"/>
    </row>
    <row r="264">
      <c r="C264" s="139"/>
      <c r="D264" s="139"/>
      <c r="E264" s="18"/>
      <c r="F264" s="173"/>
      <c r="G264" s="172"/>
      <c r="H264" s="172"/>
      <c r="I264" s="172"/>
      <c r="J264" s="172"/>
      <c r="K264" s="172"/>
    </row>
    <row r="265">
      <c r="C265" s="139"/>
      <c r="D265" s="139"/>
      <c r="E265" s="18"/>
      <c r="F265" s="173"/>
      <c r="G265" s="172"/>
      <c r="H265" s="172"/>
      <c r="I265" s="172"/>
      <c r="J265" s="172"/>
      <c r="K265" s="172"/>
    </row>
    <row r="266">
      <c r="C266" s="139"/>
      <c r="D266" s="139"/>
      <c r="E266" s="18"/>
      <c r="F266" s="173"/>
      <c r="G266" s="172"/>
      <c r="H266" s="172"/>
      <c r="I266" s="172"/>
      <c r="J266" s="172"/>
      <c r="K266" s="172"/>
    </row>
    <row r="267">
      <c r="C267" s="139"/>
      <c r="D267" s="139"/>
      <c r="E267" s="18"/>
      <c r="F267" s="173"/>
      <c r="G267" s="172"/>
      <c r="H267" s="172"/>
      <c r="I267" s="172"/>
      <c r="J267" s="172"/>
      <c r="K267" s="172"/>
    </row>
    <row r="268">
      <c r="C268" s="139"/>
      <c r="D268" s="139"/>
      <c r="E268" s="18"/>
      <c r="F268" s="173"/>
      <c r="G268" s="172"/>
      <c r="H268" s="172"/>
      <c r="I268" s="172"/>
      <c r="J268" s="172"/>
      <c r="K268" s="172"/>
    </row>
    <row r="269">
      <c r="C269" s="139"/>
      <c r="D269" s="139"/>
      <c r="E269" s="18"/>
      <c r="F269" s="173"/>
      <c r="G269" s="172"/>
      <c r="H269" s="172"/>
      <c r="I269" s="172"/>
      <c r="J269" s="172"/>
      <c r="K269" s="172"/>
    </row>
    <row r="270">
      <c r="C270" s="139"/>
      <c r="D270" s="139"/>
      <c r="E270" s="18"/>
      <c r="F270" s="173"/>
      <c r="G270" s="172"/>
      <c r="H270" s="172"/>
      <c r="I270" s="172"/>
      <c r="J270" s="172"/>
      <c r="K270" s="172"/>
    </row>
    <row r="271">
      <c r="C271" s="139"/>
      <c r="D271" s="139"/>
      <c r="E271" s="18"/>
      <c r="F271" s="173"/>
      <c r="G271" s="172"/>
      <c r="H271" s="172"/>
      <c r="I271" s="172"/>
      <c r="J271" s="172"/>
      <c r="K271" s="172"/>
    </row>
    <row r="272">
      <c r="C272" s="139"/>
      <c r="D272" s="139"/>
      <c r="E272" s="18"/>
      <c r="F272" s="173"/>
      <c r="G272" s="172"/>
      <c r="H272" s="172"/>
      <c r="I272" s="172"/>
      <c r="J272" s="172"/>
      <c r="K272" s="172"/>
    </row>
    <row r="273">
      <c r="C273" s="139"/>
      <c r="D273" s="139"/>
      <c r="E273" s="18"/>
      <c r="F273" s="173"/>
      <c r="G273" s="172"/>
      <c r="H273" s="172"/>
      <c r="I273" s="172"/>
      <c r="J273" s="172"/>
      <c r="K273" s="172"/>
    </row>
    <row r="274">
      <c r="C274" s="139"/>
      <c r="D274" s="139"/>
      <c r="E274" s="18"/>
      <c r="F274" s="173"/>
      <c r="G274" s="172"/>
      <c r="H274" s="172"/>
      <c r="I274" s="172"/>
      <c r="J274" s="172"/>
      <c r="K274" s="172"/>
    </row>
    <row r="275">
      <c r="C275" s="139"/>
      <c r="D275" s="139"/>
      <c r="E275" s="18"/>
      <c r="F275" s="173"/>
      <c r="G275" s="172"/>
      <c r="H275" s="172"/>
      <c r="I275" s="172"/>
      <c r="J275" s="172"/>
      <c r="K275" s="172"/>
    </row>
    <row r="276">
      <c r="C276" s="139"/>
      <c r="D276" s="139"/>
      <c r="E276" s="18"/>
      <c r="F276" s="173"/>
      <c r="G276" s="172"/>
      <c r="H276" s="172"/>
      <c r="I276" s="172"/>
      <c r="J276" s="172"/>
      <c r="K276" s="172"/>
    </row>
    <row r="277">
      <c r="C277" s="139"/>
      <c r="D277" s="139"/>
      <c r="E277" s="18"/>
      <c r="F277" s="173"/>
      <c r="G277" s="172"/>
      <c r="H277" s="172"/>
      <c r="I277" s="172"/>
      <c r="J277" s="172"/>
      <c r="K277" s="172"/>
    </row>
    <row r="278">
      <c r="C278" s="139"/>
      <c r="D278" s="139"/>
      <c r="E278" s="18"/>
      <c r="F278" s="173"/>
      <c r="G278" s="172"/>
      <c r="H278" s="172"/>
      <c r="I278" s="172"/>
      <c r="J278" s="172"/>
      <c r="K278" s="172"/>
    </row>
    <row r="279">
      <c r="C279" s="139"/>
      <c r="D279" s="139"/>
      <c r="E279" s="18"/>
      <c r="F279" s="173"/>
      <c r="G279" s="172"/>
      <c r="H279" s="172"/>
      <c r="I279" s="172"/>
      <c r="J279" s="172"/>
      <c r="K279" s="172"/>
    </row>
    <row r="280">
      <c r="C280" s="139"/>
      <c r="D280" s="139"/>
      <c r="E280" s="18"/>
      <c r="F280" s="173"/>
      <c r="G280" s="172"/>
      <c r="H280" s="172"/>
      <c r="I280" s="172"/>
      <c r="J280" s="172"/>
      <c r="K280" s="172"/>
    </row>
    <row r="281">
      <c r="C281" s="139"/>
      <c r="D281" s="139"/>
      <c r="E281" s="18"/>
      <c r="F281" s="173"/>
      <c r="G281" s="172"/>
      <c r="H281" s="172"/>
      <c r="I281" s="172"/>
      <c r="J281" s="172"/>
      <c r="K281" s="172"/>
    </row>
    <row r="282">
      <c r="C282" s="139"/>
      <c r="D282" s="139"/>
      <c r="E282" s="18"/>
      <c r="F282" s="173"/>
      <c r="G282" s="172"/>
      <c r="H282" s="172"/>
      <c r="I282" s="172"/>
      <c r="J282" s="172"/>
      <c r="K282" s="172"/>
    </row>
    <row r="283">
      <c r="C283" s="139"/>
      <c r="D283" s="139"/>
      <c r="E283" s="18"/>
      <c r="F283" s="173"/>
      <c r="G283" s="172"/>
      <c r="H283" s="172"/>
      <c r="I283" s="172"/>
      <c r="J283" s="172"/>
      <c r="K283" s="172"/>
    </row>
    <row r="284">
      <c r="C284" s="139"/>
      <c r="D284" s="139"/>
      <c r="E284" s="18"/>
      <c r="F284" s="173"/>
      <c r="G284" s="172"/>
      <c r="H284" s="172"/>
      <c r="I284" s="172"/>
      <c r="J284" s="172"/>
      <c r="K284" s="172"/>
    </row>
    <row r="285">
      <c r="C285" s="139"/>
      <c r="D285" s="139"/>
      <c r="E285" s="18"/>
      <c r="F285" s="173"/>
      <c r="G285" s="172"/>
      <c r="H285" s="172"/>
      <c r="I285" s="172"/>
      <c r="J285" s="172"/>
      <c r="K285" s="172"/>
    </row>
    <row r="286">
      <c r="C286" s="139"/>
      <c r="D286" s="139"/>
      <c r="E286" s="18"/>
      <c r="F286" s="173"/>
      <c r="G286" s="172"/>
      <c r="H286" s="172"/>
      <c r="I286" s="172"/>
      <c r="J286" s="172"/>
      <c r="K286" s="172"/>
    </row>
    <row r="287">
      <c r="C287" s="139"/>
      <c r="D287" s="139"/>
      <c r="E287" s="18"/>
      <c r="F287" s="173"/>
      <c r="G287" s="172"/>
      <c r="H287" s="172"/>
      <c r="I287" s="172"/>
      <c r="J287" s="172"/>
      <c r="K287" s="172"/>
    </row>
    <row r="288">
      <c r="C288" s="139"/>
      <c r="D288" s="139"/>
      <c r="E288" s="18"/>
      <c r="F288" s="173"/>
      <c r="G288" s="172"/>
      <c r="H288" s="172"/>
      <c r="I288" s="172"/>
      <c r="J288" s="172"/>
      <c r="K288" s="172"/>
    </row>
    <row r="289">
      <c r="C289" s="139"/>
      <c r="D289" s="139"/>
      <c r="E289" s="18"/>
      <c r="F289" s="173"/>
      <c r="G289" s="172"/>
      <c r="H289" s="172"/>
      <c r="I289" s="172"/>
      <c r="J289" s="172"/>
      <c r="K289" s="172"/>
    </row>
    <row r="290">
      <c r="C290" s="139"/>
      <c r="D290" s="139"/>
      <c r="E290" s="18"/>
      <c r="F290" s="173"/>
      <c r="G290" s="172"/>
      <c r="H290" s="172"/>
      <c r="I290" s="172"/>
      <c r="J290" s="172"/>
      <c r="K290" s="172"/>
    </row>
    <row r="291">
      <c r="C291" s="139"/>
      <c r="D291" s="139"/>
      <c r="E291" s="18"/>
      <c r="F291" s="173"/>
      <c r="G291" s="172"/>
      <c r="H291" s="172"/>
      <c r="I291" s="172"/>
      <c r="J291" s="172"/>
      <c r="K291" s="172"/>
    </row>
    <row r="292">
      <c r="C292" s="139"/>
      <c r="D292" s="139"/>
      <c r="E292" s="18"/>
      <c r="F292" s="173"/>
      <c r="G292" s="172"/>
      <c r="H292" s="172"/>
      <c r="I292" s="172"/>
      <c r="J292" s="172"/>
      <c r="K292" s="172"/>
    </row>
    <row r="293">
      <c r="C293" s="139"/>
      <c r="D293" s="139"/>
      <c r="E293" s="18"/>
      <c r="F293" s="173"/>
      <c r="G293" s="172"/>
      <c r="H293" s="172"/>
      <c r="I293" s="172"/>
      <c r="J293" s="172"/>
      <c r="K293" s="172"/>
    </row>
    <row r="294">
      <c r="C294" s="139"/>
      <c r="D294" s="139"/>
      <c r="E294" s="18"/>
      <c r="F294" s="173"/>
      <c r="G294" s="172"/>
      <c r="H294" s="172"/>
      <c r="I294" s="172"/>
      <c r="J294" s="172"/>
      <c r="K294" s="172"/>
    </row>
    <row r="295">
      <c r="C295" s="139"/>
      <c r="D295" s="139"/>
      <c r="E295" s="18"/>
      <c r="F295" s="173"/>
      <c r="G295" s="172"/>
      <c r="H295" s="172"/>
      <c r="I295" s="172"/>
      <c r="J295" s="172"/>
      <c r="K295" s="172"/>
    </row>
    <row r="296">
      <c r="C296" s="139"/>
      <c r="D296" s="139"/>
      <c r="E296" s="18"/>
      <c r="F296" s="173"/>
      <c r="G296" s="172"/>
      <c r="H296" s="172"/>
      <c r="I296" s="172"/>
      <c r="J296" s="172"/>
      <c r="K296" s="172"/>
    </row>
    <row r="297">
      <c r="C297" s="139"/>
      <c r="D297" s="139"/>
      <c r="E297" s="18"/>
      <c r="F297" s="173"/>
      <c r="G297" s="172"/>
      <c r="H297" s="172"/>
      <c r="I297" s="172"/>
      <c r="J297" s="172"/>
      <c r="K297" s="172"/>
    </row>
    <row r="298">
      <c r="C298" s="139"/>
      <c r="D298" s="139"/>
      <c r="E298" s="18"/>
      <c r="F298" s="173"/>
      <c r="G298" s="172"/>
      <c r="H298" s="172"/>
      <c r="I298" s="172"/>
      <c r="J298" s="172"/>
      <c r="K298" s="172"/>
    </row>
    <row r="299">
      <c r="C299" s="139"/>
      <c r="D299" s="139"/>
      <c r="E299" s="18"/>
      <c r="F299" s="173"/>
      <c r="G299" s="172"/>
      <c r="H299" s="172"/>
      <c r="I299" s="172"/>
      <c r="J299" s="172"/>
      <c r="K299" s="172"/>
    </row>
    <row r="300">
      <c r="C300" s="139"/>
      <c r="D300" s="139"/>
      <c r="E300" s="18"/>
      <c r="F300" s="173"/>
      <c r="G300" s="172"/>
      <c r="H300" s="172"/>
      <c r="I300" s="172"/>
      <c r="J300" s="172"/>
      <c r="K300" s="172"/>
    </row>
    <row r="301">
      <c r="C301" s="139"/>
      <c r="D301" s="139"/>
      <c r="E301" s="18"/>
      <c r="F301" s="173"/>
      <c r="G301" s="172"/>
      <c r="H301" s="172"/>
      <c r="I301" s="172"/>
      <c r="J301" s="172"/>
      <c r="K301" s="172"/>
    </row>
    <row r="302">
      <c r="C302" s="139"/>
      <c r="D302" s="139"/>
      <c r="E302" s="18"/>
      <c r="F302" s="173"/>
      <c r="G302" s="172"/>
      <c r="H302" s="172"/>
      <c r="I302" s="172"/>
      <c r="J302" s="172"/>
      <c r="K302" s="172"/>
    </row>
    <row r="303">
      <c r="C303" s="139"/>
      <c r="D303" s="139"/>
      <c r="E303" s="18"/>
      <c r="F303" s="173"/>
      <c r="G303" s="172"/>
      <c r="H303" s="172"/>
      <c r="I303" s="172"/>
      <c r="J303" s="172"/>
      <c r="K303" s="172"/>
    </row>
    <row r="304">
      <c r="C304" s="139"/>
      <c r="D304" s="139"/>
      <c r="E304" s="18"/>
      <c r="F304" s="173"/>
      <c r="G304" s="172"/>
      <c r="H304" s="172"/>
      <c r="I304" s="172"/>
      <c r="J304" s="172"/>
      <c r="K304" s="172"/>
    </row>
    <row r="305">
      <c r="C305" s="139"/>
      <c r="D305" s="139"/>
      <c r="E305" s="18"/>
      <c r="F305" s="173"/>
      <c r="G305" s="172"/>
      <c r="H305" s="172"/>
      <c r="I305" s="172"/>
      <c r="J305" s="172"/>
      <c r="K305" s="172"/>
    </row>
    <row r="306">
      <c r="C306" s="139"/>
      <c r="D306" s="139"/>
      <c r="E306" s="18"/>
      <c r="F306" s="173"/>
      <c r="G306" s="172"/>
      <c r="H306" s="172"/>
      <c r="I306" s="172"/>
      <c r="J306" s="172"/>
      <c r="K306" s="172"/>
    </row>
    <row r="307">
      <c r="C307" s="139"/>
      <c r="D307" s="139"/>
      <c r="E307" s="18"/>
      <c r="F307" s="173"/>
      <c r="G307" s="172"/>
      <c r="H307" s="172"/>
      <c r="I307" s="172"/>
      <c r="J307" s="172"/>
      <c r="K307" s="172"/>
    </row>
    <row r="308">
      <c r="C308" s="139"/>
      <c r="D308" s="139"/>
      <c r="E308" s="18"/>
      <c r="F308" s="173"/>
      <c r="G308" s="172"/>
      <c r="H308" s="172"/>
      <c r="I308" s="172"/>
      <c r="J308" s="172"/>
      <c r="K308" s="172"/>
    </row>
    <row r="309">
      <c r="C309" s="139"/>
      <c r="D309" s="139"/>
      <c r="E309" s="18"/>
      <c r="F309" s="173"/>
      <c r="G309" s="172"/>
      <c r="H309" s="172"/>
      <c r="I309" s="172"/>
      <c r="J309" s="172"/>
      <c r="K309" s="172"/>
    </row>
    <row r="310">
      <c r="C310" s="139"/>
      <c r="D310" s="139"/>
      <c r="E310" s="18"/>
      <c r="F310" s="173"/>
      <c r="G310" s="172"/>
      <c r="H310" s="172"/>
      <c r="I310" s="172"/>
      <c r="J310" s="172"/>
      <c r="K310" s="172"/>
    </row>
    <row r="311">
      <c r="C311" s="139"/>
      <c r="D311" s="139"/>
      <c r="E311" s="18"/>
      <c r="F311" s="173"/>
      <c r="G311" s="172"/>
      <c r="H311" s="172"/>
      <c r="I311" s="172"/>
      <c r="J311" s="172"/>
      <c r="K311" s="172"/>
    </row>
    <row r="312">
      <c r="C312" s="139"/>
      <c r="D312" s="139"/>
      <c r="E312" s="18"/>
      <c r="F312" s="173"/>
      <c r="G312" s="172"/>
      <c r="H312" s="172"/>
      <c r="I312" s="172"/>
      <c r="J312" s="172"/>
      <c r="K312" s="172"/>
    </row>
    <row r="313">
      <c r="C313" s="139"/>
      <c r="D313" s="139"/>
      <c r="E313" s="18"/>
      <c r="F313" s="173"/>
      <c r="G313" s="172"/>
      <c r="H313" s="172"/>
      <c r="I313" s="172"/>
      <c r="J313" s="172"/>
      <c r="K313" s="172"/>
    </row>
    <row r="314">
      <c r="C314" s="139"/>
      <c r="D314" s="139"/>
      <c r="E314" s="18"/>
      <c r="F314" s="173"/>
      <c r="G314" s="172"/>
      <c r="H314" s="172"/>
      <c r="I314" s="172"/>
      <c r="J314" s="172"/>
      <c r="K314" s="172"/>
    </row>
    <row r="315">
      <c r="C315" s="139"/>
      <c r="D315" s="139"/>
      <c r="E315" s="18"/>
      <c r="F315" s="173"/>
      <c r="G315" s="172"/>
      <c r="H315" s="172"/>
      <c r="I315" s="172"/>
      <c r="J315" s="172"/>
      <c r="K315" s="172"/>
    </row>
    <row r="316">
      <c r="C316" s="139"/>
      <c r="D316" s="139"/>
      <c r="E316" s="18"/>
      <c r="F316" s="173"/>
      <c r="G316" s="172"/>
      <c r="H316" s="172"/>
      <c r="I316" s="172"/>
      <c r="J316" s="172"/>
      <c r="K316" s="172"/>
    </row>
    <row r="317">
      <c r="C317" s="139"/>
      <c r="D317" s="139"/>
      <c r="E317" s="18"/>
      <c r="F317" s="173"/>
      <c r="G317" s="172"/>
      <c r="H317" s="172"/>
      <c r="I317" s="172"/>
      <c r="J317" s="172"/>
      <c r="K317" s="172"/>
    </row>
    <row r="318">
      <c r="C318" s="139"/>
      <c r="D318" s="139"/>
      <c r="E318" s="18"/>
      <c r="F318" s="173"/>
      <c r="G318" s="172"/>
      <c r="H318" s="172"/>
      <c r="I318" s="172"/>
      <c r="J318" s="172"/>
      <c r="K318" s="172"/>
    </row>
    <row r="319">
      <c r="C319" s="139"/>
      <c r="D319" s="139"/>
      <c r="E319" s="18"/>
      <c r="F319" s="173"/>
      <c r="G319" s="172"/>
      <c r="H319" s="172"/>
      <c r="I319" s="172"/>
      <c r="J319" s="172"/>
      <c r="K319" s="172"/>
    </row>
    <row r="320">
      <c r="C320" s="139"/>
      <c r="D320" s="139"/>
      <c r="E320" s="18"/>
      <c r="F320" s="173"/>
      <c r="G320" s="172"/>
      <c r="H320" s="172"/>
      <c r="I320" s="172"/>
      <c r="J320" s="172"/>
      <c r="K320" s="172"/>
    </row>
    <row r="321">
      <c r="C321" s="139"/>
      <c r="D321" s="139"/>
      <c r="E321" s="18"/>
      <c r="F321" s="173"/>
      <c r="G321" s="172"/>
      <c r="H321" s="172"/>
      <c r="I321" s="172"/>
      <c r="J321" s="172"/>
      <c r="K321" s="172"/>
    </row>
    <row r="322">
      <c r="C322" s="139"/>
      <c r="D322" s="139"/>
      <c r="E322" s="18"/>
      <c r="F322" s="173"/>
      <c r="G322" s="172"/>
      <c r="H322" s="172"/>
      <c r="I322" s="172"/>
      <c r="J322" s="172"/>
      <c r="K322" s="172"/>
    </row>
    <row r="323">
      <c r="C323" s="139"/>
      <c r="D323" s="139"/>
      <c r="E323" s="18"/>
      <c r="F323" s="173"/>
      <c r="G323" s="172"/>
      <c r="H323" s="172"/>
      <c r="I323" s="172"/>
      <c r="J323" s="172"/>
      <c r="K323" s="172"/>
    </row>
    <row r="324">
      <c r="C324" s="139"/>
      <c r="D324" s="139"/>
      <c r="E324" s="18"/>
      <c r="F324" s="173"/>
      <c r="G324" s="172"/>
      <c r="H324" s="172"/>
      <c r="I324" s="172"/>
      <c r="J324" s="172"/>
      <c r="K324" s="172"/>
    </row>
    <row r="325">
      <c r="C325" s="139"/>
      <c r="D325" s="139"/>
      <c r="E325" s="18"/>
      <c r="F325" s="173"/>
      <c r="G325" s="172"/>
      <c r="H325" s="172"/>
      <c r="I325" s="172"/>
      <c r="J325" s="172"/>
      <c r="K325" s="172"/>
    </row>
    <row r="326">
      <c r="C326" s="139"/>
      <c r="D326" s="139"/>
      <c r="E326" s="18"/>
      <c r="F326" s="173"/>
      <c r="G326" s="172"/>
      <c r="H326" s="172"/>
      <c r="I326" s="172"/>
      <c r="J326" s="172"/>
      <c r="K326" s="172"/>
    </row>
    <row r="327">
      <c r="C327" s="139"/>
      <c r="D327" s="139"/>
      <c r="E327" s="18"/>
      <c r="F327" s="173"/>
      <c r="G327" s="172"/>
      <c r="H327" s="172"/>
      <c r="I327" s="172"/>
      <c r="J327" s="172"/>
      <c r="K327" s="172"/>
    </row>
    <row r="328">
      <c r="C328" s="139"/>
      <c r="D328" s="139"/>
      <c r="E328" s="18"/>
      <c r="F328" s="173"/>
      <c r="G328" s="172"/>
      <c r="H328" s="172"/>
      <c r="I328" s="172"/>
      <c r="J328" s="172"/>
      <c r="K328" s="172"/>
    </row>
    <row r="329">
      <c r="C329" s="139"/>
      <c r="D329" s="139"/>
      <c r="E329" s="18"/>
      <c r="F329" s="173"/>
      <c r="G329" s="172"/>
      <c r="H329" s="172"/>
      <c r="I329" s="172"/>
      <c r="J329" s="172"/>
      <c r="K329" s="172"/>
    </row>
    <row r="330">
      <c r="C330" s="139"/>
      <c r="D330" s="139"/>
      <c r="E330" s="18"/>
      <c r="F330" s="173"/>
      <c r="G330" s="172"/>
      <c r="H330" s="172"/>
      <c r="I330" s="172"/>
      <c r="J330" s="172"/>
      <c r="K330" s="172"/>
    </row>
    <row r="331">
      <c r="C331" s="139"/>
      <c r="D331" s="139"/>
      <c r="E331" s="18"/>
      <c r="F331" s="173"/>
      <c r="G331" s="172"/>
      <c r="H331" s="172"/>
      <c r="I331" s="172"/>
      <c r="J331" s="172"/>
      <c r="K331" s="172"/>
    </row>
    <row r="332">
      <c r="C332" s="139"/>
      <c r="D332" s="139"/>
      <c r="E332" s="18"/>
      <c r="F332" s="173"/>
      <c r="G332" s="172"/>
      <c r="H332" s="172"/>
      <c r="I332" s="172"/>
      <c r="J332" s="172"/>
      <c r="K332" s="172"/>
    </row>
    <row r="333">
      <c r="C333" s="139"/>
      <c r="D333" s="139"/>
      <c r="E333" s="18"/>
      <c r="F333" s="173"/>
      <c r="G333" s="172"/>
      <c r="H333" s="172"/>
      <c r="I333" s="172"/>
      <c r="J333" s="172"/>
      <c r="K333" s="172"/>
    </row>
    <row r="334">
      <c r="C334" s="139"/>
      <c r="D334" s="139"/>
      <c r="E334" s="18"/>
      <c r="F334" s="173"/>
      <c r="G334" s="172"/>
      <c r="H334" s="172"/>
      <c r="I334" s="172"/>
      <c r="J334" s="172"/>
      <c r="K334" s="172"/>
    </row>
    <row r="335">
      <c r="C335" s="139"/>
      <c r="D335" s="139"/>
      <c r="E335" s="18"/>
      <c r="F335" s="173"/>
      <c r="G335" s="172"/>
      <c r="H335" s="172"/>
      <c r="I335" s="172"/>
      <c r="J335" s="172"/>
      <c r="K335" s="172"/>
    </row>
    <row r="336">
      <c r="C336" s="139"/>
      <c r="D336" s="139"/>
      <c r="E336" s="18"/>
      <c r="F336" s="173"/>
      <c r="G336" s="172"/>
      <c r="H336" s="172"/>
      <c r="I336" s="172"/>
      <c r="J336" s="172"/>
      <c r="K336" s="172"/>
    </row>
    <row r="337">
      <c r="C337" s="139"/>
      <c r="D337" s="139"/>
      <c r="E337" s="18"/>
      <c r="F337" s="173"/>
      <c r="G337" s="172"/>
      <c r="H337" s="172"/>
      <c r="I337" s="172"/>
      <c r="J337" s="172"/>
      <c r="K337" s="172"/>
    </row>
    <row r="338">
      <c r="C338" s="139"/>
      <c r="D338" s="139"/>
      <c r="E338" s="18"/>
      <c r="F338" s="173"/>
      <c r="G338" s="172"/>
      <c r="H338" s="172"/>
      <c r="I338" s="172"/>
      <c r="J338" s="172"/>
      <c r="K338" s="172"/>
    </row>
    <row r="339">
      <c r="C339" s="139"/>
      <c r="D339" s="139"/>
      <c r="E339" s="18"/>
      <c r="F339" s="173"/>
      <c r="G339" s="172"/>
      <c r="H339" s="172"/>
      <c r="I339" s="172"/>
      <c r="J339" s="172"/>
      <c r="K339" s="172"/>
    </row>
    <row r="340">
      <c r="C340" s="139"/>
      <c r="D340" s="139"/>
      <c r="E340" s="18"/>
      <c r="F340" s="173"/>
      <c r="G340" s="172"/>
      <c r="H340" s="172"/>
      <c r="I340" s="172"/>
      <c r="J340" s="172"/>
      <c r="K340" s="172"/>
    </row>
    <row r="341">
      <c r="C341" s="139"/>
      <c r="D341" s="139"/>
      <c r="E341" s="18"/>
      <c r="F341" s="173"/>
      <c r="G341" s="172"/>
      <c r="H341" s="172"/>
      <c r="I341" s="172"/>
      <c r="J341" s="172"/>
      <c r="K341" s="172"/>
    </row>
    <row r="342">
      <c r="C342" s="139"/>
      <c r="D342" s="139"/>
      <c r="E342" s="18"/>
      <c r="F342" s="173"/>
      <c r="G342" s="172"/>
      <c r="H342" s="172"/>
      <c r="I342" s="172"/>
      <c r="J342" s="172"/>
      <c r="K342" s="172"/>
    </row>
    <row r="343">
      <c r="C343" s="139"/>
      <c r="D343" s="139"/>
      <c r="E343" s="18"/>
      <c r="F343" s="173"/>
      <c r="G343" s="172"/>
      <c r="H343" s="172"/>
      <c r="I343" s="172"/>
      <c r="J343" s="172"/>
      <c r="K343" s="172"/>
    </row>
    <row r="344">
      <c r="C344" s="139"/>
      <c r="D344" s="139"/>
      <c r="E344" s="18"/>
      <c r="F344" s="173"/>
      <c r="G344" s="172"/>
      <c r="H344" s="172"/>
      <c r="I344" s="172"/>
      <c r="J344" s="172"/>
      <c r="K344" s="172"/>
    </row>
    <row r="345">
      <c r="C345" s="139"/>
      <c r="D345" s="139"/>
      <c r="E345" s="18"/>
      <c r="F345" s="173"/>
      <c r="G345" s="172"/>
      <c r="H345" s="172"/>
      <c r="I345" s="172"/>
      <c r="J345" s="172"/>
      <c r="K345" s="172"/>
    </row>
    <row r="346">
      <c r="C346" s="139"/>
      <c r="D346" s="139"/>
      <c r="E346" s="18"/>
      <c r="F346" s="173"/>
      <c r="G346" s="172"/>
      <c r="H346" s="172"/>
      <c r="I346" s="172"/>
      <c r="J346" s="172"/>
      <c r="K346" s="172"/>
    </row>
    <row r="347">
      <c r="C347" s="139"/>
      <c r="D347" s="139"/>
      <c r="E347" s="18"/>
      <c r="F347" s="173"/>
      <c r="G347" s="172"/>
      <c r="H347" s="172"/>
      <c r="I347" s="172"/>
      <c r="J347" s="172"/>
      <c r="K347" s="172"/>
    </row>
    <row r="348">
      <c r="C348" s="139"/>
      <c r="D348" s="139"/>
      <c r="E348" s="18"/>
      <c r="F348" s="173"/>
      <c r="G348" s="172"/>
      <c r="H348" s="172"/>
      <c r="I348" s="172"/>
      <c r="J348" s="172"/>
      <c r="K348" s="172"/>
    </row>
    <row r="349">
      <c r="C349" s="139"/>
      <c r="D349" s="139"/>
      <c r="E349" s="18"/>
      <c r="F349" s="173"/>
      <c r="G349" s="172"/>
      <c r="H349" s="172"/>
      <c r="I349" s="172"/>
      <c r="J349" s="172"/>
      <c r="K349" s="172"/>
    </row>
    <row r="350">
      <c r="C350" s="139"/>
      <c r="D350" s="139"/>
      <c r="E350" s="18"/>
      <c r="F350" s="173"/>
      <c r="G350" s="172"/>
      <c r="H350" s="172"/>
      <c r="I350" s="172"/>
      <c r="J350" s="172"/>
      <c r="K350" s="172"/>
    </row>
    <row r="351">
      <c r="C351" s="139"/>
      <c r="D351" s="139"/>
      <c r="E351" s="18"/>
      <c r="F351" s="173"/>
      <c r="G351" s="172"/>
      <c r="H351" s="172"/>
      <c r="I351" s="172"/>
      <c r="J351" s="172"/>
      <c r="K351" s="172"/>
    </row>
    <row r="352">
      <c r="C352" s="139"/>
      <c r="D352" s="139"/>
      <c r="E352" s="18"/>
      <c r="F352" s="173"/>
      <c r="G352" s="172"/>
      <c r="H352" s="172"/>
      <c r="I352" s="172"/>
      <c r="J352" s="172"/>
      <c r="K352" s="172"/>
    </row>
    <row r="353">
      <c r="C353" s="139"/>
      <c r="D353" s="139"/>
      <c r="E353" s="18"/>
      <c r="F353" s="173"/>
      <c r="G353" s="172"/>
      <c r="H353" s="172"/>
      <c r="I353" s="172"/>
      <c r="J353" s="172"/>
      <c r="K353" s="172"/>
    </row>
    <row r="354">
      <c r="C354" s="139"/>
      <c r="D354" s="139"/>
      <c r="E354" s="18"/>
      <c r="F354" s="173"/>
      <c r="G354" s="172"/>
      <c r="H354" s="172"/>
      <c r="I354" s="172"/>
      <c r="J354" s="172"/>
      <c r="K354" s="172"/>
    </row>
    <row r="355">
      <c r="C355" s="139"/>
      <c r="D355" s="139"/>
      <c r="E355" s="18"/>
      <c r="F355" s="173"/>
      <c r="G355" s="172"/>
      <c r="H355" s="172"/>
      <c r="I355" s="172"/>
      <c r="J355" s="172"/>
      <c r="K355" s="172"/>
    </row>
    <row r="356">
      <c r="C356" s="139"/>
      <c r="D356" s="139"/>
      <c r="E356" s="18"/>
      <c r="F356" s="173"/>
      <c r="G356" s="172"/>
      <c r="H356" s="172"/>
      <c r="I356" s="172"/>
      <c r="J356" s="172"/>
      <c r="K356" s="172"/>
    </row>
    <row r="357">
      <c r="C357" s="139"/>
      <c r="D357" s="139"/>
      <c r="E357" s="18"/>
      <c r="F357" s="173"/>
      <c r="G357" s="172"/>
      <c r="H357" s="172"/>
      <c r="I357" s="172"/>
      <c r="J357" s="172"/>
      <c r="K357" s="172"/>
    </row>
    <row r="358">
      <c r="C358" s="139"/>
      <c r="D358" s="139"/>
      <c r="E358" s="18"/>
      <c r="F358" s="173"/>
      <c r="G358" s="172"/>
      <c r="H358" s="172"/>
      <c r="I358" s="172"/>
      <c r="J358" s="172"/>
      <c r="K358" s="172"/>
    </row>
    <row r="359">
      <c r="C359" s="139"/>
      <c r="D359" s="139"/>
      <c r="E359" s="18"/>
      <c r="F359" s="173"/>
      <c r="G359" s="172"/>
      <c r="H359" s="172"/>
      <c r="I359" s="172"/>
      <c r="J359" s="172"/>
      <c r="K359" s="172"/>
    </row>
    <row r="360">
      <c r="C360" s="139"/>
      <c r="D360" s="139"/>
      <c r="E360" s="18"/>
      <c r="F360" s="173"/>
      <c r="G360" s="172"/>
      <c r="H360" s="172"/>
      <c r="I360" s="172"/>
      <c r="J360" s="172"/>
      <c r="K360" s="172"/>
    </row>
    <row r="361">
      <c r="C361" s="139"/>
      <c r="D361" s="139"/>
      <c r="E361" s="18"/>
      <c r="F361" s="173"/>
      <c r="G361" s="172"/>
      <c r="H361" s="172"/>
      <c r="I361" s="172"/>
      <c r="J361" s="172"/>
      <c r="K361" s="172"/>
    </row>
    <row r="362">
      <c r="C362" s="139"/>
      <c r="D362" s="139"/>
      <c r="E362" s="18"/>
      <c r="F362" s="173"/>
      <c r="G362" s="172"/>
      <c r="H362" s="172"/>
      <c r="I362" s="172"/>
      <c r="J362" s="172"/>
      <c r="K362" s="172"/>
    </row>
    <row r="363">
      <c r="C363" s="139"/>
      <c r="D363" s="139"/>
      <c r="E363" s="18"/>
      <c r="F363" s="173"/>
      <c r="G363" s="172"/>
      <c r="H363" s="172"/>
      <c r="I363" s="172"/>
      <c r="J363" s="172"/>
      <c r="K363" s="172"/>
    </row>
    <row r="364">
      <c r="C364" s="139"/>
      <c r="D364" s="139"/>
      <c r="E364" s="18"/>
      <c r="F364" s="173"/>
      <c r="G364" s="172"/>
      <c r="H364" s="172"/>
      <c r="I364" s="172"/>
      <c r="J364" s="172"/>
      <c r="K364" s="172"/>
    </row>
    <row r="365">
      <c r="C365" s="139"/>
      <c r="D365" s="139"/>
      <c r="E365" s="18"/>
      <c r="F365" s="173"/>
      <c r="G365" s="172"/>
      <c r="H365" s="172"/>
      <c r="I365" s="172"/>
      <c r="J365" s="172"/>
      <c r="K365" s="172"/>
    </row>
    <row r="366">
      <c r="C366" s="139"/>
      <c r="D366" s="139"/>
      <c r="E366" s="18"/>
      <c r="F366" s="173"/>
      <c r="G366" s="172"/>
      <c r="H366" s="172"/>
      <c r="I366" s="172"/>
      <c r="J366" s="172"/>
      <c r="K366" s="172"/>
    </row>
    <row r="367">
      <c r="C367" s="139"/>
      <c r="D367" s="139"/>
      <c r="E367" s="18"/>
      <c r="F367" s="173"/>
      <c r="G367" s="172"/>
      <c r="H367" s="172"/>
      <c r="I367" s="172"/>
      <c r="J367" s="172"/>
      <c r="K367" s="172"/>
    </row>
    <row r="368">
      <c r="C368" s="139"/>
      <c r="D368" s="139"/>
      <c r="E368" s="18"/>
      <c r="F368" s="173"/>
      <c r="G368" s="172"/>
      <c r="H368" s="172"/>
      <c r="I368" s="172"/>
      <c r="J368" s="172"/>
      <c r="K368" s="172"/>
    </row>
    <row r="369">
      <c r="C369" s="139"/>
      <c r="D369" s="139"/>
      <c r="E369" s="18"/>
      <c r="F369" s="173"/>
      <c r="G369" s="172"/>
      <c r="H369" s="172"/>
      <c r="I369" s="172"/>
      <c r="J369" s="172"/>
      <c r="K369" s="172"/>
    </row>
    <row r="370">
      <c r="C370" s="139"/>
      <c r="D370" s="139"/>
      <c r="E370" s="18"/>
      <c r="F370" s="173"/>
      <c r="G370" s="172"/>
      <c r="H370" s="172"/>
      <c r="I370" s="172"/>
      <c r="J370" s="172"/>
      <c r="K370" s="172"/>
    </row>
    <row r="371">
      <c r="C371" s="139"/>
      <c r="D371" s="139"/>
      <c r="E371" s="18"/>
      <c r="F371" s="173"/>
      <c r="G371" s="172"/>
      <c r="H371" s="172"/>
      <c r="I371" s="172"/>
      <c r="J371" s="172"/>
      <c r="K371" s="172"/>
    </row>
    <row r="372">
      <c r="C372" s="139"/>
      <c r="D372" s="139"/>
      <c r="E372" s="18"/>
      <c r="F372" s="173"/>
      <c r="G372" s="172"/>
      <c r="H372" s="172"/>
      <c r="I372" s="172"/>
      <c r="J372" s="172"/>
      <c r="K372" s="172"/>
    </row>
    <row r="373">
      <c r="C373" s="139"/>
      <c r="D373" s="139"/>
      <c r="E373" s="18"/>
      <c r="F373" s="173"/>
      <c r="G373" s="172"/>
      <c r="H373" s="172"/>
      <c r="I373" s="172"/>
      <c r="J373" s="172"/>
      <c r="K373" s="172"/>
    </row>
    <row r="374">
      <c r="C374" s="139"/>
      <c r="D374" s="139"/>
      <c r="E374" s="18"/>
      <c r="F374" s="173"/>
      <c r="G374" s="172"/>
      <c r="H374" s="172"/>
      <c r="I374" s="172"/>
      <c r="J374" s="172"/>
      <c r="K374" s="172"/>
    </row>
    <row r="375">
      <c r="C375" s="139"/>
      <c r="D375" s="139"/>
      <c r="E375" s="18"/>
      <c r="F375" s="173"/>
      <c r="G375" s="172"/>
      <c r="H375" s="172"/>
      <c r="I375" s="172"/>
      <c r="J375" s="172"/>
      <c r="K375" s="172"/>
    </row>
    <row r="376">
      <c r="C376" s="139"/>
      <c r="D376" s="139"/>
      <c r="E376" s="18"/>
      <c r="F376" s="173"/>
      <c r="G376" s="172"/>
      <c r="H376" s="172"/>
      <c r="I376" s="172"/>
      <c r="J376" s="172"/>
      <c r="K376" s="172"/>
    </row>
    <row r="377">
      <c r="C377" s="139"/>
      <c r="D377" s="139"/>
      <c r="E377" s="18"/>
      <c r="F377" s="173"/>
      <c r="G377" s="172"/>
      <c r="H377" s="172"/>
      <c r="I377" s="172"/>
      <c r="J377" s="172"/>
      <c r="K377" s="172"/>
    </row>
    <row r="378">
      <c r="C378" s="139"/>
      <c r="D378" s="139"/>
      <c r="E378" s="18"/>
      <c r="F378" s="173"/>
      <c r="G378" s="172"/>
      <c r="H378" s="172"/>
      <c r="I378" s="172"/>
      <c r="J378" s="172"/>
      <c r="K378" s="172"/>
    </row>
    <row r="379">
      <c r="C379" s="139"/>
      <c r="D379" s="139"/>
      <c r="E379" s="18"/>
      <c r="F379" s="173"/>
      <c r="G379" s="172"/>
      <c r="H379" s="172"/>
      <c r="I379" s="172"/>
      <c r="J379" s="172"/>
      <c r="K379" s="172"/>
    </row>
    <row r="380">
      <c r="C380" s="139"/>
      <c r="D380" s="139"/>
      <c r="E380" s="18"/>
      <c r="F380" s="173"/>
      <c r="G380" s="172"/>
      <c r="H380" s="172"/>
      <c r="I380" s="172"/>
      <c r="J380" s="172"/>
      <c r="K380" s="172"/>
    </row>
    <row r="381">
      <c r="C381" s="139"/>
      <c r="D381" s="139"/>
      <c r="E381" s="18"/>
      <c r="F381" s="173"/>
      <c r="G381" s="172"/>
      <c r="H381" s="172"/>
      <c r="I381" s="172"/>
      <c r="J381" s="172"/>
      <c r="K381" s="172"/>
    </row>
    <row r="382">
      <c r="C382" s="139"/>
      <c r="D382" s="139"/>
      <c r="E382" s="18"/>
      <c r="F382" s="173"/>
      <c r="G382" s="172"/>
      <c r="H382" s="172"/>
      <c r="I382" s="172"/>
      <c r="J382" s="172"/>
      <c r="K382" s="172"/>
    </row>
    <row r="383">
      <c r="C383" s="139"/>
      <c r="D383" s="139"/>
      <c r="E383" s="18"/>
      <c r="F383" s="173"/>
      <c r="G383" s="172"/>
      <c r="H383" s="172"/>
      <c r="I383" s="172"/>
      <c r="J383" s="172"/>
      <c r="K383" s="172"/>
    </row>
    <row r="384">
      <c r="C384" s="139"/>
      <c r="D384" s="139"/>
      <c r="E384" s="18"/>
      <c r="F384" s="173"/>
      <c r="G384" s="172"/>
      <c r="H384" s="172"/>
      <c r="I384" s="172"/>
      <c r="J384" s="172"/>
      <c r="K384" s="172"/>
    </row>
    <row r="385">
      <c r="C385" s="139"/>
      <c r="D385" s="139"/>
      <c r="E385" s="18"/>
      <c r="F385" s="173"/>
      <c r="G385" s="172"/>
      <c r="H385" s="172"/>
      <c r="I385" s="172"/>
      <c r="J385" s="172"/>
      <c r="K385" s="172"/>
    </row>
    <row r="386">
      <c r="C386" s="139"/>
      <c r="D386" s="139"/>
      <c r="E386" s="18"/>
      <c r="F386" s="173"/>
      <c r="G386" s="172"/>
      <c r="H386" s="172"/>
      <c r="I386" s="172"/>
      <c r="J386" s="172"/>
      <c r="K386" s="172"/>
    </row>
    <row r="387">
      <c r="C387" s="139"/>
      <c r="D387" s="139"/>
      <c r="E387" s="18"/>
      <c r="F387" s="173"/>
      <c r="G387" s="172"/>
      <c r="H387" s="172"/>
      <c r="I387" s="172"/>
      <c r="J387" s="172"/>
      <c r="K387" s="172"/>
    </row>
    <row r="388">
      <c r="C388" s="139"/>
      <c r="D388" s="139"/>
      <c r="E388" s="18"/>
      <c r="F388" s="173"/>
      <c r="G388" s="172"/>
      <c r="H388" s="172"/>
      <c r="I388" s="172"/>
      <c r="J388" s="172"/>
      <c r="K388" s="172"/>
    </row>
    <row r="389">
      <c r="C389" s="139"/>
      <c r="D389" s="139"/>
      <c r="E389" s="18"/>
      <c r="F389" s="173"/>
      <c r="G389" s="172"/>
      <c r="H389" s="172"/>
      <c r="I389" s="172"/>
      <c r="J389" s="172"/>
      <c r="K389" s="172"/>
    </row>
    <row r="390">
      <c r="C390" s="139"/>
      <c r="D390" s="139"/>
      <c r="E390" s="18"/>
      <c r="F390" s="173"/>
      <c r="G390" s="172"/>
      <c r="H390" s="172"/>
      <c r="I390" s="172"/>
      <c r="J390" s="172"/>
      <c r="K390" s="172"/>
    </row>
    <row r="391">
      <c r="C391" s="139"/>
      <c r="D391" s="139"/>
      <c r="E391" s="18"/>
      <c r="F391" s="173"/>
      <c r="G391" s="172"/>
      <c r="H391" s="172"/>
      <c r="I391" s="172"/>
      <c r="J391" s="172"/>
      <c r="K391" s="172"/>
    </row>
    <row r="392">
      <c r="C392" s="139"/>
      <c r="D392" s="139"/>
      <c r="E392" s="18"/>
      <c r="F392" s="173"/>
      <c r="G392" s="172"/>
      <c r="H392" s="172"/>
      <c r="I392" s="172"/>
      <c r="J392" s="172"/>
      <c r="K392" s="172"/>
    </row>
    <row r="393">
      <c r="C393" s="139"/>
      <c r="D393" s="139"/>
      <c r="E393" s="18"/>
      <c r="F393" s="173"/>
      <c r="G393" s="172"/>
      <c r="H393" s="172"/>
      <c r="I393" s="172"/>
      <c r="J393" s="172"/>
      <c r="K393" s="172"/>
    </row>
    <row r="394">
      <c r="C394" s="139"/>
      <c r="D394" s="139"/>
      <c r="E394" s="18"/>
      <c r="F394" s="173"/>
      <c r="G394" s="172"/>
      <c r="H394" s="172"/>
      <c r="I394" s="172"/>
      <c r="J394" s="172"/>
      <c r="K394" s="172"/>
    </row>
    <row r="395">
      <c r="C395" s="139"/>
      <c r="D395" s="139"/>
      <c r="E395" s="18"/>
      <c r="F395" s="173"/>
      <c r="G395" s="172"/>
      <c r="H395" s="172"/>
      <c r="I395" s="172"/>
      <c r="J395" s="172"/>
      <c r="K395" s="172"/>
    </row>
    <row r="396">
      <c r="C396" s="139"/>
      <c r="D396" s="139"/>
      <c r="E396" s="18"/>
      <c r="F396" s="173"/>
      <c r="G396" s="172"/>
      <c r="H396" s="172"/>
      <c r="I396" s="172"/>
      <c r="J396" s="172"/>
      <c r="K396" s="172"/>
    </row>
    <row r="397">
      <c r="C397" s="139"/>
      <c r="D397" s="139"/>
      <c r="E397" s="18"/>
      <c r="F397" s="173"/>
      <c r="G397" s="172"/>
      <c r="H397" s="172"/>
      <c r="I397" s="172"/>
      <c r="J397" s="172"/>
      <c r="K397" s="172"/>
    </row>
    <row r="398">
      <c r="C398" s="139"/>
      <c r="D398" s="139"/>
      <c r="E398" s="18"/>
      <c r="F398" s="173"/>
      <c r="G398" s="172"/>
      <c r="H398" s="172"/>
      <c r="I398" s="172"/>
      <c r="J398" s="172"/>
      <c r="K398" s="172"/>
    </row>
    <row r="399">
      <c r="C399" s="139"/>
      <c r="D399" s="139"/>
      <c r="E399" s="18"/>
      <c r="F399" s="173"/>
      <c r="G399" s="172"/>
      <c r="H399" s="172"/>
      <c r="I399" s="172"/>
      <c r="J399" s="172"/>
      <c r="K399" s="172"/>
    </row>
    <row r="400">
      <c r="C400" s="139"/>
      <c r="D400" s="139"/>
      <c r="E400" s="18"/>
      <c r="F400" s="173"/>
      <c r="G400" s="172"/>
      <c r="H400" s="172"/>
      <c r="I400" s="172"/>
      <c r="J400" s="172"/>
      <c r="K400" s="172"/>
    </row>
    <row r="401">
      <c r="C401" s="139"/>
      <c r="D401" s="139"/>
      <c r="E401" s="18"/>
      <c r="F401" s="173"/>
      <c r="G401" s="172"/>
      <c r="H401" s="172"/>
      <c r="I401" s="172"/>
      <c r="J401" s="172"/>
      <c r="K401" s="172"/>
    </row>
    <row r="402">
      <c r="C402" s="139"/>
      <c r="D402" s="139"/>
      <c r="E402" s="18"/>
      <c r="F402" s="173"/>
      <c r="G402" s="172"/>
      <c r="H402" s="172"/>
      <c r="I402" s="172"/>
      <c r="J402" s="172"/>
      <c r="K402" s="172"/>
    </row>
    <row r="403">
      <c r="C403" s="139"/>
      <c r="D403" s="139"/>
      <c r="E403" s="18"/>
      <c r="F403" s="173"/>
      <c r="G403" s="172"/>
      <c r="H403" s="172"/>
      <c r="I403" s="172"/>
      <c r="J403" s="172"/>
      <c r="K403" s="172"/>
    </row>
    <row r="404">
      <c r="C404" s="139"/>
      <c r="D404" s="139"/>
      <c r="E404" s="18"/>
      <c r="F404" s="173"/>
      <c r="G404" s="172"/>
      <c r="H404" s="172"/>
      <c r="I404" s="172"/>
      <c r="J404" s="172"/>
      <c r="K404" s="172"/>
    </row>
    <row r="405">
      <c r="C405" s="139"/>
      <c r="D405" s="139"/>
      <c r="E405" s="18"/>
      <c r="F405" s="173"/>
      <c r="G405" s="172"/>
      <c r="H405" s="172"/>
      <c r="I405" s="172"/>
      <c r="J405" s="172"/>
      <c r="K405" s="172"/>
    </row>
    <row r="406">
      <c r="C406" s="139"/>
      <c r="D406" s="139"/>
      <c r="E406" s="18"/>
      <c r="F406" s="173"/>
      <c r="G406" s="172"/>
      <c r="H406" s="172"/>
      <c r="I406" s="172"/>
      <c r="J406" s="172"/>
      <c r="K406" s="172"/>
    </row>
    <row r="407">
      <c r="C407" s="139"/>
      <c r="D407" s="139"/>
      <c r="E407" s="18"/>
      <c r="F407" s="173"/>
      <c r="G407" s="172"/>
      <c r="H407" s="172"/>
      <c r="I407" s="172"/>
      <c r="J407" s="172"/>
      <c r="K407" s="172"/>
    </row>
    <row r="408">
      <c r="C408" s="139"/>
      <c r="D408" s="139"/>
      <c r="E408" s="18"/>
      <c r="F408" s="173"/>
      <c r="G408" s="172"/>
      <c r="H408" s="172"/>
      <c r="I408" s="172"/>
      <c r="J408" s="172"/>
      <c r="K408" s="172"/>
    </row>
    <row r="409">
      <c r="C409" s="139"/>
      <c r="D409" s="139"/>
      <c r="E409" s="18"/>
      <c r="F409" s="173"/>
      <c r="G409" s="172"/>
      <c r="H409" s="172"/>
      <c r="I409" s="172"/>
      <c r="J409" s="172"/>
      <c r="K409" s="172"/>
    </row>
    <row r="410">
      <c r="C410" s="139"/>
      <c r="D410" s="139"/>
      <c r="E410" s="18"/>
      <c r="F410" s="173"/>
      <c r="G410" s="172"/>
      <c r="H410" s="172"/>
      <c r="I410" s="172"/>
      <c r="J410" s="172"/>
      <c r="K410" s="172"/>
    </row>
    <row r="411">
      <c r="C411" s="139"/>
      <c r="D411" s="139"/>
      <c r="E411" s="18"/>
      <c r="F411" s="173"/>
      <c r="G411" s="172"/>
      <c r="H411" s="172"/>
      <c r="I411" s="172"/>
      <c r="J411" s="172"/>
      <c r="K411" s="172"/>
    </row>
    <row r="412">
      <c r="C412" s="139"/>
      <c r="D412" s="139"/>
      <c r="E412" s="18"/>
      <c r="F412" s="173"/>
      <c r="G412" s="172"/>
      <c r="H412" s="172"/>
      <c r="I412" s="172"/>
      <c r="J412" s="172"/>
      <c r="K412" s="172"/>
    </row>
    <row r="413">
      <c r="C413" s="139"/>
      <c r="D413" s="139"/>
      <c r="E413" s="18"/>
      <c r="F413" s="173"/>
      <c r="G413" s="172"/>
      <c r="H413" s="172"/>
      <c r="I413" s="172"/>
      <c r="J413" s="172"/>
      <c r="K413" s="172"/>
    </row>
    <row r="414">
      <c r="C414" s="139"/>
      <c r="D414" s="139"/>
      <c r="E414" s="18"/>
      <c r="F414" s="173"/>
      <c r="G414" s="172"/>
      <c r="H414" s="172"/>
      <c r="I414" s="172"/>
      <c r="J414" s="172"/>
      <c r="K414" s="172"/>
    </row>
    <row r="415">
      <c r="C415" s="139"/>
      <c r="D415" s="139"/>
      <c r="E415" s="18"/>
      <c r="F415" s="173"/>
      <c r="G415" s="172"/>
      <c r="H415" s="172"/>
      <c r="I415" s="172"/>
      <c r="J415" s="172"/>
      <c r="K415" s="172"/>
    </row>
    <row r="416">
      <c r="C416" s="139"/>
      <c r="D416" s="139"/>
      <c r="E416" s="18"/>
      <c r="F416" s="173"/>
      <c r="G416" s="172"/>
      <c r="H416" s="172"/>
      <c r="I416" s="172"/>
      <c r="J416" s="172"/>
      <c r="K416" s="172"/>
    </row>
    <row r="417">
      <c r="C417" s="139"/>
      <c r="D417" s="139"/>
      <c r="E417" s="18"/>
      <c r="F417" s="173"/>
      <c r="G417" s="172"/>
      <c r="H417" s="172"/>
      <c r="I417" s="172"/>
      <c r="J417" s="172"/>
      <c r="K417" s="172"/>
    </row>
    <row r="418">
      <c r="C418" s="139"/>
      <c r="D418" s="139"/>
      <c r="E418" s="18"/>
      <c r="F418" s="173"/>
      <c r="G418" s="172"/>
      <c r="H418" s="172"/>
      <c r="I418" s="172"/>
      <c r="J418" s="172"/>
      <c r="K418" s="172"/>
    </row>
    <row r="419">
      <c r="C419" s="139"/>
      <c r="D419" s="139"/>
      <c r="E419" s="18"/>
      <c r="F419" s="173"/>
      <c r="G419" s="172"/>
      <c r="H419" s="172"/>
      <c r="I419" s="172"/>
      <c r="J419" s="172"/>
      <c r="K419" s="172"/>
    </row>
    <row r="420">
      <c r="C420" s="139"/>
      <c r="D420" s="139"/>
      <c r="E420" s="18"/>
      <c r="F420" s="173"/>
      <c r="G420" s="172"/>
      <c r="H420" s="172"/>
      <c r="I420" s="172"/>
      <c r="J420" s="172"/>
      <c r="K420" s="172"/>
    </row>
    <row r="421">
      <c r="C421" s="139"/>
      <c r="D421" s="139"/>
      <c r="E421" s="18"/>
      <c r="F421" s="173"/>
      <c r="G421" s="172"/>
      <c r="H421" s="172"/>
      <c r="I421" s="172"/>
      <c r="J421" s="172"/>
      <c r="K421" s="172"/>
    </row>
    <row r="422">
      <c r="C422" s="139"/>
      <c r="D422" s="139"/>
      <c r="E422" s="18"/>
      <c r="F422" s="173"/>
      <c r="G422" s="172"/>
      <c r="H422" s="172"/>
      <c r="I422" s="172"/>
      <c r="J422" s="172"/>
      <c r="K422" s="172"/>
    </row>
    <row r="423">
      <c r="C423" s="139"/>
      <c r="D423" s="139"/>
      <c r="E423" s="18"/>
      <c r="F423" s="173"/>
      <c r="G423" s="172"/>
      <c r="H423" s="172"/>
      <c r="I423" s="172"/>
      <c r="J423" s="172"/>
      <c r="K423" s="172"/>
    </row>
    <row r="424">
      <c r="C424" s="139"/>
      <c r="D424" s="139"/>
      <c r="E424" s="18"/>
      <c r="F424" s="173"/>
      <c r="G424" s="172"/>
      <c r="H424" s="172"/>
      <c r="I424" s="172"/>
      <c r="J424" s="172"/>
      <c r="K424" s="172"/>
    </row>
    <row r="425">
      <c r="C425" s="139"/>
      <c r="D425" s="139"/>
      <c r="E425" s="18"/>
      <c r="F425" s="173"/>
      <c r="G425" s="172"/>
      <c r="H425" s="172"/>
      <c r="I425" s="172"/>
      <c r="J425" s="172"/>
      <c r="K425" s="172"/>
    </row>
    <row r="426">
      <c r="C426" s="139"/>
      <c r="D426" s="139"/>
      <c r="E426" s="18"/>
      <c r="F426" s="173"/>
      <c r="G426" s="172"/>
      <c r="H426" s="172"/>
      <c r="I426" s="172"/>
      <c r="J426" s="172"/>
      <c r="K426" s="172"/>
    </row>
    <row r="427">
      <c r="C427" s="139"/>
      <c r="D427" s="139"/>
      <c r="E427" s="18"/>
      <c r="F427" s="173"/>
      <c r="G427" s="172"/>
      <c r="H427" s="172"/>
      <c r="I427" s="172"/>
      <c r="J427" s="172"/>
      <c r="K427" s="172"/>
    </row>
    <row r="428">
      <c r="C428" s="139"/>
      <c r="D428" s="139"/>
      <c r="E428" s="18"/>
      <c r="F428" s="173"/>
      <c r="G428" s="172"/>
      <c r="H428" s="172"/>
      <c r="I428" s="172"/>
      <c r="J428" s="172"/>
      <c r="K428" s="172"/>
    </row>
    <row r="429">
      <c r="C429" s="139"/>
      <c r="D429" s="139"/>
      <c r="E429" s="18"/>
      <c r="F429" s="173"/>
      <c r="G429" s="172"/>
      <c r="H429" s="172"/>
      <c r="I429" s="172"/>
      <c r="J429" s="172"/>
      <c r="K429" s="172"/>
    </row>
    <row r="430">
      <c r="C430" s="139"/>
      <c r="D430" s="139"/>
      <c r="E430" s="18"/>
      <c r="F430" s="173"/>
      <c r="G430" s="172"/>
      <c r="H430" s="172"/>
      <c r="I430" s="172"/>
      <c r="J430" s="172"/>
      <c r="K430" s="172"/>
    </row>
    <row r="431">
      <c r="C431" s="139"/>
      <c r="D431" s="139"/>
      <c r="E431" s="18"/>
      <c r="F431" s="173"/>
      <c r="G431" s="172"/>
      <c r="H431" s="172"/>
      <c r="I431" s="172"/>
      <c r="J431" s="172"/>
      <c r="K431" s="172"/>
    </row>
    <row r="432">
      <c r="C432" s="139"/>
      <c r="D432" s="139"/>
      <c r="E432" s="18"/>
      <c r="F432" s="173"/>
      <c r="G432" s="172"/>
      <c r="H432" s="172"/>
      <c r="I432" s="172"/>
      <c r="J432" s="172"/>
      <c r="K432" s="172"/>
    </row>
    <row r="433">
      <c r="C433" s="139"/>
      <c r="D433" s="139"/>
      <c r="E433" s="18"/>
      <c r="F433" s="173"/>
      <c r="G433" s="172"/>
      <c r="H433" s="172"/>
      <c r="I433" s="172"/>
      <c r="J433" s="172"/>
      <c r="K433" s="172"/>
    </row>
    <row r="434">
      <c r="C434" s="139"/>
      <c r="D434" s="139"/>
      <c r="E434" s="18"/>
      <c r="F434" s="173"/>
      <c r="G434" s="172"/>
      <c r="H434" s="172"/>
      <c r="I434" s="172"/>
      <c r="J434" s="172"/>
      <c r="K434" s="172"/>
    </row>
    <row r="435">
      <c r="C435" s="139"/>
      <c r="D435" s="139"/>
      <c r="E435" s="18"/>
      <c r="F435" s="173"/>
      <c r="G435" s="172"/>
      <c r="H435" s="172"/>
      <c r="I435" s="172"/>
      <c r="J435" s="172"/>
      <c r="K435" s="172"/>
    </row>
    <row r="436">
      <c r="C436" s="139"/>
      <c r="D436" s="139"/>
      <c r="E436" s="18"/>
      <c r="F436" s="173"/>
      <c r="G436" s="172"/>
      <c r="H436" s="172"/>
      <c r="I436" s="172"/>
      <c r="J436" s="172"/>
      <c r="K436" s="172"/>
    </row>
    <row r="437">
      <c r="C437" s="139"/>
      <c r="D437" s="139"/>
      <c r="E437" s="18"/>
      <c r="F437" s="173"/>
      <c r="G437" s="172"/>
      <c r="H437" s="172"/>
      <c r="I437" s="172"/>
      <c r="J437" s="172"/>
      <c r="K437" s="172"/>
    </row>
    <row r="438">
      <c r="C438" s="139"/>
      <c r="D438" s="139"/>
      <c r="E438" s="18"/>
      <c r="F438" s="173"/>
      <c r="G438" s="172"/>
      <c r="H438" s="172"/>
      <c r="I438" s="172"/>
      <c r="J438" s="172"/>
      <c r="K438" s="172"/>
    </row>
    <row r="439">
      <c r="C439" s="139"/>
      <c r="D439" s="139"/>
      <c r="E439" s="18"/>
      <c r="F439" s="173"/>
      <c r="G439" s="172"/>
      <c r="H439" s="172"/>
      <c r="I439" s="172"/>
      <c r="J439" s="172"/>
      <c r="K439" s="172"/>
    </row>
    <row r="440">
      <c r="C440" s="139"/>
      <c r="D440" s="139"/>
      <c r="E440" s="18"/>
      <c r="F440" s="173"/>
      <c r="G440" s="172"/>
      <c r="H440" s="172"/>
      <c r="I440" s="172"/>
      <c r="J440" s="172"/>
      <c r="K440" s="172"/>
    </row>
    <row r="441">
      <c r="C441" s="139"/>
      <c r="D441" s="139"/>
      <c r="E441" s="18"/>
      <c r="F441" s="173"/>
      <c r="G441" s="172"/>
      <c r="H441" s="172"/>
      <c r="I441" s="172"/>
      <c r="J441" s="172"/>
      <c r="K441" s="172"/>
    </row>
    <row r="442">
      <c r="C442" s="139"/>
      <c r="D442" s="139"/>
      <c r="E442" s="18"/>
      <c r="F442" s="173"/>
      <c r="G442" s="172"/>
      <c r="H442" s="172"/>
      <c r="I442" s="172"/>
      <c r="J442" s="172"/>
      <c r="K442" s="172"/>
    </row>
    <row r="443">
      <c r="C443" s="139"/>
      <c r="D443" s="139"/>
      <c r="E443" s="18"/>
      <c r="F443" s="173"/>
      <c r="G443" s="172"/>
      <c r="H443" s="172"/>
      <c r="I443" s="172"/>
      <c r="J443" s="172"/>
      <c r="K443" s="172"/>
    </row>
    <row r="444">
      <c r="C444" s="139"/>
      <c r="D444" s="139"/>
      <c r="E444" s="18"/>
      <c r="F444" s="173"/>
      <c r="G444" s="172"/>
      <c r="H444" s="172"/>
      <c r="I444" s="172"/>
      <c r="J444" s="172"/>
      <c r="K444" s="172"/>
    </row>
    <row r="445">
      <c r="C445" s="139"/>
      <c r="D445" s="139"/>
      <c r="E445" s="18"/>
      <c r="F445" s="173"/>
      <c r="G445" s="172"/>
      <c r="H445" s="172"/>
      <c r="I445" s="172"/>
      <c r="J445" s="172"/>
      <c r="K445" s="172"/>
    </row>
    <row r="446">
      <c r="C446" s="139"/>
      <c r="D446" s="139"/>
      <c r="E446" s="18"/>
      <c r="F446" s="173"/>
      <c r="G446" s="172"/>
      <c r="H446" s="172"/>
      <c r="I446" s="172"/>
      <c r="J446" s="172"/>
      <c r="K446" s="172"/>
    </row>
    <row r="447">
      <c r="C447" s="139"/>
      <c r="D447" s="139"/>
      <c r="E447" s="18"/>
      <c r="F447" s="173"/>
      <c r="G447" s="172"/>
      <c r="H447" s="172"/>
      <c r="I447" s="172"/>
      <c r="J447" s="172"/>
      <c r="K447" s="172"/>
    </row>
    <row r="448">
      <c r="C448" s="139"/>
      <c r="D448" s="139"/>
      <c r="E448" s="18"/>
      <c r="F448" s="173"/>
      <c r="G448" s="172"/>
      <c r="H448" s="172"/>
      <c r="I448" s="172"/>
      <c r="J448" s="172"/>
      <c r="K448" s="172"/>
    </row>
    <row r="449">
      <c r="C449" s="139"/>
      <c r="D449" s="139"/>
      <c r="E449" s="18"/>
      <c r="F449" s="173"/>
      <c r="G449" s="172"/>
      <c r="H449" s="172"/>
      <c r="I449" s="172"/>
      <c r="J449" s="172"/>
      <c r="K449" s="172"/>
    </row>
    <row r="450">
      <c r="C450" s="139"/>
      <c r="D450" s="139"/>
      <c r="E450" s="18"/>
      <c r="F450" s="173"/>
      <c r="G450" s="172"/>
      <c r="H450" s="172"/>
      <c r="I450" s="172"/>
      <c r="J450" s="172"/>
      <c r="K450" s="172"/>
    </row>
    <row r="451">
      <c r="C451" s="139"/>
      <c r="D451" s="139"/>
      <c r="E451" s="18"/>
      <c r="F451" s="173"/>
      <c r="G451" s="172"/>
      <c r="H451" s="172"/>
      <c r="I451" s="172"/>
      <c r="J451" s="172"/>
      <c r="K451" s="172"/>
    </row>
    <row r="452">
      <c r="C452" s="139"/>
      <c r="D452" s="139"/>
      <c r="E452" s="18"/>
      <c r="F452" s="173"/>
      <c r="G452" s="172"/>
      <c r="H452" s="172"/>
      <c r="I452" s="172"/>
      <c r="J452" s="172"/>
      <c r="K452" s="172"/>
    </row>
    <row r="453">
      <c r="C453" s="139"/>
      <c r="D453" s="139"/>
      <c r="E453" s="18"/>
      <c r="F453" s="173"/>
      <c r="G453" s="172"/>
      <c r="H453" s="172"/>
      <c r="I453" s="172"/>
      <c r="J453" s="172"/>
      <c r="K453" s="172"/>
    </row>
    <row r="454">
      <c r="C454" s="139"/>
      <c r="D454" s="139"/>
      <c r="E454" s="18"/>
      <c r="F454" s="173"/>
      <c r="G454" s="172"/>
      <c r="H454" s="172"/>
      <c r="I454" s="172"/>
      <c r="J454" s="172"/>
      <c r="K454" s="172"/>
    </row>
    <row r="455">
      <c r="C455" s="139"/>
      <c r="D455" s="139"/>
      <c r="E455" s="18"/>
      <c r="F455" s="173"/>
      <c r="G455" s="172"/>
      <c r="H455" s="172"/>
      <c r="I455" s="172"/>
      <c r="J455" s="172"/>
      <c r="K455" s="172"/>
    </row>
    <row r="456">
      <c r="C456" s="139"/>
      <c r="D456" s="139"/>
      <c r="E456" s="18"/>
      <c r="F456" s="173"/>
      <c r="G456" s="172"/>
      <c r="H456" s="172"/>
      <c r="I456" s="172"/>
      <c r="J456" s="172"/>
      <c r="K456" s="172"/>
    </row>
    <row r="457">
      <c r="C457" s="139"/>
      <c r="D457" s="139"/>
      <c r="E457" s="18"/>
      <c r="F457" s="173"/>
      <c r="G457" s="172"/>
      <c r="H457" s="172"/>
      <c r="I457" s="172"/>
      <c r="J457" s="172"/>
      <c r="K457" s="172"/>
    </row>
    <row r="458">
      <c r="C458" s="139"/>
      <c r="D458" s="139"/>
      <c r="E458" s="18"/>
      <c r="F458" s="173"/>
      <c r="G458" s="172"/>
      <c r="H458" s="172"/>
      <c r="I458" s="172"/>
      <c r="J458" s="172"/>
      <c r="K458" s="172"/>
    </row>
    <row r="459">
      <c r="C459" s="139"/>
      <c r="D459" s="139"/>
      <c r="E459" s="18"/>
      <c r="F459" s="173"/>
      <c r="G459" s="172"/>
      <c r="H459" s="172"/>
      <c r="I459" s="172"/>
      <c r="J459" s="172"/>
      <c r="K459" s="172"/>
    </row>
    <row r="460">
      <c r="C460" s="139"/>
      <c r="D460" s="139"/>
      <c r="E460" s="18"/>
      <c r="F460" s="173"/>
      <c r="G460" s="172"/>
      <c r="H460" s="172"/>
      <c r="I460" s="172"/>
      <c r="J460" s="172"/>
      <c r="K460" s="172"/>
    </row>
    <row r="461">
      <c r="C461" s="139"/>
      <c r="D461" s="139"/>
      <c r="E461" s="18"/>
      <c r="F461" s="173"/>
      <c r="G461" s="172"/>
      <c r="H461" s="172"/>
      <c r="I461" s="172"/>
      <c r="J461" s="172"/>
      <c r="K461" s="172"/>
    </row>
    <row r="462">
      <c r="C462" s="139"/>
      <c r="D462" s="139"/>
      <c r="E462" s="18"/>
      <c r="F462" s="173"/>
      <c r="G462" s="172"/>
      <c r="H462" s="172"/>
      <c r="I462" s="172"/>
      <c r="J462" s="172"/>
      <c r="K462" s="172"/>
    </row>
    <row r="463">
      <c r="C463" s="139"/>
      <c r="D463" s="139"/>
      <c r="E463" s="18"/>
      <c r="F463" s="173"/>
      <c r="G463" s="172"/>
      <c r="H463" s="172"/>
      <c r="I463" s="172"/>
      <c r="J463" s="172"/>
      <c r="K463" s="172"/>
    </row>
    <row r="464">
      <c r="C464" s="139"/>
      <c r="D464" s="139"/>
      <c r="E464" s="18"/>
      <c r="F464" s="173"/>
      <c r="G464" s="172"/>
      <c r="H464" s="172"/>
      <c r="I464" s="172"/>
      <c r="J464" s="172"/>
      <c r="K464" s="172"/>
    </row>
    <row r="465">
      <c r="C465" s="139"/>
      <c r="D465" s="139"/>
      <c r="E465" s="18"/>
      <c r="F465" s="173"/>
      <c r="G465" s="172"/>
      <c r="H465" s="172"/>
      <c r="I465" s="172"/>
      <c r="J465" s="172"/>
      <c r="K465" s="172"/>
    </row>
    <row r="466">
      <c r="C466" s="139"/>
      <c r="D466" s="139"/>
      <c r="E466" s="18"/>
      <c r="F466" s="173"/>
      <c r="G466" s="172"/>
      <c r="H466" s="172"/>
      <c r="I466" s="172"/>
      <c r="J466" s="172"/>
      <c r="K466" s="172"/>
    </row>
    <row r="467">
      <c r="C467" s="139"/>
      <c r="D467" s="139"/>
      <c r="E467" s="18"/>
      <c r="F467" s="173"/>
      <c r="G467" s="172"/>
      <c r="H467" s="172"/>
      <c r="I467" s="172"/>
      <c r="J467" s="172"/>
      <c r="K467" s="172"/>
    </row>
    <row r="468">
      <c r="C468" s="139"/>
      <c r="D468" s="139"/>
      <c r="E468" s="18"/>
      <c r="F468" s="173"/>
      <c r="G468" s="172"/>
      <c r="H468" s="172"/>
      <c r="I468" s="172"/>
      <c r="J468" s="172"/>
      <c r="K468" s="172"/>
    </row>
    <row r="469">
      <c r="C469" s="139"/>
      <c r="D469" s="139"/>
      <c r="E469" s="18"/>
      <c r="F469" s="173"/>
      <c r="G469" s="172"/>
      <c r="H469" s="172"/>
      <c r="I469" s="172"/>
      <c r="J469" s="172"/>
      <c r="K469" s="172"/>
    </row>
    <row r="470">
      <c r="C470" s="139"/>
      <c r="D470" s="139"/>
      <c r="E470" s="18"/>
      <c r="F470" s="173"/>
      <c r="G470" s="172"/>
      <c r="H470" s="172"/>
      <c r="I470" s="172"/>
      <c r="J470" s="172"/>
      <c r="K470" s="172"/>
    </row>
    <row r="471">
      <c r="C471" s="139"/>
      <c r="D471" s="139"/>
      <c r="E471" s="18"/>
      <c r="F471" s="173"/>
      <c r="G471" s="172"/>
      <c r="H471" s="172"/>
      <c r="I471" s="172"/>
      <c r="J471" s="172"/>
      <c r="K471" s="172"/>
    </row>
    <row r="472">
      <c r="C472" s="139"/>
      <c r="D472" s="139"/>
      <c r="E472" s="18"/>
      <c r="F472" s="173"/>
      <c r="G472" s="172"/>
      <c r="H472" s="172"/>
      <c r="I472" s="172"/>
      <c r="J472" s="172"/>
      <c r="K472" s="172"/>
    </row>
    <row r="473">
      <c r="C473" s="139"/>
      <c r="D473" s="139"/>
      <c r="E473" s="18"/>
      <c r="F473" s="173"/>
      <c r="G473" s="172"/>
      <c r="H473" s="172"/>
      <c r="I473" s="172"/>
      <c r="J473" s="172"/>
      <c r="K473" s="172"/>
    </row>
    <row r="474">
      <c r="C474" s="139"/>
      <c r="D474" s="139"/>
      <c r="E474" s="18"/>
      <c r="F474" s="173"/>
      <c r="G474" s="172"/>
      <c r="H474" s="172"/>
      <c r="I474" s="172"/>
      <c r="J474" s="172"/>
      <c r="K474" s="172"/>
    </row>
    <row r="475">
      <c r="C475" s="139"/>
      <c r="D475" s="139"/>
      <c r="E475" s="18"/>
      <c r="F475" s="173"/>
      <c r="G475" s="172"/>
      <c r="H475" s="172"/>
      <c r="I475" s="172"/>
      <c r="J475" s="172"/>
      <c r="K475" s="172"/>
    </row>
    <row r="476">
      <c r="C476" s="139"/>
      <c r="D476" s="139"/>
      <c r="E476" s="18"/>
      <c r="F476" s="173"/>
      <c r="G476" s="172"/>
      <c r="H476" s="172"/>
      <c r="I476" s="172"/>
      <c r="J476" s="172"/>
      <c r="K476" s="172"/>
    </row>
    <row r="477">
      <c r="C477" s="139"/>
      <c r="D477" s="139"/>
      <c r="E477" s="18"/>
      <c r="F477" s="173"/>
      <c r="G477" s="172"/>
      <c r="H477" s="172"/>
      <c r="I477" s="172"/>
      <c r="J477" s="172"/>
      <c r="K477" s="172"/>
    </row>
    <row r="478">
      <c r="C478" s="139"/>
      <c r="D478" s="139"/>
      <c r="E478" s="18"/>
      <c r="F478" s="173"/>
      <c r="G478" s="172"/>
      <c r="H478" s="172"/>
      <c r="I478" s="172"/>
      <c r="J478" s="172"/>
      <c r="K478" s="172"/>
    </row>
    <row r="479">
      <c r="C479" s="139"/>
      <c r="D479" s="139"/>
      <c r="E479" s="18"/>
      <c r="F479" s="173"/>
      <c r="G479" s="172"/>
      <c r="H479" s="172"/>
      <c r="I479" s="172"/>
      <c r="J479" s="172"/>
      <c r="K479" s="172"/>
    </row>
    <row r="480">
      <c r="C480" s="139"/>
      <c r="D480" s="139"/>
      <c r="E480" s="18"/>
      <c r="F480" s="173"/>
      <c r="G480" s="172"/>
      <c r="H480" s="172"/>
      <c r="I480" s="172"/>
      <c r="J480" s="172"/>
      <c r="K480" s="172"/>
    </row>
    <row r="481">
      <c r="C481" s="139"/>
      <c r="D481" s="139"/>
      <c r="E481" s="18"/>
      <c r="F481" s="173"/>
      <c r="G481" s="172"/>
      <c r="H481" s="172"/>
      <c r="I481" s="172"/>
      <c r="J481" s="172"/>
      <c r="K481" s="172"/>
    </row>
    <row r="482">
      <c r="C482" s="139"/>
      <c r="D482" s="139"/>
      <c r="E482" s="18"/>
      <c r="F482" s="173"/>
      <c r="G482" s="172"/>
      <c r="H482" s="172"/>
      <c r="I482" s="172"/>
      <c r="J482" s="172"/>
      <c r="K482" s="172"/>
    </row>
    <row r="483">
      <c r="C483" s="139"/>
      <c r="D483" s="139"/>
      <c r="E483" s="18"/>
      <c r="F483" s="173"/>
      <c r="G483" s="172"/>
      <c r="H483" s="172"/>
      <c r="I483" s="172"/>
      <c r="J483" s="172"/>
      <c r="K483" s="172"/>
    </row>
    <row r="484">
      <c r="C484" s="139"/>
      <c r="D484" s="139"/>
      <c r="E484" s="18"/>
      <c r="F484" s="173"/>
      <c r="G484" s="172"/>
      <c r="H484" s="172"/>
      <c r="I484" s="172"/>
      <c r="J484" s="172"/>
      <c r="K484" s="172"/>
    </row>
    <row r="485">
      <c r="C485" s="139"/>
      <c r="D485" s="139"/>
      <c r="E485" s="18"/>
      <c r="F485" s="173"/>
      <c r="G485" s="172"/>
      <c r="H485" s="172"/>
      <c r="I485" s="172"/>
      <c r="J485" s="172"/>
      <c r="K485" s="172"/>
    </row>
    <row r="486">
      <c r="C486" s="139"/>
      <c r="D486" s="139"/>
      <c r="E486" s="18"/>
      <c r="F486" s="173"/>
      <c r="G486" s="172"/>
      <c r="H486" s="172"/>
      <c r="I486" s="172"/>
      <c r="J486" s="172"/>
      <c r="K486" s="172"/>
    </row>
    <row r="487">
      <c r="C487" s="139"/>
      <c r="D487" s="139"/>
      <c r="E487" s="18"/>
      <c r="F487" s="173"/>
      <c r="G487" s="172"/>
      <c r="H487" s="172"/>
      <c r="I487" s="172"/>
      <c r="J487" s="172"/>
      <c r="K487" s="172"/>
    </row>
    <row r="488">
      <c r="C488" s="139"/>
      <c r="D488" s="139"/>
      <c r="E488" s="18"/>
      <c r="F488" s="173"/>
      <c r="G488" s="172"/>
      <c r="H488" s="172"/>
      <c r="I488" s="172"/>
      <c r="J488" s="172"/>
      <c r="K488" s="172"/>
    </row>
    <row r="489">
      <c r="C489" s="139"/>
      <c r="D489" s="139"/>
      <c r="E489" s="18"/>
      <c r="F489" s="173"/>
      <c r="G489" s="172"/>
      <c r="H489" s="172"/>
      <c r="I489" s="172"/>
      <c r="J489" s="172"/>
      <c r="K489" s="172"/>
    </row>
    <row r="490">
      <c r="C490" s="139"/>
      <c r="D490" s="139"/>
      <c r="E490" s="18"/>
      <c r="F490" s="173"/>
      <c r="G490" s="172"/>
      <c r="H490" s="172"/>
      <c r="I490" s="172"/>
      <c r="J490" s="172"/>
      <c r="K490" s="172"/>
    </row>
    <row r="491">
      <c r="C491" s="139"/>
      <c r="D491" s="139"/>
      <c r="E491" s="18"/>
      <c r="F491" s="173"/>
      <c r="G491" s="172"/>
      <c r="H491" s="172"/>
      <c r="I491" s="172"/>
      <c r="J491" s="172"/>
      <c r="K491" s="172"/>
    </row>
    <row r="492">
      <c r="C492" s="139"/>
      <c r="D492" s="139"/>
      <c r="E492" s="18"/>
      <c r="F492" s="173"/>
      <c r="G492" s="172"/>
      <c r="H492" s="172"/>
      <c r="I492" s="172"/>
      <c r="J492" s="172"/>
      <c r="K492" s="172"/>
    </row>
    <row r="493">
      <c r="C493" s="139"/>
      <c r="D493" s="139"/>
      <c r="E493" s="18"/>
      <c r="F493" s="173"/>
      <c r="G493" s="172"/>
      <c r="H493" s="172"/>
      <c r="I493" s="172"/>
      <c r="J493" s="172"/>
      <c r="K493" s="172"/>
    </row>
    <row r="494">
      <c r="C494" s="139"/>
      <c r="D494" s="139"/>
      <c r="E494" s="18"/>
      <c r="F494" s="173"/>
      <c r="G494" s="172"/>
      <c r="H494" s="172"/>
      <c r="I494" s="172"/>
      <c r="J494" s="172"/>
      <c r="K494" s="172"/>
    </row>
    <row r="495">
      <c r="C495" s="139"/>
      <c r="D495" s="139"/>
      <c r="E495" s="18"/>
      <c r="F495" s="173"/>
      <c r="G495" s="172"/>
      <c r="H495" s="172"/>
      <c r="I495" s="172"/>
      <c r="J495" s="172"/>
      <c r="K495" s="172"/>
    </row>
    <row r="496">
      <c r="C496" s="139"/>
      <c r="D496" s="139"/>
      <c r="E496" s="18"/>
      <c r="F496" s="173"/>
      <c r="G496" s="172"/>
      <c r="H496" s="172"/>
      <c r="I496" s="172"/>
      <c r="J496" s="172"/>
      <c r="K496" s="172"/>
    </row>
    <row r="497">
      <c r="C497" s="139"/>
      <c r="D497" s="139"/>
      <c r="E497" s="18"/>
      <c r="F497" s="173"/>
      <c r="G497" s="172"/>
      <c r="H497" s="172"/>
      <c r="I497" s="172"/>
      <c r="J497" s="172"/>
      <c r="K497" s="172"/>
    </row>
    <row r="498">
      <c r="C498" s="139"/>
      <c r="D498" s="139"/>
      <c r="E498" s="18"/>
      <c r="F498" s="173"/>
      <c r="G498" s="172"/>
      <c r="H498" s="172"/>
      <c r="I498" s="172"/>
      <c r="J498" s="172"/>
      <c r="K498" s="172"/>
    </row>
    <row r="499">
      <c r="C499" s="139"/>
      <c r="D499" s="139"/>
      <c r="E499" s="18"/>
      <c r="F499" s="173"/>
      <c r="G499" s="172"/>
      <c r="H499" s="172"/>
      <c r="I499" s="172"/>
      <c r="J499" s="172"/>
      <c r="K499" s="172"/>
    </row>
    <row r="500">
      <c r="C500" s="139"/>
      <c r="D500" s="139"/>
      <c r="E500" s="18"/>
      <c r="F500" s="173"/>
      <c r="G500" s="172"/>
      <c r="H500" s="172"/>
      <c r="I500" s="172"/>
      <c r="J500" s="172"/>
      <c r="K500" s="172"/>
    </row>
    <row r="501">
      <c r="C501" s="139"/>
      <c r="D501" s="139"/>
      <c r="E501" s="18"/>
      <c r="F501" s="173"/>
      <c r="G501" s="172"/>
      <c r="H501" s="172"/>
      <c r="I501" s="172"/>
      <c r="J501" s="172"/>
      <c r="K501" s="172"/>
    </row>
    <row r="502">
      <c r="C502" s="139"/>
      <c r="D502" s="139"/>
      <c r="E502" s="18"/>
      <c r="F502" s="173"/>
      <c r="G502" s="172"/>
      <c r="H502" s="172"/>
      <c r="I502" s="172"/>
      <c r="J502" s="172"/>
      <c r="K502" s="172"/>
    </row>
    <row r="503">
      <c r="C503" s="139"/>
      <c r="D503" s="139"/>
      <c r="E503" s="18"/>
      <c r="F503" s="173"/>
      <c r="G503" s="172"/>
      <c r="H503" s="172"/>
      <c r="I503" s="172"/>
      <c r="J503" s="172"/>
      <c r="K503" s="172"/>
    </row>
    <row r="504">
      <c r="C504" s="139"/>
      <c r="D504" s="139"/>
      <c r="E504" s="18"/>
      <c r="F504" s="173"/>
      <c r="G504" s="172"/>
      <c r="H504" s="172"/>
      <c r="I504" s="172"/>
      <c r="J504" s="172"/>
      <c r="K504" s="172"/>
    </row>
    <row r="505">
      <c r="C505" s="139"/>
      <c r="D505" s="139"/>
      <c r="E505" s="18"/>
      <c r="F505" s="173"/>
      <c r="G505" s="172"/>
      <c r="H505" s="172"/>
      <c r="I505" s="172"/>
      <c r="J505" s="172"/>
      <c r="K505" s="172"/>
    </row>
    <row r="506">
      <c r="C506" s="139"/>
      <c r="D506" s="139"/>
      <c r="E506" s="18"/>
      <c r="F506" s="173"/>
      <c r="G506" s="172"/>
      <c r="H506" s="172"/>
      <c r="I506" s="172"/>
      <c r="J506" s="172"/>
      <c r="K506" s="172"/>
    </row>
    <row r="507">
      <c r="C507" s="139"/>
      <c r="D507" s="139"/>
      <c r="E507" s="18"/>
      <c r="F507" s="173"/>
      <c r="G507" s="172"/>
      <c r="H507" s="172"/>
      <c r="I507" s="172"/>
      <c r="J507" s="172"/>
      <c r="K507" s="172"/>
    </row>
    <row r="508">
      <c r="C508" s="139"/>
      <c r="D508" s="139"/>
      <c r="E508" s="18"/>
      <c r="F508" s="173"/>
      <c r="G508" s="172"/>
      <c r="H508" s="172"/>
      <c r="I508" s="172"/>
      <c r="J508" s="172"/>
      <c r="K508" s="172"/>
    </row>
    <row r="509">
      <c r="C509" s="139"/>
      <c r="D509" s="139"/>
      <c r="E509" s="18"/>
      <c r="F509" s="173"/>
      <c r="G509" s="172"/>
      <c r="H509" s="172"/>
      <c r="I509" s="172"/>
      <c r="J509" s="172"/>
      <c r="K509" s="172"/>
    </row>
    <row r="510">
      <c r="C510" s="139"/>
      <c r="D510" s="139"/>
      <c r="E510" s="18"/>
      <c r="F510" s="173"/>
      <c r="G510" s="172"/>
      <c r="H510" s="172"/>
      <c r="I510" s="172"/>
      <c r="J510" s="172"/>
      <c r="K510" s="172"/>
    </row>
    <row r="511">
      <c r="C511" s="139"/>
      <c r="D511" s="139"/>
      <c r="E511" s="18"/>
      <c r="F511" s="173"/>
      <c r="G511" s="172"/>
      <c r="H511" s="172"/>
      <c r="I511" s="172"/>
      <c r="J511" s="172"/>
      <c r="K511" s="172"/>
    </row>
    <row r="512">
      <c r="C512" s="139"/>
      <c r="D512" s="139"/>
      <c r="E512" s="18"/>
      <c r="F512" s="173"/>
      <c r="G512" s="172"/>
      <c r="H512" s="172"/>
      <c r="I512" s="172"/>
      <c r="J512" s="172"/>
      <c r="K512" s="172"/>
    </row>
    <row r="513">
      <c r="C513" s="139"/>
      <c r="D513" s="139"/>
      <c r="E513" s="18"/>
      <c r="F513" s="173"/>
      <c r="G513" s="172"/>
      <c r="H513" s="172"/>
      <c r="I513" s="172"/>
      <c r="J513" s="172"/>
      <c r="K513" s="172"/>
    </row>
    <row r="514">
      <c r="C514" s="139"/>
      <c r="D514" s="139"/>
      <c r="E514" s="18"/>
      <c r="F514" s="173"/>
      <c r="G514" s="172"/>
      <c r="H514" s="172"/>
      <c r="I514" s="172"/>
      <c r="J514" s="172"/>
      <c r="K514" s="172"/>
    </row>
    <row r="515">
      <c r="C515" s="139"/>
      <c r="D515" s="139"/>
      <c r="E515" s="18"/>
      <c r="F515" s="173"/>
      <c r="G515" s="172"/>
      <c r="H515" s="172"/>
      <c r="I515" s="172"/>
      <c r="J515" s="172"/>
      <c r="K515" s="172"/>
    </row>
    <row r="516">
      <c r="C516" s="139"/>
      <c r="D516" s="139"/>
      <c r="E516" s="18"/>
      <c r="F516" s="173"/>
      <c r="G516" s="172"/>
      <c r="H516" s="172"/>
      <c r="I516" s="172"/>
      <c r="J516" s="172"/>
      <c r="K516" s="172"/>
    </row>
    <row r="517">
      <c r="C517" s="139"/>
      <c r="D517" s="139"/>
      <c r="E517" s="18"/>
      <c r="F517" s="173"/>
      <c r="G517" s="172"/>
      <c r="H517" s="172"/>
      <c r="I517" s="172"/>
      <c r="J517" s="172"/>
      <c r="K517" s="172"/>
    </row>
    <row r="518">
      <c r="C518" s="139"/>
      <c r="D518" s="139"/>
      <c r="E518" s="18"/>
      <c r="F518" s="173"/>
      <c r="G518" s="172"/>
      <c r="H518" s="172"/>
      <c r="I518" s="172"/>
      <c r="J518" s="172"/>
      <c r="K518" s="172"/>
    </row>
    <row r="519">
      <c r="C519" s="139"/>
      <c r="D519" s="139"/>
      <c r="E519" s="18"/>
      <c r="F519" s="173"/>
      <c r="G519" s="172"/>
      <c r="H519" s="172"/>
      <c r="I519" s="172"/>
      <c r="J519" s="172"/>
      <c r="K519" s="172"/>
    </row>
    <row r="520">
      <c r="C520" s="139"/>
      <c r="D520" s="139"/>
      <c r="E520" s="18"/>
      <c r="F520" s="173"/>
      <c r="G520" s="172"/>
      <c r="H520" s="172"/>
      <c r="I520" s="172"/>
      <c r="J520" s="172"/>
      <c r="K520" s="172"/>
    </row>
    <row r="521">
      <c r="C521" s="139"/>
      <c r="D521" s="139"/>
      <c r="E521" s="18"/>
      <c r="F521" s="173"/>
      <c r="G521" s="172"/>
      <c r="H521" s="172"/>
      <c r="I521" s="172"/>
      <c r="J521" s="172"/>
      <c r="K521" s="172"/>
    </row>
    <row r="522">
      <c r="C522" s="139"/>
      <c r="D522" s="139"/>
      <c r="E522" s="18"/>
      <c r="F522" s="173"/>
      <c r="G522" s="172"/>
      <c r="H522" s="172"/>
      <c r="I522" s="172"/>
      <c r="J522" s="172"/>
      <c r="K522" s="172"/>
    </row>
    <row r="523">
      <c r="C523" s="139"/>
      <c r="D523" s="139"/>
      <c r="E523" s="18"/>
      <c r="F523" s="173"/>
      <c r="G523" s="172"/>
      <c r="H523" s="172"/>
      <c r="I523" s="172"/>
      <c r="J523" s="172"/>
      <c r="K523" s="172"/>
    </row>
    <row r="524">
      <c r="C524" s="139"/>
      <c r="D524" s="139"/>
      <c r="E524" s="18"/>
      <c r="F524" s="173"/>
      <c r="G524" s="172"/>
      <c r="H524" s="172"/>
      <c r="I524" s="172"/>
      <c r="J524" s="172"/>
      <c r="K524" s="172"/>
    </row>
    <row r="525">
      <c r="C525" s="139"/>
      <c r="D525" s="139"/>
      <c r="E525" s="18"/>
      <c r="F525" s="173"/>
      <c r="G525" s="172"/>
      <c r="H525" s="172"/>
      <c r="I525" s="172"/>
      <c r="J525" s="172"/>
      <c r="K525" s="172"/>
    </row>
    <row r="526">
      <c r="C526" s="139"/>
      <c r="D526" s="139"/>
      <c r="E526" s="18"/>
      <c r="F526" s="173"/>
      <c r="G526" s="172"/>
      <c r="H526" s="172"/>
      <c r="I526" s="172"/>
      <c r="J526" s="172"/>
      <c r="K526" s="172"/>
    </row>
    <row r="527">
      <c r="C527" s="139"/>
      <c r="D527" s="139"/>
      <c r="E527" s="18"/>
      <c r="F527" s="173"/>
      <c r="G527" s="172"/>
      <c r="H527" s="172"/>
      <c r="I527" s="172"/>
      <c r="J527" s="172"/>
      <c r="K527" s="172"/>
    </row>
    <row r="528">
      <c r="C528" s="139"/>
      <c r="D528" s="139"/>
      <c r="E528" s="18"/>
      <c r="F528" s="173"/>
      <c r="G528" s="172"/>
      <c r="H528" s="172"/>
      <c r="I528" s="172"/>
      <c r="J528" s="172"/>
      <c r="K528" s="172"/>
    </row>
    <row r="529">
      <c r="C529" s="139"/>
      <c r="D529" s="139"/>
      <c r="E529" s="18"/>
      <c r="F529" s="173"/>
      <c r="G529" s="172"/>
      <c r="H529" s="172"/>
      <c r="I529" s="172"/>
      <c r="J529" s="172"/>
      <c r="K529" s="172"/>
    </row>
    <row r="530">
      <c r="C530" s="139"/>
      <c r="D530" s="139"/>
      <c r="E530" s="18"/>
      <c r="F530" s="173"/>
      <c r="G530" s="172"/>
      <c r="H530" s="172"/>
      <c r="I530" s="172"/>
      <c r="J530" s="172"/>
      <c r="K530" s="172"/>
    </row>
    <row r="531">
      <c r="C531" s="139"/>
      <c r="D531" s="139"/>
      <c r="E531" s="18"/>
      <c r="F531" s="173"/>
      <c r="G531" s="172"/>
      <c r="H531" s="172"/>
      <c r="I531" s="172"/>
      <c r="J531" s="172"/>
      <c r="K531" s="172"/>
    </row>
    <row r="532">
      <c r="C532" s="139"/>
      <c r="D532" s="139"/>
      <c r="E532" s="18"/>
      <c r="F532" s="173"/>
      <c r="G532" s="172"/>
      <c r="H532" s="172"/>
      <c r="I532" s="172"/>
      <c r="J532" s="172"/>
      <c r="K532" s="172"/>
    </row>
    <row r="533">
      <c r="C533" s="139"/>
      <c r="D533" s="139"/>
      <c r="E533" s="18"/>
      <c r="F533" s="173"/>
      <c r="G533" s="172"/>
      <c r="H533" s="172"/>
      <c r="I533" s="172"/>
      <c r="J533" s="172"/>
      <c r="K533" s="172"/>
    </row>
    <row r="534">
      <c r="C534" s="139"/>
      <c r="D534" s="139"/>
      <c r="E534" s="18"/>
      <c r="F534" s="173"/>
      <c r="G534" s="172"/>
      <c r="H534" s="172"/>
      <c r="I534" s="172"/>
      <c r="J534" s="172"/>
      <c r="K534" s="172"/>
    </row>
    <row r="535">
      <c r="C535" s="139"/>
      <c r="D535" s="139"/>
      <c r="E535" s="18"/>
      <c r="F535" s="173"/>
      <c r="G535" s="172"/>
      <c r="H535" s="172"/>
      <c r="I535" s="172"/>
      <c r="J535" s="172"/>
      <c r="K535" s="172"/>
    </row>
    <row r="536">
      <c r="C536" s="139"/>
      <c r="D536" s="139"/>
      <c r="E536" s="18"/>
      <c r="F536" s="173"/>
      <c r="G536" s="172"/>
      <c r="H536" s="172"/>
      <c r="I536" s="172"/>
      <c r="J536" s="172"/>
      <c r="K536" s="172"/>
    </row>
    <row r="537">
      <c r="C537" s="139"/>
      <c r="D537" s="139"/>
      <c r="E537" s="18"/>
      <c r="F537" s="173"/>
      <c r="G537" s="172"/>
      <c r="H537" s="172"/>
      <c r="I537" s="172"/>
      <c r="J537" s="172"/>
      <c r="K537" s="172"/>
    </row>
    <row r="538">
      <c r="C538" s="139"/>
      <c r="D538" s="139"/>
      <c r="E538" s="18"/>
      <c r="F538" s="173"/>
      <c r="G538" s="172"/>
      <c r="H538" s="172"/>
      <c r="I538" s="172"/>
      <c r="J538" s="172"/>
      <c r="K538" s="172"/>
    </row>
    <row r="539">
      <c r="C539" s="139"/>
      <c r="D539" s="139"/>
      <c r="E539" s="18"/>
      <c r="F539" s="173"/>
      <c r="G539" s="172"/>
      <c r="H539" s="172"/>
      <c r="I539" s="172"/>
      <c r="J539" s="172"/>
      <c r="K539" s="172"/>
    </row>
    <row r="540">
      <c r="C540" s="139"/>
      <c r="D540" s="139"/>
      <c r="E540" s="18"/>
      <c r="F540" s="173"/>
      <c r="G540" s="172"/>
      <c r="H540" s="172"/>
      <c r="I540" s="172"/>
      <c r="J540" s="172"/>
      <c r="K540" s="172"/>
    </row>
    <row r="541">
      <c r="C541" s="139"/>
      <c r="D541" s="139"/>
      <c r="E541" s="18"/>
      <c r="F541" s="173"/>
      <c r="G541" s="172"/>
      <c r="H541" s="172"/>
      <c r="I541" s="172"/>
      <c r="J541" s="172"/>
      <c r="K541" s="172"/>
    </row>
    <row r="542">
      <c r="C542" s="139"/>
      <c r="D542" s="139"/>
      <c r="E542" s="18"/>
      <c r="F542" s="173"/>
      <c r="G542" s="172"/>
      <c r="H542" s="172"/>
      <c r="I542" s="172"/>
      <c r="J542" s="172"/>
      <c r="K542" s="172"/>
    </row>
    <row r="543">
      <c r="C543" s="139"/>
      <c r="D543" s="139"/>
      <c r="E543" s="18"/>
      <c r="F543" s="173"/>
      <c r="G543" s="172"/>
      <c r="H543" s="172"/>
      <c r="I543" s="172"/>
      <c r="J543" s="172"/>
      <c r="K543" s="172"/>
    </row>
    <row r="544">
      <c r="C544" s="139"/>
      <c r="D544" s="139"/>
      <c r="E544" s="18"/>
      <c r="F544" s="173"/>
      <c r="G544" s="172"/>
      <c r="H544" s="172"/>
      <c r="I544" s="172"/>
      <c r="J544" s="172"/>
      <c r="K544" s="172"/>
    </row>
    <row r="545">
      <c r="C545" s="139"/>
      <c r="D545" s="139"/>
      <c r="E545" s="18"/>
      <c r="F545" s="173"/>
      <c r="G545" s="172"/>
      <c r="H545" s="172"/>
      <c r="I545" s="172"/>
      <c r="J545" s="172"/>
      <c r="K545" s="172"/>
    </row>
    <row r="546">
      <c r="C546" s="139"/>
      <c r="D546" s="139"/>
      <c r="E546" s="18"/>
      <c r="F546" s="173"/>
      <c r="G546" s="172"/>
      <c r="H546" s="172"/>
      <c r="I546" s="172"/>
      <c r="J546" s="172"/>
      <c r="K546" s="172"/>
    </row>
    <row r="547">
      <c r="C547" s="139"/>
      <c r="D547" s="139"/>
      <c r="E547" s="18"/>
      <c r="F547" s="173"/>
      <c r="G547" s="172"/>
      <c r="H547" s="172"/>
      <c r="I547" s="172"/>
      <c r="J547" s="172"/>
      <c r="K547" s="172"/>
    </row>
    <row r="548">
      <c r="C548" s="139"/>
      <c r="D548" s="139"/>
      <c r="E548" s="18"/>
      <c r="F548" s="173"/>
      <c r="G548" s="172"/>
      <c r="H548" s="172"/>
      <c r="I548" s="172"/>
      <c r="J548" s="172"/>
      <c r="K548" s="172"/>
    </row>
    <row r="549">
      <c r="C549" s="139"/>
      <c r="D549" s="139"/>
      <c r="E549" s="18"/>
      <c r="F549" s="173"/>
      <c r="G549" s="172"/>
      <c r="H549" s="172"/>
      <c r="I549" s="172"/>
      <c r="J549" s="172"/>
      <c r="K549" s="172"/>
    </row>
    <row r="550">
      <c r="C550" s="139"/>
      <c r="D550" s="139"/>
      <c r="E550" s="18"/>
      <c r="F550" s="173"/>
      <c r="G550" s="172"/>
      <c r="H550" s="172"/>
      <c r="I550" s="172"/>
      <c r="J550" s="172"/>
      <c r="K550" s="172"/>
    </row>
    <row r="551">
      <c r="C551" s="139"/>
      <c r="D551" s="139"/>
      <c r="E551" s="18"/>
      <c r="F551" s="173"/>
      <c r="G551" s="172"/>
      <c r="H551" s="172"/>
      <c r="I551" s="172"/>
      <c r="J551" s="172"/>
      <c r="K551" s="172"/>
    </row>
    <row r="552">
      <c r="C552" s="139"/>
      <c r="D552" s="139"/>
      <c r="E552" s="18"/>
      <c r="F552" s="173"/>
      <c r="G552" s="172"/>
      <c r="H552" s="172"/>
      <c r="I552" s="172"/>
      <c r="J552" s="172"/>
      <c r="K552" s="172"/>
    </row>
    <row r="553">
      <c r="C553" s="139"/>
      <c r="D553" s="139"/>
      <c r="E553" s="18"/>
      <c r="F553" s="173"/>
      <c r="G553" s="172"/>
      <c r="H553" s="172"/>
      <c r="I553" s="172"/>
      <c r="J553" s="172"/>
      <c r="K553" s="172"/>
    </row>
    <row r="554">
      <c r="C554" s="139"/>
      <c r="D554" s="139"/>
      <c r="E554" s="18"/>
      <c r="F554" s="173"/>
      <c r="G554" s="172"/>
      <c r="H554" s="172"/>
      <c r="I554" s="172"/>
      <c r="J554" s="172"/>
      <c r="K554" s="172"/>
    </row>
    <row r="555">
      <c r="C555" s="139"/>
      <c r="D555" s="139"/>
      <c r="E555" s="18"/>
      <c r="F555" s="173"/>
      <c r="G555" s="172"/>
      <c r="H555" s="172"/>
      <c r="I555" s="172"/>
      <c r="J555" s="172"/>
      <c r="K555" s="172"/>
    </row>
    <row r="556">
      <c r="C556" s="139"/>
      <c r="D556" s="139"/>
      <c r="E556" s="18"/>
      <c r="F556" s="173"/>
      <c r="G556" s="172"/>
      <c r="H556" s="172"/>
      <c r="I556" s="172"/>
      <c r="J556" s="172"/>
      <c r="K556" s="172"/>
    </row>
    <row r="557">
      <c r="C557" s="139"/>
      <c r="D557" s="139"/>
      <c r="E557" s="18"/>
      <c r="F557" s="173"/>
      <c r="G557" s="172"/>
      <c r="H557" s="172"/>
      <c r="I557" s="172"/>
      <c r="J557" s="172"/>
      <c r="K557" s="172"/>
    </row>
    <row r="558">
      <c r="C558" s="139"/>
      <c r="D558" s="139"/>
      <c r="E558" s="18"/>
      <c r="F558" s="173"/>
      <c r="G558" s="172"/>
      <c r="H558" s="172"/>
      <c r="I558" s="172"/>
      <c r="J558" s="172"/>
      <c r="K558" s="172"/>
    </row>
    <row r="559">
      <c r="C559" s="139"/>
      <c r="D559" s="139"/>
      <c r="E559" s="18"/>
      <c r="F559" s="173"/>
      <c r="G559" s="172"/>
      <c r="H559" s="172"/>
      <c r="I559" s="172"/>
      <c r="J559" s="172"/>
      <c r="K559" s="172"/>
    </row>
    <row r="560">
      <c r="C560" s="139"/>
      <c r="D560" s="139"/>
      <c r="E560" s="18"/>
      <c r="F560" s="173"/>
      <c r="G560" s="172"/>
      <c r="H560" s="172"/>
      <c r="I560" s="172"/>
      <c r="J560" s="172"/>
      <c r="K560" s="172"/>
    </row>
    <row r="561">
      <c r="C561" s="139"/>
      <c r="D561" s="139"/>
      <c r="E561" s="18"/>
      <c r="F561" s="173"/>
      <c r="G561" s="172"/>
      <c r="H561" s="172"/>
      <c r="I561" s="172"/>
      <c r="J561" s="172"/>
      <c r="K561" s="172"/>
    </row>
    <row r="562">
      <c r="C562" s="139"/>
      <c r="D562" s="139"/>
      <c r="E562" s="18"/>
      <c r="F562" s="173"/>
      <c r="G562" s="172"/>
      <c r="H562" s="172"/>
      <c r="I562" s="172"/>
      <c r="J562" s="172"/>
      <c r="K562" s="172"/>
    </row>
    <row r="563">
      <c r="C563" s="139"/>
      <c r="D563" s="139"/>
      <c r="E563" s="18"/>
      <c r="F563" s="173"/>
      <c r="G563" s="172"/>
      <c r="H563" s="172"/>
      <c r="I563" s="172"/>
      <c r="J563" s="172"/>
      <c r="K563" s="172"/>
    </row>
    <row r="564">
      <c r="C564" s="139"/>
      <c r="D564" s="139"/>
      <c r="E564" s="18"/>
      <c r="F564" s="173"/>
      <c r="G564" s="172"/>
      <c r="H564" s="172"/>
      <c r="I564" s="172"/>
      <c r="J564" s="172"/>
      <c r="K564" s="172"/>
    </row>
    <row r="565">
      <c r="C565" s="139"/>
      <c r="D565" s="139"/>
      <c r="E565" s="18"/>
      <c r="F565" s="173"/>
      <c r="G565" s="172"/>
      <c r="H565" s="172"/>
      <c r="I565" s="172"/>
      <c r="J565" s="172"/>
      <c r="K565" s="172"/>
    </row>
    <row r="566">
      <c r="C566" s="139"/>
      <c r="D566" s="139"/>
      <c r="E566" s="18"/>
      <c r="F566" s="173"/>
      <c r="G566" s="172"/>
      <c r="H566" s="172"/>
      <c r="I566" s="172"/>
      <c r="J566" s="172"/>
      <c r="K566" s="172"/>
    </row>
    <row r="567">
      <c r="C567" s="139"/>
      <c r="D567" s="139"/>
      <c r="E567" s="18"/>
      <c r="F567" s="173"/>
      <c r="G567" s="172"/>
      <c r="H567" s="172"/>
      <c r="I567" s="172"/>
      <c r="J567" s="172"/>
      <c r="K567" s="172"/>
    </row>
    <row r="568">
      <c r="C568" s="139"/>
      <c r="D568" s="139"/>
      <c r="E568" s="18"/>
      <c r="F568" s="173"/>
      <c r="G568" s="172"/>
      <c r="H568" s="172"/>
      <c r="I568" s="172"/>
      <c r="J568" s="172"/>
      <c r="K568" s="172"/>
    </row>
    <row r="569">
      <c r="C569" s="139"/>
      <c r="D569" s="139"/>
      <c r="E569" s="18"/>
      <c r="F569" s="173"/>
      <c r="G569" s="172"/>
      <c r="H569" s="172"/>
      <c r="I569" s="172"/>
      <c r="J569" s="172"/>
      <c r="K569" s="172"/>
    </row>
    <row r="570">
      <c r="C570" s="139"/>
      <c r="D570" s="139"/>
      <c r="E570" s="18"/>
      <c r="F570" s="173"/>
      <c r="G570" s="172"/>
      <c r="H570" s="172"/>
      <c r="I570" s="172"/>
      <c r="J570" s="172"/>
      <c r="K570" s="172"/>
    </row>
    <row r="571">
      <c r="C571" s="139"/>
      <c r="D571" s="139"/>
      <c r="E571" s="18"/>
      <c r="F571" s="173"/>
      <c r="G571" s="172"/>
      <c r="H571" s="172"/>
      <c r="I571" s="172"/>
      <c r="J571" s="172"/>
      <c r="K571" s="172"/>
    </row>
    <row r="572">
      <c r="C572" s="139"/>
      <c r="D572" s="139"/>
      <c r="E572" s="18"/>
      <c r="F572" s="173"/>
      <c r="G572" s="172"/>
      <c r="H572" s="172"/>
      <c r="I572" s="172"/>
      <c r="J572" s="172"/>
      <c r="K572" s="172"/>
    </row>
    <row r="573">
      <c r="C573" s="139"/>
      <c r="D573" s="139"/>
      <c r="E573" s="18"/>
      <c r="F573" s="173"/>
      <c r="G573" s="172"/>
      <c r="H573" s="172"/>
      <c r="I573" s="172"/>
      <c r="J573" s="172"/>
      <c r="K573" s="172"/>
    </row>
    <row r="574">
      <c r="C574" s="139"/>
      <c r="D574" s="139"/>
      <c r="E574" s="18"/>
      <c r="F574" s="173"/>
      <c r="G574" s="172"/>
      <c r="H574" s="172"/>
      <c r="I574" s="172"/>
      <c r="J574" s="172"/>
      <c r="K574" s="172"/>
    </row>
    <row r="575">
      <c r="C575" s="139"/>
      <c r="D575" s="139"/>
      <c r="E575" s="18"/>
      <c r="F575" s="173"/>
      <c r="G575" s="172"/>
      <c r="H575" s="172"/>
      <c r="I575" s="172"/>
      <c r="J575" s="172"/>
      <c r="K575" s="172"/>
    </row>
    <row r="576">
      <c r="C576" s="139"/>
      <c r="D576" s="139"/>
      <c r="E576" s="18"/>
      <c r="F576" s="173"/>
      <c r="G576" s="172"/>
      <c r="H576" s="172"/>
      <c r="I576" s="172"/>
      <c r="J576" s="172"/>
      <c r="K576" s="172"/>
    </row>
    <row r="577">
      <c r="C577" s="139"/>
      <c r="D577" s="139"/>
      <c r="E577" s="18"/>
      <c r="F577" s="173"/>
      <c r="G577" s="172"/>
      <c r="H577" s="172"/>
      <c r="I577" s="172"/>
      <c r="J577" s="172"/>
      <c r="K577" s="172"/>
    </row>
    <row r="578">
      <c r="C578" s="139"/>
      <c r="D578" s="139"/>
      <c r="E578" s="18"/>
      <c r="F578" s="173"/>
      <c r="G578" s="172"/>
      <c r="H578" s="172"/>
      <c r="I578" s="172"/>
      <c r="J578" s="172"/>
      <c r="K578" s="172"/>
    </row>
    <row r="579">
      <c r="C579" s="139"/>
      <c r="D579" s="139"/>
      <c r="E579" s="18"/>
      <c r="F579" s="173"/>
      <c r="G579" s="172"/>
      <c r="H579" s="172"/>
      <c r="I579" s="172"/>
      <c r="J579" s="172"/>
      <c r="K579" s="172"/>
    </row>
    <row r="580">
      <c r="C580" s="139"/>
      <c r="D580" s="139"/>
      <c r="E580" s="18"/>
      <c r="F580" s="173"/>
      <c r="G580" s="172"/>
      <c r="H580" s="172"/>
      <c r="I580" s="172"/>
      <c r="J580" s="172"/>
      <c r="K580" s="172"/>
    </row>
    <row r="581">
      <c r="C581" s="139"/>
      <c r="D581" s="139"/>
      <c r="E581" s="18"/>
      <c r="F581" s="173"/>
      <c r="G581" s="172"/>
      <c r="H581" s="172"/>
      <c r="I581" s="172"/>
      <c r="J581" s="172"/>
      <c r="K581" s="172"/>
    </row>
    <row r="582">
      <c r="C582" s="139"/>
      <c r="D582" s="139"/>
      <c r="E582" s="18"/>
      <c r="F582" s="173"/>
      <c r="G582" s="172"/>
      <c r="H582" s="172"/>
      <c r="I582" s="172"/>
      <c r="J582" s="172"/>
      <c r="K582" s="172"/>
    </row>
    <row r="583">
      <c r="C583" s="139"/>
      <c r="D583" s="139"/>
      <c r="E583" s="18"/>
      <c r="F583" s="173"/>
      <c r="G583" s="172"/>
      <c r="H583" s="172"/>
      <c r="I583" s="172"/>
      <c r="J583" s="172"/>
      <c r="K583" s="172"/>
    </row>
    <row r="584">
      <c r="C584" s="139"/>
      <c r="D584" s="139"/>
      <c r="E584" s="18"/>
      <c r="F584" s="173"/>
      <c r="G584" s="172"/>
      <c r="H584" s="172"/>
      <c r="I584" s="172"/>
      <c r="J584" s="172"/>
      <c r="K584" s="172"/>
    </row>
    <row r="585">
      <c r="C585" s="139"/>
      <c r="D585" s="139"/>
      <c r="E585" s="18"/>
      <c r="F585" s="173"/>
      <c r="G585" s="172"/>
      <c r="H585" s="172"/>
      <c r="I585" s="172"/>
      <c r="J585" s="172"/>
      <c r="K585" s="172"/>
    </row>
    <row r="586">
      <c r="C586" s="139"/>
      <c r="D586" s="139"/>
      <c r="E586" s="18"/>
      <c r="F586" s="173"/>
      <c r="G586" s="172"/>
      <c r="H586" s="172"/>
      <c r="I586" s="172"/>
      <c r="J586" s="172"/>
      <c r="K586" s="172"/>
    </row>
    <row r="587">
      <c r="C587" s="139"/>
      <c r="D587" s="139"/>
      <c r="E587" s="18"/>
      <c r="F587" s="173"/>
      <c r="G587" s="172"/>
      <c r="H587" s="172"/>
      <c r="I587" s="172"/>
      <c r="J587" s="172"/>
      <c r="K587" s="172"/>
    </row>
    <row r="588">
      <c r="C588" s="139"/>
      <c r="D588" s="139"/>
      <c r="E588" s="18"/>
      <c r="F588" s="173"/>
      <c r="G588" s="172"/>
      <c r="H588" s="172"/>
      <c r="I588" s="172"/>
      <c r="J588" s="172"/>
      <c r="K588" s="172"/>
    </row>
    <row r="589">
      <c r="C589" s="139"/>
      <c r="D589" s="139"/>
      <c r="E589" s="18"/>
      <c r="F589" s="173"/>
      <c r="G589" s="172"/>
      <c r="H589" s="172"/>
      <c r="I589" s="172"/>
      <c r="J589" s="172"/>
      <c r="K589" s="172"/>
    </row>
    <row r="590">
      <c r="C590" s="139"/>
      <c r="D590" s="139"/>
      <c r="E590" s="18"/>
      <c r="F590" s="173"/>
      <c r="G590" s="172"/>
      <c r="H590" s="172"/>
      <c r="I590" s="172"/>
      <c r="J590" s="172"/>
      <c r="K590" s="172"/>
    </row>
    <row r="591">
      <c r="C591" s="139"/>
      <c r="D591" s="139"/>
      <c r="E591" s="18"/>
      <c r="F591" s="173"/>
      <c r="G591" s="172"/>
      <c r="H591" s="172"/>
      <c r="I591" s="172"/>
      <c r="J591" s="172"/>
      <c r="K591" s="172"/>
    </row>
    <row r="592">
      <c r="C592" s="139"/>
      <c r="D592" s="139"/>
      <c r="E592" s="18"/>
      <c r="F592" s="173"/>
      <c r="G592" s="172"/>
      <c r="H592" s="172"/>
      <c r="I592" s="172"/>
      <c r="J592" s="172"/>
      <c r="K592" s="172"/>
    </row>
    <row r="593">
      <c r="C593" s="139"/>
      <c r="D593" s="139"/>
      <c r="E593" s="18"/>
      <c r="F593" s="173"/>
      <c r="G593" s="172"/>
      <c r="H593" s="172"/>
      <c r="I593" s="172"/>
      <c r="J593" s="172"/>
      <c r="K593" s="172"/>
    </row>
    <row r="594">
      <c r="C594" s="139"/>
      <c r="D594" s="139"/>
      <c r="E594" s="18"/>
      <c r="F594" s="173"/>
      <c r="G594" s="172"/>
      <c r="H594" s="172"/>
      <c r="I594" s="172"/>
      <c r="J594" s="172"/>
      <c r="K594" s="172"/>
    </row>
    <row r="595">
      <c r="C595" s="139"/>
      <c r="D595" s="139"/>
      <c r="E595" s="18"/>
      <c r="F595" s="173"/>
      <c r="G595" s="172"/>
      <c r="H595" s="172"/>
      <c r="I595" s="172"/>
      <c r="J595" s="172"/>
      <c r="K595" s="172"/>
    </row>
    <row r="596">
      <c r="C596" s="139"/>
      <c r="D596" s="139"/>
      <c r="E596" s="18"/>
      <c r="F596" s="173"/>
      <c r="G596" s="172"/>
      <c r="H596" s="172"/>
      <c r="I596" s="172"/>
      <c r="J596" s="172"/>
      <c r="K596" s="172"/>
    </row>
    <row r="597">
      <c r="C597" s="139"/>
      <c r="D597" s="139"/>
      <c r="E597" s="18"/>
      <c r="F597" s="173"/>
      <c r="G597" s="172"/>
      <c r="H597" s="172"/>
      <c r="I597" s="172"/>
      <c r="J597" s="172"/>
      <c r="K597" s="172"/>
    </row>
    <row r="598">
      <c r="C598" s="139"/>
      <c r="D598" s="139"/>
      <c r="E598" s="18"/>
      <c r="F598" s="173"/>
      <c r="G598" s="172"/>
      <c r="H598" s="172"/>
      <c r="I598" s="172"/>
      <c r="J598" s="172"/>
      <c r="K598" s="172"/>
    </row>
    <row r="599">
      <c r="C599" s="139"/>
      <c r="D599" s="139"/>
      <c r="E599" s="18"/>
      <c r="F599" s="173"/>
      <c r="G599" s="172"/>
      <c r="H599" s="172"/>
      <c r="I599" s="172"/>
      <c r="J599" s="172"/>
      <c r="K599" s="172"/>
    </row>
    <row r="600">
      <c r="C600" s="139"/>
      <c r="D600" s="139"/>
      <c r="E600" s="18"/>
      <c r="F600" s="173"/>
      <c r="G600" s="172"/>
      <c r="H600" s="172"/>
      <c r="I600" s="172"/>
      <c r="J600" s="172"/>
      <c r="K600" s="172"/>
    </row>
    <row r="601">
      <c r="C601" s="139"/>
      <c r="D601" s="139"/>
      <c r="E601" s="18"/>
      <c r="F601" s="173"/>
      <c r="G601" s="172"/>
      <c r="H601" s="172"/>
      <c r="I601" s="172"/>
      <c r="J601" s="172"/>
      <c r="K601" s="172"/>
    </row>
    <row r="602">
      <c r="C602" s="139"/>
      <c r="D602" s="139"/>
      <c r="E602" s="18"/>
      <c r="F602" s="173"/>
      <c r="G602" s="172"/>
      <c r="H602" s="172"/>
      <c r="I602" s="172"/>
      <c r="J602" s="172"/>
      <c r="K602" s="172"/>
    </row>
    <row r="603">
      <c r="C603" s="139"/>
      <c r="D603" s="139"/>
      <c r="E603" s="18"/>
      <c r="F603" s="173"/>
      <c r="G603" s="172"/>
      <c r="H603" s="172"/>
      <c r="I603" s="172"/>
      <c r="J603" s="172"/>
      <c r="K603" s="172"/>
    </row>
    <row r="604">
      <c r="C604" s="139"/>
      <c r="D604" s="139"/>
      <c r="E604" s="18"/>
      <c r="F604" s="173"/>
      <c r="G604" s="172"/>
      <c r="H604" s="172"/>
      <c r="I604" s="172"/>
      <c r="J604" s="172"/>
      <c r="K604" s="172"/>
    </row>
    <row r="605">
      <c r="C605" s="139"/>
      <c r="D605" s="139"/>
      <c r="E605" s="18"/>
      <c r="F605" s="173"/>
      <c r="G605" s="172"/>
      <c r="H605" s="172"/>
      <c r="I605" s="172"/>
      <c r="J605" s="172"/>
      <c r="K605" s="172"/>
    </row>
    <row r="606">
      <c r="C606" s="139"/>
      <c r="D606" s="139"/>
      <c r="E606" s="18"/>
      <c r="F606" s="173"/>
      <c r="G606" s="172"/>
      <c r="H606" s="172"/>
      <c r="I606" s="172"/>
      <c r="J606" s="172"/>
      <c r="K606" s="172"/>
    </row>
    <row r="607">
      <c r="C607" s="139"/>
      <c r="D607" s="139"/>
      <c r="E607" s="18"/>
      <c r="F607" s="173"/>
      <c r="G607" s="172"/>
      <c r="H607" s="172"/>
      <c r="I607" s="172"/>
      <c r="J607" s="172"/>
      <c r="K607" s="172"/>
    </row>
    <row r="608">
      <c r="C608" s="139"/>
      <c r="D608" s="139"/>
      <c r="E608" s="18"/>
      <c r="F608" s="173"/>
      <c r="G608" s="172"/>
      <c r="H608" s="172"/>
      <c r="I608" s="172"/>
      <c r="J608" s="172"/>
      <c r="K608" s="172"/>
    </row>
    <row r="609">
      <c r="C609" s="139"/>
      <c r="D609" s="139"/>
      <c r="E609" s="18"/>
      <c r="F609" s="173"/>
      <c r="G609" s="172"/>
      <c r="H609" s="172"/>
      <c r="I609" s="172"/>
      <c r="J609" s="172"/>
      <c r="K609" s="172"/>
    </row>
    <row r="610">
      <c r="C610" s="139"/>
      <c r="D610" s="139"/>
      <c r="E610" s="18"/>
      <c r="F610" s="173"/>
      <c r="G610" s="172"/>
      <c r="H610" s="172"/>
      <c r="I610" s="172"/>
      <c r="J610" s="172"/>
      <c r="K610" s="172"/>
    </row>
    <row r="611">
      <c r="C611" s="139"/>
      <c r="D611" s="139"/>
      <c r="E611" s="18"/>
      <c r="F611" s="173"/>
      <c r="G611" s="172"/>
      <c r="H611" s="172"/>
      <c r="I611" s="172"/>
      <c r="J611" s="172"/>
      <c r="K611" s="172"/>
    </row>
    <row r="612">
      <c r="C612" s="139"/>
      <c r="D612" s="139"/>
      <c r="E612" s="18"/>
      <c r="F612" s="173"/>
      <c r="G612" s="172"/>
      <c r="H612" s="172"/>
      <c r="I612" s="172"/>
      <c r="J612" s="172"/>
      <c r="K612" s="172"/>
    </row>
    <row r="613">
      <c r="C613" s="139"/>
      <c r="D613" s="139"/>
      <c r="E613" s="18"/>
      <c r="F613" s="173"/>
      <c r="G613" s="172"/>
      <c r="H613" s="172"/>
      <c r="I613" s="172"/>
      <c r="J613" s="172"/>
      <c r="K613" s="172"/>
    </row>
    <row r="614">
      <c r="C614" s="139"/>
      <c r="D614" s="139"/>
      <c r="E614" s="18"/>
      <c r="F614" s="173"/>
      <c r="G614" s="172"/>
      <c r="H614" s="172"/>
      <c r="I614" s="172"/>
      <c r="J614" s="172"/>
      <c r="K614" s="172"/>
    </row>
    <row r="615">
      <c r="C615" s="139"/>
      <c r="D615" s="139"/>
      <c r="E615" s="18"/>
      <c r="F615" s="173"/>
      <c r="G615" s="172"/>
      <c r="H615" s="172"/>
      <c r="I615" s="172"/>
      <c r="J615" s="172"/>
      <c r="K615" s="172"/>
    </row>
    <row r="616">
      <c r="C616" s="139"/>
      <c r="D616" s="139"/>
      <c r="E616" s="18"/>
      <c r="F616" s="173"/>
      <c r="G616" s="172"/>
      <c r="H616" s="172"/>
      <c r="I616" s="172"/>
      <c r="J616" s="172"/>
      <c r="K616" s="172"/>
    </row>
    <row r="617">
      <c r="C617" s="139"/>
      <c r="D617" s="139"/>
      <c r="E617" s="18"/>
      <c r="F617" s="173"/>
      <c r="G617" s="172"/>
      <c r="H617" s="172"/>
      <c r="I617" s="172"/>
      <c r="J617" s="172"/>
      <c r="K617" s="172"/>
    </row>
    <row r="618">
      <c r="C618" s="139"/>
      <c r="D618" s="139"/>
      <c r="E618" s="18"/>
      <c r="F618" s="173"/>
      <c r="G618" s="172"/>
      <c r="H618" s="172"/>
      <c r="I618" s="172"/>
      <c r="J618" s="172"/>
      <c r="K618" s="172"/>
    </row>
    <row r="619">
      <c r="C619" s="139"/>
      <c r="D619" s="139"/>
      <c r="E619" s="18"/>
      <c r="F619" s="173"/>
      <c r="G619" s="172"/>
      <c r="H619" s="172"/>
      <c r="I619" s="172"/>
      <c r="J619" s="172"/>
      <c r="K619" s="172"/>
    </row>
    <row r="620">
      <c r="C620" s="139"/>
      <c r="D620" s="139"/>
      <c r="E620" s="18"/>
      <c r="F620" s="173"/>
      <c r="G620" s="172"/>
      <c r="H620" s="172"/>
      <c r="I620" s="172"/>
      <c r="J620" s="172"/>
      <c r="K620" s="172"/>
    </row>
    <row r="621">
      <c r="C621" s="139"/>
      <c r="D621" s="139"/>
      <c r="E621" s="18"/>
      <c r="F621" s="173"/>
      <c r="G621" s="172"/>
      <c r="H621" s="172"/>
      <c r="I621" s="172"/>
      <c r="J621" s="172"/>
      <c r="K621" s="172"/>
    </row>
    <row r="622">
      <c r="C622" s="139"/>
      <c r="D622" s="139"/>
      <c r="E622" s="18"/>
      <c r="F622" s="173"/>
      <c r="G622" s="172"/>
      <c r="H622" s="172"/>
      <c r="I622" s="172"/>
      <c r="J622" s="172"/>
      <c r="K622" s="172"/>
    </row>
    <row r="623">
      <c r="C623" s="139"/>
      <c r="D623" s="139"/>
      <c r="E623" s="18"/>
      <c r="F623" s="173"/>
      <c r="G623" s="172"/>
      <c r="H623" s="172"/>
      <c r="I623" s="172"/>
      <c r="J623" s="172"/>
      <c r="K623" s="172"/>
    </row>
    <row r="624">
      <c r="C624" s="139"/>
      <c r="D624" s="139"/>
      <c r="E624" s="18"/>
      <c r="F624" s="173"/>
      <c r="G624" s="172"/>
      <c r="H624" s="172"/>
      <c r="I624" s="172"/>
      <c r="J624" s="172"/>
      <c r="K624" s="172"/>
    </row>
    <row r="625">
      <c r="C625" s="139"/>
      <c r="D625" s="139"/>
      <c r="E625" s="18"/>
      <c r="F625" s="173"/>
      <c r="G625" s="172"/>
      <c r="H625" s="172"/>
      <c r="I625" s="172"/>
      <c r="J625" s="172"/>
      <c r="K625" s="172"/>
    </row>
    <row r="626">
      <c r="C626" s="139"/>
      <c r="D626" s="139"/>
      <c r="E626" s="18"/>
      <c r="F626" s="173"/>
      <c r="G626" s="172"/>
      <c r="H626" s="172"/>
      <c r="I626" s="172"/>
      <c r="J626" s="172"/>
      <c r="K626" s="172"/>
    </row>
    <row r="627">
      <c r="C627" s="139"/>
      <c r="D627" s="139"/>
      <c r="E627" s="18"/>
      <c r="F627" s="173"/>
      <c r="G627" s="172"/>
      <c r="H627" s="172"/>
      <c r="I627" s="172"/>
      <c r="J627" s="172"/>
      <c r="K627" s="172"/>
    </row>
    <row r="628">
      <c r="C628" s="139"/>
      <c r="D628" s="139"/>
      <c r="E628" s="18"/>
      <c r="F628" s="173"/>
      <c r="G628" s="172"/>
      <c r="H628" s="172"/>
      <c r="I628" s="172"/>
      <c r="J628" s="172"/>
      <c r="K628" s="172"/>
    </row>
    <row r="629">
      <c r="C629" s="139"/>
      <c r="D629" s="139"/>
      <c r="E629" s="18"/>
      <c r="F629" s="173"/>
      <c r="G629" s="172"/>
      <c r="H629" s="172"/>
      <c r="I629" s="172"/>
      <c r="J629" s="172"/>
      <c r="K629" s="172"/>
    </row>
    <row r="630">
      <c r="C630" s="139"/>
      <c r="D630" s="139"/>
      <c r="E630" s="18"/>
      <c r="F630" s="173"/>
      <c r="G630" s="172"/>
      <c r="H630" s="172"/>
      <c r="I630" s="172"/>
      <c r="J630" s="172"/>
      <c r="K630" s="172"/>
    </row>
    <row r="631">
      <c r="C631" s="139"/>
      <c r="D631" s="139"/>
      <c r="E631" s="18"/>
      <c r="F631" s="173"/>
      <c r="G631" s="172"/>
      <c r="H631" s="172"/>
      <c r="I631" s="172"/>
      <c r="J631" s="172"/>
      <c r="K631" s="172"/>
    </row>
    <row r="632">
      <c r="C632" s="139"/>
      <c r="D632" s="139"/>
      <c r="E632" s="18"/>
      <c r="F632" s="173"/>
      <c r="G632" s="172"/>
      <c r="H632" s="172"/>
      <c r="I632" s="172"/>
      <c r="J632" s="172"/>
      <c r="K632" s="172"/>
    </row>
    <row r="633">
      <c r="C633" s="139"/>
      <c r="D633" s="139"/>
      <c r="E633" s="18"/>
      <c r="F633" s="173"/>
      <c r="G633" s="172"/>
      <c r="H633" s="172"/>
      <c r="I633" s="172"/>
      <c r="J633" s="172"/>
      <c r="K633" s="172"/>
    </row>
    <row r="634">
      <c r="C634" s="139"/>
      <c r="D634" s="139"/>
      <c r="E634" s="18"/>
      <c r="F634" s="173"/>
      <c r="G634" s="172"/>
      <c r="H634" s="172"/>
      <c r="I634" s="172"/>
      <c r="J634" s="172"/>
      <c r="K634" s="172"/>
    </row>
    <row r="635">
      <c r="C635" s="139"/>
      <c r="D635" s="139"/>
      <c r="E635" s="18"/>
      <c r="F635" s="173"/>
      <c r="G635" s="172"/>
      <c r="H635" s="172"/>
      <c r="I635" s="172"/>
      <c r="J635" s="172"/>
      <c r="K635" s="172"/>
    </row>
    <row r="636">
      <c r="C636" s="139"/>
      <c r="D636" s="139"/>
      <c r="E636" s="18"/>
      <c r="F636" s="173"/>
      <c r="G636" s="172"/>
      <c r="H636" s="172"/>
      <c r="I636" s="172"/>
      <c r="J636" s="172"/>
      <c r="K636" s="172"/>
    </row>
    <row r="637">
      <c r="C637" s="139"/>
      <c r="D637" s="139"/>
      <c r="E637" s="18"/>
      <c r="F637" s="173"/>
      <c r="G637" s="172"/>
      <c r="H637" s="172"/>
      <c r="I637" s="172"/>
      <c r="J637" s="172"/>
      <c r="K637" s="172"/>
    </row>
    <row r="638">
      <c r="C638" s="139"/>
      <c r="D638" s="139"/>
      <c r="E638" s="18"/>
      <c r="F638" s="173"/>
      <c r="G638" s="172"/>
      <c r="H638" s="172"/>
      <c r="I638" s="172"/>
      <c r="J638" s="172"/>
      <c r="K638" s="172"/>
    </row>
    <row r="639">
      <c r="C639" s="139"/>
      <c r="D639" s="139"/>
      <c r="E639" s="18"/>
      <c r="F639" s="173"/>
      <c r="G639" s="172"/>
      <c r="H639" s="172"/>
      <c r="I639" s="172"/>
      <c r="J639" s="172"/>
      <c r="K639" s="172"/>
    </row>
    <row r="640">
      <c r="C640" s="139"/>
      <c r="D640" s="139"/>
      <c r="E640" s="18"/>
      <c r="F640" s="173"/>
      <c r="G640" s="172"/>
      <c r="H640" s="172"/>
      <c r="I640" s="172"/>
      <c r="J640" s="172"/>
      <c r="K640" s="172"/>
    </row>
    <row r="641">
      <c r="C641" s="139"/>
      <c r="D641" s="139"/>
      <c r="E641" s="18"/>
      <c r="F641" s="173"/>
      <c r="G641" s="172"/>
      <c r="H641" s="172"/>
      <c r="I641" s="172"/>
      <c r="J641" s="172"/>
      <c r="K641" s="172"/>
    </row>
    <row r="642">
      <c r="C642" s="139"/>
      <c r="D642" s="139"/>
      <c r="E642" s="18"/>
      <c r="F642" s="173"/>
      <c r="G642" s="172"/>
      <c r="H642" s="172"/>
      <c r="I642" s="172"/>
      <c r="J642" s="172"/>
      <c r="K642" s="172"/>
    </row>
    <row r="643">
      <c r="C643" s="139"/>
      <c r="D643" s="139"/>
      <c r="E643" s="18"/>
      <c r="F643" s="173"/>
      <c r="G643" s="172"/>
      <c r="H643" s="172"/>
      <c r="I643" s="172"/>
      <c r="J643" s="172"/>
      <c r="K643" s="172"/>
    </row>
    <row r="644">
      <c r="C644" s="139"/>
      <c r="D644" s="139"/>
      <c r="E644" s="18"/>
      <c r="F644" s="173"/>
      <c r="G644" s="172"/>
      <c r="H644" s="172"/>
      <c r="I644" s="172"/>
      <c r="J644" s="172"/>
      <c r="K644" s="172"/>
    </row>
    <row r="645">
      <c r="C645" s="139"/>
      <c r="D645" s="139"/>
      <c r="E645" s="18"/>
      <c r="F645" s="173"/>
      <c r="G645" s="172"/>
      <c r="H645" s="172"/>
      <c r="I645" s="172"/>
      <c r="J645" s="172"/>
      <c r="K645" s="172"/>
    </row>
    <row r="646">
      <c r="C646" s="139"/>
      <c r="D646" s="139"/>
      <c r="E646" s="18"/>
      <c r="F646" s="173"/>
      <c r="G646" s="172"/>
      <c r="H646" s="172"/>
      <c r="I646" s="172"/>
      <c r="J646" s="172"/>
      <c r="K646" s="172"/>
    </row>
    <row r="647">
      <c r="C647" s="139"/>
      <c r="D647" s="139"/>
      <c r="E647" s="18"/>
      <c r="F647" s="173"/>
      <c r="G647" s="172"/>
      <c r="H647" s="172"/>
      <c r="I647" s="172"/>
      <c r="J647" s="172"/>
      <c r="K647" s="172"/>
    </row>
    <row r="648">
      <c r="C648" s="139"/>
      <c r="D648" s="139"/>
      <c r="E648" s="18"/>
      <c r="F648" s="173"/>
      <c r="G648" s="172"/>
      <c r="H648" s="172"/>
      <c r="I648" s="172"/>
      <c r="J648" s="172"/>
      <c r="K648" s="172"/>
    </row>
    <row r="649">
      <c r="C649" s="139"/>
      <c r="D649" s="139"/>
      <c r="E649" s="18"/>
      <c r="F649" s="173"/>
      <c r="G649" s="172"/>
      <c r="H649" s="172"/>
      <c r="I649" s="172"/>
      <c r="J649" s="172"/>
      <c r="K649" s="172"/>
    </row>
    <row r="650">
      <c r="C650" s="139"/>
      <c r="D650" s="139"/>
      <c r="E650" s="18"/>
      <c r="F650" s="173"/>
      <c r="G650" s="172"/>
      <c r="H650" s="172"/>
      <c r="I650" s="172"/>
      <c r="J650" s="172"/>
      <c r="K650" s="172"/>
    </row>
    <row r="651">
      <c r="C651" s="139"/>
      <c r="D651" s="139"/>
      <c r="E651" s="18"/>
      <c r="F651" s="173"/>
      <c r="G651" s="172"/>
      <c r="H651" s="172"/>
      <c r="I651" s="172"/>
      <c r="J651" s="172"/>
      <c r="K651" s="172"/>
    </row>
    <row r="652">
      <c r="C652" s="139"/>
      <c r="D652" s="139"/>
      <c r="E652" s="18"/>
      <c r="F652" s="173"/>
      <c r="G652" s="172"/>
      <c r="H652" s="172"/>
      <c r="I652" s="172"/>
      <c r="J652" s="172"/>
      <c r="K652" s="172"/>
    </row>
    <row r="653">
      <c r="C653" s="139"/>
      <c r="D653" s="139"/>
      <c r="E653" s="18"/>
      <c r="F653" s="173"/>
      <c r="G653" s="172"/>
      <c r="H653" s="172"/>
      <c r="I653" s="172"/>
      <c r="J653" s="172"/>
      <c r="K653" s="172"/>
    </row>
    <row r="654">
      <c r="C654" s="139"/>
      <c r="D654" s="139"/>
      <c r="E654" s="18"/>
      <c r="F654" s="173"/>
      <c r="G654" s="172"/>
      <c r="H654" s="172"/>
      <c r="I654" s="172"/>
      <c r="J654" s="172"/>
      <c r="K654" s="172"/>
    </row>
    <row r="655">
      <c r="C655" s="139"/>
      <c r="D655" s="139"/>
      <c r="E655" s="18"/>
      <c r="F655" s="173"/>
      <c r="G655" s="172"/>
      <c r="H655" s="172"/>
      <c r="I655" s="172"/>
      <c r="J655" s="172"/>
      <c r="K655" s="172"/>
    </row>
    <row r="656">
      <c r="C656" s="139"/>
      <c r="D656" s="139"/>
      <c r="E656" s="18"/>
      <c r="F656" s="173"/>
      <c r="G656" s="172"/>
      <c r="H656" s="172"/>
      <c r="I656" s="172"/>
      <c r="J656" s="172"/>
      <c r="K656" s="172"/>
    </row>
    <row r="657">
      <c r="C657" s="139"/>
      <c r="D657" s="139"/>
      <c r="E657" s="18"/>
      <c r="F657" s="173"/>
      <c r="G657" s="172"/>
      <c r="H657" s="172"/>
      <c r="I657" s="172"/>
      <c r="J657" s="172"/>
      <c r="K657" s="172"/>
    </row>
    <row r="658">
      <c r="C658" s="139"/>
      <c r="D658" s="139"/>
      <c r="E658" s="18"/>
      <c r="F658" s="173"/>
      <c r="G658" s="172"/>
      <c r="H658" s="172"/>
      <c r="I658" s="172"/>
      <c r="J658" s="172"/>
      <c r="K658" s="172"/>
    </row>
    <row r="659">
      <c r="C659" s="139"/>
      <c r="D659" s="139"/>
      <c r="E659" s="18"/>
      <c r="F659" s="173"/>
      <c r="G659" s="172"/>
      <c r="H659" s="172"/>
      <c r="I659" s="172"/>
      <c r="J659" s="172"/>
      <c r="K659" s="172"/>
    </row>
    <row r="660">
      <c r="C660" s="139"/>
      <c r="D660" s="139"/>
      <c r="E660" s="18"/>
      <c r="F660" s="173"/>
      <c r="G660" s="172"/>
      <c r="H660" s="172"/>
      <c r="I660" s="172"/>
      <c r="J660" s="172"/>
      <c r="K660" s="172"/>
    </row>
    <row r="661">
      <c r="C661" s="139"/>
      <c r="D661" s="139"/>
      <c r="E661" s="18"/>
      <c r="F661" s="173"/>
      <c r="G661" s="172"/>
      <c r="H661" s="172"/>
      <c r="I661" s="172"/>
      <c r="J661" s="172"/>
      <c r="K661" s="172"/>
    </row>
    <row r="662">
      <c r="C662" s="139"/>
      <c r="D662" s="139"/>
      <c r="E662" s="18"/>
      <c r="F662" s="173"/>
      <c r="G662" s="172"/>
      <c r="H662" s="172"/>
      <c r="I662" s="172"/>
      <c r="J662" s="172"/>
      <c r="K662" s="172"/>
    </row>
    <row r="663">
      <c r="C663" s="139"/>
      <c r="D663" s="139"/>
      <c r="E663" s="18"/>
      <c r="F663" s="173"/>
      <c r="G663" s="172"/>
      <c r="H663" s="172"/>
      <c r="I663" s="172"/>
      <c r="J663" s="172"/>
      <c r="K663" s="172"/>
    </row>
    <row r="664">
      <c r="C664" s="139"/>
      <c r="D664" s="139"/>
      <c r="E664" s="18"/>
      <c r="F664" s="173"/>
      <c r="G664" s="172"/>
      <c r="H664" s="172"/>
      <c r="I664" s="172"/>
      <c r="J664" s="172"/>
      <c r="K664" s="172"/>
    </row>
    <row r="665">
      <c r="C665" s="139"/>
      <c r="D665" s="139"/>
      <c r="E665" s="18"/>
      <c r="F665" s="173"/>
      <c r="G665" s="172"/>
      <c r="H665" s="172"/>
      <c r="I665" s="172"/>
      <c r="J665" s="172"/>
      <c r="K665" s="172"/>
    </row>
    <row r="666">
      <c r="C666" s="139"/>
      <c r="D666" s="139"/>
      <c r="E666" s="18"/>
      <c r="F666" s="173"/>
      <c r="G666" s="172"/>
      <c r="H666" s="172"/>
      <c r="I666" s="172"/>
      <c r="J666" s="172"/>
      <c r="K666" s="172"/>
    </row>
    <row r="667">
      <c r="C667" s="139"/>
      <c r="D667" s="139"/>
      <c r="E667" s="18"/>
      <c r="F667" s="173"/>
      <c r="G667" s="172"/>
      <c r="H667" s="172"/>
      <c r="I667" s="172"/>
      <c r="J667" s="172"/>
      <c r="K667" s="172"/>
    </row>
    <row r="668">
      <c r="C668" s="139"/>
      <c r="D668" s="139"/>
      <c r="E668" s="18"/>
      <c r="F668" s="173"/>
      <c r="G668" s="172"/>
      <c r="H668" s="172"/>
      <c r="I668" s="172"/>
      <c r="J668" s="172"/>
      <c r="K668" s="172"/>
    </row>
    <row r="669">
      <c r="C669" s="139"/>
      <c r="D669" s="139"/>
      <c r="E669" s="18"/>
      <c r="F669" s="173"/>
      <c r="G669" s="172"/>
      <c r="H669" s="172"/>
      <c r="I669" s="172"/>
      <c r="J669" s="172"/>
      <c r="K669" s="172"/>
    </row>
    <row r="670">
      <c r="C670" s="139"/>
      <c r="D670" s="139"/>
      <c r="E670" s="18"/>
      <c r="F670" s="173"/>
      <c r="G670" s="172"/>
      <c r="H670" s="172"/>
      <c r="I670" s="172"/>
      <c r="J670" s="172"/>
      <c r="K670" s="172"/>
    </row>
    <row r="671">
      <c r="C671" s="139"/>
      <c r="D671" s="139"/>
      <c r="E671" s="18"/>
      <c r="F671" s="173"/>
      <c r="G671" s="172"/>
      <c r="H671" s="172"/>
      <c r="I671" s="172"/>
      <c r="J671" s="172"/>
      <c r="K671" s="172"/>
    </row>
    <row r="672">
      <c r="C672" s="139"/>
      <c r="D672" s="139"/>
      <c r="E672" s="18"/>
      <c r="F672" s="173"/>
      <c r="G672" s="172"/>
      <c r="H672" s="172"/>
      <c r="I672" s="172"/>
      <c r="J672" s="172"/>
      <c r="K672" s="172"/>
    </row>
    <row r="673">
      <c r="C673" s="139"/>
      <c r="D673" s="139"/>
      <c r="E673" s="18"/>
      <c r="F673" s="173"/>
      <c r="G673" s="172"/>
      <c r="H673" s="172"/>
      <c r="I673" s="172"/>
      <c r="J673" s="172"/>
      <c r="K673" s="172"/>
    </row>
    <row r="674">
      <c r="C674" s="139"/>
      <c r="D674" s="139"/>
      <c r="E674" s="18"/>
      <c r="F674" s="173"/>
      <c r="G674" s="172"/>
      <c r="H674" s="172"/>
      <c r="I674" s="172"/>
      <c r="J674" s="172"/>
      <c r="K674" s="172"/>
    </row>
    <row r="675">
      <c r="C675" s="139"/>
      <c r="D675" s="139"/>
      <c r="E675" s="18"/>
      <c r="F675" s="173"/>
      <c r="G675" s="172"/>
      <c r="H675" s="172"/>
      <c r="I675" s="172"/>
      <c r="J675" s="172"/>
      <c r="K675" s="172"/>
    </row>
    <row r="676">
      <c r="C676" s="139"/>
      <c r="D676" s="139"/>
      <c r="E676" s="18"/>
      <c r="F676" s="173"/>
      <c r="G676" s="172"/>
      <c r="H676" s="172"/>
      <c r="I676" s="172"/>
      <c r="J676" s="172"/>
      <c r="K676" s="172"/>
    </row>
    <row r="677">
      <c r="C677" s="139"/>
      <c r="D677" s="139"/>
      <c r="E677" s="18"/>
      <c r="F677" s="173"/>
      <c r="G677" s="172"/>
      <c r="H677" s="172"/>
      <c r="I677" s="172"/>
      <c r="J677" s="172"/>
      <c r="K677" s="172"/>
    </row>
    <row r="678">
      <c r="C678" s="139"/>
      <c r="D678" s="139"/>
      <c r="E678" s="18"/>
      <c r="F678" s="173"/>
      <c r="G678" s="172"/>
      <c r="H678" s="172"/>
      <c r="I678" s="172"/>
      <c r="J678" s="172"/>
      <c r="K678" s="172"/>
    </row>
    <row r="679">
      <c r="C679" s="139"/>
      <c r="D679" s="139"/>
      <c r="E679" s="18"/>
      <c r="F679" s="173"/>
      <c r="G679" s="172"/>
      <c r="H679" s="172"/>
      <c r="I679" s="172"/>
      <c r="J679" s="172"/>
      <c r="K679" s="172"/>
    </row>
    <row r="680">
      <c r="C680" s="139"/>
      <c r="D680" s="139"/>
      <c r="E680" s="18"/>
      <c r="F680" s="173"/>
      <c r="G680" s="172"/>
      <c r="H680" s="172"/>
      <c r="I680" s="172"/>
      <c r="J680" s="172"/>
      <c r="K680" s="172"/>
    </row>
    <row r="681">
      <c r="C681" s="139"/>
      <c r="D681" s="139"/>
      <c r="E681" s="18"/>
      <c r="F681" s="173"/>
      <c r="G681" s="172"/>
      <c r="H681" s="172"/>
      <c r="I681" s="172"/>
      <c r="J681" s="172"/>
      <c r="K681" s="172"/>
    </row>
    <row r="682">
      <c r="C682" s="139"/>
      <c r="D682" s="139"/>
      <c r="E682" s="18"/>
      <c r="F682" s="173"/>
      <c r="G682" s="172"/>
      <c r="H682" s="172"/>
      <c r="I682" s="172"/>
      <c r="J682" s="172"/>
      <c r="K682" s="172"/>
    </row>
    <row r="683">
      <c r="C683" s="139"/>
      <c r="D683" s="139"/>
      <c r="E683" s="18"/>
      <c r="F683" s="173"/>
      <c r="G683" s="172"/>
      <c r="H683" s="172"/>
      <c r="I683" s="172"/>
      <c r="J683" s="172"/>
      <c r="K683" s="172"/>
    </row>
    <row r="684">
      <c r="C684" s="139"/>
      <c r="D684" s="139"/>
      <c r="E684" s="18"/>
      <c r="F684" s="173"/>
      <c r="G684" s="172"/>
      <c r="H684" s="172"/>
      <c r="I684" s="172"/>
      <c r="J684" s="172"/>
      <c r="K684" s="172"/>
    </row>
    <row r="685">
      <c r="C685" s="139"/>
      <c r="D685" s="139"/>
      <c r="E685" s="18"/>
      <c r="F685" s="173"/>
      <c r="G685" s="172"/>
      <c r="H685" s="172"/>
      <c r="I685" s="172"/>
      <c r="J685" s="172"/>
      <c r="K685" s="172"/>
    </row>
    <row r="686">
      <c r="C686" s="139"/>
      <c r="D686" s="139"/>
      <c r="E686" s="18"/>
      <c r="F686" s="173"/>
      <c r="G686" s="172"/>
      <c r="H686" s="172"/>
      <c r="I686" s="172"/>
      <c r="J686" s="172"/>
      <c r="K686" s="172"/>
    </row>
    <row r="687">
      <c r="C687" s="139"/>
      <c r="D687" s="139"/>
      <c r="E687" s="18"/>
      <c r="F687" s="173"/>
      <c r="G687" s="172"/>
      <c r="H687" s="172"/>
      <c r="I687" s="172"/>
      <c r="J687" s="172"/>
      <c r="K687" s="172"/>
    </row>
    <row r="688">
      <c r="C688" s="139"/>
      <c r="D688" s="139"/>
      <c r="E688" s="18"/>
      <c r="F688" s="173"/>
      <c r="G688" s="172"/>
      <c r="H688" s="172"/>
      <c r="I688" s="172"/>
      <c r="J688" s="172"/>
      <c r="K688" s="172"/>
    </row>
    <row r="689">
      <c r="C689" s="139"/>
      <c r="D689" s="139"/>
      <c r="E689" s="18"/>
      <c r="F689" s="173"/>
      <c r="G689" s="172"/>
      <c r="H689" s="172"/>
      <c r="I689" s="172"/>
      <c r="J689" s="172"/>
      <c r="K689" s="172"/>
    </row>
    <row r="690">
      <c r="C690" s="139"/>
      <c r="D690" s="139"/>
      <c r="E690" s="18"/>
      <c r="F690" s="173"/>
      <c r="G690" s="172"/>
      <c r="H690" s="172"/>
      <c r="I690" s="172"/>
      <c r="J690" s="172"/>
      <c r="K690" s="172"/>
    </row>
    <row r="691">
      <c r="C691" s="139"/>
      <c r="D691" s="139"/>
      <c r="E691" s="18"/>
      <c r="F691" s="173"/>
      <c r="G691" s="172"/>
      <c r="H691" s="172"/>
      <c r="I691" s="172"/>
      <c r="J691" s="172"/>
      <c r="K691" s="172"/>
    </row>
    <row r="692">
      <c r="C692" s="139"/>
      <c r="D692" s="139"/>
      <c r="E692" s="18"/>
      <c r="F692" s="173"/>
      <c r="G692" s="172"/>
      <c r="H692" s="172"/>
      <c r="I692" s="172"/>
      <c r="J692" s="172"/>
      <c r="K692" s="172"/>
    </row>
    <row r="693">
      <c r="C693" s="139"/>
      <c r="D693" s="139"/>
      <c r="E693" s="18"/>
      <c r="F693" s="173"/>
      <c r="G693" s="172"/>
      <c r="H693" s="172"/>
      <c r="I693" s="172"/>
      <c r="J693" s="172"/>
      <c r="K693" s="172"/>
    </row>
    <row r="694">
      <c r="C694" s="139"/>
      <c r="D694" s="139"/>
      <c r="E694" s="18"/>
      <c r="F694" s="173"/>
      <c r="G694" s="172"/>
      <c r="H694" s="172"/>
      <c r="I694" s="172"/>
      <c r="J694" s="172"/>
      <c r="K694" s="172"/>
    </row>
    <row r="695">
      <c r="C695" s="139"/>
      <c r="D695" s="139"/>
      <c r="E695" s="18"/>
      <c r="F695" s="173"/>
      <c r="G695" s="172"/>
      <c r="H695" s="172"/>
      <c r="I695" s="172"/>
      <c r="J695" s="172"/>
      <c r="K695" s="172"/>
    </row>
    <row r="696">
      <c r="C696" s="139"/>
      <c r="D696" s="139"/>
      <c r="E696" s="18"/>
      <c r="F696" s="173"/>
      <c r="G696" s="172"/>
      <c r="H696" s="172"/>
      <c r="I696" s="172"/>
      <c r="J696" s="172"/>
      <c r="K696" s="172"/>
    </row>
    <row r="697">
      <c r="C697" s="139"/>
      <c r="D697" s="139"/>
      <c r="E697" s="18"/>
      <c r="F697" s="173"/>
      <c r="G697" s="172"/>
      <c r="H697" s="172"/>
      <c r="I697" s="172"/>
      <c r="J697" s="172"/>
      <c r="K697" s="172"/>
    </row>
    <row r="698">
      <c r="C698" s="139"/>
      <c r="D698" s="139"/>
      <c r="E698" s="18"/>
      <c r="F698" s="173"/>
      <c r="G698" s="172"/>
      <c r="H698" s="172"/>
      <c r="I698" s="172"/>
      <c r="J698" s="172"/>
      <c r="K698" s="172"/>
    </row>
    <row r="699">
      <c r="C699" s="139"/>
      <c r="D699" s="139"/>
      <c r="E699" s="18"/>
      <c r="F699" s="173"/>
      <c r="G699" s="172"/>
      <c r="H699" s="172"/>
      <c r="I699" s="172"/>
      <c r="J699" s="172"/>
      <c r="K699" s="172"/>
    </row>
    <row r="700">
      <c r="C700" s="139"/>
      <c r="D700" s="139"/>
      <c r="E700" s="18"/>
      <c r="F700" s="173"/>
      <c r="G700" s="172"/>
      <c r="H700" s="172"/>
      <c r="I700" s="172"/>
      <c r="J700" s="172"/>
      <c r="K700" s="172"/>
    </row>
    <row r="701">
      <c r="C701" s="139"/>
      <c r="D701" s="139"/>
      <c r="E701" s="18"/>
      <c r="F701" s="173"/>
      <c r="G701" s="172"/>
      <c r="H701" s="172"/>
      <c r="I701" s="172"/>
      <c r="J701" s="172"/>
      <c r="K701" s="172"/>
    </row>
    <row r="702">
      <c r="C702" s="139"/>
      <c r="D702" s="139"/>
      <c r="E702" s="18"/>
      <c r="F702" s="173"/>
      <c r="G702" s="172"/>
      <c r="H702" s="172"/>
      <c r="I702" s="172"/>
      <c r="J702" s="172"/>
      <c r="K702" s="172"/>
    </row>
    <row r="703">
      <c r="C703" s="139"/>
      <c r="D703" s="139"/>
      <c r="E703" s="18"/>
      <c r="F703" s="173"/>
      <c r="G703" s="172"/>
      <c r="H703" s="172"/>
      <c r="I703" s="172"/>
      <c r="J703" s="172"/>
      <c r="K703" s="172"/>
    </row>
    <row r="704">
      <c r="C704" s="139"/>
      <c r="D704" s="139"/>
      <c r="E704" s="18"/>
      <c r="F704" s="173"/>
      <c r="G704" s="172"/>
      <c r="H704" s="172"/>
      <c r="I704" s="172"/>
      <c r="J704" s="172"/>
      <c r="K704" s="172"/>
    </row>
    <row r="705">
      <c r="C705" s="139"/>
      <c r="D705" s="139"/>
      <c r="E705" s="18"/>
      <c r="F705" s="173"/>
      <c r="G705" s="172"/>
      <c r="H705" s="172"/>
      <c r="I705" s="172"/>
      <c r="J705" s="172"/>
      <c r="K705" s="172"/>
    </row>
    <row r="706">
      <c r="C706" s="139"/>
      <c r="D706" s="139"/>
      <c r="E706" s="18"/>
      <c r="F706" s="173"/>
      <c r="G706" s="172"/>
      <c r="H706" s="172"/>
      <c r="I706" s="172"/>
      <c r="J706" s="172"/>
      <c r="K706" s="172"/>
    </row>
    <row r="707">
      <c r="C707" s="139"/>
      <c r="D707" s="139"/>
      <c r="E707" s="18"/>
      <c r="F707" s="173"/>
      <c r="G707" s="172"/>
      <c r="H707" s="172"/>
      <c r="I707" s="172"/>
      <c r="J707" s="172"/>
      <c r="K707" s="172"/>
    </row>
    <row r="708">
      <c r="C708" s="139"/>
      <c r="D708" s="139"/>
      <c r="E708" s="18"/>
      <c r="F708" s="173"/>
      <c r="G708" s="172"/>
      <c r="H708" s="172"/>
      <c r="I708" s="172"/>
      <c r="J708" s="172"/>
      <c r="K708" s="172"/>
    </row>
    <row r="709">
      <c r="C709" s="139"/>
      <c r="D709" s="139"/>
      <c r="E709" s="18"/>
      <c r="F709" s="173"/>
      <c r="G709" s="172"/>
      <c r="H709" s="172"/>
      <c r="I709" s="172"/>
      <c r="J709" s="172"/>
      <c r="K709" s="172"/>
    </row>
    <row r="710">
      <c r="C710" s="139"/>
      <c r="D710" s="139"/>
      <c r="E710" s="18"/>
      <c r="F710" s="173"/>
      <c r="G710" s="172"/>
      <c r="H710" s="172"/>
      <c r="I710" s="172"/>
      <c r="J710" s="172"/>
      <c r="K710" s="172"/>
    </row>
    <row r="711">
      <c r="C711" s="139"/>
      <c r="D711" s="139"/>
      <c r="E711" s="18"/>
      <c r="F711" s="173"/>
      <c r="G711" s="172"/>
      <c r="H711" s="172"/>
      <c r="I711" s="172"/>
      <c r="J711" s="172"/>
      <c r="K711" s="172"/>
    </row>
    <row r="712">
      <c r="C712" s="139"/>
      <c r="D712" s="139"/>
      <c r="E712" s="18"/>
      <c r="F712" s="173"/>
      <c r="G712" s="172"/>
      <c r="H712" s="172"/>
      <c r="I712" s="172"/>
      <c r="J712" s="172"/>
      <c r="K712" s="172"/>
    </row>
    <row r="713">
      <c r="C713" s="139"/>
      <c r="D713" s="139"/>
      <c r="E713" s="18"/>
      <c r="F713" s="173"/>
      <c r="G713" s="172"/>
      <c r="H713" s="172"/>
      <c r="I713" s="172"/>
      <c r="J713" s="172"/>
      <c r="K713" s="172"/>
    </row>
    <row r="714">
      <c r="C714" s="139"/>
      <c r="D714" s="139"/>
      <c r="E714" s="18"/>
      <c r="F714" s="173"/>
      <c r="G714" s="172"/>
      <c r="H714" s="172"/>
      <c r="I714" s="172"/>
      <c r="J714" s="172"/>
      <c r="K714" s="172"/>
    </row>
    <row r="715">
      <c r="C715" s="139"/>
      <c r="D715" s="139"/>
      <c r="E715" s="18"/>
      <c r="F715" s="173"/>
      <c r="G715" s="172"/>
      <c r="H715" s="172"/>
      <c r="I715" s="172"/>
      <c r="J715" s="172"/>
      <c r="K715" s="172"/>
    </row>
    <row r="716">
      <c r="C716" s="139"/>
      <c r="D716" s="139"/>
      <c r="E716" s="18"/>
      <c r="F716" s="173"/>
      <c r="G716" s="172"/>
      <c r="H716" s="172"/>
      <c r="I716" s="172"/>
      <c r="J716" s="172"/>
      <c r="K716" s="172"/>
    </row>
    <row r="717">
      <c r="C717" s="139"/>
      <c r="D717" s="139"/>
      <c r="E717" s="18"/>
      <c r="F717" s="173"/>
      <c r="G717" s="172"/>
      <c r="H717" s="172"/>
      <c r="I717" s="172"/>
      <c r="J717" s="172"/>
      <c r="K717" s="172"/>
    </row>
    <row r="718">
      <c r="C718" s="139"/>
      <c r="D718" s="139"/>
      <c r="E718" s="18"/>
      <c r="F718" s="173"/>
      <c r="G718" s="172"/>
      <c r="H718" s="172"/>
      <c r="I718" s="172"/>
      <c r="J718" s="172"/>
      <c r="K718" s="172"/>
    </row>
    <row r="719">
      <c r="C719" s="139"/>
      <c r="D719" s="139"/>
      <c r="E719" s="18"/>
      <c r="F719" s="173"/>
      <c r="G719" s="172"/>
      <c r="H719" s="172"/>
      <c r="I719" s="172"/>
      <c r="J719" s="172"/>
      <c r="K719" s="172"/>
    </row>
    <row r="720">
      <c r="C720" s="139"/>
      <c r="D720" s="139"/>
      <c r="E720" s="18"/>
      <c r="F720" s="173"/>
      <c r="G720" s="172"/>
      <c r="H720" s="172"/>
      <c r="I720" s="172"/>
      <c r="J720" s="172"/>
      <c r="K720" s="172"/>
    </row>
    <row r="721">
      <c r="C721" s="139"/>
      <c r="D721" s="139"/>
      <c r="E721" s="18"/>
      <c r="F721" s="173"/>
      <c r="G721" s="172"/>
      <c r="H721" s="172"/>
      <c r="I721" s="172"/>
      <c r="J721" s="172"/>
      <c r="K721" s="172"/>
    </row>
    <row r="722">
      <c r="C722" s="139"/>
      <c r="D722" s="139"/>
      <c r="E722" s="18"/>
      <c r="F722" s="173"/>
      <c r="G722" s="172"/>
      <c r="H722" s="172"/>
      <c r="I722" s="172"/>
      <c r="J722" s="172"/>
      <c r="K722" s="172"/>
    </row>
    <row r="723">
      <c r="C723" s="139"/>
      <c r="D723" s="139"/>
      <c r="E723" s="18"/>
      <c r="F723" s="173"/>
      <c r="G723" s="172"/>
      <c r="H723" s="172"/>
      <c r="I723" s="172"/>
      <c r="J723" s="172"/>
      <c r="K723" s="172"/>
    </row>
    <row r="724">
      <c r="C724" s="139"/>
      <c r="D724" s="139"/>
      <c r="E724" s="18"/>
      <c r="F724" s="173"/>
      <c r="G724" s="172"/>
      <c r="H724" s="172"/>
      <c r="I724" s="172"/>
      <c r="J724" s="172"/>
      <c r="K724" s="172"/>
    </row>
    <row r="725">
      <c r="C725" s="139"/>
      <c r="D725" s="139"/>
      <c r="E725" s="18"/>
      <c r="F725" s="173"/>
      <c r="G725" s="172"/>
      <c r="H725" s="172"/>
      <c r="I725" s="172"/>
      <c r="J725" s="172"/>
      <c r="K725" s="172"/>
    </row>
    <row r="726">
      <c r="C726" s="139"/>
      <c r="D726" s="139"/>
      <c r="E726" s="18"/>
      <c r="F726" s="173"/>
      <c r="G726" s="172"/>
      <c r="H726" s="172"/>
      <c r="I726" s="172"/>
      <c r="J726" s="172"/>
      <c r="K726" s="172"/>
    </row>
    <row r="727">
      <c r="C727" s="139"/>
      <c r="D727" s="139"/>
      <c r="E727" s="18"/>
      <c r="F727" s="173"/>
      <c r="G727" s="172"/>
      <c r="H727" s="172"/>
      <c r="I727" s="172"/>
      <c r="J727" s="172"/>
      <c r="K727" s="172"/>
    </row>
    <row r="728">
      <c r="C728" s="139"/>
      <c r="D728" s="139"/>
      <c r="E728" s="18"/>
      <c r="F728" s="173"/>
      <c r="G728" s="172"/>
      <c r="H728" s="172"/>
      <c r="I728" s="172"/>
      <c r="J728" s="172"/>
      <c r="K728" s="172"/>
    </row>
    <row r="729">
      <c r="C729" s="139"/>
      <c r="D729" s="139"/>
      <c r="E729" s="18"/>
      <c r="F729" s="173"/>
      <c r="G729" s="172"/>
      <c r="H729" s="172"/>
      <c r="I729" s="172"/>
      <c r="J729" s="172"/>
      <c r="K729" s="172"/>
    </row>
    <row r="730">
      <c r="C730" s="139"/>
      <c r="D730" s="139"/>
      <c r="E730" s="18"/>
      <c r="F730" s="173"/>
      <c r="G730" s="172"/>
      <c r="H730" s="172"/>
      <c r="I730" s="172"/>
      <c r="J730" s="172"/>
      <c r="K730" s="172"/>
    </row>
    <row r="731">
      <c r="C731" s="139"/>
      <c r="D731" s="139"/>
      <c r="E731" s="18"/>
      <c r="F731" s="173"/>
      <c r="G731" s="172"/>
      <c r="H731" s="172"/>
      <c r="I731" s="172"/>
      <c r="J731" s="172"/>
      <c r="K731" s="172"/>
    </row>
    <row r="732">
      <c r="C732" s="139"/>
      <c r="D732" s="139"/>
      <c r="E732" s="18"/>
      <c r="F732" s="173"/>
      <c r="G732" s="172"/>
      <c r="H732" s="172"/>
      <c r="I732" s="172"/>
      <c r="J732" s="172"/>
      <c r="K732" s="172"/>
    </row>
    <row r="733">
      <c r="C733" s="139"/>
      <c r="D733" s="139"/>
      <c r="E733" s="18"/>
      <c r="F733" s="173"/>
      <c r="G733" s="172"/>
      <c r="H733" s="172"/>
      <c r="I733" s="172"/>
      <c r="J733" s="172"/>
      <c r="K733" s="172"/>
    </row>
    <row r="734">
      <c r="C734" s="139"/>
      <c r="D734" s="139"/>
      <c r="E734" s="18"/>
      <c r="F734" s="173"/>
      <c r="G734" s="172"/>
      <c r="H734" s="172"/>
      <c r="I734" s="172"/>
      <c r="J734" s="172"/>
      <c r="K734" s="172"/>
    </row>
    <row r="735">
      <c r="C735" s="139"/>
      <c r="D735" s="139"/>
      <c r="E735" s="18"/>
      <c r="F735" s="173"/>
      <c r="G735" s="172"/>
      <c r="H735" s="172"/>
      <c r="I735" s="172"/>
      <c r="J735" s="172"/>
      <c r="K735" s="172"/>
    </row>
    <row r="736">
      <c r="C736" s="139"/>
      <c r="D736" s="139"/>
      <c r="E736" s="18"/>
      <c r="F736" s="173"/>
      <c r="G736" s="172"/>
      <c r="H736" s="172"/>
      <c r="I736" s="172"/>
      <c r="J736" s="172"/>
      <c r="K736" s="172"/>
    </row>
    <row r="737">
      <c r="C737" s="139"/>
      <c r="D737" s="139"/>
      <c r="E737" s="18"/>
      <c r="F737" s="173"/>
      <c r="G737" s="172"/>
      <c r="H737" s="172"/>
      <c r="I737" s="172"/>
      <c r="J737" s="172"/>
      <c r="K737" s="172"/>
    </row>
    <row r="738">
      <c r="C738" s="139"/>
      <c r="D738" s="139"/>
      <c r="E738" s="18"/>
      <c r="F738" s="173"/>
      <c r="G738" s="172"/>
      <c r="H738" s="172"/>
      <c r="I738" s="172"/>
      <c r="J738" s="172"/>
      <c r="K738" s="172"/>
    </row>
    <row r="739">
      <c r="C739" s="139"/>
      <c r="D739" s="139"/>
      <c r="E739" s="18"/>
      <c r="F739" s="173"/>
      <c r="G739" s="172"/>
      <c r="H739" s="172"/>
      <c r="I739" s="172"/>
      <c r="J739" s="172"/>
      <c r="K739" s="172"/>
    </row>
    <row r="740">
      <c r="C740" s="139"/>
      <c r="D740" s="139"/>
      <c r="E740" s="18"/>
      <c r="F740" s="173"/>
      <c r="G740" s="172"/>
      <c r="H740" s="172"/>
      <c r="I740" s="172"/>
      <c r="J740" s="172"/>
      <c r="K740" s="172"/>
    </row>
    <row r="741">
      <c r="C741" s="139"/>
      <c r="D741" s="139"/>
      <c r="E741" s="18"/>
      <c r="F741" s="173"/>
      <c r="G741" s="172"/>
      <c r="H741" s="172"/>
      <c r="I741" s="172"/>
      <c r="J741" s="172"/>
      <c r="K741" s="172"/>
    </row>
    <row r="742">
      <c r="C742" s="139"/>
      <c r="D742" s="139"/>
      <c r="E742" s="18"/>
      <c r="F742" s="173"/>
      <c r="G742" s="172"/>
      <c r="H742" s="172"/>
      <c r="I742" s="172"/>
      <c r="J742" s="172"/>
      <c r="K742" s="172"/>
    </row>
    <row r="743">
      <c r="C743" s="139"/>
      <c r="D743" s="139"/>
      <c r="E743" s="18"/>
      <c r="F743" s="173"/>
      <c r="G743" s="172"/>
      <c r="H743" s="172"/>
      <c r="I743" s="172"/>
      <c r="J743" s="172"/>
      <c r="K743" s="172"/>
    </row>
    <row r="744">
      <c r="C744" s="139"/>
      <c r="D744" s="139"/>
      <c r="E744" s="18"/>
      <c r="F744" s="173"/>
      <c r="G744" s="172"/>
      <c r="H744" s="172"/>
      <c r="I744" s="172"/>
      <c r="J744" s="172"/>
      <c r="K744" s="172"/>
    </row>
    <row r="745">
      <c r="C745" s="139"/>
      <c r="D745" s="139"/>
      <c r="E745" s="18"/>
      <c r="F745" s="173"/>
      <c r="G745" s="172"/>
      <c r="H745" s="172"/>
      <c r="I745" s="172"/>
      <c r="J745" s="172"/>
      <c r="K745" s="172"/>
    </row>
    <row r="746">
      <c r="C746" s="139"/>
      <c r="D746" s="139"/>
      <c r="E746" s="18"/>
      <c r="F746" s="173"/>
      <c r="G746" s="172"/>
      <c r="H746" s="172"/>
      <c r="I746" s="172"/>
      <c r="J746" s="172"/>
      <c r="K746" s="172"/>
    </row>
    <row r="747">
      <c r="C747" s="139"/>
      <c r="D747" s="139"/>
      <c r="E747" s="18"/>
      <c r="F747" s="173"/>
      <c r="G747" s="172"/>
      <c r="H747" s="172"/>
      <c r="I747" s="172"/>
      <c r="J747" s="172"/>
      <c r="K747" s="172"/>
    </row>
    <row r="748">
      <c r="C748" s="139"/>
      <c r="D748" s="139"/>
      <c r="E748" s="18"/>
      <c r="F748" s="173"/>
      <c r="G748" s="172"/>
      <c r="H748" s="172"/>
      <c r="I748" s="172"/>
      <c r="J748" s="172"/>
      <c r="K748" s="172"/>
    </row>
    <row r="749">
      <c r="C749" s="139"/>
      <c r="D749" s="139"/>
      <c r="E749" s="18"/>
      <c r="F749" s="173"/>
      <c r="G749" s="172"/>
      <c r="H749" s="172"/>
      <c r="I749" s="172"/>
      <c r="J749" s="172"/>
      <c r="K749" s="172"/>
    </row>
    <row r="750">
      <c r="C750" s="139"/>
      <c r="D750" s="139"/>
      <c r="E750" s="18"/>
      <c r="F750" s="173"/>
      <c r="G750" s="172"/>
      <c r="H750" s="172"/>
      <c r="I750" s="172"/>
      <c r="J750" s="172"/>
      <c r="K750" s="172"/>
    </row>
    <row r="751">
      <c r="C751" s="139"/>
      <c r="D751" s="139"/>
      <c r="E751" s="18"/>
      <c r="F751" s="173"/>
      <c r="G751" s="172"/>
      <c r="H751" s="172"/>
      <c r="I751" s="172"/>
      <c r="J751" s="172"/>
      <c r="K751" s="172"/>
    </row>
    <row r="752">
      <c r="C752" s="139"/>
      <c r="D752" s="139"/>
      <c r="E752" s="18"/>
      <c r="F752" s="173"/>
      <c r="G752" s="172"/>
      <c r="H752" s="172"/>
      <c r="I752" s="172"/>
      <c r="J752" s="172"/>
      <c r="K752" s="172"/>
    </row>
    <row r="753">
      <c r="C753" s="139"/>
      <c r="D753" s="139"/>
      <c r="E753" s="18"/>
      <c r="F753" s="173"/>
      <c r="G753" s="172"/>
      <c r="H753" s="172"/>
      <c r="I753" s="172"/>
      <c r="J753" s="172"/>
      <c r="K753" s="172"/>
    </row>
    <row r="754">
      <c r="C754" s="139"/>
      <c r="D754" s="139"/>
      <c r="E754" s="18"/>
      <c r="F754" s="173"/>
      <c r="G754" s="172"/>
      <c r="H754" s="172"/>
      <c r="I754" s="172"/>
      <c r="J754" s="172"/>
      <c r="K754" s="172"/>
    </row>
    <row r="755">
      <c r="C755" s="139"/>
      <c r="D755" s="139"/>
      <c r="E755" s="18"/>
      <c r="F755" s="173"/>
      <c r="G755" s="172"/>
      <c r="H755" s="172"/>
      <c r="I755" s="172"/>
      <c r="J755" s="172"/>
      <c r="K755" s="172"/>
    </row>
    <row r="756">
      <c r="C756" s="139"/>
      <c r="D756" s="139"/>
      <c r="E756" s="18"/>
      <c r="F756" s="173"/>
      <c r="G756" s="172"/>
      <c r="H756" s="172"/>
      <c r="I756" s="172"/>
      <c r="J756" s="172"/>
      <c r="K756" s="172"/>
    </row>
    <row r="757">
      <c r="C757" s="139"/>
      <c r="D757" s="139"/>
      <c r="E757" s="18"/>
      <c r="F757" s="173"/>
      <c r="G757" s="172"/>
      <c r="H757" s="172"/>
      <c r="I757" s="172"/>
      <c r="J757" s="172"/>
      <c r="K757" s="172"/>
    </row>
    <row r="758">
      <c r="C758" s="139"/>
      <c r="D758" s="139"/>
      <c r="E758" s="18"/>
      <c r="F758" s="173"/>
      <c r="G758" s="172"/>
      <c r="H758" s="172"/>
      <c r="I758" s="172"/>
      <c r="J758" s="172"/>
      <c r="K758" s="172"/>
    </row>
    <row r="759">
      <c r="C759" s="139"/>
      <c r="D759" s="139"/>
      <c r="E759" s="18"/>
      <c r="F759" s="173"/>
      <c r="G759" s="172"/>
      <c r="H759" s="172"/>
      <c r="I759" s="172"/>
      <c r="J759" s="172"/>
      <c r="K759" s="172"/>
    </row>
    <row r="760">
      <c r="C760" s="139"/>
      <c r="D760" s="139"/>
      <c r="E760" s="18"/>
      <c r="F760" s="173"/>
      <c r="G760" s="172"/>
      <c r="H760" s="172"/>
      <c r="I760" s="172"/>
      <c r="J760" s="172"/>
      <c r="K760" s="172"/>
    </row>
    <row r="761">
      <c r="C761" s="139"/>
      <c r="D761" s="139"/>
      <c r="E761" s="18"/>
      <c r="F761" s="173"/>
      <c r="G761" s="172"/>
      <c r="H761" s="172"/>
      <c r="I761" s="172"/>
      <c r="J761" s="172"/>
      <c r="K761" s="172"/>
    </row>
    <row r="762">
      <c r="C762" s="139"/>
      <c r="D762" s="139"/>
      <c r="E762" s="18"/>
      <c r="F762" s="173"/>
      <c r="G762" s="172"/>
      <c r="H762" s="172"/>
      <c r="I762" s="172"/>
      <c r="J762" s="172"/>
      <c r="K762" s="172"/>
    </row>
    <row r="763">
      <c r="C763" s="139"/>
      <c r="D763" s="139"/>
      <c r="E763" s="18"/>
      <c r="F763" s="173"/>
      <c r="G763" s="172"/>
      <c r="H763" s="172"/>
      <c r="I763" s="172"/>
      <c r="J763" s="172"/>
      <c r="K763" s="172"/>
    </row>
    <row r="764">
      <c r="C764" s="139"/>
      <c r="D764" s="139"/>
      <c r="E764" s="18"/>
      <c r="F764" s="173"/>
      <c r="G764" s="172"/>
      <c r="H764" s="172"/>
      <c r="I764" s="172"/>
      <c r="J764" s="172"/>
      <c r="K764" s="172"/>
    </row>
    <row r="765">
      <c r="C765" s="139"/>
      <c r="D765" s="139"/>
      <c r="E765" s="18"/>
      <c r="F765" s="173"/>
      <c r="G765" s="172"/>
      <c r="H765" s="172"/>
      <c r="I765" s="172"/>
      <c r="J765" s="172"/>
      <c r="K765" s="172"/>
    </row>
    <row r="766">
      <c r="C766" s="139"/>
      <c r="D766" s="139"/>
      <c r="E766" s="18"/>
      <c r="F766" s="173"/>
      <c r="G766" s="172"/>
      <c r="H766" s="172"/>
      <c r="I766" s="172"/>
      <c r="J766" s="172"/>
      <c r="K766" s="172"/>
    </row>
    <row r="767">
      <c r="C767" s="139"/>
      <c r="D767" s="139"/>
      <c r="E767" s="18"/>
      <c r="F767" s="173"/>
      <c r="G767" s="172"/>
      <c r="H767" s="172"/>
      <c r="I767" s="172"/>
      <c r="J767" s="172"/>
      <c r="K767" s="172"/>
    </row>
    <row r="768">
      <c r="C768" s="139"/>
      <c r="D768" s="139"/>
      <c r="E768" s="18"/>
      <c r="F768" s="173"/>
      <c r="G768" s="172"/>
      <c r="H768" s="172"/>
      <c r="I768" s="172"/>
      <c r="J768" s="172"/>
      <c r="K768" s="172"/>
    </row>
    <row r="769">
      <c r="C769" s="139"/>
      <c r="D769" s="139"/>
      <c r="E769" s="18"/>
      <c r="F769" s="173"/>
      <c r="G769" s="172"/>
      <c r="H769" s="172"/>
      <c r="I769" s="172"/>
      <c r="J769" s="172"/>
      <c r="K769" s="172"/>
    </row>
    <row r="770">
      <c r="C770" s="139"/>
      <c r="D770" s="139"/>
      <c r="E770" s="18"/>
      <c r="F770" s="173"/>
      <c r="G770" s="172"/>
      <c r="H770" s="172"/>
      <c r="I770" s="172"/>
      <c r="J770" s="172"/>
      <c r="K770" s="172"/>
    </row>
    <row r="771">
      <c r="C771" s="139"/>
      <c r="D771" s="139"/>
      <c r="E771" s="18"/>
      <c r="F771" s="173"/>
      <c r="G771" s="172"/>
      <c r="H771" s="172"/>
      <c r="I771" s="172"/>
      <c r="J771" s="172"/>
      <c r="K771" s="172"/>
    </row>
    <row r="772">
      <c r="C772" s="139"/>
      <c r="D772" s="139"/>
      <c r="E772" s="18"/>
      <c r="F772" s="173"/>
      <c r="G772" s="172"/>
      <c r="H772" s="172"/>
      <c r="I772" s="172"/>
      <c r="J772" s="172"/>
      <c r="K772" s="172"/>
    </row>
    <row r="773">
      <c r="C773" s="139"/>
      <c r="D773" s="139"/>
      <c r="E773" s="18"/>
      <c r="F773" s="173"/>
      <c r="G773" s="172"/>
      <c r="H773" s="172"/>
      <c r="I773" s="172"/>
      <c r="J773" s="172"/>
      <c r="K773" s="172"/>
    </row>
    <row r="774">
      <c r="C774" s="139"/>
      <c r="D774" s="139"/>
      <c r="E774" s="18"/>
      <c r="F774" s="173"/>
      <c r="G774" s="172"/>
      <c r="H774" s="172"/>
      <c r="I774" s="172"/>
      <c r="J774" s="172"/>
      <c r="K774" s="172"/>
    </row>
    <row r="775">
      <c r="C775" s="139"/>
      <c r="D775" s="139"/>
      <c r="E775" s="18"/>
      <c r="F775" s="173"/>
      <c r="G775" s="172"/>
      <c r="H775" s="172"/>
      <c r="I775" s="172"/>
      <c r="J775" s="172"/>
      <c r="K775" s="172"/>
    </row>
    <row r="776">
      <c r="C776" s="139"/>
      <c r="D776" s="139"/>
      <c r="E776" s="18"/>
      <c r="F776" s="173"/>
      <c r="G776" s="172"/>
      <c r="H776" s="172"/>
      <c r="I776" s="172"/>
      <c r="J776" s="172"/>
      <c r="K776" s="172"/>
    </row>
    <row r="777">
      <c r="C777" s="139"/>
      <c r="D777" s="139"/>
      <c r="E777" s="18"/>
      <c r="F777" s="173"/>
      <c r="G777" s="172"/>
      <c r="H777" s="172"/>
      <c r="I777" s="172"/>
      <c r="J777" s="172"/>
      <c r="K777" s="172"/>
    </row>
    <row r="778">
      <c r="C778" s="139"/>
      <c r="D778" s="139"/>
      <c r="E778" s="18"/>
      <c r="F778" s="173"/>
      <c r="G778" s="172"/>
      <c r="H778" s="172"/>
      <c r="I778" s="172"/>
      <c r="J778" s="172"/>
      <c r="K778" s="172"/>
    </row>
    <row r="779">
      <c r="C779" s="139"/>
      <c r="D779" s="139"/>
      <c r="E779" s="18"/>
      <c r="F779" s="173"/>
      <c r="G779" s="172"/>
      <c r="H779" s="172"/>
      <c r="I779" s="172"/>
      <c r="J779" s="172"/>
      <c r="K779" s="172"/>
    </row>
    <row r="780">
      <c r="C780" s="139"/>
      <c r="D780" s="139"/>
      <c r="E780" s="18"/>
      <c r="F780" s="173"/>
      <c r="G780" s="172"/>
      <c r="H780" s="172"/>
      <c r="I780" s="172"/>
      <c r="J780" s="172"/>
      <c r="K780" s="172"/>
    </row>
    <row r="781">
      <c r="C781" s="139"/>
      <c r="D781" s="139"/>
      <c r="E781" s="18"/>
      <c r="F781" s="173"/>
      <c r="G781" s="172"/>
      <c r="H781" s="172"/>
      <c r="I781" s="172"/>
      <c r="J781" s="172"/>
      <c r="K781" s="172"/>
    </row>
    <row r="782">
      <c r="C782" s="139"/>
      <c r="D782" s="139"/>
      <c r="E782" s="18"/>
      <c r="F782" s="173"/>
      <c r="G782" s="172"/>
      <c r="H782" s="172"/>
      <c r="I782" s="172"/>
      <c r="J782" s="172"/>
      <c r="K782" s="172"/>
    </row>
    <row r="783">
      <c r="C783" s="139"/>
      <c r="D783" s="139"/>
      <c r="E783" s="18"/>
      <c r="F783" s="173"/>
      <c r="G783" s="172"/>
      <c r="H783" s="172"/>
      <c r="I783" s="172"/>
      <c r="J783" s="172"/>
      <c r="K783" s="172"/>
    </row>
    <row r="784">
      <c r="C784" s="139"/>
      <c r="D784" s="139"/>
      <c r="E784" s="18"/>
      <c r="F784" s="173"/>
      <c r="G784" s="172"/>
      <c r="H784" s="172"/>
      <c r="I784" s="172"/>
      <c r="J784" s="172"/>
      <c r="K784" s="172"/>
    </row>
    <row r="785">
      <c r="C785" s="139"/>
      <c r="D785" s="139"/>
      <c r="E785" s="18"/>
      <c r="F785" s="173"/>
      <c r="G785" s="172"/>
      <c r="H785" s="172"/>
      <c r="I785" s="172"/>
      <c r="J785" s="172"/>
      <c r="K785" s="172"/>
    </row>
    <row r="786">
      <c r="C786" s="139"/>
      <c r="D786" s="139"/>
      <c r="E786" s="18"/>
      <c r="F786" s="173"/>
      <c r="G786" s="172"/>
      <c r="H786" s="172"/>
      <c r="I786" s="172"/>
      <c r="J786" s="172"/>
      <c r="K786" s="172"/>
    </row>
    <row r="787">
      <c r="C787" s="139"/>
      <c r="D787" s="139"/>
      <c r="E787" s="18"/>
      <c r="F787" s="173"/>
      <c r="G787" s="172"/>
      <c r="H787" s="172"/>
      <c r="I787" s="172"/>
      <c r="J787" s="172"/>
      <c r="K787" s="172"/>
    </row>
    <row r="788">
      <c r="C788" s="139"/>
      <c r="D788" s="139"/>
      <c r="E788" s="18"/>
      <c r="F788" s="173"/>
      <c r="G788" s="172"/>
      <c r="H788" s="172"/>
      <c r="I788" s="172"/>
      <c r="J788" s="172"/>
      <c r="K788" s="172"/>
    </row>
    <row r="789">
      <c r="C789" s="139"/>
      <c r="D789" s="139"/>
      <c r="E789" s="18"/>
      <c r="F789" s="173"/>
      <c r="G789" s="172"/>
      <c r="H789" s="172"/>
      <c r="I789" s="172"/>
      <c r="J789" s="172"/>
      <c r="K789" s="172"/>
    </row>
    <row r="790">
      <c r="C790" s="139"/>
      <c r="D790" s="139"/>
      <c r="E790" s="18"/>
      <c r="F790" s="173"/>
      <c r="G790" s="172"/>
      <c r="H790" s="172"/>
      <c r="I790" s="172"/>
      <c r="J790" s="172"/>
      <c r="K790" s="172"/>
    </row>
    <row r="791">
      <c r="C791" s="139"/>
      <c r="D791" s="139"/>
      <c r="E791" s="18"/>
      <c r="F791" s="173"/>
      <c r="G791" s="172"/>
      <c r="H791" s="172"/>
      <c r="I791" s="172"/>
      <c r="J791" s="172"/>
      <c r="K791" s="172"/>
    </row>
    <row r="792">
      <c r="C792" s="139"/>
      <c r="D792" s="139"/>
      <c r="E792" s="18"/>
      <c r="F792" s="173"/>
      <c r="G792" s="172"/>
      <c r="H792" s="172"/>
      <c r="I792" s="172"/>
      <c r="J792" s="172"/>
      <c r="K792" s="172"/>
    </row>
    <row r="793">
      <c r="C793" s="139"/>
      <c r="D793" s="139"/>
      <c r="E793" s="18"/>
      <c r="F793" s="173"/>
      <c r="G793" s="172"/>
      <c r="H793" s="172"/>
      <c r="I793" s="172"/>
      <c r="J793" s="172"/>
      <c r="K793" s="172"/>
    </row>
    <row r="794">
      <c r="C794" s="139"/>
      <c r="D794" s="139"/>
      <c r="E794" s="18"/>
      <c r="F794" s="173"/>
      <c r="G794" s="172"/>
      <c r="H794" s="172"/>
      <c r="I794" s="172"/>
      <c r="J794" s="172"/>
      <c r="K794" s="172"/>
    </row>
    <row r="795">
      <c r="C795" s="139"/>
      <c r="D795" s="139"/>
      <c r="E795" s="18"/>
      <c r="F795" s="173"/>
      <c r="G795" s="172"/>
      <c r="H795" s="172"/>
      <c r="I795" s="172"/>
      <c r="J795" s="172"/>
      <c r="K795" s="172"/>
    </row>
    <row r="796">
      <c r="C796" s="139"/>
      <c r="D796" s="139"/>
      <c r="E796" s="18"/>
      <c r="F796" s="173"/>
      <c r="G796" s="172"/>
      <c r="H796" s="172"/>
      <c r="I796" s="172"/>
      <c r="J796" s="172"/>
      <c r="K796" s="172"/>
    </row>
    <row r="797">
      <c r="C797" s="139"/>
      <c r="D797" s="139"/>
      <c r="E797" s="18"/>
      <c r="F797" s="173"/>
      <c r="G797" s="172"/>
      <c r="H797" s="172"/>
      <c r="I797" s="172"/>
      <c r="J797" s="172"/>
      <c r="K797" s="172"/>
    </row>
    <row r="798">
      <c r="C798" s="139"/>
      <c r="D798" s="139"/>
      <c r="E798" s="18"/>
      <c r="F798" s="173"/>
      <c r="G798" s="172"/>
      <c r="H798" s="172"/>
      <c r="I798" s="172"/>
      <c r="J798" s="172"/>
      <c r="K798" s="172"/>
    </row>
    <row r="799">
      <c r="C799" s="139"/>
      <c r="D799" s="139"/>
      <c r="E799" s="18"/>
      <c r="F799" s="173"/>
      <c r="G799" s="172"/>
      <c r="H799" s="172"/>
      <c r="I799" s="172"/>
      <c r="J799" s="172"/>
      <c r="K799" s="172"/>
    </row>
    <row r="800">
      <c r="C800" s="139"/>
      <c r="D800" s="139"/>
      <c r="E800" s="18"/>
      <c r="F800" s="173"/>
      <c r="G800" s="172"/>
      <c r="H800" s="172"/>
      <c r="I800" s="172"/>
      <c r="J800" s="172"/>
      <c r="K800" s="172"/>
    </row>
    <row r="801">
      <c r="C801" s="139"/>
      <c r="D801" s="139"/>
      <c r="E801" s="18"/>
      <c r="F801" s="173"/>
      <c r="G801" s="172"/>
      <c r="H801" s="172"/>
      <c r="I801" s="172"/>
      <c r="J801" s="172"/>
      <c r="K801" s="172"/>
    </row>
    <row r="802">
      <c r="C802" s="139"/>
      <c r="D802" s="139"/>
      <c r="E802" s="18"/>
      <c r="F802" s="173"/>
      <c r="G802" s="172"/>
      <c r="H802" s="172"/>
      <c r="I802" s="172"/>
      <c r="J802" s="172"/>
      <c r="K802" s="172"/>
    </row>
    <row r="803">
      <c r="C803" s="139"/>
      <c r="D803" s="139"/>
      <c r="E803" s="18"/>
      <c r="F803" s="173"/>
      <c r="G803" s="172"/>
      <c r="H803" s="172"/>
      <c r="I803" s="172"/>
      <c r="J803" s="172"/>
      <c r="K803" s="172"/>
    </row>
    <row r="804">
      <c r="C804" s="139"/>
      <c r="D804" s="139"/>
      <c r="E804" s="18"/>
      <c r="F804" s="173"/>
      <c r="G804" s="172"/>
      <c r="H804" s="172"/>
      <c r="I804" s="172"/>
      <c r="J804" s="172"/>
      <c r="K804" s="172"/>
    </row>
    <row r="805">
      <c r="C805" s="139"/>
      <c r="D805" s="139"/>
      <c r="E805" s="18"/>
      <c r="F805" s="173"/>
      <c r="G805" s="172"/>
      <c r="H805" s="172"/>
      <c r="I805" s="172"/>
      <c r="J805" s="172"/>
      <c r="K805" s="172"/>
    </row>
    <row r="806">
      <c r="C806" s="139"/>
      <c r="D806" s="139"/>
      <c r="E806" s="18"/>
      <c r="F806" s="173"/>
      <c r="G806" s="172"/>
      <c r="H806" s="172"/>
      <c r="I806" s="172"/>
      <c r="J806" s="172"/>
      <c r="K806" s="172"/>
    </row>
    <row r="807">
      <c r="C807" s="139"/>
      <c r="D807" s="139"/>
      <c r="E807" s="18"/>
      <c r="F807" s="173"/>
      <c r="G807" s="172"/>
      <c r="H807" s="172"/>
      <c r="I807" s="172"/>
      <c r="J807" s="172"/>
      <c r="K807" s="172"/>
    </row>
    <row r="808">
      <c r="C808" s="139"/>
      <c r="D808" s="139"/>
      <c r="E808" s="18"/>
      <c r="F808" s="173"/>
      <c r="G808" s="172"/>
      <c r="H808" s="172"/>
      <c r="I808" s="172"/>
      <c r="J808" s="172"/>
      <c r="K808" s="172"/>
    </row>
    <row r="809">
      <c r="C809" s="139"/>
      <c r="D809" s="139"/>
      <c r="E809" s="18"/>
      <c r="F809" s="173"/>
      <c r="G809" s="172"/>
      <c r="H809" s="172"/>
      <c r="I809" s="172"/>
      <c r="J809" s="172"/>
      <c r="K809" s="172"/>
    </row>
    <row r="810">
      <c r="C810" s="139"/>
      <c r="D810" s="139"/>
      <c r="E810" s="18"/>
      <c r="F810" s="173"/>
      <c r="G810" s="172"/>
      <c r="H810" s="172"/>
      <c r="I810" s="172"/>
      <c r="J810" s="172"/>
      <c r="K810" s="172"/>
    </row>
    <row r="811">
      <c r="C811" s="139"/>
      <c r="D811" s="139"/>
      <c r="E811" s="18"/>
      <c r="F811" s="173"/>
      <c r="G811" s="172"/>
      <c r="H811" s="172"/>
      <c r="I811" s="172"/>
      <c r="J811" s="172"/>
      <c r="K811" s="172"/>
    </row>
    <row r="812">
      <c r="C812" s="139"/>
      <c r="D812" s="139"/>
      <c r="E812" s="18"/>
      <c r="F812" s="173"/>
      <c r="G812" s="172"/>
      <c r="H812" s="172"/>
      <c r="I812" s="172"/>
      <c r="J812" s="172"/>
      <c r="K812" s="172"/>
    </row>
    <row r="813">
      <c r="C813" s="139"/>
      <c r="D813" s="139"/>
      <c r="E813" s="18"/>
      <c r="F813" s="173"/>
      <c r="G813" s="172"/>
      <c r="H813" s="172"/>
      <c r="I813" s="172"/>
      <c r="J813" s="172"/>
      <c r="K813" s="172"/>
    </row>
    <row r="814">
      <c r="C814" s="139"/>
      <c r="D814" s="139"/>
      <c r="E814" s="18"/>
      <c r="F814" s="173"/>
      <c r="G814" s="172"/>
      <c r="H814" s="172"/>
      <c r="I814" s="172"/>
      <c r="J814" s="172"/>
      <c r="K814" s="172"/>
    </row>
    <row r="815">
      <c r="C815" s="139"/>
      <c r="D815" s="139"/>
      <c r="E815" s="18"/>
      <c r="F815" s="173"/>
      <c r="G815" s="172"/>
      <c r="H815" s="172"/>
      <c r="I815" s="172"/>
      <c r="J815" s="172"/>
      <c r="K815" s="172"/>
    </row>
    <row r="816">
      <c r="C816" s="139"/>
      <c r="D816" s="139"/>
      <c r="E816" s="18"/>
      <c r="F816" s="173"/>
      <c r="G816" s="172"/>
      <c r="H816" s="172"/>
      <c r="I816" s="172"/>
      <c r="J816" s="172"/>
      <c r="K816" s="172"/>
    </row>
    <row r="817">
      <c r="C817" s="139"/>
      <c r="D817" s="139"/>
      <c r="E817" s="18"/>
      <c r="F817" s="173"/>
      <c r="G817" s="172"/>
      <c r="H817" s="172"/>
      <c r="I817" s="172"/>
      <c r="J817" s="172"/>
      <c r="K817" s="172"/>
    </row>
    <row r="818">
      <c r="C818" s="139"/>
      <c r="D818" s="139"/>
      <c r="E818" s="18"/>
      <c r="F818" s="173"/>
      <c r="G818" s="172"/>
      <c r="H818" s="172"/>
      <c r="I818" s="172"/>
      <c r="J818" s="172"/>
      <c r="K818" s="172"/>
    </row>
    <row r="819">
      <c r="C819" s="139"/>
      <c r="D819" s="139"/>
      <c r="E819" s="18"/>
      <c r="F819" s="173"/>
      <c r="G819" s="172"/>
      <c r="H819" s="172"/>
      <c r="I819" s="172"/>
      <c r="J819" s="172"/>
      <c r="K819" s="172"/>
    </row>
    <row r="820">
      <c r="C820" s="139"/>
      <c r="D820" s="139"/>
      <c r="E820" s="18"/>
      <c r="F820" s="173"/>
      <c r="G820" s="172"/>
      <c r="H820" s="172"/>
      <c r="I820" s="172"/>
      <c r="J820" s="172"/>
      <c r="K820" s="172"/>
    </row>
    <row r="821">
      <c r="C821" s="139"/>
      <c r="D821" s="139"/>
      <c r="E821" s="18"/>
      <c r="F821" s="173"/>
      <c r="G821" s="172"/>
      <c r="H821" s="172"/>
      <c r="I821" s="172"/>
      <c r="J821" s="172"/>
      <c r="K821" s="172"/>
    </row>
    <row r="822">
      <c r="C822" s="139"/>
      <c r="D822" s="139"/>
      <c r="E822" s="18"/>
      <c r="F822" s="173"/>
      <c r="G822" s="172"/>
      <c r="H822" s="172"/>
      <c r="I822" s="172"/>
      <c r="J822" s="172"/>
      <c r="K822" s="172"/>
    </row>
    <row r="823">
      <c r="C823" s="139"/>
      <c r="D823" s="139"/>
      <c r="E823" s="18"/>
      <c r="F823" s="173"/>
      <c r="G823" s="172"/>
      <c r="H823" s="172"/>
      <c r="I823" s="172"/>
      <c r="J823" s="172"/>
      <c r="K823" s="172"/>
    </row>
    <row r="824">
      <c r="C824" s="139"/>
      <c r="D824" s="139"/>
      <c r="E824" s="18"/>
      <c r="F824" s="173"/>
      <c r="G824" s="172"/>
      <c r="H824" s="172"/>
      <c r="I824" s="172"/>
      <c r="J824" s="172"/>
      <c r="K824" s="172"/>
    </row>
    <row r="825">
      <c r="C825" s="139"/>
      <c r="D825" s="139"/>
      <c r="E825" s="18"/>
      <c r="F825" s="173"/>
      <c r="G825" s="172"/>
      <c r="H825" s="172"/>
      <c r="I825" s="172"/>
      <c r="J825" s="172"/>
      <c r="K825" s="172"/>
    </row>
    <row r="826">
      <c r="C826" s="139"/>
      <c r="D826" s="139"/>
      <c r="E826" s="18"/>
      <c r="F826" s="173"/>
      <c r="G826" s="172"/>
      <c r="H826" s="172"/>
      <c r="I826" s="172"/>
      <c r="J826" s="172"/>
      <c r="K826" s="172"/>
    </row>
    <row r="827">
      <c r="C827" s="139"/>
      <c r="D827" s="139"/>
      <c r="E827" s="18"/>
      <c r="F827" s="173"/>
      <c r="G827" s="172"/>
      <c r="H827" s="172"/>
      <c r="I827" s="172"/>
      <c r="J827" s="172"/>
      <c r="K827" s="172"/>
    </row>
    <row r="828">
      <c r="C828" s="139"/>
      <c r="D828" s="139"/>
      <c r="E828" s="18"/>
      <c r="F828" s="173"/>
      <c r="G828" s="172"/>
      <c r="H828" s="172"/>
      <c r="I828" s="172"/>
      <c r="J828" s="172"/>
      <c r="K828" s="172"/>
    </row>
    <row r="829">
      <c r="C829" s="139"/>
      <c r="D829" s="139"/>
      <c r="E829" s="18"/>
      <c r="F829" s="173"/>
      <c r="G829" s="172"/>
      <c r="H829" s="172"/>
      <c r="I829" s="172"/>
      <c r="J829" s="172"/>
      <c r="K829" s="172"/>
    </row>
    <row r="830">
      <c r="C830" s="139"/>
      <c r="D830" s="139"/>
      <c r="E830" s="18"/>
      <c r="F830" s="173"/>
      <c r="G830" s="172"/>
      <c r="H830" s="172"/>
      <c r="I830" s="172"/>
      <c r="J830" s="172"/>
      <c r="K830" s="172"/>
    </row>
    <row r="831">
      <c r="C831" s="139"/>
      <c r="D831" s="139"/>
      <c r="E831" s="18"/>
      <c r="F831" s="173"/>
      <c r="G831" s="172"/>
      <c r="H831" s="172"/>
      <c r="I831" s="172"/>
      <c r="J831" s="172"/>
      <c r="K831" s="172"/>
    </row>
    <row r="832">
      <c r="C832" s="139"/>
      <c r="D832" s="139"/>
      <c r="E832" s="18"/>
      <c r="F832" s="173"/>
      <c r="G832" s="172"/>
      <c r="H832" s="172"/>
      <c r="I832" s="172"/>
      <c r="J832" s="172"/>
      <c r="K832" s="172"/>
    </row>
    <row r="833">
      <c r="C833" s="139"/>
      <c r="D833" s="139"/>
      <c r="E833" s="18"/>
      <c r="F833" s="173"/>
      <c r="G833" s="172"/>
      <c r="H833" s="172"/>
      <c r="I833" s="172"/>
      <c r="J833" s="172"/>
      <c r="K833" s="172"/>
    </row>
    <row r="834">
      <c r="C834" s="139"/>
      <c r="D834" s="139"/>
      <c r="E834" s="18"/>
      <c r="F834" s="173"/>
      <c r="G834" s="172"/>
      <c r="H834" s="172"/>
      <c r="I834" s="172"/>
      <c r="J834" s="172"/>
      <c r="K834" s="172"/>
    </row>
    <row r="835">
      <c r="C835" s="139"/>
      <c r="D835" s="139"/>
      <c r="E835" s="18"/>
      <c r="F835" s="173"/>
      <c r="G835" s="172"/>
      <c r="H835" s="172"/>
      <c r="I835" s="172"/>
      <c r="J835" s="172"/>
      <c r="K835" s="172"/>
    </row>
    <row r="836">
      <c r="C836" s="139"/>
      <c r="D836" s="139"/>
      <c r="E836" s="18"/>
      <c r="F836" s="173"/>
      <c r="G836" s="172"/>
      <c r="H836" s="172"/>
      <c r="I836" s="172"/>
      <c r="J836" s="172"/>
      <c r="K836" s="172"/>
    </row>
    <row r="837">
      <c r="C837" s="139"/>
      <c r="D837" s="139"/>
      <c r="E837" s="18"/>
      <c r="F837" s="173"/>
      <c r="G837" s="172"/>
      <c r="H837" s="172"/>
      <c r="I837" s="172"/>
      <c r="J837" s="172"/>
      <c r="K837" s="172"/>
    </row>
    <row r="838">
      <c r="C838" s="139"/>
      <c r="D838" s="139"/>
      <c r="E838" s="18"/>
      <c r="F838" s="173"/>
      <c r="G838" s="172"/>
      <c r="H838" s="172"/>
      <c r="I838" s="172"/>
      <c r="J838" s="172"/>
      <c r="K838" s="172"/>
    </row>
    <row r="839">
      <c r="C839" s="139"/>
      <c r="D839" s="139"/>
      <c r="E839" s="18"/>
      <c r="F839" s="173"/>
      <c r="G839" s="172"/>
      <c r="H839" s="172"/>
      <c r="I839" s="172"/>
      <c r="J839" s="172"/>
      <c r="K839" s="172"/>
    </row>
    <row r="840">
      <c r="C840" s="139"/>
      <c r="D840" s="139"/>
      <c r="E840" s="18"/>
      <c r="F840" s="173"/>
      <c r="G840" s="172"/>
      <c r="H840" s="172"/>
      <c r="I840" s="172"/>
      <c r="J840" s="172"/>
      <c r="K840" s="172"/>
    </row>
    <row r="841">
      <c r="C841" s="139"/>
      <c r="D841" s="139"/>
      <c r="E841" s="18"/>
      <c r="F841" s="173"/>
      <c r="G841" s="172"/>
      <c r="H841" s="172"/>
      <c r="I841" s="172"/>
      <c r="J841" s="172"/>
      <c r="K841" s="172"/>
    </row>
    <row r="842">
      <c r="C842" s="139"/>
      <c r="D842" s="139"/>
      <c r="E842" s="18"/>
      <c r="F842" s="173"/>
      <c r="G842" s="172"/>
      <c r="H842" s="172"/>
      <c r="I842" s="172"/>
      <c r="J842" s="172"/>
      <c r="K842" s="172"/>
    </row>
    <row r="843">
      <c r="C843" s="139"/>
      <c r="D843" s="139"/>
      <c r="E843" s="18"/>
      <c r="F843" s="173"/>
      <c r="G843" s="172"/>
      <c r="H843" s="172"/>
      <c r="I843" s="172"/>
      <c r="J843" s="172"/>
      <c r="K843" s="172"/>
    </row>
    <row r="844">
      <c r="C844" s="139"/>
      <c r="D844" s="139"/>
      <c r="E844" s="18"/>
      <c r="F844" s="173"/>
      <c r="G844" s="172"/>
      <c r="H844" s="172"/>
      <c r="I844" s="172"/>
      <c r="J844" s="172"/>
      <c r="K844" s="172"/>
    </row>
    <row r="845">
      <c r="C845" s="139"/>
      <c r="D845" s="139"/>
      <c r="E845" s="18"/>
      <c r="F845" s="173"/>
      <c r="G845" s="172"/>
      <c r="H845" s="172"/>
      <c r="I845" s="172"/>
      <c r="J845" s="172"/>
      <c r="K845" s="172"/>
    </row>
    <row r="846">
      <c r="C846" s="139"/>
      <c r="D846" s="139"/>
      <c r="E846" s="18"/>
      <c r="F846" s="173"/>
      <c r="G846" s="172"/>
      <c r="H846" s="172"/>
      <c r="I846" s="172"/>
      <c r="J846" s="172"/>
      <c r="K846" s="172"/>
    </row>
    <row r="847">
      <c r="C847" s="139"/>
      <c r="D847" s="139"/>
      <c r="E847" s="18"/>
      <c r="F847" s="173"/>
      <c r="G847" s="172"/>
      <c r="H847" s="172"/>
      <c r="I847" s="172"/>
      <c r="J847" s="172"/>
      <c r="K847" s="172"/>
    </row>
    <row r="848">
      <c r="C848" s="139"/>
      <c r="D848" s="139"/>
      <c r="E848" s="18"/>
      <c r="F848" s="173"/>
      <c r="G848" s="172"/>
      <c r="H848" s="172"/>
      <c r="I848" s="172"/>
      <c r="J848" s="172"/>
      <c r="K848" s="172"/>
    </row>
    <row r="849">
      <c r="C849" s="139"/>
      <c r="D849" s="139"/>
      <c r="E849" s="18"/>
      <c r="F849" s="173"/>
      <c r="G849" s="172"/>
      <c r="H849" s="172"/>
      <c r="I849" s="172"/>
      <c r="J849" s="172"/>
      <c r="K849" s="172"/>
    </row>
    <row r="850">
      <c r="C850" s="139"/>
      <c r="D850" s="139"/>
      <c r="E850" s="18"/>
      <c r="F850" s="173"/>
      <c r="G850" s="172"/>
      <c r="H850" s="172"/>
      <c r="I850" s="172"/>
      <c r="J850" s="172"/>
      <c r="K850" s="172"/>
    </row>
    <row r="851">
      <c r="C851" s="139"/>
      <c r="D851" s="139"/>
      <c r="E851" s="18"/>
      <c r="F851" s="173"/>
      <c r="G851" s="172"/>
      <c r="H851" s="172"/>
      <c r="I851" s="172"/>
      <c r="J851" s="172"/>
      <c r="K851" s="172"/>
    </row>
    <row r="852">
      <c r="C852" s="139"/>
      <c r="D852" s="139"/>
      <c r="E852" s="18"/>
      <c r="F852" s="173"/>
      <c r="G852" s="172"/>
      <c r="H852" s="172"/>
      <c r="I852" s="172"/>
      <c r="J852" s="172"/>
      <c r="K852" s="172"/>
    </row>
    <row r="853">
      <c r="C853" s="139"/>
      <c r="D853" s="139"/>
      <c r="E853" s="18"/>
      <c r="F853" s="173"/>
      <c r="G853" s="172"/>
      <c r="H853" s="172"/>
      <c r="I853" s="172"/>
      <c r="J853" s="172"/>
      <c r="K853" s="172"/>
    </row>
    <row r="854">
      <c r="C854" s="139"/>
      <c r="D854" s="139"/>
      <c r="E854" s="18"/>
      <c r="F854" s="173"/>
      <c r="G854" s="172"/>
      <c r="H854" s="172"/>
      <c r="I854" s="172"/>
      <c r="J854" s="172"/>
      <c r="K854" s="172"/>
    </row>
    <row r="855">
      <c r="C855" s="139"/>
      <c r="D855" s="139"/>
      <c r="E855" s="18"/>
      <c r="F855" s="173"/>
      <c r="G855" s="172"/>
      <c r="H855" s="172"/>
      <c r="I855" s="172"/>
      <c r="J855" s="172"/>
      <c r="K855" s="172"/>
    </row>
    <row r="856">
      <c r="C856" s="139"/>
      <c r="D856" s="139"/>
      <c r="E856" s="18"/>
      <c r="F856" s="173"/>
      <c r="G856" s="172"/>
      <c r="H856" s="172"/>
      <c r="I856" s="172"/>
      <c r="J856" s="172"/>
      <c r="K856" s="172"/>
    </row>
    <row r="857">
      <c r="C857" s="139"/>
      <c r="D857" s="139"/>
      <c r="E857" s="18"/>
      <c r="F857" s="173"/>
      <c r="G857" s="172"/>
      <c r="H857" s="172"/>
      <c r="I857" s="172"/>
      <c r="J857" s="172"/>
      <c r="K857" s="172"/>
    </row>
    <row r="858">
      <c r="C858" s="139"/>
      <c r="D858" s="139"/>
      <c r="E858" s="18"/>
      <c r="F858" s="173"/>
      <c r="G858" s="172"/>
      <c r="H858" s="172"/>
      <c r="I858" s="172"/>
      <c r="J858" s="172"/>
      <c r="K858" s="172"/>
    </row>
    <row r="859">
      <c r="C859" s="139"/>
      <c r="D859" s="139"/>
      <c r="E859" s="18"/>
      <c r="F859" s="173"/>
      <c r="G859" s="172"/>
      <c r="H859" s="172"/>
      <c r="I859" s="172"/>
      <c r="J859" s="172"/>
      <c r="K859" s="172"/>
    </row>
    <row r="860">
      <c r="C860" s="139"/>
      <c r="D860" s="139"/>
      <c r="E860" s="18"/>
      <c r="F860" s="173"/>
      <c r="G860" s="172"/>
      <c r="H860" s="172"/>
      <c r="I860" s="172"/>
      <c r="J860" s="172"/>
      <c r="K860" s="172"/>
    </row>
    <row r="861">
      <c r="C861" s="139"/>
      <c r="D861" s="139"/>
      <c r="E861" s="18"/>
      <c r="F861" s="173"/>
      <c r="G861" s="172"/>
      <c r="H861" s="172"/>
      <c r="I861" s="172"/>
      <c r="J861" s="172"/>
      <c r="K861" s="172"/>
    </row>
    <row r="862">
      <c r="C862" s="139"/>
      <c r="D862" s="139"/>
      <c r="E862" s="18"/>
      <c r="F862" s="173"/>
      <c r="G862" s="172"/>
      <c r="H862" s="172"/>
      <c r="I862" s="172"/>
      <c r="J862" s="172"/>
      <c r="K862" s="172"/>
    </row>
    <row r="863">
      <c r="C863" s="139"/>
      <c r="D863" s="139"/>
      <c r="E863" s="18"/>
      <c r="F863" s="173"/>
      <c r="G863" s="172"/>
      <c r="H863" s="172"/>
      <c r="I863" s="172"/>
      <c r="J863" s="172"/>
      <c r="K863" s="172"/>
    </row>
    <row r="864">
      <c r="C864" s="139"/>
      <c r="D864" s="139"/>
      <c r="E864" s="18"/>
      <c r="F864" s="173"/>
      <c r="G864" s="172"/>
      <c r="H864" s="172"/>
      <c r="I864" s="172"/>
      <c r="J864" s="172"/>
      <c r="K864" s="172"/>
    </row>
    <row r="865">
      <c r="C865" s="139"/>
      <c r="D865" s="139"/>
      <c r="E865" s="18"/>
      <c r="F865" s="173"/>
      <c r="G865" s="172"/>
      <c r="H865" s="172"/>
      <c r="I865" s="172"/>
      <c r="J865" s="172"/>
      <c r="K865" s="172"/>
    </row>
    <row r="866">
      <c r="C866" s="139"/>
      <c r="D866" s="139"/>
      <c r="E866" s="18"/>
      <c r="F866" s="173"/>
      <c r="G866" s="172"/>
      <c r="H866" s="172"/>
      <c r="I866" s="172"/>
      <c r="J866" s="172"/>
      <c r="K866" s="172"/>
    </row>
    <row r="867">
      <c r="C867" s="139"/>
      <c r="D867" s="139"/>
      <c r="E867" s="18"/>
      <c r="F867" s="173"/>
      <c r="G867" s="172"/>
      <c r="H867" s="172"/>
      <c r="I867" s="172"/>
      <c r="J867" s="172"/>
      <c r="K867" s="172"/>
    </row>
    <row r="868">
      <c r="C868" s="139"/>
      <c r="D868" s="139"/>
      <c r="E868" s="18"/>
      <c r="F868" s="173"/>
      <c r="G868" s="172"/>
      <c r="H868" s="172"/>
      <c r="I868" s="172"/>
      <c r="J868" s="172"/>
      <c r="K868" s="172"/>
    </row>
    <row r="869">
      <c r="C869" s="139"/>
      <c r="D869" s="139"/>
      <c r="E869" s="18"/>
      <c r="F869" s="173"/>
      <c r="G869" s="172"/>
      <c r="H869" s="172"/>
      <c r="I869" s="172"/>
      <c r="J869" s="172"/>
      <c r="K869" s="172"/>
    </row>
    <row r="870">
      <c r="C870" s="139"/>
      <c r="D870" s="139"/>
      <c r="E870" s="18"/>
      <c r="F870" s="173"/>
      <c r="G870" s="172"/>
      <c r="H870" s="172"/>
      <c r="I870" s="172"/>
      <c r="J870" s="172"/>
      <c r="K870" s="172"/>
    </row>
    <row r="871">
      <c r="C871" s="139"/>
      <c r="D871" s="139"/>
      <c r="E871" s="18"/>
      <c r="F871" s="173"/>
      <c r="G871" s="172"/>
      <c r="H871" s="172"/>
      <c r="I871" s="172"/>
      <c r="J871" s="172"/>
      <c r="K871" s="172"/>
    </row>
    <row r="872">
      <c r="C872" s="139"/>
      <c r="D872" s="139"/>
      <c r="E872" s="18"/>
      <c r="F872" s="173"/>
      <c r="G872" s="172"/>
      <c r="H872" s="172"/>
      <c r="I872" s="172"/>
      <c r="J872" s="172"/>
      <c r="K872" s="172"/>
    </row>
    <row r="873">
      <c r="C873" s="139"/>
      <c r="D873" s="139"/>
      <c r="E873" s="18"/>
      <c r="F873" s="173"/>
      <c r="G873" s="172"/>
      <c r="H873" s="172"/>
      <c r="I873" s="172"/>
      <c r="J873" s="172"/>
      <c r="K873" s="172"/>
    </row>
    <row r="874">
      <c r="C874" s="139"/>
      <c r="D874" s="139"/>
      <c r="E874" s="18"/>
      <c r="F874" s="173"/>
      <c r="G874" s="172"/>
      <c r="H874" s="172"/>
      <c r="I874" s="172"/>
      <c r="J874" s="172"/>
      <c r="K874" s="172"/>
    </row>
    <row r="875">
      <c r="C875" s="139"/>
      <c r="D875" s="139"/>
      <c r="E875" s="18"/>
      <c r="F875" s="173"/>
      <c r="G875" s="172"/>
      <c r="H875" s="172"/>
      <c r="I875" s="172"/>
      <c r="J875" s="172"/>
      <c r="K875" s="172"/>
    </row>
    <row r="876">
      <c r="C876" s="139"/>
      <c r="D876" s="139"/>
      <c r="E876" s="18"/>
      <c r="F876" s="173"/>
      <c r="G876" s="172"/>
      <c r="H876" s="172"/>
      <c r="I876" s="172"/>
      <c r="J876" s="172"/>
      <c r="K876" s="172"/>
    </row>
    <row r="877">
      <c r="C877" s="139"/>
      <c r="D877" s="139"/>
      <c r="E877" s="18"/>
      <c r="F877" s="173"/>
      <c r="G877" s="172"/>
      <c r="H877" s="172"/>
      <c r="I877" s="172"/>
      <c r="J877" s="172"/>
      <c r="K877" s="172"/>
    </row>
    <row r="878">
      <c r="C878" s="139"/>
      <c r="D878" s="139"/>
      <c r="E878" s="18"/>
      <c r="F878" s="173"/>
      <c r="G878" s="172"/>
      <c r="H878" s="172"/>
      <c r="I878" s="172"/>
      <c r="J878" s="172"/>
      <c r="K878" s="172"/>
    </row>
    <row r="879">
      <c r="C879" s="139"/>
      <c r="D879" s="139"/>
      <c r="E879" s="18"/>
      <c r="F879" s="173"/>
      <c r="G879" s="172"/>
      <c r="H879" s="172"/>
      <c r="I879" s="172"/>
      <c r="J879" s="172"/>
      <c r="K879" s="172"/>
    </row>
    <row r="880">
      <c r="C880" s="139"/>
      <c r="D880" s="139"/>
      <c r="E880" s="18"/>
      <c r="F880" s="173"/>
      <c r="G880" s="172"/>
      <c r="H880" s="172"/>
      <c r="I880" s="172"/>
      <c r="J880" s="172"/>
      <c r="K880" s="172"/>
    </row>
    <row r="881">
      <c r="C881" s="139"/>
      <c r="D881" s="139"/>
      <c r="E881" s="18"/>
      <c r="F881" s="173"/>
      <c r="G881" s="172"/>
      <c r="H881" s="172"/>
      <c r="I881" s="172"/>
      <c r="J881" s="172"/>
      <c r="K881" s="172"/>
    </row>
    <row r="882">
      <c r="C882" s="139"/>
      <c r="D882" s="139"/>
      <c r="E882" s="18"/>
      <c r="F882" s="173"/>
      <c r="G882" s="172"/>
      <c r="H882" s="172"/>
      <c r="I882" s="172"/>
      <c r="J882" s="172"/>
      <c r="K882" s="172"/>
    </row>
    <row r="883">
      <c r="C883" s="139"/>
      <c r="D883" s="139"/>
      <c r="E883" s="18"/>
      <c r="F883" s="173"/>
      <c r="G883" s="172"/>
      <c r="H883" s="172"/>
      <c r="I883" s="172"/>
      <c r="J883" s="172"/>
      <c r="K883" s="172"/>
    </row>
    <row r="884">
      <c r="C884" s="139"/>
      <c r="D884" s="139"/>
      <c r="E884" s="18"/>
      <c r="F884" s="173"/>
      <c r="G884" s="172"/>
      <c r="H884" s="172"/>
      <c r="I884" s="172"/>
      <c r="J884" s="172"/>
      <c r="K884" s="172"/>
    </row>
    <row r="885">
      <c r="C885" s="139"/>
      <c r="D885" s="139"/>
      <c r="E885" s="18"/>
      <c r="F885" s="173"/>
      <c r="G885" s="172"/>
      <c r="H885" s="172"/>
      <c r="I885" s="172"/>
      <c r="J885" s="172"/>
      <c r="K885" s="172"/>
    </row>
    <row r="886">
      <c r="C886" s="139"/>
      <c r="D886" s="139"/>
      <c r="E886" s="18"/>
      <c r="F886" s="173"/>
      <c r="G886" s="172"/>
      <c r="H886" s="172"/>
      <c r="I886" s="172"/>
      <c r="J886" s="172"/>
      <c r="K886" s="172"/>
    </row>
    <row r="887">
      <c r="C887" s="139"/>
      <c r="D887" s="139"/>
      <c r="E887" s="18"/>
      <c r="F887" s="173"/>
      <c r="G887" s="172"/>
      <c r="H887" s="172"/>
      <c r="I887" s="172"/>
      <c r="J887" s="172"/>
      <c r="K887" s="172"/>
    </row>
    <row r="888">
      <c r="C888" s="139"/>
      <c r="D888" s="139"/>
      <c r="E888" s="18"/>
      <c r="F888" s="173"/>
      <c r="G888" s="172"/>
      <c r="H888" s="172"/>
      <c r="I888" s="172"/>
      <c r="J888" s="172"/>
      <c r="K888" s="172"/>
    </row>
    <row r="889">
      <c r="C889" s="139"/>
      <c r="D889" s="139"/>
      <c r="E889" s="18"/>
      <c r="F889" s="173"/>
      <c r="G889" s="172"/>
      <c r="H889" s="172"/>
      <c r="I889" s="172"/>
      <c r="J889" s="172"/>
      <c r="K889" s="172"/>
    </row>
    <row r="890">
      <c r="C890" s="139"/>
      <c r="D890" s="139"/>
      <c r="E890" s="18"/>
      <c r="F890" s="173"/>
      <c r="G890" s="172"/>
      <c r="H890" s="172"/>
      <c r="I890" s="172"/>
      <c r="J890" s="172"/>
      <c r="K890" s="172"/>
    </row>
    <row r="891">
      <c r="C891" s="139"/>
      <c r="D891" s="139"/>
      <c r="E891" s="18"/>
      <c r="F891" s="173"/>
      <c r="G891" s="172"/>
      <c r="H891" s="172"/>
      <c r="I891" s="172"/>
      <c r="J891" s="172"/>
      <c r="K891" s="172"/>
    </row>
    <row r="892">
      <c r="C892" s="139"/>
      <c r="D892" s="139"/>
      <c r="E892" s="18"/>
      <c r="F892" s="173"/>
      <c r="G892" s="172"/>
      <c r="H892" s="172"/>
      <c r="I892" s="172"/>
      <c r="J892" s="172"/>
      <c r="K892" s="172"/>
    </row>
    <row r="893">
      <c r="C893" s="139"/>
      <c r="D893" s="139"/>
      <c r="E893" s="18"/>
      <c r="F893" s="173"/>
      <c r="G893" s="172"/>
      <c r="H893" s="172"/>
      <c r="I893" s="172"/>
      <c r="J893" s="172"/>
      <c r="K893" s="172"/>
    </row>
    <row r="894">
      <c r="C894" s="139"/>
      <c r="D894" s="139"/>
      <c r="E894" s="18"/>
      <c r="F894" s="173"/>
      <c r="G894" s="172"/>
      <c r="H894" s="172"/>
      <c r="I894" s="172"/>
      <c r="J894" s="172"/>
      <c r="K894" s="172"/>
    </row>
    <row r="895">
      <c r="C895" s="139"/>
      <c r="D895" s="139"/>
      <c r="E895" s="18"/>
      <c r="F895" s="173"/>
      <c r="G895" s="172"/>
      <c r="H895" s="172"/>
      <c r="I895" s="172"/>
      <c r="J895" s="172"/>
      <c r="K895" s="172"/>
    </row>
    <row r="896">
      <c r="C896" s="139"/>
      <c r="D896" s="139"/>
      <c r="E896" s="18"/>
      <c r="F896" s="173"/>
      <c r="G896" s="172"/>
      <c r="H896" s="172"/>
      <c r="I896" s="172"/>
      <c r="J896" s="172"/>
      <c r="K896" s="172"/>
    </row>
    <row r="897">
      <c r="C897" s="139"/>
      <c r="D897" s="139"/>
      <c r="E897" s="18"/>
      <c r="F897" s="173"/>
      <c r="G897" s="172"/>
      <c r="H897" s="172"/>
      <c r="I897" s="172"/>
      <c r="J897" s="172"/>
      <c r="K897" s="172"/>
    </row>
    <row r="898">
      <c r="C898" s="139"/>
      <c r="D898" s="139"/>
      <c r="E898" s="18"/>
      <c r="F898" s="173"/>
      <c r="G898" s="172"/>
      <c r="H898" s="172"/>
      <c r="I898" s="172"/>
      <c r="J898" s="172"/>
      <c r="K898" s="172"/>
    </row>
    <row r="899">
      <c r="C899" s="139"/>
      <c r="D899" s="139"/>
      <c r="E899" s="18"/>
      <c r="F899" s="173"/>
      <c r="G899" s="172"/>
      <c r="H899" s="172"/>
      <c r="I899" s="172"/>
      <c r="J899" s="172"/>
      <c r="K899" s="172"/>
    </row>
    <row r="900">
      <c r="C900" s="139"/>
      <c r="D900" s="139"/>
      <c r="E900" s="18"/>
      <c r="F900" s="173"/>
      <c r="G900" s="172"/>
      <c r="H900" s="172"/>
      <c r="I900" s="172"/>
      <c r="J900" s="172"/>
      <c r="K900" s="172"/>
    </row>
    <row r="901">
      <c r="C901" s="139"/>
      <c r="D901" s="139"/>
      <c r="E901" s="18"/>
      <c r="F901" s="173"/>
      <c r="G901" s="172"/>
      <c r="H901" s="172"/>
      <c r="I901" s="172"/>
      <c r="J901" s="172"/>
      <c r="K901" s="172"/>
    </row>
    <row r="902">
      <c r="C902" s="139"/>
      <c r="D902" s="139"/>
      <c r="E902" s="18"/>
      <c r="F902" s="173"/>
      <c r="G902" s="172"/>
      <c r="H902" s="172"/>
      <c r="I902" s="172"/>
      <c r="J902" s="172"/>
      <c r="K902" s="172"/>
    </row>
    <row r="903">
      <c r="C903" s="139"/>
      <c r="D903" s="139"/>
      <c r="E903" s="18"/>
      <c r="F903" s="173"/>
      <c r="G903" s="172"/>
      <c r="H903" s="172"/>
      <c r="I903" s="172"/>
      <c r="J903" s="172"/>
      <c r="K903" s="172"/>
    </row>
    <row r="904">
      <c r="C904" s="139"/>
      <c r="D904" s="139"/>
      <c r="E904" s="18"/>
      <c r="F904" s="173"/>
      <c r="G904" s="172"/>
      <c r="H904" s="172"/>
      <c r="I904" s="172"/>
      <c r="J904" s="172"/>
      <c r="K904" s="172"/>
    </row>
    <row r="905">
      <c r="C905" s="139"/>
      <c r="D905" s="139"/>
      <c r="E905" s="18"/>
      <c r="F905" s="173"/>
      <c r="G905" s="172"/>
      <c r="H905" s="172"/>
      <c r="I905" s="172"/>
      <c r="J905" s="172"/>
      <c r="K905" s="172"/>
    </row>
    <row r="906">
      <c r="C906" s="139"/>
      <c r="D906" s="139"/>
      <c r="E906" s="18"/>
      <c r="F906" s="173"/>
      <c r="G906" s="172"/>
      <c r="H906" s="172"/>
      <c r="I906" s="172"/>
      <c r="J906" s="172"/>
      <c r="K906" s="172"/>
    </row>
    <row r="907">
      <c r="C907" s="139"/>
      <c r="D907" s="139"/>
      <c r="E907" s="18"/>
      <c r="F907" s="173"/>
      <c r="G907" s="172"/>
      <c r="H907" s="172"/>
      <c r="I907" s="172"/>
      <c r="J907" s="172"/>
      <c r="K907" s="172"/>
    </row>
    <row r="908">
      <c r="C908" s="139"/>
      <c r="D908" s="139"/>
      <c r="E908" s="18"/>
      <c r="F908" s="173"/>
      <c r="G908" s="172"/>
      <c r="H908" s="172"/>
      <c r="I908" s="172"/>
      <c r="J908" s="172"/>
      <c r="K908" s="172"/>
    </row>
    <row r="909">
      <c r="C909" s="139"/>
      <c r="D909" s="139"/>
      <c r="E909" s="18"/>
      <c r="F909" s="173"/>
      <c r="G909" s="172"/>
      <c r="H909" s="172"/>
      <c r="I909" s="172"/>
      <c r="J909" s="172"/>
      <c r="K909" s="172"/>
    </row>
    <row r="910">
      <c r="C910" s="139"/>
      <c r="D910" s="139"/>
      <c r="E910" s="18"/>
      <c r="F910" s="173"/>
      <c r="G910" s="172"/>
      <c r="H910" s="172"/>
      <c r="I910" s="172"/>
      <c r="J910" s="172"/>
      <c r="K910" s="172"/>
    </row>
    <row r="911">
      <c r="C911" s="139"/>
      <c r="D911" s="139"/>
      <c r="E911" s="18"/>
      <c r="F911" s="173"/>
      <c r="G911" s="172"/>
      <c r="H911" s="172"/>
      <c r="I911" s="172"/>
      <c r="J911" s="172"/>
      <c r="K911" s="172"/>
    </row>
    <row r="912">
      <c r="C912" s="139"/>
      <c r="D912" s="139"/>
      <c r="E912" s="18"/>
      <c r="F912" s="173"/>
      <c r="G912" s="172"/>
      <c r="H912" s="172"/>
      <c r="I912" s="172"/>
      <c r="J912" s="172"/>
      <c r="K912" s="172"/>
    </row>
    <row r="913">
      <c r="C913" s="139"/>
      <c r="D913" s="139"/>
      <c r="E913" s="18"/>
      <c r="F913" s="173"/>
      <c r="G913" s="172"/>
      <c r="H913" s="172"/>
      <c r="I913" s="172"/>
      <c r="J913" s="172"/>
      <c r="K913" s="172"/>
    </row>
    <row r="914">
      <c r="C914" s="139"/>
      <c r="D914" s="139"/>
      <c r="E914" s="18"/>
      <c r="F914" s="173"/>
      <c r="G914" s="172"/>
      <c r="H914" s="172"/>
      <c r="I914" s="172"/>
      <c r="J914" s="172"/>
      <c r="K914" s="172"/>
    </row>
    <row r="915">
      <c r="C915" s="139"/>
      <c r="D915" s="139"/>
      <c r="E915" s="18"/>
      <c r="F915" s="173"/>
      <c r="G915" s="172"/>
      <c r="H915" s="172"/>
      <c r="I915" s="172"/>
      <c r="J915" s="172"/>
      <c r="K915" s="172"/>
    </row>
    <row r="916">
      <c r="C916" s="139"/>
      <c r="D916" s="139"/>
      <c r="E916" s="18"/>
      <c r="F916" s="173"/>
      <c r="G916" s="172"/>
      <c r="H916" s="172"/>
      <c r="I916" s="172"/>
      <c r="J916" s="172"/>
      <c r="K916" s="172"/>
    </row>
    <row r="917">
      <c r="C917" s="139"/>
      <c r="D917" s="139"/>
      <c r="E917" s="18"/>
      <c r="F917" s="173"/>
      <c r="G917" s="172"/>
      <c r="H917" s="172"/>
      <c r="I917" s="172"/>
      <c r="J917" s="172"/>
      <c r="K917" s="172"/>
    </row>
    <row r="918">
      <c r="C918" s="139"/>
      <c r="D918" s="139"/>
      <c r="E918" s="18"/>
      <c r="F918" s="173"/>
      <c r="G918" s="172"/>
      <c r="H918" s="172"/>
      <c r="I918" s="172"/>
      <c r="J918" s="172"/>
      <c r="K918" s="172"/>
    </row>
    <row r="919">
      <c r="C919" s="139"/>
      <c r="D919" s="139"/>
      <c r="E919" s="18"/>
      <c r="F919" s="173"/>
      <c r="G919" s="172"/>
      <c r="H919" s="172"/>
      <c r="I919" s="172"/>
      <c r="J919" s="172"/>
      <c r="K919" s="172"/>
    </row>
    <row r="920">
      <c r="C920" s="139"/>
      <c r="D920" s="139"/>
      <c r="E920" s="18"/>
      <c r="F920" s="173"/>
      <c r="G920" s="172"/>
      <c r="H920" s="172"/>
      <c r="I920" s="172"/>
      <c r="J920" s="172"/>
      <c r="K920" s="172"/>
    </row>
    <row r="921">
      <c r="C921" s="139"/>
      <c r="D921" s="139"/>
      <c r="E921" s="18"/>
      <c r="F921" s="173"/>
      <c r="G921" s="172"/>
      <c r="H921" s="172"/>
      <c r="I921" s="172"/>
      <c r="J921" s="172"/>
      <c r="K921" s="172"/>
    </row>
    <row r="922">
      <c r="C922" s="139"/>
      <c r="D922" s="139"/>
      <c r="E922" s="18"/>
      <c r="F922" s="173"/>
      <c r="G922" s="172"/>
      <c r="H922" s="172"/>
      <c r="I922" s="172"/>
      <c r="J922" s="172"/>
      <c r="K922" s="172"/>
    </row>
    <row r="923">
      <c r="C923" s="139"/>
      <c r="D923" s="139"/>
      <c r="E923" s="18"/>
      <c r="F923" s="173"/>
      <c r="G923" s="172"/>
      <c r="H923" s="172"/>
      <c r="I923" s="172"/>
      <c r="J923" s="172"/>
      <c r="K923" s="172"/>
    </row>
    <row r="924">
      <c r="C924" s="139"/>
      <c r="D924" s="139"/>
      <c r="E924" s="18"/>
      <c r="F924" s="173"/>
      <c r="G924" s="172"/>
      <c r="H924" s="172"/>
      <c r="I924" s="172"/>
      <c r="J924" s="172"/>
      <c r="K924" s="172"/>
    </row>
    <row r="925">
      <c r="C925" s="139"/>
      <c r="D925" s="139"/>
      <c r="E925" s="18"/>
      <c r="F925" s="173"/>
      <c r="G925" s="172"/>
      <c r="H925" s="172"/>
      <c r="I925" s="172"/>
      <c r="J925" s="172"/>
      <c r="K925" s="172"/>
    </row>
    <row r="926">
      <c r="C926" s="139"/>
      <c r="D926" s="139"/>
      <c r="E926" s="18"/>
      <c r="F926" s="173"/>
      <c r="G926" s="172"/>
      <c r="H926" s="172"/>
      <c r="I926" s="172"/>
      <c r="J926" s="172"/>
      <c r="K926" s="172"/>
    </row>
    <row r="927">
      <c r="C927" s="139"/>
      <c r="D927" s="139"/>
      <c r="E927" s="18"/>
      <c r="F927" s="173"/>
      <c r="G927" s="172"/>
      <c r="H927" s="172"/>
      <c r="I927" s="172"/>
      <c r="J927" s="172"/>
      <c r="K927" s="172"/>
    </row>
    <row r="928">
      <c r="C928" s="139"/>
      <c r="D928" s="139"/>
      <c r="E928" s="18"/>
      <c r="F928" s="173"/>
      <c r="G928" s="172"/>
      <c r="H928" s="172"/>
      <c r="I928" s="172"/>
      <c r="J928" s="172"/>
      <c r="K928" s="172"/>
    </row>
    <row r="929">
      <c r="C929" s="139"/>
      <c r="D929" s="139"/>
      <c r="E929" s="18"/>
      <c r="F929" s="173"/>
      <c r="G929" s="172"/>
      <c r="H929" s="172"/>
      <c r="I929" s="172"/>
      <c r="J929" s="172"/>
      <c r="K929" s="172"/>
    </row>
    <row r="930">
      <c r="C930" s="139"/>
      <c r="D930" s="139"/>
      <c r="E930" s="18"/>
      <c r="F930" s="173"/>
      <c r="G930" s="172"/>
      <c r="H930" s="172"/>
      <c r="I930" s="172"/>
      <c r="J930" s="172"/>
      <c r="K930" s="172"/>
    </row>
    <row r="931">
      <c r="C931" s="139"/>
      <c r="D931" s="139"/>
      <c r="E931" s="18"/>
      <c r="F931" s="173"/>
      <c r="G931" s="172"/>
      <c r="H931" s="172"/>
      <c r="I931" s="172"/>
      <c r="J931" s="172"/>
      <c r="K931" s="172"/>
    </row>
    <row r="932">
      <c r="C932" s="139"/>
      <c r="D932" s="139"/>
      <c r="E932" s="18"/>
      <c r="F932" s="173"/>
      <c r="G932" s="172"/>
      <c r="H932" s="172"/>
      <c r="I932" s="172"/>
      <c r="J932" s="172"/>
      <c r="K932" s="172"/>
    </row>
    <row r="933">
      <c r="C933" s="139"/>
      <c r="D933" s="139"/>
      <c r="E933" s="18"/>
      <c r="F933" s="173"/>
      <c r="G933" s="172"/>
      <c r="H933" s="172"/>
      <c r="I933" s="172"/>
      <c r="J933" s="172"/>
      <c r="K933" s="172"/>
    </row>
    <row r="934">
      <c r="C934" s="139"/>
      <c r="D934" s="139"/>
      <c r="E934" s="18"/>
      <c r="F934" s="173"/>
      <c r="G934" s="172"/>
      <c r="H934" s="172"/>
      <c r="I934" s="172"/>
      <c r="J934" s="172"/>
      <c r="K934" s="172"/>
    </row>
    <row r="935">
      <c r="C935" s="139"/>
      <c r="D935" s="139"/>
      <c r="E935" s="18"/>
      <c r="F935" s="173"/>
      <c r="G935" s="172"/>
      <c r="H935" s="172"/>
      <c r="I935" s="172"/>
      <c r="J935" s="172"/>
      <c r="K935" s="172"/>
    </row>
    <row r="936">
      <c r="C936" s="139"/>
      <c r="D936" s="139"/>
      <c r="E936" s="18"/>
      <c r="F936" s="173"/>
      <c r="G936" s="172"/>
      <c r="H936" s="172"/>
      <c r="I936" s="172"/>
      <c r="J936" s="172"/>
      <c r="K936" s="172"/>
    </row>
    <row r="937">
      <c r="C937" s="139"/>
      <c r="D937" s="139"/>
      <c r="E937" s="18"/>
      <c r="F937" s="173"/>
      <c r="G937" s="172"/>
      <c r="H937" s="172"/>
      <c r="I937" s="172"/>
      <c r="J937" s="172"/>
      <c r="K937" s="172"/>
    </row>
    <row r="938">
      <c r="C938" s="139"/>
      <c r="D938" s="139"/>
      <c r="E938" s="18"/>
      <c r="F938" s="173"/>
      <c r="G938" s="172"/>
      <c r="H938" s="172"/>
      <c r="I938" s="172"/>
      <c r="J938" s="172"/>
      <c r="K938" s="172"/>
    </row>
    <row r="939">
      <c r="C939" s="139"/>
      <c r="D939" s="139"/>
      <c r="E939" s="18"/>
      <c r="F939" s="173"/>
      <c r="G939" s="172"/>
      <c r="H939" s="172"/>
      <c r="I939" s="172"/>
      <c r="J939" s="172"/>
      <c r="K939" s="172"/>
    </row>
    <row r="940">
      <c r="C940" s="139"/>
      <c r="D940" s="139"/>
      <c r="E940" s="18"/>
      <c r="F940" s="173"/>
      <c r="G940" s="172"/>
      <c r="H940" s="172"/>
      <c r="I940" s="172"/>
      <c r="J940" s="172"/>
      <c r="K940" s="172"/>
    </row>
    <row r="941">
      <c r="C941" s="139"/>
      <c r="D941" s="139"/>
      <c r="E941" s="18"/>
      <c r="F941" s="173"/>
      <c r="G941" s="172"/>
      <c r="H941" s="172"/>
      <c r="I941" s="172"/>
      <c r="J941" s="172"/>
      <c r="K941" s="172"/>
    </row>
    <row r="942">
      <c r="C942" s="139"/>
      <c r="D942" s="139"/>
      <c r="E942" s="18"/>
      <c r="F942" s="173"/>
      <c r="G942" s="172"/>
      <c r="H942" s="172"/>
      <c r="I942" s="172"/>
      <c r="J942" s="172"/>
      <c r="K942" s="172"/>
    </row>
    <row r="943">
      <c r="C943" s="139"/>
      <c r="D943" s="139"/>
      <c r="E943" s="18"/>
      <c r="F943" s="173"/>
      <c r="G943" s="172"/>
      <c r="H943" s="172"/>
      <c r="I943" s="172"/>
      <c r="J943" s="172"/>
      <c r="K943" s="172"/>
    </row>
    <row r="944">
      <c r="C944" s="139"/>
      <c r="D944" s="139"/>
      <c r="E944" s="18"/>
      <c r="F944" s="173"/>
      <c r="G944" s="172"/>
      <c r="H944" s="172"/>
      <c r="I944" s="172"/>
      <c r="J944" s="172"/>
      <c r="K944" s="172"/>
    </row>
    <row r="945">
      <c r="C945" s="139"/>
      <c r="D945" s="139"/>
      <c r="E945" s="18"/>
      <c r="F945" s="173"/>
      <c r="G945" s="172"/>
      <c r="H945" s="172"/>
      <c r="I945" s="172"/>
      <c r="J945" s="172"/>
      <c r="K945" s="172"/>
    </row>
    <row r="946">
      <c r="C946" s="139"/>
      <c r="D946" s="139"/>
      <c r="E946" s="18"/>
      <c r="F946" s="173"/>
      <c r="G946" s="172"/>
      <c r="H946" s="172"/>
      <c r="I946" s="172"/>
      <c r="J946" s="172"/>
      <c r="K946" s="172"/>
    </row>
    <row r="947">
      <c r="C947" s="139"/>
      <c r="D947" s="139"/>
      <c r="E947" s="18"/>
      <c r="F947" s="173"/>
      <c r="G947" s="172"/>
      <c r="H947" s="172"/>
      <c r="I947" s="172"/>
      <c r="J947" s="172"/>
      <c r="K947" s="172"/>
    </row>
    <row r="948">
      <c r="C948" s="139"/>
      <c r="D948" s="139"/>
      <c r="E948" s="18"/>
      <c r="F948" s="173"/>
      <c r="G948" s="172"/>
      <c r="H948" s="172"/>
      <c r="I948" s="172"/>
      <c r="J948" s="172"/>
      <c r="K948" s="172"/>
    </row>
    <row r="949">
      <c r="C949" s="139"/>
      <c r="D949" s="139"/>
      <c r="E949" s="18"/>
      <c r="F949" s="173"/>
      <c r="G949" s="172"/>
      <c r="H949" s="172"/>
      <c r="I949" s="172"/>
      <c r="J949" s="172"/>
      <c r="K949" s="172"/>
    </row>
    <row r="950">
      <c r="C950" s="139"/>
      <c r="D950" s="139"/>
      <c r="E950" s="18"/>
      <c r="F950" s="173"/>
      <c r="G950" s="172"/>
      <c r="H950" s="172"/>
      <c r="I950" s="172"/>
      <c r="J950" s="172"/>
      <c r="K950" s="172"/>
    </row>
    <row r="951">
      <c r="C951" s="139"/>
      <c r="D951" s="139"/>
      <c r="E951" s="18"/>
      <c r="F951" s="173"/>
      <c r="G951" s="172"/>
      <c r="H951" s="172"/>
      <c r="I951" s="172"/>
      <c r="J951" s="172"/>
      <c r="K951" s="172"/>
    </row>
    <row r="952">
      <c r="C952" s="139"/>
      <c r="D952" s="139"/>
      <c r="E952" s="18"/>
      <c r="F952" s="173"/>
      <c r="G952" s="172"/>
      <c r="H952" s="172"/>
      <c r="I952" s="172"/>
      <c r="J952" s="172"/>
      <c r="K952" s="172"/>
    </row>
    <row r="953">
      <c r="C953" s="139"/>
      <c r="D953" s="139"/>
      <c r="E953" s="18"/>
      <c r="F953" s="173"/>
      <c r="G953" s="172"/>
      <c r="H953" s="172"/>
      <c r="I953" s="172"/>
      <c r="J953" s="172"/>
      <c r="K953" s="172"/>
    </row>
    <row r="954">
      <c r="C954" s="139"/>
      <c r="D954" s="139"/>
      <c r="E954" s="18"/>
      <c r="F954" s="173"/>
      <c r="G954" s="172"/>
      <c r="H954" s="172"/>
      <c r="I954" s="172"/>
      <c r="J954" s="172"/>
      <c r="K954" s="172"/>
    </row>
    <row r="955">
      <c r="C955" s="139"/>
      <c r="D955" s="139"/>
      <c r="E955" s="18"/>
      <c r="F955" s="173"/>
      <c r="G955" s="172"/>
      <c r="H955" s="172"/>
      <c r="I955" s="172"/>
      <c r="J955" s="172"/>
      <c r="K955" s="172"/>
    </row>
    <row r="956">
      <c r="C956" s="139"/>
      <c r="D956" s="139"/>
      <c r="E956" s="18"/>
      <c r="F956" s="173"/>
      <c r="G956" s="172"/>
      <c r="H956" s="172"/>
      <c r="I956" s="172"/>
      <c r="J956" s="172"/>
      <c r="K956" s="172"/>
    </row>
    <row r="957">
      <c r="C957" s="139"/>
      <c r="D957" s="139"/>
      <c r="E957" s="18"/>
      <c r="F957" s="173"/>
      <c r="G957" s="172"/>
      <c r="H957" s="172"/>
      <c r="I957" s="172"/>
      <c r="J957" s="172"/>
      <c r="K957" s="172"/>
    </row>
    <row r="958">
      <c r="C958" s="139"/>
      <c r="D958" s="139"/>
      <c r="E958" s="18"/>
      <c r="F958" s="173"/>
      <c r="G958" s="172"/>
      <c r="H958" s="172"/>
      <c r="I958" s="172"/>
      <c r="J958" s="172"/>
      <c r="K958" s="172"/>
    </row>
    <row r="959">
      <c r="C959" s="139"/>
      <c r="D959" s="139"/>
      <c r="E959" s="18"/>
      <c r="F959" s="173"/>
      <c r="G959" s="172"/>
      <c r="H959" s="172"/>
      <c r="I959" s="172"/>
      <c r="J959" s="172"/>
      <c r="K959" s="172"/>
    </row>
    <row r="960">
      <c r="C960" s="139"/>
      <c r="D960" s="139"/>
      <c r="E960" s="18"/>
      <c r="F960" s="173"/>
      <c r="G960" s="172"/>
      <c r="H960" s="172"/>
      <c r="I960" s="172"/>
      <c r="J960" s="172"/>
      <c r="K960" s="172"/>
    </row>
    <row r="961">
      <c r="C961" s="139"/>
      <c r="D961" s="139"/>
      <c r="E961" s="18"/>
      <c r="F961" s="173"/>
      <c r="G961" s="172"/>
      <c r="H961" s="172"/>
      <c r="I961" s="172"/>
      <c r="J961" s="172"/>
      <c r="K961" s="172"/>
    </row>
    <row r="962">
      <c r="C962" s="139"/>
      <c r="D962" s="139"/>
      <c r="E962" s="18"/>
      <c r="F962" s="173"/>
      <c r="G962" s="172"/>
      <c r="H962" s="172"/>
      <c r="I962" s="172"/>
      <c r="J962" s="172"/>
      <c r="K962" s="172"/>
    </row>
    <row r="963">
      <c r="C963" s="139"/>
      <c r="D963" s="139"/>
      <c r="E963" s="18"/>
      <c r="F963" s="173"/>
      <c r="G963" s="172"/>
      <c r="H963" s="172"/>
      <c r="I963" s="172"/>
      <c r="J963" s="172"/>
      <c r="K963" s="172"/>
    </row>
    <row r="964">
      <c r="C964" s="139"/>
      <c r="D964" s="139"/>
      <c r="E964" s="18"/>
      <c r="F964" s="173"/>
      <c r="G964" s="172"/>
      <c r="H964" s="172"/>
      <c r="I964" s="172"/>
      <c r="J964" s="172"/>
      <c r="K964" s="172"/>
    </row>
    <row r="965">
      <c r="C965" s="139"/>
      <c r="D965" s="139"/>
      <c r="E965" s="18"/>
      <c r="F965" s="173"/>
      <c r="G965" s="172"/>
      <c r="H965" s="172"/>
      <c r="I965" s="172"/>
      <c r="J965" s="172"/>
      <c r="K965" s="172"/>
    </row>
    <row r="966">
      <c r="C966" s="139"/>
      <c r="D966" s="139"/>
      <c r="E966" s="18"/>
      <c r="F966" s="173"/>
      <c r="G966" s="172"/>
      <c r="H966" s="172"/>
      <c r="I966" s="172"/>
      <c r="J966" s="172"/>
      <c r="K966" s="172"/>
    </row>
    <row r="967">
      <c r="C967" s="139"/>
      <c r="D967" s="139"/>
      <c r="E967" s="18"/>
      <c r="F967" s="173"/>
      <c r="G967" s="172"/>
      <c r="H967" s="172"/>
      <c r="I967" s="172"/>
      <c r="J967" s="172"/>
      <c r="K967" s="172"/>
    </row>
    <row r="968">
      <c r="C968" s="139"/>
      <c r="D968" s="139"/>
      <c r="E968" s="18"/>
      <c r="F968" s="173"/>
      <c r="G968" s="172"/>
      <c r="H968" s="172"/>
      <c r="I968" s="172"/>
      <c r="J968" s="172"/>
      <c r="K968" s="172"/>
    </row>
    <row r="969">
      <c r="C969" s="139"/>
      <c r="D969" s="139"/>
      <c r="E969" s="18"/>
      <c r="F969" s="173"/>
      <c r="G969" s="172"/>
      <c r="H969" s="172"/>
      <c r="I969" s="172"/>
      <c r="J969" s="172"/>
      <c r="K969" s="172"/>
    </row>
    <row r="970">
      <c r="C970" s="139"/>
      <c r="D970" s="139"/>
      <c r="E970" s="18"/>
      <c r="F970" s="173"/>
      <c r="G970" s="172"/>
      <c r="H970" s="172"/>
      <c r="I970" s="172"/>
      <c r="J970" s="172"/>
      <c r="K970" s="172"/>
    </row>
    <row r="971">
      <c r="C971" s="139"/>
      <c r="D971" s="139"/>
      <c r="E971" s="18"/>
      <c r="F971" s="173"/>
      <c r="G971" s="172"/>
      <c r="H971" s="172"/>
      <c r="I971" s="172"/>
      <c r="J971" s="172"/>
      <c r="K971" s="172"/>
    </row>
    <row r="972">
      <c r="C972" s="139"/>
      <c r="D972" s="139"/>
      <c r="E972" s="18"/>
      <c r="F972" s="173"/>
      <c r="G972" s="172"/>
      <c r="H972" s="172"/>
      <c r="I972" s="172"/>
      <c r="J972" s="172"/>
      <c r="K972" s="172"/>
    </row>
    <row r="973">
      <c r="C973" s="139"/>
      <c r="D973" s="139"/>
      <c r="E973" s="18"/>
      <c r="F973" s="173"/>
      <c r="G973" s="172"/>
      <c r="H973" s="172"/>
      <c r="I973" s="172"/>
      <c r="J973" s="172"/>
      <c r="K973" s="172"/>
    </row>
    <row r="974">
      <c r="C974" s="139"/>
      <c r="D974" s="139"/>
      <c r="E974" s="18"/>
      <c r="F974" s="173"/>
      <c r="G974" s="172"/>
      <c r="H974" s="172"/>
      <c r="I974" s="172"/>
      <c r="J974" s="172"/>
      <c r="K974" s="172"/>
    </row>
    <row r="975">
      <c r="C975" s="139"/>
      <c r="D975" s="139"/>
      <c r="E975" s="18"/>
      <c r="F975" s="173"/>
      <c r="G975" s="172"/>
      <c r="H975" s="172"/>
      <c r="I975" s="172"/>
      <c r="J975" s="172"/>
      <c r="K975" s="172"/>
    </row>
    <row r="976">
      <c r="C976" s="139"/>
      <c r="D976" s="139"/>
      <c r="E976" s="18"/>
      <c r="F976" s="173"/>
      <c r="G976" s="172"/>
      <c r="H976" s="172"/>
      <c r="I976" s="172"/>
      <c r="J976" s="172"/>
      <c r="K976" s="172"/>
    </row>
    <row r="977">
      <c r="C977" s="139"/>
      <c r="D977" s="139"/>
      <c r="E977" s="18"/>
      <c r="F977" s="173"/>
      <c r="G977" s="172"/>
      <c r="H977" s="172"/>
      <c r="I977" s="172"/>
      <c r="J977" s="172"/>
      <c r="K977" s="172"/>
    </row>
    <row r="978">
      <c r="C978" s="139"/>
      <c r="D978" s="139"/>
      <c r="E978" s="18"/>
      <c r="F978" s="173"/>
      <c r="G978" s="172"/>
      <c r="H978" s="172"/>
      <c r="I978" s="172"/>
      <c r="J978" s="172"/>
      <c r="K978" s="172"/>
    </row>
    <row r="979">
      <c r="C979" s="139"/>
      <c r="D979" s="139"/>
      <c r="E979" s="18"/>
      <c r="F979" s="173"/>
      <c r="G979" s="172"/>
      <c r="H979" s="172"/>
      <c r="I979" s="172"/>
      <c r="J979" s="172"/>
      <c r="K979" s="172"/>
    </row>
    <row r="980">
      <c r="C980" s="139"/>
      <c r="D980" s="139"/>
      <c r="E980" s="18"/>
      <c r="F980" s="173"/>
      <c r="G980" s="172"/>
      <c r="H980" s="172"/>
      <c r="I980" s="172"/>
      <c r="J980" s="172"/>
      <c r="K980" s="172"/>
    </row>
    <row r="981">
      <c r="C981" s="139"/>
      <c r="D981" s="139"/>
      <c r="E981" s="18"/>
      <c r="F981" s="173"/>
      <c r="G981" s="172"/>
      <c r="H981" s="172"/>
      <c r="I981" s="172"/>
      <c r="J981" s="172"/>
      <c r="K981" s="172"/>
    </row>
    <row r="982">
      <c r="C982" s="139"/>
      <c r="D982" s="139"/>
      <c r="E982" s="18"/>
      <c r="F982" s="173"/>
      <c r="G982" s="172"/>
      <c r="H982" s="172"/>
      <c r="I982" s="172"/>
      <c r="J982" s="172"/>
      <c r="K982" s="172"/>
    </row>
    <row r="983">
      <c r="C983" s="139"/>
      <c r="D983" s="139"/>
      <c r="E983" s="18"/>
      <c r="F983" s="173"/>
      <c r="G983" s="172"/>
      <c r="H983" s="172"/>
      <c r="I983" s="172"/>
      <c r="J983" s="172"/>
      <c r="K983" s="172"/>
    </row>
    <row r="984">
      <c r="C984" s="139"/>
      <c r="D984" s="139"/>
      <c r="E984" s="18"/>
      <c r="F984" s="173"/>
      <c r="G984" s="172"/>
      <c r="H984" s="172"/>
      <c r="I984" s="172"/>
      <c r="J984" s="172"/>
      <c r="K984" s="172"/>
    </row>
    <row r="985">
      <c r="C985" s="139"/>
      <c r="D985" s="139"/>
      <c r="E985" s="18"/>
      <c r="F985" s="173"/>
      <c r="G985" s="172"/>
      <c r="H985" s="172"/>
      <c r="I985" s="172"/>
      <c r="J985" s="172"/>
      <c r="K985" s="172"/>
    </row>
    <row r="986">
      <c r="C986" s="139"/>
      <c r="D986" s="139"/>
      <c r="E986" s="18"/>
      <c r="F986" s="173"/>
      <c r="G986" s="172"/>
      <c r="H986" s="172"/>
      <c r="I986" s="172"/>
      <c r="J986" s="172"/>
      <c r="K986" s="172"/>
    </row>
    <row r="987">
      <c r="C987" s="139"/>
      <c r="D987" s="139"/>
      <c r="E987" s="18"/>
      <c r="F987" s="173"/>
      <c r="G987" s="172"/>
      <c r="H987" s="172"/>
      <c r="I987" s="172"/>
      <c r="J987" s="172"/>
      <c r="K987" s="172"/>
    </row>
    <row r="988">
      <c r="C988" s="139"/>
      <c r="D988" s="139"/>
      <c r="E988" s="18"/>
      <c r="F988" s="173"/>
      <c r="G988" s="172"/>
      <c r="H988" s="172"/>
      <c r="I988" s="172"/>
      <c r="J988" s="172"/>
      <c r="K988" s="172"/>
    </row>
    <row r="989">
      <c r="C989" s="139"/>
      <c r="D989" s="139"/>
      <c r="E989" s="18"/>
      <c r="F989" s="173"/>
      <c r="G989" s="172"/>
      <c r="H989" s="172"/>
      <c r="I989" s="172"/>
      <c r="J989" s="172"/>
      <c r="K989" s="172"/>
    </row>
    <row r="990">
      <c r="C990" s="139"/>
      <c r="D990" s="139"/>
      <c r="E990" s="18"/>
      <c r="F990" s="173"/>
      <c r="G990" s="172"/>
      <c r="H990" s="172"/>
      <c r="I990" s="172"/>
      <c r="J990" s="172"/>
      <c r="K990" s="172"/>
    </row>
    <row r="991">
      <c r="C991" s="139"/>
      <c r="D991" s="139"/>
      <c r="E991" s="18"/>
      <c r="F991" s="173"/>
      <c r="G991" s="172"/>
      <c r="H991" s="172"/>
      <c r="I991" s="172"/>
      <c r="J991" s="172"/>
      <c r="K991" s="172"/>
    </row>
    <row r="992">
      <c r="C992" s="139"/>
      <c r="D992" s="139"/>
      <c r="E992" s="18"/>
      <c r="F992" s="173"/>
      <c r="G992" s="172"/>
      <c r="H992" s="172"/>
      <c r="I992" s="172"/>
      <c r="J992" s="172"/>
      <c r="K992" s="172"/>
    </row>
    <row r="993">
      <c r="C993" s="139"/>
      <c r="D993" s="139"/>
      <c r="E993" s="18"/>
      <c r="F993" s="173"/>
      <c r="G993" s="172"/>
      <c r="H993" s="172"/>
      <c r="I993" s="172"/>
      <c r="J993" s="172"/>
      <c r="K993" s="172"/>
    </row>
    <row r="994">
      <c r="C994" s="139"/>
      <c r="D994" s="139"/>
      <c r="E994" s="18"/>
      <c r="F994" s="173"/>
      <c r="G994" s="172"/>
      <c r="H994" s="172"/>
      <c r="I994" s="172"/>
      <c r="J994" s="172"/>
      <c r="K994" s="172"/>
    </row>
    <row r="995">
      <c r="C995" s="139"/>
      <c r="D995" s="139"/>
      <c r="E995" s="18"/>
      <c r="F995" s="173"/>
      <c r="G995" s="172"/>
      <c r="H995" s="172"/>
      <c r="I995" s="172"/>
      <c r="J995" s="172"/>
      <c r="K995" s="172"/>
    </row>
    <row r="996">
      <c r="C996" s="139"/>
      <c r="D996" s="139"/>
      <c r="E996" s="18"/>
      <c r="F996" s="173"/>
      <c r="G996" s="172"/>
      <c r="H996" s="172"/>
      <c r="I996" s="172"/>
      <c r="J996" s="172"/>
      <c r="K996" s="172"/>
    </row>
    <row r="997">
      <c r="C997" s="139"/>
      <c r="D997" s="139"/>
      <c r="E997" s="18"/>
      <c r="F997" s="173"/>
      <c r="G997" s="172"/>
      <c r="H997" s="172"/>
      <c r="I997" s="172"/>
      <c r="J997" s="172"/>
      <c r="K997" s="172"/>
    </row>
    <row r="998">
      <c r="C998" s="139"/>
      <c r="D998" s="139"/>
      <c r="E998" s="18"/>
      <c r="F998" s="173"/>
      <c r="G998" s="172"/>
      <c r="H998" s="172"/>
      <c r="I998" s="172"/>
      <c r="J998" s="172"/>
      <c r="K998" s="172"/>
    </row>
    <row r="999">
      <c r="C999" s="139"/>
      <c r="D999" s="139"/>
      <c r="E999" s="18"/>
      <c r="F999" s="173"/>
      <c r="G999" s="172"/>
      <c r="H999" s="172"/>
      <c r="I999" s="172"/>
      <c r="J999" s="172"/>
      <c r="K999" s="172"/>
    </row>
    <row r="1000">
      <c r="C1000" s="139"/>
      <c r="D1000" s="139"/>
      <c r="E1000" s="18"/>
      <c r="F1000" s="173"/>
      <c r="G1000" s="172"/>
      <c r="H1000" s="172"/>
      <c r="I1000" s="172"/>
      <c r="J1000" s="172"/>
      <c r="K1000" s="172"/>
    </row>
    <row r="1001">
      <c r="C1001" s="139"/>
      <c r="D1001" s="139"/>
      <c r="E1001" s="18"/>
      <c r="F1001" s="173"/>
      <c r="G1001" s="172"/>
      <c r="H1001" s="172"/>
      <c r="I1001" s="172"/>
      <c r="J1001" s="172"/>
      <c r="K1001" s="172"/>
    </row>
    <row r="1002">
      <c r="C1002" s="139"/>
      <c r="D1002" s="139"/>
      <c r="E1002" s="18"/>
      <c r="F1002" s="173"/>
      <c r="G1002" s="172"/>
      <c r="H1002" s="172"/>
      <c r="I1002" s="172"/>
      <c r="J1002" s="172"/>
      <c r="K1002" s="172"/>
    </row>
    <row r="1003">
      <c r="C1003" s="139"/>
      <c r="D1003" s="139"/>
      <c r="E1003" s="18"/>
      <c r="F1003" s="173"/>
      <c r="G1003" s="172"/>
      <c r="H1003" s="172"/>
      <c r="I1003" s="172"/>
      <c r="J1003" s="172"/>
      <c r="K1003" s="172"/>
    </row>
    <row r="1004">
      <c r="C1004" s="139"/>
      <c r="D1004" s="139"/>
      <c r="E1004" s="18"/>
      <c r="F1004" s="173"/>
      <c r="G1004" s="172"/>
      <c r="H1004" s="172"/>
      <c r="I1004" s="172"/>
      <c r="J1004" s="172"/>
      <c r="K1004" s="172"/>
    </row>
  </sheetData>
  <customSheetViews>
    <customSheetView guid="{AC59F534-7B5E-4A49-B6B4-D362D6A4DEAA}" filter="1" showAutoFilter="1">
      <autoFilter ref="$A$1:$AB$1001">
        <filterColumn colId="4">
          <filters blank="1">
            <filter val="Party"/>
            <filter val="Dem"/>
          </filters>
        </filterColumn>
      </autoFilter>
    </customSheetView>
    <customSheetView guid="{B67C88D3-3E67-489B-A63D-247C32681792}" filter="1" showAutoFilter="1">
      <autoFilter ref="$A$1:$AD$1004">
        <filterColumn colId="4">
          <filters blank="1">
            <filter val="Party"/>
            <filter val="Rep"/>
          </filters>
        </filterColumn>
      </autoFilter>
    </customSheetView>
    <customSheetView guid="{49BBE4A5-0011-433F-BBC8-12CC1FF24F76}" filter="1" showAutoFilter="1">
      <autoFilter ref="$G$5:$J$165">
        <filterColumn colId="0">
          <filters>
            <filter val="Judiciary (Vice Chair)"/>
            <filter val="Judiciary (Chair)"/>
            <filter val="Judiciary"/>
          </filters>
        </filterColumn>
      </autoFilter>
    </customSheetView>
    <customSheetView guid="{6B942B64-79AD-4D0C-9F22-0F8AB405CAAC}" filter="1" showAutoFilter="1">
      <autoFilter ref="$A$1:$R$199">
        <sortState ref="A1:R199">
          <sortCondition ref="D1:D199"/>
        </sortState>
      </autoFilter>
    </customSheetView>
    <customSheetView guid="{13B69836-F742-47CC-9B75-0D185E1E193E}" filter="1" showAutoFilter="1">
      <autoFilter ref="$J$17"/>
    </customSheetView>
    <customSheetView guid="{282C632F-E700-446B-B969-104509514639}" filter="1" showAutoFilter="1">
      <autoFilter ref="$G$1:$G$1004"/>
    </customSheetView>
  </customSheetViews>
  <mergeCells count="3">
    <mergeCell ref="L1:M1"/>
    <mergeCell ref="N1:O1"/>
    <mergeCell ref="T2:W2"/>
  </mergeCells>
  <conditionalFormatting sqref="E1:E1004">
    <cfRule type="containsText" dxfId="0" priority="1" operator="containsText" text="Dem">
      <formula>NOT(ISERROR(SEARCH(("Dem"),(E1))))</formula>
    </cfRule>
  </conditionalFormatting>
  <conditionalFormatting sqref="E1:E1004">
    <cfRule type="containsText" dxfId="1" priority="2" operator="containsText" text="Rep">
      <formula>NOT(ISERROR(SEARCH(("Rep"),(E1))))</formula>
    </cfRule>
  </conditionalFormatting>
  <hyperlinks>
    <hyperlink r:id="rId1" ref="C7"/>
    <hyperlink r:id="rId2" ref="C8"/>
    <hyperlink r:id="rId3" ref="C9"/>
    <hyperlink r:id="rId4" ref="C10"/>
    <hyperlink r:id="rId5" ref="C11"/>
    <hyperlink r:id="rId6" ref="C12"/>
    <hyperlink r:id="rId7" ref="C13"/>
    <hyperlink r:id="rId8" ref="C15"/>
    <hyperlink r:id="rId9" ref="C16"/>
    <hyperlink r:id="rId10" ref="C17"/>
    <hyperlink r:id="rId11" ref="C18"/>
    <hyperlink r:id="rId12" ref="C20"/>
    <hyperlink r:id="rId13" ref="C21"/>
    <hyperlink r:id="rId14" ref="C22"/>
    <hyperlink r:id="rId15" ref="C23"/>
    <hyperlink r:id="rId16" ref="C24"/>
    <hyperlink r:id="rId17" ref="C25"/>
    <hyperlink r:id="rId18" ref="C26"/>
    <hyperlink r:id="rId19" ref="C27"/>
    <hyperlink r:id="rId20" ref="C28"/>
    <hyperlink r:id="rId21" ref="C29"/>
    <hyperlink r:id="rId22" ref="C31"/>
    <hyperlink r:id="rId23" ref="C33"/>
    <hyperlink r:id="rId24" ref="C35"/>
    <hyperlink r:id="rId25" ref="C38"/>
    <hyperlink r:id="rId26" ref="C39"/>
    <hyperlink r:id="rId27" ref="C40"/>
    <hyperlink r:id="rId28" ref="C42"/>
    <hyperlink r:id="rId29" ref="C43"/>
    <hyperlink r:id="rId30" ref="C44"/>
    <hyperlink r:id="rId31" ref="C45"/>
    <hyperlink r:id="rId32" ref="C46"/>
    <hyperlink r:id="rId33" ref="C47"/>
    <hyperlink r:id="rId34" ref="C49"/>
    <hyperlink r:id="rId35" ref="C50"/>
    <hyperlink r:id="rId36" ref="C52"/>
    <hyperlink r:id="rId37" ref="C53"/>
    <hyperlink r:id="rId38" ref="C54"/>
    <hyperlink r:id="rId39" ref="C56"/>
    <hyperlink r:id="rId40" ref="C57"/>
    <hyperlink r:id="rId41" ref="C58"/>
    <hyperlink r:id="rId42" ref="C59"/>
    <hyperlink r:id="rId43" ref="C62"/>
    <hyperlink r:id="rId44" ref="C64"/>
    <hyperlink r:id="rId45" ref="C69"/>
    <hyperlink r:id="rId46" ref="C72"/>
    <hyperlink r:id="rId47" ref="C74"/>
    <hyperlink r:id="rId48" ref="C76"/>
    <hyperlink r:id="rId49" ref="C80"/>
    <hyperlink r:id="rId50" ref="C81"/>
    <hyperlink r:id="rId51" ref="C82"/>
    <hyperlink r:id="rId52" ref="C84"/>
    <hyperlink r:id="rId53" ref="C86"/>
    <hyperlink r:id="rId54" ref="C89"/>
    <hyperlink r:id="rId55" ref="C90"/>
    <hyperlink r:id="rId56" ref="C91"/>
    <hyperlink r:id="rId57" ref="C92"/>
    <hyperlink r:id="rId58" ref="C95"/>
    <hyperlink r:id="rId59" ref="C96"/>
    <hyperlink r:id="rId60" ref="C98"/>
    <hyperlink r:id="rId61" ref="C99"/>
    <hyperlink r:id="rId62" ref="C101"/>
    <hyperlink r:id="rId63" ref="C103"/>
    <hyperlink r:id="rId64" ref="C104"/>
    <hyperlink r:id="rId65" ref="C106"/>
    <hyperlink r:id="rId66" ref="C108"/>
    <hyperlink r:id="rId67" ref="C110"/>
    <hyperlink r:id="rId68" ref="C111"/>
    <hyperlink r:id="rId69" ref="C115"/>
    <hyperlink r:id="rId70" ref="C116"/>
    <hyperlink r:id="rId71" ref="C118"/>
    <hyperlink r:id="rId72" ref="C120"/>
    <hyperlink r:id="rId73" ref="C121"/>
    <hyperlink r:id="rId74" ref="C124"/>
    <hyperlink r:id="rId75" ref="C126"/>
    <hyperlink r:id="rId76" ref="C127"/>
    <hyperlink r:id="rId77" ref="C128"/>
    <hyperlink r:id="rId78" ref="C129"/>
    <hyperlink r:id="rId79" ref="C130"/>
    <hyperlink r:id="rId80" ref="C131"/>
    <hyperlink r:id="rId81" ref="C132"/>
    <hyperlink r:id="rId82" ref="C133"/>
    <hyperlink r:id="rId83" ref="C134"/>
    <hyperlink r:id="rId84" ref="C135"/>
    <hyperlink r:id="rId85" ref="C136"/>
    <hyperlink r:id="rId86" ref="C137"/>
    <hyperlink r:id="rId87" ref="C138"/>
    <hyperlink r:id="rId88" ref="C140"/>
    <hyperlink r:id="rId89" ref="C142"/>
    <hyperlink r:id="rId90" ref="C144"/>
    <hyperlink r:id="rId91" ref="C145"/>
    <hyperlink r:id="rId92" ref="C146"/>
    <hyperlink r:id="rId93" ref="C147"/>
    <hyperlink r:id="rId94" ref="C149"/>
    <hyperlink r:id="rId95" ref="C152"/>
    <hyperlink r:id="rId96" ref="C153"/>
    <hyperlink r:id="rId97" ref="C154"/>
    <hyperlink r:id="rId98" ref="C155"/>
    <hyperlink r:id="rId99" ref="C156"/>
    <hyperlink r:id="rId100" ref="C157"/>
    <hyperlink r:id="rId101" ref="C158"/>
    <hyperlink r:id="rId102" ref="C159"/>
    <hyperlink r:id="rId103" ref="C160"/>
    <hyperlink r:id="rId104" ref="C162"/>
    <hyperlink r:id="rId105" ref="C164"/>
    <hyperlink r:id="rId106" ref="C165"/>
  </hyperlinks>
  <drawing r:id="rId107"/>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FA8DC"/>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2" max="2" width="11.29"/>
    <col customWidth="1" min="5" max="5" width="8.29"/>
  </cols>
  <sheetData>
    <row r="1">
      <c r="A1" s="1" t="s">
        <v>0</v>
      </c>
      <c r="B1" s="2" t="s">
        <v>1</v>
      </c>
      <c r="C1" s="2" t="s">
        <v>2</v>
      </c>
      <c r="D1" s="2" t="s">
        <v>2</v>
      </c>
      <c r="E1" s="3"/>
      <c r="F1" s="260" t="s">
        <v>3</v>
      </c>
      <c r="G1" s="1" t="s">
        <v>4</v>
      </c>
      <c r="H1" s="1" t="s">
        <v>5</v>
      </c>
      <c r="I1" s="1" t="s">
        <v>6</v>
      </c>
      <c r="J1" s="1" t="s">
        <v>7</v>
      </c>
      <c r="K1" s="1" t="s">
        <v>8</v>
      </c>
      <c r="L1" s="7" t="s">
        <v>9</v>
      </c>
      <c r="N1" s="10" t="s">
        <v>14</v>
      </c>
      <c r="P1" s="11"/>
      <c r="Q1" s="11"/>
      <c r="R1" s="17"/>
      <c r="S1" s="20"/>
      <c r="T1" s="20"/>
      <c r="U1" s="20"/>
      <c r="V1" s="20"/>
      <c r="W1" s="20"/>
      <c r="X1" s="20"/>
      <c r="Y1" s="20"/>
      <c r="Z1" s="20"/>
      <c r="AA1" s="20"/>
      <c r="AB1" s="20"/>
      <c r="AC1" s="20"/>
      <c r="AD1" s="20"/>
      <c r="AE1" s="261"/>
      <c r="AF1" s="261"/>
      <c r="AG1" s="261"/>
      <c r="AH1" s="261"/>
      <c r="AI1" s="261"/>
      <c r="AJ1" s="261"/>
    </row>
    <row r="2">
      <c r="A2" s="23"/>
      <c r="B2" s="21" t="s">
        <v>22</v>
      </c>
      <c r="C2" s="21" t="s">
        <v>22</v>
      </c>
      <c r="D2" s="23"/>
      <c r="E2" s="3"/>
      <c r="F2" s="262"/>
      <c r="G2" s="23"/>
      <c r="H2" s="21"/>
      <c r="I2" s="23">
        <v>43473.0</v>
      </c>
      <c r="J2" s="23">
        <v>43553.0</v>
      </c>
      <c r="K2" s="23"/>
      <c r="L2" s="26">
        <f>CountIFS($E:$E,"=Dem",$A:$A,"=House")</f>
        <v>71</v>
      </c>
      <c r="M2" s="28">
        <f>CountIFS($E:$E,"=Rep",$A:$A,"=House")</f>
        <v>109</v>
      </c>
      <c r="N2" s="26">
        <f>CountIFS($E:$E,"=Dem",$A:$A,"=Senate")</f>
        <v>21</v>
      </c>
      <c r="O2" s="28">
        <f>CountIFS($E:$E,"=Rep",$A:$A,"=Senate")</f>
        <v>35</v>
      </c>
      <c r="P2" s="11"/>
      <c r="Q2" s="11"/>
      <c r="R2" s="17"/>
      <c r="S2" s="20"/>
      <c r="T2" s="20"/>
      <c r="U2" s="20"/>
      <c r="V2" s="20"/>
      <c r="W2" s="20"/>
      <c r="X2" s="20"/>
      <c r="Y2" s="20"/>
      <c r="Z2" s="20"/>
      <c r="AA2" s="20"/>
      <c r="AB2" s="20"/>
      <c r="AC2" s="20"/>
      <c r="AD2" s="20"/>
      <c r="AE2" s="261"/>
      <c r="AF2" s="261"/>
      <c r="AG2" s="261"/>
      <c r="AH2" s="261"/>
      <c r="AI2" s="261"/>
      <c r="AJ2" s="261"/>
    </row>
    <row r="3">
      <c r="A3" s="30" t="s">
        <v>29</v>
      </c>
      <c r="B3" s="81" t="s">
        <v>30</v>
      </c>
      <c r="C3" s="2" t="s">
        <v>31</v>
      </c>
      <c r="D3" s="2" t="s">
        <v>32</v>
      </c>
      <c r="E3" s="3" t="s">
        <v>33</v>
      </c>
      <c r="F3" s="81" t="s">
        <v>10</v>
      </c>
      <c r="G3" s="30" t="s">
        <v>34</v>
      </c>
      <c r="H3" s="30" t="s">
        <v>34</v>
      </c>
      <c r="I3" s="30" t="s">
        <v>34</v>
      </c>
      <c r="J3" s="30" t="s">
        <v>34</v>
      </c>
      <c r="K3" s="30" t="s">
        <v>35</v>
      </c>
      <c r="L3" s="19" t="s">
        <v>36</v>
      </c>
      <c r="M3" s="19" t="s">
        <v>37</v>
      </c>
      <c r="N3" s="19" t="s">
        <v>38</v>
      </c>
      <c r="O3" s="17" t="s">
        <v>39</v>
      </c>
      <c r="P3" s="11" t="s">
        <v>40</v>
      </c>
      <c r="Q3" s="11" t="s">
        <v>41</v>
      </c>
      <c r="R3" s="17" t="s">
        <v>42</v>
      </c>
      <c r="S3" s="20"/>
      <c r="T3" s="20"/>
      <c r="U3" s="20"/>
      <c r="V3" s="20"/>
      <c r="W3" s="20"/>
      <c r="X3" s="20"/>
      <c r="Y3" s="20"/>
      <c r="Z3" s="20"/>
      <c r="AA3" s="20"/>
      <c r="AB3" s="20"/>
      <c r="AC3" s="20"/>
      <c r="AD3" s="20"/>
      <c r="AE3" s="261"/>
      <c r="AF3" s="261"/>
      <c r="AG3" s="261"/>
      <c r="AH3" s="261"/>
      <c r="AI3" s="261"/>
      <c r="AJ3" s="261"/>
    </row>
    <row r="4">
      <c r="A4" s="14" t="s">
        <v>44</v>
      </c>
      <c r="B4" s="263">
        <v>1.0</v>
      </c>
      <c r="C4" s="264" t="s">
        <v>3079</v>
      </c>
      <c r="D4" s="264" t="s">
        <v>89</v>
      </c>
      <c r="E4" s="265" t="s">
        <v>53</v>
      </c>
      <c r="G4" s="222"/>
      <c r="H4" s="118"/>
      <c r="I4" s="119"/>
      <c r="L4" s="89"/>
      <c r="M4" s="39" t="str">
        <f t="shared" ref="M4:M183" si="1">Concatenate(Lower(C4),".",Lower(D4),"@house.ga.gov")</f>
        <v>colton.moore@house.ga.gov</v>
      </c>
      <c r="N4" s="89"/>
      <c r="O4" s="89"/>
      <c r="P4" s="89"/>
      <c r="Q4" s="89"/>
      <c r="R4" s="89"/>
    </row>
    <row r="5">
      <c r="A5" s="14" t="s">
        <v>44</v>
      </c>
      <c r="B5" s="263">
        <v>2.0</v>
      </c>
      <c r="C5" s="264" t="s">
        <v>55</v>
      </c>
      <c r="D5" s="264" t="s">
        <v>3084</v>
      </c>
      <c r="E5" s="265" t="s">
        <v>53</v>
      </c>
      <c r="G5" s="222"/>
      <c r="H5" s="118"/>
      <c r="I5" s="119"/>
      <c r="L5" s="89"/>
      <c r="M5" s="39" t="str">
        <f t="shared" si="1"/>
        <v>steve.tarvin@house.ga.gov</v>
      </c>
      <c r="N5" s="89"/>
      <c r="O5" s="89"/>
      <c r="P5" s="89"/>
      <c r="Q5" s="89"/>
      <c r="R5" s="89"/>
    </row>
    <row r="6">
      <c r="A6" s="14" t="s">
        <v>44</v>
      </c>
      <c r="B6" s="263">
        <v>3.0</v>
      </c>
      <c r="C6" s="264" t="s">
        <v>3086</v>
      </c>
      <c r="D6" s="264" t="s">
        <v>485</v>
      </c>
      <c r="E6" s="265" t="s">
        <v>53</v>
      </c>
      <c r="G6" s="222"/>
      <c r="H6" s="118"/>
      <c r="I6" s="119"/>
      <c r="L6" s="89"/>
      <c r="M6" s="39" t="str">
        <f t="shared" si="1"/>
        <v>dewayne.hill@house.ga.gov</v>
      </c>
      <c r="N6" s="89"/>
      <c r="O6" s="89"/>
      <c r="P6" s="89"/>
      <c r="Q6" s="89"/>
      <c r="R6" s="89"/>
    </row>
    <row r="7">
      <c r="A7" s="14" t="s">
        <v>44</v>
      </c>
      <c r="B7" s="263">
        <v>4.0</v>
      </c>
      <c r="C7" s="264" t="s">
        <v>3088</v>
      </c>
      <c r="D7" s="264" t="s">
        <v>196</v>
      </c>
      <c r="E7" s="265" t="s">
        <v>53</v>
      </c>
      <c r="G7" s="222"/>
      <c r="H7" s="118"/>
      <c r="I7" s="119"/>
      <c r="L7" s="89"/>
      <c r="M7" s="39" t="str">
        <f t="shared" si="1"/>
        <v>kasey.carpenter@house.ga.gov</v>
      </c>
      <c r="N7" s="89"/>
      <c r="O7" s="89"/>
      <c r="P7" s="89"/>
      <c r="Q7" s="89"/>
      <c r="R7" s="89"/>
    </row>
    <row r="8">
      <c r="A8" s="14" t="s">
        <v>44</v>
      </c>
      <c r="B8" s="263">
        <v>5.0</v>
      </c>
      <c r="C8" s="264" t="s">
        <v>278</v>
      </c>
      <c r="D8" s="264" t="s">
        <v>3090</v>
      </c>
      <c r="E8" s="265" t="s">
        <v>53</v>
      </c>
      <c r="G8" s="222"/>
      <c r="H8" s="122"/>
      <c r="I8" s="123"/>
      <c r="L8" s="89"/>
      <c r="M8" s="39" t="str">
        <f t="shared" si="1"/>
        <v>john.meadows@house.ga.gov</v>
      </c>
      <c r="N8" s="89"/>
      <c r="O8" s="89"/>
      <c r="P8" s="89"/>
      <c r="Q8" s="89"/>
      <c r="R8" s="89"/>
    </row>
    <row r="9">
      <c r="A9" s="14" t="s">
        <v>44</v>
      </c>
      <c r="B9" s="263">
        <v>6.0</v>
      </c>
      <c r="C9" s="264" t="s">
        <v>1231</v>
      </c>
      <c r="D9" s="264" t="s">
        <v>3094</v>
      </c>
      <c r="E9" s="265" t="s">
        <v>53</v>
      </c>
      <c r="G9" s="222"/>
      <c r="H9" s="118"/>
      <c r="I9" s="119"/>
      <c r="L9" s="89"/>
      <c r="M9" s="39" t="str">
        <f t="shared" si="1"/>
        <v>jason.ridley@house.ga.gov</v>
      </c>
      <c r="N9" s="89"/>
      <c r="O9" s="89"/>
      <c r="P9" s="89"/>
      <c r="Q9" s="89"/>
      <c r="R9" s="89"/>
    </row>
    <row r="10">
      <c r="A10" s="14" t="s">
        <v>44</v>
      </c>
      <c r="B10" s="263">
        <v>7.0</v>
      </c>
      <c r="C10" s="264" t="s">
        <v>108</v>
      </c>
      <c r="D10" s="264" t="s">
        <v>3098</v>
      </c>
      <c r="E10" s="265" t="s">
        <v>53</v>
      </c>
      <c r="G10" s="222"/>
      <c r="H10" s="122"/>
      <c r="I10" s="123"/>
      <c r="L10" s="89"/>
      <c r="M10" s="39" t="str">
        <f t="shared" si="1"/>
        <v>david.ralston@house.ga.gov</v>
      </c>
      <c r="N10" s="89"/>
      <c r="O10" s="89"/>
      <c r="P10" s="89"/>
      <c r="Q10" s="89"/>
      <c r="R10" s="89"/>
    </row>
    <row r="11">
      <c r="A11" s="14" t="s">
        <v>44</v>
      </c>
      <c r="B11" s="263">
        <v>8.0</v>
      </c>
      <c r="C11" s="264" t="s">
        <v>163</v>
      </c>
      <c r="D11" s="264" t="s">
        <v>3102</v>
      </c>
      <c r="E11" s="265" t="s">
        <v>53</v>
      </c>
      <c r="G11" s="222"/>
      <c r="H11" s="118"/>
      <c r="I11" s="119"/>
      <c r="L11" s="89"/>
      <c r="M11" s="39" t="str">
        <f t="shared" si="1"/>
        <v>matt.gurtler@house.ga.gov</v>
      </c>
      <c r="N11" s="89"/>
      <c r="O11" s="89"/>
      <c r="P11" s="89"/>
      <c r="Q11" s="89"/>
      <c r="R11" s="89"/>
    </row>
    <row r="12">
      <c r="A12" s="14" t="s">
        <v>44</v>
      </c>
      <c r="B12" s="263">
        <v>9.0</v>
      </c>
      <c r="C12" s="264" t="s">
        <v>971</v>
      </c>
      <c r="D12" s="264" t="s">
        <v>3105</v>
      </c>
      <c r="E12" s="265" t="s">
        <v>53</v>
      </c>
      <c r="G12" s="222"/>
      <c r="H12" s="118"/>
      <c r="I12" s="119"/>
      <c r="L12" s="89"/>
      <c r="M12" s="39" t="str">
        <f t="shared" si="1"/>
        <v>kevin.tanner@house.ga.gov</v>
      </c>
      <c r="N12" s="89"/>
      <c r="O12" s="89"/>
      <c r="P12" s="89"/>
      <c r="Q12" s="89"/>
      <c r="R12" s="89"/>
    </row>
    <row r="13">
      <c r="A13" s="14" t="s">
        <v>44</v>
      </c>
      <c r="B13" s="263">
        <v>10.0</v>
      </c>
      <c r="C13" s="264" t="s">
        <v>1990</v>
      </c>
      <c r="D13" s="264" t="s">
        <v>494</v>
      </c>
      <c r="E13" s="265" t="s">
        <v>53</v>
      </c>
      <c r="G13" s="222"/>
      <c r="H13" s="118"/>
      <c r="I13" s="119"/>
      <c r="L13" s="89"/>
      <c r="M13" s="39" t="str">
        <f t="shared" si="1"/>
        <v>terry.rogers@house.ga.gov</v>
      </c>
      <c r="N13" s="89"/>
      <c r="O13" s="89"/>
      <c r="P13" s="89"/>
      <c r="Q13" s="89"/>
      <c r="R13" s="89"/>
    </row>
    <row r="14">
      <c r="A14" s="14" t="s">
        <v>44</v>
      </c>
      <c r="B14" s="263">
        <v>11.0</v>
      </c>
      <c r="C14" s="264" t="s">
        <v>1291</v>
      </c>
      <c r="D14" s="264" t="s">
        <v>3114</v>
      </c>
      <c r="E14" s="265" t="s">
        <v>53</v>
      </c>
      <c r="G14" s="222"/>
      <c r="H14" s="122"/>
      <c r="I14" s="123"/>
      <c r="L14" s="89"/>
      <c r="M14" s="39" t="str">
        <f t="shared" si="1"/>
        <v>rick.jasperse@house.ga.gov</v>
      </c>
      <c r="N14" s="89"/>
      <c r="O14" s="89"/>
      <c r="P14" s="89"/>
      <c r="Q14" s="89"/>
      <c r="R14" s="89"/>
    </row>
    <row r="15">
      <c r="A15" s="14" t="s">
        <v>44</v>
      </c>
      <c r="B15" s="263">
        <v>12.0</v>
      </c>
      <c r="C15" s="264" t="s">
        <v>1237</v>
      </c>
      <c r="D15" s="264" t="s">
        <v>3116</v>
      </c>
      <c r="E15" s="265" t="s">
        <v>53</v>
      </c>
      <c r="G15" s="222"/>
      <c r="H15" s="118"/>
      <c r="I15" s="119"/>
      <c r="L15" s="89"/>
      <c r="M15" s="39" t="str">
        <f t="shared" si="1"/>
        <v>eddie.lumsden@house.ga.gov</v>
      </c>
      <c r="N15" s="89"/>
      <c r="O15" s="89"/>
      <c r="P15" s="89"/>
      <c r="Q15" s="89"/>
      <c r="R15" s="89"/>
    </row>
    <row r="16">
      <c r="A16" s="14" t="s">
        <v>44</v>
      </c>
      <c r="B16" s="263">
        <v>13.0</v>
      </c>
      <c r="C16" s="264" t="s">
        <v>2317</v>
      </c>
      <c r="D16" s="264" t="s">
        <v>3123</v>
      </c>
      <c r="E16" s="265" t="s">
        <v>53</v>
      </c>
      <c r="G16" s="222"/>
      <c r="H16" s="122"/>
      <c r="I16" s="123"/>
      <c r="L16" s="89"/>
      <c r="M16" s="39" t="str">
        <f t="shared" si="1"/>
        <v>katie.dempsey@house.ga.gov</v>
      </c>
      <c r="N16" s="89"/>
      <c r="O16" s="89"/>
      <c r="P16" s="89"/>
      <c r="Q16" s="89"/>
      <c r="R16" s="89"/>
    </row>
    <row r="17">
      <c r="A17" s="14" t="s">
        <v>44</v>
      </c>
      <c r="B17" s="263">
        <v>14.0</v>
      </c>
      <c r="C17" s="264" t="s">
        <v>3127</v>
      </c>
      <c r="D17" s="264" t="s">
        <v>3128</v>
      </c>
      <c r="E17" s="265" t="s">
        <v>53</v>
      </c>
      <c r="G17" s="222"/>
      <c r="H17" s="118"/>
      <c r="I17" s="119"/>
      <c r="L17" s="89"/>
      <c r="M17" s="39" t="str">
        <f t="shared" si="1"/>
        <v>christian.coomer@house.ga.gov</v>
      </c>
      <c r="N17" s="89"/>
      <c r="O17" s="89"/>
      <c r="P17" s="89"/>
      <c r="Q17" s="89"/>
      <c r="R17" s="89"/>
    </row>
    <row r="18">
      <c r="A18" s="14" t="s">
        <v>44</v>
      </c>
      <c r="B18" s="263">
        <v>15.0</v>
      </c>
      <c r="C18" s="264" t="s">
        <v>896</v>
      </c>
      <c r="D18" s="59" t="s">
        <v>3138</v>
      </c>
      <c r="E18" s="265" t="s">
        <v>53</v>
      </c>
      <c r="G18" s="222"/>
      <c r="H18" s="118"/>
      <c r="I18" s="119"/>
      <c r="L18" s="89"/>
      <c r="M18" s="39" t="str">
        <f t="shared" si="1"/>
        <v>matthew.gambil@house.ga.gov</v>
      </c>
      <c r="N18" s="89"/>
      <c r="O18" s="89"/>
      <c r="P18" s="89"/>
      <c r="Q18" s="89"/>
      <c r="R18" s="89"/>
    </row>
    <row r="19">
      <c r="A19" s="14" t="s">
        <v>44</v>
      </c>
      <c r="B19" s="263">
        <v>16.0</v>
      </c>
      <c r="C19" s="264" t="s">
        <v>2940</v>
      </c>
      <c r="D19" s="264" t="s">
        <v>3146</v>
      </c>
      <c r="E19" s="265" t="s">
        <v>53</v>
      </c>
      <c r="G19" s="222"/>
      <c r="H19" s="118"/>
      <c r="I19" s="119"/>
      <c r="L19" s="89"/>
      <c r="M19" s="39" t="str">
        <f t="shared" si="1"/>
        <v>trey.kelley@house.ga.gov</v>
      </c>
      <c r="N19" s="89"/>
      <c r="O19" s="89"/>
      <c r="P19" s="89"/>
      <c r="Q19" s="89"/>
      <c r="R19" s="89"/>
    </row>
    <row r="20">
      <c r="A20" s="14" t="s">
        <v>44</v>
      </c>
      <c r="B20" s="263">
        <v>17.0</v>
      </c>
      <c r="C20" s="264" t="s">
        <v>456</v>
      </c>
      <c r="D20" s="264" t="s">
        <v>3153</v>
      </c>
      <c r="E20" s="265" t="s">
        <v>53</v>
      </c>
      <c r="G20" s="222"/>
      <c r="H20" s="122"/>
      <c r="I20" s="123"/>
      <c r="L20" s="89"/>
      <c r="M20" s="39" t="str">
        <f t="shared" si="1"/>
        <v>martin.momtahan@house.ga.gov</v>
      </c>
      <c r="N20" s="89"/>
      <c r="O20" s="89"/>
      <c r="P20" s="89"/>
      <c r="Q20" s="89"/>
      <c r="R20" s="89"/>
    </row>
    <row r="21">
      <c r="A21" s="14" t="s">
        <v>44</v>
      </c>
      <c r="B21" s="263">
        <v>18.0</v>
      </c>
      <c r="C21" s="264" t="s">
        <v>971</v>
      </c>
      <c r="D21" s="264" t="s">
        <v>2353</v>
      </c>
      <c r="E21" s="265" t="s">
        <v>53</v>
      </c>
      <c r="G21" s="222"/>
      <c r="H21" s="122"/>
      <c r="I21" s="123"/>
      <c r="L21" s="89"/>
      <c r="M21" s="39" t="str">
        <f t="shared" si="1"/>
        <v>kevin.cooke@house.ga.gov</v>
      </c>
      <c r="N21" s="89"/>
      <c r="O21" s="89"/>
      <c r="P21" s="89"/>
      <c r="Q21" s="89"/>
      <c r="R21" s="89"/>
    </row>
    <row r="22">
      <c r="A22" s="14" t="s">
        <v>44</v>
      </c>
      <c r="B22" s="263">
        <v>19.0</v>
      </c>
      <c r="C22" s="264" t="s">
        <v>2527</v>
      </c>
      <c r="D22" s="264" t="s">
        <v>3171</v>
      </c>
      <c r="E22" s="265" t="s">
        <v>53</v>
      </c>
      <c r="G22" s="222"/>
      <c r="H22" s="122"/>
      <c r="I22" s="123"/>
      <c r="L22" s="89"/>
      <c r="M22" s="39" t="str">
        <f t="shared" si="1"/>
        <v>joseph.gullett@house.ga.gov</v>
      </c>
      <c r="N22" s="89"/>
      <c r="O22" s="89"/>
      <c r="P22" s="89"/>
      <c r="Q22" s="89"/>
      <c r="R22" s="89"/>
    </row>
    <row r="23">
      <c r="A23" s="14" t="s">
        <v>44</v>
      </c>
      <c r="B23" s="263">
        <v>20.0</v>
      </c>
      <c r="C23" s="264" t="s">
        <v>2490</v>
      </c>
      <c r="D23" s="264" t="s">
        <v>2230</v>
      </c>
      <c r="E23" s="265" t="s">
        <v>53</v>
      </c>
      <c r="G23" s="222"/>
      <c r="H23" s="122"/>
      <c r="I23" s="123"/>
      <c r="L23" s="89"/>
      <c r="M23" s="39" t="str">
        <f t="shared" si="1"/>
        <v>michael.caldwell@house.ga.gov</v>
      </c>
      <c r="N23" s="89"/>
      <c r="O23" s="89"/>
      <c r="P23" s="89"/>
      <c r="Q23" s="89"/>
      <c r="R23" s="89"/>
    </row>
    <row r="24">
      <c r="A24" s="14" t="s">
        <v>44</v>
      </c>
      <c r="B24" s="263">
        <v>21.0</v>
      </c>
      <c r="C24" s="264" t="s">
        <v>3190</v>
      </c>
      <c r="D24" s="264" t="s">
        <v>3193</v>
      </c>
      <c r="E24" s="265" t="s">
        <v>53</v>
      </c>
      <c r="G24" s="222"/>
      <c r="H24" s="122"/>
      <c r="I24" s="123"/>
      <c r="L24" s="89"/>
      <c r="M24" s="39" t="str">
        <f t="shared" si="1"/>
        <v>scot.turner@house.ga.gov</v>
      </c>
      <c r="N24" s="89"/>
      <c r="O24" s="89"/>
      <c r="P24" s="89"/>
      <c r="Q24" s="89"/>
      <c r="R24" s="89"/>
    </row>
    <row r="25">
      <c r="A25" s="14" t="s">
        <v>44</v>
      </c>
      <c r="B25" s="263">
        <v>22.0</v>
      </c>
      <c r="C25" s="264" t="s">
        <v>349</v>
      </c>
      <c r="D25" s="264" t="s">
        <v>3199</v>
      </c>
      <c r="E25" s="265" t="s">
        <v>53</v>
      </c>
      <c r="G25" s="222"/>
      <c r="H25" s="122"/>
      <c r="I25" s="123"/>
      <c r="L25" s="89"/>
      <c r="M25" s="39" t="str">
        <f t="shared" si="1"/>
        <v>wes.cantrell@house.ga.gov</v>
      </c>
      <c r="N25" s="89"/>
      <c r="O25" s="89"/>
      <c r="P25" s="89"/>
      <c r="Q25" s="89"/>
      <c r="R25" s="89"/>
    </row>
    <row r="26">
      <c r="A26" s="14" t="s">
        <v>44</v>
      </c>
      <c r="B26" s="263">
        <v>23.0</v>
      </c>
      <c r="C26" s="264" t="s">
        <v>3201</v>
      </c>
      <c r="D26" s="264" t="s">
        <v>1939</v>
      </c>
      <c r="E26" s="265" t="s">
        <v>53</v>
      </c>
      <c r="G26" s="222"/>
      <c r="H26" s="122"/>
      <c r="I26" s="123"/>
      <c r="L26" s="89"/>
      <c r="M26" s="39" t="str">
        <f t="shared" si="1"/>
        <v>mandi.ballinger@house.ga.gov</v>
      </c>
      <c r="N26" s="89"/>
      <c r="O26" s="89"/>
      <c r="P26" s="89"/>
      <c r="Q26" s="89"/>
      <c r="R26" s="89"/>
    </row>
    <row r="27">
      <c r="A27" s="14" t="s">
        <v>44</v>
      </c>
      <c r="B27" s="263">
        <v>24.0</v>
      </c>
      <c r="C27" s="264" t="s">
        <v>3212</v>
      </c>
      <c r="D27" s="264" t="s">
        <v>3215</v>
      </c>
      <c r="E27" s="265" t="s">
        <v>53</v>
      </c>
      <c r="G27" s="222"/>
      <c r="H27" s="118"/>
      <c r="I27" s="119"/>
      <c r="L27" s="89"/>
      <c r="M27" s="39" t="str">
        <f t="shared" si="1"/>
        <v>sheri.gilligan@house.ga.gov</v>
      </c>
      <c r="N27" s="89"/>
      <c r="O27" s="89"/>
      <c r="P27" s="89"/>
      <c r="Q27" s="89"/>
      <c r="R27" s="89"/>
    </row>
    <row r="28">
      <c r="A28" s="14" t="s">
        <v>44</v>
      </c>
      <c r="B28" s="263">
        <v>25.0</v>
      </c>
      <c r="C28" s="264" t="s">
        <v>1974</v>
      </c>
      <c r="D28" s="264" t="s">
        <v>706</v>
      </c>
      <c r="E28" s="265" t="s">
        <v>53</v>
      </c>
      <c r="G28" s="222"/>
      <c r="H28" s="122"/>
      <c r="I28" s="123"/>
      <c r="L28" s="89"/>
      <c r="M28" s="39" t="str">
        <f t="shared" si="1"/>
        <v>todd.jones@house.ga.gov</v>
      </c>
      <c r="N28" s="89"/>
      <c r="O28" s="89"/>
      <c r="P28" s="89"/>
      <c r="Q28" s="89"/>
      <c r="R28" s="89"/>
    </row>
    <row r="29">
      <c r="A29" s="14" t="s">
        <v>44</v>
      </c>
      <c r="B29" s="263">
        <v>26.0</v>
      </c>
      <c r="C29" s="264" t="s">
        <v>1431</v>
      </c>
      <c r="D29" s="264" t="s">
        <v>617</v>
      </c>
      <c r="E29" s="265" t="s">
        <v>53</v>
      </c>
      <c r="G29" s="222"/>
      <c r="H29" s="118"/>
      <c r="I29" s="119"/>
      <c r="L29" s="89"/>
      <c r="M29" s="39" t="str">
        <f t="shared" si="1"/>
        <v>marc.morris@house.ga.gov</v>
      </c>
      <c r="N29" s="89"/>
      <c r="O29" s="89"/>
      <c r="P29" s="89"/>
      <c r="Q29" s="89"/>
      <c r="R29" s="89"/>
    </row>
    <row r="30">
      <c r="A30" s="14" t="s">
        <v>44</v>
      </c>
      <c r="B30" s="263">
        <v>27.0</v>
      </c>
      <c r="C30" s="264" t="s">
        <v>629</v>
      </c>
      <c r="D30" s="264" t="s">
        <v>3233</v>
      </c>
      <c r="E30" s="265" t="s">
        <v>53</v>
      </c>
      <c r="G30" s="222"/>
      <c r="H30" s="118"/>
      <c r="I30" s="119"/>
      <c r="L30" s="89"/>
      <c r="M30" s="39" t="str">
        <f t="shared" si="1"/>
        <v>lee.hawkins@house.ga.gov</v>
      </c>
      <c r="N30" s="89"/>
      <c r="O30" s="89"/>
      <c r="P30" s="89"/>
      <c r="Q30" s="89"/>
      <c r="R30" s="89"/>
    </row>
    <row r="31">
      <c r="A31" s="14" t="s">
        <v>44</v>
      </c>
      <c r="B31" s="263">
        <v>28.0</v>
      </c>
      <c r="C31" s="264" t="s">
        <v>3239</v>
      </c>
      <c r="D31" s="264" t="s">
        <v>519</v>
      </c>
      <c r="E31" s="265" t="s">
        <v>53</v>
      </c>
      <c r="G31" s="222"/>
      <c r="H31" s="118"/>
      <c r="I31" s="119"/>
      <c r="L31" s="89"/>
      <c r="M31" s="39" t="str">
        <f t="shared" si="1"/>
        <v>erwin.@house.ga.gov</v>
      </c>
      <c r="N31" s="89"/>
      <c r="O31" s="89"/>
      <c r="P31" s="89"/>
      <c r="Q31" s="89"/>
      <c r="R31" s="89"/>
    </row>
    <row r="32">
      <c r="A32" s="14" t="s">
        <v>44</v>
      </c>
      <c r="B32" s="263">
        <v>29.0</v>
      </c>
      <c r="C32" s="264" t="s">
        <v>163</v>
      </c>
      <c r="D32" s="264" t="s">
        <v>3246</v>
      </c>
      <c r="E32" s="265" t="s">
        <v>53</v>
      </c>
      <c r="G32" s="222"/>
      <c r="H32" s="122"/>
      <c r="I32" s="123"/>
      <c r="L32" s="89"/>
      <c r="M32" s="39" t="str">
        <f t="shared" si="1"/>
        <v>matt.dubnik@house.ga.gov</v>
      </c>
      <c r="N32" s="89"/>
      <c r="O32" s="89"/>
      <c r="P32" s="89"/>
      <c r="Q32" s="89"/>
      <c r="R32" s="89"/>
    </row>
    <row r="33">
      <c r="A33" s="14" t="s">
        <v>44</v>
      </c>
      <c r="B33" s="263">
        <v>30.0</v>
      </c>
      <c r="C33" s="264" t="s">
        <v>3250</v>
      </c>
      <c r="D33" s="264" t="s">
        <v>3252</v>
      </c>
      <c r="E33" s="265" t="s">
        <v>53</v>
      </c>
      <c r="G33" s="222"/>
      <c r="H33" s="122"/>
      <c r="I33" s="123"/>
      <c r="L33" s="89"/>
      <c r="M33" s="39" t="str">
        <f t="shared" si="1"/>
        <v>emory.dunahoo@house.ga.gov</v>
      </c>
      <c r="N33" s="89"/>
      <c r="O33" s="89"/>
      <c r="P33" s="89"/>
      <c r="Q33" s="89"/>
      <c r="R33" s="89"/>
    </row>
    <row r="34">
      <c r="A34" s="14" t="s">
        <v>44</v>
      </c>
      <c r="B34" s="263">
        <v>31.0</v>
      </c>
      <c r="C34" s="264" t="s">
        <v>317</v>
      </c>
      <c r="D34" s="264" t="s">
        <v>2440</v>
      </c>
      <c r="E34" s="265" t="s">
        <v>53</v>
      </c>
      <c r="G34" s="222"/>
      <c r="H34" s="118"/>
      <c r="I34" s="119"/>
      <c r="L34" s="89"/>
      <c r="M34" s="39" t="str">
        <f t="shared" si="1"/>
        <v>tommy.benton@house.ga.gov</v>
      </c>
      <c r="N34" s="89"/>
      <c r="O34" s="89"/>
      <c r="P34" s="89"/>
      <c r="Q34" s="89"/>
      <c r="R34" s="89"/>
    </row>
    <row r="35">
      <c r="A35" s="14" t="s">
        <v>44</v>
      </c>
      <c r="B35" s="263">
        <v>32.0</v>
      </c>
      <c r="C35" s="264" t="s">
        <v>551</v>
      </c>
      <c r="D35" s="264" t="s">
        <v>3264</v>
      </c>
      <c r="E35" s="265" t="s">
        <v>53</v>
      </c>
      <c r="G35" s="222"/>
      <c r="H35" s="118"/>
      <c r="I35" s="119"/>
      <c r="L35" s="89"/>
      <c r="M35" s="39" t="str">
        <f t="shared" si="1"/>
        <v>alan.powell@house.ga.gov</v>
      </c>
      <c r="N35" s="89"/>
      <c r="O35" s="89"/>
      <c r="P35" s="89"/>
      <c r="Q35" s="89"/>
      <c r="R35" s="89"/>
    </row>
    <row r="36">
      <c r="A36" s="14" t="s">
        <v>44</v>
      </c>
      <c r="B36" s="263">
        <v>33.0</v>
      </c>
      <c r="C36" s="264" t="s">
        <v>338</v>
      </c>
      <c r="D36" s="264" t="s">
        <v>3274</v>
      </c>
      <c r="E36" s="265" t="s">
        <v>53</v>
      </c>
      <c r="G36" s="222"/>
      <c r="H36" s="118"/>
      <c r="I36" s="119"/>
      <c r="L36" s="89"/>
      <c r="M36" s="39" t="str">
        <f t="shared" si="1"/>
        <v>tom.mccall@house.ga.gov</v>
      </c>
      <c r="N36" s="89"/>
      <c r="O36" s="89"/>
      <c r="P36" s="89"/>
      <c r="Q36" s="89"/>
      <c r="R36" s="89"/>
    </row>
    <row r="37">
      <c r="A37" s="14" t="s">
        <v>44</v>
      </c>
      <c r="B37" s="263">
        <v>34.0</v>
      </c>
      <c r="C37" s="264" t="s">
        <v>392</v>
      </c>
      <c r="D37" s="264" t="s">
        <v>3278</v>
      </c>
      <c r="E37" s="265" t="s">
        <v>53</v>
      </c>
      <c r="G37" s="222"/>
      <c r="H37" s="122"/>
      <c r="I37" s="123"/>
      <c r="L37" s="89"/>
      <c r="M37" s="39" t="str">
        <f t="shared" si="1"/>
        <v>bert.reeves@house.ga.gov</v>
      </c>
      <c r="N37" s="89"/>
      <c r="O37" s="89"/>
      <c r="P37" s="89"/>
      <c r="Q37" s="89"/>
      <c r="R37" s="89"/>
    </row>
    <row r="38">
      <c r="A38" s="14" t="s">
        <v>44</v>
      </c>
      <c r="B38" s="263">
        <v>35.0</v>
      </c>
      <c r="C38" s="264" t="s">
        <v>636</v>
      </c>
      <c r="D38" s="264" t="s">
        <v>3288</v>
      </c>
      <c r="E38" s="265" t="s">
        <v>53</v>
      </c>
      <c r="G38" s="222"/>
      <c r="H38" s="122"/>
      <c r="I38" s="123"/>
      <c r="L38" s="89"/>
      <c r="M38" s="39" t="str">
        <f t="shared" si="1"/>
        <v>ed.setzler@house.ga.gov</v>
      </c>
      <c r="N38" s="89"/>
      <c r="O38" s="89"/>
      <c r="P38" s="89"/>
      <c r="Q38" s="89"/>
      <c r="R38" s="89"/>
    </row>
    <row r="39">
      <c r="A39" s="14" t="s">
        <v>44</v>
      </c>
      <c r="B39" s="263">
        <v>36.0</v>
      </c>
      <c r="C39" s="264" t="s">
        <v>2725</v>
      </c>
      <c r="D39" s="264" t="s">
        <v>3295</v>
      </c>
      <c r="E39" s="265" t="s">
        <v>53</v>
      </c>
      <c r="G39" s="222"/>
      <c r="H39" s="122"/>
      <c r="I39" s="123"/>
      <c r="L39" s="89"/>
      <c r="M39" s="39" t="str">
        <f t="shared" si="1"/>
        <v>earl.ehrhart@house.ga.gov</v>
      </c>
      <c r="N39" s="89"/>
      <c r="O39" s="89"/>
      <c r="P39" s="89"/>
      <c r="Q39" s="89"/>
      <c r="R39" s="89"/>
    </row>
    <row r="40">
      <c r="A40" s="14" t="s">
        <v>44</v>
      </c>
      <c r="B40" s="263">
        <v>37.0</v>
      </c>
      <c r="C40" s="264" t="s">
        <v>224</v>
      </c>
      <c r="D40" s="264" t="s">
        <v>3302</v>
      </c>
      <c r="E40" s="265" t="s">
        <v>53</v>
      </c>
      <c r="G40" s="298"/>
      <c r="H40" s="122"/>
      <c r="I40" s="123"/>
      <c r="L40" s="89"/>
      <c r="M40" s="39" t="str">
        <f t="shared" si="1"/>
        <v>sam.teasley@house.ga.gov</v>
      </c>
      <c r="N40" s="89"/>
      <c r="O40" s="89"/>
      <c r="P40" s="89"/>
      <c r="Q40" s="89"/>
      <c r="R40" s="89"/>
    </row>
    <row r="41">
      <c r="A41" s="14" t="s">
        <v>44</v>
      </c>
      <c r="B41" s="263">
        <v>38.0</v>
      </c>
      <c r="C41" s="264" t="s">
        <v>108</v>
      </c>
      <c r="D41" s="264" t="s">
        <v>3308</v>
      </c>
      <c r="E41" s="299" t="s">
        <v>49</v>
      </c>
      <c r="G41" s="222"/>
      <c r="H41" s="118"/>
      <c r="I41" s="119"/>
      <c r="L41" s="89"/>
      <c r="M41" s="39" t="str">
        <f t="shared" si="1"/>
        <v>david.wilkerson@house.ga.gov</v>
      </c>
      <c r="N41" s="89"/>
      <c r="O41" s="89"/>
      <c r="P41" s="89"/>
      <c r="Q41" s="89"/>
      <c r="R41" s="89"/>
    </row>
    <row r="42">
      <c r="A42" s="14" t="s">
        <v>44</v>
      </c>
      <c r="B42" s="263">
        <v>39.0</v>
      </c>
      <c r="C42" s="264" t="s">
        <v>3312</v>
      </c>
      <c r="D42" s="264" t="s">
        <v>561</v>
      </c>
      <c r="E42" s="299" t="s">
        <v>49</v>
      </c>
      <c r="G42" s="222"/>
      <c r="H42" s="122"/>
      <c r="I42" s="123"/>
      <c r="L42" s="89"/>
      <c r="M42" s="39" t="str">
        <f t="shared" si="1"/>
        <v>erica.thomas@house.ga.gov</v>
      </c>
      <c r="N42" s="89"/>
      <c r="O42" s="89"/>
      <c r="P42" s="89"/>
      <c r="Q42" s="89"/>
      <c r="R42" s="89"/>
    </row>
    <row r="43">
      <c r="A43" s="14" t="s">
        <v>44</v>
      </c>
      <c r="B43" s="263">
        <v>40.0</v>
      </c>
      <c r="C43" s="264" t="s">
        <v>3323</v>
      </c>
      <c r="D43" s="264" t="s">
        <v>241</v>
      </c>
      <c r="E43" s="299" t="s">
        <v>49</v>
      </c>
      <c r="G43" s="222"/>
      <c r="H43" s="122"/>
      <c r="I43" s="123"/>
      <c r="L43" s="89"/>
      <c r="M43" s="39" t="str">
        <f t="shared" si="1"/>
        <v>erick.allen@house.ga.gov</v>
      </c>
      <c r="N43" s="89"/>
      <c r="O43" s="89"/>
      <c r="P43" s="89"/>
      <c r="Q43" s="89"/>
      <c r="R43" s="89"/>
    </row>
    <row r="44">
      <c r="A44" s="14" t="s">
        <v>44</v>
      </c>
      <c r="B44" s="263">
        <v>41.0</v>
      </c>
      <c r="C44" s="264" t="s">
        <v>2490</v>
      </c>
      <c r="D44" s="264" t="s">
        <v>1451</v>
      </c>
      <c r="E44" s="299" t="s">
        <v>49</v>
      </c>
      <c r="G44" s="222"/>
      <c r="H44" s="122"/>
      <c r="I44" s="123"/>
      <c r="L44" s="89"/>
      <c r="M44" s="39" t="str">
        <f t="shared" si="1"/>
        <v>michael.smith@house.ga.gov</v>
      </c>
      <c r="N44" s="89"/>
      <c r="O44" s="89"/>
      <c r="P44" s="89"/>
      <c r="Q44" s="89"/>
      <c r="R44" s="89"/>
    </row>
    <row r="45">
      <c r="A45" s="14" t="s">
        <v>44</v>
      </c>
      <c r="B45" s="263">
        <v>42.0</v>
      </c>
      <c r="C45" s="264" t="s">
        <v>1142</v>
      </c>
      <c r="D45" s="264" t="s">
        <v>3333</v>
      </c>
      <c r="E45" s="299" t="s">
        <v>49</v>
      </c>
      <c r="G45" s="222"/>
      <c r="H45" s="118"/>
      <c r="I45" s="119"/>
      <c r="L45" s="89"/>
      <c r="M45" s="39" t="str">
        <f t="shared" si="1"/>
        <v>teri.anulewicz@house.ga.gov</v>
      </c>
      <c r="N45" s="89"/>
      <c r="O45" s="89"/>
      <c r="P45" s="89"/>
      <c r="Q45" s="89"/>
      <c r="R45" s="89"/>
    </row>
    <row r="46">
      <c r="A46" s="14" t="s">
        <v>44</v>
      </c>
      <c r="B46" s="263">
        <v>43.0</v>
      </c>
      <c r="C46" s="264" t="s">
        <v>1863</v>
      </c>
      <c r="D46" s="264" t="s">
        <v>1336</v>
      </c>
      <c r="E46" s="265" t="s">
        <v>53</v>
      </c>
      <c r="G46" s="222"/>
      <c r="H46" s="122"/>
      <c r="I46" s="123"/>
      <c r="L46" s="89"/>
      <c r="M46" s="39" t="str">
        <f t="shared" si="1"/>
        <v>sharon.cooper@house.ga.gov</v>
      </c>
      <c r="N46" s="89"/>
      <c r="O46" s="89"/>
      <c r="P46" s="89"/>
      <c r="Q46" s="89"/>
      <c r="R46" s="89"/>
    </row>
    <row r="47">
      <c r="A47" s="14" t="s">
        <v>44</v>
      </c>
      <c r="B47" s="263">
        <v>44.0</v>
      </c>
      <c r="C47" s="264" t="s">
        <v>428</v>
      </c>
      <c r="D47" s="264" t="s">
        <v>3346</v>
      </c>
      <c r="E47" s="265" t="s">
        <v>53</v>
      </c>
      <c r="G47" s="222"/>
      <c r="H47" s="122"/>
      <c r="I47" s="123"/>
      <c r="L47" s="89"/>
      <c r="M47" s="39" t="str">
        <f t="shared" si="1"/>
        <v>don.parsons@house.ga.gov</v>
      </c>
      <c r="N47" s="89"/>
      <c r="O47" s="89"/>
      <c r="P47" s="89"/>
      <c r="Q47" s="89"/>
      <c r="R47" s="89"/>
    </row>
    <row r="48">
      <c r="A48" s="14" t="s">
        <v>44</v>
      </c>
      <c r="B48" s="263">
        <v>45.0</v>
      </c>
      <c r="C48" s="264" t="s">
        <v>163</v>
      </c>
      <c r="D48" s="264" t="s">
        <v>3352</v>
      </c>
      <c r="E48" s="265" t="s">
        <v>53</v>
      </c>
      <c r="G48" s="222"/>
      <c r="H48" s="122"/>
      <c r="I48" s="123"/>
      <c r="L48" s="89"/>
      <c r="M48" s="39" t="str">
        <f t="shared" si="1"/>
        <v>matt.dollar@house.ga.gov</v>
      </c>
      <c r="N48" s="89"/>
      <c r="O48" s="89"/>
      <c r="P48" s="89"/>
      <c r="Q48" s="89"/>
      <c r="R48" s="89"/>
    </row>
    <row r="49">
      <c r="A49" s="14" t="s">
        <v>44</v>
      </c>
      <c r="B49" s="263">
        <v>46.0</v>
      </c>
      <c r="C49" s="264" t="s">
        <v>278</v>
      </c>
      <c r="D49" s="264" t="s">
        <v>3357</v>
      </c>
      <c r="E49" s="265" t="s">
        <v>53</v>
      </c>
      <c r="G49" s="222"/>
      <c r="H49" s="122"/>
      <c r="I49" s="123"/>
      <c r="L49" s="89"/>
      <c r="M49" s="39" t="str">
        <f t="shared" si="1"/>
        <v>john.carson@house.ga.gov</v>
      </c>
      <c r="N49" s="89"/>
      <c r="O49" s="89"/>
      <c r="P49" s="89"/>
      <c r="Q49" s="89"/>
      <c r="R49" s="89"/>
    </row>
    <row r="50">
      <c r="A50" s="14" t="s">
        <v>44</v>
      </c>
      <c r="B50" s="263">
        <v>47.0</v>
      </c>
      <c r="C50" s="264" t="s">
        <v>3359</v>
      </c>
      <c r="D50" s="264" t="s">
        <v>706</v>
      </c>
      <c r="E50" s="265" t="s">
        <v>53</v>
      </c>
      <c r="G50" s="222"/>
      <c r="H50" s="122"/>
      <c r="I50" s="123"/>
      <c r="L50" s="89"/>
      <c r="M50" s="39" t="str">
        <f t="shared" si="1"/>
        <v>jan.jones@house.ga.gov</v>
      </c>
      <c r="N50" s="89"/>
      <c r="O50" s="89"/>
      <c r="P50" s="89"/>
      <c r="Q50" s="89"/>
      <c r="R50" s="89"/>
    </row>
    <row r="51">
      <c r="A51" s="14" t="s">
        <v>44</v>
      </c>
      <c r="B51" s="263">
        <v>48.0</v>
      </c>
      <c r="C51" s="264" t="s">
        <v>3369</v>
      </c>
      <c r="D51" s="264" t="s">
        <v>906</v>
      </c>
      <c r="E51" s="265" t="s">
        <v>53</v>
      </c>
      <c r="G51" s="298"/>
      <c r="H51" s="122"/>
      <c r="I51" s="123"/>
      <c r="L51" s="89"/>
      <c r="M51" s="39" t="str">
        <f t="shared" si="1"/>
        <v>betty.price@house.ga.gov</v>
      </c>
      <c r="N51" s="89"/>
      <c r="O51" s="89"/>
      <c r="P51" s="89"/>
      <c r="Q51" s="89"/>
      <c r="R51" s="89"/>
    </row>
    <row r="52">
      <c r="A52" s="14" t="s">
        <v>44</v>
      </c>
      <c r="B52" s="263">
        <v>49.0</v>
      </c>
      <c r="C52" s="264" t="s">
        <v>177</v>
      </c>
      <c r="D52" s="264" t="s">
        <v>456</v>
      </c>
      <c r="E52" s="265" t="s">
        <v>53</v>
      </c>
      <c r="G52" s="222"/>
      <c r="H52" s="122"/>
      <c r="I52" s="123"/>
      <c r="L52" s="89"/>
      <c r="M52" s="39" t="str">
        <f t="shared" si="1"/>
        <v>chuck.martin@house.ga.gov</v>
      </c>
      <c r="N52" s="89"/>
      <c r="O52" s="89"/>
      <c r="P52" s="89"/>
      <c r="Q52" s="89"/>
      <c r="R52" s="89"/>
    </row>
    <row r="53">
      <c r="A53" s="14" t="s">
        <v>44</v>
      </c>
      <c r="B53" s="263">
        <v>50.0</v>
      </c>
      <c r="C53" s="264" t="s">
        <v>2323</v>
      </c>
      <c r="D53" s="264" t="s">
        <v>3418</v>
      </c>
      <c r="E53" s="265" t="s">
        <v>53</v>
      </c>
      <c r="G53" s="298"/>
      <c r="H53" s="122"/>
      <c r="I53" s="123"/>
      <c r="L53" s="89"/>
      <c r="M53" s="39" t="str">
        <f t="shared" si="1"/>
        <v>brad.raffensperger@house.ga.gov</v>
      </c>
      <c r="N53" s="89"/>
      <c r="O53" s="89"/>
      <c r="P53" s="89"/>
      <c r="Q53" s="89"/>
      <c r="R53" s="89"/>
    </row>
    <row r="54">
      <c r="A54" s="14" t="s">
        <v>44</v>
      </c>
      <c r="B54" s="263">
        <v>51.0</v>
      </c>
      <c r="C54" s="264" t="s">
        <v>180</v>
      </c>
      <c r="D54" s="264" t="s">
        <v>3422</v>
      </c>
      <c r="E54" s="299" t="s">
        <v>49</v>
      </c>
      <c r="G54" s="222"/>
      <c r="H54" s="122"/>
      <c r="I54" s="123"/>
      <c r="L54" s="89"/>
      <c r="M54" s="39" t="str">
        <f t="shared" si="1"/>
        <v>josh.mclaurin@house.ga.gov</v>
      </c>
      <c r="N54" s="89"/>
      <c r="O54" s="89"/>
      <c r="P54" s="89"/>
      <c r="Q54" s="89"/>
      <c r="R54" s="89"/>
    </row>
    <row r="55">
      <c r="A55" s="14" t="s">
        <v>44</v>
      </c>
      <c r="B55" s="263">
        <v>52.0</v>
      </c>
      <c r="C55" s="264" t="s">
        <v>1395</v>
      </c>
      <c r="D55" s="264" t="s">
        <v>3427</v>
      </c>
      <c r="E55" s="265" t="s">
        <v>53</v>
      </c>
      <c r="G55" s="222"/>
      <c r="H55" s="122"/>
      <c r="I55" s="123"/>
      <c r="L55" s="89"/>
      <c r="M55" s="39" t="str">
        <f t="shared" si="1"/>
        <v>deborah.silcox@house.ga.gov</v>
      </c>
      <c r="N55" s="89"/>
      <c r="O55" s="89"/>
      <c r="P55" s="89"/>
      <c r="Q55" s="89"/>
      <c r="R55" s="89"/>
    </row>
    <row r="56">
      <c r="A56" s="14" t="s">
        <v>44</v>
      </c>
      <c r="B56" s="263">
        <v>53.0</v>
      </c>
      <c r="C56" s="264" t="s">
        <v>3432</v>
      </c>
      <c r="D56" s="264" t="s">
        <v>706</v>
      </c>
      <c r="E56" s="299" t="s">
        <v>49</v>
      </c>
      <c r="G56" s="222"/>
      <c r="H56" s="118"/>
      <c r="I56" s="119"/>
      <c r="L56" s="89"/>
      <c r="M56" s="39" t="str">
        <f t="shared" si="1"/>
        <v>sheila.jones@house.ga.gov</v>
      </c>
      <c r="N56" s="89"/>
      <c r="O56" s="89"/>
      <c r="P56" s="89"/>
      <c r="Q56" s="89"/>
      <c r="R56" s="89"/>
    </row>
    <row r="57">
      <c r="A57" s="14" t="s">
        <v>44</v>
      </c>
      <c r="B57" s="263">
        <v>54.0</v>
      </c>
      <c r="C57" s="264" t="s">
        <v>3434</v>
      </c>
      <c r="D57" s="264" t="s">
        <v>3435</v>
      </c>
      <c r="E57" s="299" t="s">
        <v>49</v>
      </c>
      <c r="G57" s="222"/>
      <c r="H57" s="122"/>
      <c r="I57" s="123"/>
      <c r="L57" s="89"/>
      <c r="M57" s="39" t="str">
        <f t="shared" si="1"/>
        <v>betsy.holland@house.ga.gov</v>
      </c>
      <c r="N57" s="89"/>
      <c r="O57" s="89"/>
      <c r="P57" s="89"/>
      <c r="Q57" s="89"/>
      <c r="R57" s="89"/>
    </row>
    <row r="58">
      <c r="A58" s="14" t="s">
        <v>44</v>
      </c>
      <c r="B58" s="263">
        <v>55.0</v>
      </c>
      <c r="C58" s="264" t="s">
        <v>1953</v>
      </c>
      <c r="D58" s="264" t="s">
        <v>3440</v>
      </c>
      <c r="E58" s="299" t="s">
        <v>49</v>
      </c>
      <c r="G58" s="222"/>
      <c r="H58" s="118"/>
      <c r="I58" s="119"/>
      <c r="L58" s="89"/>
      <c r="M58" s="39" t="str">
        <f t="shared" si="1"/>
        <v>marie.metze@house.ga.gov</v>
      </c>
      <c r="N58" s="89"/>
      <c r="O58" s="89"/>
      <c r="P58" s="89"/>
      <c r="Q58" s="89"/>
      <c r="R58" s="89"/>
    </row>
    <row r="59">
      <c r="A59" s="14" t="s">
        <v>44</v>
      </c>
      <c r="B59" s="263">
        <v>56.0</v>
      </c>
      <c r="C59" s="264" t="s">
        <v>3441</v>
      </c>
      <c r="D59" s="264" t="s">
        <v>561</v>
      </c>
      <c r="E59" s="299" t="s">
        <v>49</v>
      </c>
      <c r="G59" s="222"/>
      <c r="H59" s="118"/>
      <c r="I59" s="119"/>
      <c r="L59" s="89"/>
      <c r="M59" s="39" t="str">
        <f t="shared" si="1"/>
        <v>mable.thomas@house.ga.gov</v>
      </c>
      <c r="N59" s="89"/>
      <c r="O59" s="89"/>
      <c r="P59" s="89"/>
      <c r="Q59" s="89"/>
      <c r="R59" s="89"/>
    </row>
    <row r="60">
      <c r="A60" s="14" t="s">
        <v>44</v>
      </c>
      <c r="B60" s="263">
        <v>57.0</v>
      </c>
      <c r="C60" s="264" t="s">
        <v>2570</v>
      </c>
      <c r="D60" s="264" t="s">
        <v>2326</v>
      </c>
      <c r="E60" s="299" t="s">
        <v>49</v>
      </c>
      <c r="G60" s="222"/>
      <c r="H60" s="118"/>
      <c r="I60" s="119"/>
      <c r="L60" s="89"/>
      <c r="M60" s="39" t="str">
        <f t="shared" si="1"/>
        <v>pat.gardner@house.ga.gov</v>
      </c>
      <c r="N60" s="89"/>
      <c r="O60" s="89"/>
      <c r="P60" s="89"/>
      <c r="Q60" s="89"/>
      <c r="R60" s="89"/>
    </row>
    <row r="61">
      <c r="A61" s="14" t="s">
        <v>44</v>
      </c>
      <c r="B61" s="263">
        <v>58.0</v>
      </c>
      <c r="C61" s="264" t="s">
        <v>3450</v>
      </c>
      <c r="D61" s="264" t="s">
        <v>3456</v>
      </c>
      <c r="E61" s="299" t="s">
        <v>49</v>
      </c>
      <c r="G61" s="222"/>
      <c r="H61" s="118"/>
      <c r="I61" s="119"/>
      <c r="L61" s="89"/>
      <c r="M61" s="39" t="str">
        <f t="shared" si="1"/>
        <v>park.cannon@house.ga.gov</v>
      </c>
      <c r="N61" s="89"/>
      <c r="O61" s="89"/>
      <c r="P61" s="89"/>
      <c r="Q61" s="89"/>
      <c r="R61" s="89"/>
    </row>
    <row r="62">
      <c r="A62" s="14" t="s">
        <v>44</v>
      </c>
      <c r="B62" s="263">
        <v>59.0</v>
      </c>
      <c r="C62" s="264" t="s">
        <v>108</v>
      </c>
      <c r="D62" s="264" t="s">
        <v>3462</v>
      </c>
      <c r="E62" s="299" t="s">
        <v>49</v>
      </c>
      <c r="G62" s="222"/>
      <c r="H62" s="118"/>
      <c r="I62" s="119"/>
      <c r="L62" s="89"/>
      <c r="M62" s="39" t="str">
        <f t="shared" si="1"/>
        <v>david.dreyer@house.ga.gov</v>
      </c>
      <c r="N62" s="89"/>
      <c r="O62" s="89"/>
      <c r="P62" s="89"/>
      <c r="Q62" s="89"/>
      <c r="R62" s="89"/>
    </row>
    <row r="63">
      <c r="A63" s="14" t="s">
        <v>44</v>
      </c>
      <c r="B63" s="263">
        <v>60.0</v>
      </c>
      <c r="C63" s="264" t="s">
        <v>1973</v>
      </c>
      <c r="D63" s="264" t="s">
        <v>3467</v>
      </c>
      <c r="E63" s="299" t="s">
        <v>49</v>
      </c>
      <c r="G63" s="222"/>
      <c r="H63" s="118"/>
      <c r="I63" s="119"/>
      <c r="L63" s="89"/>
      <c r="M63" s="39" t="str">
        <f t="shared" si="1"/>
        <v>kim.schofield@house.ga.gov</v>
      </c>
      <c r="N63" s="89"/>
      <c r="O63" s="89"/>
      <c r="P63" s="89"/>
      <c r="Q63" s="89"/>
      <c r="R63" s="89"/>
    </row>
    <row r="64">
      <c r="A64" s="14" t="s">
        <v>44</v>
      </c>
      <c r="B64" s="263">
        <v>61.0</v>
      </c>
      <c r="C64" s="264" t="s">
        <v>1040</v>
      </c>
      <c r="D64" s="264" t="s">
        <v>1193</v>
      </c>
      <c r="E64" s="299" t="s">
        <v>49</v>
      </c>
      <c r="G64" s="222"/>
      <c r="H64" s="118"/>
      <c r="I64" s="119"/>
      <c r="L64" s="89"/>
      <c r="M64" s="39" t="str">
        <f t="shared" si="1"/>
        <v>roger.bruce@house.ga.gov</v>
      </c>
      <c r="N64" s="89"/>
      <c r="O64" s="89"/>
      <c r="P64" s="89"/>
      <c r="Q64" s="89"/>
      <c r="R64" s="89"/>
    </row>
    <row r="65">
      <c r="A65" s="14" t="s">
        <v>44</v>
      </c>
      <c r="B65" s="263">
        <v>62.0</v>
      </c>
      <c r="C65" s="264" t="s">
        <v>1058</v>
      </c>
      <c r="D65" s="264" t="s">
        <v>3489</v>
      </c>
      <c r="E65" s="299" t="s">
        <v>49</v>
      </c>
      <c r="G65" s="222"/>
      <c r="H65" s="118"/>
      <c r="I65" s="119"/>
      <c r="L65" s="89"/>
      <c r="M65" s="39" t="str">
        <f t="shared" si="1"/>
        <v>william.boddie@house.ga.gov</v>
      </c>
      <c r="N65" s="89"/>
      <c r="O65" s="89"/>
      <c r="P65" s="89"/>
      <c r="Q65" s="89"/>
      <c r="R65" s="89"/>
    </row>
    <row r="66">
      <c r="A66" s="14" t="s">
        <v>44</v>
      </c>
      <c r="B66" s="263">
        <v>63.0</v>
      </c>
      <c r="C66" s="264" t="s">
        <v>2601</v>
      </c>
      <c r="D66" s="264" t="s">
        <v>3496</v>
      </c>
      <c r="E66" s="299" t="s">
        <v>49</v>
      </c>
      <c r="G66" s="222"/>
      <c r="H66" s="118"/>
      <c r="I66" s="119"/>
      <c r="L66" s="89"/>
      <c r="M66" s="39" t="str">
        <f t="shared" si="1"/>
        <v>debra.bazemore@house.ga.gov</v>
      </c>
      <c r="N66" s="89"/>
      <c r="O66" s="89"/>
      <c r="P66" s="89"/>
      <c r="Q66" s="89"/>
      <c r="R66" s="89"/>
    </row>
    <row r="67">
      <c r="A67" s="14" t="s">
        <v>44</v>
      </c>
      <c r="B67" s="263">
        <v>64.0</v>
      </c>
      <c r="C67" s="264" t="s">
        <v>3497</v>
      </c>
      <c r="D67" s="264" t="s">
        <v>567</v>
      </c>
      <c r="E67" s="299" t="s">
        <v>49</v>
      </c>
      <c r="G67" s="222"/>
      <c r="H67" s="118"/>
      <c r="I67" s="119"/>
      <c r="L67" s="89"/>
      <c r="M67" s="39" t="str">
        <f t="shared" si="1"/>
        <v>derrick.jackson@house.ga.gov</v>
      </c>
      <c r="N67" s="89"/>
      <c r="O67" s="89"/>
      <c r="P67" s="89"/>
      <c r="Q67" s="89"/>
      <c r="R67" s="89"/>
    </row>
    <row r="68">
      <c r="A68" s="14" t="s">
        <v>44</v>
      </c>
      <c r="B68" s="263">
        <v>65.0</v>
      </c>
      <c r="C68" s="264" t="s">
        <v>1863</v>
      </c>
      <c r="D68" s="264" t="s">
        <v>3505</v>
      </c>
      <c r="E68" s="299" t="s">
        <v>49</v>
      </c>
      <c r="G68" s="222"/>
      <c r="H68" s="118"/>
      <c r="I68" s="119"/>
      <c r="L68" s="89"/>
      <c r="M68" s="39" t="str">
        <f t="shared" si="1"/>
        <v>sharon.beasley-teague@house.ga.gov</v>
      </c>
      <c r="N68" s="89"/>
      <c r="O68" s="89"/>
      <c r="P68" s="89"/>
      <c r="Q68" s="89"/>
      <c r="R68" s="89"/>
    </row>
    <row r="69">
      <c r="A69" s="14" t="s">
        <v>44</v>
      </c>
      <c r="B69" s="263">
        <v>66.0</v>
      </c>
      <c r="C69" s="264" t="s">
        <v>2689</v>
      </c>
      <c r="D69" s="264" t="s">
        <v>505</v>
      </c>
      <c r="E69" s="299" t="s">
        <v>49</v>
      </c>
      <c r="G69" s="222"/>
      <c r="H69" s="118"/>
      <c r="I69" s="119"/>
      <c r="L69" s="89"/>
      <c r="M69" s="39" t="str">
        <f t="shared" si="1"/>
        <v>kimberly.alexander@house.ga.gov</v>
      </c>
      <c r="N69" s="89"/>
      <c r="O69" s="89"/>
      <c r="P69" s="89"/>
      <c r="Q69" s="89"/>
      <c r="R69" s="89"/>
    </row>
    <row r="70">
      <c r="A70" s="14" t="s">
        <v>44</v>
      </c>
      <c r="B70" s="263">
        <v>67.0</v>
      </c>
      <c r="C70" s="264" t="s">
        <v>3519</v>
      </c>
      <c r="D70" s="264" t="s">
        <v>3525</v>
      </c>
      <c r="E70" s="265" t="s">
        <v>53</v>
      </c>
      <c r="G70" s="222"/>
      <c r="H70" s="118"/>
      <c r="I70" s="119"/>
      <c r="L70" s="89"/>
      <c r="M70" s="39" t="str">
        <f t="shared" si="1"/>
        <v>micah.gravley@house.ga.gov</v>
      </c>
      <c r="N70" s="89"/>
      <c r="O70" s="89"/>
      <c r="P70" s="89"/>
      <c r="Q70" s="89"/>
      <c r="R70" s="89"/>
    </row>
    <row r="71">
      <c r="A71" s="14" t="s">
        <v>44</v>
      </c>
      <c r="B71" s="263">
        <v>68.0</v>
      </c>
      <c r="C71" s="264" t="s">
        <v>3526</v>
      </c>
      <c r="D71" s="264" t="s">
        <v>137</v>
      </c>
      <c r="E71" s="265" t="s">
        <v>53</v>
      </c>
      <c r="G71" s="222"/>
      <c r="H71" s="118"/>
      <c r="I71" s="119"/>
      <c r="L71" s="89"/>
      <c r="M71" s="39" t="str">
        <f t="shared" si="1"/>
        <v>j..collins@house.ga.gov</v>
      </c>
      <c r="N71" s="89"/>
      <c r="O71" s="89"/>
      <c r="P71" s="89"/>
      <c r="Q71" s="89"/>
      <c r="R71" s="89"/>
    </row>
    <row r="72">
      <c r="A72" s="14" t="s">
        <v>44</v>
      </c>
      <c r="B72" s="263">
        <v>69.0</v>
      </c>
      <c r="C72" s="264" t="s">
        <v>412</v>
      </c>
      <c r="D72" s="264" t="s">
        <v>3538</v>
      </c>
      <c r="E72" s="265" t="s">
        <v>53</v>
      </c>
      <c r="G72" s="222"/>
      <c r="H72" s="118"/>
      <c r="I72" s="119"/>
      <c r="L72" s="89"/>
      <c r="M72" s="39" t="str">
        <f t="shared" si="1"/>
        <v>randy.nix@house.ga.gov</v>
      </c>
      <c r="N72" s="89"/>
      <c r="O72" s="89"/>
      <c r="P72" s="89"/>
      <c r="Q72" s="89"/>
      <c r="R72" s="89"/>
    </row>
    <row r="73">
      <c r="A73" s="14" t="s">
        <v>44</v>
      </c>
      <c r="B73" s="263">
        <v>70.0</v>
      </c>
      <c r="C73" s="264" t="s">
        <v>66</v>
      </c>
      <c r="D73" s="264" t="s">
        <v>1451</v>
      </c>
      <c r="E73" s="265" t="s">
        <v>53</v>
      </c>
      <c r="G73" s="222"/>
      <c r="H73" s="118"/>
      <c r="I73" s="119"/>
      <c r="L73" s="89"/>
      <c r="M73" s="39" t="str">
        <f t="shared" si="1"/>
        <v>lynn.smith@house.ga.gov</v>
      </c>
      <c r="N73" s="89"/>
      <c r="O73" s="89"/>
      <c r="P73" s="89"/>
      <c r="Q73" s="89"/>
      <c r="R73" s="89"/>
    </row>
    <row r="74">
      <c r="A74" s="14" t="s">
        <v>44</v>
      </c>
      <c r="B74" s="263">
        <v>71.0</v>
      </c>
      <c r="C74" s="264" t="s">
        <v>108</v>
      </c>
      <c r="D74" s="264" t="s">
        <v>3547</v>
      </c>
      <c r="E74" s="265" t="s">
        <v>53</v>
      </c>
      <c r="G74" s="222"/>
      <c r="H74" s="122"/>
      <c r="I74" s="123"/>
      <c r="L74" s="89"/>
      <c r="M74" s="39" t="str">
        <f t="shared" si="1"/>
        <v>david.stover@house.ga.gov</v>
      </c>
      <c r="N74" s="89"/>
      <c r="O74" s="89"/>
      <c r="P74" s="89"/>
      <c r="Q74" s="89"/>
      <c r="R74" s="89"/>
    </row>
    <row r="75">
      <c r="A75" s="14" t="s">
        <v>44</v>
      </c>
      <c r="B75" s="263">
        <v>72.0</v>
      </c>
      <c r="C75" s="264" t="s">
        <v>180</v>
      </c>
      <c r="D75" s="264" t="s">
        <v>3551</v>
      </c>
      <c r="E75" s="265" t="s">
        <v>53</v>
      </c>
      <c r="G75" s="222"/>
      <c r="H75" s="118"/>
      <c r="I75" s="119"/>
      <c r="L75" s="89"/>
      <c r="M75" s="39" t="str">
        <f t="shared" si="1"/>
        <v>josh.bonner@house.ga.gov</v>
      </c>
      <c r="N75" s="89"/>
      <c r="O75" s="89"/>
      <c r="P75" s="89"/>
      <c r="Q75" s="89"/>
      <c r="R75" s="89"/>
    </row>
    <row r="76">
      <c r="A76" s="14" t="s">
        <v>44</v>
      </c>
      <c r="B76" s="263">
        <v>73.0</v>
      </c>
      <c r="C76" s="264" t="s">
        <v>1153</v>
      </c>
      <c r="D76" s="264" t="s">
        <v>3557</v>
      </c>
      <c r="E76" s="265" t="s">
        <v>53</v>
      </c>
      <c r="G76" s="222"/>
      <c r="H76" s="118"/>
      <c r="I76" s="119"/>
      <c r="L76" s="89"/>
      <c r="M76" s="39" t="str">
        <f t="shared" si="1"/>
        <v>karen.mathiak@house.ga.gov</v>
      </c>
      <c r="N76" s="89"/>
      <c r="O76" s="89"/>
      <c r="P76" s="89"/>
      <c r="Q76" s="89"/>
      <c r="R76" s="89"/>
    </row>
    <row r="77">
      <c r="A77" s="14" t="s">
        <v>44</v>
      </c>
      <c r="B77" s="263">
        <v>74.0</v>
      </c>
      <c r="C77" s="264" t="s">
        <v>3558</v>
      </c>
      <c r="D77" s="264" t="s">
        <v>3566</v>
      </c>
      <c r="E77" s="299" t="s">
        <v>49</v>
      </c>
      <c r="G77" s="222"/>
      <c r="H77" s="118"/>
      <c r="I77" s="119"/>
      <c r="L77" s="89"/>
      <c r="M77" s="39" t="str">
        <f t="shared" si="1"/>
        <v>valencia.stovall@house.ga.gov</v>
      </c>
      <c r="N77" s="89"/>
      <c r="O77" s="89"/>
      <c r="P77" s="89"/>
      <c r="Q77" s="89"/>
      <c r="R77" s="89"/>
    </row>
    <row r="78">
      <c r="A78" s="14" t="s">
        <v>44</v>
      </c>
      <c r="B78" s="263">
        <v>75.0</v>
      </c>
      <c r="C78" s="264" t="s">
        <v>157</v>
      </c>
      <c r="D78" s="264" t="s">
        <v>3572</v>
      </c>
      <c r="E78" s="299" t="s">
        <v>49</v>
      </c>
      <c r="G78" s="222"/>
      <c r="H78" s="118"/>
      <c r="I78" s="119"/>
      <c r="L78" s="89"/>
      <c r="M78" s="39" t="str">
        <f t="shared" si="1"/>
        <v>mike.glanton@house.ga.gov</v>
      </c>
      <c r="N78" s="89"/>
      <c r="O78" s="89"/>
      <c r="P78" s="89"/>
      <c r="Q78" s="89"/>
      <c r="R78" s="89"/>
    </row>
    <row r="79">
      <c r="A79" s="14" t="s">
        <v>44</v>
      </c>
      <c r="B79" s="263">
        <v>76.0</v>
      </c>
      <c r="C79" s="264" t="s">
        <v>3576</v>
      </c>
      <c r="D79" s="264" t="s">
        <v>45</v>
      </c>
      <c r="E79" s="299" t="s">
        <v>49</v>
      </c>
      <c r="G79" s="222"/>
      <c r="H79" s="118"/>
      <c r="I79" s="119"/>
      <c r="L79" s="89"/>
      <c r="M79" s="39" t="str">
        <f t="shared" si="1"/>
        <v>sandra.scott@house.ga.gov</v>
      </c>
      <c r="N79" s="89"/>
      <c r="O79" s="89"/>
      <c r="P79" s="89"/>
      <c r="Q79" s="89"/>
      <c r="R79" s="89"/>
    </row>
    <row r="80">
      <c r="A80" s="14" t="s">
        <v>44</v>
      </c>
      <c r="B80" s="263">
        <v>77.0</v>
      </c>
      <c r="C80" s="264" t="s">
        <v>2444</v>
      </c>
      <c r="D80" s="264" t="s">
        <v>3588</v>
      </c>
      <c r="E80" s="299" t="s">
        <v>49</v>
      </c>
      <c r="G80" s="222"/>
      <c r="H80" s="118"/>
      <c r="I80" s="119"/>
      <c r="L80" s="89"/>
      <c r="M80" s="39" t="str">
        <f t="shared" si="1"/>
        <v>rhonda.burnough@house.ga.gov</v>
      </c>
      <c r="N80" s="89"/>
      <c r="O80" s="89"/>
      <c r="P80" s="89"/>
      <c r="Q80" s="89"/>
      <c r="R80" s="89"/>
    </row>
    <row r="81">
      <c r="A81" s="14" t="s">
        <v>44</v>
      </c>
      <c r="B81" s="263">
        <v>78.0</v>
      </c>
      <c r="C81" s="264" t="s">
        <v>3594</v>
      </c>
      <c r="D81" s="264" t="s">
        <v>1312</v>
      </c>
      <c r="E81" s="299" t="s">
        <v>49</v>
      </c>
      <c r="G81" s="222"/>
      <c r="H81" s="118"/>
      <c r="I81" s="119"/>
      <c r="L81" s="89"/>
      <c r="M81" s="39" t="str">
        <f t="shared" si="1"/>
        <v>demetrius.douglas@house.ga.gov</v>
      </c>
      <c r="N81" s="89"/>
      <c r="O81" s="89"/>
      <c r="P81" s="89"/>
      <c r="Q81" s="89"/>
      <c r="R81" s="89"/>
    </row>
    <row r="82">
      <c r="A82" s="14" t="s">
        <v>44</v>
      </c>
      <c r="B82" s="263">
        <v>79.0</v>
      </c>
      <c r="C82" s="264" t="s">
        <v>2490</v>
      </c>
      <c r="D82" s="264" t="s">
        <v>3599</v>
      </c>
      <c r="E82" s="299" t="s">
        <v>49</v>
      </c>
      <c r="G82" s="222"/>
      <c r="H82" s="122"/>
      <c r="I82" s="123"/>
      <c r="L82" s="89"/>
      <c r="M82" s="39" t="str">
        <f t="shared" si="1"/>
        <v>michael.wilensky@house.ga.gov</v>
      </c>
      <c r="N82" s="89"/>
      <c r="O82" s="89"/>
      <c r="P82" s="89"/>
      <c r="Q82" s="89"/>
      <c r="R82" s="89"/>
    </row>
    <row r="83">
      <c r="A83" s="14" t="s">
        <v>44</v>
      </c>
      <c r="B83" s="263">
        <v>80.0</v>
      </c>
      <c r="C83" s="264" t="s">
        <v>896</v>
      </c>
      <c r="D83" s="264" t="s">
        <v>62</v>
      </c>
      <c r="E83" s="299" t="s">
        <v>49</v>
      </c>
      <c r="G83" s="222"/>
      <c r="H83" s="122"/>
      <c r="I83" s="123"/>
      <c r="L83" s="89"/>
      <c r="M83" s="39" t="str">
        <f t="shared" si="1"/>
        <v>matthew.wilson@house.ga.gov</v>
      </c>
      <c r="N83" s="89"/>
      <c r="O83" s="89"/>
      <c r="P83" s="89"/>
      <c r="Q83" s="89"/>
      <c r="R83" s="89"/>
    </row>
    <row r="84">
      <c r="A84" s="14" t="s">
        <v>44</v>
      </c>
      <c r="B84" s="263">
        <v>81.0</v>
      </c>
      <c r="C84" s="264" t="s">
        <v>45</v>
      </c>
      <c r="D84" s="264" t="s">
        <v>986</v>
      </c>
      <c r="E84" s="299" t="s">
        <v>49</v>
      </c>
      <c r="G84" s="222"/>
      <c r="H84" s="122"/>
      <c r="I84" s="123"/>
      <c r="L84" s="89"/>
      <c r="M84" s="39" t="str">
        <f t="shared" si="1"/>
        <v>scott.holcomb@house.ga.gov</v>
      </c>
      <c r="N84" s="89"/>
      <c r="O84" s="89"/>
      <c r="P84" s="89"/>
      <c r="Q84" s="89"/>
      <c r="R84" s="89"/>
    </row>
    <row r="85">
      <c r="A85" s="14" t="s">
        <v>44</v>
      </c>
      <c r="B85" s="263">
        <v>82.0</v>
      </c>
      <c r="C85" s="264" t="s">
        <v>514</v>
      </c>
      <c r="D85" s="264" t="s">
        <v>3620</v>
      </c>
      <c r="E85" s="299" t="s">
        <v>49</v>
      </c>
      <c r="G85" s="222"/>
      <c r="H85" s="118"/>
      <c r="I85" s="119"/>
      <c r="L85" s="89"/>
      <c r="M85" s="39" t="str">
        <f t="shared" si="1"/>
        <v>mary.margaretoliver@house.ga.gov</v>
      </c>
      <c r="N85" s="89"/>
      <c r="O85" s="89"/>
      <c r="P85" s="89"/>
      <c r="Q85" s="89"/>
      <c r="R85" s="89"/>
    </row>
    <row r="86">
      <c r="A86" s="14" t="s">
        <v>44</v>
      </c>
      <c r="B86" s="263">
        <v>83.0</v>
      </c>
      <c r="C86" s="264" t="s">
        <v>364</v>
      </c>
      <c r="D86" s="264" t="s">
        <v>1332</v>
      </c>
      <c r="E86" s="299" t="s">
        <v>49</v>
      </c>
      <c r="G86" s="222"/>
      <c r="H86" s="118"/>
      <c r="I86" s="119"/>
      <c r="L86" s="89"/>
      <c r="M86" s="39" t="str">
        <f t="shared" si="1"/>
        <v>becky.evans@house.ga.gov</v>
      </c>
      <c r="N86" s="89"/>
      <c r="O86" s="89"/>
      <c r="P86" s="89"/>
      <c r="Q86" s="89"/>
      <c r="R86" s="89"/>
    </row>
    <row r="87">
      <c r="A87" s="14" t="s">
        <v>44</v>
      </c>
      <c r="B87" s="263">
        <v>84.0</v>
      </c>
      <c r="C87" s="264" t="s">
        <v>3630</v>
      </c>
      <c r="D87" s="264" t="s">
        <v>1891</v>
      </c>
      <c r="E87" s="299" t="s">
        <v>49</v>
      </c>
      <c r="G87" s="222"/>
      <c r="H87" s="118"/>
      <c r="I87" s="119"/>
      <c r="L87" s="89"/>
      <c r="M87" s="39" t="str">
        <f t="shared" si="1"/>
        <v>renitta.shannon@house.ga.gov</v>
      </c>
      <c r="N87" s="89"/>
      <c r="O87" s="89"/>
      <c r="P87" s="89"/>
      <c r="Q87" s="89"/>
      <c r="R87" s="89"/>
    </row>
    <row r="88">
      <c r="A88" s="14" t="s">
        <v>44</v>
      </c>
      <c r="B88" s="263">
        <v>85.0</v>
      </c>
      <c r="C88" s="264" t="s">
        <v>3636</v>
      </c>
      <c r="D88" s="264" t="s">
        <v>3638</v>
      </c>
      <c r="E88" s="299" t="s">
        <v>49</v>
      </c>
      <c r="G88" s="222"/>
      <c r="H88" s="118"/>
      <c r="I88" s="119"/>
      <c r="L88" s="89"/>
      <c r="M88" s="39" t="str">
        <f t="shared" si="1"/>
        <v>karla.drenner@house.ga.gov</v>
      </c>
      <c r="N88" s="89"/>
      <c r="O88" s="89"/>
      <c r="P88" s="89"/>
      <c r="Q88" s="89"/>
      <c r="R88" s="89"/>
    </row>
    <row r="89">
      <c r="A89" s="14" t="s">
        <v>44</v>
      </c>
      <c r="B89" s="263">
        <v>86.0</v>
      </c>
      <c r="C89" s="264" t="s">
        <v>3644</v>
      </c>
      <c r="D89" s="264" t="s">
        <v>3645</v>
      </c>
      <c r="E89" s="299" t="s">
        <v>49</v>
      </c>
      <c r="G89" s="222"/>
      <c r="H89" s="118"/>
      <c r="I89" s="119"/>
      <c r="L89" s="89"/>
      <c r="M89" s="39" t="str">
        <f t="shared" si="1"/>
        <v>michele.henson@house.ga.gov</v>
      </c>
      <c r="N89" s="89"/>
      <c r="O89" s="89"/>
      <c r="P89" s="89"/>
      <c r="Q89" s="89"/>
      <c r="R89" s="89"/>
    </row>
    <row r="90">
      <c r="A90" s="14" t="s">
        <v>44</v>
      </c>
      <c r="B90" s="263">
        <v>87.0</v>
      </c>
      <c r="C90" s="264" t="s">
        <v>2721</v>
      </c>
      <c r="D90" s="264" t="s">
        <v>1254</v>
      </c>
      <c r="E90" s="299" t="s">
        <v>49</v>
      </c>
      <c r="G90" s="222"/>
      <c r="H90" s="118"/>
      <c r="I90" s="119"/>
      <c r="L90" s="89"/>
      <c r="M90" s="39" t="str">
        <f t="shared" si="1"/>
        <v>viola.davis@house.ga.gov</v>
      </c>
      <c r="N90" s="89"/>
      <c r="O90" s="89"/>
      <c r="P90" s="89"/>
      <c r="Q90" s="89"/>
      <c r="R90" s="89"/>
    </row>
    <row r="91">
      <c r="A91" s="14" t="s">
        <v>44</v>
      </c>
      <c r="B91" s="263">
        <v>88.0</v>
      </c>
      <c r="C91" s="264" t="s">
        <v>3651</v>
      </c>
      <c r="D91" s="264" t="s">
        <v>2206</v>
      </c>
      <c r="E91" s="299" t="s">
        <v>49</v>
      </c>
      <c r="G91" s="222"/>
      <c r="H91" s="118"/>
      <c r="I91" s="119"/>
      <c r="L91" s="89"/>
      <c r="M91" s="39" t="str">
        <f t="shared" si="1"/>
        <v>billy.mitchell@house.ga.gov</v>
      </c>
      <c r="N91" s="89"/>
      <c r="O91" s="89"/>
      <c r="P91" s="89"/>
      <c r="Q91" s="89"/>
      <c r="R91" s="89"/>
    </row>
    <row r="92">
      <c r="A92" s="14" t="s">
        <v>44</v>
      </c>
      <c r="B92" s="263">
        <v>89.0</v>
      </c>
      <c r="C92" s="264" t="s">
        <v>3656</v>
      </c>
      <c r="D92" s="264" t="s">
        <v>2236</v>
      </c>
      <c r="E92" s="299" t="s">
        <v>49</v>
      </c>
      <c r="G92" s="222"/>
      <c r="H92" s="118"/>
      <c r="I92" s="119"/>
      <c r="L92" s="89"/>
      <c r="M92" s="39" t="str">
        <f t="shared" si="1"/>
        <v>bee.nguyen@house.ga.gov</v>
      </c>
      <c r="N92" s="89"/>
      <c r="O92" s="89"/>
      <c r="P92" s="89"/>
      <c r="Q92" s="89"/>
      <c r="R92" s="89"/>
    </row>
    <row r="93">
      <c r="A93" s="14" t="s">
        <v>44</v>
      </c>
      <c r="B93" s="263">
        <v>90.0</v>
      </c>
      <c r="C93" s="264" t="s">
        <v>3657</v>
      </c>
      <c r="D93" s="264" t="s">
        <v>3658</v>
      </c>
      <c r="E93" s="299" t="s">
        <v>49</v>
      </c>
      <c r="G93" s="222"/>
      <c r="H93" s="122"/>
      <c r="I93" s="123"/>
      <c r="L93" s="89"/>
      <c r="M93" s="39" t="str">
        <f t="shared" si="1"/>
        <v>pam.stephenson@house.ga.gov</v>
      </c>
      <c r="N93" s="89"/>
      <c r="O93" s="89"/>
      <c r="P93" s="89"/>
      <c r="Q93" s="89"/>
      <c r="R93" s="89"/>
    </row>
    <row r="94">
      <c r="A94" s="14" t="s">
        <v>44</v>
      </c>
      <c r="B94" s="263">
        <v>91.0</v>
      </c>
      <c r="C94" s="264" t="s">
        <v>3659</v>
      </c>
      <c r="D94" s="264" t="s">
        <v>706</v>
      </c>
      <c r="E94" s="299" t="s">
        <v>49</v>
      </c>
      <c r="G94" s="222"/>
      <c r="H94" s="118"/>
      <c r="I94" s="119"/>
      <c r="L94" s="89"/>
      <c r="M94" s="39" t="str">
        <f t="shared" si="1"/>
        <v>vernon.jones@house.ga.gov</v>
      </c>
      <c r="N94" s="89"/>
      <c r="O94" s="89"/>
      <c r="P94" s="89"/>
      <c r="Q94" s="89"/>
      <c r="R94" s="89"/>
    </row>
    <row r="95">
      <c r="A95" s="14" t="s">
        <v>44</v>
      </c>
      <c r="B95" s="263">
        <v>92.0</v>
      </c>
      <c r="C95" s="264" t="s">
        <v>3660</v>
      </c>
      <c r="D95" s="264" t="s">
        <v>1256</v>
      </c>
      <c r="E95" s="299" t="s">
        <v>49</v>
      </c>
      <c r="G95" s="222"/>
      <c r="H95" s="118"/>
      <c r="I95" s="119"/>
      <c r="L95" s="89"/>
      <c r="M95" s="39" t="str">
        <f t="shared" si="1"/>
        <v>doreen.carter@house.ga.gov</v>
      </c>
      <c r="N95" s="89"/>
      <c r="O95" s="89"/>
      <c r="P95" s="89"/>
      <c r="Q95" s="89"/>
      <c r="R95" s="89"/>
    </row>
    <row r="96">
      <c r="A96" s="14" t="s">
        <v>44</v>
      </c>
      <c r="B96" s="263">
        <v>93.0</v>
      </c>
      <c r="C96" s="264" t="s">
        <v>3661</v>
      </c>
      <c r="D96" s="264" t="s">
        <v>3662</v>
      </c>
      <c r="E96" s="299" t="s">
        <v>49</v>
      </c>
      <c r="G96" s="222"/>
      <c r="H96" s="118"/>
      <c r="I96" s="119"/>
      <c r="L96" s="89"/>
      <c r="M96" s="39" t="str">
        <f t="shared" si="1"/>
        <v>dar'shun.kendrick@house.ga.gov</v>
      </c>
      <c r="N96" s="89"/>
      <c r="O96" s="89"/>
      <c r="P96" s="89"/>
      <c r="Q96" s="89"/>
      <c r="R96" s="89"/>
    </row>
    <row r="97">
      <c r="A97" s="14" t="s">
        <v>44</v>
      </c>
      <c r="B97" s="263">
        <v>94.0</v>
      </c>
      <c r="C97" s="264" t="s">
        <v>1153</v>
      </c>
      <c r="D97" s="264" t="s">
        <v>2763</v>
      </c>
      <c r="E97" s="299" t="s">
        <v>49</v>
      </c>
      <c r="G97" s="222"/>
      <c r="H97" s="118"/>
      <c r="I97" s="119"/>
      <c r="L97" s="89"/>
      <c r="M97" s="39" t="str">
        <f t="shared" si="1"/>
        <v>karen.bennett@house.ga.gov</v>
      </c>
      <c r="N97" s="89"/>
      <c r="O97" s="89"/>
      <c r="P97" s="89"/>
      <c r="Q97" s="89"/>
      <c r="R97" s="89"/>
    </row>
    <row r="98">
      <c r="A98" s="14" t="s">
        <v>44</v>
      </c>
      <c r="B98" s="263">
        <v>95.0</v>
      </c>
      <c r="C98" s="264" t="s">
        <v>3663</v>
      </c>
      <c r="D98" s="264" t="s">
        <v>89</v>
      </c>
      <c r="E98" s="299" t="s">
        <v>49</v>
      </c>
      <c r="G98" s="222"/>
      <c r="H98" s="122"/>
      <c r="I98" s="123"/>
      <c r="L98" s="89"/>
      <c r="M98" s="39" t="str">
        <f t="shared" si="1"/>
        <v>bath.moore@house.ga.gov</v>
      </c>
      <c r="N98" s="89"/>
      <c r="O98" s="89"/>
      <c r="P98" s="89"/>
      <c r="Q98" s="89"/>
      <c r="R98" s="89"/>
    </row>
    <row r="99">
      <c r="A99" s="14" t="s">
        <v>44</v>
      </c>
      <c r="B99" s="263">
        <v>96.0</v>
      </c>
      <c r="C99" s="264" t="s">
        <v>3664</v>
      </c>
      <c r="D99" s="264" t="s">
        <v>3665</v>
      </c>
      <c r="E99" s="299" t="s">
        <v>49</v>
      </c>
      <c r="G99" s="222"/>
      <c r="H99" s="118"/>
      <c r="I99" s="119"/>
      <c r="L99" s="89"/>
      <c r="M99" s="39" t="str">
        <f t="shared" si="1"/>
        <v>pedro.marin@house.ga.gov</v>
      </c>
      <c r="N99" s="89"/>
      <c r="O99" s="89"/>
      <c r="P99" s="89"/>
      <c r="Q99" s="89"/>
      <c r="R99" s="89"/>
    </row>
    <row r="100">
      <c r="A100" s="14" t="s">
        <v>44</v>
      </c>
      <c r="B100" s="263">
        <v>97.0</v>
      </c>
      <c r="C100" s="264" t="s">
        <v>3666</v>
      </c>
      <c r="D100" s="264" t="s">
        <v>345</v>
      </c>
      <c r="E100" s="265" t="s">
        <v>53</v>
      </c>
      <c r="G100" s="222"/>
      <c r="H100" s="122"/>
      <c r="I100" s="123"/>
      <c r="L100" s="89"/>
      <c r="M100" s="39" t="str">
        <f t="shared" si="1"/>
        <v>bonnie.rich@house.ga.gov</v>
      </c>
      <c r="N100" s="89"/>
      <c r="O100" s="89"/>
      <c r="P100" s="89"/>
      <c r="Q100" s="89"/>
      <c r="R100" s="89"/>
    </row>
    <row r="101">
      <c r="A101" s="14" t="s">
        <v>44</v>
      </c>
      <c r="B101" s="263">
        <v>98.0</v>
      </c>
      <c r="C101" s="264" t="s">
        <v>108</v>
      </c>
      <c r="D101" s="264" t="s">
        <v>2063</v>
      </c>
      <c r="E101" s="265" t="s">
        <v>53</v>
      </c>
      <c r="G101" s="222"/>
      <c r="H101" s="118"/>
      <c r="I101" s="119"/>
      <c r="L101" s="89"/>
      <c r="M101" s="39" t="str">
        <f t="shared" si="1"/>
        <v>david.clark@house.ga.gov</v>
      </c>
      <c r="N101" s="89"/>
      <c r="O101" s="89"/>
      <c r="P101" s="89"/>
      <c r="Q101" s="89"/>
      <c r="R101" s="89"/>
    </row>
    <row r="102">
      <c r="A102" s="14" t="s">
        <v>44</v>
      </c>
      <c r="B102" s="263">
        <v>99.0</v>
      </c>
      <c r="C102" s="264" t="s">
        <v>2755</v>
      </c>
      <c r="D102" s="264" t="s">
        <v>2855</v>
      </c>
      <c r="E102" s="299" t="s">
        <v>49</v>
      </c>
      <c r="G102" s="222"/>
      <c r="H102" s="118"/>
      <c r="I102" s="119"/>
      <c r="L102" s="89"/>
      <c r="M102" s="39" t="str">
        <f t="shared" si="1"/>
        <v>brenda.lopez@house.ga.gov</v>
      </c>
      <c r="N102" s="89"/>
      <c r="O102" s="89"/>
      <c r="P102" s="89"/>
      <c r="Q102" s="89"/>
      <c r="R102" s="89"/>
    </row>
    <row r="103">
      <c r="A103" s="14" t="s">
        <v>44</v>
      </c>
      <c r="B103" s="263">
        <v>100.0</v>
      </c>
      <c r="C103" s="264" t="s">
        <v>3667</v>
      </c>
      <c r="D103" s="264" t="s">
        <v>2891</v>
      </c>
      <c r="E103" s="299" t="s">
        <v>49</v>
      </c>
      <c r="G103" s="222"/>
      <c r="H103" s="118"/>
      <c r="I103" s="119"/>
      <c r="L103" s="89"/>
      <c r="M103" s="39" t="str">
        <f t="shared" si="1"/>
        <v>dewey.mcclain@house.ga.gov</v>
      </c>
      <c r="N103" s="89"/>
      <c r="O103" s="89"/>
      <c r="P103" s="89"/>
      <c r="Q103" s="89"/>
      <c r="R103" s="89"/>
    </row>
    <row r="104">
      <c r="A104" s="14" t="s">
        <v>44</v>
      </c>
      <c r="B104" s="263">
        <v>101.0</v>
      </c>
      <c r="C104" s="264" t="s">
        <v>3668</v>
      </c>
      <c r="D104" s="264" t="s">
        <v>3450</v>
      </c>
      <c r="E104" s="299" t="s">
        <v>49</v>
      </c>
      <c r="G104" s="222"/>
      <c r="H104" s="122"/>
      <c r="I104" s="123"/>
      <c r="L104" s="89"/>
      <c r="M104" s="39" t="str">
        <f t="shared" si="1"/>
        <v>samuel.park@house.ga.gov</v>
      </c>
      <c r="N104" s="89"/>
      <c r="O104" s="89"/>
      <c r="P104" s="89"/>
      <c r="Q104" s="89"/>
      <c r="R104" s="89"/>
    </row>
    <row r="105">
      <c r="A105" s="14" t="s">
        <v>44</v>
      </c>
      <c r="B105" s="263">
        <v>102.0</v>
      </c>
      <c r="C105" s="264" t="s">
        <v>3396</v>
      </c>
      <c r="D105" s="264" t="s">
        <v>3669</v>
      </c>
      <c r="E105" s="299" t="s">
        <v>49</v>
      </c>
      <c r="G105" s="222"/>
      <c r="H105" s="122"/>
      <c r="I105" s="123"/>
      <c r="L105" s="89"/>
      <c r="M105" s="39" t="str">
        <f t="shared" si="1"/>
        <v>gregg.kennard@house.ga.gov</v>
      </c>
      <c r="N105" s="89"/>
      <c r="O105" s="89"/>
      <c r="P105" s="89"/>
      <c r="Q105" s="89"/>
      <c r="R105" s="89"/>
    </row>
    <row r="106">
      <c r="A106" s="14" t="s">
        <v>44</v>
      </c>
      <c r="B106" s="263">
        <v>103.0</v>
      </c>
      <c r="C106" s="264" t="s">
        <v>2507</v>
      </c>
      <c r="D106" s="264" t="s">
        <v>3670</v>
      </c>
      <c r="E106" s="265" t="s">
        <v>53</v>
      </c>
      <c r="G106" s="222"/>
      <c r="H106" s="118"/>
      <c r="I106" s="119"/>
      <c r="L106" s="89"/>
      <c r="M106" s="39" t="str">
        <f t="shared" si="1"/>
        <v>timothy.barr@house.ga.gov</v>
      </c>
      <c r="N106" s="89"/>
      <c r="O106" s="89"/>
      <c r="P106" s="89"/>
      <c r="Q106" s="89"/>
      <c r="R106" s="89"/>
    </row>
    <row r="107">
      <c r="A107" s="14" t="s">
        <v>44</v>
      </c>
      <c r="B107" s="263">
        <v>104.0</v>
      </c>
      <c r="C107" s="264" t="s">
        <v>177</v>
      </c>
      <c r="D107" s="264" t="s">
        <v>3673</v>
      </c>
      <c r="E107" s="265" t="s">
        <v>53</v>
      </c>
      <c r="G107" s="222"/>
      <c r="H107" s="122"/>
      <c r="I107" s="123"/>
      <c r="L107" s="89"/>
      <c r="M107" s="39" t="str">
        <f t="shared" si="1"/>
        <v>chuck.efstration@house.ga.gov</v>
      </c>
      <c r="N107" s="89"/>
      <c r="O107" s="89"/>
      <c r="P107" s="89"/>
      <c r="Q107" s="89"/>
      <c r="R107" s="89"/>
    </row>
    <row r="108">
      <c r="A108" s="14" t="s">
        <v>44</v>
      </c>
      <c r="B108" s="263">
        <v>105.0</v>
      </c>
      <c r="C108" s="264" t="s">
        <v>3404</v>
      </c>
      <c r="D108" s="264" t="s">
        <v>3678</v>
      </c>
      <c r="E108" s="299" t="s">
        <v>49</v>
      </c>
      <c r="G108" s="222"/>
      <c r="H108" s="122"/>
      <c r="I108" s="123"/>
      <c r="L108" s="89"/>
      <c r="M108" s="39" t="str">
        <f t="shared" si="1"/>
        <v>donna.mcleod@house.ga.gov</v>
      </c>
      <c r="N108" s="89"/>
      <c r="O108" s="89"/>
      <c r="P108" s="89"/>
      <c r="Q108" s="89"/>
      <c r="R108" s="89"/>
    </row>
    <row r="109">
      <c r="A109" s="14" t="s">
        <v>44</v>
      </c>
      <c r="B109" s="263">
        <v>106.0</v>
      </c>
      <c r="C109" s="264" t="s">
        <v>547</v>
      </c>
      <c r="D109" s="264" t="s">
        <v>3283</v>
      </c>
      <c r="E109" s="265" t="s">
        <v>53</v>
      </c>
      <c r="G109" s="222"/>
      <c r="H109" s="118"/>
      <c r="I109" s="119"/>
      <c r="L109" s="89"/>
      <c r="M109" s="39" t="str">
        <f t="shared" si="1"/>
        <v>brett.harrell@house.ga.gov</v>
      </c>
      <c r="N109" s="89"/>
      <c r="O109" s="89"/>
      <c r="P109" s="89"/>
      <c r="Q109" s="89"/>
      <c r="R109" s="89"/>
    </row>
    <row r="110">
      <c r="A110" s="14" t="s">
        <v>44</v>
      </c>
      <c r="B110" s="263">
        <v>107.0</v>
      </c>
      <c r="C110" s="264" t="s">
        <v>3698</v>
      </c>
      <c r="D110" s="264" t="s">
        <v>2462</v>
      </c>
      <c r="E110" s="299" t="s">
        <v>49</v>
      </c>
      <c r="G110" s="222"/>
      <c r="H110" s="122"/>
      <c r="I110" s="123"/>
      <c r="L110" s="89"/>
      <c r="M110" s="39" t="str">
        <f t="shared" si="1"/>
        <v>shelly.hutchinson@house.ga.gov</v>
      </c>
      <c r="N110" s="89"/>
      <c r="O110" s="89"/>
      <c r="P110" s="89"/>
      <c r="Q110" s="89"/>
      <c r="R110" s="89"/>
    </row>
    <row r="111">
      <c r="A111" s="14" t="s">
        <v>44</v>
      </c>
      <c r="B111" s="263">
        <v>108.0</v>
      </c>
      <c r="C111" s="264" t="s">
        <v>868</v>
      </c>
      <c r="D111" s="264" t="s">
        <v>3708</v>
      </c>
      <c r="E111" s="265" t="s">
        <v>53</v>
      </c>
      <c r="G111" s="298"/>
      <c r="H111" s="122"/>
      <c r="I111" s="123"/>
      <c r="L111" s="89"/>
      <c r="M111" s="39" t="str">
        <f t="shared" si="1"/>
        <v>clay.cox@house.ga.gov</v>
      </c>
      <c r="N111" s="89"/>
      <c r="O111" s="89"/>
      <c r="P111" s="89"/>
      <c r="Q111" s="89"/>
      <c r="R111" s="89"/>
    </row>
    <row r="112">
      <c r="A112" s="14" t="s">
        <v>44</v>
      </c>
      <c r="B112" s="263">
        <v>109.0</v>
      </c>
      <c r="C112" s="264" t="s">
        <v>3296</v>
      </c>
      <c r="D112" s="264" t="s">
        <v>2468</v>
      </c>
      <c r="E112" s="265" t="s">
        <v>53</v>
      </c>
      <c r="G112" s="222"/>
      <c r="H112" s="122"/>
      <c r="I112" s="123"/>
      <c r="L112" s="89"/>
      <c r="M112" s="39" t="str">
        <f t="shared" si="1"/>
        <v>dale.rutledge@house.ga.gov</v>
      </c>
      <c r="N112" s="89"/>
      <c r="O112" s="89"/>
      <c r="P112" s="89"/>
      <c r="Q112" s="89"/>
      <c r="R112" s="89"/>
    </row>
    <row r="113">
      <c r="A113" s="14" t="s">
        <v>44</v>
      </c>
      <c r="B113" s="263">
        <v>110.0</v>
      </c>
      <c r="C113" s="264" t="s">
        <v>80</v>
      </c>
      <c r="D113" s="264" t="s">
        <v>3731</v>
      </c>
      <c r="E113" s="265" t="s">
        <v>53</v>
      </c>
      <c r="G113" s="222"/>
      <c r="H113" s="118"/>
      <c r="I113" s="119"/>
      <c r="L113" s="89"/>
      <c r="M113" s="39" t="str">
        <f t="shared" si="1"/>
        <v>andrew.welch@house.ga.gov</v>
      </c>
      <c r="N113" s="89"/>
      <c r="O113" s="89"/>
      <c r="P113" s="89"/>
      <c r="Q113" s="89"/>
      <c r="R113" s="89"/>
    </row>
    <row r="114">
      <c r="A114" s="14" t="s">
        <v>44</v>
      </c>
      <c r="B114" s="263">
        <v>111.0</v>
      </c>
      <c r="C114" s="264" t="s">
        <v>3736</v>
      </c>
      <c r="D114" s="264" t="s">
        <v>2202</v>
      </c>
      <c r="E114" s="299" t="s">
        <v>49</v>
      </c>
      <c r="G114" s="222"/>
      <c r="H114" s="122"/>
      <c r="I114" s="123"/>
      <c r="L114" s="89"/>
      <c r="M114" s="39" t="str">
        <f t="shared" si="1"/>
        <v>el-mahdi.holly@house.ga.gov</v>
      </c>
      <c r="N114" s="89"/>
      <c r="O114" s="89"/>
      <c r="P114" s="89"/>
      <c r="Q114" s="89"/>
      <c r="R114" s="89"/>
    </row>
    <row r="115">
      <c r="A115" s="14" t="s">
        <v>44</v>
      </c>
      <c r="B115" s="263">
        <v>112.0</v>
      </c>
      <c r="C115" s="264" t="s">
        <v>76</v>
      </c>
      <c r="D115" s="264" t="s">
        <v>3745</v>
      </c>
      <c r="E115" s="265" t="s">
        <v>53</v>
      </c>
      <c r="G115" s="222"/>
      <c r="H115" s="118"/>
      <c r="I115" s="119"/>
      <c r="L115" s="89"/>
      <c r="M115" s="39" t="str">
        <f t="shared" si="1"/>
        <v>dave.belton@house.ga.gov</v>
      </c>
      <c r="N115" s="89"/>
      <c r="O115" s="89"/>
      <c r="P115" s="89"/>
      <c r="Q115" s="89"/>
      <c r="R115" s="89"/>
    </row>
    <row r="116">
      <c r="A116" s="14" t="s">
        <v>44</v>
      </c>
      <c r="B116" s="263">
        <v>113.0</v>
      </c>
      <c r="C116" s="264" t="s">
        <v>3657</v>
      </c>
      <c r="D116" s="264" t="s">
        <v>3754</v>
      </c>
      <c r="E116" s="299" t="s">
        <v>49</v>
      </c>
      <c r="G116" s="222"/>
      <c r="H116" s="118"/>
      <c r="I116" s="119"/>
      <c r="L116" s="89"/>
      <c r="M116" s="39" t="str">
        <f t="shared" si="1"/>
        <v>pam.dickerson@house.ga.gov</v>
      </c>
      <c r="N116" s="89"/>
      <c r="O116" s="89"/>
      <c r="P116" s="89"/>
      <c r="Q116" s="89"/>
      <c r="R116" s="89"/>
    </row>
    <row r="117">
      <c r="A117" s="14" t="s">
        <v>44</v>
      </c>
      <c r="B117" s="263">
        <v>114.0</v>
      </c>
      <c r="C117" s="264" t="s">
        <v>338</v>
      </c>
      <c r="D117" s="264" t="s">
        <v>3760</v>
      </c>
      <c r="E117" s="265" t="s">
        <v>53</v>
      </c>
      <c r="G117" s="222"/>
      <c r="H117" s="118"/>
      <c r="I117" s="119"/>
      <c r="L117" s="89"/>
      <c r="M117" s="39" t="str">
        <f t="shared" si="1"/>
        <v>tom.kirby@house.ga.gov</v>
      </c>
      <c r="N117" s="89"/>
      <c r="O117" s="89"/>
      <c r="P117" s="89"/>
      <c r="Q117" s="89"/>
      <c r="R117" s="89"/>
    </row>
    <row r="118">
      <c r="A118" s="14" t="s">
        <v>44</v>
      </c>
      <c r="B118" s="263">
        <v>115.0</v>
      </c>
      <c r="C118" s="264" t="s">
        <v>1193</v>
      </c>
      <c r="D118" s="264" t="s">
        <v>2789</v>
      </c>
      <c r="E118" s="265" t="s">
        <v>53</v>
      </c>
      <c r="G118" s="222"/>
      <c r="H118" s="118"/>
      <c r="I118" s="119"/>
      <c r="L118" s="89"/>
      <c r="M118" s="39" t="str">
        <f t="shared" si="1"/>
        <v>bruce.williamson@house.ga.gov</v>
      </c>
      <c r="N118" s="89"/>
      <c r="O118" s="89"/>
      <c r="P118" s="89"/>
      <c r="Q118" s="89"/>
      <c r="R118" s="89"/>
    </row>
    <row r="119">
      <c r="A119" s="14" t="s">
        <v>44</v>
      </c>
      <c r="B119" s="263">
        <v>116.0</v>
      </c>
      <c r="C119" s="264" t="s">
        <v>1990</v>
      </c>
      <c r="D119" s="264" t="s">
        <v>581</v>
      </c>
      <c r="E119" s="265" t="s">
        <v>53</v>
      </c>
      <c r="G119" s="222"/>
      <c r="H119" s="118"/>
      <c r="I119" s="119"/>
      <c r="L119" s="89"/>
      <c r="M119" s="39" t="str">
        <f t="shared" si="1"/>
        <v>terry.england@house.ga.gov</v>
      </c>
      <c r="N119" s="89"/>
      <c r="O119" s="89"/>
      <c r="P119" s="89"/>
      <c r="Q119" s="89"/>
      <c r="R119" s="89"/>
    </row>
    <row r="120">
      <c r="A120" s="14" t="s">
        <v>44</v>
      </c>
      <c r="B120" s="263">
        <v>117.0</v>
      </c>
      <c r="C120" s="264" t="s">
        <v>682</v>
      </c>
      <c r="D120" s="264" t="s">
        <v>2003</v>
      </c>
      <c r="E120" s="265" t="s">
        <v>53</v>
      </c>
      <c r="G120" s="222"/>
      <c r="H120" s="122"/>
      <c r="I120" s="123"/>
      <c r="L120" s="89"/>
      <c r="M120" s="39" t="str">
        <f t="shared" si="1"/>
        <v>houston.gaines@house.ga.gov</v>
      </c>
      <c r="N120" s="89"/>
      <c r="O120" s="89"/>
      <c r="P120" s="89"/>
      <c r="Q120" s="89"/>
      <c r="R120" s="89"/>
    </row>
    <row r="121">
      <c r="A121" s="14" t="s">
        <v>44</v>
      </c>
      <c r="B121" s="263">
        <v>118.0</v>
      </c>
      <c r="C121" s="264" t="s">
        <v>1532</v>
      </c>
      <c r="D121" s="264" t="s">
        <v>3772</v>
      </c>
      <c r="E121" s="299" t="s">
        <v>49</v>
      </c>
      <c r="G121" s="222"/>
      <c r="H121" s="118"/>
      <c r="I121" s="119"/>
      <c r="L121" s="89"/>
      <c r="M121" s="39" t="str">
        <f t="shared" si="1"/>
        <v>spencer.frye@house.ga.gov</v>
      </c>
      <c r="N121" s="89"/>
      <c r="O121" s="89"/>
      <c r="P121" s="89"/>
      <c r="Q121" s="89"/>
      <c r="R121" s="89"/>
    </row>
    <row r="122">
      <c r="A122" s="14" t="s">
        <v>44</v>
      </c>
      <c r="B122" s="263">
        <v>119.0</v>
      </c>
      <c r="C122" s="264" t="s">
        <v>1161</v>
      </c>
      <c r="D122" s="264" t="s">
        <v>3778</v>
      </c>
      <c r="E122" s="265" t="s">
        <v>53</v>
      </c>
      <c r="G122" s="222"/>
      <c r="H122" s="122"/>
      <c r="I122" s="123"/>
      <c r="L122" s="89"/>
      <c r="M122" s="39" t="str">
        <f t="shared" si="1"/>
        <v>marcus.wiedower@house.ga.gov</v>
      </c>
      <c r="N122" s="89"/>
      <c r="O122" s="89"/>
      <c r="P122" s="89"/>
      <c r="Q122" s="89"/>
      <c r="R122" s="89"/>
    </row>
    <row r="123">
      <c r="A123" s="14" t="s">
        <v>44</v>
      </c>
      <c r="B123" s="263">
        <v>120.0</v>
      </c>
      <c r="C123" s="264" t="s">
        <v>2940</v>
      </c>
      <c r="D123" s="264" t="s">
        <v>3783</v>
      </c>
      <c r="E123" s="265" t="s">
        <v>53</v>
      </c>
      <c r="G123" s="222"/>
      <c r="H123" s="122"/>
      <c r="I123" s="123"/>
      <c r="L123" s="89"/>
      <c r="M123" s="39" t="str">
        <f t="shared" si="1"/>
        <v>trey.rhodes@house.ga.gov</v>
      </c>
      <c r="N123" s="89"/>
      <c r="O123" s="89"/>
      <c r="P123" s="89"/>
      <c r="Q123" s="89"/>
      <c r="R123" s="89"/>
    </row>
    <row r="124">
      <c r="A124" s="14" t="s">
        <v>44</v>
      </c>
      <c r="B124" s="263">
        <v>121.0</v>
      </c>
      <c r="C124" s="264" t="s">
        <v>3785</v>
      </c>
      <c r="D124" s="264" t="s">
        <v>3789</v>
      </c>
      <c r="E124" s="265" t="s">
        <v>53</v>
      </c>
      <c r="G124" s="222"/>
      <c r="H124" s="118"/>
      <c r="I124" s="119"/>
      <c r="L124" s="89"/>
      <c r="M124" s="39" t="str">
        <f t="shared" si="1"/>
        <v>barry.fleming@house.ga.gov</v>
      </c>
      <c r="N124" s="89"/>
      <c r="O124" s="89"/>
      <c r="P124" s="89"/>
      <c r="Q124" s="89"/>
      <c r="R124" s="89"/>
    </row>
    <row r="125">
      <c r="A125" s="14" t="s">
        <v>44</v>
      </c>
      <c r="B125" s="263">
        <v>122.0</v>
      </c>
      <c r="C125" s="264" t="s">
        <v>3794</v>
      </c>
      <c r="D125" s="264" t="s">
        <v>3796</v>
      </c>
      <c r="E125" s="265" t="s">
        <v>53</v>
      </c>
      <c r="G125" s="222"/>
      <c r="H125" s="118"/>
      <c r="I125" s="119"/>
      <c r="L125" s="89"/>
      <c r="M125" s="39" t="str">
        <f t="shared" si="1"/>
        <v>jodi.lott@house.ga.gov</v>
      </c>
      <c r="N125" s="89"/>
      <c r="O125" s="89"/>
      <c r="P125" s="89"/>
      <c r="Q125" s="89"/>
      <c r="R125" s="89"/>
    </row>
    <row r="126">
      <c r="A126" s="14" t="s">
        <v>44</v>
      </c>
      <c r="B126" s="263">
        <v>123.0</v>
      </c>
      <c r="C126" s="264" t="s">
        <v>91</v>
      </c>
      <c r="D126" s="264" t="s">
        <v>3038</v>
      </c>
      <c r="E126" s="265" t="s">
        <v>53</v>
      </c>
      <c r="G126" s="222"/>
      <c r="H126" s="122"/>
      <c r="I126" s="123"/>
      <c r="L126" s="89"/>
      <c r="M126" s="39" t="str">
        <f t="shared" si="1"/>
        <v>mark.newton@house.ga.gov</v>
      </c>
      <c r="N126" s="89"/>
      <c r="O126" s="89"/>
      <c r="P126" s="89"/>
      <c r="Q126" s="89"/>
      <c r="R126" s="89"/>
    </row>
    <row r="127">
      <c r="A127" s="14" t="s">
        <v>44</v>
      </c>
      <c r="B127" s="263">
        <v>124.0</v>
      </c>
      <c r="C127" s="264" t="s">
        <v>2189</v>
      </c>
      <c r="D127" s="264" t="s">
        <v>297</v>
      </c>
      <c r="E127" s="299" t="s">
        <v>49</v>
      </c>
      <c r="G127" s="222"/>
      <c r="H127" s="118"/>
      <c r="I127" s="119"/>
      <c r="L127" s="89"/>
      <c r="M127" s="39" t="str">
        <f t="shared" si="1"/>
        <v>henry.howard@house.ga.gov</v>
      </c>
      <c r="N127" s="89"/>
      <c r="O127" s="89"/>
      <c r="P127" s="89"/>
      <c r="Q127" s="89"/>
      <c r="R127" s="89"/>
    </row>
    <row r="128">
      <c r="A128" s="14" t="s">
        <v>44</v>
      </c>
      <c r="B128" s="263">
        <v>125.0</v>
      </c>
      <c r="C128" s="264" t="s">
        <v>3432</v>
      </c>
      <c r="D128" s="264" t="s">
        <v>3823</v>
      </c>
      <c r="E128" s="299" t="s">
        <v>49</v>
      </c>
      <c r="G128" s="222"/>
      <c r="H128" s="118"/>
      <c r="I128" s="119"/>
      <c r="L128" s="89"/>
      <c r="M128" s="39" t="str">
        <f t="shared" si="1"/>
        <v>sheila.nelson@house.ga.gov</v>
      </c>
      <c r="N128" s="89"/>
      <c r="O128" s="89"/>
      <c r="P128" s="89"/>
      <c r="Q128" s="89"/>
      <c r="R128" s="89"/>
    </row>
    <row r="129">
      <c r="A129" s="14" t="s">
        <v>44</v>
      </c>
      <c r="B129" s="263">
        <v>126.0</v>
      </c>
      <c r="C129" s="264" t="s">
        <v>1980</v>
      </c>
      <c r="D129" s="264" t="s">
        <v>1437</v>
      </c>
      <c r="E129" s="299" t="s">
        <v>49</v>
      </c>
      <c r="G129" s="222"/>
      <c r="H129" s="122"/>
      <c r="I129" s="123"/>
      <c r="L129" s="89"/>
      <c r="M129" s="39" t="str">
        <f t="shared" si="1"/>
        <v>gloria.frazier@house.ga.gov</v>
      </c>
      <c r="N129" s="89"/>
      <c r="O129" s="89"/>
      <c r="P129" s="89"/>
      <c r="Q129" s="89"/>
      <c r="R129" s="89"/>
    </row>
    <row r="130">
      <c r="A130" s="14" t="s">
        <v>44</v>
      </c>
      <c r="B130" s="263">
        <v>127.0</v>
      </c>
      <c r="C130" s="264" t="s">
        <v>1331</v>
      </c>
      <c r="D130" s="264" t="s">
        <v>557</v>
      </c>
      <c r="E130" s="299" t="s">
        <v>49</v>
      </c>
      <c r="G130" s="222"/>
      <c r="H130" s="118"/>
      <c r="I130" s="119"/>
      <c r="L130" s="89"/>
      <c r="M130" s="39" t="str">
        <f t="shared" si="1"/>
        <v>brian.prince@house.ga.gov</v>
      </c>
      <c r="N130" s="89"/>
      <c r="O130" s="89"/>
      <c r="P130" s="89"/>
      <c r="Q130" s="89"/>
      <c r="R130" s="89"/>
    </row>
    <row r="131">
      <c r="A131" s="14" t="s">
        <v>44</v>
      </c>
      <c r="B131" s="263">
        <v>128.0</v>
      </c>
      <c r="C131" s="264" t="s">
        <v>3846</v>
      </c>
      <c r="D131" s="264" t="s">
        <v>567</v>
      </c>
      <c r="E131" s="299" t="s">
        <v>49</v>
      </c>
      <c r="G131" s="222"/>
      <c r="H131" s="122"/>
      <c r="I131" s="123"/>
      <c r="L131" s="89"/>
      <c r="M131" s="39" t="str">
        <f t="shared" si="1"/>
        <v>mack.jackson@house.ga.gov</v>
      </c>
      <c r="N131" s="89"/>
      <c r="O131" s="89"/>
      <c r="P131" s="89"/>
      <c r="Q131" s="89"/>
      <c r="R131" s="89"/>
    </row>
    <row r="132">
      <c r="A132" s="14" t="s">
        <v>44</v>
      </c>
      <c r="B132" s="263">
        <v>129.0</v>
      </c>
      <c r="C132" s="264" t="s">
        <v>1446</v>
      </c>
      <c r="D132" s="264" t="s">
        <v>379</v>
      </c>
      <c r="E132" s="265" t="s">
        <v>53</v>
      </c>
      <c r="G132" s="222"/>
      <c r="H132" s="118"/>
      <c r="I132" s="119"/>
      <c r="L132" s="89"/>
      <c r="M132" s="39" t="str">
        <f t="shared" si="1"/>
        <v>susan.holmes@house.ga.gov</v>
      </c>
      <c r="N132" s="89"/>
      <c r="O132" s="89"/>
      <c r="P132" s="89"/>
      <c r="Q132" s="89"/>
      <c r="R132" s="89"/>
    </row>
    <row r="133">
      <c r="A133" s="14" t="s">
        <v>44</v>
      </c>
      <c r="B133" s="263">
        <v>130.0</v>
      </c>
      <c r="C133" s="264" t="s">
        <v>108</v>
      </c>
      <c r="D133" s="264" t="s">
        <v>3865</v>
      </c>
      <c r="E133" s="265" t="s">
        <v>53</v>
      </c>
      <c r="G133" s="222"/>
      <c r="H133" s="118"/>
      <c r="I133" s="119"/>
      <c r="L133" s="89"/>
      <c r="M133" s="39" t="str">
        <f t="shared" si="1"/>
        <v>david.knight@house.ga.gov</v>
      </c>
      <c r="N133" s="89"/>
      <c r="O133" s="89"/>
      <c r="P133" s="89"/>
      <c r="Q133" s="89"/>
      <c r="R133" s="89"/>
    </row>
    <row r="134">
      <c r="A134" s="14" t="s">
        <v>44</v>
      </c>
      <c r="B134" s="263">
        <v>131.0</v>
      </c>
      <c r="C134" s="264" t="s">
        <v>1049</v>
      </c>
      <c r="D134" s="264" t="s">
        <v>3870</v>
      </c>
      <c r="E134" s="265" t="s">
        <v>53</v>
      </c>
      <c r="G134" s="222"/>
      <c r="H134" s="122"/>
      <c r="I134" s="123"/>
      <c r="L134" s="89"/>
      <c r="M134" s="39" t="str">
        <f t="shared" si="1"/>
        <v>ken.pullin@house.ga.gov</v>
      </c>
      <c r="N134" s="89"/>
      <c r="O134" s="89"/>
      <c r="P134" s="89"/>
      <c r="Q134" s="89"/>
      <c r="R134" s="89"/>
    </row>
    <row r="135">
      <c r="A135" s="14" t="s">
        <v>44</v>
      </c>
      <c r="B135" s="263">
        <v>132.0</v>
      </c>
      <c r="C135" s="264" t="s">
        <v>1134</v>
      </c>
      <c r="D135" s="264" t="s">
        <v>3878</v>
      </c>
      <c r="E135" s="299" t="s">
        <v>49</v>
      </c>
      <c r="G135" s="222"/>
      <c r="H135" s="122"/>
      <c r="I135" s="123"/>
      <c r="L135" s="89"/>
      <c r="M135" s="39" t="str">
        <f t="shared" si="1"/>
        <v>robert.trammell@house.ga.gov</v>
      </c>
      <c r="N135" s="89"/>
      <c r="O135" s="89"/>
      <c r="P135" s="89"/>
      <c r="Q135" s="89"/>
      <c r="R135" s="89"/>
    </row>
    <row r="136">
      <c r="A136" s="14" t="s">
        <v>44</v>
      </c>
      <c r="B136" s="263">
        <v>133.0</v>
      </c>
      <c r="C136" s="264" t="s">
        <v>211</v>
      </c>
      <c r="D136" s="264" t="s">
        <v>1451</v>
      </c>
      <c r="E136" s="265" t="s">
        <v>53</v>
      </c>
      <c r="G136" s="222"/>
      <c r="H136" s="118"/>
      <c r="I136" s="119"/>
      <c r="L136" s="89"/>
      <c r="M136" s="39" t="str">
        <f t="shared" si="1"/>
        <v>vance.smith@house.ga.gov</v>
      </c>
      <c r="N136" s="89"/>
      <c r="O136" s="89"/>
      <c r="P136" s="89"/>
      <c r="Q136" s="89"/>
      <c r="R136" s="89"/>
    </row>
    <row r="137">
      <c r="A137" s="14" t="s">
        <v>44</v>
      </c>
      <c r="B137" s="263">
        <v>134.0</v>
      </c>
      <c r="C137" s="264" t="s">
        <v>1112</v>
      </c>
      <c r="D137" s="264" t="s">
        <v>1451</v>
      </c>
      <c r="E137" s="265" t="s">
        <v>53</v>
      </c>
      <c r="G137" s="222"/>
      <c r="H137" s="118"/>
      <c r="I137" s="119"/>
      <c r="L137" s="89"/>
      <c r="M137" s="39" t="str">
        <f t="shared" si="1"/>
        <v>richard.smith@house.ga.gov</v>
      </c>
      <c r="N137" s="89"/>
      <c r="O137" s="89"/>
      <c r="P137" s="89"/>
      <c r="Q137" s="89"/>
      <c r="R137" s="89"/>
    </row>
    <row r="138">
      <c r="A138" s="14" t="s">
        <v>44</v>
      </c>
      <c r="B138" s="263">
        <v>135.0</v>
      </c>
      <c r="C138" s="264" t="s">
        <v>3265</v>
      </c>
      <c r="D138" s="264" t="s">
        <v>3901</v>
      </c>
      <c r="E138" s="299" t="s">
        <v>49</v>
      </c>
      <c r="G138" s="222"/>
      <c r="H138" s="118"/>
      <c r="I138" s="119"/>
      <c r="L138" s="89"/>
      <c r="M138" s="39" t="str">
        <f t="shared" si="1"/>
        <v>calvin.smyre@house.ga.gov</v>
      </c>
      <c r="N138" s="89"/>
      <c r="O138" s="89"/>
      <c r="P138" s="89"/>
      <c r="Q138" s="89"/>
      <c r="R138" s="89"/>
    </row>
    <row r="139">
      <c r="A139" s="14" t="s">
        <v>44</v>
      </c>
      <c r="B139" s="263">
        <v>136.0</v>
      </c>
      <c r="C139" s="264" t="s">
        <v>3902</v>
      </c>
      <c r="D139" s="264" t="s">
        <v>3908</v>
      </c>
      <c r="E139" s="299" t="s">
        <v>49</v>
      </c>
      <c r="G139" s="222"/>
      <c r="H139" s="118"/>
      <c r="I139" s="119"/>
      <c r="L139" s="89"/>
      <c r="M139" s="39" t="str">
        <f t="shared" si="1"/>
        <v>carolyn.hugley@house.ga.gov</v>
      </c>
      <c r="N139" s="89"/>
      <c r="O139" s="89"/>
      <c r="P139" s="89"/>
      <c r="Q139" s="89"/>
      <c r="R139" s="89"/>
    </row>
    <row r="140">
      <c r="A140" s="14" t="s">
        <v>44</v>
      </c>
      <c r="B140" s="263">
        <v>137.0</v>
      </c>
      <c r="C140" s="264" t="s">
        <v>425</v>
      </c>
      <c r="D140" s="264" t="s">
        <v>1931</v>
      </c>
      <c r="E140" s="299" t="s">
        <v>49</v>
      </c>
      <c r="G140" s="222"/>
      <c r="H140" s="118"/>
      <c r="I140" s="119"/>
      <c r="L140" s="89"/>
      <c r="M140" s="39" t="str">
        <f t="shared" si="1"/>
        <v>debbie.buckner@house.ga.gov</v>
      </c>
      <c r="N140" s="89"/>
      <c r="O140" s="89"/>
      <c r="P140" s="89"/>
      <c r="Q140" s="89"/>
      <c r="R140" s="89"/>
    </row>
    <row r="141">
      <c r="A141" s="14" t="s">
        <v>44</v>
      </c>
      <c r="B141" s="263">
        <v>138.0</v>
      </c>
      <c r="C141" s="264" t="s">
        <v>157</v>
      </c>
      <c r="D141" s="264" t="s">
        <v>3918</v>
      </c>
      <c r="E141" s="265" t="s">
        <v>53</v>
      </c>
      <c r="G141" s="222"/>
      <c r="H141" s="122"/>
      <c r="I141" s="123"/>
      <c r="L141" s="89"/>
      <c r="M141" s="39" t="str">
        <f t="shared" si="1"/>
        <v>mike.cheokas@house.ga.gov</v>
      </c>
      <c r="N141" s="89"/>
      <c r="O141" s="89"/>
      <c r="P141" s="89"/>
      <c r="Q141" s="89"/>
      <c r="R141" s="89"/>
    </row>
    <row r="142">
      <c r="A142" s="14" t="s">
        <v>44</v>
      </c>
      <c r="B142" s="263">
        <v>139.0</v>
      </c>
      <c r="C142" s="264" t="s">
        <v>3923</v>
      </c>
      <c r="D142" s="264" t="s">
        <v>1546</v>
      </c>
      <c r="E142" s="299" t="s">
        <v>49</v>
      </c>
      <c r="G142" s="222"/>
      <c r="H142" s="118"/>
      <c r="I142" s="119"/>
      <c r="L142" s="89"/>
      <c r="M142" s="39" t="str">
        <f t="shared" si="1"/>
        <v>patty.bentley@house.ga.gov</v>
      </c>
      <c r="N142" s="89"/>
      <c r="O142" s="89"/>
      <c r="P142" s="89"/>
      <c r="Q142" s="89"/>
      <c r="R142" s="89"/>
    </row>
    <row r="143">
      <c r="A143" s="14" t="s">
        <v>44</v>
      </c>
      <c r="B143" s="263">
        <v>140.0</v>
      </c>
      <c r="C143" s="264" t="s">
        <v>1134</v>
      </c>
      <c r="D143" s="264" t="s">
        <v>3928</v>
      </c>
      <c r="E143" s="265" t="s">
        <v>53</v>
      </c>
      <c r="G143" s="222"/>
      <c r="H143" s="118"/>
      <c r="I143" s="119"/>
      <c r="L143" s="89"/>
      <c r="M143" s="39" t="str">
        <f t="shared" si="1"/>
        <v>robert.dickey@house.ga.gov</v>
      </c>
      <c r="N143" s="89"/>
      <c r="O143" s="89"/>
      <c r="P143" s="89"/>
      <c r="Q143" s="89"/>
      <c r="R143" s="89"/>
    </row>
    <row r="144">
      <c r="A144" s="14" t="s">
        <v>44</v>
      </c>
      <c r="B144" s="263">
        <v>141.0</v>
      </c>
      <c r="C144" s="264" t="s">
        <v>3296</v>
      </c>
      <c r="D144" s="264" t="s">
        <v>3938</v>
      </c>
      <c r="E144" s="265" t="s">
        <v>53</v>
      </c>
      <c r="G144" s="222"/>
      <c r="H144" s="118"/>
      <c r="I144" s="119"/>
      <c r="L144" s="89"/>
      <c r="M144" s="39" t="str">
        <f t="shared" si="1"/>
        <v>dale.washburn@house.ga.gov</v>
      </c>
      <c r="N144" s="89"/>
      <c r="O144" s="89"/>
      <c r="P144" s="89"/>
      <c r="Q144" s="89"/>
      <c r="R144" s="89"/>
    </row>
    <row r="145">
      <c r="A145" s="14" t="s">
        <v>44</v>
      </c>
      <c r="B145" s="263">
        <v>142.0</v>
      </c>
      <c r="C145" s="264" t="s">
        <v>3946</v>
      </c>
      <c r="D145" s="264" t="s">
        <v>3947</v>
      </c>
      <c r="E145" s="299" t="s">
        <v>49</v>
      </c>
      <c r="G145" s="222"/>
      <c r="H145" s="118"/>
      <c r="I145" s="119"/>
      <c r="L145" s="89"/>
      <c r="M145" s="39" t="str">
        <f t="shared" si="1"/>
        <v>miriam.paris@house.ga.gov</v>
      </c>
      <c r="N145" s="89"/>
      <c r="O145" s="89"/>
      <c r="P145" s="89"/>
      <c r="Q145" s="89"/>
      <c r="R145" s="89"/>
    </row>
    <row r="146">
      <c r="A146" s="14" t="s">
        <v>44</v>
      </c>
      <c r="B146" s="263">
        <v>143.0</v>
      </c>
      <c r="C146" s="264" t="s">
        <v>930</v>
      </c>
      <c r="D146" s="264" t="s">
        <v>3955</v>
      </c>
      <c r="E146" s="299" t="s">
        <v>49</v>
      </c>
      <c r="G146" s="222"/>
      <c r="H146" s="118"/>
      <c r="I146" s="119"/>
      <c r="L146" s="89"/>
      <c r="M146" s="39" t="str">
        <f t="shared" si="1"/>
        <v>james.beverly@house.ga.gov</v>
      </c>
      <c r="N146" s="89"/>
      <c r="O146" s="89"/>
      <c r="P146" s="89"/>
      <c r="Q146" s="89"/>
      <c r="R146" s="89"/>
    </row>
    <row r="147">
      <c r="A147" s="14" t="s">
        <v>44</v>
      </c>
      <c r="B147" s="263">
        <v>144.0</v>
      </c>
      <c r="C147" s="264" t="s">
        <v>100</v>
      </c>
      <c r="D147" s="264" t="s">
        <v>1523</v>
      </c>
      <c r="E147" s="265" t="s">
        <v>53</v>
      </c>
      <c r="G147" s="222"/>
      <c r="H147" s="122"/>
      <c r="I147" s="123"/>
      <c r="L147" s="89"/>
      <c r="M147" s="39" t="str">
        <f t="shared" si="1"/>
        <v>danny.mathis@house.ga.gov</v>
      </c>
      <c r="N147" s="89"/>
      <c r="O147" s="89"/>
      <c r="P147" s="89"/>
      <c r="Q147" s="89"/>
      <c r="R147" s="89"/>
    </row>
    <row r="148">
      <c r="A148" s="14" t="s">
        <v>44</v>
      </c>
      <c r="B148" s="263">
        <v>145.0</v>
      </c>
      <c r="C148" s="264" t="s">
        <v>2395</v>
      </c>
      <c r="D148" s="264" t="s">
        <v>793</v>
      </c>
      <c r="E148" s="265" t="s">
        <v>53</v>
      </c>
      <c r="G148" s="222"/>
      <c r="H148" s="118"/>
      <c r="I148" s="119"/>
      <c r="L148" s="89"/>
      <c r="M148" s="39" t="str">
        <f t="shared" si="1"/>
        <v>ricky.williams@house.ga.gov</v>
      </c>
      <c r="N148" s="89"/>
      <c r="O148" s="89"/>
      <c r="P148" s="89"/>
      <c r="Q148" s="89"/>
      <c r="R148" s="89"/>
    </row>
    <row r="149">
      <c r="A149" s="14" t="s">
        <v>44</v>
      </c>
      <c r="B149" s="263">
        <v>146.0</v>
      </c>
      <c r="C149" s="264" t="s">
        <v>183</v>
      </c>
      <c r="D149" s="264" t="s">
        <v>3978</v>
      </c>
      <c r="E149" s="265" t="s">
        <v>53</v>
      </c>
      <c r="G149" s="222"/>
      <c r="H149" s="118"/>
      <c r="I149" s="119"/>
      <c r="L149" s="89"/>
      <c r="M149" s="39" t="str">
        <f t="shared" si="1"/>
        <v>shaw.blackmon@house.ga.gov</v>
      </c>
      <c r="N149" s="89"/>
      <c r="O149" s="89"/>
      <c r="P149" s="89"/>
      <c r="Q149" s="89"/>
      <c r="R149" s="89"/>
    </row>
    <row r="150">
      <c r="A150" s="14" t="s">
        <v>44</v>
      </c>
      <c r="B150" s="263">
        <v>147.0</v>
      </c>
      <c r="C150" s="264" t="s">
        <v>1439</v>
      </c>
      <c r="D150" s="264" t="s">
        <v>2063</v>
      </c>
      <c r="E150" s="265" t="s">
        <v>53</v>
      </c>
      <c r="G150" s="222"/>
      <c r="H150" s="122"/>
      <c r="I150" s="123"/>
      <c r="L150" s="89"/>
      <c r="M150" s="39" t="str">
        <f t="shared" si="1"/>
        <v>heath.clark@house.ga.gov</v>
      </c>
      <c r="N150" s="89"/>
      <c r="O150" s="89"/>
      <c r="P150" s="89"/>
      <c r="Q150" s="89"/>
      <c r="R150" s="89"/>
    </row>
    <row r="151">
      <c r="A151" s="14" t="s">
        <v>44</v>
      </c>
      <c r="B151" s="263">
        <v>148.0</v>
      </c>
      <c r="C151" s="264" t="s">
        <v>529</v>
      </c>
      <c r="D151" s="264" t="s">
        <v>793</v>
      </c>
      <c r="E151" s="265" t="s">
        <v>53</v>
      </c>
      <c r="G151" s="222"/>
      <c r="H151" s="122"/>
      <c r="I151" s="123"/>
      <c r="L151" s="89"/>
      <c r="M151" s="39" t="str">
        <f t="shared" si="1"/>
        <v>noel.williams@house.ga.gov</v>
      </c>
      <c r="N151" s="89"/>
      <c r="O151" s="89"/>
      <c r="P151" s="89"/>
      <c r="Q151" s="89"/>
      <c r="R151" s="89"/>
    </row>
    <row r="152">
      <c r="A152" s="14" t="s">
        <v>44</v>
      </c>
      <c r="B152" s="263">
        <v>149.0</v>
      </c>
      <c r="C152" s="264" t="s">
        <v>455</v>
      </c>
      <c r="D152" s="264" t="s">
        <v>4013</v>
      </c>
      <c r="E152" s="265" t="s">
        <v>53</v>
      </c>
      <c r="G152" s="222"/>
      <c r="H152" s="118"/>
      <c r="I152" s="119"/>
      <c r="L152" s="89"/>
      <c r="M152" s="39" t="str">
        <f t="shared" si="1"/>
        <v>jimmy.pruett@house.ga.gov</v>
      </c>
      <c r="N152" s="89"/>
      <c r="O152" s="89"/>
      <c r="P152" s="89"/>
      <c r="Q152" s="89"/>
      <c r="R152" s="89"/>
    </row>
    <row r="153">
      <c r="A153" s="14" t="s">
        <v>44</v>
      </c>
      <c r="B153" s="263">
        <v>150.0</v>
      </c>
      <c r="C153" s="264" t="s">
        <v>163</v>
      </c>
      <c r="D153" s="264" t="s">
        <v>4017</v>
      </c>
      <c r="E153" s="265" t="s">
        <v>53</v>
      </c>
      <c r="G153" s="222"/>
      <c r="H153" s="118"/>
      <c r="I153" s="119"/>
      <c r="L153" s="89"/>
      <c r="M153" s="39" t="str">
        <f t="shared" si="1"/>
        <v>matt.hatchett@house.ga.gov</v>
      </c>
      <c r="N153" s="89"/>
      <c r="O153" s="89"/>
      <c r="P153" s="89"/>
      <c r="Q153" s="89"/>
      <c r="R153" s="89"/>
    </row>
    <row r="154">
      <c r="A154" s="14" t="s">
        <v>44</v>
      </c>
      <c r="B154" s="263">
        <v>151.0</v>
      </c>
      <c r="C154" s="264" t="s">
        <v>987</v>
      </c>
      <c r="D154" s="264" t="s">
        <v>4028</v>
      </c>
      <c r="E154" s="265" t="s">
        <v>53</v>
      </c>
      <c r="G154" s="222"/>
      <c r="H154" s="122"/>
      <c r="I154" s="123"/>
      <c r="L154" s="89"/>
      <c r="M154" s="39" t="str">
        <f t="shared" si="1"/>
        <v>gerald.greene@house.ga.gov</v>
      </c>
      <c r="N154" s="89"/>
      <c r="O154" s="89"/>
      <c r="P154" s="89"/>
      <c r="Q154" s="89"/>
      <c r="R154" s="89"/>
    </row>
    <row r="155">
      <c r="A155" s="14" t="s">
        <v>44</v>
      </c>
      <c r="B155" s="263">
        <v>152.0</v>
      </c>
      <c r="C155" s="264" t="s">
        <v>636</v>
      </c>
      <c r="D155" s="264" t="s">
        <v>4035</v>
      </c>
      <c r="E155" s="265" t="s">
        <v>53</v>
      </c>
      <c r="G155" s="222"/>
      <c r="H155" s="122"/>
      <c r="I155" s="123"/>
      <c r="L155" s="89"/>
      <c r="M155" s="39" t="str">
        <f t="shared" si="1"/>
        <v>ed.rynders@house.ga.gov</v>
      </c>
      <c r="N155" s="89"/>
      <c r="O155" s="89"/>
      <c r="P155" s="89"/>
      <c r="Q155" s="89"/>
      <c r="R155" s="89"/>
    </row>
    <row r="156">
      <c r="A156" s="14" t="s">
        <v>44</v>
      </c>
      <c r="B156" s="263">
        <v>153.0</v>
      </c>
      <c r="C156" s="264" t="s">
        <v>4039</v>
      </c>
      <c r="D156" s="264" t="s">
        <v>4040</v>
      </c>
      <c r="E156" s="299" t="s">
        <v>49</v>
      </c>
      <c r="G156" s="222"/>
      <c r="H156" s="122"/>
      <c r="I156" s="123"/>
      <c r="L156" s="89"/>
      <c r="M156" s="39" t="str">
        <f t="shared" si="1"/>
        <v>camia.hopson@house.ga.gov</v>
      </c>
      <c r="N156" s="89"/>
      <c r="O156" s="89"/>
      <c r="P156" s="89"/>
      <c r="Q156" s="89"/>
      <c r="R156" s="89"/>
    </row>
    <row r="157">
      <c r="A157" s="14" t="s">
        <v>44</v>
      </c>
      <c r="B157" s="263">
        <v>154.0</v>
      </c>
      <c r="C157" s="264" t="s">
        <v>4043</v>
      </c>
      <c r="D157" s="264" t="s">
        <v>2794</v>
      </c>
      <c r="E157" s="299" t="s">
        <v>49</v>
      </c>
      <c r="G157" s="222"/>
      <c r="H157" s="118"/>
      <c r="I157" s="119"/>
      <c r="L157" s="89"/>
      <c r="M157" s="39" t="str">
        <f t="shared" si="1"/>
        <v>winfred.dukes@house.ga.gov</v>
      </c>
      <c r="N157" s="89"/>
      <c r="O157" s="89"/>
      <c r="P157" s="89"/>
      <c r="Q157" s="89"/>
      <c r="R157" s="89"/>
    </row>
    <row r="158">
      <c r="A158" s="14" t="s">
        <v>44</v>
      </c>
      <c r="B158" s="263">
        <v>155.0</v>
      </c>
      <c r="C158" s="264" t="s">
        <v>868</v>
      </c>
      <c r="D158" s="264" t="s">
        <v>4053</v>
      </c>
      <c r="E158" s="265" t="s">
        <v>53</v>
      </c>
      <c r="G158" s="222"/>
      <c r="H158" s="118"/>
      <c r="I158" s="119"/>
      <c r="L158" s="89"/>
      <c r="M158" s="39" t="str">
        <f t="shared" si="1"/>
        <v>clay.pirkle@house.ga.gov</v>
      </c>
      <c r="N158" s="89"/>
      <c r="O158" s="89"/>
      <c r="P158" s="89"/>
      <c r="Q158" s="89"/>
      <c r="R158" s="89"/>
    </row>
    <row r="159">
      <c r="A159" s="14" t="s">
        <v>44</v>
      </c>
      <c r="B159" s="263">
        <v>156.0</v>
      </c>
      <c r="C159" s="264" t="s">
        <v>997</v>
      </c>
      <c r="D159" s="264" t="s">
        <v>617</v>
      </c>
      <c r="E159" s="265" t="s">
        <v>53</v>
      </c>
      <c r="G159" s="222"/>
      <c r="H159" s="118"/>
      <c r="I159" s="119"/>
      <c r="L159" s="89"/>
      <c r="M159" s="39" t="str">
        <f t="shared" si="1"/>
        <v>greg.morris@house.ga.gov</v>
      </c>
      <c r="N159" s="89"/>
      <c r="O159" s="89"/>
      <c r="P159" s="89"/>
      <c r="Q159" s="89"/>
      <c r="R159" s="89"/>
    </row>
    <row r="160">
      <c r="A160" s="14" t="s">
        <v>44</v>
      </c>
      <c r="B160" s="263">
        <v>157.0</v>
      </c>
      <c r="C160" s="264" t="s">
        <v>325</v>
      </c>
      <c r="D160" s="264" t="s">
        <v>4083</v>
      </c>
      <c r="E160" s="265" t="s">
        <v>53</v>
      </c>
      <c r="G160" s="222"/>
      <c r="H160" s="118"/>
      <c r="I160" s="119"/>
      <c r="L160" s="89"/>
      <c r="M160" s="39" t="str">
        <f t="shared" si="1"/>
        <v>bill.werkheiser@house.ga.gov</v>
      </c>
      <c r="N160" s="89"/>
      <c r="O160" s="89"/>
      <c r="P160" s="89"/>
      <c r="Q160" s="89"/>
      <c r="R160" s="89"/>
    </row>
    <row r="161">
      <c r="A161" s="14" t="s">
        <v>44</v>
      </c>
      <c r="B161" s="263">
        <v>158.0</v>
      </c>
      <c r="C161" s="264" t="s">
        <v>4088</v>
      </c>
      <c r="D161" s="264" t="s">
        <v>4096</v>
      </c>
      <c r="E161" s="265" t="s">
        <v>53</v>
      </c>
      <c r="G161" s="222"/>
      <c r="H161" s="118"/>
      <c r="I161" s="119"/>
      <c r="L161" s="89"/>
      <c r="M161" s="39" t="str">
        <f t="shared" si="1"/>
        <v>butch.parrish@house.ga.gov</v>
      </c>
      <c r="N161" s="89"/>
      <c r="O161" s="89"/>
      <c r="P161" s="89"/>
      <c r="Q161" s="89"/>
      <c r="R161" s="89"/>
    </row>
    <row r="162">
      <c r="A162" s="14" t="s">
        <v>44</v>
      </c>
      <c r="B162" s="263">
        <v>159.0</v>
      </c>
      <c r="C162" s="264" t="s">
        <v>1387</v>
      </c>
      <c r="D162" s="264" t="s">
        <v>4107</v>
      </c>
      <c r="E162" s="265" t="s">
        <v>53</v>
      </c>
      <c r="G162" s="222"/>
      <c r="H162" s="118"/>
      <c r="I162" s="119"/>
      <c r="L162" s="89"/>
      <c r="M162" s="39" t="str">
        <f t="shared" si="1"/>
        <v>jon.burns@house.ga.gov</v>
      </c>
      <c r="N162" s="89"/>
      <c r="O162" s="89"/>
      <c r="P162" s="89"/>
      <c r="Q162" s="89"/>
      <c r="R162" s="89"/>
    </row>
    <row r="163">
      <c r="A163" s="14" t="s">
        <v>44</v>
      </c>
      <c r="B163" s="263">
        <v>160.0</v>
      </c>
      <c r="C163" s="264" t="s">
        <v>3359</v>
      </c>
      <c r="D163" s="264" t="s">
        <v>4114</v>
      </c>
      <c r="E163" s="265" t="s">
        <v>53</v>
      </c>
      <c r="G163" s="222"/>
      <c r="H163" s="118"/>
      <c r="I163" s="119"/>
      <c r="L163" s="89"/>
      <c r="M163" s="39" t="str">
        <f t="shared" si="1"/>
        <v>jan.tankersley@house.ga.gov</v>
      </c>
      <c r="N163" s="89"/>
      <c r="O163" s="89"/>
      <c r="P163" s="89"/>
      <c r="Q163" s="89"/>
      <c r="R163" s="89"/>
    </row>
    <row r="164">
      <c r="A164" s="14" t="s">
        <v>44</v>
      </c>
      <c r="B164" s="263">
        <v>161.0</v>
      </c>
      <c r="C164" s="264" t="s">
        <v>325</v>
      </c>
      <c r="D164" s="264" t="s">
        <v>4124</v>
      </c>
      <c r="E164" s="265" t="s">
        <v>53</v>
      </c>
      <c r="G164" s="222"/>
      <c r="H164" s="122"/>
      <c r="I164" s="123"/>
      <c r="L164" s="89"/>
      <c r="M164" s="39" t="str">
        <f t="shared" si="1"/>
        <v>bill.hitchens@house.ga.gov</v>
      </c>
      <c r="N164" s="89"/>
      <c r="O164" s="89"/>
      <c r="P164" s="89"/>
      <c r="Q164" s="89"/>
      <c r="R164" s="89"/>
    </row>
    <row r="165">
      <c r="A165" s="14" t="s">
        <v>44</v>
      </c>
      <c r="B165" s="263">
        <v>162.0</v>
      </c>
      <c r="C165" s="264" t="s">
        <v>4087</v>
      </c>
      <c r="D165" s="264" t="s">
        <v>4133</v>
      </c>
      <c r="E165" s="299" t="s">
        <v>49</v>
      </c>
      <c r="G165" s="222"/>
      <c r="H165" s="118"/>
      <c r="I165" s="119"/>
      <c r="L165" s="89"/>
      <c r="M165" s="39" t="str">
        <f t="shared" si="1"/>
        <v>carl.gilliard@house.ga.gov</v>
      </c>
      <c r="N165" s="89"/>
      <c r="O165" s="89"/>
      <c r="P165" s="89"/>
      <c r="Q165" s="89"/>
      <c r="R165" s="89"/>
    </row>
    <row r="166">
      <c r="A166" s="14" t="s">
        <v>44</v>
      </c>
      <c r="B166" s="263">
        <v>163.0</v>
      </c>
      <c r="C166" s="264" t="s">
        <v>4141</v>
      </c>
      <c r="D166" s="264" t="s">
        <v>4142</v>
      </c>
      <c r="E166" s="299" t="s">
        <v>49</v>
      </c>
      <c r="G166" s="222"/>
      <c r="H166" s="118"/>
      <c r="I166" s="119"/>
      <c r="L166" s="89"/>
      <c r="M166" s="39" t="str">
        <f t="shared" si="1"/>
        <v>jcraig.gordon@house.ga.gov</v>
      </c>
      <c r="N166" s="89"/>
      <c r="O166" s="89"/>
      <c r="P166" s="89"/>
      <c r="Q166" s="89"/>
      <c r="R166" s="89"/>
    </row>
    <row r="167">
      <c r="A167" s="14" t="s">
        <v>44</v>
      </c>
      <c r="B167" s="263">
        <v>164.0</v>
      </c>
      <c r="C167" s="264" t="s">
        <v>1813</v>
      </c>
      <c r="D167" s="264" t="s">
        <v>4151</v>
      </c>
      <c r="E167" s="265" t="s">
        <v>53</v>
      </c>
      <c r="G167" s="222"/>
      <c r="H167" s="122"/>
      <c r="I167" s="123"/>
      <c r="L167" s="89"/>
      <c r="M167" s="39" t="str">
        <f t="shared" si="1"/>
        <v>ron.stephens@house.ga.gov</v>
      </c>
      <c r="N167" s="89"/>
      <c r="O167" s="89"/>
      <c r="P167" s="89"/>
      <c r="Q167" s="89"/>
      <c r="R167" s="89"/>
    </row>
    <row r="168">
      <c r="A168" s="14" t="s">
        <v>44</v>
      </c>
      <c r="B168" s="263">
        <v>165.0</v>
      </c>
      <c r="C168" s="264" t="s">
        <v>1171</v>
      </c>
      <c r="D168" s="264" t="s">
        <v>4151</v>
      </c>
      <c r="E168" s="299" t="s">
        <v>49</v>
      </c>
      <c r="G168" s="222"/>
      <c r="H168" s="118"/>
      <c r="I168" s="119"/>
      <c r="L168" s="89"/>
      <c r="M168" s="39" t="str">
        <f t="shared" si="1"/>
        <v>mickey.stephens@house.ga.gov</v>
      </c>
      <c r="N168" s="89"/>
      <c r="O168" s="89"/>
      <c r="P168" s="89"/>
      <c r="Q168" s="89"/>
      <c r="R168" s="89"/>
    </row>
    <row r="169">
      <c r="A169" s="14" t="s">
        <v>44</v>
      </c>
      <c r="B169" s="263">
        <v>166.0</v>
      </c>
      <c r="C169" s="264" t="s">
        <v>386</v>
      </c>
      <c r="D169" s="264" t="s">
        <v>4172</v>
      </c>
      <c r="E169" s="265" t="s">
        <v>53</v>
      </c>
      <c r="G169" s="222"/>
      <c r="H169" s="118"/>
      <c r="I169" s="119"/>
      <c r="L169" s="89"/>
      <c r="M169" s="39" t="str">
        <f t="shared" si="1"/>
        <v>jesse.petrea@house.ga.gov</v>
      </c>
      <c r="N169" s="89"/>
      <c r="O169" s="89"/>
      <c r="P169" s="89"/>
      <c r="Q169" s="89"/>
      <c r="R169" s="89"/>
    </row>
    <row r="170">
      <c r="A170" s="14" t="s">
        <v>44</v>
      </c>
      <c r="B170" s="263">
        <v>167.0</v>
      </c>
      <c r="C170" s="264" t="s">
        <v>683</v>
      </c>
      <c r="D170" s="264" t="s">
        <v>706</v>
      </c>
      <c r="E170" s="265" t="s">
        <v>53</v>
      </c>
      <c r="G170" s="222"/>
      <c r="H170" s="122"/>
      <c r="I170" s="123"/>
      <c r="L170" s="89"/>
      <c r="M170" s="39" t="str">
        <f t="shared" si="1"/>
        <v>jeff.jones@house.ga.gov</v>
      </c>
      <c r="N170" s="89"/>
      <c r="O170" s="89"/>
      <c r="P170" s="89"/>
      <c r="Q170" s="89"/>
      <c r="R170" s="89"/>
    </row>
    <row r="171">
      <c r="A171" s="14" t="s">
        <v>44</v>
      </c>
      <c r="B171" s="263">
        <v>168.0</v>
      </c>
      <c r="C171" s="264" t="s">
        <v>1874</v>
      </c>
      <c r="D171" s="264" t="s">
        <v>793</v>
      </c>
      <c r="E171" s="299" t="s">
        <v>49</v>
      </c>
      <c r="G171" s="222"/>
      <c r="H171" s="118"/>
      <c r="I171" s="119"/>
      <c r="L171" s="89"/>
      <c r="M171" s="39" t="str">
        <f t="shared" si="1"/>
        <v>al.williams@house.ga.gov</v>
      </c>
      <c r="N171" s="89"/>
      <c r="O171" s="89"/>
      <c r="P171" s="89"/>
      <c r="Q171" s="89"/>
      <c r="R171" s="89"/>
    </row>
    <row r="172">
      <c r="A172" s="14" t="s">
        <v>44</v>
      </c>
      <c r="B172" s="263">
        <v>169.0</v>
      </c>
      <c r="C172" s="264" t="s">
        <v>4199</v>
      </c>
      <c r="D172" s="264" t="s">
        <v>4201</v>
      </c>
      <c r="E172" s="265" t="s">
        <v>53</v>
      </c>
      <c r="G172" s="222"/>
      <c r="H172" s="118"/>
      <c r="I172" s="119"/>
      <c r="L172" s="89"/>
      <c r="M172" s="39" t="str">
        <f t="shared" si="1"/>
        <v>dominic.lariccia@house.ga.gov</v>
      </c>
      <c r="N172" s="89"/>
      <c r="O172" s="89"/>
      <c r="P172" s="89"/>
      <c r="Q172" s="89"/>
      <c r="R172" s="89"/>
    </row>
    <row r="173">
      <c r="A173" s="14" t="s">
        <v>44</v>
      </c>
      <c r="B173" s="263">
        <v>170.0</v>
      </c>
      <c r="C173" s="264" t="s">
        <v>4212</v>
      </c>
      <c r="D173" s="264" t="s">
        <v>682</v>
      </c>
      <c r="E173" s="265" t="s">
        <v>53</v>
      </c>
      <c r="G173" s="222"/>
      <c r="H173" s="118"/>
      <c r="I173" s="119"/>
      <c r="L173" s="89"/>
      <c r="M173" s="39" t="str">
        <f t="shared" si="1"/>
        <v>penny.houston@house.ga.gov</v>
      </c>
      <c r="N173" s="89"/>
      <c r="O173" s="89"/>
      <c r="P173" s="89"/>
      <c r="Q173" s="89"/>
      <c r="R173" s="89"/>
    </row>
    <row r="174">
      <c r="A174" s="14" t="s">
        <v>44</v>
      </c>
      <c r="B174" s="263">
        <v>171.0</v>
      </c>
      <c r="C174" s="264" t="s">
        <v>1013</v>
      </c>
      <c r="D174" s="264" t="s">
        <v>3264</v>
      </c>
      <c r="E174" s="265" t="s">
        <v>53</v>
      </c>
      <c r="G174" s="222"/>
      <c r="H174" s="118"/>
      <c r="I174" s="119"/>
      <c r="L174" s="89"/>
      <c r="M174" s="39" t="str">
        <f t="shared" si="1"/>
        <v>jay.powell@house.ga.gov</v>
      </c>
      <c r="N174" s="89"/>
      <c r="O174" s="89"/>
      <c r="P174" s="89"/>
      <c r="Q174" s="89"/>
      <c r="R174" s="89"/>
    </row>
    <row r="175">
      <c r="A175" s="14" t="s">
        <v>44</v>
      </c>
      <c r="B175" s="263">
        <v>172.0</v>
      </c>
      <c r="C175" s="264" t="s">
        <v>224</v>
      </c>
      <c r="D175" s="264" t="s">
        <v>853</v>
      </c>
      <c r="E175" s="265" t="s">
        <v>53</v>
      </c>
      <c r="G175" s="222"/>
      <c r="H175" s="118"/>
      <c r="I175" s="119"/>
      <c r="L175" s="89"/>
      <c r="M175" s="39" t="str">
        <f t="shared" si="1"/>
        <v>sam.watson@house.ga.gov</v>
      </c>
      <c r="N175" s="89"/>
      <c r="O175" s="89"/>
      <c r="P175" s="89"/>
      <c r="Q175" s="89"/>
      <c r="R175" s="89"/>
    </row>
    <row r="176">
      <c r="A176" s="14" t="s">
        <v>44</v>
      </c>
      <c r="B176" s="263">
        <v>173.0</v>
      </c>
      <c r="C176" s="264" t="s">
        <v>4254</v>
      </c>
      <c r="D176" s="264" t="s">
        <v>4255</v>
      </c>
      <c r="E176" s="265" t="s">
        <v>53</v>
      </c>
      <c r="G176" s="222"/>
      <c r="H176" s="122"/>
      <c r="I176" s="123"/>
      <c r="L176" s="89"/>
      <c r="M176" s="39" t="str">
        <f t="shared" si="1"/>
        <v>darlene.taylor@house.ga.gov</v>
      </c>
      <c r="N176" s="89"/>
      <c r="O176" s="89"/>
      <c r="P176" s="89"/>
      <c r="Q176" s="89"/>
      <c r="R176" s="89"/>
    </row>
    <row r="177">
      <c r="A177" s="14" t="s">
        <v>44</v>
      </c>
      <c r="B177" s="263">
        <v>174.0</v>
      </c>
      <c r="C177" s="264" t="s">
        <v>278</v>
      </c>
      <c r="D177" s="264" t="s">
        <v>4268</v>
      </c>
      <c r="E177" s="265" t="s">
        <v>53</v>
      </c>
      <c r="G177" s="222"/>
      <c r="H177" s="118"/>
      <c r="I177" s="119"/>
      <c r="L177" s="89"/>
      <c r="M177" s="39" t="str">
        <f t="shared" si="1"/>
        <v>john.corbett@house.ga.gov</v>
      </c>
      <c r="N177" s="89"/>
      <c r="O177" s="89"/>
      <c r="P177" s="89"/>
      <c r="Q177" s="89"/>
      <c r="R177" s="89"/>
    </row>
    <row r="178">
      <c r="A178" s="14" t="s">
        <v>44</v>
      </c>
      <c r="B178" s="263">
        <v>175.0</v>
      </c>
      <c r="C178" s="264" t="s">
        <v>278</v>
      </c>
      <c r="D178" s="264" t="s">
        <v>4278</v>
      </c>
      <c r="E178" s="265" t="s">
        <v>53</v>
      </c>
      <c r="G178" s="222"/>
      <c r="H178" s="122"/>
      <c r="I178" s="123"/>
      <c r="L178" s="89"/>
      <c r="M178" s="39" t="str">
        <f t="shared" si="1"/>
        <v>john.lahood@house.ga.gov</v>
      </c>
      <c r="N178" s="89"/>
      <c r="O178" s="89"/>
      <c r="P178" s="89"/>
      <c r="Q178" s="89"/>
      <c r="R178" s="89"/>
    </row>
    <row r="179">
      <c r="A179" s="14" t="s">
        <v>44</v>
      </c>
      <c r="B179" s="263">
        <v>176.0</v>
      </c>
      <c r="C179" s="264" t="s">
        <v>1231</v>
      </c>
      <c r="D179" s="264" t="s">
        <v>183</v>
      </c>
      <c r="E179" s="265" t="s">
        <v>53</v>
      </c>
      <c r="G179" s="222"/>
      <c r="H179" s="118"/>
      <c r="I179" s="119"/>
      <c r="L179" s="89"/>
      <c r="M179" s="39" t="str">
        <f t="shared" si="1"/>
        <v>jason.shaw@house.ga.gov</v>
      </c>
      <c r="N179" s="89"/>
      <c r="O179" s="89"/>
      <c r="P179" s="89"/>
      <c r="Q179" s="89"/>
      <c r="R179" s="89"/>
    </row>
    <row r="180">
      <c r="A180" s="14" t="s">
        <v>44</v>
      </c>
      <c r="B180" s="263">
        <v>177.0</v>
      </c>
      <c r="C180" s="264" t="s">
        <v>675</v>
      </c>
      <c r="D180" s="264" t="s">
        <v>4292</v>
      </c>
      <c r="E180" s="299" t="s">
        <v>49</v>
      </c>
      <c r="G180" s="222"/>
      <c r="H180" s="118"/>
      <c r="I180" s="119"/>
      <c r="L180" s="89"/>
      <c r="M180" s="39" t="str">
        <f t="shared" si="1"/>
        <v>dexter.sharper@house.ga.gov</v>
      </c>
      <c r="N180" s="89"/>
      <c r="O180" s="89"/>
      <c r="P180" s="89"/>
      <c r="Q180" s="89"/>
      <c r="R180" s="89"/>
    </row>
    <row r="181">
      <c r="A181" s="14" t="s">
        <v>44</v>
      </c>
      <c r="B181" s="263">
        <v>178.0</v>
      </c>
      <c r="C181" s="264" t="s">
        <v>55</v>
      </c>
      <c r="D181" s="264" t="s">
        <v>1506</v>
      </c>
      <c r="E181" s="265" t="s">
        <v>53</v>
      </c>
      <c r="G181" s="222"/>
      <c r="H181" s="122"/>
      <c r="I181" s="123"/>
      <c r="L181" s="89"/>
      <c r="M181" s="39" t="str">
        <f t="shared" si="1"/>
        <v>steve.meeks@house.ga.gov</v>
      </c>
      <c r="N181" s="89"/>
      <c r="O181" s="89"/>
      <c r="P181" s="89"/>
      <c r="Q181" s="89"/>
      <c r="R181" s="89"/>
    </row>
    <row r="182">
      <c r="A182" s="14" t="s">
        <v>44</v>
      </c>
      <c r="B182" s="263">
        <v>179.0</v>
      </c>
      <c r="C182" s="264" t="s">
        <v>428</v>
      </c>
      <c r="D182" s="264" t="s">
        <v>4301</v>
      </c>
      <c r="E182" s="265" t="s">
        <v>53</v>
      </c>
      <c r="G182" s="222"/>
      <c r="H182" s="122"/>
      <c r="I182" s="123"/>
      <c r="L182" s="89"/>
      <c r="M182" s="39" t="str">
        <f t="shared" si="1"/>
        <v>don.hogan@house.ga.gov</v>
      </c>
      <c r="N182" s="89"/>
      <c r="O182" s="89"/>
      <c r="P182" s="89"/>
      <c r="Q182" s="89"/>
      <c r="R182" s="89"/>
    </row>
    <row r="183">
      <c r="A183" s="14" t="s">
        <v>44</v>
      </c>
      <c r="B183" s="263">
        <v>180.0</v>
      </c>
      <c r="C183" s="264" t="s">
        <v>1897</v>
      </c>
      <c r="D183" s="264" t="s">
        <v>4309</v>
      </c>
      <c r="E183" s="265" t="s">
        <v>53</v>
      </c>
      <c r="G183" s="222"/>
      <c r="H183" s="118"/>
      <c r="L183" s="89"/>
      <c r="M183" s="39" t="str">
        <f t="shared" si="1"/>
        <v>steven.sainz@house.ga.gov</v>
      </c>
      <c r="N183" s="89"/>
      <c r="O183" s="89"/>
      <c r="P183" s="89"/>
      <c r="Q183" s="89"/>
      <c r="R183" s="89"/>
    </row>
    <row r="184">
      <c r="A184" s="70"/>
      <c r="B184" s="352"/>
      <c r="C184" s="353"/>
      <c r="D184" s="353"/>
      <c r="E184" s="354"/>
      <c r="F184" s="355"/>
      <c r="G184" s="70"/>
      <c r="H184" s="70"/>
      <c r="I184" s="70"/>
      <c r="J184" s="70"/>
      <c r="K184" s="70"/>
      <c r="L184" s="70"/>
      <c r="M184" s="70"/>
      <c r="N184" s="70"/>
      <c r="O184" s="70"/>
      <c r="P184" s="70"/>
      <c r="Q184" s="70"/>
      <c r="R184" s="70"/>
      <c r="S184" s="70"/>
      <c r="T184" s="70"/>
      <c r="U184" s="70"/>
      <c r="V184" s="70"/>
      <c r="W184" s="70"/>
      <c r="X184" s="70"/>
      <c r="Y184" s="70"/>
      <c r="Z184" s="70"/>
      <c r="AA184" s="70"/>
      <c r="AB184" s="70"/>
      <c r="AC184" s="70"/>
      <c r="AD184" s="70"/>
      <c r="AE184" s="70"/>
      <c r="AF184" s="70"/>
      <c r="AG184" s="70"/>
      <c r="AH184" s="70"/>
      <c r="AI184" s="70"/>
      <c r="AJ184" s="70"/>
    </row>
    <row r="185">
      <c r="A185" s="14" t="s">
        <v>286</v>
      </c>
      <c r="B185" s="263">
        <v>1.0</v>
      </c>
      <c r="C185" s="264" t="s">
        <v>195</v>
      </c>
      <c r="D185" s="264" t="s">
        <v>853</v>
      </c>
      <c r="E185" s="356" t="s">
        <v>53</v>
      </c>
      <c r="F185" s="357"/>
      <c r="G185" s="222"/>
      <c r="H185" s="122"/>
      <c r="I185" s="123"/>
      <c r="L185" s="89"/>
      <c r="M185" s="39" t="str">
        <f t="shared" ref="M185:M240" si="2">Concatenate(Lower(C185),".",Lower(D185),"@senate.ga.gov")</f>
        <v>ben.watson@senate.ga.gov</v>
      </c>
      <c r="N185" s="89"/>
      <c r="O185" s="89"/>
      <c r="P185" s="89"/>
      <c r="Q185" s="89"/>
      <c r="R185" s="89"/>
    </row>
    <row r="186">
      <c r="A186" s="14" t="s">
        <v>286</v>
      </c>
      <c r="B186" s="263">
        <v>2.0</v>
      </c>
      <c r="C186" s="264" t="s">
        <v>4328</v>
      </c>
      <c r="D186" s="264" t="s">
        <v>567</v>
      </c>
      <c r="E186" s="358" t="s">
        <v>49</v>
      </c>
      <c r="F186" s="357"/>
      <c r="G186" s="222"/>
      <c r="H186" s="118"/>
      <c r="I186" s="119"/>
      <c r="L186" s="89"/>
      <c r="M186" s="39" t="str">
        <f t="shared" si="2"/>
        <v>lester.jackson@senate.ga.gov</v>
      </c>
      <c r="N186" s="89"/>
      <c r="O186" s="89"/>
      <c r="P186" s="89"/>
      <c r="Q186" s="89"/>
      <c r="R186" s="89"/>
    </row>
    <row r="187">
      <c r="A187" s="14" t="s">
        <v>286</v>
      </c>
      <c r="B187" s="263">
        <v>3.0</v>
      </c>
      <c r="C187" s="264" t="s">
        <v>1058</v>
      </c>
      <c r="D187" s="264" t="s">
        <v>4351</v>
      </c>
      <c r="E187" s="359" t="s">
        <v>53</v>
      </c>
      <c r="F187" s="357"/>
      <c r="G187" s="222"/>
      <c r="H187" s="122"/>
      <c r="I187" s="123"/>
      <c r="L187" s="89"/>
      <c r="M187" s="39" t="str">
        <f t="shared" si="2"/>
        <v>william.ligon@senate.ga.gov</v>
      </c>
      <c r="N187" s="89"/>
      <c r="O187" s="89"/>
      <c r="P187" s="89"/>
      <c r="Q187" s="89"/>
      <c r="R187" s="89"/>
    </row>
    <row r="188">
      <c r="A188" s="14" t="s">
        <v>286</v>
      </c>
      <c r="B188" s="263">
        <v>4.0</v>
      </c>
      <c r="C188" s="264" t="s">
        <v>792</v>
      </c>
      <c r="D188" s="264" t="s">
        <v>485</v>
      </c>
      <c r="E188" s="359" t="s">
        <v>53</v>
      </c>
      <c r="F188" s="357"/>
      <c r="G188" s="222"/>
      <c r="H188" s="118"/>
      <c r="I188" s="119"/>
      <c r="L188" s="89"/>
      <c r="M188" s="39" t="str">
        <f t="shared" si="2"/>
        <v>jack.hill@senate.ga.gov</v>
      </c>
      <c r="N188" s="89"/>
      <c r="O188" s="89"/>
      <c r="P188" s="89"/>
      <c r="Q188" s="89"/>
      <c r="R188" s="89"/>
    </row>
    <row r="189">
      <c r="A189" s="14" t="s">
        <v>286</v>
      </c>
      <c r="B189" s="263">
        <v>5.0</v>
      </c>
      <c r="C189" s="264" t="s">
        <v>4360</v>
      </c>
      <c r="D189" s="264" t="s">
        <v>4361</v>
      </c>
      <c r="E189" s="358" t="s">
        <v>49</v>
      </c>
      <c r="F189" s="357"/>
      <c r="G189" s="222"/>
      <c r="H189" s="118"/>
      <c r="I189" s="119"/>
      <c r="L189" s="89"/>
      <c r="M189" s="39" t="str">
        <f t="shared" si="2"/>
        <v>sheikh.rashman@senate.ga.gov</v>
      </c>
      <c r="N189" s="89"/>
      <c r="O189" s="89"/>
      <c r="P189" s="89"/>
      <c r="Q189" s="89"/>
      <c r="R189" s="89"/>
    </row>
    <row r="190">
      <c r="A190" s="14" t="s">
        <v>286</v>
      </c>
      <c r="B190" s="263">
        <v>6.0</v>
      </c>
      <c r="C190" s="264" t="s">
        <v>4364</v>
      </c>
      <c r="D190" s="264" t="s">
        <v>1581</v>
      </c>
      <c r="E190" s="358" t="s">
        <v>49</v>
      </c>
      <c r="F190" s="357"/>
      <c r="G190" s="222"/>
      <c r="H190" s="122"/>
      <c r="I190" s="123"/>
      <c r="L190" s="89"/>
      <c r="M190" s="39" t="str">
        <f t="shared" si="2"/>
        <v>jen.jordan@senate.ga.gov</v>
      </c>
      <c r="N190" s="89"/>
      <c r="O190" s="89"/>
      <c r="P190" s="89"/>
      <c r="Q190" s="89"/>
      <c r="R190" s="89"/>
    </row>
    <row r="191">
      <c r="A191" s="14" t="s">
        <v>286</v>
      </c>
      <c r="B191" s="263">
        <v>7.0</v>
      </c>
      <c r="C191" s="264" t="s">
        <v>1323</v>
      </c>
      <c r="D191" s="264" t="s">
        <v>1946</v>
      </c>
      <c r="E191" s="359" t="s">
        <v>53</v>
      </c>
      <c r="F191" s="357"/>
      <c r="G191" s="222"/>
      <c r="H191" s="118"/>
      <c r="I191" s="119"/>
      <c r="L191" s="89"/>
      <c r="M191" s="39" t="str">
        <f t="shared" si="2"/>
        <v>tyler.harper@senate.ga.gov</v>
      </c>
      <c r="N191" s="89"/>
      <c r="O191" s="89"/>
      <c r="P191" s="89"/>
      <c r="Q191" s="89"/>
      <c r="R191" s="89"/>
    </row>
    <row r="192">
      <c r="A192" s="14" t="s">
        <v>286</v>
      </c>
      <c r="B192" s="263">
        <v>8.0</v>
      </c>
      <c r="C192" s="264" t="s">
        <v>451</v>
      </c>
      <c r="D192" s="264" t="s">
        <v>4384</v>
      </c>
      <c r="E192" s="359" t="s">
        <v>53</v>
      </c>
      <c r="F192" s="357"/>
      <c r="G192" s="222"/>
      <c r="H192" s="118"/>
      <c r="I192" s="119"/>
      <c r="L192" s="89"/>
      <c r="M192" s="39" t="str">
        <f t="shared" si="2"/>
        <v>ellis.black@senate.ga.gov</v>
      </c>
      <c r="N192" s="89"/>
      <c r="O192" s="89"/>
      <c r="P192" s="89"/>
      <c r="Q192" s="89"/>
      <c r="R192" s="89"/>
    </row>
    <row r="193">
      <c r="A193" s="14" t="s">
        <v>286</v>
      </c>
      <c r="B193" s="263">
        <v>9.0</v>
      </c>
      <c r="C193" s="264" t="s">
        <v>4389</v>
      </c>
      <c r="D193" s="264" t="s">
        <v>456</v>
      </c>
      <c r="E193" s="359" t="s">
        <v>53</v>
      </c>
      <c r="F193" s="357"/>
      <c r="G193" s="222"/>
      <c r="H193" s="122"/>
      <c r="I193" s="123"/>
      <c r="L193" s="89"/>
      <c r="M193" s="39" t="str">
        <f t="shared" si="2"/>
        <v>p.k..martin@senate.ga.gov</v>
      </c>
      <c r="N193" s="89"/>
      <c r="O193" s="89"/>
      <c r="P193" s="89"/>
      <c r="Q193" s="89"/>
      <c r="R193" s="89"/>
    </row>
    <row r="194">
      <c r="A194" s="14" t="s">
        <v>286</v>
      </c>
      <c r="B194" s="263">
        <v>10.0</v>
      </c>
      <c r="C194" s="264" t="s">
        <v>4012</v>
      </c>
      <c r="D194" s="264" t="s">
        <v>706</v>
      </c>
      <c r="E194" s="358" t="s">
        <v>49</v>
      </c>
      <c r="F194" s="357"/>
      <c r="G194" s="222"/>
      <c r="H194" s="118"/>
      <c r="I194" s="119"/>
      <c r="L194" s="89"/>
      <c r="M194" s="39" t="str">
        <f t="shared" si="2"/>
        <v>emanuel.jones@senate.ga.gov</v>
      </c>
      <c r="N194" s="89"/>
      <c r="O194" s="89"/>
      <c r="P194" s="89"/>
      <c r="Q194" s="89"/>
      <c r="R194" s="89"/>
    </row>
    <row r="195">
      <c r="A195" s="14" t="s">
        <v>286</v>
      </c>
      <c r="B195" s="263">
        <v>11.0</v>
      </c>
      <c r="C195" s="264" t="s">
        <v>4340</v>
      </c>
      <c r="D195" s="264" t="s">
        <v>1837</v>
      </c>
      <c r="E195" s="359" t="s">
        <v>53</v>
      </c>
      <c r="F195" s="357"/>
      <c r="G195" s="222"/>
      <c r="H195" s="118"/>
      <c r="I195" s="119"/>
      <c r="L195" s="89"/>
      <c r="M195" s="39" t="str">
        <f t="shared" si="2"/>
        <v>dean.burke@senate.ga.gov</v>
      </c>
      <c r="N195" s="89"/>
      <c r="O195" s="89"/>
      <c r="P195" s="89"/>
      <c r="Q195" s="89"/>
      <c r="R195" s="89"/>
    </row>
    <row r="196">
      <c r="A196" s="14" t="s">
        <v>286</v>
      </c>
      <c r="B196" s="263">
        <v>12.0</v>
      </c>
      <c r="C196" s="360" t="s">
        <v>1735</v>
      </c>
      <c r="D196" s="360" t="s">
        <v>3264</v>
      </c>
      <c r="E196" s="358" t="s">
        <v>49</v>
      </c>
      <c r="F196" s="357"/>
      <c r="G196" s="222"/>
      <c r="H196" s="118"/>
      <c r="I196" s="119"/>
      <c r="L196" s="89"/>
      <c r="M196" s="39" t="str">
        <f t="shared" si="2"/>
        <v>freddie.powell@senate.ga.gov</v>
      </c>
      <c r="N196" s="89"/>
      <c r="O196" s="89"/>
      <c r="P196" s="89"/>
      <c r="Q196" s="89"/>
      <c r="R196" s="89"/>
    </row>
    <row r="197">
      <c r="A197" s="14" t="s">
        <v>286</v>
      </c>
      <c r="B197" s="263">
        <v>13.0</v>
      </c>
      <c r="C197" s="264" t="s">
        <v>997</v>
      </c>
      <c r="D197" s="264" t="s">
        <v>619</v>
      </c>
      <c r="E197" s="359" t="s">
        <v>53</v>
      </c>
      <c r="F197" s="357"/>
      <c r="G197" s="222"/>
      <c r="H197" s="118"/>
      <c r="I197" s="119"/>
      <c r="L197" s="89"/>
      <c r="M197" s="39" t="str">
        <f t="shared" si="2"/>
        <v>greg.kirk@senate.ga.gov</v>
      </c>
      <c r="N197" s="89"/>
      <c r="O197" s="89"/>
      <c r="P197" s="89"/>
      <c r="Q197" s="89"/>
      <c r="R197" s="89"/>
    </row>
    <row r="198">
      <c r="A198" s="14" t="s">
        <v>286</v>
      </c>
      <c r="B198" s="263">
        <v>14.0</v>
      </c>
      <c r="C198" s="264" t="s">
        <v>1193</v>
      </c>
      <c r="D198" s="264" t="s">
        <v>59</v>
      </c>
      <c r="E198" s="359" t="s">
        <v>53</v>
      </c>
      <c r="F198" s="357"/>
      <c r="G198" s="222"/>
      <c r="H198" s="122"/>
      <c r="I198" s="123"/>
      <c r="L198" s="89"/>
      <c r="M198" s="39" t="str">
        <f t="shared" si="2"/>
        <v>bruce.thompson@senate.ga.gov</v>
      </c>
      <c r="N198" s="89"/>
      <c r="O198" s="89"/>
      <c r="P198" s="89"/>
      <c r="Q198" s="89"/>
      <c r="R198" s="89"/>
    </row>
    <row r="199">
      <c r="A199" s="14" t="s">
        <v>286</v>
      </c>
      <c r="B199" s="263">
        <v>15.0</v>
      </c>
      <c r="C199" s="264" t="s">
        <v>636</v>
      </c>
      <c r="D199" s="264" t="s">
        <v>205</v>
      </c>
      <c r="E199" s="358" t="s">
        <v>49</v>
      </c>
      <c r="F199" s="357"/>
      <c r="G199" s="222"/>
      <c r="H199" s="118"/>
      <c r="I199" s="119"/>
      <c r="L199" s="89"/>
      <c r="M199" s="39" t="str">
        <f t="shared" si="2"/>
        <v>ed.harbison@senate.ga.gov</v>
      </c>
      <c r="N199" s="89"/>
      <c r="O199" s="89"/>
      <c r="P199" s="89"/>
      <c r="Q199" s="89"/>
      <c r="R199" s="89"/>
    </row>
    <row r="200">
      <c r="A200" s="14" t="s">
        <v>286</v>
      </c>
      <c r="B200" s="263">
        <v>16.0</v>
      </c>
      <c r="C200" s="264" t="s">
        <v>4242</v>
      </c>
      <c r="D200" s="264" t="s">
        <v>4457</v>
      </c>
      <c r="E200" s="359" t="s">
        <v>53</v>
      </c>
      <c r="F200" s="357"/>
      <c r="G200" s="222"/>
      <c r="H200" s="122"/>
      <c r="I200" s="123"/>
      <c r="L200" s="89"/>
      <c r="M200" s="39" t="str">
        <f t="shared" si="2"/>
        <v>marty.harbin@senate.ga.gov</v>
      </c>
      <c r="N200" s="89"/>
      <c r="O200" s="89"/>
      <c r="P200" s="89"/>
      <c r="Q200" s="89"/>
      <c r="R200" s="89"/>
    </row>
    <row r="201">
      <c r="A201" s="14" t="s">
        <v>286</v>
      </c>
      <c r="B201" s="263">
        <v>17.0</v>
      </c>
      <c r="C201" s="264" t="s">
        <v>1331</v>
      </c>
      <c r="D201" s="264" t="s">
        <v>4470</v>
      </c>
      <c r="E201" s="359" t="s">
        <v>53</v>
      </c>
      <c r="F201" s="357"/>
      <c r="G201" s="222"/>
      <c r="H201" s="122"/>
      <c r="I201" s="123"/>
      <c r="L201" s="89"/>
      <c r="M201" s="39" t="str">
        <f t="shared" si="2"/>
        <v>brian.strickland@senate.ga.gov</v>
      </c>
      <c r="N201" s="89"/>
      <c r="O201" s="89"/>
      <c r="P201" s="89"/>
      <c r="Q201" s="89"/>
      <c r="R201" s="89"/>
    </row>
    <row r="202">
      <c r="A202" s="14" t="s">
        <v>286</v>
      </c>
      <c r="B202" s="263">
        <v>18.0</v>
      </c>
      <c r="C202" s="264" t="s">
        <v>278</v>
      </c>
      <c r="D202" s="264" t="s">
        <v>1791</v>
      </c>
      <c r="E202" s="359" t="s">
        <v>53</v>
      </c>
      <c r="F202" s="357" t="s">
        <v>4480</v>
      </c>
      <c r="G202" s="222"/>
      <c r="H202" s="118"/>
      <c r="I202" s="119"/>
      <c r="L202" s="89"/>
      <c r="M202" s="39" t="str">
        <f t="shared" si="2"/>
        <v>john.kennedy@senate.ga.gov</v>
      </c>
      <c r="N202" s="89"/>
      <c r="O202" s="89"/>
      <c r="P202" s="89"/>
      <c r="Q202" s="89"/>
      <c r="R202" s="89"/>
    </row>
    <row r="203">
      <c r="A203" s="14" t="s">
        <v>286</v>
      </c>
      <c r="B203" s="263">
        <v>19.0</v>
      </c>
      <c r="C203" s="264" t="s">
        <v>1288</v>
      </c>
      <c r="D203" s="264" t="s">
        <v>4490</v>
      </c>
      <c r="E203" s="359" t="s">
        <v>53</v>
      </c>
      <c r="F203" s="357"/>
      <c r="G203" s="222"/>
      <c r="H203" s="118"/>
      <c r="I203" s="119"/>
      <c r="L203" s="89"/>
      <c r="M203" s="39" t="str">
        <f t="shared" si="2"/>
        <v>blake.tillery@senate.ga.gov</v>
      </c>
      <c r="N203" s="89"/>
      <c r="O203" s="89"/>
      <c r="P203" s="89"/>
      <c r="Q203" s="89"/>
      <c r="R203" s="89"/>
    </row>
    <row r="204">
      <c r="A204" s="14" t="s">
        <v>286</v>
      </c>
      <c r="B204" s="263">
        <v>20.0</v>
      </c>
      <c r="C204" s="264" t="s">
        <v>839</v>
      </c>
      <c r="D204" s="264" t="s">
        <v>1275</v>
      </c>
      <c r="E204" s="359" t="s">
        <v>53</v>
      </c>
      <c r="F204" s="357"/>
      <c r="G204" s="222"/>
      <c r="H204" s="118"/>
      <c r="I204" s="119"/>
      <c r="L204" s="89"/>
      <c r="M204" s="39" t="str">
        <f t="shared" si="2"/>
        <v>larry.walker@senate.ga.gov</v>
      </c>
      <c r="N204" s="89"/>
      <c r="O204" s="89"/>
      <c r="P204" s="89"/>
      <c r="Q204" s="89"/>
      <c r="R204" s="89"/>
    </row>
    <row r="205">
      <c r="A205" s="14" t="s">
        <v>286</v>
      </c>
      <c r="B205" s="263">
        <v>21.0</v>
      </c>
      <c r="C205" s="264" t="s">
        <v>2500</v>
      </c>
      <c r="D205" s="264" t="s">
        <v>4509</v>
      </c>
      <c r="E205" s="359" t="s">
        <v>53</v>
      </c>
      <c r="F205" s="357"/>
      <c r="G205" s="222"/>
      <c r="H205" s="122"/>
      <c r="I205" s="123"/>
      <c r="L205" s="89"/>
      <c r="M205" s="39" t="str">
        <f t="shared" si="2"/>
        <v>brandon.beach@senate.ga.gov</v>
      </c>
      <c r="N205" s="89"/>
      <c r="O205" s="89"/>
      <c r="P205" s="89"/>
      <c r="Q205" s="89"/>
      <c r="R205" s="89"/>
    </row>
    <row r="206">
      <c r="A206" s="14" t="s">
        <v>286</v>
      </c>
      <c r="B206" s="263">
        <v>22.0</v>
      </c>
      <c r="C206" s="264" t="s">
        <v>4516</v>
      </c>
      <c r="D206" s="264" t="s">
        <v>706</v>
      </c>
      <c r="E206" s="358" t="s">
        <v>49</v>
      </c>
      <c r="F206" s="357" t="s">
        <v>2004</v>
      </c>
      <c r="G206" s="222"/>
      <c r="H206" s="118"/>
      <c r="I206" s="119"/>
      <c r="L206" s="89"/>
      <c r="M206" s="39" t="str">
        <f t="shared" si="2"/>
        <v>harold.jones@senate.ga.gov</v>
      </c>
      <c r="N206" s="89"/>
      <c r="O206" s="89"/>
      <c r="P206" s="89"/>
      <c r="Q206" s="89"/>
      <c r="R206" s="89"/>
    </row>
    <row r="207">
      <c r="A207" s="14" t="s">
        <v>286</v>
      </c>
      <c r="B207" s="263">
        <v>23.0</v>
      </c>
      <c r="C207" s="264" t="s">
        <v>386</v>
      </c>
      <c r="D207" s="264" t="s">
        <v>1547</v>
      </c>
      <c r="E207" s="359" t="s">
        <v>53</v>
      </c>
      <c r="F207" s="357"/>
      <c r="G207" s="222"/>
      <c r="H207" s="118"/>
      <c r="I207" s="119"/>
      <c r="L207" s="89"/>
      <c r="M207" s="39" t="str">
        <f t="shared" si="2"/>
        <v>jesse.stone@senate.ga.gov</v>
      </c>
      <c r="N207" s="89"/>
      <c r="O207" s="89"/>
      <c r="P207" s="89"/>
      <c r="Q207" s="89"/>
      <c r="R207" s="89"/>
    </row>
    <row r="208">
      <c r="A208" s="14" t="s">
        <v>286</v>
      </c>
      <c r="B208" s="263">
        <v>24.0</v>
      </c>
      <c r="C208" s="264" t="s">
        <v>629</v>
      </c>
      <c r="D208" s="264" t="s">
        <v>3961</v>
      </c>
      <c r="E208" s="359" t="s">
        <v>53</v>
      </c>
      <c r="F208" s="357"/>
      <c r="G208" s="222"/>
      <c r="H208" s="118"/>
      <c r="I208" s="119"/>
      <c r="L208" s="89"/>
      <c r="M208" s="39" t="str">
        <f t="shared" si="2"/>
        <v>lee.anderson@senate.ga.gov</v>
      </c>
      <c r="N208" s="89"/>
      <c r="O208" s="89"/>
      <c r="P208" s="89"/>
      <c r="Q208" s="89"/>
      <c r="R208" s="89"/>
    </row>
    <row r="209">
      <c r="A209" s="14" t="s">
        <v>286</v>
      </c>
      <c r="B209" s="263">
        <v>25.0</v>
      </c>
      <c r="C209" s="264" t="s">
        <v>4541</v>
      </c>
      <c r="D209" s="264" t="s">
        <v>706</v>
      </c>
      <c r="E209" s="359" t="s">
        <v>53</v>
      </c>
      <c r="F209" s="357"/>
      <c r="G209" s="222"/>
      <c r="H209" s="118"/>
      <c r="I209" s="119"/>
      <c r="L209" s="89"/>
      <c r="M209" s="39" t="str">
        <f t="shared" si="2"/>
        <v>burt.jones@senate.ga.gov</v>
      </c>
      <c r="N209" s="89"/>
      <c r="O209" s="89"/>
      <c r="P209" s="89"/>
      <c r="Q209" s="89"/>
      <c r="R209" s="89"/>
    </row>
    <row r="210">
      <c r="A210" s="14" t="s">
        <v>286</v>
      </c>
      <c r="B210" s="263">
        <v>26.0</v>
      </c>
      <c r="C210" s="264" t="s">
        <v>108</v>
      </c>
      <c r="D210" s="264" t="s">
        <v>4549</v>
      </c>
      <c r="E210" s="358" t="s">
        <v>49</v>
      </c>
      <c r="F210" s="357"/>
      <c r="G210" s="222"/>
      <c r="H210" s="118"/>
      <c r="I210" s="119"/>
      <c r="L210" s="89"/>
      <c r="M210" s="39" t="str">
        <f t="shared" si="2"/>
        <v>david.lucas@senate.ga.gov</v>
      </c>
      <c r="N210" s="89"/>
      <c r="O210" s="89"/>
      <c r="P210" s="89"/>
      <c r="Q210" s="89"/>
      <c r="R210" s="89"/>
    </row>
    <row r="211">
      <c r="A211" s="14" t="s">
        <v>286</v>
      </c>
      <c r="B211" s="263">
        <v>27.0</v>
      </c>
      <c r="C211" s="264" t="s">
        <v>997</v>
      </c>
      <c r="D211" s="264" t="s">
        <v>4554</v>
      </c>
      <c r="E211" s="359" t="s">
        <v>53</v>
      </c>
      <c r="F211" s="357"/>
      <c r="G211" s="222"/>
      <c r="H211" s="122"/>
      <c r="I211" s="123"/>
      <c r="L211" s="89"/>
      <c r="M211" s="39" t="str">
        <f t="shared" si="2"/>
        <v>greg.dolezal@senate.ga.gov</v>
      </c>
      <c r="N211" s="89"/>
      <c r="O211" s="89"/>
      <c r="P211" s="89"/>
      <c r="Q211" s="89"/>
      <c r="R211" s="89"/>
    </row>
    <row r="212">
      <c r="A212" s="14" t="s">
        <v>286</v>
      </c>
      <c r="B212" s="263">
        <v>28.0</v>
      </c>
      <c r="C212" s="264" t="s">
        <v>163</v>
      </c>
      <c r="D212" s="264" t="s">
        <v>4562</v>
      </c>
      <c r="E212" s="359" t="s">
        <v>53</v>
      </c>
      <c r="F212" s="357"/>
      <c r="G212" s="222"/>
      <c r="H212" s="118"/>
      <c r="I212" s="119"/>
      <c r="L212" s="89"/>
      <c r="M212" s="39" t="str">
        <f t="shared" si="2"/>
        <v>matt.brass@senate.ga.gov</v>
      </c>
      <c r="N212" s="89"/>
      <c r="O212" s="89"/>
      <c r="P212" s="89"/>
      <c r="Q212" s="89"/>
      <c r="R212" s="89"/>
    </row>
    <row r="213">
      <c r="A213" s="14" t="s">
        <v>286</v>
      </c>
      <c r="B213" s="263">
        <v>29.0</v>
      </c>
      <c r="C213" s="264" t="s">
        <v>412</v>
      </c>
      <c r="D213" s="264" t="s">
        <v>127</v>
      </c>
      <c r="E213" s="359" t="s">
        <v>53</v>
      </c>
      <c r="F213" s="357"/>
      <c r="G213" s="222"/>
      <c r="H213" s="122"/>
      <c r="I213" s="123"/>
      <c r="L213" s="89"/>
      <c r="M213" s="39" t="str">
        <f t="shared" si="2"/>
        <v>randy.robertson@senate.ga.gov</v>
      </c>
      <c r="N213" s="89"/>
      <c r="O213" s="89"/>
      <c r="P213" s="89"/>
      <c r="Q213" s="89"/>
      <c r="R213" s="89"/>
    </row>
    <row r="214">
      <c r="A214" s="14" t="s">
        <v>286</v>
      </c>
      <c r="B214" s="263">
        <v>30.0</v>
      </c>
      <c r="C214" s="264" t="s">
        <v>157</v>
      </c>
      <c r="D214" s="264" t="s">
        <v>4575</v>
      </c>
      <c r="E214" s="359" t="s">
        <v>53</v>
      </c>
      <c r="F214" s="364" t="s">
        <v>4576</v>
      </c>
      <c r="G214" s="222"/>
      <c r="H214" s="118"/>
      <c r="I214" s="119"/>
      <c r="L214" s="89"/>
      <c r="M214" s="39" t="str">
        <f t="shared" si="2"/>
        <v>mike.dugan@senate.ga.gov</v>
      </c>
      <c r="N214" s="89"/>
      <c r="O214" s="89"/>
      <c r="P214" s="89"/>
      <c r="Q214" s="89"/>
      <c r="R214" s="89"/>
    </row>
    <row r="215">
      <c r="A215" s="14" t="s">
        <v>286</v>
      </c>
      <c r="B215" s="263">
        <v>31.0</v>
      </c>
      <c r="C215" s="264" t="s">
        <v>325</v>
      </c>
      <c r="D215" s="264" t="s">
        <v>1439</v>
      </c>
      <c r="E215" s="359" t="s">
        <v>53</v>
      </c>
      <c r="F215" s="357"/>
      <c r="G215" s="222"/>
      <c r="H215" s="118"/>
      <c r="I215" s="119"/>
      <c r="L215" s="89"/>
      <c r="M215" s="39" t="str">
        <f t="shared" si="2"/>
        <v>bill.heath@senate.ga.gov</v>
      </c>
      <c r="N215" s="89"/>
      <c r="O215" s="89"/>
      <c r="P215" s="89"/>
      <c r="Q215" s="89"/>
      <c r="R215" s="89"/>
    </row>
    <row r="216">
      <c r="A216" s="14" t="s">
        <v>286</v>
      </c>
      <c r="B216" s="263">
        <v>32.0</v>
      </c>
      <c r="C216" s="264" t="s">
        <v>1125</v>
      </c>
      <c r="D216" s="264" t="s">
        <v>1376</v>
      </c>
      <c r="E216" s="359" t="s">
        <v>53</v>
      </c>
      <c r="F216" s="357"/>
      <c r="G216" s="222"/>
      <c r="H216" s="122"/>
      <c r="I216" s="123"/>
      <c r="L216" s="89"/>
      <c r="M216" s="39" t="str">
        <f t="shared" si="2"/>
        <v>kay.kirkpatrick@senate.ga.gov</v>
      </c>
      <c r="N216" s="89"/>
      <c r="O216" s="89"/>
      <c r="P216" s="89"/>
      <c r="Q216" s="89"/>
      <c r="R216" s="89"/>
    </row>
    <row r="217">
      <c r="A217" s="14" t="s">
        <v>286</v>
      </c>
      <c r="B217" s="263">
        <v>33.0</v>
      </c>
      <c r="C217" s="264" t="s">
        <v>2490</v>
      </c>
      <c r="D217" s="264" t="s">
        <v>4595</v>
      </c>
      <c r="E217" s="358" t="s">
        <v>49</v>
      </c>
      <c r="F217" s="357"/>
      <c r="G217" s="222"/>
      <c r="H217" s="118"/>
      <c r="I217" s="119"/>
      <c r="L217" s="89"/>
      <c r="M217" s="39" t="str">
        <f t="shared" si="2"/>
        <v>michael.docrhett@senate.ga.gov</v>
      </c>
      <c r="N217" s="89"/>
      <c r="O217" s="89"/>
      <c r="P217" s="89"/>
      <c r="Q217" s="89"/>
      <c r="R217" s="89"/>
    </row>
    <row r="218">
      <c r="A218" s="14" t="s">
        <v>286</v>
      </c>
      <c r="B218" s="263">
        <v>34.0</v>
      </c>
      <c r="C218" s="264" t="s">
        <v>3558</v>
      </c>
      <c r="D218" s="264" t="s">
        <v>4606</v>
      </c>
      <c r="E218" s="358" t="s">
        <v>49</v>
      </c>
      <c r="F218" s="357"/>
      <c r="G218" s="222"/>
      <c r="H218" s="122"/>
      <c r="I218" s="123"/>
      <c r="L218" s="89"/>
      <c r="M218" s="39" t="str">
        <f t="shared" si="2"/>
        <v>valencia.seay@senate.ga.gov</v>
      </c>
      <c r="N218" s="89"/>
      <c r="O218" s="89"/>
      <c r="P218" s="89"/>
      <c r="Q218" s="89"/>
      <c r="R218" s="89"/>
    </row>
    <row r="219">
      <c r="A219" s="14" t="s">
        <v>286</v>
      </c>
      <c r="B219" s="263">
        <v>35.0</v>
      </c>
      <c r="C219" s="264" t="s">
        <v>4613</v>
      </c>
      <c r="D219" s="264" t="s">
        <v>930</v>
      </c>
      <c r="E219" s="358" t="s">
        <v>49</v>
      </c>
      <c r="F219" s="357"/>
      <c r="G219" s="222"/>
      <c r="H219" s="118"/>
      <c r="I219" s="119"/>
      <c r="L219" s="89"/>
      <c r="M219" s="39" t="str">
        <f t="shared" si="2"/>
        <v>donzella.james@senate.ga.gov</v>
      </c>
      <c r="N219" s="89"/>
      <c r="O219" s="89"/>
      <c r="P219" s="89"/>
      <c r="Q219" s="89"/>
      <c r="R219" s="89"/>
    </row>
    <row r="220">
      <c r="A220" s="14" t="s">
        <v>286</v>
      </c>
      <c r="B220" s="263">
        <v>36.0</v>
      </c>
      <c r="C220" s="264" t="s">
        <v>4621</v>
      </c>
      <c r="D220" s="264" t="s">
        <v>4625</v>
      </c>
      <c r="E220" s="358" t="s">
        <v>49</v>
      </c>
      <c r="F220" s="357"/>
      <c r="G220" s="222"/>
      <c r="H220" s="118"/>
      <c r="I220" s="119"/>
      <c r="L220" s="89"/>
      <c r="M220" s="39" t="str">
        <f t="shared" si="2"/>
        <v>nan.orrock@senate.ga.gov</v>
      </c>
      <c r="N220" s="89"/>
      <c r="O220" s="89"/>
      <c r="P220" s="89"/>
      <c r="Q220" s="89"/>
      <c r="R220" s="89"/>
    </row>
    <row r="221">
      <c r="A221" s="14" t="s">
        <v>286</v>
      </c>
      <c r="B221" s="263">
        <v>37.0</v>
      </c>
      <c r="C221" s="264" t="s">
        <v>4630</v>
      </c>
      <c r="D221" s="264" t="s">
        <v>4637</v>
      </c>
      <c r="E221" s="359" t="s">
        <v>53</v>
      </c>
      <c r="F221" s="357"/>
      <c r="G221" s="222"/>
      <c r="H221" s="122"/>
      <c r="I221" s="123"/>
      <c r="L221" s="89"/>
      <c r="M221" s="39" t="str">
        <f t="shared" si="2"/>
        <v>lindsey.tippins@senate.ga.gov</v>
      </c>
      <c r="N221" s="89"/>
      <c r="O221" s="89"/>
      <c r="P221" s="89"/>
      <c r="Q221" s="89"/>
      <c r="R221" s="89"/>
    </row>
    <row r="222">
      <c r="A222" s="14" t="s">
        <v>286</v>
      </c>
      <c r="B222" s="263">
        <v>38.0</v>
      </c>
      <c r="C222" s="264" t="s">
        <v>4643</v>
      </c>
      <c r="D222" s="264" t="s">
        <v>2435</v>
      </c>
      <c r="E222" s="358" t="s">
        <v>49</v>
      </c>
      <c r="F222" s="357"/>
      <c r="G222" s="222"/>
      <c r="H222" s="122"/>
      <c r="I222" s="123"/>
      <c r="L222" s="89"/>
      <c r="M222" s="39" t="str">
        <f t="shared" si="2"/>
        <v>horacena.tate@senate.ga.gov</v>
      </c>
      <c r="N222" s="89"/>
      <c r="O222" s="89"/>
      <c r="P222" s="89"/>
      <c r="Q222" s="89"/>
      <c r="R222" s="89"/>
    </row>
    <row r="223">
      <c r="A223" s="14" t="s">
        <v>286</v>
      </c>
      <c r="B223" s="263">
        <v>39.0</v>
      </c>
      <c r="C223" s="264" t="s">
        <v>4653</v>
      </c>
      <c r="D223" s="264" t="s">
        <v>793</v>
      </c>
      <c r="E223" s="358" t="s">
        <v>49</v>
      </c>
      <c r="F223" s="357"/>
      <c r="G223" s="222"/>
      <c r="H223" s="118"/>
      <c r="I223" s="119"/>
      <c r="L223" s="89"/>
      <c r="M223" s="39" t="str">
        <f t="shared" si="2"/>
        <v>nikema.williams@senate.ga.gov</v>
      </c>
      <c r="N223" s="89"/>
      <c r="O223" s="89"/>
      <c r="P223" s="89"/>
      <c r="Q223" s="89"/>
      <c r="R223" s="89"/>
    </row>
    <row r="224">
      <c r="A224" s="14" t="s">
        <v>286</v>
      </c>
      <c r="B224" s="263">
        <v>40.0</v>
      </c>
      <c r="C224" s="264" t="s">
        <v>1172</v>
      </c>
      <c r="D224" s="264" t="s">
        <v>3283</v>
      </c>
      <c r="E224" s="358" t="s">
        <v>49</v>
      </c>
      <c r="F224" s="357"/>
      <c r="G224" s="222"/>
      <c r="H224" s="122"/>
      <c r="I224" s="123"/>
      <c r="L224" s="89"/>
      <c r="M224" s="39" t="str">
        <f t="shared" si="2"/>
        <v>sally.harrell@senate.ga.gov</v>
      </c>
      <c r="N224" s="89"/>
      <c r="O224" s="89"/>
      <c r="P224" s="89"/>
      <c r="Q224" s="89"/>
      <c r="R224" s="89"/>
    </row>
    <row r="225">
      <c r="A225" s="14" t="s">
        <v>286</v>
      </c>
      <c r="B225" s="263">
        <v>41.0</v>
      </c>
      <c r="C225" s="264" t="s">
        <v>55</v>
      </c>
      <c r="D225" s="264" t="s">
        <v>3645</v>
      </c>
      <c r="E225" s="358" t="s">
        <v>49</v>
      </c>
      <c r="F225" s="357" t="s">
        <v>498</v>
      </c>
      <c r="G225" s="222"/>
      <c r="H225" s="118"/>
      <c r="I225" s="119"/>
      <c r="L225" s="89"/>
      <c r="M225" s="39" t="str">
        <f t="shared" si="2"/>
        <v>steve.henson@senate.ga.gov</v>
      </c>
      <c r="N225" s="89"/>
      <c r="O225" s="89"/>
      <c r="P225" s="89"/>
      <c r="Q225" s="89"/>
      <c r="R225" s="89"/>
    </row>
    <row r="226">
      <c r="A226" s="14" t="s">
        <v>286</v>
      </c>
      <c r="B226" s="263">
        <v>42.0</v>
      </c>
      <c r="C226" s="264" t="s">
        <v>4683</v>
      </c>
      <c r="D226" s="264" t="s">
        <v>4686</v>
      </c>
      <c r="E226" s="358" t="s">
        <v>49</v>
      </c>
      <c r="F226" s="357"/>
      <c r="G226" s="222"/>
      <c r="H226" s="118"/>
      <c r="I226" s="119"/>
      <c r="L226" s="89"/>
      <c r="M226" s="39" t="str">
        <f t="shared" si="2"/>
        <v>elena.parent@senate.ga.gov</v>
      </c>
      <c r="N226" s="89"/>
      <c r="O226" s="89"/>
      <c r="P226" s="89"/>
      <c r="Q226" s="89"/>
      <c r="R226" s="89"/>
    </row>
    <row r="227">
      <c r="A227" s="14" t="s">
        <v>286</v>
      </c>
      <c r="B227" s="263">
        <v>43.0</v>
      </c>
      <c r="C227" s="264" t="s">
        <v>4695</v>
      </c>
      <c r="D227" s="264" t="s">
        <v>3961</v>
      </c>
      <c r="E227" s="358" t="s">
        <v>49</v>
      </c>
      <c r="F227" s="357"/>
      <c r="G227" s="222"/>
      <c r="H227" s="118"/>
      <c r="I227" s="119"/>
      <c r="L227" s="89"/>
      <c r="M227" s="39" t="str">
        <f t="shared" si="2"/>
        <v>tonya.anderson@senate.ga.gov</v>
      </c>
      <c r="N227" s="89"/>
      <c r="O227" s="89"/>
      <c r="P227" s="89"/>
      <c r="Q227" s="89"/>
      <c r="R227" s="89"/>
    </row>
    <row r="228">
      <c r="A228" s="14" t="s">
        <v>286</v>
      </c>
      <c r="B228" s="263">
        <v>44.0</v>
      </c>
      <c r="C228" s="264" t="s">
        <v>850</v>
      </c>
      <c r="D228" s="264" t="s">
        <v>4714</v>
      </c>
      <c r="E228" s="358" t="s">
        <v>49</v>
      </c>
      <c r="F228" s="357"/>
      <c r="G228" s="222"/>
      <c r="H228" s="118"/>
      <c r="I228" s="119"/>
      <c r="L228" s="89"/>
      <c r="M228" s="39" t="str">
        <f t="shared" si="2"/>
        <v>gail.davenport@senate.ga.gov</v>
      </c>
      <c r="N228" s="89"/>
      <c r="O228" s="89"/>
      <c r="P228" s="89"/>
      <c r="Q228" s="89"/>
      <c r="R228" s="89"/>
    </row>
    <row r="229">
      <c r="A229" s="14" t="s">
        <v>286</v>
      </c>
      <c r="B229" s="263">
        <v>45.0</v>
      </c>
      <c r="C229" s="264" t="s">
        <v>4716</v>
      </c>
      <c r="D229" s="264" t="s">
        <v>4718</v>
      </c>
      <c r="E229" s="359" t="s">
        <v>53</v>
      </c>
      <c r="F229" s="357"/>
      <c r="G229" s="222"/>
      <c r="H229" s="122"/>
      <c r="I229" s="123"/>
      <c r="L229" s="89"/>
      <c r="M229" s="39" t="str">
        <f t="shared" si="2"/>
        <v>renee.unterman@senate.ga.gov</v>
      </c>
      <c r="N229" s="89"/>
      <c r="O229" s="89"/>
      <c r="P229" s="89"/>
      <c r="Q229" s="89"/>
      <c r="R229" s="89"/>
    </row>
    <row r="230">
      <c r="A230" s="14" t="s">
        <v>286</v>
      </c>
      <c r="B230" s="263">
        <v>46.0</v>
      </c>
      <c r="C230" s="264" t="s">
        <v>325</v>
      </c>
      <c r="D230" s="264" t="s">
        <v>4720</v>
      </c>
      <c r="E230" s="359" t="s">
        <v>53</v>
      </c>
      <c r="F230" s="357"/>
      <c r="G230" s="222"/>
      <c r="H230" s="122"/>
      <c r="I230" s="123"/>
      <c r="L230" s="89"/>
      <c r="M230" s="39" t="str">
        <f t="shared" si="2"/>
        <v>bill.cowsert@senate.ga.gov</v>
      </c>
      <c r="N230" s="89"/>
      <c r="O230" s="89"/>
      <c r="P230" s="89"/>
      <c r="Q230" s="89"/>
      <c r="R230" s="89"/>
    </row>
    <row r="231">
      <c r="A231" s="14" t="s">
        <v>286</v>
      </c>
      <c r="B231" s="263">
        <v>47.0</v>
      </c>
      <c r="C231" s="264" t="s">
        <v>1000</v>
      </c>
      <c r="D231" s="264" t="s">
        <v>4722</v>
      </c>
      <c r="E231" s="359" t="s">
        <v>53</v>
      </c>
      <c r="F231" s="357"/>
      <c r="G231" s="222"/>
      <c r="H231" s="122"/>
      <c r="I231" s="123"/>
      <c r="L231" s="89"/>
      <c r="M231" s="39" t="str">
        <f t="shared" si="2"/>
        <v>frank.ginn@senate.ga.gov</v>
      </c>
      <c r="N231" s="89"/>
      <c r="O231" s="89"/>
      <c r="P231" s="89"/>
      <c r="Q231" s="89"/>
      <c r="R231" s="89"/>
    </row>
    <row r="232">
      <c r="A232" s="14" t="s">
        <v>286</v>
      </c>
      <c r="B232" s="263">
        <v>48.0</v>
      </c>
      <c r="C232" s="264" t="s">
        <v>4726</v>
      </c>
      <c r="D232" s="264" t="s">
        <v>4727</v>
      </c>
      <c r="E232" s="358" t="s">
        <v>49</v>
      </c>
      <c r="F232" s="357"/>
      <c r="G232" s="222"/>
      <c r="H232" s="122"/>
      <c r="I232" s="123"/>
      <c r="L232" s="89"/>
      <c r="M232" s="39" t="str">
        <f t="shared" si="2"/>
        <v>zahra.karinshak@senate.ga.gov</v>
      </c>
      <c r="N232" s="89"/>
      <c r="O232" s="89"/>
      <c r="P232" s="89"/>
      <c r="Q232" s="89"/>
      <c r="R232" s="89"/>
    </row>
    <row r="233">
      <c r="A233" s="14" t="s">
        <v>286</v>
      </c>
      <c r="B233" s="263">
        <v>49.0</v>
      </c>
      <c r="C233" s="264" t="s">
        <v>4088</v>
      </c>
      <c r="D233" s="264" t="s">
        <v>1501</v>
      </c>
      <c r="E233" s="359" t="s">
        <v>53</v>
      </c>
      <c r="F233" s="357" t="s">
        <v>903</v>
      </c>
      <c r="G233" s="222"/>
      <c r="H233" s="118"/>
      <c r="I233" s="119"/>
      <c r="L233" s="89"/>
      <c r="M233" s="39" t="str">
        <f t="shared" si="2"/>
        <v>butch.miller@senate.ga.gov</v>
      </c>
      <c r="N233" s="89"/>
      <c r="O233" s="89"/>
      <c r="P233" s="89"/>
      <c r="Q233" s="89"/>
      <c r="R233" s="89"/>
    </row>
    <row r="234">
      <c r="A234" s="14" t="s">
        <v>286</v>
      </c>
      <c r="B234" s="263">
        <v>50.0</v>
      </c>
      <c r="C234" s="264" t="s">
        <v>278</v>
      </c>
      <c r="D234" s="264" t="s">
        <v>4732</v>
      </c>
      <c r="E234" s="359" t="s">
        <v>53</v>
      </c>
      <c r="F234" s="357"/>
      <c r="G234" s="222"/>
      <c r="H234" s="118"/>
      <c r="I234" s="119"/>
      <c r="L234" s="89"/>
      <c r="M234" s="39" t="str">
        <f t="shared" si="2"/>
        <v>john.wilkinson@senate.ga.gov</v>
      </c>
      <c r="N234" s="89"/>
      <c r="O234" s="89"/>
      <c r="P234" s="89"/>
      <c r="Q234" s="89"/>
      <c r="R234" s="89"/>
    </row>
    <row r="235">
      <c r="A235" s="14" t="s">
        <v>286</v>
      </c>
      <c r="B235" s="263">
        <v>51.0</v>
      </c>
      <c r="C235" s="264" t="s">
        <v>55</v>
      </c>
      <c r="D235" s="264" t="s">
        <v>4734</v>
      </c>
      <c r="E235" s="359" t="s">
        <v>53</v>
      </c>
      <c r="F235" s="357" t="s">
        <v>1188</v>
      </c>
      <c r="G235" s="222"/>
      <c r="H235" s="118"/>
      <c r="I235" s="119"/>
      <c r="L235" s="89"/>
      <c r="M235" s="39" t="str">
        <f t="shared" si="2"/>
        <v>steve.gooch@senate.ga.gov</v>
      </c>
      <c r="N235" s="89"/>
      <c r="O235" s="89"/>
      <c r="P235" s="89"/>
      <c r="Q235" s="89"/>
      <c r="R235" s="89"/>
    </row>
    <row r="236">
      <c r="A236" s="14" t="s">
        <v>286</v>
      </c>
      <c r="B236" s="263">
        <v>52.0</v>
      </c>
      <c r="C236" s="264" t="s">
        <v>177</v>
      </c>
      <c r="D236" s="264" t="s">
        <v>4736</v>
      </c>
      <c r="E236" s="359" t="s">
        <v>53</v>
      </c>
      <c r="F236" s="357"/>
      <c r="G236" s="222"/>
      <c r="H236" s="122"/>
      <c r="I236" s="123"/>
      <c r="L236" s="89"/>
      <c r="M236" s="39" t="str">
        <f t="shared" si="2"/>
        <v>chuck.hufstetler@senate.ga.gov</v>
      </c>
      <c r="N236" s="89"/>
      <c r="O236" s="89"/>
      <c r="P236" s="89"/>
      <c r="Q236" s="89"/>
      <c r="R236" s="89"/>
    </row>
    <row r="237">
      <c r="A237" s="14" t="s">
        <v>286</v>
      </c>
      <c r="B237" s="263">
        <v>53.0</v>
      </c>
      <c r="C237" s="264" t="s">
        <v>683</v>
      </c>
      <c r="D237" s="264" t="s">
        <v>4740</v>
      </c>
      <c r="E237" s="359" t="s">
        <v>53</v>
      </c>
      <c r="F237" s="357"/>
      <c r="G237" s="222"/>
      <c r="H237" s="118"/>
      <c r="I237" s="119"/>
      <c r="L237" s="89"/>
      <c r="M237" s="39" t="str">
        <f t="shared" si="2"/>
        <v>jeff.mullis@senate.ga.gov</v>
      </c>
      <c r="N237" s="89"/>
      <c r="O237" s="89"/>
      <c r="P237" s="89"/>
      <c r="Q237" s="89"/>
      <c r="R237" s="89"/>
    </row>
    <row r="238">
      <c r="A238" s="14" t="s">
        <v>286</v>
      </c>
      <c r="B238" s="263">
        <v>54.0</v>
      </c>
      <c r="C238" s="264" t="s">
        <v>177</v>
      </c>
      <c r="D238" s="264" t="s">
        <v>973</v>
      </c>
      <c r="E238" s="359" t="s">
        <v>53</v>
      </c>
      <c r="F238" s="357"/>
      <c r="G238" s="222"/>
      <c r="H238" s="122"/>
      <c r="I238" s="123"/>
      <c r="L238" s="89"/>
      <c r="M238" s="39" t="str">
        <f t="shared" si="2"/>
        <v>chuck.payne@senate.ga.gov</v>
      </c>
      <c r="N238" s="89"/>
      <c r="O238" s="89"/>
      <c r="P238" s="89"/>
      <c r="Q238" s="89"/>
      <c r="R238" s="89"/>
    </row>
    <row r="239">
      <c r="A239" s="14" t="s">
        <v>286</v>
      </c>
      <c r="B239" s="263">
        <v>55.0</v>
      </c>
      <c r="C239" s="264" t="s">
        <v>1980</v>
      </c>
      <c r="D239" s="264" t="s">
        <v>1102</v>
      </c>
      <c r="E239" s="358" t="s">
        <v>49</v>
      </c>
      <c r="F239" s="357" t="s">
        <v>4744</v>
      </c>
      <c r="G239" s="222"/>
      <c r="H239" s="122"/>
      <c r="I239" s="123"/>
      <c r="L239" s="89"/>
      <c r="M239" s="39" t="str">
        <f t="shared" si="2"/>
        <v>gloria.butler@senate.ga.gov</v>
      </c>
      <c r="N239" s="89"/>
      <c r="O239" s="89"/>
      <c r="P239" s="89"/>
      <c r="Q239" s="89"/>
      <c r="R239" s="89"/>
    </row>
    <row r="240">
      <c r="A240" s="14" t="s">
        <v>286</v>
      </c>
      <c r="B240" s="263">
        <v>56.0</v>
      </c>
      <c r="C240" s="264" t="s">
        <v>278</v>
      </c>
      <c r="D240" s="264" t="s">
        <v>4748</v>
      </c>
      <c r="E240" s="359" t="s">
        <v>53</v>
      </c>
      <c r="F240" s="357"/>
      <c r="G240" s="222"/>
      <c r="H240" s="122"/>
      <c r="I240" s="123"/>
      <c r="L240" s="89"/>
      <c r="M240" s="39" t="str">
        <f t="shared" si="2"/>
        <v>john.albers@senate.ga.gov</v>
      </c>
      <c r="N240" s="89"/>
      <c r="O240" s="89"/>
      <c r="P240" s="89"/>
      <c r="Q240" s="89"/>
      <c r="R240" s="89"/>
    </row>
    <row r="241">
      <c r="A241" s="70"/>
      <c r="B241" s="370"/>
      <c r="C241" s="371"/>
      <c r="D241" s="371"/>
      <c r="E241" s="372"/>
      <c r="F241" s="128"/>
      <c r="G241" s="70"/>
      <c r="H241" s="70"/>
      <c r="I241" s="70"/>
      <c r="J241" s="70"/>
      <c r="K241" s="70"/>
      <c r="L241" s="70"/>
      <c r="M241" s="70"/>
      <c r="N241" s="70"/>
      <c r="O241" s="70"/>
      <c r="P241" s="70"/>
      <c r="Q241" s="70"/>
      <c r="R241" s="70"/>
      <c r="S241" s="70"/>
      <c r="T241" s="70"/>
      <c r="U241" s="70"/>
      <c r="V241" s="70"/>
      <c r="W241" s="70"/>
      <c r="X241" s="70"/>
      <c r="Y241" s="70"/>
      <c r="Z241" s="70"/>
      <c r="AA241" s="70"/>
      <c r="AB241" s="70"/>
      <c r="AC241" s="70"/>
      <c r="AD241" s="70"/>
      <c r="AE241" s="70"/>
      <c r="AF241" s="70"/>
      <c r="AG241" s="70"/>
      <c r="AH241" s="70"/>
      <c r="AI241" s="70"/>
      <c r="AJ241" s="70"/>
    </row>
    <row r="242">
      <c r="A242" s="14" t="s">
        <v>421</v>
      </c>
      <c r="B242" s="373"/>
      <c r="C242" s="374" t="s">
        <v>1331</v>
      </c>
      <c r="D242" s="374" t="s">
        <v>4751</v>
      </c>
      <c r="E242" s="304" t="s">
        <v>53</v>
      </c>
      <c r="F242" s="140"/>
      <c r="L242" s="89"/>
      <c r="M242" s="89"/>
      <c r="N242" s="89"/>
      <c r="O242" s="89"/>
      <c r="P242" s="89"/>
      <c r="Q242" s="89"/>
      <c r="R242" s="89"/>
    </row>
    <row r="243">
      <c r="A243" s="70"/>
      <c r="B243" s="370"/>
      <c r="C243" s="371"/>
      <c r="D243" s="371"/>
      <c r="E243" s="372"/>
      <c r="F243" s="128"/>
      <c r="G243" s="70"/>
      <c r="H243" s="70"/>
      <c r="I243" s="70"/>
      <c r="J243" s="70"/>
      <c r="K243" s="70"/>
      <c r="L243" s="70"/>
      <c r="M243" s="70"/>
      <c r="N243" s="70"/>
      <c r="O243" s="70"/>
      <c r="P243" s="70"/>
      <c r="Q243" s="70"/>
      <c r="R243" s="70"/>
      <c r="S243" s="70"/>
      <c r="T243" s="70"/>
      <c r="U243" s="70"/>
      <c r="V243" s="70"/>
      <c r="W243" s="70"/>
      <c r="X243" s="70"/>
      <c r="Y243" s="70"/>
      <c r="Z243" s="70"/>
      <c r="AA243" s="70"/>
      <c r="AB243" s="70"/>
      <c r="AC243" s="70"/>
      <c r="AD243" s="70"/>
      <c r="AE243" s="70"/>
      <c r="AF243" s="70"/>
      <c r="AG243" s="70"/>
      <c r="AH243" s="70"/>
      <c r="AI243" s="70"/>
      <c r="AJ243" s="70"/>
    </row>
    <row r="244">
      <c r="A244" s="14" t="s">
        <v>427</v>
      </c>
      <c r="B244" s="375">
        <v>1.0</v>
      </c>
      <c r="C244" s="374" t="s">
        <v>4755</v>
      </c>
      <c r="D244" s="374" t="s">
        <v>1256</v>
      </c>
      <c r="E244" s="304" t="s">
        <v>53</v>
      </c>
      <c r="F244" s="140"/>
      <c r="L244" s="89"/>
      <c r="M244" s="89"/>
      <c r="N244" s="89"/>
      <c r="O244" s="89"/>
      <c r="P244" s="89"/>
      <c r="Q244" s="89"/>
      <c r="R244" s="89"/>
    </row>
    <row r="245">
      <c r="A245" s="14" t="s">
        <v>427</v>
      </c>
      <c r="B245" s="375">
        <v>2.0</v>
      </c>
      <c r="C245" s="374" t="s">
        <v>4757</v>
      </c>
      <c r="D245" s="374" t="s">
        <v>302</v>
      </c>
      <c r="E245" s="304" t="s">
        <v>49</v>
      </c>
      <c r="F245" s="140"/>
      <c r="L245" s="89"/>
      <c r="M245" s="89"/>
      <c r="N245" s="89"/>
      <c r="O245" s="89"/>
      <c r="P245" s="89"/>
      <c r="Q245" s="89"/>
      <c r="R245" s="89"/>
    </row>
    <row r="246">
      <c r="A246" s="14" t="s">
        <v>427</v>
      </c>
      <c r="B246" s="375">
        <v>3.0</v>
      </c>
      <c r="C246" s="374" t="s">
        <v>4759</v>
      </c>
      <c r="D246" s="374" t="s">
        <v>1079</v>
      </c>
      <c r="E246" s="304" t="s">
        <v>53</v>
      </c>
      <c r="F246" s="140"/>
      <c r="L246" s="89"/>
      <c r="M246" s="89"/>
      <c r="N246" s="89"/>
      <c r="O246" s="89"/>
      <c r="P246" s="89"/>
      <c r="Q246" s="89"/>
      <c r="R246" s="89"/>
    </row>
    <row r="247">
      <c r="A247" s="14" t="s">
        <v>427</v>
      </c>
      <c r="B247" s="375">
        <v>4.0</v>
      </c>
      <c r="C247" s="374" t="s">
        <v>4760</v>
      </c>
      <c r="D247" s="374" t="s">
        <v>118</v>
      </c>
      <c r="E247" s="304" t="s">
        <v>49</v>
      </c>
      <c r="F247" s="140"/>
      <c r="L247" s="89"/>
      <c r="M247" s="89"/>
      <c r="N247" s="89"/>
      <c r="O247" s="89"/>
      <c r="P247" s="89"/>
      <c r="Q247" s="89"/>
      <c r="R247" s="89"/>
    </row>
    <row r="248">
      <c r="A248" s="14" t="s">
        <v>427</v>
      </c>
      <c r="B248" s="375">
        <v>5.0</v>
      </c>
      <c r="C248" s="374" t="s">
        <v>278</v>
      </c>
      <c r="D248" s="374" t="s">
        <v>1707</v>
      </c>
      <c r="E248" s="304" t="s">
        <v>49</v>
      </c>
      <c r="F248" s="140"/>
      <c r="L248" s="89"/>
      <c r="M248" s="89"/>
      <c r="N248" s="89"/>
      <c r="O248" s="89"/>
      <c r="P248" s="89"/>
      <c r="Q248" s="89"/>
      <c r="R248" s="89"/>
    </row>
    <row r="249">
      <c r="A249" s="14" t="s">
        <v>427</v>
      </c>
      <c r="B249" s="375">
        <v>6.0</v>
      </c>
      <c r="C249" s="374" t="s">
        <v>2792</v>
      </c>
      <c r="D249" s="374" t="s">
        <v>4761</v>
      </c>
      <c r="E249" s="304" t="s">
        <v>49</v>
      </c>
      <c r="F249" s="140"/>
      <c r="L249" s="89"/>
      <c r="M249" s="89"/>
      <c r="N249" s="89"/>
      <c r="O249" s="89"/>
      <c r="P249" s="89"/>
      <c r="Q249" s="89"/>
      <c r="R249" s="89"/>
    </row>
    <row r="250">
      <c r="A250" s="14" t="s">
        <v>427</v>
      </c>
      <c r="B250" s="375">
        <v>7.0</v>
      </c>
      <c r="C250" s="374" t="s">
        <v>4763</v>
      </c>
      <c r="D250" s="374"/>
      <c r="E250" s="376"/>
      <c r="F250" s="140"/>
      <c r="L250" s="89"/>
      <c r="M250" s="89"/>
      <c r="N250" s="89"/>
      <c r="O250" s="89"/>
      <c r="P250" s="89"/>
      <c r="Q250" s="89"/>
      <c r="R250" s="89"/>
    </row>
    <row r="251">
      <c r="A251" s="14" t="s">
        <v>427</v>
      </c>
      <c r="B251" s="375">
        <v>8.0</v>
      </c>
      <c r="C251" s="374" t="s">
        <v>1763</v>
      </c>
      <c r="D251" s="374" t="s">
        <v>45</v>
      </c>
      <c r="E251" s="304" t="s">
        <v>53</v>
      </c>
      <c r="F251" s="140"/>
      <c r="L251" s="89"/>
      <c r="M251" s="89"/>
      <c r="N251" s="89"/>
      <c r="O251" s="89"/>
      <c r="P251" s="89"/>
      <c r="Q251" s="89"/>
      <c r="R251" s="89"/>
    </row>
    <row r="252">
      <c r="A252" s="14" t="s">
        <v>427</v>
      </c>
      <c r="B252" s="375">
        <v>9.0</v>
      </c>
      <c r="C252" s="374" t="s">
        <v>1146</v>
      </c>
      <c r="D252" s="374" t="s">
        <v>137</v>
      </c>
      <c r="E252" s="304" t="s">
        <v>53</v>
      </c>
      <c r="F252" s="140"/>
      <c r="L252" s="89"/>
      <c r="M252" s="89"/>
      <c r="N252" s="89"/>
      <c r="O252" s="89"/>
      <c r="P252" s="89"/>
      <c r="Q252" s="89"/>
      <c r="R252" s="89"/>
    </row>
    <row r="253">
      <c r="A253" s="14" t="s">
        <v>427</v>
      </c>
      <c r="B253" s="375">
        <v>10.0</v>
      </c>
      <c r="C253" s="374" t="s">
        <v>4766</v>
      </c>
      <c r="D253" s="374" t="s">
        <v>4767</v>
      </c>
      <c r="E253" s="304" t="s">
        <v>53</v>
      </c>
      <c r="F253" s="140"/>
      <c r="L253" s="89"/>
      <c r="M253" s="89"/>
      <c r="N253" s="89"/>
      <c r="O253" s="89"/>
      <c r="P253" s="89"/>
      <c r="Q253" s="89"/>
      <c r="R253" s="89"/>
    </row>
    <row r="254">
      <c r="A254" s="14" t="s">
        <v>427</v>
      </c>
      <c r="B254" s="375">
        <v>11.0</v>
      </c>
      <c r="C254" s="374" t="s">
        <v>3785</v>
      </c>
      <c r="D254" s="374" t="s">
        <v>4768</v>
      </c>
      <c r="E254" s="304" t="s">
        <v>53</v>
      </c>
      <c r="F254" s="140"/>
      <c r="L254" s="89"/>
      <c r="M254" s="89"/>
      <c r="N254" s="89"/>
      <c r="O254" s="89"/>
      <c r="P254" s="89"/>
      <c r="Q254" s="89"/>
      <c r="R254" s="89"/>
    </row>
    <row r="255">
      <c r="A255" s="14" t="s">
        <v>427</v>
      </c>
      <c r="B255" s="375">
        <v>12.0</v>
      </c>
      <c r="C255" s="374" t="s">
        <v>1291</v>
      </c>
      <c r="D255" s="374" t="s">
        <v>241</v>
      </c>
      <c r="E255" s="304" t="s">
        <v>53</v>
      </c>
      <c r="F255" s="140"/>
      <c r="L255" s="89"/>
      <c r="M255" s="89"/>
      <c r="N255" s="89"/>
      <c r="O255" s="89"/>
      <c r="P255" s="89"/>
      <c r="Q255" s="89"/>
      <c r="R255" s="89"/>
    </row>
    <row r="256">
      <c r="A256" s="14" t="s">
        <v>427</v>
      </c>
      <c r="B256" s="375">
        <v>13.0</v>
      </c>
      <c r="C256" s="374" t="s">
        <v>108</v>
      </c>
      <c r="D256" s="374" t="s">
        <v>45</v>
      </c>
      <c r="E256" s="304" t="s">
        <v>49</v>
      </c>
      <c r="F256" s="140"/>
      <c r="L256" s="89"/>
      <c r="M256" s="89"/>
      <c r="N256" s="89"/>
      <c r="O256" s="89"/>
      <c r="P256" s="89"/>
      <c r="Q256" s="89"/>
      <c r="R256" s="89"/>
    </row>
    <row r="257">
      <c r="A257" s="14" t="s">
        <v>427</v>
      </c>
      <c r="B257" s="375">
        <v>14.0</v>
      </c>
      <c r="C257" s="374" t="s">
        <v>338</v>
      </c>
      <c r="D257" s="374" t="s">
        <v>4769</v>
      </c>
      <c r="E257" s="304" t="s">
        <v>53</v>
      </c>
      <c r="F257" s="140"/>
      <c r="L257" s="89"/>
      <c r="M257" s="89"/>
      <c r="N257" s="89"/>
      <c r="O257" s="89"/>
      <c r="P257" s="89"/>
      <c r="Q257" s="89"/>
      <c r="R257" s="89"/>
    </row>
    <row r="258">
      <c r="A258" s="70"/>
      <c r="B258" s="370"/>
      <c r="C258" s="371"/>
      <c r="D258" s="371"/>
      <c r="E258" s="372"/>
      <c r="F258" s="128"/>
      <c r="G258" s="70"/>
      <c r="H258" s="70"/>
      <c r="I258" s="70"/>
      <c r="J258" s="70"/>
      <c r="K258" s="70"/>
      <c r="L258" s="70"/>
      <c r="M258" s="70"/>
      <c r="N258" s="70"/>
      <c r="O258" s="70"/>
      <c r="P258" s="70"/>
      <c r="Q258" s="70"/>
      <c r="R258" s="70"/>
      <c r="S258" s="70"/>
      <c r="T258" s="70"/>
      <c r="U258" s="70"/>
      <c r="V258" s="70"/>
      <c r="W258" s="70"/>
      <c r="X258" s="70"/>
      <c r="Y258" s="70"/>
      <c r="Z258" s="70"/>
      <c r="AA258" s="70"/>
      <c r="AB258" s="70"/>
      <c r="AC258" s="70"/>
      <c r="AD258" s="70"/>
      <c r="AE258" s="70"/>
      <c r="AF258" s="70"/>
      <c r="AG258" s="70"/>
      <c r="AH258" s="70"/>
      <c r="AI258" s="70"/>
      <c r="AJ258" s="70"/>
    </row>
    <row r="259">
      <c r="A259" s="14" t="s">
        <v>430</v>
      </c>
      <c r="B259" s="375" t="s">
        <v>431</v>
      </c>
      <c r="C259" s="374" t="s">
        <v>1421</v>
      </c>
      <c r="D259" s="374" t="s">
        <v>4771</v>
      </c>
      <c r="E259" s="304" t="s">
        <v>53</v>
      </c>
      <c r="F259" s="140"/>
      <c r="L259" s="89"/>
      <c r="M259" s="89"/>
      <c r="N259" s="89"/>
      <c r="O259" s="89"/>
      <c r="P259" s="89"/>
      <c r="Q259" s="89"/>
      <c r="R259" s="89"/>
    </row>
    <row r="260">
      <c r="A260" s="14" t="s">
        <v>430</v>
      </c>
      <c r="B260" s="375" t="s">
        <v>434</v>
      </c>
      <c r="C260" s="374" t="s">
        <v>108</v>
      </c>
      <c r="D260" s="374" t="s">
        <v>4772</v>
      </c>
      <c r="E260" s="304" t="s">
        <v>53</v>
      </c>
      <c r="F260" s="140"/>
      <c r="L260" s="89"/>
      <c r="M260" s="89"/>
      <c r="N260" s="89"/>
      <c r="O260" s="89"/>
      <c r="P260" s="89"/>
      <c r="Q260" s="89"/>
      <c r="R260" s="89"/>
    </row>
    <row r="261">
      <c r="A261" s="70"/>
      <c r="B261" s="370"/>
      <c r="C261" s="371"/>
      <c r="D261" s="371"/>
      <c r="E261" s="372"/>
      <c r="F261" s="128"/>
      <c r="G261" s="70"/>
      <c r="H261" s="70"/>
      <c r="I261" s="70"/>
      <c r="J261" s="70"/>
      <c r="K261" s="70"/>
      <c r="L261" s="70"/>
      <c r="M261" s="70"/>
      <c r="N261" s="70"/>
      <c r="O261" s="70"/>
      <c r="P261" s="70"/>
      <c r="Q261" s="70"/>
      <c r="R261" s="70"/>
      <c r="S261" s="70"/>
      <c r="T261" s="70"/>
      <c r="U261" s="70"/>
      <c r="V261" s="70"/>
      <c r="W261" s="70"/>
      <c r="X261" s="70"/>
      <c r="Y261" s="70"/>
      <c r="Z261" s="70"/>
      <c r="AA261" s="70"/>
      <c r="AB261" s="70"/>
      <c r="AC261" s="70"/>
    </row>
    <row r="262">
      <c r="A262" s="14" t="s">
        <v>438</v>
      </c>
      <c r="B262" s="373"/>
      <c r="C262" s="374" t="s">
        <v>173</v>
      </c>
      <c r="D262" s="374" t="s">
        <v>4774</v>
      </c>
      <c r="E262" s="304" t="s">
        <v>53</v>
      </c>
      <c r="F262" s="140"/>
      <c r="L262" s="89"/>
      <c r="M262" s="89"/>
      <c r="N262" s="89"/>
      <c r="O262" s="89"/>
      <c r="P262" s="89"/>
      <c r="Q262" s="89"/>
      <c r="R262" s="89"/>
    </row>
    <row r="263">
      <c r="A263" s="70"/>
      <c r="B263" s="370"/>
      <c r="C263" s="371"/>
      <c r="D263" s="371"/>
      <c r="E263" s="372"/>
      <c r="F263" s="128"/>
      <c r="G263" s="70"/>
      <c r="H263" s="70"/>
      <c r="I263" s="70"/>
      <c r="J263" s="70"/>
      <c r="K263" s="70"/>
      <c r="L263" s="70"/>
      <c r="M263" s="70"/>
      <c r="N263" s="70"/>
      <c r="O263" s="70"/>
      <c r="P263" s="70"/>
      <c r="Q263" s="70"/>
      <c r="R263" s="70"/>
      <c r="S263" s="70"/>
      <c r="T263" s="70"/>
      <c r="U263" s="70"/>
      <c r="V263" s="70"/>
      <c r="W263" s="70"/>
      <c r="X263" s="70"/>
      <c r="Y263" s="70"/>
      <c r="Z263" s="70"/>
      <c r="AA263" s="70"/>
      <c r="AB263" s="70"/>
      <c r="AC263" s="70"/>
    </row>
    <row r="264">
      <c r="B264" s="373"/>
      <c r="C264" s="377"/>
      <c r="D264" s="377"/>
      <c r="E264" s="376"/>
      <c r="F264" s="140"/>
    </row>
    <row r="265">
      <c r="B265" s="373"/>
      <c r="C265" s="377"/>
      <c r="D265" s="377"/>
      <c r="E265" s="376"/>
      <c r="F265" s="140"/>
    </row>
    <row r="266">
      <c r="B266" s="373"/>
      <c r="C266" s="377"/>
      <c r="D266" s="377"/>
      <c r="E266" s="376"/>
      <c r="F266" s="140"/>
    </row>
    <row r="267">
      <c r="B267" s="373"/>
      <c r="C267" s="377"/>
      <c r="D267" s="377"/>
      <c r="E267" s="376"/>
      <c r="F267" s="140"/>
    </row>
    <row r="268">
      <c r="B268" s="373"/>
      <c r="C268" s="377"/>
      <c r="D268" s="377"/>
      <c r="E268" s="376"/>
      <c r="F268" s="140"/>
    </row>
    <row r="269">
      <c r="B269" s="373"/>
      <c r="C269" s="377"/>
      <c r="D269" s="377"/>
      <c r="E269" s="376"/>
      <c r="F269" s="140"/>
    </row>
    <row r="270">
      <c r="B270" s="373"/>
      <c r="C270" s="377"/>
      <c r="D270" s="377"/>
      <c r="E270" s="376"/>
      <c r="F270" s="140"/>
    </row>
    <row r="271">
      <c r="B271" s="373"/>
      <c r="C271" s="377"/>
      <c r="D271" s="377"/>
      <c r="E271" s="376"/>
      <c r="F271" s="140"/>
    </row>
    <row r="272">
      <c r="B272" s="373"/>
      <c r="C272" s="377"/>
      <c r="D272" s="377"/>
      <c r="E272" s="376"/>
      <c r="F272" s="140"/>
    </row>
    <row r="273">
      <c r="B273" s="373"/>
      <c r="C273" s="377"/>
      <c r="D273" s="377"/>
      <c r="E273" s="376"/>
      <c r="F273" s="140"/>
    </row>
    <row r="274">
      <c r="B274" s="373"/>
      <c r="C274" s="377"/>
      <c r="D274" s="377"/>
      <c r="E274" s="376"/>
      <c r="F274" s="140"/>
    </row>
    <row r="275">
      <c r="B275" s="373"/>
      <c r="C275" s="377"/>
      <c r="D275" s="377"/>
      <c r="E275" s="376"/>
      <c r="F275" s="140"/>
    </row>
    <row r="276">
      <c r="B276" s="373"/>
      <c r="C276" s="377"/>
      <c r="D276" s="377"/>
      <c r="E276" s="376"/>
      <c r="F276" s="140"/>
    </row>
    <row r="277">
      <c r="B277" s="373"/>
      <c r="C277" s="377"/>
      <c r="D277" s="377"/>
      <c r="E277" s="376"/>
      <c r="F277" s="140"/>
    </row>
    <row r="278">
      <c r="B278" s="373"/>
      <c r="C278" s="377"/>
      <c r="D278" s="377"/>
      <c r="E278" s="376"/>
      <c r="F278" s="140"/>
    </row>
    <row r="279">
      <c r="B279" s="373"/>
      <c r="C279" s="377"/>
      <c r="D279" s="377"/>
      <c r="E279" s="376"/>
      <c r="F279" s="140"/>
    </row>
    <row r="280">
      <c r="B280" s="373"/>
      <c r="C280" s="377"/>
      <c r="D280" s="377"/>
      <c r="E280" s="376"/>
      <c r="F280" s="140"/>
    </row>
    <row r="281">
      <c r="B281" s="373"/>
      <c r="C281" s="377"/>
      <c r="D281" s="377"/>
      <c r="E281" s="376"/>
      <c r="F281" s="140"/>
    </row>
    <row r="282">
      <c r="B282" s="373"/>
      <c r="C282" s="377"/>
      <c r="D282" s="377"/>
      <c r="E282" s="376"/>
      <c r="F282" s="140"/>
    </row>
    <row r="283">
      <c r="B283" s="373"/>
      <c r="C283" s="377"/>
      <c r="D283" s="377"/>
      <c r="E283" s="376"/>
      <c r="F283" s="140"/>
    </row>
    <row r="284">
      <c r="B284" s="373"/>
      <c r="C284" s="377"/>
      <c r="D284" s="377"/>
      <c r="E284" s="376"/>
      <c r="F284" s="140"/>
    </row>
    <row r="285">
      <c r="B285" s="373"/>
      <c r="C285" s="377"/>
      <c r="D285" s="377"/>
      <c r="E285" s="376"/>
      <c r="F285" s="140"/>
    </row>
    <row r="286">
      <c r="B286" s="373"/>
      <c r="C286" s="377"/>
      <c r="D286" s="377"/>
      <c r="E286" s="376"/>
      <c r="F286" s="140"/>
    </row>
    <row r="287">
      <c r="B287" s="373"/>
      <c r="C287" s="377"/>
      <c r="D287" s="377"/>
      <c r="E287" s="376"/>
      <c r="F287" s="140"/>
    </row>
    <row r="288">
      <c r="B288" s="373"/>
      <c r="C288" s="377"/>
      <c r="D288" s="377"/>
      <c r="E288" s="376"/>
      <c r="F288" s="140"/>
    </row>
    <row r="289">
      <c r="B289" s="373"/>
      <c r="C289" s="377"/>
      <c r="D289" s="377"/>
      <c r="E289" s="376"/>
      <c r="F289" s="140"/>
    </row>
    <row r="290">
      <c r="B290" s="373"/>
      <c r="C290" s="377"/>
      <c r="D290" s="377"/>
      <c r="E290" s="376"/>
      <c r="F290" s="140"/>
    </row>
    <row r="291">
      <c r="B291" s="373"/>
      <c r="C291" s="377"/>
      <c r="D291" s="377"/>
      <c r="E291" s="376"/>
      <c r="F291" s="140"/>
    </row>
    <row r="292">
      <c r="B292" s="373"/>
      <c r="C292" s="377"/>
      <c r="D292" s="377"/>
      <c r="E292" s="376"/>
      <c r="F292" s="140"/>
    </row>
    <row r="293">
      <c r="B293" s="373"/>
      <c r="C293" s="377"/>
      <c r="D293" s="377"/>
      <c r="E293" s="376"/>
      <c r="F293" s="140"/>
    </row>
    <row r="294">
      <c r="B294" s="373"/>
      <c r="C294" s="377"/>
      <c r="D294" s="377"/>
      <c r="E294" s="376"/>
      <c r="F294" s="140"/>
    </row>
    <row r="295">
      <c r="B295" s="373"/>
      <c r="C295" s="377"/>
      <c r="D295" s="377"/>
      <c r="E295" s="376"/>
      <c r="F295" s="140"/>
    </row>
    <row r="296">
      <c r="B296" s="373"/>
      <c r="C296" s="377"/>
      <c r="D296" s="377"/>
      <c r="E296" s="376"/>
      <c r="F296" s="140"/>
    </row>
    <row r="297">
      <c r="B297" s="373"/>
      <c r="C297" s="377"/>
      <c r="D297" s="377"/>
      <c r="E297" s="376"/>
      <c r="F297" s="140"/>
    </row>
    <row r="298">
      <c r="B298" s="373"/>
      <c r="C298" s="377"/>
      <c r="D298" s="377"/>
      <c r="E298" s="376"/>
      <c r="F298" s="140"/>
    </row>
    <row r="299">
      <c r="B299" s="373"/>
      <c r="C299" s="377"/>
      <c r="D299" s="377"/>
      <c r="E299" s="376"/>
      <c r="F299" s="140"/>
    </row>
    <row r="300">
      <c r="B300" s="373"/>
      <c r="C300" s="377"/>
      <c r="D300" s="377"/>
      <c r="E300" s="376"/>
      <c r="F300" s="140"/>
    </row>
    <row r="301">
      <c r="B301" s="373"/>
      <c r="C301" s="377"/>
      <c r="D301" s="377"/>
      <c r="E301" s="376"/>
      <c r="F301" s="140"/>
    </row>
    <row r="302">
      <c r="B302" s="373"/>
      <c r="C302" s="377"/>
      <c r="D302" s="377"/>
      <c r="E302" s="376"/>
      <c r="F302" s="140"/>
    </row>
    <row r="303">
      <c r="B303" s="373"/>
      <c r="C303" s="377"/>
      <c r="D303" s="377"/>
      <c r="E303" s="376"/>
      <c r="F303" s="140"/>
    </row>
    <row r="304">
      <c r="B304" s="373"/>
      <c r="C304" s="377"/>
      <c r="D304" s="377"/>
      <c r="E304" s="376"/>
      <c r="F304" s="140"/>
    </row>
    <row r="305">
      <c r="B305" s="373"/>
      <c r="C305" s="377"/>
      <c r="D305" s="377"/>
      <c r="E305" s="376"/>
      <c r="F305" s="140"/>
    </row>
    <row r="306">
      <c r="B306" s="373"/>
      <c r="C306" s="377"/>
      <c r="D306" s="377"/>
      <c r="E306" s="376"/>
      <c r="F306" s="140"/>
    </row>
    <row r="307">
      <c r="B307" s="373"/>
      <c r="C307" s="377"/>
      <c r="D307" s="377"/>
      <c r="E307" s="376"/>
      <c r="F307" s="140"/>
    </row>
    <row r="308">
      <c r="B308" s="373"/>
      <c r="C308" s="377"/>
      <c r="D308" s="377"/>
      <c r="E308" s="376"/>
      <c r="F308" s="140"/>
    </row>
    <row r="309">
      <c r="B309" s="373"/>
      <c r="C309" s="377"/>
      <c r="D309" s="377"/>
      <c r="E309" s="376"/>
      <c r="F309" s="140"/>
    </row>
    <row r="310">
      <c r="B310" s="373"/>
      <c r="C310" s="377"/>
      <c r="D310" s="377"/>
      <c r="E310" s="376"/>
      <c r="F310" s="140"/>
    </row>
    <row r="311">
      <c r="B311" s="373"/>
      <c r="C311" s="377"/>
      <c r="D311" s="377"/>
      <c r="E311" s="376"/>
      <c r="F311" s="140"/>
    </row>
    <row r="312">
      <c r="B312" s="373"/>
      <c r="C312" s="377"/>
      <c r="D312" s="377"/>
      <c r="E312" s="376"/>
      <c r="F312" s="140"/>
    </row>
    <row r="313">
      <c r="B313" s="373"/>
      <c r="C313" s="377"/>
      <c r="D313" s="377"/>
      <c r="E313" s="376"/>
      <c r="F313" s="140"/>
    </row>
    <row r="314">
      <c r="B314" s="373"/>
      <c r="C314" s="377"/>
      <c r="D314" s="377"/>
      <c r="E314" s="376"/>
      <c r="F314" s="140"/>
    </row>
    <row r="315">
      <c r="B315" s="373"/>
      <c r="C315" s="377"/>
      <c r="D315" s="377"/>
      <c r="E315" s="376"/>
      <c r="F315" s="140"/>
    </row>
    <row r="316">
      <c r="B316" s="373"/>
      <c r="C316" s="377"/>
      <c r="D316" s="377"/>
      <c r="E316" s="376"/>
      <c r="F316" s="140"/>
    </row>
    <row r="317">
      <c r="B317" s="373"/>
      <c r="C317" s="377"/>
      <c r="D317" s="377"/>
      <c r="E317" s="376"/>
      <c r="F317" s="140"/>
    </row>
    <row r="318">
      <c r="B318" s="373"/>
      <c r="C318" s="377"/>
      <c r="D318" s="377"/>
      <c r="E318" s="376"/>
      <c r="F318" s="140"/>
    </row>
    <row r="319">
      <c r="B319" s="373"/>
      <c r="C319" s="377"/>
      <c r="D319" s="377"/>
      <c r="E319" s="376"/>
      <c r="F319" s="140"/>
    </row>
    <row r="320">
      <c r="B320" s="373"/>
      <c r="C320" s="377"/>
      <c r="D320" s="377"/>
      <c r="E320" s="376"/>
      <c r="F320" s="140"/>
    </row>
    <row r="321">
      <c r="B321" s="373"/>
      <c r="C321" s="377"/>
      <c r="D321" s="377"/>
      <c r="E321" s="376"/>
      <c r="F321" s="140"/>
    </row>
    <row r="322">
      <c r="B322" s="373"/>
      <c r="C322" s="377"/>
      <c r="D322" s="377"/>
      <c r="E322" s="376"/>
      <c r="F322" s="140"/>
    </row>
    <row r="323">
      <c r="B323" s="373"/>
      <c r="C323" s="377"/>
      <c r="D323" s="377"/>
      <c r="E323" s="376"/>
      <c r="F323" s="140"/>
    </row>
    <row r="324">
      <c r="B324" s="373"/>
      <c r="C324" s="377"/>
      <c r="D324" s="377"/>
      <c r="E324" s="376"/>
      <c r="F324" s="140"/>
    </row>
    <row r="325">
      <c r="B325" s="373"/>
      <c r="C325" s="377"/>
      <c r="D325" s="377"/>
      <c r="E325" s="376"/>
      <c r="F325" s="140"/>
    </row>
    <row r="326">
      <c r="B326" s="373"/>
      <c r="C326" s="377"/>
      <c r="D326" s="377"/>
      <c r="E326" s="376"/>
      <c r="F326" s="140"/>
    </row>
    <row r="327">
      <c r="B327" s="373"/>
      <c r="C327" s="377"/>
      <c r="D327" s="377"/>
      <c r="E327" s="376"/>
      <c r="F327" s="140"/>
    </row>
    <row r="328">
      <c r="B328" s="373"/>
      <c r="C328" s="377"/>
      <c r="D328" s="377"/>
      <c r="E328" s="376"/>
      <c r="F328" s="140"/>
    </row>
    <row r="329">
      <c r="B329" s="373"/>
      <c r="C329" s="377"/>
      <c r="D329" s="377"/>
      <c r="E329" s="376"/>
      <c r="F329" s="140"/>
    </row>
    <row r="330">
      <c r="B330" s="373"/>
      <c r="C330" s="377"/>
      <c r="D330" s="377"/>
      <c r="E330" s="376"/>
      <c r="F330" s="140"/>
    </row>
    <row r="331">
      <c r="B331" s="373"/>
      <c r="C331" s="377"/>
      <c r="D331" s="377"/>
      <c r="E331" s="376"/>
      <c r="F331" s="140"/>
    </row>
    <row r="332">
      <c r="B332" s="373"/>
      <c r="C332" s="377"/>
      <c r="D332" s="377"/>
      <c r="E332" s="376"/>
      <c r="F332" s="140"/>
    </row>
    <row r="333">
      <c r="B333" s="373"/>
      <c r="C333" s="377"/>
      <c r="D333" s="377"/>
      <c r="E333" s="376"/>
      <c r="F333" s="140"/>
    </row>
    <row r="334">
      <c r="B334" s="373"/>
      <c r="C334" s="377"/>
      <c r="D334" s="377"/>
      <c r="E334" s="376"/>
      <c r="F334" s="140"/>
    </row>
    <row r="335">
      <c r="B335" s="373"/>
      <c r="C335" s="377"/>
      <c r="D335" s="377"/>
      <c r="E335" s="376"/>
      <c r="F335" s="140"/>
    </row>
    <row r="336">
      <c r="B336" s="373"/>
      <c r="C336" s="377"/>
      <c r="D336" s="377"/>
      <c r="E336" s="376"/>
      <c r="F336" s="140"/>
    </row>
    <row r="337">
      <c r="B337" s="373"/>
      <c r="C337" s="377"/>
      <c r="D337" s="377"/>
      <c r="E337" s="376"/>
      <c r="F337" s="140"/>
    </row>
    <row r="338">
      <c r="B338" s="373"/>
      <c r="C338" s="377"/>
      <c r="D338" s="377"/>
      <c r="E338" s="376"/>
      <c r="F338" s="140"/>
    </row>
    <row r="339">
      <c r="B339" s="373"/>
      <c r="C339" s="377"/>
      <c r="D339" s="377"/>
      <c r="E339" s="376"/>
      <c r="F339" s="140"/>
    </row>
    <row r="340">
      <c r="B340" s="373"/>
      <c r="C340" s="377"/>
      <c r="D340" s="377"/>
      <c r="E340" s="376"/>
      <c r="F340" s="140"/>
    </row>
    <row r="341">
      <c r="B341" s="373"/>
      <c r="C341" s="377"/>
      <c r="D341" s="377"/>
      <c r="E341" s="376"/>
      <c r="F341" s="140"/>
    </row>
    <row r="342">
      <c r="B342" s="373"/>
      <c r="C342" s="377"/>
      <c r="D342" s="377"/>
      <c r="E342" s="376"/>
      <c r="F342" s="140"/>
    </row>
    <row r="343">
      <c r="B343" s="373"/>
      <c r="C343" s="377"/>
      <c r="D343" s="377"/>
      <c r="E343" s="376"/>
      <c r="F343" s="140"/>
    </row>
    <row r="344">
      <c r="B344" s="373"/>
      <c r="C344" s="377"/>
      <c r="D344" s="377"/>
      <c r="E344" s="376"/>
      <c r="F344" s="140"/>
    </row>
    <row r="345">
      <c r="B345" s="373"/>
      <c r="C345" s="377"/>
      <c r="D345" s="377"/>
      <c r="E345" s="376"/>
      <c r="F345" s="140"/>
    </row>
    <row r="346">
      <c r="B346" s="373"/>
      <c r="C346" s="377"/>
      <c r="D346" s="377"/>
      <c r="E346" s="376"/>
      <c r="F346" s="140"/>
    </row>
    <row r="347">
      <c r="B347" s="373"/>
      <c r="C347" s="377"/>
      <c r="D347" s="377"/>
      <c r="E347" s="376"/>
      <c r="F347" s="140"/>
    </row>
    <row r="348">
      <c r="B348" s="373"/>
      <c r="C348" s="377"/>
      <c r="D348" s="377"/>
      <c r="E348" s="376"/>
      <c r="F348" s="140"/>
    </row>
    <row r="349">
      <c r="B349" s="373"/>
      <c r="C349" s="377"/>
      <c r="D349" s="377"/>
      <c r="E349" s="376"/>
      <c r="F349" s="140"/>
    </row>
    <row r="350">
      <c r="B350" s="373"/>
      <c r="C350" s="377"/>
      <c r="D350" s="377"/>
      <c r="E350" s="376"/>
      <c r="F350" s="140"/>
    </row>
    <row r="351">
      <c r="B351" s="373"/>
      <c r="C351" s="377"/>
      <c r="D351" s="377"/>
      <c r="E351" s="376"/>
      <c r="F351" s="140"/>
    </row>
    <row r="352">
      <c r="B352" s="373"/>
      <c r="C352" s="377"/>
      <c r="D352" s="377"/>
      <c r="E352" s="376"/>
      <c r="F352" s="140"/>
    </row>
    <row r="353">
      <c r="B353" s="373"/>
      <c r="C353" s="377"/>
      <c r="D353" s="377"/>
      <c r="E353" s="376"/>
      <c r="F353" s="140"/>
    </row>
    <row r="354">
      <c r="B354" s="373"/>
      <c r="C354" s="377"/>
      <c r="D354" s="377"/>
      <c r="E354" s="376"/>
      <c r="F354" s="140"/>
    </row>
    <row r="355">
      <c r="B355" s="373"/>
      <c r="C355" s="377"/>
      <c r="D355" s="377"/>
      <c r="E355" s="376"/>
      <c r="F355" s="140"/>
    </row>
    <row r="356">
      <c r="B356" s="373"/>
      <c r="C356" s="377"/>
      <c r="D356" s="377"/>
      <c r="E356" s="376"/>
      <c r="F356" s="140"/>
    </row>
    <row r="357">
      <c r="B357" s="373"/>
      <c r="C357" s="377"/>
      <c r="D357" s="377"/>
      <c r="E357" s="376"/>
      <c r="F357" s="140"/>
    </row>
    <row r="358">
      <c r="B358" s="373"/>
      <c r="C358" s="377"/>
      <c r="D358" s="377"/>
      <c r="E358" s="376"/>
      <c r="F358" s="140"/>
    </row>
    <row r="359">
      <c r="B359" s="373"/>
      <c r="C359" s="377"/>
      <c r="D359" s="377"/>
      <c r="E359" s="376"/>
      <c r="F359" s="140"/>
    </row>
    <row r="360">
      <c r="B360" s="373"/>
      <c r="C360" s="377"/>
      <c r="D360" s="377"/>
      <c r="E360" s="376"/>
      <c r="F360" s="140"/>
    </row>
    <row r="361">
      <c r="B361" s="373"/>
      <c r="C361" s="377"/>
      <c r="D361" s="377"/>
      <c r="E361" s="376"/>
      <c r="F361" s="140"/>
    </row>
    <row r="362">
      <c r="B362" s="373"/>
      <c r="C362" s="377"/>
      <c r="D362" s="377"/>
      <c r="E362" s="376"/>
      <c r="F362" s="140"/>
    </row>
    <row r="363">
      <c r="B363" s="373"/>
      <c r="C363" s="377"/>
      <c r="D363" s="377"/>
      <c r="E363" s="376"/>
      <c r="F363" s="140"/>
    </row>
    <row r="364">
      <c r="B364" s="373"/>
      <c r="C364" s="377"/>
      <c r="D364" s="377"/>
      <c r="E364" s="376"/>
      <c r="F364" s="140"/>
    </row>
    <row r="365">
      <c r="B365" s="373"/>
      <c r="C365" s="377"/>
      <c r="D365" s="377"/>
      <c r="E365" s="376"/>
      <c r="F365" s="140"/>
    </row>
    <row r="366">
      <c r="B366" s="373"/>
      <c r="C366" s="377"/>
      <c r="D366" s="377"/>
      <c r="E366" s="376"/>
      <c r="F366" s="140"/>
    </row>
    <row r="367">
      <c r="B367" s="373"/>
      <c r="C367" s="377"/>
      <c r="D367" s="377"/>
      <c r="E367" s="376"/>
      <c r="F367" s="140"/>
    </row>
    <row r="368">
      <c r="B368" s="373"/>
      <c r="C368" s="377"/>
      <c r="D368" s="377"/>
      <c r="E368" s="376"/>
      <c r="F368" s="140"/>
    </row>
    <row r="369">
      <c r="B369" s="373"/>
      <c r="C369" s="377"/>
      <c r="D369" s="377"/>
      <c r="E369" s="376"/>
      <c r="F369" s="140"/>
    </row>
    <row r="370">
      <c r="B370" s="373"/>
      <c r="C370" s="377"/>
      <c r="D370" s="377"/>
      <c r="E370" s="376"/>
      <c r="F370" s="140"/>
    </row>
    <row r="371">
      <c r="B371" s="373"/>
      <c r="C371" s="377"/>
      <c r="D371" s="377"/>
      <c r="E371" s="376"/>
      <c r="F371" s="140"/>
    </row>
    <row r="372">
      <c r="B372" s="373"/>
      <c r="C372" s="377"/>
      <c r="D372" s="377"/>
      <c r="E372" s="376"/>
      <c r="F372" s="140"/>
    </row>
    <row r="373">
      <c r="B373" s="373"/>
      <c r="C373" s="377"/>
      <c r="D373" s="377"/>
      <c r="E373" s="376"/>
      <c r="F373" s="140"/>
    </row>
    <row r="374">
      <c r="B374" s="373"/>
      <c r="C374" s="377"/>
      <c r="D374" s="377"/>
      <c r="E374" s="376"/>
      <c r="F374" s="140"/>
    </row>
    <row r="375">
      <c r="B375" s="373"/>
      <c r="C375" s="377"/>
      <c r="D375" s="377"/>
      <c r="E375" s="376"/>
      <c r="F375" s="140"/>
    </row>
    <row r="376">
      <c r="B376" s="373"/>
      <c r="C376" s="377"/>
      <c r="D376" s="377"/>
      <c r="E376" s="376"/>
      <c r="F376" s="140"/>
    </row>
    <row r="377">
      <c r="B377" s="373"/>
      <c r="C377" s="377"/>
      <c r="D377" s="377"/>
      <c r="E377" s="376"/>
      <c r="F377" s="140"/>
    </row>
    <row r="378">
      <c r="B378" s="373"/>
      <c r="C378" s="377"/>
      <c r="D378" s="377"/>
      <c r="E378" s="376"/>
      <c r="F378" s="140"/>
    </row>
    <row r="379">
      <c r="B379" s="373"/>
      <c r="C379" s="377"/>
      <c r="D379" s="377"/>
      <c r="E379" s="376"/>
      <c r="F379" s="140"/>
    </row>
    <row r="380">
      <c r="B380" s="373"/>
      <c r="C380" s="377"/>
      <c r="D380" s="377"/>
      <c r="E380" s="376"/>
      <c r="F380" s="140"/>
    </row>
    <row r="381">
      <c r="B381" s="373"/>
      <c r="C381" s="377"/>
      <c r="D381" s="377"/>
      <c r="E381" s="376"/>
      <c r="F381" s="140"/>
    </row>
    <row r="382">
      <c r="B382" s="373"/>
      <c r="C382" s="377"/>
      <c r="D382" s="377"/>
      <c r="E382" s="376"/>
      <c r="F382" s="140"/>
    </row>
    <row r="383">
      <c r="B383" s="373"/>
      <c r="C383" s="377"/>
      <c r="D383" s="377"/>
      <c r="E383" s="376"/>
      <c r="F383" s="140"/>
    </row>
    <row r="384">
      <c r="B384" s="373"/>
      <c r="C384" s="377"/>
      <c r="D384" s="377"/>
      <c r="E384" s="376"/>
      <c r="F384" s="140"/>
    </row>
    <row r="385">
      <c r="B385" s="373"/>
      <c r="C385" s="377"/>
      <c r="D385" s="377"/>
      <c r="E385" s="376"/>
      <c r="F385" s="140"/>
    </row>
    <row r="386">
      <c r="B386" s="373"/>
      <c r="C386" s="377"/>
      <c r="D386" s="377"/>
      <c r="E386" s="376"/>
      <c r="F386" s="140"/>
    </row>
    <row r="387">
      <c r="B387" s="373"/>
      <c r="C387" s="377"/>
      <c r="D387" s="377"/>
      <c r="E387" s="376"/>
      <c r="F387" s="140"/>
    </row>
    <row r="388">
      <c r="B388" s="373"/>
      <c r="C388" s="377"/>
      <c r="D388" s="377"/>
      <c r="E388" s="376"/>
      <c r="F388" s="140"/>
    </row>
    <row r="389">
      <c r="B389" s="373"/>
      <c r="C389" s="377"/>
      <c r="D389" s="377"/>
      <c r="E389" s="376"/>
      <c r="F389" s="140"/>
    </row>
    <row r="390">
      <c r="B390" s="373"/>
      <c r="C390" s="377"/>
      <c r="D390" s="377"/>
      <c r="E390" s="376"/>
      <c r="F390" s="140"/>
    </row>
    <row r="391">
      <c r="B391" s="373"/>
      <c r="C391" s="377"/>
      <c r="D391" s="377"/>
      <c r="E391" s="376"/>
      <c r="F391" s="140"/>
    </row>
    <row r="392">
      <c r="B392" s="373"/>
      <c r="C392" s="377"/>
      <c r="D392" s="377"/>
      <c r="E392" s="376"/>
      <c r="F392" s="140"/>
    </row>
    <row r="393">
      <c r="B393" s="373"/>
      <c r="C393" s="377"/>
      <c r="D393" s="377"/>
      <c r="E393" s="376"/>
      <c r="F393" s="140"/>
    </row>
    <row r="394">
      <c r="B394" s="373"/>
      <c r="C394" s="377"/>
      <c r="D394" s="377"/>
      <c r="E394" s="376"/>
      <c r="F394" s="140"/>
    </row>
    <row r="395">
      <c r="B395" s="373"/>
      <c r="C395" s="377"/>
      <c r="D395" s="377"/>
      <c r="E395" s="376"/>
      <c r="F395" s="140"/>
    </row>
    <row r="396">
      <c r="B396" s="373"/>
      <c r="C396" s="377"/>
      <c r="D396" s="377"/>
      <c r="E396" s="376"/>
      <c r="F396" s="140"/>
    </row>
    <row r="397">
      <c r="B397" s="373"/>
      <c r="C397" s="377"/>
      <c r="D397" s="377"/>
      <c r="E397" s="376"/>
      <c r="F397" s="140"/>
    </row>
    <row r="398">
      <c r="B398" s="373"/>
      <c r="C398" s="377"/>
      <c r="D398" s="377"/>
      <c r="E398" s="376"/>
      <c r="F398" s="140"/>
    </row>
    <row r="399">
      <c r="B399" s="373"/>
      <c r="C399" s="377"/>
      <c r="D399" s="377"/>
      <c r="E399" s="376"/>
      <c r="F399" s="140"/>
    </row>
    <row r="400">
      <c r="B400" s="373"/>
      <c r="C400" s="377"/>
      <c r="D400" s="377"/>
      <c r="E400" s="376"/>
      <c r="F400" s="140"/>
    </row>
    <row r="401">
      <c r="B401" s="373"/>
      <c r="C401" s="377"/>
      <c r="D401" s="377"/>
      <c r="E401" s="376"/>
      <c r="F401" s="140"/>
    </row>
    <row r="402">
      <c r="B402" s="373"/>
      <c r="C402" s="377"/>
      <c r="D402" s="377"/>
      <c r="E402" s="376"/>
      <c r="F402" s="140"/>
    </row>
    <row r="403">
      <c r="B403" s="373"/>
      <c r="C403" s="377"/>
      <c r="D403" s="377"/>
      <c r="E403" s="376"/>
      <c r="F403" s="140"/>
    </row>
    <row r="404">
      <c r="B404" s="373"/>
      <c r="C404" s="377"/>
      <c r="D404" s="377"/>
      <c r="E404" s="376"/>
      <c r="F404" s="140"/>
    </row>
    <row r="405">
      <c r="B405" s="373"/>
      <c r="C405" s="377"/>
      <c r="D405" s="377"/>
      <c r="E405" s="376"/>
      <c r="F405" s="140"/>
    </row>
    <row r="406">
      <c r="B406" s="373"/>
      <c r="C406" s="377"/>
      <c r="D406" s="377"/>
      <c r="E406" s="376"/>
      <c r="F406" s="140"/>
    </row>
    <row r="407">
      <c r="B407" s="373"/>
      <c r="C407" s="377"/>
      <c r="D407" s="377"/>
      <c r="E407" s="376"/>
      <c r="F407" s="140"/>
    </row>
    <row r="408">
      <c r="B408" s="373"/>
      <c r="C408" s="377"/>
      <c r="D408" s="377"/>
      <c r="E408" s="376"/>
      <c r="F408" s="140"/>
    </row>
    <row r="409">
      <c r="B409" s="373"/>
      <c r="C409" s="377"/>
      <c r="D409" s="377"/>
      <c r="E409" s="376"/>
      <c r="F409" s="140"/>
    </row>
    <row r="410">
      <c r="B410" s="373"/>
      <c r="C410" s="377"/>
      <c r="D410" s="377"/>
      <c r="E410" s="376"/>
      <c r="F410" s="140"/>
    </row>
    <row r="411">
      <c r="B411" s="373"/>
      <c r="C411" s="377"/>
      <c r="D411" s="377"/>
      <c r="E411" s="376"/>
      <c r="F411" s="140"/>
    </row>
    <row r="412">
      <c r="B412" s="373"/>
      <c r="C412" s="377"/>
      <c r="D412" s="377"/>
      <c r="E412" s="376"/>
      <c r="F412" s="140"/>
    </row>
    <row r="413">
      <c r="B413" s="373"/>
      <c r="C413" s="377"/>
      <c r="D413" s="377"/>
      <c r="E413" s="376"/>
      <c r="F413" s="140"/>
    </row>
    <row r="414">
      <c r="B414" s="373"/>
      <c r="C414" s="377"/>
      <c r="D414" s="377"/>
      <c r="E414" s="376"/>
      <c r="F414" s="140"/>
    </row>
    <row r="415">
      <c r="B415" s="373"/>
      <c r="C415" s="377"/>
      <c r="D415" s="377"/>
      <c r="E415" s="376"/>
      <c r="F415" s="140"/>
    </row>
    <row r="416">
      <c r="B416" s="373"/>
      <c r="C416" s="377"/>
      <c r="D416" s="377"/>
      <c r="E416" s="376"/>
      <c r="F416" s="140"/>
    </row>
    <row r="417">
      <c r="B417" s="373"/>
      <c r="C417" s="377"/>
      <c r="D417" s="377"/>
      <c r="E417" s="376"/>
      <c r="F417" s="140"/>
    </row>
    <row r="418">
      <c r="B418" s="373"/>
      <c r="C418" s="377"/>
      <c r="D418" s="377"/>
      <c r="E418" s="376"/>
      <c r="F418" s="140"/>
    </row>
    <row r="419">
      <c r="B419" s="373"/>
      <c r="C419" s="377"/>
      <c r="D419" s="377"/>
      <c r="E419" s="376"/>
      <c r="F419" s="140"/>
    </row>
    <row r="420">
      <c r="B420" s="373"/>
      <c r="C420" s="377"/>
      <c r="D420" s="377"/>
      <c r="E420" s="376"/>
      <c r="F420" s="140"/>
    </row>
    <row r="421">
      <c r="B421" s="373"/>
      <c r="C421" s="377"/>
      <c r="D421" s="377"/>
      <c r="E421" s="376"/>
      <c r="F421" s="140"/>
    </row>
    <row r="422">
      <c r="B422" s="373"/>
      <c r="C422" s="377"/>
      <c r="D422" s="377"/>
      <c r="E422" s="376"/>
      <c r="F422" s="140"/>
    </row>
    <row r="423">
      <c r="B423" s="373"/>
      <c r="C423" s="377"/>
      <c r="D423" s="377"/>
      <c r="E423" s="376"/>
      <c r="F423" s="140"/>
    </row>
    <row r="424">
      <c r="B424" s="373"/>
      <c r="C424" s="377"/>
      <c r="D424" s="377"/>
      <c r="E424" s="376"/>
      <c r="F424" s="140"/>
    </row>
    <row r="425">
      <c r="B425" s="373"/>
      <c r="C425" s="377"/>
      <c r="D425" s="377"/>
      <c r="E425" s="376"/>
      <c r="F425" s="140"/>
    </row>
    <row r="426">
      <c r="B426" s="373"/>
      <c r="C426" s="377"/>
      <c r="D426" s="377"/>
      <c r="E426" s="376"/>
      <c r="F426" s="140"/>
    </row>
    <row r="427">
      <c r="B427" s="373"/>
      <c r="C427" s="377"/>
      <c r="D427" s="377"/>
      <c r="E427" s="376"/>
      <c r="F427" s="140"/>
    </row>
    <row r="428">
      <c r="B428" s="373"/>
      <c r="C428" s="377"/>
      <c r="D428" s="377"/>
      <c r="E428" s="376"/>
      <c r="F428" s="140"/>
    </row>
    <row r="429">
      <c r="B429" s="373"/>
      <c r="C429" s="377"/>
      <c r="D429" s="377"/>
      <c r="E429" s="376"/>
      <c r="F429" s="140"/>
    </row>
    <row r="430">
      <c r="B430" s="373"/>
      <c r="C430" s="377"/>
      <c r="D430" s="377"/>
      <c r="E430" s="376"/>
      <c r="F430" s="140"/>
    </row>
    <row r="431">
      <c r="B431" s="373"/>
      <c r="C431" s="377"/>
      <c r="D431" s="377"/>
      <c r="E431" s="376"/>
      <c r="F431" s="140"/>
    </row>
    <row r="432">
      <c r="B432" s="373"/>
      <c r="C432" s="377"/>
      <c r="D432" s="377"/>
      <c r="E432" s="376"/>
      <c r="F432" s="140"/>
    </row>
    <row r="433">
      <c r="B433" s="373"/>
      <c r="C433" s="377"/>
      <c r="D433" s="377"/>
      <c r="E433" s="376"/>
      <c r="F433" s="140"/>
    </row>
    <row r="434">
      <c r="B434" s="373"/>
      <c r="C434" s="377"/>
      <c r="D434" s="377"/>
      <c r="E434" s="376"/>
      <c r="F434" s="140"/>
    </row>
    <row r="435">
      <c r="B435" s="373"/>
      <c r="C435" s="377"/>
      <c r="D435" s="377"/>
      <c r="E435" s="376"/>
      <c r="F435" s="140"/>
    </row>
    <row r="436">
      <c r="B436" s="373"/>
      <c r="C436" s="377"/>
      <c r="D436" s="377"/>
      <c r="E436" s="376"/>
      <c r="F436" s="140"/>
    </row>
    <row r="437">
      <c r="B437" s="373"/>
      <c r="C437" s="377"/>
      <c r="D437" s="377"/>
      <c r="E437" s="376"/>
      <c r="F437" s="140"/>
    </row>
    <row r="438">
      <c r="B438" s="373"/>
      <c r="C438" s="377"/>
      <c r="D438" s="377"/>
      <c r="E438" s="376"/>
      <c r="F438" s="140"/>
    </row>
    <row r="439">
      <c r="B439" s="373"/>
      <c r="C439" s="377"/>
      <c r="D439" s="377"/>
      <c r="E439" s="376"/>
      <c r="F439" s="140"/>
    </row>
    <row r="440">
      <c r="B440" s="373"/>
      <c r="C440" s="377"/>
      <c r="D440" s="377"/>
      <c r="E440" s="376"/>
      <c r="F440" s="140"/>
    </row>
    <row r="441">
      <c r="B441" s="373"/>
      <c r="C441" s="377"/>
      <c r="D441" s="377"/>
      <c r="E441" s="376"/>
      <c r="F441" s="140"/>
    </row>
    <row r="442">
      <c r="B442" s="373"/>
      <c r="C442" s="377"/>
      <c r="D442" s="377"/>
      <c r="E442" s="376"/>
      <c r="F442" s="140"/>
    </row>
    <row r="443">
      <c r="B443" s="373"/>
      <c r="C443" s="377"/>
      <c r="D443" s="377"/>
      <c r="E443" s="376"/>
      <c r="F443" s="140"/>
    </row>
    <row r="444">
      <c r="B444" s="373"/>
      <c r="C444" s="377"/>
      <c r="D444" s="377"/>
      <c r="E444" s="376"/>
      <c r="F444" s="140"/>
    </row>
    <row r="445">
      <c r="B445" s="373"/>
      <c r="C445" s="377"/>
      <c r="D445" s="377"/>
      <c r="E445" s="376"/>
      <c r="F445" s="140"/>
    </row>
    <row r="446">
      <c r="B446" s="373"/>
      <c r="C446" s="377"/>
      <c r="D446" s="377"/>
      <c r="E446" s="376"/>
      <c r="F446" s="140"/>
    </row>
    <row r="447">
      <c r="B447" s="373"/>
      <c r="C447" s="377"/>
      <c r="D447" s="377"/>
      <c r="E447" s="376"/>
      <c r="F447" s="140"/>
    </row>
    <row r="448">
      <c r="B448" s="373"/>
      <c r="C448" s="377"/>
      <c r="D448" s="377"/>
      <c r="E448" s="376"/>
      <c r="F448" s="140"/>
    </row>
    <row r="449">
      <c r="B449" s="373"/>
      <c r="C449" s="377"/>
      <c r="D449" s="377"/>
      <c r="E449" s="376"/>
      <c r="F449" s="140"/>
    </row>
    <row r="450">
      <c r="B450" s="373"/>
      <c r="C450" s="377"/>
      <c r="D450" s="377"/>
      <c r="E450" s="376"/>
      <c r="F450" s="140"/>
    </row>
    <row r="451">
      <c r="B451" s="373"/>
      <c r="C451" s="377"/>
      <c r="D451" s="377"/>
      <c r="E451" s="376"/>
      <c r="F451" s="140"/>
    </row>
    <row r="452">
      <c r="B452" s="373"/>
      <c r="C452" s="377"/>
      <c r="D452" s="377"/>
      <c r="E452" s="376"/>
      <c r="F452" s="140"/>
    </row>
    <row r="453">
      <c r="B453" s="373"/>
      <c r="C453" s="377"/>
      <c r="D453" s="377"/>
      <c r="E453" s="376"/>
      <c r="F453" s="140"/>
    </row>
    <row r="454">
      <c r="B454" s="373"/>
      <c r="C454" s="377"/>
      <c r="D454" s="377"/>
      <c r="E454" s="376"/>
      <c r="F454" s="140"/>
    </row>
    <row r="455">
      <c r="B455" s="373"/>
      <c r="C455" s="377"/>
      <c r="D455" s="377"/>
      <c r="E455" s="376"/>
      <c r="F455" s="140"/>
    </row>
    <row r="456">
      <c r="B456" s="373"/>
      <c r="C456" s="377"/>
      <c r="D456" s="377"/>
      <c r="E456" s="376"/>
      <c r="F456" s="140"/>
    </row>
    <row r="457">
      <c r="B457" s="373"/>
      <c r="C457" s="377"/>
      <c r="D457" s="377"/>
      <c r="E457" s="376"/>
      <c r="F457" s="140"/>
    </row>
    <row r="458">
      <c r="B458" s="373"/>
      <c r="C458" s="377"/>
      <c r="D458" s="377"/>
      <c r="E458" s="376"/>
      <c r="F458" s="140"/>
    </row>
    <row r="459">
      <c r="B459" s="373"/>
      <c r="C459" s="377"/>
      <c r="D459" s="377"/>
      <c r="E459" s="376"/>
      <c r="F459" s="140"/>
    </row>
    <row r="460">
      <c r="B460" s="373"/>
      <c r="C460" s="377"/>
      <c r="D460" s="377"/>
      <c r="E460" s="376"/>
      <c r="F460" s="140"/>
    </row>
    <row r="461">
      <c r="B461" s="373"/>
      <c r="C461" s="377"/>
      <c r="D461" s="377"/>
      <c r="E461" s="376"/>
      <c r="F461" s="140"/>
    </row>
    <row r="462">
      <c r="B462" s="373"/>
      <c r="C462" s="377"/>
      <c r="D462" s="377"/>
      <c r="E462" s="376"/>
      <c r="F462" s="140"/>
    </row>
    <row r="463">
      <c r="B463" s="373"/>
      <c r="C463" s="377"/>
      <c r="D463" s="377"/>
      <c r="E463" s="376"/>
      <c r="F463" s="140"/>
    </row>
    <row r="464">
      <c r="B464" s="373"/>
      <c r="C464" s="377"/>
      <c r="D464" s="377"/>
      <c r="E464" s="376"/>
      <c r="F464" s="140"/>
    </row>
    <row r="465">
      <c r="B465" s="373"/>
      <c r="C465" s="377"/>
      <c r="D465" s="377"/>
      <c r="E465" s="376"/>
      <c r="F465" s="140"/>
    </row>
    <row r="466">
      <c r="B466" s="373"/>
      <c r="C466" s="377"/>
      <c r="D466" s="377"/>
      <c r="E466" s="376"/>
      <c r="F466" s="140"/>
    </row>
    <row r="467">
      <c r="B467" s="373"/>
      <c r="C467" s="377"/>
      <c r="D467" s="377"/>
      <c r="E467" s="376"/>
      <c r="F467" s="140"/>
    </row>
    <row r="468">
      <c r="B468" s="373"/>
      <c r="C468" s="377"/>
      <c r="D468" s="377"/>
      <c r="E468" s="376"/>
      <c r="F468" s="140"/>
    </row>
    <row r="469">
      <c r="B469" s="373"/>
      <c r="C469" s="377"/>
      <c r="D469" s="377"/>
      <c r="E469" s="376"/>
      <c r="F469" s="140"/>
    </row>
    <row r="470">
      <c r="B470" s="373"/>
      <c r="C470" s="377"/>
      <c r="D470" s="377"/>
      <c r="E470" s="376"/>
      <c r="F470" s="140"/>
    </row>
    <row r="471">
      <c r="B471" s="373"/>
      <c r="C471" s="377"/>
      <c r="D471" s="377"/>
      <c r="E471" s="376"/>
      <c r="F471" s="140"/>
    </row>
    <row r="472">
      <c r="B472" s="373"/>
      <c r="C472" s="377"/>
      <c r="D472" s="377"/>
      <c r="E472" s="376"/>
      <c r="F472" s="140"/>
    </row>
    <row r="473">
      <c r="B473" s="373"/>
      <c r="C473" s="377"/>
      <c r="D473" s="377"/>
      <c r="E473" s="376"/>
      <c r="F473" s="140"/>
    </row>
    <row r="474">
      <c r="B474" s="373"/>
      <c r="C474" s="377"/>
      <c r="D474" s="377"/>
      <c r="E474" s="376"/>
      <c r="F474" s="140"/>
    </row>
    <row r="475">
      <c r="B475" s="373"/>
      <c r="C475" s="377"/>
      <c r="D475" s="377"/>
      <c r="E475" s="376"/>
      <c r="F475" s="140"/>
    </row>
    <row r="476">
      <c r="B476" s="373"/>
      <c r="C476" s="377"/>
      <c r="D476" s="377"/>
      <c r="E476" s="376"/>
      <c r="F476" s="140"/>
    </row>
    <row r="477">
      <c r="B477" s="373"/>
      <c r="C477" s="377"/>
      <c r="D477" s="377"/>
      <c r="E477" s="376"/>
      <c r="F477" s="140"/>
    </row>
    <row r="478">
      <c r="B478" s="373"/>
      <c r="C478" s="377"/>
      <c r="D478" s="377"/>
      <c r="E478" s="376"/>
      <c r="F478" s="140"/>
    </row>
    <row r="479">
      <c r="B479" s="373"/>
      <c r="C479" s="377"/>
      <c r="D479" s="377"/>
      <c r="E479" s="376"/>
      <c r="F479" s="140"/>
    </row>
    <row r="480">
      <c r="B480" s="373"/>
      <c r="C480" s="377"/>
      <c r="D480" s="377"/>
      <c r="E480" s="376"/>
      <c r="F480" s="140"/>
    </row>
    <row r="481">
      <c r="B481" s="373"/>
      <c r="C481" s="377"/>
      <c r="D481" s="377"/>
      <c r="E481" s="376"/>
      <c r="F481" s="140"/>
    </row>
    <row r="482">
      <c r="B482" s="373"/>
      <c r="C482" s="377"/>
      <c r="D482" s="377"/>
      <c r="E482" s="376"/>
      <c r="F482" s="140"/>
    </row>
    <row r="483">
      <c r="B483" s="373"/>
      <c r="C483" s="377"/>
      <c r="D483" s="377"/>
      <c r="E483" s="376"/>
      <c r="F483" s="140"/>
    </row>
    <row r="484">
      <c r="B484" s="373"/>
      <c r="C484" s="377"/>
      <c r="D484" s="377"/>
      <c r="E484" s="376"/>
      <c r="F484" s="140"/>
    </row>
    <row r="485">
      <c r="B485" s="373"/>
      <c r="C485" s="377"/>
      <c r="D485" s="377"/>
      <c r="E485" s="376"/>
      <c r="F485" s="140"/>
    </row>
    <row r="486">
      <c r="B486" s="373"/>
      <c r="C486" s="377"/>
      <c r="D486" s="377"/>
      <c r="E486" s="376"/>
      <c r="F486" s="140"/>
    </row>
    <row r="487">
      <c r="B487" s="373"/>
      <c r="C487" s="377"/>
      <c r="D487" s="377"/>
      <c r="E487" s="376"/>
      <c r="F487" s="140"/>
    </row>
    <row r="488">
      <c r="B488" s="373"/>
      <c r="C488" s="377"/>
      <c r="D488" s="377"/>
      <c r="E488" s="376"/>
      <c r="F488" s="140"/>
    </row>
    <row r="489">
      <c r="B489" s="373"/>
      <c r="C489" s="377"/>
      <c r="D489" s="377"/>
      <c r="E489" s="376"/>
      <c r="F489" s="140"/>
    </row>
    <row r="490">
      <c r="B490" s="373"/>
      <c r="C490" s="377"/>
      <c r="D490" s="377"/>
      <c r="E490" s="376"/>
      <c r="F490" s="140"/>
    </row>
    <row r="491">
      <c r="B491" s="373"/>
      <c r="C491" s="377"/>
      <c r="D491" s="377"/>
      <c r="E491" s="376"/>
      <c r="F491" s="140"/>
    </row>
    <row r="492">
      <c r="B492" s="373"/>
      <c r="C492" s="377"/>
      <c r="D492" s="377"/>
      <c r="E492" s="376"/>
      <c r="F492" s="140"/>
    </row>
    <row r="493">
      <c r="B493" s="373"/>
      <c r="C493" s="377"/>
      <c r="D493" s="377"/>
      <c r="E493" s="376"/>
      <c r="F493" s="140"/>
    </row>
    <row r="494">
      <c r="B494" s="373"/>
      <c r="C494" s="377"/>
      <c r="D494" s="377"/>
      <c r="E494" s="376"/>
      <c r="F494" s="140"/>
    </row>
    <row r="495">
      <c r="B495" s="373"/>
      <c r="C495" s="377"/>
      <c r="D495" s="377"/>
      <c r="E495" s="376"/>
      <c r="F495" s="140"/>
    </row>
    <row r="496">
      <c r="B496" s="373"/>
      <c r="C496" s="377"/>
      <c r="D496" s="377"/>
      <c r="E496" s="376"/>
      <c r="F496" s="140"/>
    </row>
    <row r="497">
      <c r="B497" s="373"/>
      <c r="C497" s="377"/>
      <c r="D497" s="377"/>
      <c r="E497" s="376"/>
      <c r="F497" s="140"/>
    </row>
    <row r="498">
      <c r="B498" s="373"/>
      <c r="C498" s="377"/>
      <c r="D498" s="377"/>
      <c r="E498" s="376"/>
      <c r="F498" s="140"/>
    </row>
    <row r="499">
      <c r="B499" s="373"/>
      <c r="C499" s="377"/>
      <c r="D499" s="377"/>
      <c r="E499" s="376"/>
      <c r="F499" s="140"/>
    </row>
    <row r="500">
      <c r="B500" s="373"/>
      <c r="C500" s="377"/>
      <c r="D500" s="377"/>
      <c r="E500" s="376"/>
      <c r="F500" s="140"/>
    </row>
    <row r="501">
      <c r="B501" s="373"/>
      <c r="C501" s="377"/>
      <c r="D501" s="377"/>
      <c r="E501" s="376"/>
      <c r="F501" s="140"/>
    </row>
    <row r="502">
      <c r="B502" s="373"/>
      <c r="C502" s="377"/>
      <c r="D502" s="377"/>
      <c r="E502" s="376"/>
      <c r="F502" s="140"/>
    </row>
    <row r="503">
      <c r="B503" s="373"/>
      <c r="C503" s="377"/>
      <c r="D503" s="377"/>
      <c r="E503" s="376"/>
      <c r="F503" s="140"/>
    </row>
    <row r="504">
      <c r="B504" s="373"/>
      <c r="C504" s="377"/>
      <c r="D504" s="377"/>
      <c r="E504" s="376"/>
      <c r="F504" s="140"/>
    </row>
    <row r="505">
      <c r="B505" s="373"/>
      <c r="C505" s="377"/>
      <c r="D505" s="377"/>
      <c r="E505" s="376"/>
      <c r="F505" s="140"/>
    </row>
    <row r="506">
      <c r="B506" s="373"/>
      <c r="C506" s="377"/>
      <c r="D506" s="377"/>
      <c r="E506" s="376"/>
      <c r="F506" s="140"/>
    </row>
    <row r="507">
      <c r="B507" s="373"/>
      <c r="C507" s="377"/>
      <c r="D507" s="377"/>
      <c r="E507" s="376"/>
      <c r="F507" s="140"/>
    </row>
    <row r="508">
      <c r="B508" s="373"/>
      <c r="C508" s="377"/>
      <c r="D508" s="377"/>
      <c r="E508" s="376"/>
      <c r="F508" s="140"/>
    </row>
    <row r="509">
      <c r="B509" s="373"/>
      <c r="C509" s="377"/>
      <c r="D509" s="377"/>
      <c r="E509" s="376"/>
      <c r="F509" s="140"/>
    </row>
    <row r="510">
      <c r="B510" s="373"/>
      <c r="C510" s="377"/>
      <c r="D510" s="377"/>
      <c r="E510" s="376"/>
      <c r="F510" s="140"/>
    </row>
    <row r="511">
      <c r="B511" s="373"/>
      <c r="C511" s="377"/>
      <c r="D511" s="377"/>
      <c r="E511" s="376"/>
      <c r="F511" s="140"/>
    </row>
    <row r="512">
      <c r="B512" s="373"/>
      <c r="C512" s="377"/>
      <c r="D512" s="377"/>
      <c r="E512" s="376"/>
      <c r="F512" s="140"/>
    </row>
    <row r="513">
      <c r="B513" s="373"/>
      <c r="C513" s="377"/>
      <c r="D513" s="377"/>
      <c r="E513" s="376"/>
      <c r="F513" s="140"/>
    </row>
    <row r="514">
      <c r="B514" s="373"/>
      <c r="C514" s="377"/>
      <c r="D514" s="377"/>
      <c r="E514" s="376"/>
      <c r="F514" s="140"/>
    </row>
    <row r="515">
      <c r="B515" s="373"/>
      <c r="C515" s="377"/>
      <c r="D515" s="377"/>
      <c r="E515" s="376"/>
      <c r="F515" s="140"/>
    </row>
    <row r="516">
      <c r="B516" s="373"/>
      <c r="C516" s="377"/>
      <c r="D516" s="377"/>
      <c r="E516" s="376"/>
      <c r="F516" s="140"/>
    </row>
    <row r="517">
      <c r="B517" s="373"/>
      <c r="C517" s="377"/>
      <c r="D517" s="377"/>
      <c r="E517" s="376"/>
      <c r="F517" s="140"/>
    </row>
    <row r="518">
      <c r="B518" s="373"/>
      <c r="C518" s="377"/>
      <c r="D518" s="377"/>
      <c r="E518" s="376"/>
      <c r="F518" s="140"/>
    </row>
    <row r="519">
      <c r="B519" s="373"/>
      <c r="C519" s="377"/>
      <c r="D519" s="377"/>
      <c r="E519" s="376"/>
      <c r="F519" s="140"/>
    </row>
    <row r="520">
      <c r="B520" s="373"/>
      <c r="C520" s="377"/>
      <c r="D520" s="377"/>
      <c r="E520" s="376"/>
      <c r="F520" s="140"/>
    </row>
    <row r="521">
      <c r="B521" s="373"/>
      <c r="C521" s="377"/>
      <c r="D521" s="377"/>
      <c r="E521" s="376"/>
      <c r="F521" s="140"/>
    </row>
    <row r="522">
      <c r="B522" s="373"/>
      <c r="C522" s="377"/>
      <c r="D522" s="377"/>
      <c r="E522" s="376"/>
      <c r="F522" s="140"/>
    </row>
    <row r="523">
      <c r="B523" s="373"/>
      <c r="C523" s="377"/>
      <c r="D523" s="377"/>
      <c r="E523" s="376"/>
      <c r="F523" s="140"/>
    </row>
    <row r="524">
      <c r="B524" s="373"/>
      <c r="C524" s="377"/>
      <c r="D524" s="377"/>
      <c r="E524" s="376"/>
      <c r="F524" s="140"/>
    </row>
    <row r="525">
      <c r="B525" s="373"/>
      <c r="C525" s="377"/>
      <c r="D525" s="377"/>
      <c r="E525" s="376"/>
      <c r="F525" s="140"/>
    </row>
    <row r="526">
      <c r="B526" s="373"/>
      <c r="C526" s="377"/>
      <c r="D526" s="377"/>
      <c r="E526" s="376"/>
      <c r="F526" s="140"/>
    </row>
    <row r="527">
      <c r="B527" s="373"/>
      <c r="C527" s="377"/>
      <c r="D527" s="377"/>
      <c r="E527" s="376"/>
      <c r="F527" s="140"/>
    </row>
    <row r="528">
      <c r="B528" s="373"/>
      <c r="C528" s="377"/>
      <c r="D528" s="377"/>
      <c r="E528" s="376"/>
      <c r="F528" s="140"/>
    </row>
    <row r="529">
      <c r="B529" s="373"/>
      <c r="C529" s="377"/>
      <c r="D529" s="377"/>
      <c r="E529" s="376"/>
      <c r="F529" s="140"/>
    </row>
    <row r="530">
      <c r="B530" s="373"/>
      <c r="C530" s="377"/>
      <c r="D530" s="377"/>
      <c r="E530" s="376"/>
      <c r="F530" s="140"/>
    </row>
    <row r="531">
      <c r="B531" s="373"/>
      <c r="C531" s="377"/>
      <c r="D531" s="377"/>
      <c r="E531" s="376"/>
      <c r="F531" s="140"/>
    </row>
    <row r="532">
      <c r="B532" s="373"/>
      <c r="C532" s="377"/>
      <c r="D532" s="377"/>
      <c r="E532" s="376"/>
      <c r="F532" s="140"/>
    </row>
    <row r="533">
      <c r="B533" s="373"/>
      <c r="C533" s="377"/>
      <c r="D533" s="377"/>
      <c r="E533" s="376"/>
      <c r="F533" s="140"/>
    </row>
    <row r="534">
      <c r="B534" s="373"/>
      <c r="C534" s="377"/>
      <c r="D534" s="377"/>
      <c r="E534" s="376"/>
      <c r="F534" s="140"/>
    </row>
    <row r="535">
      <c r="B535" s="373"/>
      <c r="C535" s="377"/>
      <c r="D535" s="377"/>
      <c r="E535" s="376"/>
      <c r="F535" s="140"/>
    </row>
    <row r="536">
      <c r="B536" s="373"/>
      <c r="C536" s="377"/>
      <c r="D536" s="377"/>
      <c r="E536" s="376"/>
      <c r="F536" s="140"/>
    </row>
    <row r="537">
      <c r="B537" s="373"/>
      <c r="C537" s="377"/>
      <c r="D537" s="377"/>
      <c r="E537" s="376"/>
      <c r="F537" s="140"/>
    </row>
    <row r="538">
      <c r="B538" s="373"/>
      <c r="C538" s="377"/>
      <c r="D538" s="377"/>
      <c r="E538" s="376"/>
      <c r="F538" s="140"/>
    </row>
    <row r="539">
      <c r="B539" s="373"/>
      <c r="C539" s="377"/>
      <c r="D539" s="377"/>
      <c r="E539" s="376"/>
      <c r="F539" s="140"/>
    </row>
    <row r="540">
      <c r="B540" s="373"/>
      <c r="C540" s="377"/>
      <c r="D540" s="377"/>
      <c r="E540" s="376"/>
      <c r="F540" s="140"/>
    </row>
    <row r="541">
      <c r="B541" s="373"/>
      <c r="C541" s="377"/>
      <c r="D541" s="377"/>
      <c r="E541" s="376"/>
      <c r="F541" s="140"/>
    </row>
    <row r="542">
      <c r="B542" s="373"/>
      <c r="C542" s="377"/>
      <c r="D542" s="377"/>
      <c r="E542" s="376"/>
      <c r="F542" s="140"/>
    </row>
    <row r="543">
      <c r="B543" s="373"/>
      <c r="C543" s="377"/>
      <c r="D543" s="377"/>
      <c r="E543" s="376"/>
      <c r="F543" s="140"/>
    </row>
    <row r="544">
      <c r="B544" s="373"/>
      <c r="C544" s="377"/>
      <c r="D544" s="377"/>
      <c r="E544" s="376"/>
      <c r="F544" s="140"/>
    </row>
    <row r="545">
      <c r="B545" s="373"/>
      <c r="C545" s="377"/>
      <c r="D545" s="377"/>
      <c r="E545" s="376"/>
      <c r="F545" s="140"/>
    </row>
    <row r="546">
      <c r="B546" s="373"/>
      <c r="C546" s="377"/>
      <c r="D546" s="377"/>
      <c r="E546" s="376"/>
      <c r="F546" s="140"/>
    </row>
    <row r="547">
      <c r="B547" s="373"/>
      <c r="C547" s="377"/>
      <c r="D547" s="377"/>
      <c r="E547" s="376"/>
      <c r="F547" s="140"/>
    </row>
    <row r="548">
      <c r="B548" s="373"/>
      <c r="C548" s="377"/>
      <c r="D548" s="377"/>
      <c r="E548" s="376"/>
      <c r="F548" s="140"/>
    </row>
    <row r="549">
      <c r="B549" s="373"/>
      <c r="C549" s="377"/>
      <c r="D549" s="377"/>
      <c r="E549" s="376"/>
      <c r="F549" s="140"/>
    </row>
    <row r="550">
      <c r="B550" s="373"/>
      <c r="C550" s="377"/>
      <c r="D550" s="377"/>
      <c r="E550" s="376"/>
      <c r="F550" s="140"/>
    </row>
    <row r="551">
      <c r="B551" s="373"/>
      <c r="C551" s="377"/>
      <c r="D551" s="377"/>
      <c r="E551" s="376"/>
      <c r="F551" s="140"/>
    </row>
    <row r="552">
      <c r="B552" s="373"/>
      <c r="C552" s="377"/>
      <c r="D552" s="377"/>
      <c r="E552" s="376"/>
      <c r="F552" s="140"/>
    </row>
    <row r="553">
      <c r="B553" s="373"/>
      <c r="C553" s="377"/>
      <c r="D553" s="377"/>
      <c r="E553" s="376"/>
      <c r="F553" s="140"/>
    </row>
    <row r="554">
      <c r="B554" s="373"/>
      <c r="C554" s="377"/>
      <c r="D554" s="377"/>
      <c r="E554" s="376"/>
      <c r="F554" s="140"/>
    </row>
    <row r="555">
      <c r="B555" s="373"/>
      <c r="C555" s="377"/>
      <c r="D555" s="377"/>
      <c r="E555" s="376"/>
      <c r="F555" s="140"/>
    </row>
    <row r="556">
      <c r="B556" s="373"/>
      <c r="C556" s="377"/>
      <c r="D556" s="377"/>
      <c r="E556" s="376"/>
      <c r="F556" s="140"/>
    </row>
    <row r="557">
      <c r="B557" s="373"/>
      <c r="C557" s="377"/>
      <c r="D557" s="377"/>
      <c r="E557" s="376"/>
      <c r="F557" s="140"/>
    </row>
    <row r="558">
      <c r="B558" s="373"/>
      <c r="C558" s="377"/>
      <c r="D558" s="377"/>
      <c r="E558" s="376"/>
      <c r="F558" s="140"/>
    </row>
    <row r="559">
      <c r="B559" s="373"/>
      <c r="C559" s="377"/>
      <c r="D559" s="377"/>
      <c r="E559" s="376"/>
      <c r="F559" s="140"/>
    </row>
    <row r="560">
      <c r="B560" s="373"/>
      <c r="C560" s="377"/>
      <c r="D560" s="377"/>
      <c r="E560" s="376"/>
      <c r="F560" s="140"/>
    </row>
    <row r="561">
      <c r="B561" s="373"/>
      <c r="C561" s="377"/>
      <c r="D561" s="377"/>
      <c r="E561" s="376"/>
      <c r="F561" s="140"/>
    </row>
    <row r="562">
      <c r="B562" s="373"/>
      <c r="C562" s="377"/>
      <c r="D562" s="377"/>
      <c r="E562" s="376"/>
      <c r="F562" s="140"/>
    </row>
    <row r="563">
      <c r="B563" s="373"/>
      <c r="C563" s="377"/>
      <c r="D563" s="377"/>
      <c r="E563" s="376"/>
      <c r="F563" s="140"/>
    </row>
    <row r="564">
      <c r="B564" s="373"/>
      <c r="C564" s="377"/>
      <c r="D564" s="377"/>
      <c r="E564" s="376"/>
      <c r="F564" s="140"/>
    </row>
    <row r="565">
      <c r="B565" s="373"/>
      <c r="C565" s="377"/>
      <c r="D565" s="377"/>
      <c r="E565" s="376"/>
      <c r="F565" s="140"/>
    </row>
    <row r="566">
      <c r="B566" s="373"/>
      <c r="C566" s="377"/>
      <c r="D566" s="377"/>
      <c r="E566" s="376"/>
      <c r="F566" s="140"/>
    </row>
    <row r="567">
      <c r="B567" s="373"/>
      <c r="C567" s="377"/>
      <c r="D567" s="377"/>
      <c r="E567" s="376"/>
      <c r="F567" s="140"/>
    </row>
    <row r="568">
      <c r="B568" s="373"/>
      <c r="C568" s="377"/>
      <c r="D568" s="377"/>
      <c r="E568" s="376"/>
      <c r="F568" s="140"/>
    </row>
    <row r="569">
      <c r="B569" s="373"/>
      <c r="C569" s="377"/>
      <c r="D569" s="377"/>
      <c r="E569" s="376"/>
      <c r="F569" s="140"/>
    </row>
    <row r="570">
      <c r="B570" s="373"/>
      <c r="C570" s="377"/>
      <c r="D570" s="377"/>
      <c r="E570" s="376"/>
      <c r="F570" s="140"/>
    </row>
    <row r="571">
      <c r="B571" s="373"/>
      <c r="C571" s="377"/>
      <c r="D571" s="377"/>
      <c r="E571" s="376"/>
      <c r="F571" s="140"/>
    </row>
    <row r="572">
      <c r="B572" s="373"/>
      <c r="C572" s="377"/>
      <c r="D572" s="377"/>
      <c r="E572" s="376"/>
      <c r="F572" s="140"/>
    </row>
    <row r="573">
      <c r="B573" s="373"/>
      <c r="C573" s="377"/>
      <c r="D573" s="377"/>
      <c r="E573" s="376"/>
      <c r="F573" s="140"/>
    </row>
    <row r="574">
      <c r="B574" s="373"/>
      <c r="C574" s="377"/>
      <c r="D574" s="377"/>
      <c r="E574" s="376"/>
      <c r="F574" s="140"/>
    </row>
    <row r="575">
      <c r="B575" s="373"/>
      <c r="C575" s="377"/>
      <c r="D575" s="377"/>
      <c r="E575" s="376"/>
      <c r="F575" s="140"/>
    </row>
    <row r="576">
      <c r="B576" s="373"/>
      <c r="C576" s="377"/>
      <c r="D576" s="377"/>
      <c r="E576" s="376"/>
      <c r="F576" s="140"/>
    </row>
    <row r="577">
      <c r="B577" s="373"/>
      <c r="C577" s="377"/>
      <c r="D577" s="377"/>
      <c r="E577" s="376"/>
      <c r="F577" s="140"/>
    </row>
    <row r="578">
      <c r="B578" s="373"/>
      <c r="C578" s="377"/>
      <c r="D578" s="377"/>
      <c r="E578" s="376"/>
      <c r="F578" s="140"/>
    </row>
    <row r="579">
      <c r="B579" s="373"/>
      <c r="C579" s="377"/>
      <c r="D579" s="377"/>
      <c r="E579" s="376"/>
      <c r="F579" s="140"/>
    </row>
    <row r="580">
      <c r="B580" s="373"/>
      <c r="C580" s="377"/>
      <c r="D580" s="377"/>
      <c r="E580" s="376"/>
      <c r="F580" s="140"/>
    </row>
    <row r="581">
      <c r="B581" s="373"/>
      <c r="C581" s="377"/>
      <c r="D581" s="377"/>
      <c r="E581" s="376"/>
      <c r="F581" s="140"/>
    </row>
    <row r="582">
      <c r="B582" s="373"/>
      <c r="C582" s="377"/>
      <c r="D582" s="377"/>
      <c r="E582" s="376"/>
      <c r="F582" s="140"/>
    </row>
    <row r="583">
      <c r="B583" s="373"/>
      <c r="C583" s="377"/>
      <c r="D583" s="377"/>
      <c r="E583" s="376"/>
      <c r="F583" s="140"/>
    </row>
    <row r="584">
      <c r="B584" s="373"/>
      <c r="C584" s="377"/>
      <c r="D584" s="377"/>
      <c r="E584" s="376"/>
      <c r="F584" s="140"/>
    </row>
    <row r="585">
      <c r="B585" s="373"/>
      <c r="C585" s="377"/>
      <c r="D585" s="377"/>
      <c r="E585" s="376"/>
      <c r="F585" s="140"/>
    </row>
    <row r="586">
      <c r="B586" s="373"/>
      <c r="C586" s="377"/>
      <c r="D586" s="377"/>
      <c r="E586" s="376"/>
      <c r="F586" s="140"/>
    </row>
    <row r="587">
      <c r="B587" s="373"/>
      <c r="C587" s="377"/>
      <c r="D587" s="377"/>
      <c r="E587" s="376"/>
      <c r="F587" s="140"/>
    </row>
    <row r="588">
      <c r="B588" s="373"/>
      <c r="C588" s="377"/>
      <c r="D588" s="377"/>
      <c r="E588" s="376"/>
      <c r="F588" s="140"/>
    </row>
    <row r="589">
      <c r="B589" s="373"/>
      <c r="C589" s="377"/>
      <c r="D589" s="377"/>
      <c r="E589" s="376"/>
      <c r="F589" s="140"/>
    </row>
    <row r="590">
      <c r="B590" s="373"/>
      <c r="C590" s="377"/>
      <c r="D590" s="377"/>
      <c r="E590" s="376"/>
      <c r="F590" s="140"/>
    </row>
    <row r="591">
      <c r="B591" s="373"/>
      <c r="C591" s="377"/>
      <c r="D591" s="377"/>
      <c r="E591" s="376"/>
      <c r="F591" s="140"/>
    </row>
    <row r="592">
      <c r="B592" s="373"/>
      <c r="C592" s="377"/>
      <c r="D592" s="377"/>
      <c r="E592" s="376"/>
      <c r="F592" s="140"/>
    </row>
    <row r="593">
      <c r="B593" s="373"/>
      <c r="C593" s="377"/>
      <c r="D593" s="377"/>
      <c r="E593" s="376"/>
      <c r="F593" s="140"/>
    </row>
    <row r="594">
      <c r="B594" s="373"/>
      <c r="C594" s="377"/>
      <c r="D594" s="377"/>
      <c r="E594" s="376"/>
      <c r="F594" s="140"/>
    </row>
    <row r="595">
      <c r="B595" s="373"/>
      <c r="C595" s="377"/>
      <c r="D595" s="377"/>
      <c r="E595" s="376"/>
      <c r="F595" s="140"/>
    </row>
    <row r="596">
      <c r="B596" s="373"/>
      <c r="C596" s="377"/>
      <c r="D596" s="377"/>
      <c r="E596" s="376"/>
      <c r="F596" s="140"/>
    </row>
    <row r="597">
      <c r="B597" s="373"/>
      <c r="C597" s="377"/>
      <c r="D597" s="377"/>
      <c r="E597" s="376"/>
      <c r="F597" s="140"/>
    </row>
    <row r="598">
      <c r="B598" s="373"/>
      <c r="C598" s="377"/>
      <c r="D598" s="377"/>
      <c r="E598" s="376"/>
      <c r="F598" s="140"/>
    </row>
    <row r="599">
      <c r="B599" s="373"/>
      <c r="C599" s="377"/>
      <c r="D599" s="377"/>
      <c r="E599" s="376"/>
      <c r="F599" s="140"/>
    </row>
    <row r="600">
      <c r="B600" s="373"/>
      <c r="C600" s="377"/>
      <c r="D600" s="377"/>
      <c r="E600" s="376"/>
      <c r="F600" s="140"/>
    </row>
    <row r="601">
      <c r="B601" s="373"/>
      <c r="C601" s="377"/>
      <c r="D601" s="377"/>
      <c r="E601" s="376"/>
      <c r="F601" s="140"/>
    </row>
    <row r="602">
      <c r="B602" s="373"/>
      <c r="C602" s="377"/>
      <c r="D602" s="377"/>
      <c r="E602" s="376"/>
      <c r="F602" s="140"/>
    </row>
    <row r="603">
      <c r="B603" s="373"/>
      <c r="C603" s="377"/>
      <c r="D603" s="377"/>
      <c r="E603" s="376"/>
      <c r="F603" s="140"/>
    </row>
    <row r="604">
      <c r="B604" s="373"/>
      <c r="C604" s="377"/>
      <c r="D604" s="377"/>
      <c r="E604" s="376"/>
      <c r="F604" s="140"/>
    </row>
    <row r="605">
      <c r="B605" s="373"/>
      <c r="C605" s="377"/>
      <c r="D605" s="377"/>
      <c r="E605" s="376"/>
      <c r="F605" s="140"/>
    </row>
    <row r="606">
      <c r="B606" s="373"/>
      <c r="C606" s="377"/>
      <c r="D606" s="377"/>
      <c r="E606" s="376"/>
      <c r="F606" s="140"/>
    </row>
    <row r="607">
      <c r="B607" s="373"/>
      <c r="C607" s="377"/>
      <c r="D607" s="377"/>
      <c r="E607" s="376"/>
      <c r="F607" s="140"/>
    </row>
    <row r="608">
      <c r="B608" s="373"/>
      <c r="C608" s="377"/>
      <c r="D608" s="377"/>
      <c r="E608" s="376"/>
      <c r="F608" s="140"/>
    </row>
    <row r="609">
      <c r="B609" s="373"/>
      <c r="C609" s="377"/>
      <c r="D609" s="377"/>
      <c r="E609" s="376"/>
      <c r="F609" s="140"/>
    </row>
    <row r="610">
      <c r="B610" s="373"/>
      <c r="C610" s="377"/>
      <c r="D610" s="377"/>
      <c r="E610" s="376"/>
      <c r="F610" s="140"/>
    </row>
    <row r="611">
      <c r="B611" s="373"/>
      <c r="C611" s="377"/>
      <c r="D611" s="377"/>
      <c r="E611" s="376"/>
      <c r="F611" s="140"/>
    </row>
    <row r="612">
      <c r="B612" s="373"/>
      <c r="C612" s="377"/>
      <c r="D612" s="377"/>
      <c r="E612" s="376"/>
      <c r="F612" s="140"/>
    </row>
    <row r="613">
      <c r="B613" s="373"/>
      <c r="C613" s="377"/>
      <c r="D613" s="377"/>
      <c r="E613" s="376"/>
      <c r="F613" s="140"/>
    </row>
    <row r="614">
      <c r="B614" s="373"/>
      <c r="C614" s="377"/>
      <c r="D614" s="377"/>
      <c r="E614" s="376"/>
      <c r="F614" s="140"/>
    </row>
    <row r="615">
      <c r="B615" s="373"/>
      <c r="C615" s="377"/>
      <c r="D615" s="377"/>
      <c r="E615" s="376"/>
      <c r="F615" s="140"/>
    </row>
    <row r="616">
      <c r="B616" s="373"/>
      <c r="C616" s="377"/>
      <c r="D616" s="377"/>
      <c r="E616" s="376"/>
      <c r="F616" s="140"/>
    </row>
    <row r="617">
      <c r="B617" s="373"/>
      <c r="C617" s="377"/>
      <c r="D617" s="377"/>
      <c r="E617" s="376"/>
      <c r="F617" s="140"/>
    </row>
    <row r="618">
      <c r="B618" s="373"/>
      <c r="C618" s="377"/>
      <c r="D618" s="377"/>
      <c r="E618" s="376"/>
      <c r="F618" s="140"/>
    </row>
    <row r="619">
      <c r="B619" s="373"/>
      <c r="C619" s="377"/>
      <c r="D619" s="377"/>
      <c r="E619" s="376"/>
      <c r="F619" s="140"/>
    </row>
    <row r="620">
      <c r="B620" s="373"/>
      <c r="C620" s="377"/>
      <c r="D620" s="377"/>
      <c r="E620" s="376"/>
      <c r="F620" s="140"/>
    </row>
    <row r="621">
      <c r="B621" s="373"/>
      <c r="C621" s="377"/>
      <c r="D621" s="377"/>
      <c r="E621" s="376"/>
      <c r="F621" s="140"/>
    </row>
    <row r="622">
      <c r="B622" s="373"/>
      <c r="C622" s="377"/>
      <c r="D622" s="377"/>
      <c r="E622" s="376"/>
      <c r="F622" s="140"/>
    </row>
    <row r="623">
      <c r="B623" s="373"/>
      <c r="C623" s="377"/>
      <c r="D623" s="377"/>
      <c r="E623" s="376"/>
      <c r="F623" s="140"/>
    </row>
    <row r="624">
      <c r="B624" s="373"/>
      <c r="C624" s="377"/>
      <c r="D624" s="377"/>
      <c r="E624" s="376"/>
      <c r="F624" s="140"/>
    </row>
    <row r="625">
      <c r="B625" s="373"/>
      <c r="C625" s="377"/>
      <c r="D625" s="377"/>
      <c r="E625" s="376"/>
      <c r="F625" s="140"/>
    </row>
    <row r="626">
      <c r="B626" s="373"/>
      <c r="C626" s="377"/>
      <c r="D626" s="377"/>
      <c r="E626" s="376"/>
      <c r="F626" s="140"/>
    </row>
    <row r="627">
      <c r="B627" s="373"/>
      <c r="C627" s="377"/>
      <c r="D627" s="377"/>
      <c r="E627" s="376"/>
      <c r="F627" s="140"/>
    </row>
    <row r="628">
      <c r="B628" s="373"/>
      <c r="C628" s="377"/>
      <c r="D628" s="377"/>
      <c r="E628" s="376"/>
      <c r="F628" s="140"/>
    </row>
    <row r="629">
      <c r="B629" s="373"/>
      <c r="C629" s="377"/>
      <c r="D629" s="377"/>
      <c r="E629" s="376"/>
      <c r="F629" s="140"/>
    </row>
    <row r="630">
      <c r="B630" s="373"/>
      <c r="C630" s="377"/>
      <c r="D630" s="377"/>
      <c r="E630" s="376"/>
      <c r="F630" s="140"/>
    </row>
    <row r="631">
      <c r="B631" s="373"/>
      <c r="C631" s="377"/>
      <c r="D631" s="377"/>
      <c r="E631" s="376"/>
      <c r="F631" s="140"/>
    </row>
    <row r="632">
      <c r="B632" s="373"/>
      <c r="C632" s="377"/>
      <c r="D632" s="377"/>
      <c r="E632" s="376"/>
      <c r="F632" s="140"/>
    </row>
    <row r="633">
      <c r="B633" s="373"/>
      <c r="C633" s="377"/>
      <c r="D633" s="377"/>
      <c r="E633" s="376"/>
      <c r="F633" s="140"/>
    </row>
    <row r="634">
      <c r="B634" s="373"/>
      <c r="C634" s="377"/>
      <c r="D634" s="377"/>
      <c r="E634" s="376"/>
      <c r="F634" s="140"/>
    </row>
    <row r="635">
      <c r="B635" s="373"/>
      <c r="C635" s="377"/>
      <c r="D635" s="377"/>
      <c r="E635" s="376"/>
      <c r="F635" s="140"/>
    </row>
    <row r="636">
      <c r="B636" s="373"/>
      <c r="C636" s="377"/>
      <c r="D636" s="377"/>
      <c r="E636" s="376"/>
      <c r="F636" s="140"/>
    </row>
    <row r="637">
      <c r="B637" s="373"/>
      <c r="C637" s="377"/>
      <c r="D637" s="377"/>
      <c r="E637" s="376"/>
      <c r="F637" s="140"/>
    </row>
    <row r="638">
      <c r="B638" s="373"/>
      <c r="C638" s="377"/>
      <c r="D638" s="377"/>
      <c r="E638" s="376"/>
      <c r="F638" s="140"/>
    </row>
    <row r="639">
      <c r="B639" s="373"/>
      <c r="C639" s="377"/>
      <c r="D639" s="377"/>
      <c r="E639" s="376"/>
      <c r="F639" s="140"/>
    </row>
    <row r="640">
      <c r="B640" s="373"/>
      <c r="C640" s="377"/>
      <c r="D640" s="377"/>
      <c r="E640" s="376"/>
      <c r="F640" s="140"/>
    </row>
    <row r="641">
      <c r="B641" s="373"/>
      <c r="C641" s="377"/>
      <c r="D641" s="377"/>
      <c r="E641" s="376"/>
      <c r="F641" s="140"/>
    </row>
    <row r="642">
      <c r="B642" s="373"/>
      <c r="C642" s="377"/>
      <c r="D642" s="377"/>
      <c r="E642" s="376"/>
      <c r="F642" s="140"/>
    </row>
    <row r="643">
      <c r="B643" s="373"/>
      <c r="C643" s="377"/>
      <c r="D643" s="377"/>
      <c r="E643" s="376"/>
      <c r="F643" s="140"/>
    </row>
    <row r="644">
      <c r="B644" s="373"/>
      <c r="C644" s="377"/>
      <c r="D644" s="377"/>
      <c r="E644" s="376"/>
      <c r="F644" s="140"/>
    </row>
    <row r="645">
      <c r="B645" s="373"/>
      <c r="C645" s="377"/>
      <c r="D645" s="377"/>
      <c r="E645" s="376"/>
      <c r="F645" s="140"/>
    </row>
    <row r="646">
      <c r="B646" s="373"/>
      <c r="C646" s="377"/>
      <c r="D646" s="377"/>
      <c r="E646" s="376"/>
      <c r="F646" s="140"/>
    </row>
    <row r="647">
      <c r="B647" s="373"/>
      <c r="C647" s="377"/>
      <c r="D647" s="377"/>
      <c r="E647" s="376"/>
      <c r="F647" s="140"/>
    </row>
    <row r="648">
      <c r="B648" s="373"/>
      <c r="C648" s="377"/>
      <c r="D648" s="377"/>
      <c r="E648" s="376"/>
      <c r="F648" s="140"/>
    </row>
    <row r="649">
      <c r="B649" s="373"/>
      <c r="C649" s="377"/>
      <c r="D649" s="377"/>
      <c r="E649" s="376"/>
      <c r="F649" s="140"/>
    </row>
    <row r="650">
      <c r="B650" s="373"/>
      <c r="C650" s="377"/>
      <c r="D650" s="377"/>
      <c r="E650" s="376"/>
      <c r="F650" s="140"/>
    </row>
    <row r="651">
      <c r="B651" s="373"/>
      <c r="C651" s="377"/>
      <c r="D651" s="377"/>
      <c r="E651" s="376"/>
      <c r="F651" s="140"/>
    </row>
    <row r="652">
      <c r="B652" s="373"/>
      <c r="C652" s="377"/>
      <c r="D652" s="377"/>
      <c r="E652" s="376"/>
      <c r="F652" s="140"/>
    </row>
    <row r="653">
      <c r="B653" s="373"/>
      <c r="C653" s="377"/>
      <c r="D653" s="377"/>
      <c r="E653" s="376"/>
      <c r="F653" s="140"/>
    </row>
    <row r="654">
      <c r="B654" s="373"/>
      <c r="C654" s="377"/>
      <c r="D654" s="377"/>
      <c r="E654" s="376"/>
      <c r="F654" s="140"/>
    </row>
    <row r="655">
      <c r="B655" s="373"/>
      <c r="C655" s="377"/>
      <c r="D655" s="377"/>
      <c r="E655" s="376"/>
      <c r="F655" s="140"/>
    </row>
    <row r="656">
      <c r="B656" s="373"/>
      <c r="C656" s="377"/>
      <c r="D656" s="377"/>
      <c r="E656" s="376"/>
      <c r="F656" s="140"/>
    </row>
    <row r="657">
      <c r="B657" s="373"/>
      <c r="C657" s="377"/>
      <c r="D657" s="377"/>
      <c r="E657" s="376"/>
      <c r="F657" s="140"/>
    </row>
    <row r="658">
      <c r="B658" s="373"/>
      <c r="C658" s="377"/>
      <c r="D658" s="377"/>
      <c r="E658" s="376"/>
      <c r="F658" s="140"/>
    </row>
    <row r="659">
      <c r="B659" s="373"/>
      <c r="C659" s="377"/>
      <c r="D659" s="377"/>
      <c r="E659" s="376"/>
      <c r="F659" s="140"/>
    </row>
    <row r="660">
      <c r="B660" s="373"/>
      <c r="C660" s="377"/>
      <c r="D660" s="377"/>
      <c r="E660" s="376"/>
      <c r="F660" s="140"/>
    </row>
    <row r="661">
      <c r="B661" s="373"/>
      <c r="C661" s="377"/>
      <c r="D661" s="377"/>
      <c r="E661" s="376"/>
      <c r="F661" s="140"/>
    </row>
    <row r="662">
      <c r="B662" s="373"/>
      <c r="C662" s="377"/>
      <c r="D662" s="377"/>
      <c r="E662" s="376"/>
      <c r="F662" s="140"/>
    </row>
    <row r="663">
      <c r="B663" s="373"/>
      <c r="C663" s="377"/>
      <c r="D663" s="377"/>
      <c r="E663" s="376"/>
      <c r="F663" s="140"/>
    </row>
    <row r="664">
      <c r="B664" s="373"/>
      <c r="C664" s="377"/>
      <c r="D664" s="377"/>
      <c r="E664" s="376"/>
      <c r="F664" s="140"/>
    </row>
    <row r="665">
      <c r="B665" s="373"/>
      <c r="C665" s="377"/>
      <c r="D665" s="377"/>
      <c r="E665" s="376"/>
      <c r="F665" s="140"/>
    </row>
    <row r="666">
      <c r="B666" s="373"/>
      <c r="C666" s="377"/>
      <c r="D666" s="377"/>
      <c r="E666" s="376"/>
      <c r="F666" s="140"/>
    </row>
    <row r="667">
      <c r="B667" s="373"/>
      <c r="C667" s="377"/>
      <c r="D667" s="377"/>
      <c r="E667" s="376"/>
      <c r="F667" s="140"/>
    </row>
    <row r="668">
      <c r="B668" s="373"/>
      <c r="C668" s="377"/>
      <c r="D668" s="377"/>
      <c r="E668" s="376"/>
      <c r="F668" s="140"/>
    </row>
    <row r="669">
      <c r="B669" s="373"/>
      <c r="C669" s="377"/>
      <c r="D669" s="377"/>
      <c r="E669" s="376"/>
      <c r="F669" s="140"/>
    </row>
    <row r="670">
      <c r="B670" s="373"/>
      <c r="C670" s="377"/>
      <c r="D670" s="377"/>
      <c r="E670" s="376"/>
      <c r="F670" s="140"/>
    </row>
    <row r="671">
      <c r="B671" s="373"/>
      <c r="C671" s="377"/>
      <c r="D671" s="377"/>
      <c r="E671" s="376"/>
      <c r="F671" s="140"/>
    </row>
    <row r="672">
      <c r="B672" s="373"/>
      <c r="C672" s="377"/>
      <c r="D672" s="377"/>
      <c r="E672" s="376"/>
      <c r="F672" s="140"/>
    </row>
    <row r="673">
      <c r="B673" s="373"/>
      <c r="C673" s="377"/>
      <c r="D673" s="377"/>
      <c r="E673" s="376"/>
      <c r="F673" s="140"/>
    </row>
    <row r="674">
      <c r="B674" s="373"/>
      <c r="C674" s="377"/>
      <c r="D674" s="377"/>
      <c r="E674" s="376"/>
      <c r="F674" s="140"/>
    </row>
    <row r="675">
      <c r="B675" s="373"/>
      <c r="C675" s="377"/>
      <c r="D675" s="377"/>
      <c r="E675" s="376"/>
      <c r="F675" s="140"/>
    </row>
    <row r="676">
      <c r="B676" s="373"/>
      <c r="C676" s="377"/>
      <c r="D676" s="377"/>
      <c r="E676" s="376"/>
      <c r="F676" s="140"/>
    </row>
    <row r="677">
      <c r="B677" s="373"/>
      <c r="C677" s="377"/>
      <c r="D677" s="377"/>
      <c r="E677" s="376"/>
      <c r="F677" s="140"/>
    </row>
    <row r="678">
      <c r="B678" s="373"/>
      <c r="C678" s="377"/>
      <c r="D678" s="377"/>
      <c r="E678" s="376"/>
      <c r="F678" s="140"/>
    </row>
    <row r="679">
      <c r="B679" s="373"/>
      <c r="C679" s="377"/>
      <c r="D679" s="377"/>
      <c r="E679" s="376"/>
      <c r="F679" s="140"/>
    </row>
    <row r="680">
      <c r="B680" s="373"/>
      <c r="C680" s="377"/>
      <c r="D680" s="377"/>
      <c r="E680" s="376"/>
      <c r="F680" s="140"/>
    </row>
    <row r="681">
      <c r="B681" s="373"/>
      <c r="C681" s="377"/>
      <c r="D681" s="377"/>
      <c r="E681" s="376"/>
      <c r="F681" s="140"/>
    </row>
    <row r="682">
      <c r="B682" s="373"/>
      <c r="C682" s="377"/>
      <c r="D682" s="377"/>
      <c r="E682" s="376"/>
      <c r="F682" s="140"/>
    </row>
    <row r="683">
      <c r="B683" s="373"/>
      <c r="C683" s="377"/>
      <c r="D683" s="377"/>
      <c r="E683" s="376"/>
      <c r="F683" s="140"/>
    </row>
    <row r="684">
      <c r="B684" s="373"/>
      <c r="C684" s="377"/>
      <c r="D684" s="377"/>
      <c r="E684" s="376"/>
      <c r="F684" s="140"/>
    </row>
    <row r="685">
      <c r="B685" s="373"/>
      <c r="C685" s="377"/>
      <c r="D685" s="377"/>
      <c r="E685" s="376"/>
      <c r="F685" s="140"/>
    </row>
    <row r="686">
      <c r="B686" s="373"/>
      <c r="C686" s="377"/>
      <c r="D686" s="377"/>
      <c r="E686" s="376"/>
      <c r="F686" s="140"/>
    </row>
    <row r="687">
      <c r="B687" s="373"/>
      <c r="C687" s="377"/>
      <c r="D687" s="377"/>
      <c r="E687" s="376"/>
      <c r="F687" s="140"/>
    </row>
    <row r="688">
      <c r="B688" s="373"/>
      <c r="C688" s="377"/>
      <c r="D688" s="377"/>
      <c r="E688" s="376"/>
      <c r="F688" s="140"/>
    </row>
    <row r="689">
      <c r="B689" s="373"/>
      <c r="C689" s="377"/>
      <c r="D689" s="377"/>
      <c r="E689" s="376"/>
      <c r="F689" s="140"/>
    </row>
    <row r="690">
      <c r="B690" s="373"/>
      <c r="C690" s="377"/>
      <c r="D690" s="377"/>
      <c r="E690" s="376"/>
      <c r="F690" s="140"/>
    </row>
    <row r="691">
      <c r="B691" s="373"/>
      <c r="C691" s="377"/>
      <c r="D691" s="377"/>
      <c r="E691" s="376"/>
      <c r="F691" s="140"/>
    </row>
    <row r="692">
      <c r="B692" s="373"/>
      <c r="C692" s="377"/>
      <c r="D692" s="377"/>
      <c r="E692" s="376"/>
      <c r="F692" s="140"/>
    </row>
    <row r="693">
      <c r="B693" s="373"/>
      <c r="C693" s="377"/>
      <c r="D693" s="377"/>
      <c r="E693" s="376"/>
      <c r="F693" s="140"/>
    </row>
    <row r="694">
      <c r="B694" s="373"/>
      <c r="C694" s="377"/>
      <c r="D694" s="377"/>
      <c r="E694" s="376"/>
      <c r="F694" s="140"/>
    </row>
    <row r="695">
      <c r="B695" s="373"/>
      <c r="C695" s="377"/>
      <c r="D695" s="377"/>
      <c r="E695" s="376"/>
      <c r="F695" s="140"/>
    </row>
    <row r="696">
      <c r="B696" s="373"/>
      <c r="C696" s="377"/>
      <c r="D696" s="377"/>
      <c r="E696" s="376"/>
      <c r="F696" s="140"/>
    </row>
    <row r="697">
      <c r="B697" s="373"/>
      <c r="C697" s="377"/>
      <c r="D697" s="377"/>
      <c r="E697" s="376"/>
      <c r="F697" s="140"/>
    </row>
    <row r="698">
      <c r="B698" s="373"/>
      <c r="C698" s="377"/>
      <c r="D698" s="377"/>
      <c r="E698" s="376"/>
      <c r="F698" s="140"/>
    </row>
    <row r="699">
      <c r="B699" s="373"/>
      <c r="C699" s="377"/>
      <c r="D699" s="377"/>
      <c r="E699" s="376"/>
      <c r="F699" s="140"/>
    </row>
    <row r="700">
      <c r="B700" s="373"/>
      <c r="C700" s="377"/>
      <c r="D700" s="377"/>
      <c r="E700" s="376"/>
      <c r="F700" s="140"/>
    </row>
    <row r="701">
      <c r="B701" s="373"/>
      <c r="C701" s="377"/>
      <c r="D701" s="377"/>
      <c r="E701" s="376"/>
      <c r="F701" s="140"/>
    </row>
    <row r="702">
      <c r="B702" s="373"/>
      <c r="C702" s="377"/>
      <c r="D702" s="377"/>
      <c r="E702" s="376"/>
      <c r="F702" s="140"/>
    </row>
    <row r="703">
      <c r="B703" s="373"/>
      <c r="C703" s="377"/>
      <c r="D703" s="377"/>
      <c r="E703" s="376"/>
      <c r="F703" s="140"/>
    </row>
    <row r="704">
      <c r="B704" s="373"/>
      <c r="C704" s="377"/>
      <c r="D704" s="377"/>
      <c r="E704" s="376"/>
      <c r="F704" s="140"/>
    </row>
    <row r="705">
      <c r="B705" s="373"/>
      <c r="C705" s="377"/>
      <c r="D705" s="377"/>
      <c r="E705" s="376"/>
      <c r="F705" s="140"/>
    </row>
    <row r="706">
      <c r="B706" s="373"/>
      <c r="C706" s="377"/>
      <c r="D706" s="377"/>
      <c r="E706" s="376"/>
      <c r="F706" s="140"/>
    </row>
    <row r="707">
      <c r="B707" s="373"/>
      <c r="C707" s="377"/>
      <c r="D707" s="377"/>
      <c r="E707" s="376"/>
      <c r="F707" s="140"/>
    </row>
    <row r="708">
      <c r="B708" s="373"/>
      <c r="C708" s="377"/>
      <c r="D708" s="377"/>
      <c r="E708" s="376"/>
      <c r="F708" s="140"/>
    </row>
    <row r="709">
      <c r="B709" s="373"/>
      <c r="C709" s="377"/>
      <c r="D709" s="377"/>
      <c r="E709" s="376"/>
      <c r="F709" s="140"/>
    </row>
    <row r="710">
      <c r="B710" s="373"/>
      <c r="C710" s="377"/>
      <c r="D710" s="377"/>
      <c r="E710" s="376"/>
      <c r="F710" s="140"/>
    </row>
    <row r="711">
      <c r="B711" s="373"/>
      <c r="C711" s="377"/>
      <c r="D711" s="377"/>
      <c r="E711" s="376"/>
      <c r="F711" s="140"/>
    </row>
    <row r="712">
      <c r="B712" s="373"/>
      <c r="C712" s="377"/>
      <c r="D712" s="377"/>
      <c r="E712" s="376"/>
      <c r="F712" s="140"/>
    </row>
    <row r="713">
      <c r="B713" s="373"/>
      <c r="C713" s="377"/>
      <c r="D713" s="377"/>
      <c r="E713" s="376"/>
      <c r="F713" s="140"/>
    </row>
    <row r="714">
      <c r="B714" s="373"/>
      <c r="C714" s="377"/>
      <c r="D714" s="377"/>
      <c r="E714" s="376"/>
      <c r="F714" s="140"/>
    </row>
    <row r="715">
      <c r="B715" s="373"/>
      <c r="C715" s="377"/>
      <c r="D715" s="377"/>
      <c r="E715" s="376"/>
      <c r="F715" s="140"/>
    </row>
    <row r="716">
      <c r="B716" s="373"/>
      <c r="C716" s="377"/>
      <c r="D716" s="377"/>
      <c r="E716" s="376"/>
      <c r="F716" s="140"/>
    </row>
    <row r="717">
      <c r="B717" s="373"/>
      <c r="C717" s="377"/>
      <c r="D717" s="377"/>
      <c r="E717" s="376"/>
      <c r="F717" s="140"/>
    </row>
    <row r="718">
      <c r="B718" s="373"/>
      <c r="C718" s="377"/>
      <c r="D718" s="377"/>
      <c r="E718" s="376"/>
      <c r="F718" s="140"/>
    </row>
    <row r="719">
      <c r="B719" s="373"/>
      <c r="C719" s="377"/>
      <c r="D719" s="377"/>
      <c r="E719" s="376"/>
      <c r="F719" s="140"/>
    </row>
    <row r="720">
      <c r="B720" s="373"/>
      <c r="C720" s="377"/>
      <c r="D720" s="377"/>
      <c r="E720" s="376"/>
      <c r="F720" s="140"/>
    </row>
    <row r="721">
      <c r="B721" s="373"/>
      <c r="C721" s="377"/>
      <c r="D721" s="377"/>
      <c r="E721" s="376"/>
      <c r="F721" s="140"/>
    </row>
    <row r="722">
      <c r="B722" s="373"/>
      <c r="C722" s="377"/>
      <c r="D722" s="377"/>
      <c r="E722" s="376"/>
      <c r="F722" s="140"/>
    </row>
    <row r="723">
      <c r="B723" s="373"/>
      <c r="C723" s="377"/>
      <c r="D723" s="377"/>
      <c r="E723" s="376"/>
      <c r="F723" s="140"/>
    </row>
    <row r="724">
      <c r="B724" s="373"/>
      <c r="C724" s="377"/>
      <c r="D724" s="377"/>
      <c r="E724" s="376"/>
      <c r="F724" s="140"/>
    </row>
    <row r="725">
      <c r="B725" s="373"/>
      <c r="C725" s="377"/>
      <c r="D725" s="377"/>
      <c r="E725" s="376"/>
      <c r="F725" s="140"/>
    </row>
    <row r="726">
      <c r="B726" s="373"/>
      <c r="C726" s="377"/>
      <c r="D726" s="377"/>
      <c r="E726" s="376"/>
      <c r="F726" s="140"/>
    </row>
    <row r="727">
      <c r="B727" s="373"/>
      <c r="C727" s="377"/>
      <c r="D727" s="377"/>
      <c r="E727" s="376"/>
      <c r="F727" s="140"/>
    </row>
    <row r="728">
      <c r="B728" s="373"/>
      <c r="C728" s="377"/>
      <c r="D728" s="377"/>
      <c r="E728" s="376"/>
      <c r="F728" s="140"/>
    </row>
    <row r="729">
      <c r="B729" s="373"/>
      <c r="C729" s="377"/>
      <c r="D729" s="377"/>
      <c r="E729" s="376"/>
      <c r="F729" s="140"/>
    </row>
    <row r="730">
      <c r="B730" s="373"/>
      <c r="C730" s="377"/>
      <c r="D730" s="377"/>
      <c r="E730" s="376"/>
      <c r="F730" s="140"/>
    </row>
    <row r="731">
      <c r="B731" s="373"/>
      <c r="C731" s="377"/>
      <c r="D731" s="377"/>
      <c r="E731" s="376"/>
      <c r="F731" s="140"/>
    </row>
    <row r="732">
      <c r="B732" s="373"/>
      <c r="C732" s="377"/>
      <c r="D732" s="377"/>
      <c r="E732" s="376"/>
      <c r="F732" s="140"/>
    </row>
    <row r="733">
      <c r="B733" s="373"/>
      <c r="C733" s="377"/>
      <c r="D733" s="377"/>
      <c r="E733" s="376"/>
      <c r="F733" s="140"/>
    </row>
    <row r="734">
      <c r="B734" s="373"/>
      <c r="C734" s="377"/>
      <c r="D734" s="377"/>
      <c r="E734" s="376"/>
      <c r="F734" s="140"/>
    </row>
    <row r="735">
      <c r="B735" s="373"/>
      <c r="C735" s="377"/>
      <c r="D735" s="377"/>
      <c r="E735" s="376"/>
      <c r="F735" s="140"/>
    </row>
    <row r="736">
      <c r="B736" s="373"/>
      <c r="C736" s="377"/>
      <c r="D736" s="377"/>
      <c r="E736" s="376"/>
      <c r="F736" s="140"/>
    </row>
    <row r="737">
      <c r="B737" s="373"/>
      <c r="C737" s="377"/>
      <c r="D737" s="377"/>
      <c r="E737" s="376"/>
      <c r="F737" s="140"/>
    </row>
    <row r="738">
      <c r="B738" s="373"/>
      <c r="C738" s="377"/>
      <c r="D738" s="377"/>
      <c r="E738" s="376"/>
      <c r="F738" s="140"/>
    </row>
    <row r="739">
      <c r="B739" s="373"/>
      <c r="C739" s="377"/>
      <c r="D739" s="377"/>
      <c r="E739" s="376"/>
      <c r="F739" s="140"/>
    </row>
    <row r="740">
      <c r="B740" s="373"/>
      <c r="C740" s="377"/>
      <c r="D740" s="377"/>
      <c r="E740" s="376"/>
      <c r="F740" s="140"/>
    </row>
    <row r="741">
      <c r="B741" s="373"/>
      <c r="C741" s="377"/>
      <c r="D741" s="377"/>
      <c r="E741" s="376"/>
      <c r="F741" s="140"/>
    </row>
    <row r="742">
      <c r="B742" s="373"/>
      <c r="C742" s="377"/>
      <c r="D742" s="377"/>
      <c r="E742" s="376"/>
      <c r="F742" s="140"/>
    </row>
    <row r="743">
      <c r="B743" s="373"/>
      <c r="C743" s="377"/>
      <c r="D743" s="377"/>
      <c r="E743" s="376"/>
      <c r="F743" s="140"/>
    </row>
    <row r="744">
      <c r="B744" s="373"/>
      <c r="C744" s="377"/>
      <c r="D744" s="377"/>
      <c r="E744" s="376"/>
      <c r="F744" s="140"/>
    </row>
    <row r="745">
      <c r="B745" s="373"/>
      <c r="C745" s="377"/>
      <c r="D745" s="377"/>
      <c r="E745" s="376"/>
      <c r="F745" s="140"/>
    </row>
    <row r="746">
      <c r="B746" s="373"/>
      <c r="C746" s="377"/>
      <c r="D746" s="377"/>
      <c r="E746" s="376"/>
      <c r="F746" s="140"/>
    </row>
    <row r="747">
      <c r="B747" s="373"/>
      <c r="C747" s="377"/>
      <c r="D747" s="377"/>
      <c r="E747" s="376"/>
      <c r="F747" s="140"/>
    </row>
    <row r="748">
      <c r="B748" s="373"/>
      <c r="C748" s="377"/>
      <c r="D748" s="377"/>
      <c r="E748" s="376"/>
      <c r="F748" s="140"/>
    </row>
    <row r="749">
      <c r="B749" s="373"/>
      <c r="C749" s="377"/>
      <c r="D749" s="377"/>
      <c r="E749" s="376"/>
      <c r="F749" s="140"/>
    </row>
    <row r="750">
      <c r="B750" s="373"/>
      <c r="C750" s="377"/>
      <c r="D750" s="377"/>
      <c r="E750" s="376"/>
      <c r="F750" s="140"/>
    </row>
    <row r="751">
      <c r="B751" s="373"/>
      <c r="C751" s="377"/>
      <c r="D751" s="377"/>
      <c r="E751" s="376"/>
      <c r="F751" s="140"/>
    </row>
    <row r="752">
      <c r="B752" s="373"/>
      <c r="C752" s="377"/>
      <c r="D752" s="377"/>
      <c r="E752" s="376"/>
      <c r="F752" s="140"/>
    </row>
    <row r="753">
      <c r="B753" s="373"/>
      <c r="C753" s="377"/>
      <c r="D753" s="377"/>
      <c r="E753" s="376"/>
      <c r="F753" s="140"/>
    </row>
    <row r="754">
      <c r="B754" s="373"/>
      <c r="C754" s="377"/>
      <c r="D754" s="377"/>
      <c r="E754" s="376"/>
      <c r="F754" s="140"/>
    </row>
    <row r="755">
      <c r="B755" s="373"/>
      <c r="C755" s="377"/>
      <c r="D755" s="377"/>
      <c r="E755" s="376"/>
      <c r="F755" s="140"/>
    </row>
    <row r="756">
      <c r="B756" s="373"/>
      <c r="C756" s="377"/>
      <c r="D756" s="377"/>
      <c r="E756" s="376"/>
      <c r="F756" s="140"/>
    </row>
    <row r="757">
      <c r="B757" s="373"/>
      <c r="C757" s="377"/>
      <c r="D757" s="377"/>
      <c r="E757" s="376"/>
      <c r="F757" s="140"/>
    </row>
    <row r="758">
      <c r="B758" s="373"/>
      <c r="C758" s="377"/>
      <c r="D758" s="377"/>
      <c r="E758" s="376"/>
      <c r="F758" s="140"/>
    </row>
    <row r="759">
      <c r="B759" s="373"/>
      <c r="C759" s="377"/>
      <c r="D759" s="377"/>
      <c r="E759" s="376"/>
      <c r="F759" s="140"/>
    </row>
    <row r="760">
      <c r="B760" s="373"/>
      <c r="C760" s="377"/>
      <c r="D760" s="377"/>
      <c r="E760" s="376"/>
      <c r="F760" s="140"/>
    </row>
    <row r="761">
      <c r="B761" s="373"/>
      <c r="C761" s="377"/>
      <c r="D761" s="377"/>
      <c r="E761" s="376"/>
      <c r="F761" s="140"/>
    </row>
    <row r="762">
      <c r="B762" s="373"/>
      <c r="C762" s="377"/>
      <c r="D762" s="377"/>
      <c r="E762" s="376"/>
      <c r="F762" s="140"/>
    </row>
    <row r="763">
      <c r="B763" s="373"/>
      <c r="C763" s="377"/>
      <c r="D763" s="377"/>
      <c r="E763" s="376"/>
      <c r="F763" s="140"/>
    </row>
    <row r="764">
      <c r="B764" s="373"/>
      <c r="C764" s="377"/>
      <c r="D764" s="377"/>
      <c r="E764" s="376"/>
      <c r="F764" s="140"/>
    </row>
    <row r="765">
      <c r="B765" s="373"/>
      <c r="C765" s="377"/>
      <c r="D765" s="377"/>
      <c r="E765" s="376"/>
      <c r="F765" s="140"/>
    </row>
    <row r="766">
      <c r="B766" s="373"/>
      <c r="C766" s="377"/>
      <c r="D766" s="377"/>
      <c r="E766" s="376"/>
      <c r="F766" s="140"/>
    </row>
    <row r="767">
      <c r="B767" s="373"/>
      <c r="C767" s="377"/>
      <c r="D767" s="377"/>
      <c r="E767" s="376"/>
      <c r="F767" s="140"/>
    </row>
    <row r="768">
      <c r="B768" s="373"/>
      <c r="C768" s="377"/>
      <c r="D768" s="377"/>
      <c r="E768" s="376"/>
      <c r="F768" s="140"/>
    </row>
    <row r="769">
      <c r="B769" s="373"/>
      <c r="C769" s="377"/>
      <c r="D769" s="377"/>
      <c r="E769" s="376"/>
      <c r="F769" s="140"/>
    </row>
    <row r="770">
      <c r="B770" s="373"/>
      <c r="C770" s="377"/>
      <c r="D770" s="377"/>
      <c r="E770" s="376"/>
      <c r="F770" s="140"/>
    </row>
    <row r="771">
      <c r="B771" s="373"/>
      <c r="C771" s="377"/>
      <c r="D771" s="377"/>
      <c r="E771" s="376"/>
      <c r="F771" s="140"/>
    </row>
    <row r="772">
      <c r="B772" s="373"/>
      <c r="C772" s="377"/>
      <c r="D772" s="377"/>
      <c r="E772" s="376"/>
      <c r="F772" s="140"/>
    </row>
    <row r="773">
      <c r="B773" s="373"/>
      <c r="C773" s="377"/>
      <c r="D773" s="377"/>
      <c r="E773" s="376"/>
      <c r="F773" s="140"/>
    </row>
    <row r="774">
      <c r="B774" s="373"/>
      <c r="C774" s="377"/>
      <c r="D774" s="377"/>
      <c r="E774" s="376"/>
      <c r="F774" s="140"/>
    </row>
    <row r="775">
      <c r="B775" s="373"/>
      <c r="C775" s="377"/>
      <c r="D775" s="377"/>
      <c r="E775" s="376"/>
      <c r="F775" s="140"/>
    </row>
    <row r="776">
      <c r="B776" s="373"/>
      <c r="C776" s="377"/>
      <c r="D776" s="377"/>
      <c r="E776" s="376"/>
      <c r="F776" s="140"/>
    </row>
    <row r="777">
      <c r="B777" s="373"/>
      <c r="C777" s="377"/>
      <c r="D777" s="377"/>
      <c r="E777" s="376"/>
      <c r="F777" s="140"/>
    </row>
    <row r="778">
      <c r="B778" s="373"/>
      <c r="C778" s="377"/>
      <c r="D778" s="377"/>
      <c r="E778" s="376"/>
      <c r="F778" s="140"/>
    </row>
    <row r="779">
      <c r="B779" s="373"/>
      <c r="C779" s="377"/>
      <c r="D779" s="377"/>
      <c r="E779" s="376"/>
      <c r="F779" s="140"/>
    </row>
    <row r="780">
      <c r="B780" s="373"/>
      <c r="C780" s="377"/>
      <c r="D780" s="377"/>
      <c r="E780" s="376"/>
      <c r="F780" s="140"/>
    </row>
    <row r="781">
      <c r="B781" s="373"/>
      <c r="C781" s="377"/>
      <c r="D781" s="377"/>
      <c r="E781" s="376"/>
      <c r="F781" s="140"/>
    </row>
    <row r="782">
      <c r="B782" s="373"/>
      <c r="C782" s="377"/>
      <c r="D782" s="377"/>
      <c r="E782" s="376"/>
      <c r="F782" s="140"/>
    </row>
    <row r="783">
      <c r="B783" s="373"/>
      <c r="C783" s="377"/>
      <c r="D783" s="377"/>
      <c r="E783" s="376"/>
      <c r="F783" s="140"/>
    </row>
    <row r="784">
      <c r="B784" s="373"/>
      <c r="C784" s="377"/>
      <c r="D784" s="377"/>
      <c r="E784" s="376"/>
      <c r="F784" s="140"/>
    </row>
    <row r="785">
      <c r="B785" s="373"/>
      <c r="C785" s="377"/>
      <c r="D785" s="377"/>
      <c r="E785" s="376"/>
      <c r="F785" s="140"/>
    </row>
    <row r="786">
      <c r="B786" s="373"/>
      <c r="C786" s="377"/>
      <c r="D786" s="377"/>
      <c r="E786" s="376"/>
      <c r="F786" s="140"/>
    </row>
    <row r="787">
      <c r="B787" s="373"/>
      <c r="C787" s="377"/>
      <c r="D787" s="377"/>
      <c r="E787" s="376"/>
      <c r="F787" s="140"/>
    </row>
    <row r="788">
      <c r="B788" s="373"/>
      <c r="C788" s="377"/>
      <c r="D788" s="377"/>
      <c r="E788" s="376"/>
      <c r="F788" s="140"/>
    </row>
    <row r="789">
      <c r="B789" s="373"/>
      <c r="C789" s="377"/>
      <c r="D789" s="377"/>
      <c r="E789" s="376"/>
      <c r="F789" s="140"/>
    </row>
    <row r="790">
      <c r="B790" s="373"/>
      <c r="C790" s="377"/>
      <c r="D790" s="377"/>
      <c r="E790" s="376"/>
      <c r="F790" s="140"/>
    </row>
    <row r="791">
      <c r="B791" s="373"/>
      <c r="C791" s="377"/>
      <c r="D791" s="377"/>
      <c r="E791" s="376"/>
      <c r="F791" s="140"/>
    </row>
    <row r="792">
      <c r="B792" s="373"/>
      <c r="C792" s="377"/>
      <c r="D792" s="377"/>
      <c r="E792" s="376"/>
      <c r="F792" s="140"/>
    </row>
    <row r="793">
      <c r="B793" s="373"/>
      <c r="C793" s="377"/>
      <c r="D793" s="377"/>
      <c r="E793" s="376"/>
      <c r="F793" s="140"/>
    </row>
    <row r="794">
      <c r="B794" s="373"/>
      <c r="C794" s="377"/>
      <c r="D794" s="377"/>
      <c r="E794" s="376"/>
      <c r="F794" s="140"/>
    </row>
    <row r="795">
      <c r="B795" s="373"/>
      <c r="C795" s="377"/>
      <c r="D795" s="377"/>
      <c r="E795" s="376"/>
      <c r="F795" s="140"/>
    </row>
    <row r="796">
      <c r="B796" s="373"/>
      <c r="C796" s="377"/>
      <c r="D796" s="377"/>
      <c r="E796" s="376"/>
      <c r="F796" s="140"/>
    </row>
    <row r="797">
      <c r="B797" s="373"/>
      <c r="C797" s="377"/>
      <c r="D797" s="377"/>
      <c r="E797" s="376"/>
      <c r="F797" s="140"/>
    </row>
    <row r="798">
      <c r="B798" s="373"/>
      <c r="C798" s="377"/>
      <c r="D798" s="377"/>
      <c r="E798" s="376"/>
      <c r="F798" s="140"/>
    </row>
    <row r="799">
      <c r="B799" s="373"/>
      <c r="C799" s="377"/>
      <c r="D799" s="377"/>
      <c r="E799" s="376"/>
      <c r="F799" s="140"/>
    </row>
    <row r="800">
      <c r="B800" s="373"/>
      <c r="C800" s="377"/>
      <c r="D800" s="377"/>
      <c r="E800" s="376"/>
      <c r="F800" s="140"/>
    </row>
    <row r="801">
      <c r="B801" s="373"/>
      <c r="C801" s="377"/>
      <c r="D801" s="377"/>
      <c r="E801" s="376"/>
      <c r="F801" s="140"/>
    </row>
    <row r="802">
      <c r="B802" s="373"/>
      <c r="C802" s="377"/>
      <c r="D802" s="377"/>
      <c r="E802" s="376"/>
      <c r="F802" s="140"/>
    </row>
    <row r="803">
      <c r="B803" s="373"/>
      <c r="C803" s="377"/>
      <c r="D803" s="377"/>
      <c r="E803" s="376"/>
      <c r="F803" s="140"/>
    </row>
    <row r="804">
      <c r="B804" s="373"/>
      <c r="C804" s="377"/>
      <c r="D804" s="377"/>
      <c r="E804" s="376"/>
      <c r="F804" s="140"/>
    </row>
    <row r="805">
      <c r="B805" s="373"/>
      <c r="C805" s="377"/>
      <c r="D805" s="377"/>
      <c r="E805" s="376"/>
      <c r="F805" s="140"/>
    </row>
    <row r="806">
      <c r="B806" s="373"/>
      <c r="C806" s="377"/>
      <c r="D806" s="377"/>
      <c r="E806" s="376"/>
      <c r="F806" s="140"/>
    </row>
    <row r="807">
      <c r="B807" s="373"/>
      <c r="C807" s="377"/>
      <c r="D807" s="377"/>
      <c r="E807" s="376"/>
      <c r="F807" s="140"/>
    </row>
    <row r="808">
      <c r="B808" s="373"/>
      <c r="C808" s="377"/>
      <c r="D808" s="377"/>
      <c r="E808" s="376"/>
      <c r="F808" s="140"/>
    </row>
    <row r="809">
      <c r="B809" s="373"/>
      <c r="C809" s="377"/>
      <c r="D809" s="377"/>
      <c r="E809" s="376"/>
      <c r="F809" s="140"/>
    </row>
    <row r="810">
      <c r="B810" s="373"/>
      <c r="C810" s="377"/>
      <c r="D810" s="377"/>
      <c r="E810" s="376"/>
      <c r="F810" s="140"/>
    </row>
    <row r="811">
      <c r="B811" s="373"/>
      <c r="C811" s="377"/>
      <c r="D811" s="377"/>
      <c r="E811" s="376"/>
      <c r="F811" s="140"/>
    </row>
    <row r="812">
      <c r="B812" s="373"/>
      <c r="C812" s="377"/>
      <c r="D812" s="377"/>
      <c r="E812" s="376"/>
      <c r="F812" s="140"/>
    </row>
    <row r="813">
      <c r="B813" s="373"/>
      <c r="C813" s="377"/>
      <c r="D813" s="377"/>
      <c r="E813" s="376"/>
      <c r="F813" s="140"/>
    </row>
    <row r="814">
      <c r="B814" s="373"/>
      <c r="C814" s="377"/>
      <c r="D814" s="377"/>
      <c r="E814" s="376"/>
      <c r="F814" s="140"/>
    </row>
    <row r="815">
      <c r="B815" s="373"/>
      <c r="C815" s="377"/>
      <c r="D815" s="377"/>
      <c r="E815" s="376"/>
      <c r="F815" s="140"/>
    </row>
    <row r="816">
      <c r="B816" s="373"/>
      <c r="C816" s="377"/>
      <c r="D816" s="377"/>
      <c r="E816" s="376"/>
      <c r="F816" s="140"/>
    </row>
    <row r="817">
      <c r="B817" s="373"/>
      <c r="C817" s="377"/>
      <c r="D817" s="377"/>
      <c r="E817" s="376"/>
      <c r="F817" s="140"/>
    </row>
    <row r="818">
      <c r="B818" s="373"/>
      <c r="C818" s="377"/>
      <c r="D818" s="377"/>
      <c r="E818" s="376"/>
      <c r="F818" s="140"/>
    </row>
    <row r="819">
      <c r="B819" s="373"/>
      <c r="C819" s="377"/>
      <c r="D819" s="377"/>
      <c r="E819" s="376"/>
      <c r="F819" s="140"/>
    </row>
    <row r="820">
      <c r="B820" s="373"/>
      <c r="C820" s="377"/>
      <c r="D820" s="377"/>
      <c r="E820" s="376"/>
      <c r="F820" s="140"/>
    </row>
    <row r="821">
      <c r="B821" s="373"/>
      <c r="C821" s="377"/>
      <c r="D821" s="377"/>
      <c r="E821" s="376"/>
      <c r="F821" s="140"/>
    </row>
    <row r="822">
      <c r="B822" s="373"/>
      <c r="C822" s="377"/>
      <c r="D822" s="377"/>
      <c r="E822" s="376"/>
      <c r="F822" s="140"/>
    </row>
    <row r="823">
      <c r="B823" s="373"/>
      <c r="C823" s="377"/>
      <c r="D823" s="377"/>
      <c r="E823" s="376"/>
      <c r="F823" s="140"/>
    </row>
    <row r="824">
      <c r="B824" s="373"/>
      <c r="C824" s="377"/>
      <c r="D824" s="377"/>
      <c r="E824" s="376"/>
      <c r="F824" s="140"/>
    </row>
    <row r="825">
      <c r="B825" s="373"/>
      <c r="C825" s="377"/>
      <c r="D825" s="377"/>
      <c r="E825" s="376"/>
      <c r="F825" s="140"/>
    </row>
    <row r="826">
      <c r="B826" s="373"/>
      <c r="C826" s="377"/>
      <c r="D826" s="377"/>
      <c r="E826" s="376"/>
      <c r="F826" s="140"/>
    </row>
    <row r="827">
      <c r="B827" s="373"/>
      <c r="C827" s="377"/>
      <c r="D827" s="377"/>
      <c r="E827" s="376"/>
      <c r="F827" s="140"/>
    </row>
    <row r="828">
      <c r="B828" s="373"/>
      <c r="C828" s="377"/>
      <c r="D828" s="377"/>
      <c r="E828" s="376"/>
      <c r="F828" s="140"/>
    </row>
    <row r="829">
      <c r="B829" s="373"/>
      <c r="C829" s="377"/>
      <c r="D829" s="377"/>
      <c r="E829" s="376"/>
      <c r="F829" s="140"/>
    </row>
    <row r="830">
      <c r="B830" s="373"/>
      <c r="C830" s="377"/>
      <c r="D830" s="377"/>
      <c r="E830" s="376"/>
      <c r="F830" s="140"/>
    </row>
    <row r="831">
      <c r="B831" s="373"/>
      <c r="C831" s="377"/>
      <c r="D831" s="377"/>
      <c r="E831" s="376"/>
      <c r="F831" s="140"/>
    </row>
    <row r="832">
      <c r="B832" s="373"/>
      <c r="C832" s="377"/>
      <c r="D832" s="377"/>
      <c r="E832" s="376"/>
      <c r="F832" s="140"/>
    </row>
    <row r="833">
      <c r="B833" s="373"/>
      <c r="C833" s="377"/>
      <c r="D833" s="377"/>
      <c r="E833" s="376"/>
      <c r="F833" s="140"/>
    </row>
    <row r="834">
      <c r="B834" s="373"/>
      <c r="C834" s="377"/>
      <c r="D834" s="377"/>
      <c r="E834" s="376"/>
      <c r="F834" s="140"/>
    </row>
    <row r="835">
      <c r="B835" s="373"/>
      <c r="C835" s="377"/>
      <c r="D835" s="377"/>
      <c r="E835" s="376"/>
      <c r="F835" s="140"/>
    </row>
    <row r="836">
      <c r="B836" s="373"/>
      <c r="C836" s="377"/>
      <c r="D836" s="377"/>
      <c r="E836" s="376"/>
      <c r="F836" s="140"/>
    </row>
    <row r="837">
      <c r="B837" s="373"/>
      <c r="C837" s="377"/>
      <c r="D837" s="377"/>
      <c r="E837" s="376"/>
      <c r="F837" s="140"/>
    </row>
    <row r="838">
      <c r="B838" s="373"/>
      <c r="C838" s="377"/>
      <c r="D838" s="377"/>
      <c r="E838" s="376"/>
      <c r="F838" s="140"/>
    </row>
    <row r="839">
      <c r="B839" s="373"/>
      <c r="C839" s="377"/>
      <c r="D839" s="377"/>
      <c r="E839" s="376"/>
      <c r="F839" s="140"/>
    </row>
    <row r="840">
      <c r="B840" s="373"/>
      <c r="C840" s="377"/>
      <c r="D840" s="377"/>
      <c r="E840" s="376"/>
      <c r="F840" s="140"/>
    </row>
    <row r="841">
      <c r="B841" s="373"/>
      <c r="C841" s="377"/>
      <c r="D841" s="377"/>
      <c r="E841" s="376"/>
      <c r="F841" s="140"/>
    </row>
    <row r="842">
      <c r="B842" s="373"/>
      <c r="C842" s="377"/>
      <c r="D842" s="377"/>
      <c r="E842" s="376"/>
      <c r="F842" s="140"/>
    </row>
    <row r="843">
      <c r="B843" s="373"/>
      <c r="C843" s="377"/>
      <c r="D843" s="377"/>
      <c r="E843" s="376"/>
      <c r="F843" s="140"/>
    </row>
    <row r="844">
      <c r="B844" s="373"/>
      <c r="C844" s="377"/>
      <c r="D844" s="377"/>
      <c r="E844" s="376"/>
      <c r="F844" s="140"/>
    </row>
    <row r="845">
      <c r="B845" s="373"/>
      <c r="C845" s="377"/>
      <c r="D845" s="377"/>
      <c r="E845" s="376"/>
      <c r="F845" s="140"/>
    </row>
    <row r="846">
      <c r="B846" s="373"/>
      <c r="C846" s="377"/>
      <c r="D846" s="377"/>
      <c r="E846" s="376"/>
      <c r="F846" s="140"/>
    </row>
    <row r="847">
      <c r="B847" s="373"/>
      <c r="C847" s="377"/>
      <c r="D847" s="377"/>
      <c r="E847" s="376"/>
      <c r="F847" s="140"/>
    </row>
    <row r="848">
      <c r="B848" s="373"/>
      <c r="C848" s="377"/>
      <c r="D848" s="377"/>
      <c r="E848" s="376"/>
      <c r="F848" s="140"/>
    </row>
    <row r="849">
      <c r="B849" s="373"/>
      <c r="C849" s="377"/>
      <c r="D849" s="377"/>
      <c r="E849" s="376"/>
      <c r="F849" s="140"/>
    </row>
    <row r="850">
      <c r="B850" s="373"/>
      <c r="C850" s="377"/>
      <c r="D850" s="377"/>
      <c r="E850" s="376"/>
      <c r="F850" s="140"/>
    </row>
    <row r="851">
      <c r="B851" s="373"/>
      <c r="C851" s="377"/>
      <c r="D851" s="377"/>
      <c r="E851" s="376"/>
      <c r="F851" s="140"/>
    </row>
    <row r="852">
      <c r="B852" s="373"/>
      <c r="C852" s="377"/>
      <c r="D852" s="377"/>
      <c r="E852" s="376"/>
      <c r="F852" s="140"/>
    </row>
    <row r="853">
      <c r="B853" s="373"/>
      <c r="C853" s="377"/>
      <c r="D853" s="377"/>
      <c r="E853" s="376"/>
      <c r="F853" s="140"/>
    </row>
    <row r="854">
      <c r="B854" s="373"/>
      <c r="C854" s="377"/>
      <c r="D854" s="377"/>
      <c r="E854" s="376"/>
      <c r="F854" s="140"/>
    </row>
    <row r="855">
      <c r="B855" s="373"/>
      <c r="C855" s="377"/>
      <c r="D855" s="377"/>
      <c r="E855" s="376"/>
      <c r="F855" s="140"/>
    </row>
    <row r="856">
      <c r="B856" s="373"/>
      <c r="C856" s="377"/>
      <c r="D856" s="377"/>
      <c r="E856" s="376"/>
      <c r="F856" s="140"/>
    </row>
    <row r="857">
      <c r="B857" s="373"/>
      <c r="C857" s="377"/>
      <c r="D857" s="377"/>
      <c r="E857" s="376"/>
      <c r="F857" s="140"/>
    </row>
    <row r="858">
      <c r="B858" s="373"/>
      <c r="C858" s="377"/>
      <c r="D858" s="377"/>
      <c r="E858" s="376"/>
      <c r="F858" s="140"/>
    </row>
    <row r="859">
      <c r="B859" s="373"/>
      <c r="C859" s="377"/>
      <c r="D859" s="377"/>
      <c r="E859" s="376"/>
      <c r="F859" s="140"/>
    </row>
    <row r="860">
      <c r="B860" s="373"/>
      <c r="C860" s="377"/>
      <c r="D860" s="377"/>
      <c r="E860" s="376"/>
      <c r="F860" s="140"/>
    </row>
    <row r="861">
      <c r="B861" s="373"/>
      <c r="C861" s="377"/>
      <c r="D861" s="377"/>
      <c r="E861" s="376"/>
      <c r="F861" s="140"/>
    </row>
    <row r="862">
      <c r="B862" s="373"/>
      <c r="C862" s="377"/>
      <c r="D862" s="377"/>
      <c r="E862" s="376"/>
      <c r="F862" s="140"/>
    </row>
    <row r="863">
      <c r="B863" s="373"/>
      <c r="C863" s="377"/>
      <c r="D863" s="377"/>
      <c r="E863" s="376"/>
      <c r="F863" s="140"/>
    </row>
    <row r="864">
      <c r="B864" s="373"/>
      <c r="C864" s="377"/>
      <c r="D864" s="377"/>
      <c r="E864" s="376"/>
      <c r="F864" s="140"/>
    </row>
    <row r="865">
      <c r="B865" s="373"/>
      <c r="C865" s="377"/>
      <c r="D865" s="377"/>
      <c r="E865" s="376"/>
      <c r="F865" s="140"/>
    </row>
    <row r="866">
      <c r="B866" s="373"/>
      <c r="C866" s="377"/>
      <c r="D866" s="377"/>
      <c r="E866" s="376"/>
      <c r="F866" s="140"/>
    </row>
    <row r="867">
      <c r="B867" s="373"/>
      <c r="C867" s="377"/>
      <c r="D867" s="377"/>
      <c r="E867" s="376"/>
      <c r="F867" s="140"/>
    </row>
    <row r="868">
      <c r="B868" s="373"/>
      <c r="C868" s="377"/>
      <c r="D868" s="377"/>
      <c r="E868" s="376"/>
      <c r="F868" s="140"/>
    </row>
    <row r="869">
      <c r="B869" s="373"/>
      <c r="C869" s="377"/>
      <c r="D869" s="377"/>
      <c r="E869" s="376"/>
      <c r="F869" s="140"/>
    </row>
    <row r="870">
      <c r="B870" s="373"/>
      <c r="C870" s="377"/>
      <c r="D870" s="377"/>
      <c r="E870" s="376"/>
      <c r="F870" s="140"/>
    </row>
    <row r="871">
      <c r="B871" s="373"/>
      <c r="C871" s="377"/>
      <c r="D871" s="377"/>
      <c r="E871" s="376"/>
      <c r="F871" s="140"/>
    </row>
    <row r="872">
      <c r="B872" s="373"/>
      <c r="C872" s="377"/>
      <c r="D872" s="377"/>
      <c r="E872" s="376"/>
      <c r="F872" s="140"/>
    </row>
    <row r="873">
      <c r="B873" s="373"/>
      <c r="C873" s="377"/>
      <c r="D873" s="377"/>
      <c r="E873" s="376"/>
      <c r="F873" s="140"/>
    </row>
    <row r="874">
      <c r="B874" s="373"/>
      <c r="C874" s="377"/>
      <c r="D874" s="377"/>
      <c r="E874" s="376"/>
      <c r="F874" s="140"/>
    </row>
    <row r="875">
      <c r="B875" s="373"/>
      <c r="C875" s="377"/>
      <c r="D875" s="377"/>
      <c r="E875" s="376"/>
      <c r="F875" s="140"/>
    </row>
    <row r="876">
      <c r="B876" s="373"/>
      <c r="C876" s="377"/>
      <c r="D876" s="377"/>
      <c r="E876" s="376"/>
      <c r="F876" s="140"/>
    </row>
    <row r="877">
      <c r="B877" s="373"/>
      <c r="C877" s="377"/>
      <c r="D877" s="377"/>
      <c r="E877" s="376"/>
      <c r="F877" s="140"/>
    </row>
    <row r="878">
      <c r="B878" s="373"/>
      <c r="C878" s="377"/>
      <c r="D878" s="377"/>
      <c r="E878" s="376"/>
      <c r="F878" s="140"/>
    </row>
    <row r="879">
      <c r="B879" s="373"/>
      <c r="C879" s="377"/>
      <c r="D879" s="377"/>
      <c r="E879" s="376"/>
      <c r="F879" s="140"/>
    </row>
    <row r="880">
      <c r="B880" s="373"/>
      <c r="C880" s="377"/>
      <c r="D880" s="377"/>
      <c r="E880" s="376"/>
      <c r="F880" s="140"/>
    </row>
    <row r="881">
      <c r="B881" s="373"/>
      <c r="C881" s="377"/>
      <c r="D881" s="377"/>
      <c r="E881" s="376"/>
      <c r="F881" s="140"/>
    </row>
    <row r="882">
      <c r="B882" s="373"/>
      <c r="C882" s="377"/>
      <c r="D882" s="377"/>
      <c r="E882" s="376"/>
      <c r="F882" s="140"/>
    </row>
    <row r="883">
      <c r="B883" s="373"/>
      <c r="C883" s="377"/>
      <c r="D883" s="377"/>
      <c r="E883" s="376"/>
      <c r="F883" s="140"/>
    </row>
    <row r="884">
      <c r="B884" s="373"/>
      <c r="C884" s="377"/>
      <c r="D884" s="377"/>
      <c r="E884" s="376"/>
      <c r="F884" s="140"/>
    </row>
    <row r="885">
      <c r="B885" s="373"/>
      <c r="C885" s="377"/>
      <c r="D885" s="377"/>
      <c r="E885" s="376"/>
      <c r="F885" s="140"/>
    </row>
    <row r="886">
      <c r="B886" s="373"/>
      <c r="C886" s="377"/>
      <c r="D886" s="377"/>
      <c r="E886" s="376"/>
      <c r="F886" s="140"/>
    </row>
    <row r="887">
      <c r="B887" s="373"/>
      <c r="C887" s="377"/>
      <c r="D887" s="377"/>
      <c r="E887" s="376"/>
      <c r="F887" s="140"/>
    </row>
    <row r="888">
      <c r="B888" s="373"/>
      <c r="C888" s="377"/>
      <c r="D888" s="377"/>
      <c r="E888" s="376"/>
      <c r="F888" s="140"/>
    </row>
    <row r="889">
      <c r="B889" s="373"/>
      <c r="C889" s="377"/>
      <c r="D889" s="377"/>
      <c r="E889" s="376"/>
      <c r="F889" s="140"/>
    </row>
    <row r="890">
      <c r="B890" s="373"/>
      <c r="C890" s="377"/>
      <c r="D890" s="377"/>
      <c r="E890" s="376"/>
      <c r="F890" s="140"/>
    </row>
    <row r="891">
      <c r="B891" s="373"/>
      <c r="C891" s="377"/>
      <c r="D891" s="377"/>
      <c r="E891" s="376"/>
      <c r="F891" s="140"/>
    </row>
    <row r="892">
      <c r="B892" s="373"/>
      <c r="C892" s="377"/>
      <c r="D892" s="377"/>
      <c r="E892" s="376"/>
      <c r="F892" s="140"/>
    </row>
    <row r="893">
      <c r="B893" s="373"/>
      <c r="C893" s="377"/>
      <c r="D893" s="377"/>
      <c r="E893" s="376"/>
      <c r="F893" s="140"/>
    </row>
    <row r="894">
      <c r="B894" s="373"/>
      <c r="C894" s="377"/>
      <c r="D894" s="377"/>
      <c r="E894" s="376"/>
      <c r="F894" s="140"/>
    </row>
    <row r="895">
      <c r="B895" s="373"/>
      <c r="C895" s="377"/>
      <c r="D895" s="377"/>
      <c r="E895" s="376"/>
      <c r="F895" s="140"/>
    </row>
    <row r="896">
      <c r="B896" s="373"/>
      <c r="C896" s="377"/>
      <c r="D896" s="377"/>
      <c r="E896" s="376"/>
      <c r="F896" s="140"/>
    </row>
    <row r="897">
      <c r="B897" s="373"/>
      <c r="C897" s="377"/>
      <c r="D897" s="377"/>
      <c r="E897" s="376"/>
      <c r="F897" s="140"/>
    </row>
    <row r="898">
      <c r="B898" s="373"/>
      <c r="C898" s="377"/>
      <c r="D898" s="377"/>
      <c r="E898" s="376"/>
      <c r="F898" s="140"/>
    </row>
    <row r="899">
      <c r="B899" s="373"/>
      <c r="C899" s="377"/>
      <c r="D899" s="377"/>
      <c r="E899" s="376"/>
      <c r="F899" s="140"/>
    </row>
    <row r="900">
      <c r="B900" s="373"/>
      <c r="C900" s="377"/>
      <c r="D900" s="377"/>
      <c r="E900" s="376"/>
      <c r="F900" s="140"/>
    </row>
    <row r="901">
      <c r="B901" s="373"/>
      <c r="C901" s="377"/>
      <c r="D901" s="377"/>
      <c r="E901" s="376"/>
      <c r="F901" s="140"/>
    </row>
    <row r="902">
      <c r="B902" s="373"/>
      <c r="C902" s="377"/>
      <c r="D902" s="377"/>
      <c r="E902" s="376"/>
      <c r="F902" s="140"/>
    </row>
    <row r="903">
      <c r="B903" s="373"/>
      <c r="C903" s="377"/>
      <c r="D903" s="377"/>
      <c r="E903" s="376"/>
      <c r="F903" s="140"/>
    </row>
    <row r="904">
      <c r="B904" s="373"/>
      <c r="C904" s="377"/>
      <c r="D904" s="377"/>
      <c r="E904" s="376"/>
      <c r="F904" s="140"/>
    </row>
    <row r="905">
      <c r="B905" s="373"/>
      <c r="C905" s="377"/>
      <c r="D905" s="377"/>
      <c r="E905" s="376"/>
      <c r="F905" s="140"/>
    </row>
    <row r="906">
      <c r="B906" s="373"/>
      <c r="C906" s="377"/>
      <c r="D906" s="377"/>
      <c r="E906" s="376"/>
      <c r="F906" s="140"/>
    </row>
    <row r="907">
      <c r="B907" s="373"/>
      <c r="C907" s="377"/>
      <c r="D907" s="377"/>
      <c r="E907" s="376"/>
      <c r="F907" s="140"/>
    </row>
    <row r="908">
      <c r="B908" s="373"/>
      <c r="C908" s="377"/>
      <c r="D908" s="377"/>
      <c r="E908" s="376"/>
      <c r="F908" s="140"/>
    </row>
    <row r="909">
      <c r="B909" s="373"/>
      <c r="C909" s="377"/>
      <c r="D909" s="377"/>
      <c r="E909" s="376"/>
      <c r="F909" s="140"/>
    </row>
    <row r="910">
      <c r="B910" s="373"/>
      <c r="C910" s="377"/>
      <c r="D910" s="377"/>
      <c r="E910" s="376"/>
      <c r="F910" s="140"/>
    </row>
    <row r="911">
      <c r="B911" s="373"/>
      <c r="C911" s="377"/>
      <c r="D911" s="377"/>
      <c r="E911" s="376"/>
      <c r="F911" s="140"/>
    </row>
    <row r="912">
      <c r="B912" s="373"/>
      <c r="C912" s="377"/>
      <c r="D912" s="377"/>
      <c r="E912" s="376"/>
      <c r="F912" s="140"/>
    </row>
    <row r="913">
      <c r="B913" s="373"/>
      <c r="C913" s="377"/>
      <c r="D913" s="377"/>
      <c r="E913" s="376"/>
      <c r="F913" s="140"/>
    </row>
    <row r="914">
      <c r="B914" s="373"/>
      <c r="C914" s="377"/>
      <c r="D914" s="377"/>
      <c r="E914" s="376"/>
      <c r="F914" s="140"/>
    </row>
    <row r="915">
      <c r="B915" s="373"/>
      <c r="C915" s="377"/>
      <c r="D915" s="377"/>
      <c r="E915" s="376"/>
      <c r="F915" s="140"/>
    </row>
    <row r="916">
      <c r="B916" s="373"/>
      <c r="C916" s="377"/>
      <c r="D916" s="377"/>
      <c r="E916" s="376"/>
      <c r="F916" s="140"/>
    </row>
    <row r="917">
      <c r="B917" s="373"/>
      <c r="C917" s="377"/>
      <c r="D917" s="377"/>
      <c r="E917" s="376"/>
      <c r="F917" s="140"/>
    </row>
    <row r="918">
      <c r="B918" s="373"/>
      <c r="C918" s="377"/>
      <c r="D918" s="377"/>
      <c r="E918" s="376"/>
      <c r="F918" s="140"/>
    </row>
    <row r="919">
      <c r="B919" s="373"/>
      <c r="C919" s="377"/>
      <c r="D919" s="377"/>
      <c r="E919" s="376"/>
      <c r="F919" s="140"/>
    </row>
    <row r="920">
      <c r="B920" s="373"/>
      <c r="C920" s="377"/>
      <c r="D920" s="377"/>
      <c r="E920" s="376"/>
      <c r="F920" s="140"/>
    </row>
    <row r="921">
      <c r="B921" s="373"/>
      <c r="C921" s="377"/>
      <c r="D921" s="377"/>
      <c r="E921" s="376"/>
      <c r="F921" s="140"/>
    </row>
    <row r="922">
      <c r="B922" s="373"/>
      <c r="C922" s="377"/>
      <c r="D922" s="377"/>
      <c r="E922" s="376"/>
      <c r="F922" s="140"/>
    </row>
    <row r="923">
      <c r="B923" s="373"/>
      <c r="C923" s="377"/>
      <c r="D923" s="377"/>
      <c r="E923" s="376"/>
      <c r="F923" s="140"/>
    </row>
    <row r="924">
      <c r="B924" s="373"/>
      <c r="C924" s="377"/>
      <c r="D924" s="377"/>
      <c r="E924" s="376"/>
      <c r="F924" s="140"/>
    </row>
    <row r="925">
      <c r="B925" s="373"/>
      <c r="C925" s="377"/>
      <c r="D925" s="377"/>
      <c r="E925" s="376"/>
      <c r="F925" s="140"/>
    </row>
    <row r="926">
      <c r="B926" s="373"/>
      <c r="C926" s="377"/>
      <c r="D926" s="377"/>
      <c r="E926" s="376"/>
      <c r="F926" s="140"/>
    </row>
    <row r="927">
      <c r="B927" s="373"/>
      <c r="C927" s="377"/>
      <c r="D927" s="377"/>
      <c r="E927" s="376"/>
      <c r="F927" s="140"/>
    </row>
    <row r="928">
      <c r="B928" s="373"/>
      <c r="C928" s="377"/>
      <c r="D928" s="377"/>
      <c r="E928" s="376"/>
      <c r="F928" s="140"/>
    </row>
    <row r="929">
      <c r="B929" s="373"/>
      <c r="C929" s="377"/>
      <c r="D929" s="377"/>
      <c r="E929" s="376"/>
      <c r="F929" s="140"/>
    </row>
    <row r="930">
      <c r="B930" s="373"/>
      <c r="C930" s="377"/>
      <c r="D930" s="377"/>
      <c r="E930" s="376"/>
      <c r="F930" s="140"/>
    </row>
    <row r="931">
      <c r="B931" s="373"/>
      <c r="C931" s="377"/>
      <c r="D931" s="377"/>
      <c r="E931" s="376"/>
      <c r="F931" s="140"/>
    </row>
    <row r="932">
      <c r="B932" s="373"/>
      <c r="C932" s="377"/>
      <c r="D932" s="377"/>
      <c r="E932" s="376"/>
      <c r="F932" s="140"/>
    </row>
    <row r="933">
      <c r="B933" s="373"/>
      <c r="C933" s="377"/>
      <c r="D933" s="377"/>
      <c r="E933" s="376"/>
      <c r="F933" s="140"/>
    </row>
    <row r="934">
      <c r="B934" s="373"/>
      <c r="C934" s="377"/>
      <c r="D934" s="377"/>
      <c r="E934" s="376"/>
      <c r="F934" s="140"/>
    </row>
    <row r="935">
      <c r="B935" s="373"/>
      <c r="C935" s="377"/>
      <c r="D935" s="377"/>
      <c r="E935" s="376"/>
      <c r="F935" s="140"/>
    </row>
    <row r="936">
      <c r="B936" s="373"/>
      <c r="C936" s="377"/>
      <c r="D936" s="377"/>
      <c r="E936" s="376"/>
      <c r="F936" s="140"/>
    </row>
    <row r="937">
      <c r="B937" s="373"/>
      <c r="C937" s="377"/>
      <c r="D937" s="377"/>
      <c r="E937" s="376"/>
      <c r="F937" s="140"/>
    </row>
    <row r="938">
      <c r="B938" s="373"/>
      <c r="C938" s="377"/>
      <c r="D938" s="377"/>
      <c r="E938" s="376"/>
      <c r="F938" s="140"/>
    </row>
    <row r="939">
      <c r="B939" s="373"/>
      <c r="C939" s="377"/>
      <c r="D939" s="377"/>
      <c r="E939" s="376"/>
      <c r="F939" s="140"/>
    </row>
    <row r="940">
      <c r="B940" s="373"/>
      <c r="C940" s="377"/>
      <c r="D940" s="377"/>
      <c r="E940" s="376"/>
      <c r="F940" s="140"/>
    </row>
    <row r="941">
      <c r="B941" s="373"/>
      <c r="C941" s="377"/>
      <c r="D941" s="377"/>
      <c r="E941" s="376"/>
      <c r="F941" s="140"/>
    </row>
    <row r="942">
      <c r="B942" s="373"/>
      <c r="C942" s="377"/>
      <c r="D942" s="377"/>
      <c r="E942" s="376"/>
      <c r="F942" s="140"/>
    </row>
    <row r="943">
      <c r="B943" s="373"/>
      <c r="C943" s="377"/>
      <c r="D943" s="377"/>
      <c r="E943" s="376"/>
      <c r="F943" s="140"/>
    </row>
    <row r="944">
      <c r="B944" s="373"/>
      <c r="C944" s="377"/>
      <c r="D944" s="377"/>
      <c r="E944" s="376"/>
      <c r="F944" s="140"/>
    </row>
    <row r="945">
      <c r="B945" s="373"/>
      <c r="C945" s="377"/>
      <c r="D945" s="377"/>
      <c r="E945" s="376"/>
      <c r="F945" s="140"/>
    </row>
    <row r="946">
      <c r="B946" s="373"/>
      <c r="C946" s="377"/>
      <c r="D946" s="377"/>
      <c r="E946" s="376"/>
      <c r="F946" s="140"/>
    </row>
    <row r="947">
      <c r="B947" s="373"/>
      <c r="C947" s="377"/>
      <c r="D947" s="377"/>
      <c r="E947" s="376"/>
      <c r="F947" s="140"/>
    </row>
    <row r="948">
      <c r="B948" s="373"/>
      <c r="C948" s="377"/>
      <c r="D948" s="377"/>
      <c r="E948" s="376"/>
      <c r="F948" s="140"/>
    </row>
    <row r="949">
      <c r="B949" s="373"/>
      <c r="C949" s="377"/>
      <c r="D949" s="377"/>
      <c r="E949" s="376"/>
      <c r="F949" s="140"/>
    </row>
    <row r="950">
      <c r="B950" s="373"/>
      <c r="C950" s="377"/>
      <c r="D950" s="377"/>
      <c r="E950" s="376"/>
      <c r="F950" s="140"/>
    </row>
    <row r="951">
      <c r="B951" s="373"/>
      <c r="C951" s="377"/>
      <c r="D951" s="377"/>
      <c r="E951" s="376"/>
      <c r="F951" s="140"/>
    </row>
    <row r="952">
      <c r="B952" s="373"/>
      <c r="C952" s="377"/>
      <c r="D952" s="377"/>
      <c r="E952" s="376"/>
      <c r="F952" s="140"/>
    </row>
    <row r="953">
      <c r="B953" s="373"/>
      <c r="C953" s="377"/>
      <c r="D953" s="377"/>
      <c r="E953" s="376"/>
      <c r="F953" s="140"/>
    </row>
    <row r="954">
      <c r="B954" s="373"/>
      <c r="C954" s="377"/>
      <c r="D954" s="377"/>
      <c r="E954" s="376"/>
      <c r="F954" s="140"/>
    </row>
    <row r="955">
      <c r="B955" s="373"/>
      <c r="C955" s="377"/>
      <c r="D955" s="377"/>
      <c r="E955" s="376"/>
      <c r="F955" s="140"/>
    </row>
    <row r="956">
      <c r="B956" s="373"/>
      <c r="C956" s="377"/>
      <c r="D956" s="377"/>
      <c r="E956" s="376"/>
      <c r="F956" s="140"/>
    </row>
    <row r="957">
      <c r="B957" s="373"/>
      <c r="C957" s="377"/>
      <c r="D957" s="377"/>
      <c r="E957" s="376"/>
      <c r="F957" s="140"/>
    </row>
    <row r="958">
      <c r="B958" s="373"/>
      <c r="C958" s="377"/>
      <c r="D958" s="377"/>
      <c r="E958" s="376"/>
      <c r="F958" s="140"/>
    </row>
    <row r="959">
      <c r="B959" s="373"/>
      <c r="C959" s="377"/>
      <c r="D959" s="377"/>
      <c r="E959" s="376"/>
      <c r="F959" s="140"/>
    </row>
    <row r="960">
      <c r="B960" s="373"/>
      <c r="C960" s="377"/>
      <c r="D960" s="377"/>
      <c r="E960" s="376"/>
      <c r="F960" s="140"/>
    </row>
    <row r="961">
      <c r="B961" s="373"/>
      <c r="C961" s="377"/>
      <c r="D961" s="377"/>
      <c r="E961" s="376"/>
      <c r="F961" s="140"/>
    </row>
    <row r="962">
      <c r="B962" s="373"/>
      <c r="C962" s="377"/>
      <c r="D962" s="377"/>
      <c r="E962" s="376"/>
      <c r="F962" s="140"/>
    </row>
    <row r="963">
      <c r="B963" s="373"/>
      <c r="C963" s="377"/>
      <c r="D963" s="377"/>
      <c r="E963" s="376"/>
      <c r="F963" s="140"/>
    </row>
    <row r="964">
      <c r="B964" s="373"/>
      <c r="C964" s="377"/>
      <c r="D964" s="377"/>
      <c r="E964" s="376"/>
      <c r="F964" s="140"/>
    </row>
    <row r="965">
      <c r="B965" s="373"/>
      <c r="C965" s="377"/>
      <c r="D965" s="377"/>
      <c r="E965" s="376"/>
      <c r="F965" s="140"/>
    </row>
    <row r="966">
      <c r="B966" s="373"/>
      <c r="C966" s="377"/>
      <c r="D966" s="377"/>
      <c r="E966" s="376"/>
      <c r="F966" s="140"/>
    </row>
    <row r="967">
      <c r="B967" s="373"/>
      <c r="C967" s="377"/>
      <c r="D967" s="377"/>
      <c r="E967" s="376"/>
      <c r="F967" s="140"/>
    </row>
    <row r="968">
      <c r="B968" s="373"/>
      <c r="C968" s="377"/>
      <c r="D968" s="377"/>
      <c r="E968" s="376"/>
      <c r="F968" s="140"/>
    </row>
    <row r="969">
      <c r="B969" s="373"/>
      <c r="C969" s="377"/>
      <c r="D969" s="377"/>
      <c r="E969" s="376"/>
      <c r="F969" s="140"/>
    </row>
    <row r="970">
      <c r="B970" s="373"/>
      <c r="C970" s="377"/>
      <c r="D970" s="377"/>
      <c r="E970" s="376"/>
      <c r="F970" s="140"/>
    </row>
    <row r="971">
      <c r="B971" s="373"/>
      <c r="C971" s="377"/>
      <c r="D971" s="377"/>
      <c r="E971" s="376"/>
      <c r="F971" s="140"/>
    </row>
    <row r="972">
      <c r="B972" s="373"/>
      <c r="C972" s="377"/>
      <c r="D972" s="377"/>
      <c r="E972" s="376"/>
      <c r="F972" s="140"/>
    </row>
    <row r="973">
      <c r="B973" s="373"/>
      <c r="C973" s="377"/>
      <c r="D973" s="377"/>
      <c r="E973" s="376"/>
      <c r="F973" s="140"/>
    </row>
    <row r="974">
      <c r="B974" s="373"/>
      <c r="C974" s="377"/>
      <c r="D974" s="377"/>
      <c r="E974" s="376"/>
      <c r="F974" s="140"/>
    </row>
    <row r="975">
      <c r="B975" s="373"/>
      <c r="C975" s="377"/>
      <c r="D975" s="377"/>
      <c r="E975" s="376"/>
      <c r="F975" s="140"/>
    </row>
    <row r="976">
      <c r="B976" s="373"/>
      <c r="C976" s="377"/>
      <c r="D976" s="377"/>
      <c r="E976" s="376"/>
      <c r="F976" s="140"/>
    </row>
    <row r="977">
      <c r="B977" s="373"/>
      <c r="C977" s="377"/>
      <c r="D977" s="377"/>
      <c r="E977" s="376"/>
      <c r="F977" s="140"/>
    </row>
    <row r="978">
      <c r="B978" s="373"/>
      <c r="C978" s="377"/>
      <c r="D978" s="377"/>
      <c r="E978" s="376"/>
      <c r="F978" s="140"/>
    </row>
    <row r="979">
      <c r="B979" s="373"/>
      <c r="C979" s="377"/>
      <c r="D979" s="377"/>
      <c r="E979" s="376"/>
      <c r="F979" s="140"/>
    </row>
    <row r="980">
      <c r="B980" s="373"/>
      <c r="C980" s="377"/>
      <c r="D980" s="377"/>
      <c r="E980" s="376"/>
      <c r="F980" s="140"/>
    </row>
    <row r="981">
      <c r="B981" s="373"/>
      <c r="C981" s="377"/>
      <c r="D981" s="377"/>
      <c r="E981" s="376"/>
      <c r="F981" s="140"/>
    </row>
    <row r="982">
      <c r="B982" s="373"/>
      <c r="C982" s="377"/>
      <c r="D982" s="377"/>
      <c r="E982" s="376"/>
      <c r="F982" s="140"/>
    </row>
    <row r="983">
      <c r="B983" s="373"/>
      <c r="C983" s="377"/>
      <c r="D983" s="377"/>
      <c r="E983" s="376"/>
      <c r="F983" s="140"/>
    </row>
    <row r="984">
      <c r="B984" s="373"/>
      <c r="C984" s="377"/>
      <c r="D984" s="377"/>
      <c r="E984" s="376"/>
      <c r="F984" s="140"/>
    </row>
    <row r="985">
      <c r="B985" s="373"/>
      <c r="C985" s="377"/>
      <c r="D985" s="377"/>
      <c r="E985" s="376"/>
      <c r="F985" s="140"/>
    </row>
    <row r="986">
      <c r="B986" s="373"/>
      <c r="C986" s="377"/>
      <c r="D986" s="377"/>
      <c r="E986" s="376"/>
      <c r="F986" s="140"/>
    </row>
    <row r="987">
      <c r="B987" s="373"/>
      <c r="C987" s="377"/>
      <c r="D987" s="377"/>
      <c r="E987" s="376"/>
      <c r="F987" s="140"/>
    </row>
    <row r="988">
      <c r="B988" s="373"/>
      <c r="C988" s="377"/>
      <c r="D988" s="377"/>
      <c r="E988" s="376"/>
      <c r="F988" s="140"/>
    </row>
    <row r="989">
      <c r="B989" s="373"/>
      <c r="C989" s="377"/>
      <c r="D989" s="377"/>
      <c r="E989" s="376"/>
      <c r="F989" s="140"/>
    </row>
    <row r="990">
      <c r="B990" s="373"/>
      <c r="C990" s="377"/>
      <c r="D990" s="377"/>
      <c r="E990" s="376"/>
      <c r="F990" s="140"/>
    </row>
    <row r="991">
      <c r="B991" s="373"/>
      <c r="C991" s="377"/>
      <c r="D991" s="377"/>
      <c r="E991" s="376"/>
      <c r="F991" s="140"/>
    </row>
    <row r="992">
      <c r="B992" s="373"/>
      <c r="C992" s="377"/>
      <c r="D992" s="377"/>
      <c r="E992" s="376"/>
      <c r="F992" s="140"/>
    </row>
    <row r="993">
      <c r="B993" s="373"/>
      <c r="C993" s="377"/>
      <c r="D993" s="377"/>
      <c r="E993" s="376"/>
      <c r="F993" s="140"/>
    </row>
    <row r="994">
      <c r="B994" s="373"/>
      <c r="C994" s="377"/>
      <c r="D994" s="377"/>
      <c r="E994" s="376"/>
      <c r="F994" s="140"/>
    </row>
    <row r="995">
      <c r="B995" s="373"/>
      <c r="C995" s="377"/>
      <c r="D995" s="377"/>
      <c r="E995" s="376"/>
      <c r="F995" s="140"/>
    </row>
    <row r="996">
      <c r="B996" s="373"/>
      <c r="C996" s="377"/>
      <c r="D996" s="377"/>
      <c r="E996" s="376"/>
      <c r="F996" s="140"/>
    </row>
    <row r="997">
      <c r="B997" s="373"/>
      <c r="C997" s="377"/>
      <c r="D997" s="377"/>
      <c r="E997" s="376"/>
      <c r="F997" s="140"/>
    </row>
    <row r="998">
      <c r="B998" s="373"/>
      <c r="C998" s="377"/>
      <c r="D998" s="377"/>
      <c r="E998" s="376"/>
      <c r="F998" s="140"/>
    </row>
    <row r="999">
      <c r="B999" s="373"/>
      <c r="C999" s="377"/>
      <c r="D999" s="377"/>
      <c r="E999" s="376"/>
      <c r="F999" s="140"/>
    </row>
    <row r="1000">
      <c r="B1000" s="373"/>
      <c r="C1000" s="377"/>
      <c r="D1000" s="377"/>
      <c r="E1000" s="376"/>
      <c r="F1000" s="140"/>
    </row>
    <row r="1001">
      <c r="B1001" s="373"/>
      <c r="C1001" s="377"/>
      <c r="D1001" s="377"/>
      <c r="E1001" s="376"/>
      <c r="F1001" s="140"/>
    </row>
    <row r="1002">
      <c r="B1002" s="373"/>
      <c r="C1002" s="377"/>
      <c r="D1002" s="377"/>
      <c r="E1002" s="376"/>
      <c r="F1002" s="140"/>
    </row>
  </sheetData>
  <mergeCells count="2">
    <mergeCell ref="L1:M1"/>
    <mergeCell ref="N1:O1"/>
  </mergeCells>
  <conditionalFormatting sqref="E1:E1002">
    <cfRule type="containsText" dxfId="1" priority="1" operator="containsText" text="Rep">
      <formula>NOT(ISERROR(SEARCH(("Rep"),(E1))))</formula>
    </cfRule>
  </conditionalFormatting>
  <conditionalFormatting sqref="E1:E1002">
    <cfRule type="containsText" dxfId="0" priority="2" operator="containsText" text="Dem">
      <formula>NOT(ISERROR(SEARCH(("Dem"),(E1))))</formula>
    </cfRule>
  </conditionalFormatting>
  <hyperlinks>
    <hyperlink r:id="rId1" ref="B4"/>
    <hyperlink r:id="rId2" ref="B5"/>
    <hyperlink r:id="rId3" ref="C5"/>
    <hyperlink r:id="rId4" ref="B6"/>
    <hyperlink r:id="rId5" ref="C6"/>
    <hyperlink r:id="rId6" ref="B7"/>
    <hyperlink r:id="rId7" ref="C7"/>
    <hyperlink r:id="rId8" ref="B8"/>
    <hyperlink r:id="rId9" ref="C8"/>
    <hyperlink r:id="rId10" ref="B9"/>
    <hyperlink r:id="rId11" ref="C9"/>
    <hyperlink r:id="rId12" ref="B10"/>
    <hyperlink r:id="rId13" ref="C10"/>
    <hyperlink r:id="rId14" ref="B11"/>
    <hyperlink r:id="rId15" ref="C11"/>
    <hyperlink r:id="rId16" ref="B12"/>
    <hyperlink r:id="rId17" ref="C12"/>
    <hyperlink r:id="rId18" ref="B13"/>
    <hyperlink r:id="rId19" ref="C13"/>
    <hyperlink r:id="rId20" ref="B14"/>
    <hyperlink r:id="rId21" ref="C14"/>
    <hyperlink r:id="rId22" ref="B15"/>
    <hyperlink r:id="rId23" ref="C15"/>
    <hyperlink r:id="rId24" ref="B16"/>
    <hyperlink r:id="rId25" ref="C16"/>
    <hyperlink r:id="rId26" ref="B17"/>
    <hyperlink r:id="rId27" ref="B18"/>
    <hyperlink r:id="rId28" ref="B19"/>
    <hyperlink r:id="rId29" ref="C19"/>
    <hyperlink r:id="rId30" ref="B20"/>
    <hyperlink r:id="rId31" ref="B21"/>
    <hyperlink r:id="rId32" ref="C21"/>
    <hyperlink r:id="rId33" ref="B22"/>
    <hyperlink r:id="rId34" ref="B23"/>
    <hyperlink r:id="rId35" ref="C23"/>
    <hyperlink r:id="rId36" ref="B24"/>
    <hyperlink r:id="rId37" ref="C24"/>
    <hyperlink r:id="rId38" ref="B25"/>
    <hyperlink r:id="rId39" ref="C25"/>
    <hyperlink r:id="rId40" ref="B26"/>
    <hyperlink r:id="rId41" ref="C26"/>
    <hyperlink r:id="rId42" ref="B27"/>
    <hyperlink r:id="rId43" ref="C27"/>
    <hyperlink r:id="rId44" ref="B28"/>
    <hyperlink r:id="rId45" ref="C28"/>
    <hyperlink r:id="rId46" ref="B29"/>
    <hyperlink r:id="rId47" ref="C29"/>
    <hyperlink r:id="rId48" ref="B30"/>
    <hyperlink r:id="rId49" ref="C30"/>
    <hyperlink r:id="rId50" ref="B31"/>
    <hyperlink r:id="rId51" ref="B32"/>
    <hyperlink r:id="rId52" ref="C32"/>
    <hyperlink r:id="rId53" ref="B33"/>
    <hyperlink r:id="rId54" ref="C33"/>
    <hyperlink r:id="rId55" ref="B34"/>
    <hyperlink r:id="rId56" ref="C34"/>
    <hyperlink r:id="rId57" ref="B35"/>
    <hyperlink r:id="rId58" ref="C35"/>
    <hyperlink r:id="rId59" ref="B36"/>
    <hyperlink r:id="rId60" ref="C36"/>
    <hyperlink r:id="rId61" ref="B37"/>
    <hyperlink r:id="rId62" ref="C37"/>
    <hyperlink r:id="rId63" ref="B38"/>
    <hyperlink r:id="rId64" ref="C38"/>
    <hyperlink r:id="rId65" ref="B39"/>
    <hyperlink r:id="rId66" ref="C39"/>
    <hyperlink r:id="rId67" ref="B40"/>
    <hyperlink r:id="rId68" ref="C40"/>
    <hyperlink r:id="rId69" ref="B41"/>
    <hyperlink r:id="rId70" ref="C41"/>
    <hyperlink r:id="rId71" ref="B42"/>
    <hyperlink r:id="rId72" ref="C42"/>
    <hyperlink r:id="rId73" ref="B43"/>
    <hyperlink r:id="rId74" ref="B44"/>
    <hyperlink r:id="rId75" ref="C44"/>
    <hyperlink r:id="rId76" ref="B45"/>
    <hyperlink r:id="rId77" ref="C45"/>
    <hyperlink r:id="rId78" ref="B46"/>
    <hyperlink r:id="rId79" ref="C46"/>
    <hyperlink r:id="rId80" ref="B47"/>
    <hyperlink r:id="rId81" ref="C47"/>
    <hyperlink r:id="rId82" ref="B48"/>
    <hyperlink r:id="rId83" ref="C48"/>
    <hyperlink r:id="rId84" ref="B49"/>
    <hyperlink r:id="rId85" ref="C49"/>
    <hyperlink r:id="rId86" ref="B50"/>
    <hyperlink r:id="rId87" ref="C50"/>
    <hyperlink r:id="rId88" ref="B51"/>
    <hyperlink r:id="rId89" ref="C51"/>
    <hyperlink r:id="rId90" ref="B52"/>
    <hyperlink r:id="rId91" ref="C52"/>
    <hyperlink r:id="rId92" ref="B53"/>
    <hyperlink r:id="rId93" ref="C53"/>
    <hyperlink r:id="rId94" ref="B54"/>
    <hyperlink r:id="rId95" ref="B55"/>
    <hyperlink r:id="rId96" ref="C55"/>
    <hyperlink r:id="rId97" ref="B56"/>
    <hyperlink r:id="rId98" ref="C56"/>
    <hyperlink r:id="rId99" ref="B57"/>
    <hyperlink r:id="rId100" ref="B58"/>
    <hyperlink r:id="rId101" ref="C58"/>
    <hyperlink r:id="rId102" ref="B59"/>
    <hyperlink r:id="rId103" ref="C59"/>
    <hyperlink r:id="rId104" ref="B60"/>
    <hyperlink r:id="rId105" ref="C60"/>
    <hyperlink r:id="rId106" ref="B61"/>
    <hyperlink r:id="rId107" ref="C61"/>
    <hyperlink r:id="rId108" ref="B62"/>
    <hyperlink r:id="rId109" ref="C62"/>
    <hyperlink r:id="rId110" ref="B63"/>
    <hyperlink r:id="rId111" ref="C63"/>
    <hyperlink r:id="rId112" ref="B64"/>
    <hyperlink r:id="rId113" ref="C64"/>
    <hyperlink r:id="rId114" ref="B65"/>
    <hyperlink r:id="rId115" ref="C65"/>
    <hyperlink r:id="rId116" ref="B66"/>
    <hyperlink r:id="rId117" ref="C66"/>
    <hyperlink r:id="rId118" ref="B67"/>
    <hyperlink r:id="rId119" ref="C67"/>
    <hyperlink r:id="rId120" ref="B68"/>
    <hyperlink r:id="rId121" ref="C68"/>
    <hyperlink r:id="rId122" ref="B69"/>
    <hyperlink r:id="rId123" ref="C69"/>
    <hyperlink r:id="rId124" ref="B70"/>
    <hyperlink r:id="rId125" ref="C70"/>
    <hyperlink r:id="rId126" ref="B71"/>
    <hyperlink r:id="rId127" ref="C71"/>
    <hyperlink r:id="rId128" ref="B72"/>
    <hyperlink r:id="rId129" ref="C72"/>
    <hyperlink r:id="rId130" ref="B73"/>
    <hyperlink r:id="rId131" ref="C73"/>
    <hyperlink r:id="rId132" ref="B74"/>
    <hyperlink r:id="rId133" ref="C74"/>
    <hyperlink r:id="rId134" ref="B75"/>
    <hyperlink r:id="rId135" ref="C75"/>
    <hyperlink r:id="rId136" ref="B76"/>
    <hyperlink r:id="rId137" ref="C76"/>
    <hyperlink r:id="rId138" ref="B77"/>
    <hyperlink r:id="rId139" ref="C77"/>
    <hyperlink r:id="rId140" ref="B78"/>
    <hyperlink r:id="rId141" ref="C78"/>
    <hyperlink r:id="rId142" ref="B79"/>
    <hyperlink r:id="rId143" ref="C79"/>
    <hyperlink r:id="rId144" ref="B80"/>
    <hyperlink r:id="rId145" ref="C80"/>
    <hyperlink r:id="rId146" ref="B81"/>
    <hyperlink r:id="rId147" ref="C81"/>
    <hyperlink r:id="rId148" ref="B82"/>
    <hyperlink r:id="rId149" ref="B83"/>
    <hyperlink r:id="rId150" ref="B84"/>
    <hyperlink r:id="rId151" ref="C84"/>
    <hyperlink r:id="rId152" ref="B85"/>
    <hyperlink r:id="rId153" ref="C85"/>
    <hyperlink r:id="rId154" ref="B86"/>
    <hyperlink r:id="rId155" ref="B87"/>
    <hyperlink r:id="rId156" ref="C87"/>
    <hyperlink r:id="rId157" ref="B88"/>
    <hyperlink r:id="rId158" ref="C88"/>
    <hyperlink r:id="rId159" ref="B89"/>
    <hyperlink r:id="rId160" ref="C89"/>
    <hyperlink r:id="rId161" ref="B90"/>
    <hyperlink r:id="rId162" ref="B91"/>
    <hyperlink r:id="rId163" ref="C91"/>
    <hyperlink r:id="rId164" ref="B92"/>
    <hyperlink r:id="rId165" ref="C92"/>
    <hyperlink r:id="rId166" ref="B93"/>
    <hyperlink r:id="rId167" ref="C93"/>
    <hyperlink r:id="rId168" ref="B94"/>
    <hyperlink r:id="rId169" ref="C94"/>
    <hyperlink r:id="rId170" ref="B95"/>
    <hyperlink r:id="rId171" ref="C95"/>
    <hyperlink r:id="rId172" ref="B96"/>
    <hyperlink r:id="rId173" ref="C96"/>
    <hyperlink r:id="rId174" ref="B97"/>
    <hyperlink r:id="rId175" ref="C97"/>
    <hyperlink r:id="rId176" ref="B98"/>
    <hyperlink r:id="rId177" ref="B99"/>
    <hyperlink r:id="rId178" ref="C99"/>
    <hyperlink r:id="rId179" ref="B100"/>
    <hyperlink r:id="rId180" ref="B101"/>
    <hyperlink r:id="rId181" ref="C101"/>
    <hyperlink r:id="rId182" ref="B102"/>
    <hyperlink r:id="rId183" ref="C102"/>
    <hyperlink r:id="rId184" ref="B103"/>
    <hyperlink r:id="rId185" ref="C103"/>
    <hyperlink r:id="rId186" ref="B104"/>
    <hyperlink r:id="rId187" ref="C104"/>
    <hyperlink r:id="rId188" ref="B105"/>
    <hyperlink r:id="rId189" ref="B106"/>
    <hyperlink r:id="rId190" ref="C106"/>
    <hyperlink r:id="rId191" ref="B107"/>
    <hyperlink r:id="rId192" ref="C107"/>
    <hyperlink r:id="rId193" ref="B108"/>
    <hyperlink r:id="rId194" ref="B109"/>
    <hyperlink r:id="rId195" ref="C109"/>
    <hyperlink r:id="rId196" ref="B110"/>
    <hyperlink r:id="rId197" ref="B111"/>
    <hyperlink r:id="rId198" ref="C111"/>
    <hyperlink r:id="rId199" ref="B112"/>
    <hyperlink r:id="rId200" ref="C112"/>
    <hyperlink r:id="rId201" ref="B113"/>
    <hyperlink r:id="rId202" ref="C113"/>
    <hyperlink r:id="rId203" ref="B114"/>
    <hyperlink r:id="rId204" ref="B115"/>
    <hyperlink r:id="rId205" ref="C115"/>
    <hyperlink r:id="rId206" ref="B116"/>
    <hyperlink r:id="rId207" ref="C116"/>
    <hyperlink r:id="rId208" ref="B117"/>
    <hyperlink r:id="rId209" ref="C117"/>
    <hyperlink r:id="rId210" ref="B118"/>
    <hyperlink r:id="rId211" ref="C118"/>
    <hyperlink r:id="rId212" ref="B119"/>
    <hyperlink r:id="rId213" ref="C119"/>
    <hyperlink r:id="rId214" ref="B120"/>
    <hyperlink r:id="rId215" ref="B121"/>
    <hyperlink r:id="rId216" ref="C121"/>
    <hyperlink r:id="rId217" ref="B122"/>
    <hyperlink r:id="rId218" ref="B123"/>
    <hyperlink r:id="rId219" ref="C123"/>
    <hyperlink r:id="rId220" ref="B124"/>
    <hyperlink r:id="rId221" ref="C124"/>
    <hyperlink r:id="rId222" ref="B125"/>
    <hyperlink r:id="rId223" ref="C125"/>
    <hyperlink r:id="rId224" ref="B126"/>
    <hyperlink r:id="rId225" ref="C126"/>
    <hyperlink r:id="rId226" ref="B127"/>
    <hyperlink r:id="rId227" ref="C127"/>
    <hyperlink r:id="rId228" ref="B128"/>
    <hyperlink r:id="rId229" ref="C128"/>
    <hyperlink r:id="rId230" ref="B129"/>
    <hyperlink r:id="rId231" ref="C129"/>
    <hyperlink r:id="rId232" ref="B130"/>
    <hyperlink r:id="rId233" ref="C130"/>
    <hyperlink r:id="rId234" ref="B131"/>
    <hyperlink r:id="rId235" ref="C131"/>
    <hyperlink r:id="rId236" ref="B132"/>
    <hyperlink r:id="rId237" ref="C132"/>
    <hyperlink r:id="rId238" ref="B133"/>
    <hyperlink r:id="rId239" ref="C133"/>
    <hyperlink r:id="rId240" ref="B134"/>
    <hyperlink r:id="rId241" ref="B135"/>
    <hyperlink r:id="rId242" ref="C135"/>
    <hyperlink r:id="rId243" ref="B136"/>
    <hyperlink r:id="rId244" ref="B137"/>
    <hyperlink r:id="rId245" ref="C137"/>
    <hyperlink r:id="rId246" ref="B138"/>
    <hyperlink r:id="rId247" ref="C138"/>
    <hyperlink r:id="rId248" ref="B139"/>
    <hyperlink r:id="rId249" ref="C139"/>
    <hyperlink r:id="rId250" ref="B140"/>
    <hyperlink r:id="rId251" ref="C140"/>
    <hyperlink r:id="rId252" ref="B141"/>
    <hyperlink r:id="rId253" ref="B142"/>
    <hyperlink r:id="rId254" ref="C142"/>
    <hyperlink r:id="rId255" ref="B143"/>
    <hyperlink r:id="rId256" ref="C143"/>
    <hyperlink r:id="rId257" ref="B144"/>
    <hyperlink r:id="rId258" ref="B145"/>
    <hyperlink r:id="rId259" ref="C145"/>
    <hyperlink r:id="rId260" ref="B146"/>
    <hyperlink r:id="rId261" ref="C146"/>
    <hyperlink r:id="rId262" ref="B147"/>
    <hyperlink r:id="rId263" ref="B148"/>
    <hyperlink r:id="rId264" ref="C148"/>
    <hyperlink r:id="rId265" ref="B149"/>
    <hyperlink r:id="rId266" ref="C149"/>
    <hyperlink r:id="rId267" ref="B150"/>
    <hyperlink r:id="rId268" ref="C150"/>
    <hyperlink r:id="rId269" ref="B151"/>
    <hyperlink r:id="rId270" ref="B152"/>
    <hyperlink r:id="rId271" ref="C152"/>
    <hyperlink r:id="rId272" ref="B153"/>
    <hyperlink r:id="rId273" ref="C153"/>
    <hyperlink r:id="rId274" ref="B154"/>
    <hyperlink r:id="rId275" ref="C154"/>
    <hyperlink r:id="rId276" ref="B155"/>
    <hyperlink r:id="rId277" ref="C155"/>
    <hyperlink r:id="rId278" ref="B156"/>
    <hyperlink r:id="rId279" ref="B157"/>
    <hyperlink r:id="rId280" ref="C157"/>
    <hyperlink r:id="rId281" ref="B158"/>
    <hyperlink r:id="rId282" ref="C158"/>
    <hyperlink r:id="rId283" ref="B159"/>
    <hyperlink r:id="rId284" ref="C159"/>
    <hyperlink r:id="rId285" ref="B160"/>
    <hyperlink r:id="rId286" ref="C160"/>
    <hyperlink r:id="rId287" ref="B161"/>
    <hyperlink r:id="rId288" ref="C161"/>
    <hyperlink r:id="rId289" ref="B162"/>
    <hyperlink r:id="rId290" ref="C162"/>
    <hyperlink r:id="rId291" ref="B163"/>
    <hyperlink r:id="rId292" ref="C163"/>
    <hyperlink r:id="rId293" ref="B164"/>
    <hyperlink r:id="rId294" ref="C164"/>
    <hyperlink r:id="rId295" ref="B165"/>
    <hyperlink r:id="rId296" ref="C165"/>
    <hyperlink r:id="rId297" ref="B166"/>
    <hyperlink r:id="rId298" ref="B167"/>
    <hyperlink r:id="rId299" ref="C167"/>
    <hyperlink r:id="rId300" ref="B168"/>
    <hyperlink r:id="rId301" ref="C168"/>
    <hyperlink r:id="rId302" ref="B169"/>
    <hyperlink r:id="rId303" ref="C169"/>
    <hyperlink r:id="rId304" ref="B170"/>
    <hyperlink r:id="rId305" ref="C170"/>
    <hyperlink r:id="rId306" ref="B171"/>
    <hyperlink r:id="rId307" ref="C171"/>
    <hyperlink r:id="rId308" ref="B172"/>
    <hyperlink r:id="rId309" ref="C172"/>
    <hyperlink r:id="rId310" ref="B173"/>
    <hyperlink r:id="rId311" ref="C173"/>
    <hyperlink r:id="rId312" ref="B174"/>
    <hyperlink r:id="rId313" ref="C174"/>
    <hyperlink r:id="rId314" ref="B175"/>
    <hyperlink r:id="rId315" ref="C175"/>
    <hyperlink r:id="rId316" ref="B176"/>
    <hyperlink r:id="rId317" ref="C176"/>
    <hyperlink r:id="rId318" ref="B177"/>
    <hyperlink r:id="rId319" ref="C177"/>
    <hyperlink r:id="rId320" ref="B178"/>
    <hyperlink r:id="rId321" ref="C178"/>
    <hyperlink r:id="rId322" ref="B179"/>
    <hyperlink r:id="rId323" ref="C179"/>
    <hyperlink r:id="rId324" ref="B180"/>
    <hyperlink r:id="rId325" ref="C180"/>
    <hyperlink r:id="rId326" ref="B181"/>
    <hyperlink r:id="rId327" ref="B182"/>
    <hyperlink r:id="rId328" ref="C182"/>
    <hyperlink r:id="rId329" ref="B183"/>
    <hyperlink r:id="rId330" ref="B186"/>
    <hyperlink r:id="rId331" ref="C186"/>
    <hyperlink r:id="rId332" ref="B187"/>
    <hyperlink r:id="rId333" ref="C187"/>
    <hyperlink r:id="rId334" ref="B188"/>
    <hyperlink r:id="rId335" ref="C188"/>
    <hyperlink r:id="rId336" ref="B189"/>
    <hyperlink r:id="rId337" ref="B190"/>
    <hyperlink r:id="rId338" ref="C190"/>
    <hyperlink r:id="rId339" ref="B191"/>
    <hyperlink r:id="rId340" ref="C191"/>
    <hyperlink r:id="rId341" ref="B192"/>
    <hyperlink r:id="rId342" ref="C192"/>
    <hyperlink r:id="rId343" ref="B193"/>
    <hyperlink r:id="rId344" ref="C193"/>
    <hyperlink r:id="rId345" ref="B194"/>
    <hyperlink r:id="rId346" ref="C194"/>
    <hyperlink r:id="rId347" ref="B195"/>
    <hyperlink r:id="rId348" ref="C195"/>
    <hyperlink r:id="rId349" ref="B196"/>
    <hyperlink r:id="rId350" ref="C196"/>
    <hyperlink r:id="rId351" ref="B197"/>
    <hyperlink r:id="rId352" ref="C197"/>
    <hyperlink r:id="rId353" ref="B198"/>
    <hyperlink r:id="rId354" ref="C198"/>
    <hyperlink r:id="rId355" ref="B199"/>
    <hyperlink r:id="rId356" ref="C199"/>
    <hyperlink r:id="rId357" ref="B200"/>
    <hyperlink r:id="rId358" ref="C200"/>
    <hyperlink r:id="rId359" ref="B201"/>
    <hyperlink r:id="rId360" ref="C201"/>
    <hyperlink r:id="rId361" ref="B202"/>
    <hyperlink r:id="rId362" ref="C202"/>
    <hyperlink r:id="rId363" ref="B203"/>
    <hyperlink r:id="rId364" ref="C203"/>
    <hyperlink r:id="rId365" ref="B204"/>
    <hyperlink r:id="rId366" ref="C204"/>
    <hyperlink r:id="rId367" ref="B205"/>
    <hyperlink r:id="rId368" ref="C205"/>
    <hyperlink r:id="rId369" ref="B206"/>
    <hyperlink r:id="rId370" ref="C206"/>
    <hyperlink r:id="rId371" ref="B207"/>
    <hyperlink r:id="rId372" ref="C207"/>
    <hyperlink r:id="rId373" ref="B208"/>
    <hyperlink r:id="rId374" ref="C208"/>
    <hyperlink r:id="rId375" ref="B209"/>
    <hyperlink r:id="rId376" ref="C209"/>
    <hyperlink r:id="rId377" ref="B210"/>
    <hyperlink r:id="rId378" ref="C210"/>
    <hyperlink r:id="rId379" ref="B211"/>
    <hyperlink r:id="rId380" ref="B212"/>
    <hyperlink r:id="rId381" ref="C212"/>
    <hyperlink r:id="rId382" ref="B213"/>
    <hyperlink r:id="rId383" ref="B214"/>
    <hyperlink r:id="rId384" ref="C214"/>
    <hyperlink r:id="rId385" ref="B215"/>
    <hyperlink r:id="rId386" ref="C215"/>
    <hyperlink r:id="rId387" ref="B216"/>
    <hyperlink r:id="rId388" ref="C216"/>
    <hyperlink r:id="rId389" ref="B217"/>
    <hyperlink r:id="rId390" ref="C217"/>
    <hyperlink r:id="rId391" ref="B218"/>
    <hyperlink r:id="rId392" ref="C218"/>
    <hyperlink r:id="rId393" ref="B219"/>
    <hyperlink r:id="rId394" ref="C219"/>
    <hyperlink r:id="rId395" ref="B220"/>
    <hyperlink r:id="rId396" ref="C220"/>
    <hyperlink r:id="rId397" ref="B221"/>
    <hyperlink r:id="rId398" ref="C221"/>
    <hyperlink r:id="rId399" ref="B222"/>
    <hyperlink r:id="rId400" ref="C222"/>
    <hyperlink r:id="rId401" ref="B223"/>
    <hyperlink r:id="rId402" ref="C223"/>
    <hyperlink r:id="rId403" ref="B224"/>
    <hyperlink r:id="rId404" ref="B225"/>
    <hyperlink r:id="rId405" ref="C225"/>
    <hyperlink r:id="rId406" ref="B226"/>
    <hyperlink r:id="rId407" ref="C226"/>
    <hyperlink r:id="rId408" ref="B227"/>
    <hyperlink r:id="rId409" ref="C227"/>
    <hyperlink r:id="rId410" ref="B228"/>
    <hyperlink r:id="rId411" ref="C228"/>
    <hyperlink r:id="rId412" ref="B229"/>
    <hyperlink r:id="rId413" ref="C229"/>
    <hyperlink r:id="rId414" ref="B230"/>
    <hyperlink r:id="rId415" ref="C230"/>
    <hyperlink r:id="rId416" ref="B231"/>
    <hyperlink r:id="rId417" ref="C231"/>
    <hyperlink r:id="rId418" ref="B232"/>
    <hyperlink r:id="rId419" ref="B233"/>
    <hyperlink r:id="rId420" ref="C233"/>
    <hyperlink r:id="rId421" ref="B234"/>
    <hyperlink r:id="rId422" ref="C234"/>
    <hyperlink r:id="rId423" ref="B235"/>
    <hyperlink r:id="rId424" ref="C235"/>
    <hyperlink r:id="rId425" ref="B236"/>
    <hyperlink r:id="rId426" ref="C236"/>
    <hyperlink r:id="rId427" ref="B237"/>
    <hyperlink r:id="rId428" ref="C237"/>
    <hyperlink r:id="rId429" ref="B238"/>
    <hyperlink r:id="rId430" ref="C238"/>
    <hyperlink r:id="rId431" ref="B239"/>
    <hyperlink r:id="rId432" ref="C239"/>
    <hyperlink r:id="rId433" ref="B240"/>
    <hyperlink r:id="rId434" ref="C240"/>
  </hyperlinks>
  <drawing r:id="rId435"/>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3" max="3" width="16.71"/>
    <col customWidth="1" min="6" max="6" width="24.0"/>
    <col customWidth="1" min="7" max="7" width="19.0"/>
    <col customWidth="1" min="8" max="8" width="16.14"/>
  </cols>
  <sheetData>
    <row r="1" ht="15.0" customHeight="1" outlineLevel="1">
      <c r="A1" s="1" t="s">
        <v>0</v>
      </c>
      <c r="B1" s="268" t="s">
        <v>1</v>
      </c>
      <c r="C1" s="269" t="s">
        <v>2</v>
      </c>
      <c r="D1" s="270" t="s">
        <v>2</v>
      </c>
      <c r="E1" s="5"/>
      <c r="F1" s="271" t="s">
        <v>1577</v>
      </c>
      <c r="G1" s="271" t="s">
        <v>4</v>
      </c>
      <c r="H1" s="271" t="s">
        <v>5</v>
      </c>
      <c r="I1" s="271" t="s">
        <v>6</v>
      </c>
      <c r="J1" s="271" t="s">
        <v>7</v>
      </c>
      <c r="K1" s="1" t="s">
        <v>8</v>
      </c>
      <c r="L1" s="272" t="s">
        <v>9</v>
      </c>
      <c r="N1" s="10" t="s">
        <v>14</v>
      </c>
      <c r="P1" s="167"/>
      <c r="Q1" s="167"/>
      <c r="R1" s="30"/>
      <c r="S1" s="20"/>
      <c r="T1" s="20"/>
      <c r="U1" s="20"/>
      <c r="V1" s="20"/>
      <c r="W1" s="20"/>
      <c r="X1" s="20"/>
      <c r="Y1" s="20"/>
      <c r="Z1" s="20"/>
      <c r="AA1" s="20"/>
      <c r="AB1" s="20"/>
      <c r="AC1" s="20"/>
      <c r="AD1" s="20"/>
      <c r="AE1" s="261"/>
      <c r="AF1" s="261"/>
      <c r="AG1" s="261"/>
    </row>
    <row r="2" ht="16.5" customHeight="1" outlineLevel="1">
      <c r="A2" s="23"/>
      <c r="B2" s="23"/>
      <c r="C2" s="273"/>
      <c r="D2" s="274"/>
      <c r="E2" s="5"/>
      <c r="F2" s="23">
        <v>43481.0</v>
      </c>
      <c r="G2" s="23">
        <v>43489.0</v>
      </c>
      <c r="H2" s="21">
        <f>G2-TODAY()</f>
        <v>-246</v>
      </c>
      <c r="I2" s="23">
        <v>43481.0</v>
      </c>
      <c r="J2" s="23">
        <v>43587.0</v>
      </c>
      <c r="K2" s="23"/>
      <c r="L2" s="275">
        <f>CountIFS($E:$E,"=Dem",$A:$A,"=House")</f>
        <v>45</v>
      </c>
      <c r="M2" s="276">
        <f>CountIFS($E:$E,"=Rep",$A:$A,"=House")</f>
        <v>5</v>
      </c>
      <c r="N2" s="26">
        <f>CountIFS($E:$E,"=Dem",$A:$A,"=Senate")</f>
        <v>24</v>
      </c>
      <c r="O2" s="28">
        <f>CountIFS($E:$E,"=Rep",$A:$A,"=Senate")</f>
        <v>1</v>
      </c>
      <c r="P2" s="167"/>
      <c r="Q2" s="167"/>
      <c r="R2" s="30"/>
      <c r="S2" s="20"/>
      <c r="T2" s="20"/>
      <c r="U2" s="20"/>
      <c r="V2" s="20"/>
      <c r="W2" s="20"/>
      <c r="X2" s="20"/>
      <c r="Y2" s="20"/>
      <c r="Z2" s="20"/>
      <c r="AA2" s="20"/>
      <c r="AB2" s="20"/>
      <c r="AC2" s="20"/>
      <c r="AD2" s="20"/>
      <c r="AE2" s="261"/>
      <c r="AF2" s="261"/>
      <c r="AG2" s="261"/>
    </row>
    <row r="3">
      <c r="A3" s="271" t="s">
        <v>29</v>
      </c>
      <c r="B3" s="271" t="s">
        <v>30</v>
      </c>
      <c r="C3" s="269" t="s">
        <v>31</v>
      </c>
      <c r="D3" s="270" t="s">
        <v>32</v>
      </c>
      <c r="E3" s="5" t="s">
        <v>33</v>
      </c>
      <c r="F3" s="271" t="s">
        <v>10</v>
      </c>
      <c r="G3" s="1" t="s">
        <v>34</v>
      </c>
      <c r="H3" s="1" t="s">
        <v>34</v>
      </c>
      <c r="I3" s="1" t="s">
        <v>34</v>
      </c>
      <c r="J3" s="1" t="s">
        <v>34</v>
      </c>
      <c r="K3" s="1" t="s">
        <v>35</v>
      </c>
      <c r="L3" s="277" t="s">
        <v>36</v>
      </c>
      <c r="M3" s="277" t="s">
        <v>37</v>
      </c>
      <c r="N3" s="19" t="s">
        <v>38</v>
      </c>
      <c r="O3" s="17" t="s">
        <v>39</v>
      </c>
      <c r="P3" s="11" t="s">
        <v>40</v>
      </c>
      <c r="Q3" s="11" t="s">
        <v>41</v>
      </c>
      <c r="R3" s="17" t="s">
        <v>42</v>
      </c>
      <c r="S3" s="20"/>
      <c r="T3" s="20"/>
      <c r="U3" s="20"/>
      <c r="V3" s="20"/>
      <c r="W3" s="20"/>
      <c r="X3" s="20"/>
      <c r="Y3" s="20"/>
      <c r="Z3" s="20"/>
      <c r="AA3" s="20"/>
      <c r="AB3" s="20"/>
      <c r="AC3" s="20"/>
      <c r="AD3" s="20"/>
      <c r="AE3" s="261"/>
      <c r="AF3" s="261"/>
      <c r="AG3" s="261"/>
    </row>
    <row r="4">
      <c r="A4" s="278" t="s">
        <v>44</v>
      </c>
      <c r="B4" s="279">
        <v>1.0</v>
      </c>
      <c r="C4" s="280" t="s">
        <v>91</v>
      </c>
      <c r="D4" s="205" t="s">
        <v>3107</v>
      </c>
      <c r="E4" s="94" t="s">
        <v>49</v>
      </c>
      <c r="F4" s="281" t="s">
        <v>3108</v>
      </c>
      <c r="G4" s="282" t="s">
        <v>3109</v>
      </c>
      <c r="H4" s="282"/>
      <c r="I4" s="282"/>
      <c r="J4" s="283"/>
      <c r="K4" s="284"/>
      <c r="L4" s="206" t="s">
        <v>3111</v>
      </c>
      <c r="M4" s="285" t="s">
        <v>3112</v>
      </c>
      <c r="N4" s="287"/>
      <c r="O4" s="287"/>
      <c r="P4" s="287"/>
      <c r="Q4" s="287"/>
      <c r="R4" s="289" t="s">
        <v>3115</v>
      </c>
      <c r="S4" s="287"/>
    </row>
    <row r="5">
      <c r="A5" s="278" t="s">
        <v>44</v>
      </c>
      <c r="B5" s="279">
        <v>2.0</v>
      </c>
      <c r="C5" s="280" t="s">
        <v>173</v>
      </c>
      <c r="D5" s="205" t="s">
        <v>1974</v>
      </c>
      <c r="E5" s="94" t="s">
        <v>49</v>
      </c>
      <c r="F5" s="281"/>
      <c r="G5" s="282"/>
      <c r="H5" s="282" t="s">
        <v>1264</v>
      </c>
      <c r="I5" s="283"/>
      <c r="J5" s="283"/>
      <c r="K5" s="284"/>
      <c r="L5" s="206" t="s">
        <v>3117</v>
      </c>
      <c r="M5" s="285" t="s">
        <v>3118</v>
      </c>
      <c r="N5" s="287"/>
      <c r="O5" s="287"/>
      <c r="P5" s="287"/>
      <c r="Q5" s="287"/>
      <c r="S5" s="287"/>
    </row>
    <row r="6">
      <c r="A6" s="278" t="s">
        <v>44</v>
      </c>
      <c r="B6" s="279">
        <v>3.0</v>
      </c>
      <c r="C6" s="280" t="s">
        <v>1112</v>
      </c>
      <c r="D6" s="205" t="s">
        <v>3122</v>
      </c>
      <c r="E6" s="94" t="s">
        <v>49</v>
      </c>
      <c r="F6" s="281"/>
      <c r="G6" s="282" t="s">
        <v>2184</v>
      </c>
      <c r="H6" s="282" t="s">
        <v>3124</v>
      </c>
      <c r="K6" s="284"/>
      <c r="L6" s="206" t="s">
        <v>3125</v>
      </c>
      <c r="M6" s="285" t="s">
        <v>3126</v>
      </c>
      <c r="N6" s="287"/>
      <c r="O6" s="287"/>
      <c r="P6" s="287"/>
      <c r="Q6" s="287"/>
      <c r="S6" s="287"/>
    </row>
    <row r="7">
      <c r="A7" s="278" t="s">
        <v>44</v>
      </c>
      <c r="B7" s="279">
        <v>4.0</v>
      </c>
      <c r="C7" s="280" t="s">
        <v>2913</v>
      </c>
      <c r="D7" s="205" t="s">
        <v>3129</v>
      </c>
      <c r="E7" s="94" t="s">
        <v>49</v>
      </c>
      <c r="F7" s="281" t="s">
        <v>1188</v>
      </c>
      <c r="G7" s="282" t="s">
        <v>3130</v>
      </c>
      <c r="H7" s="282" t="s">
        <v>3131</v>
      </c>
      <c r="I7" s="282" t="s">
        <v>3132</v>
      </c>
      <c r="K7" s="284"/>
      <c r="L7" s="206" t="s">
        <v>3133</v>
      </c>
      <c r="M7" s="285" t="s">
        <v>3134</v>
      </c>
      <c r="N7" s="287"/>
      <c r="O7" s="287"/>
      <c r="P7" s="287"/>
      <c r="Q7" s="287"/>
      <c r="S7" s="287"/>
    </row>
    <row r="8">
      <c r="A8" s="278" t="s">
        <v>44</v>
      </c>
      <c r="B8" s="279">
        <v>5.0</v>
      </c>
      <c r="C8" s="280" t="s">
        <v>1112</v>
      </c>
      <c r="D8" s="205" t="s">
        <v>3141</v>
      </c>
      <c r="E8" s="94" t="s">
        <v>49</v>
      </c>
      <c r="F8" s="281"/>
      <c r="G8" s="282" t="s">
        <v>781</v>
      </c>
      <c r="H8" s="282" t="s">
        <v>3142</v>
      </c>
      <c r="I8" s="282" t="s">
        <v>3143</v>
      </c>
      <c r="K8" s="284"/>
      <c r="L8" s="206" t="s">
        <v>3144</v>
      </c>
      <c r="M8" s="285" t="s">
        <v>3145</v>
      </c>
      <c r="N8" s="287"/>
      <c r="O8" s="287"/>
      <c r="P8" s="287"/>
      <c r="Q8" s="287"/>
      <c r="S8" s="287"/>
    </row>
    <row r="9">
      <c r="A9" s="278" t="s">
        <v>44</v>
      </c>
      <c r="B9" s="279">
        <v>6.0</v>
      </c>
      <c r="C9" s="280" t="s">
        <v>1648</v>
      </c>
      <c r="D9" s="205" t="s">
        <v>3152</v>
      </c>
      <c r="E9" s="94" t="s">
        <v>49</v>
      </c>
      <c r="F9" s="281" t="s">
        <v>1188</v>
      </c>
      <c r="G9" s="282" t="s">
        <v>781</v>
      </c>
      <c r="H9" s="282" t="s">
        <v>3154</v>
      </c>
      <c r="I9" s="282" t="s">
        <v>3155</v>
      </c>
      <c r="K9" s="284"/>
      <c r="L9" s="206" t="s">
        <v>3156</v>
      </c>
      <c r="M9" s="285" t="s">
        <v>3157</v>
      </c>
      <c r="N9" s="287"/>
      <c r="O9" s="287"/>
      <c r="P9" s="287"/>
      <c r="Q9" s="287"/>
      <c r="S9" s="287"/>
    </row>
    <row r="10">
      <c r="A10" s="278" t="s">
        <v>44</v>
      </c>
      <c r="B10" s="279">
        <v>7.0</v>
      </c>
      <c r="C10" s="280" t="s">
        <v>108</v>
      </c>
      <c r="D10" s="205" t="s">
        <v>3159</v>
      </c>
      <c r="E10" s="94" t="s">
        <v>49</v>
      </c>
      <c r="F10" s="281"/>
      <c r="G10" s="282" t="s">
        <v>3160</v>
      </c>
      <c r="H10" s="282" t="s">
        <v>3154</v>
      </c>
      <c r="I10" s="282"/>
      <c r="J10" s="282"/>
      <c r="K10" s="284"/>
      <c r="L10" s="206" t="s">
        <v>3161</v>
      </c>
      <c r="M10" s="285" t="s">
        <v>3162</v>
      </c>
      <c r="N10" s="287"/>
      <c r="O10" s="287"/>
      <c r="P10" s="287"/>
      <c r="Q10" s="287"/>
      <c r="S10" s="287"/>
    </row>
    <row r="11">
      <c r="A11" s="278" t="s">
        <v>44</v>
      </c>
      <c r="B11" s="279">
        <v>8.0</v>
      </c>
      <c r="C11" s="294" t="s">
        <v>3163</v>
      </c>
      <c r="D11" s="206" t="s">
        <v>3165</v>
      </c>
      <c r="E11" s="94" t="s">
        <v>49</v>
      </c>
      <c r="F11" s="281"/>
      <c r="G11" s="282" t="s">
        <v>3166</v>
      </c>
      <c r="H11" s="282" t="s">
        <v>3167</v>
      </c>
      <c r="I11" s="282" t="s">
        <v>1264</v>
      </c>
      <c r="J11" s="283"/>
      <c r="K11" s="284"/>
      <c r="L11" s="206" t="s">
        <v>3168</v>
      </c>
      <c r="M11" s="285" t="s">
        <v>3169</v>
      </c>
      <c r="N11" s="287"/>
      <c r="O11" s="287"/>
      <c r="P11" s="287"/>
      <c r="Q11" s="287"/>
      <c r="R11" s="289" t="s">
        <v>3170</v>
      </c>
      <c r="S11" s="287"/>
    </row>
    <row r="12">
      <c r="A12" s="278" t="s">
        <v>44</v>
      </c>
      <c r="B12" s="279">
        <v>9.0</v>
      </c>
      <c r="C12" s="280" t="s">
        <v>786</v>
      </c>
      <c r="D12" s="205" t="s">
        <v>3172</v>
      </c>
      <c r="E12" s="94" t="s">
        <v>49</v>
      </c>
      <c r="F12" s="281" t="s">
        <v>1188</v>
      </c>
      <c r="G12" s="282" t="s">
        <v>3167</v>
      </c>
      <c r="H12" s="282" t="s">
        <v>3173</v>
      </c>
      <c r="I12" s="282" t="s">
        <v>578</v>
      </c>
      <c r="K12" s="284"/>
      <c r="L12" s="206" t="s">
        <v>3174</v>
      </c>
      <c r="M12" s="285" t="s">
        <v>3175</v>
      </c>
      <c r="N12" s="287"/>
      <c r="O12" s="287"/>
      <c r="P12" s="287"/>
      <c r="Q12" s="287"/>
      <c r="S12" s="287"/>
    </row>
    <row r="13">
      <c r="A13" s="278" t="s">
        <v>44</v>
      </c>
      <c r="B13" s="279">
        <v>10.0</v>
      </c>
      <c r="C13" s="280" t="s">
        <v>3176</v>
      </c>
      <c r="D13" s="205" t="s">
        <v>3180</v>
      </c>
      <c r="E13" s="94" t="s">
        <v>49</v>
      </c>
      <c r="F13" s="281"/>
      <c r="G13" s="282" t="s">
        <v>781</v>
      </c>
      <c r="H13" s="282" t="s">
        <v>3181</v>
      </c>
      <c r="I13" s="282" t="s">
        <v>3182</v>
      </c>
      <c r="K13" s="284"/>
      <c r="L13" s="206" t="s">
        <v>3183</v>
      </c>
      <c r="M13" s="285" t="s">
        <v>3184</v>
      </c>
      <c r="N13" s="287"/>
      <c r="O13" s="287"/>
      <c r="P13" s="287"/>
      <c r="Q13" s="287"/>
      <c r="S13" s="287"/>
    </row>
    <row r="14">
      <c r="A14" s="278" t="s">
        <v>44</v>
      </c>
      <c r="B14" s="279">
        <v>11.0</v>
      </c>
      <c r="C14" s="294" t="s">
        <v>3053</v>
      </c>
      <c r="D14" s="206" t="s">
        <v>3188</v>
      </c>
      <c r="E14" s="94" t="s">
        <v>49</v>
      </c>
      <c r="F14" s="281"/>
      <c r="G14" s="282" t="s">
        <v>3189</v>
      </c>
      <c r="H14" s="282" t="s">
        <v>1264</v>
      </c>
      <c r="I14" s="282" t="s">
        <v>3154</v>
      </c>
      <c r="K14" s="284"/>
      <c r="L14" s="206" t="s">
        <v>3191</v>
      </c>
      <c r="M14" s="285" t="s">
        <v>3192</v>
      </c>
      <c r="N14" s="287"/>
      <c r="O14" s="287"/>
      <c r="P14" s="287"/>
      <c r="Q14" s="287"/>
      <c r="S14" s="287"/>
    </row>
    <row r="15">
      <c r="A15" s="278" t="s">
        <v>44</v>
      </c>
      <c r="B15" s="279">
        <v>12.0</v>
      </c>
      <c r="C15" s="280" t="s">
        <v>257</v>
      </c>
      <c r="D15" s="205" t="s">
        <v>3195</v>
      </c>
      <c r="E15" s="94" t="s">
        <v>49</v>
      </c>
      <c r="F15" s="281"/>
      <c r="G15" s="282" t="s">
        <v>3196</v>
      </c>
      <c r="H15" s="282" t="s">
        <v>1264</v>
      </c>
      <c r="I15" s="283"/>
      <c r="J15" s="283"/>
      <c r="K15" s="284"/>
      <c r="L15" s="206" t="s">
        <v>3197</v>
      </c>
      <c r="M15" s="285" t="s">
        <v>3198</v>
      </c>
      <c r="N15" s="287"/>
      <c r="O15" s="287"/>
      <c r="P15" s="287"/>
      <c r="Q15" s="287"/>
      <c r="S15" s="287"/>
    </row>
    <row r="16">
      <c r="A16" s="278" t="s">
        <v>44</v>
      </c>
      <c r="B16" s="279">
        <v>13.0</v>
      </c>
      <c r="C16" s="280" t="s">
        <v>66</v>
      </c>
      <c r="D16" s="205" t="s">
        <v>3203</v>
      </c>
      <c r="E16" s="94" t="s">
        <v>49</v>
      </c>
      <c r="F16" s="281"/>
      <c r="G16" s="282" t="s">
        <v>3204</v>
      </c>
      <c r="H16" s="282" t="s">
        <v>3205</v>
      </c>
      <c r="I16" s="282" t="s">
        <v>3143</v>
      </c>
      <c r="K16" s="284"/>
      <c r="L16" s="206" t="s">
        <v>3206</v>
      </c>
      <c r="M16" s="285" t="s">
        <v>3207</v>
      </c>
      <c r="N16" s="287"/>
      <c r="O16" s="287"/>
      <c r="P16" s="287"/>
      <c r="Q16" s="287"/>
      <c r="R16" s="289" t="s">
        <v>3210</v>
      </c>
      <c r="S16" s="287"/>
    </row>
    <row r="17">
      <c r="A17" s="278" t="s">
        <v>44</v>
      </c>
      <c r="B17" s="279">
        <v>14.0</v>
      </c>
      <c r="C17" s="280" t="s">
        <v>3211</v>
      </c>
      <c r="D17" s="205" t="s">
        <v>3216</v>
      </c>
      <c r="E17" s="94" t="s">
        <v>49</v>
      </c>
      <c r="F17" s="281" t="s">
        <v>1188</v>
      </c>
      <c r="G17" s="282" t="s">
        <v>3131</v>
      </c>
      <c r="H17" s="282" t="s">
        <v>3217</v>
      </c>
      <c r="K17" s="284"/>
      <c r="L17" s="206" t="s">
        <v>3218</v>
      </c>
      <c r="M17" s="285" t="s">
        <v>3219</v>
      </c>
      <c r="N17" s="287"/>
      <c r="O17" s="287"/>
      <c r="P17" s="287"/>
      <c r="Q17" s="287"/>
      <c r="R17" s="289" t="s">
        <v>3224</v>
      </c>
      <c r="S17" s="287"/>
    </row>
    <row r="18">
      <c r="A18" s="278" t="s">
        <v>44</v>
      </c>
      <c r="B18" s="279">
        <v>15.0</v>
      </c>
      <c r="C18" s="280" t="s">
        <v>930</v>
      </c>
      <c r="D18" s="205" t="s">
        <v>3225</v>
      </c>
      <c r="E18" s="94" t="s">
        <v>49</v>
      </c>
      <c r="F18" s="281"/>
      <c r="G18" s="282" t="s">
        <v>3131</v>
      </c>
      <c r="H18" s="282" t="s">
        <v>3226</v>
      </c>
      <c r="I18" s="282" t="s">
        <v>3205</v>
      </c>
      <c r="K18" s="284"/>
      <c r="L18" s="206" t="s">
        <v>3227</v>
      </c>
      <c r="M18" s="285" t="s">
        <v>3229</v>
      </c>
      <c r="N18" s="287"/>
      <c r="O18" s="287"/>
      <c r="P18" s="287"/>
      <c r="Q18" s="287"/>
      <c r="S18" s="287"/>
    </row>
    <row r="19">
      <c r="A19" s="278" t="s">
        <v>44</v>
      </c>
      <c r="B19" s="279">
        <v>16.0</v>
      </c>
      <c r="C19" s="280" t="s">
        <v>3230</v>
      </c>
      <c r="D19" s="205" t="s">
        <v>3234</v>
      </c>
      <c r="E19" s="94" t="s">
        <v>49</v>
      </c>
      <c r="F19" s="281" t="s">
        <v>3235</v>
      </c>
      <c r="G19" s="282" t="s">
        <v>781</v>
      </c>
      <c r="H19" s="282" t="s">
        <v>3236</v>
      </c>
      <c r="J19" s="283"/>
      <c r="K19" s="284"/>
      <c r="L19" s="206" t="s">
        <v>3237</v>
      </c>
      <c r="M19" s="285" t="s">
        <v>3238</v>
      </c>
      <c r="N19" s="287"/>
      <c r="O19" s="287"/>
      <c r="P19" s="287"/>
      <c r="Q19" s="287"/>
      <c r="S19" s="287"/>
    </row>
    <row r="20">
      <c r="A20" s="278" t="s">
        <v>44</v>
      </c>
      <c r="B20" s="279">
        <v>17.0</v>
      </c>
      <c r="C20" s="280" t="s">
        <v>3242</v>
      </c>
      <c r="D20" s="205" t="s">
        <v>919</v>
      </c>
      <c r="E20" s="83" t="s">
        <v>53</v>
      </c>
      <c r="F20" s="281" t="s">
        <v>498</v>
      </c>
      <c r="G20" s="282" t="s">
        <v>3131</v>
      </c>
      <c r="H20" s="282" t="s">
        <v>3226</v>
      </c>
      <c r="I20" s="282" t="s">
        <v>3236</v>
      </c>
      <c r="K20" s="284"/>
      <c r="L20" s="206" t="s">
        <v>3247</v>
      </c>
      <c r="M20" s="285" t="s">
        <v>3248</v>
      </c>
      <c r="N20" s="287"/>
      <c r="O20" s="287"/>
      <c r="P20" s="287"/>
      <c r="Q20" s="287"/>
      <c r="R20" s="289" t="s">
        <v>3253</v>
      </c>
      <c r="S20" s="287"/>
    </row>
    <row r="21">
      <c r="A21" s="278" t="s">
        <v>44</v>
      </c>
      <c r="B21" s="279">
        <v>18.0</v>
      </c>
      <c r="C21" s="280" t="s">
        <v>91</v>
      </c>
      <c r="D21" s="205" t="s">
        <v>3255</v>
      </c>
      <c r="E21" s="94" t="s">
        <v>49</v>
      </c>
      <c r="F21" s="281"/>
      <c r="G21" s="282" t="s">
        <v>3167</v>
      </c>
      <c r="H21" s="282" t="s">
        <v>578</v>
      </c>
      <c r="J21" s="283"/>
      <c r="K21" s="284"/>
      <c r="L21" s="206" t="s">
        <v>3256</v>
      </c>
      <c r="M21" s="285" t="s">
        <v>3257</v>
      </c>
      <c r="N21" s="287"/>
      <c r="O21" s="287"/>
      <c r="P21" s="287"/>
      <c r="Q21" s="287"/>
      <c r="S21" s="287"/>
    </row>
    <row r="22">
      <c r="A22" s="278" t="s">
        <v>44</v>
      </c>
      <c r="B22" s="279">
        <v>19.0</v>
      </c>
      <c r="C22" s="280" t="s">
        <v>3258</v>
      </c>
      <c r="D22" s="205" t="s">
        <v>3260</v>
      </c>
      <c r="E22" s="94" t="s">
        <v>49</v>
      </c>
      <c r="F22" s="281" t="s">
        <v>1188</v>
      </c>
      <c r="G22" s="282" t="s">
        <v>3261</v>
      </c>
      <c r="H22" s="282" t="s">
        <v>3226</v>
      </c>
      <c r="I22" s="282" t="s">
        <v>1264</v>
      </c>
      <c r="J22" s="283"/>
      <c r="K22" s="284"/>
      <c r="L22" s="206" t="s">
        <v>3262</v>
      </c>
      <c r="M22" s="285" t="s">
        <v>3263</v>
      </c>
      <c r="N22" s="287"/>
      <c r="O22" s="287"/>
      <c r="P22" s="287"/>
      <c r="Q22" s="287"/>
      <c r="S22" s="287"/>
    </row>
    <row r="23">
      <c r="A23" s="278" t="s">
        <v>44</v>
      </c>
      <c r="B23" s="279">
        <v>20.0</v>
      </c>
      <c r="C23" s="280" t="s">
        <v>3265</v>
      </c>
      <c r="D23" s="205" t="s">
        <v>3266</v>
      </c>
      <c r="E23" s="94" t="s">
        <v>49</v>
      </c>
      <c r="F23" s="297" t="s">
        <v>3267</v>
      </c>
      <c r="G23" s="282" t="s">
        <v>781</v>
      </c>
      <c r="H23" s="282" t="s">
        <v>3131</v>
      </c>
      <c r="I23" s="282" t="s">
        <v>3226</v>
      </c>
      <c r="K23" s="284"/>
      <c r="L23" s="206" t="s">
        <v>3273</v>
      </c>
      <c r="M23" s="285" t="s">
        <v>3275</v>
      </c>
      <c r="N23" s="287"/>
      <c r="O23" s="287"/>
      <c r="P23" s="287"/>
      <c r="Q23" s="287"/>
      <c r="S23" s="287"/>
    </row>
    <row r="24">
      <c r="A24" s="278" t="s">
        <v>44</v>
      </c>
      <c r="B24" s="279">
        <v>21.0</v>
      </c>
      <c r="C24" s="280" t="s">
        <v>45</v>
      </c>
      <c r="D24" s="205" t="s">
        <v>3279</v>
      </c>
      <c r="E24" s="94" t="s">
        <v>49</v>
      </c>
      <c r="F24" s="281"/>
      <c r="G24" s="282" t="s">
        <v>732</v>
      </c>
      <c r="H24" s="282" t="s">
        <v>3280</v>
      </c>
      <c r="J24" s="283"/>
      <c r="K24" s="284"/>
      <c r="L24" s="206" t="s">
        <v>3281</v>
      </c>
      <c r="M24" s="285" t="s">
        <v>3284</v>
      </c>
      <c r="N24" s="287"/>
      <c r="O24" s="287"/>
      <c r="P24" s="287"/>
      <c r="Q24" s="287"/>
      <c r="S24" s="287"/>
    </row>
    <row r="25">
      <c r="A25" s="278" t="s">
        <v>44</v>
      </c>
      <c r="B25" s="279">
        <v>22.0</v>
      </c>
      <c r="C25" s="280" t="s">
        <v>338</v>
      </c>
      <c r="D25" s="205" t="s">
        <v>3291</v>
      </c>
      <c r="E25" s="94" t="s">
        <v>49</v>
      </c>
      <c r="F25" s="281" t="s">
        <v>1479</v>
      </c>
      <c r="G25" s="282" t="s">
        <v>781</v>
      </c>
      <c r="H25" s="282" t="s">
        <v>3292</v>
      </c>
      <c r="I25" s="282" t="s">
        <v>578</v>
      </c>
      <c r="K25" s="284"/>
      <c r="L25" s="206" t="s">
        <v>3293</v>
      </c>
      <c r="M25" s="285" t="s">
        <v>3294</v>
      </c>
      <c r="N25" s="287"/>
      <c r="O25" s="287"/>
      <c r="P25" s="287"/>
      <c r="Q25" s="287"/>
      <c r="S25" s="287"/>
    </row>
    <row r="26">
      <c r="A26" s="278" t="s">
        <v>44</v>
      </c>
      <c r="B26" s="279">
        <v>23.0</v>
      </c>
      <c r="C26" s="294" t="s">
        <v>3296</v>
      </c>
      <c r="D26" s="206" t="s">
        <v>3260</v>
      </c>
      <c r="E26" s="94" t="s">
        <v>49</v>
      </c>
      <c r="F26" s="281"/>
      <c r="G26" s="282" t="s">
        <v>3160</v>
      </c>
      <c r="H26" s="282" t="s">
        <v>3297</v>
      </c>
      <c r="I26" s="282" t="s">
        <v>732</v>
      </c>
      <c r="K26" s="284"/>
      <c r="L26" s="206" t="s">
        <v>3298</v>
      </c>
      <c r="M26" s="285" t="s">
        <v>3299</v>
      </c>
      <c r="N26" s="287"/>
      <c r="O26" s="287"/>
      <c r="P26" s="287"/>
      <c r="Q26" s="287"/>
      <c r="S26" s="287"/>
    </row>
    <row r="27">
      <c r="A27" s="278" t="s">
        <v>44</v>
      </c>
      <c r="B27" s="279">
        <v>24.0</v>
      </c>
      <c r="C27" s="280" t="s">
        <v>3301</v>
      </c>
      <c r="D27" s="205" t="s">
        <v>3303</v>
      </c>
      <c r="E27" s="94" t="s">
        <v>49</v>
      </c>
      <c r="F27" s="281" t="s">
        <v>176</v>
      </c>
      <c r="G27" s="282" t="s">
        <v>3131</v>
      </c>
      <c r="H27" s="282" t="s">
        <v>3226</v>
      </c>
      <c r="I27" s="282" t="s">
        <v>3236</v>
      </c>
      <c r="K27" s="284"/>
      <c r="L27" s="206" t="s">
        <v>3304</v>
      </c>
      <c r="M27" s="285" t="s">
        <v>3305</v>
      </c>
      <c r="N27" s="287"/>
      <c r="O27" s="287"/>
      <c r="P27" s="287"/>
      <c r="Q27" s="287"/>
      <c r="S27" s="287"/>
    </row>
    <row r="28">
      <c r="A28" s="278" t="s">
        <v>44</v>
      </c>
      <c r="B28" s="279">
        <v>25.0</v>
      </c>
      <c r="C28" s="280" t="s">
        <v>1192</v>
      </c>
      <c r="D28" s="205" t="s">
        <v>3309</v>
      </c>
      <c r="E28" s="94" t="s">
        <v>49</v>
      </c>
      <c r="F28" s="281"/>
      <c r="G28" s="282" t="s">
        <v>1272</v>
      </c>
      <c r="I28" s="283"/>
      <c r="J28" s="283"/>
      <c r="K28" s="284"/>
      <c r="L28" s="206" t="s">
        <v>3310</v>
      </c>
      <c r="M28" s="285" t="s">
        <v>3311</v>
      </c>
      <c r="N28" s="287"/>
      <c r="O28" s="287"/>
      <c r="P28" s="287"/>
      <c r="Q28" s="287"/>
      <c r="S28" s="287"/>
    </row>
    <row r="29">
      <c r="A29" s="278" t="s">
        <v>44</v>
      </c>
      <c r="B29" s="279">
        <v>26.0</v>
      </c>
      <c r="C29" s="280" t="s">
        <v>45</v>
      </c>
      <c r="D29" s="205" t="s">
        <v>3314</v>
      </c>
      <c r="E29" s="94" t="s">
        <v>49</v>
      </c>
      <c r="F29" s="281" t="s">
        <v>1056</v>
      </c>
      <c r="G29" s="283"/>
      <c r="H29" s="283"/>
      <c r="I29" s="283"/>
      <c r="J29" s="283"/>
      <c r="K29" s="284"/>
      <c r="L29" s="206" t="s">
        <v>3315</v>
      </c>
      <c r="M29" s="285" t="s">
        <v>3316</v>
      </c>
      <c r="N29" s="287"/>
      <c r="O29" s="287"/>
      <c r="P29" s="287"/>
      <c r="Q29" s="287"/>
      <c r="S29" s="287"/>
    </row>
    <row r="30">
      <c r="A30" s="278" t="s">
        <v>44</v>
      </c>
      <c r="B30" s="279">
        <v>27.0</v>
      </c>
      <c r="C30" s="280" t="s">
        <v>3318</v>
      </c>
      <c r="D30" s="205" t="s">
        <v>3321</v>
      </c>
      <c r="E30" s="94" t="s">
        <v>49</v>
      </c>
      <c r="F30" s="281" t="s">
        <v>1188</v>
      </c>
      <c r="G30" s="282" t="s">
        <v>732</v>
      </c>
      <c r="H30" s="282" t="s">
        <v>3205</v>
      </c>
      <c r="I30" s="282" t="s">
        <v>3322</v>
      </c>
      <c r="K30" s="284"/>
      <c r="L30" s="206" t="s">
        <v>3324</v>
      </c>
      <c r="M30" s="285" t="s">
        <v>3325</v>
      </c>
      <c r="N30" s="287"/>
      <c r="O30" s="287"/>
      <c r="P30" s="287"/>
      <c r="Q30" s="287"/>
      <c r="S30" s="287"/>
    </row>
    <row r="31">
      <c r="A31" s="278" t="s">
        <v>44</v>
      </c>
      <c r="B31" s="279">
        <v>28.0</v>
      </c>
      <c r="C31" s="280" t="s">
        <v>278</v>
      </c>
      <c r="D31" s="205" t="s">
        <v>3327</v>
      </c>
      <c r="E31" s="94" t="s">
        <v>49</v>
      </c>
      <c r="F31" s="281"/>
      <c r="G31" s="282" t="s">
        <v>3328</v>
      </c>
      <c r="H31" s="282" t="s">
        <v>3226</v>
      </c>
      <c r="K31" s="284"/>
      <c r="L31" s="206" t="s">
        <v>3329</v>
      </c>
      <c r="M31" s="285" t="s">
        <v>3330</v>
      </c>
      <c r="N31" s="287"/>
      <c r="O31" s="287"/>
      <c r="P31" s="287"/>
      <c r="Q31" s="287"/>
      <c r="S31" s="287"/>
    </row>
    <row r="32">
      <c r="A32" s="278" t="s">
        <v>44</v>
      </c>
      <c r="B32" s="279">
        <v>29.0</v>
      </c>
      <c r="C32" s="280" t="s">
        <v>552</v>
      </c>
      <c r="D32" s="205" t="s">
        <v>3339</v>
      </c>
      <c r="E32" s="94" t="s">
        <v>49</v>
      </c>
      <c r="F32" s="281"/>
      <c r="G32" s="282" t="s">
        <v>2184</v>
      </c>
      <c r="H32" s="282" t="s">
        <v>3340</v>
      </c>
      <c r="K32" s="284"/>
      <c r="L32" s="206" t="s">
        <v>3342</v>
      </c>
      <c r="M32" s="285" t="s">
        <v>3343</v>
      </c>
      <c r="N32" s="287"/>
      <c r="O32" s="287"/>
      <c r="P32" s="287"/>
      <c r="Q32" s="287"/>
      <c r="S32" s="287"/>
    </row>
    <row r="33">
      <c r="A33" s="278" t="s">
        <v>44</v>
      </c>
      <c r="B33" s="279">
        <v>30.0</v>
      </c>
      <c r="C33" s="280" t="s">
        <v>3344</v>
      </c>
      <c r="D33" s="205" t="s">
        <v>3347</v>
      </c>
      <c r="E33" s="94" t="s">
        <v>49</v>
      </c>
      <c r="F33" s="281"/>
      <c r="G33" s="282" t="s">
        <v>2184</v>
      </c>
      <c r="H33" s="282" t="s">
        <v>3143</v>
      </c>
      <c r="K33" s="284"/>
      <c r="L33" s="206" t="s">
        <v>3348</v>
      </c>
      <c r="M33" s="285" t="s">
        <v>3349</v>
      </c>
      <c r="N33" s="287"/>
      <c r="O33" s="287"/>
      <c r="P33" s="287"/>
      <c r="Q33" s="287"/>
      <c r="S33" s="287"/>
    </row>
    <row r="34">
      <c r="A34" s="278" t="s">
        <v>44</v>
      </c>
      <c r="B34" s="279">
        <v>31.0</v>
      </c>
      <c r="C34" s="280" t="s">
        <v>1107</v>
      </c>
      <c r="D34" s="205" t="s">
        <v>3355</v>
      </c>
      <c r="E34" s="300" t="s">
        <v>3356</v>
      </c>
      <c r="F34" s="281" t="s">
        <v>1188</v>
      </c>
      <c r="G34" s="282" t="s">
        <v>3160</v>
      </c>
      <c r="H34" s="282" t="s">
        <v>3361</v>
      </c>
      <c r="K34" s="284"/>
      <c r="L34" s="206" t="s">
        <v>3362</v>
      </c>
      <c r="M34" s="285" t="s">
        <v>3363</v>
      </c>
      <c r="N34" s="287"/>
      <c r="O34" s="287"/>
      <c r="P34" s="287"/>
      <c r="Q34" s="287"/>
      <c r="S34" s="287"/>
    </row>
    <row r="35">
      <c r="A35" s="278" t="s">
        <v>44</v>
      </c>
      <c r="B35" s="279">
        <v>32.0</v>
      </c>
      <c r="C35" s="280" t="s">
        <v>978</v>
      </c>
      <c r="D35" s="205" t="s">
        <v>3365</v>
      </c>
      <c r="E35" s="94" t="s">
        <v>49</v>
      </c>
      <c r="F35" s="281"/>
      <c r="G35" s="282" t="s">
        <v>3196</v>
      </c>
      <c r="H35" s="282" t="s">
        <v>3366</v>
      </c>
      <c r="K35" s="284"/>
      <c r="L35" s="206" t="s">
        <v>3367</v>
      </c>
      <c r="M35" s="285" t="s">
        <v>3368</v>
      </c>
      <c r="N35" s="287"/>
      <c r="O35" s="287"/>
      <c r="P35" s="287"/>
      <c r="Q35" s="287"/>
      <c r="S35" s="287"/>
    </row>
    <row r="36">
      <c r="A36" s="278" t="s">
        <v>44</v>
      </c>
      <c r="B36" s="279">
        <v>33.0</v>
      </c>
      <c r="C36" s="280" t="s">
        <v>224</v>
      </c>
      <c r="D36" s="205" t="s">
        <v>3382</v>
      </c>
      <c r="E36" s="94" t="s">
        <v>49</v>
      </c>
      <c r="F36" s="281"/>
      <c r="G36" s="282" t="s">
        <v>732</v>
      </c>
      <c r="H36" s="282" t="s">
        <v>3280</v>
      </c>
      <c r="J36" s="283"/>
      <c r="K36" s="284"/>
      <c r="L36" s="206" t="s">
        <v>3386</v>
      </c>
      <c r="M36" s="285" t="s">
        <v>3387</v>
      </c>
      <c r="N36" s="287"/>
      <c r="O36" s="287"/>
      <c r="P36" s="287"/>
      <c r="Q36" s="287"/>
      <c r="S36" s="287"/>
    </row>
    <row r="37">
      <c r="A37" s="278" t="s">
        <v>44</v>
      </c>
      <c r="B37" s="279">
        <v>34.0</v>
      </c>
      <c r="C37" s="280" t="s">
        <v>3396</v>
      </c>
      <c r="D37" s="205" t="s">
        <v>3406</v>
      </c>
      <c r="E37" s="94" t="s">
        <v>49</v>
      </c>
      <c r="F37" s="281"/>
      <c r="G37" s="282" t="s">
        <v>781</v>
      </c>
      <c r="H37" s="282" t="s">
        <v>3407</v>
      </c>
      <c r="I37" s="282" t="s">
        <v>3322</v>
      </c>
      <c r="K37" s="284"/>
      <c r="L37" s="206" t="s">
        <v>3408</v>
      </c>
      <c r="M37" s="285" t="s">
        <v>3409</v>
      </c>
      <c r="N37" s="287"/>
      <c r="O37" s="287"/>
      <c r="P37" s="287"/>
      <c r="Q37" s="287"/>
      <c r="S37" s="287"/>
    </row>
    <row r="38">
      <c r="A38" s="278" t="s">
        <v>44</v>
      </c>
      <c r="B38" s="279">
        <v>35.0</v>
      </c>
      <c r="C38" s="280" t="s">
        <v>3411</v>
      </c>
      <c r="D38" s="205" t="s">
        <v>3412</v>
      </c>
      <c r="E38" s="94" t="s">
        <v>49</v>
      </c>
      <c r="F38" s="281"/>
      <c r="G38" s="282" t="s">
        <v>3413</v>
      </c>
      <c r="K38" s="284"/>
      <c r="L38" s="206" t="s">
        <v>3415</v>
      </c>
      <c r="M38" s="285" t="s">
        <v>3417</v>
      </c>
      <c r="N38" s="287"/>
      <c r="O38" s="287"/>
      <c r="P38" s="287"/>
      <c r="Q38" s="287"/>
      <c r="S38" s="287"/>
    </row>
    <row r="39">
      <c r="A39" s="278" t="s">
        <v>44</v>
      </c>
      <c r="B39" s="279">
        <v>36.0</v>
      </c>
      <c r="C39" s="280" t="s">
        <v>3376</v>
      </c>
      <c r="D39" s="205" t="s">
        <v>3419</v>
      </c>
      <c r="E39" s="83" t="s">
        <v>53</v>
      </c>
      <c r="F39" s="281" t="s">
        <v>2004</v>
      </c>
      <c r="G39" s="282" t="s">
        <v>2184</v>
      </c>
      <c r="H39" s="282" t="s">
        <v>3205</v>
      </c>
      <c r="I39" s="282" t="s">
        <v>3143</v>
      </c>
      <c r="K39" s="284"/>
      <c r="L39" s="206" t="s">
        <v>3420</v>
      </c>
      <c r="M39" s="285" t="s">
        <v>3421</v>
      </c>
      <c r="N39" s="287"/>
      <c r="O39" s="287"/>
      <c r="P39" s="287"/>
      <c r="Q39" s="287"/>
      <c r="S39" s="287"/>
    </row>
    <row r="40">
      <c r="A40" s="278" t="s">
        <v>44</v>
      </c>
      <c r="B40" s="279">
        <v>37.0</v>
      </c>
      <c r="C40" s="280" t="s">
        <v>2780</v>
      </c>
      <c r="D40" s="205" t="s">
        <v>3423</v>
      </c>
      <c r="E40" s="94" t="s">
        <v>49</v>
      </c>
      <c r="F40" s="281"/>
      <c r="G40" s="282" t="s">
        <v>781</v>
      </c>
      <c r="H40" s="282" t="s">
        <v>3424</v>
      </c>
      <c r="K40" s="284"/>
      <c r="L40" s="206" t="s">
        <v>3425</v>
      </c>
      <c r="M40" s="285" t="s">
        <v>3426</v>
      </c>
      <c r="N40" s="287"/>
      <c r="O40" s="287"/>
      <c r="P40" s="287"/>
      <c r="Q40" s="287"/>
      <c r="S40" s="287"/>
    </row>
    <row r="41">
      <c r="A41" s="278" t="s">
        <v>44</v>
      </c>
      <c r="B41" s="279">
        <v>38.0</v>
      </c>
      <c r="C41" s="280" t="s">
        <v>2189</v>
      </c>
      <c r="D41" s="205" t="s">
        <v>3428</v>
      </c>
      <c r="E41" s="94" t="s">
        <v>49</v>
      </c>
      <c r="F41" s="281" t="s">
        <v>1188</v>
      </c>
      <c r="G41" s="282" t="s">
        <v>3167</v>
      </c>
      <c r="H41" s="282" t="s">
        <v>3429</v>
      </c>
      <c r="J41" s="283"/>
      <c r="K41" s="284"/>
      <c r="L41" s="206" t="s">
        <v>3430</v>
      </c>
      <c r="M41" s="285" t="s">
        <v>3431</v>
      </c>
      <c r="N41" s="287"/>
      <c r="O41" s="287"/>
      <c r="P41" s="287"/>
      <c r="Q41" s="287"/>
      <c r="S41" s="287"/>
    </row>
    <row r="42">
      <c r="A42" s="278" t="s">
        <v>44</v>
      </c>
      <c r="B42" s="279">
        <v>39.0</v>
      </c>
      <c r="C42" s="280" t="s">
        <v>3433</v>
      </c>
      <c r="D42" s="205" t="s">
        <v>3436</v>
      </c>
      <c r="E42" s="94" t="s">
        <v>49</v>
      </c>
      <c r="F42" s="281"/>
      <c r="G42" s="282" t="s">
        <v>3167</v>
      </c>
      <c r="H42" s="282" t="s">
        <v>578</v>
      </c>
      <c r="I42" s="282" t="s">
        <v>3437</v>
      </c>
      <c r="K42" s="284"/>
      <c r="L42" s="206" t="s">
        <v>3438</v>
      </c>
      <c r="M42" s="285" t="s">
        <v>3439</v>
      </c>
      <c r="N42" s="287"/>
      <c r="O42" s="287"/>
      <c r="P42" s="287"/>
      <c r="Q42" s="287"/>
      <c r="S42" s="287"/>
    </row>
    <row r="43">
      <c r="A43" s="278" t="s">
        <v>44</v>
      </c>
      <c r="B43" s="279">
        <v>40.0</v>
      </c>
      <c r="C43" s="280" t="s">
        <v>419</v>
      </c>
      <c r="D43" s="205" t="s">
        <v>3442</v>
      </c>
      <c r="E43" s="83" t="s">
        <v>53</v>
      </c>
      <c r="F43" s="281" t="s">
        <v>3443</v>
      </c>
      <c r="G43" s="282" t="s">
        <v>732</v>
      </c>
      <c r="H43" s="282" t="s">
        <v>3167</v>
      </c>
      <c r="I43" s="282" t="s">
        <v>578</v>
      </c>
      <c r="K43" s="284"/>
      <c r="L43" s="206" t="s">
        <v>3444</v>
      </c>
      <c r="M43" s="285" t="s">
        <v>3445</v>
      </c>
      <c r="N43" s="287"/>
      <c r="O43" s="287"/>
      <c r="P43" s="287"/>
      <c r="Q43" s="287"/>
      <c r="S43" s="287"/>
    </row>
    <row r="44">
      <c r="A44" s="278" t="s">
        <v>44</v>
      </c>
      <c r="B44" s="279">
        <v>41.0</v>
      </c>
      <c r="C44" s="280" t="s">
        <v>3446</v>
      </c>
      <c r="D44" s="205" t="s">
        <v>3447</v>
      </c>
      <c r="E44" s="94" t="s">
        <v>49</v>
      </c>
      <c r="F44" s="281"/>
      <c r="G44" s="282" t="s">
        <v>2184</v>
      </c>
      <c r="H44" s="282" t="s">
        <v>3143</v>
      </c>
      <c r="K44" s="284"/>
      <c r="L44" s="206" t="s">
        <v>3448</v>
      </c>
      <c r="M44" s="285" t="s">
        <v>3449</v>
      </c>
      <c r="N44" s="287"/>
      <c r="O44" s="287"/>
      <c r="P44" s="287"/>
      <c r="Q44" s="287"/>
      <c r="S44" s="287"/>
    </row>
    <row r="45">
      <c r="A45" s="278" t="s">
        <v>44</v>
      </c>
      <c r="B45" s="279">
        <v>42.0</v>
      </c>
      <c r="C45" s="280" t="s">
        <v>1863</v>
      </c>
      <c r="D45" s="205" t="s">
        <v>3451</v>
      </c>
      <c r="E45" s="94" t="s">
        <v>49</v>
      </c>
      <c r="F45" s="281"/>
      <c r="G45" s="282" t="s">
        <v>3154</v>
      </c>
      <c r="H45" s="282" t="s">
        <v>3452</v>
      </c>
      <c r="I45" s="282" t="s">
        <v>3453</v>
      </c>
      <c r="J45" s="283"/>
      <c r="K45" s="284"/>
      <c r="L45" s="206" t="s">
        <v>3454</v>
      </c>
      <c r="M45" s="285" t="s">
        <v>3455</v>
      </c>
      <c r="N45" s="287"/>
      <c r="O45" s="287"/>
      <c r="P45" s="287"/>
      <c r="Q45" s="287"/>
      <c r="S45" s="287"/>
    </row>
    <row r="46">
      <c r="A46" s="278" t="s">
        <v>44</v>
      </c>
      <c r="B46" s="279">
        <v>43.0</v>
      </c>
      <c r="C46" s="294" t="s">
        <v>3457</v>
      </c>
      <c r="D46" s="206" t="s">
        <v>3458</v>
      </c>
      <c r="E46" s="94" t="s">
        <v>49</v>
      </c>
      <c r="F46" s="281"/>
      <c r="G46" s="282" t="s">
        <v>3459</v>
      </c>
      <c r="H46" s="282" t="s">
        <v>1264</v>
      </c>
      <c r="I46" s="283"/>
      <c r="J46" s="283"/>
      <c r="K46" s="284"/>
      <c r="L46" s="206" t="s">
        <v>3460</v>
      </c>
      <c r="M46" s="285" t="s">
        <v>3461</v>
      </c>
      <c r="N46" s="287"/>
      <c r="O46" s="287"/>
      <c r="P46" s="287"/>
      <c r="Q46" s="287"/>
      <c r="S46" s="287"/>
    </row>
    <row r="47">
      <c r="A47" s="278" t="s">
        <v>44</v>
      </c>
      <c r="B47" s="279">
        <v>44.0</v>
      </c>
      <c r="C47" s="280" t="s">
        <v>3463</v>
      </c>
      <c r="D47" s="205" t="s">
        <v>1174</v>
      </c>
      <c r="E47" s="94" t="s">
        <v>49</v>
      </c>
      <c r="F47" s="281"/>
      <c r="G47" s="282" t="s">
        <v>3464</v>
      </c>
      <c r="H47" s="282" t="s">
        <v>3280</v>
      </c>
      <c r="I47" s="282" t="s">
        <v>1264</v>
      </c>
      <c r="J47" s="283"/>
      <c r="K47" s="284"/>
      <c r="L47" s="206" t="s">
        <v>3465</v>
      </c>
      <c r="M47" s="285" t="s">
        <v>3466</v>
      </c>
      <c r="N47" s="287"/>
      <c r="O47" s="287"/>
      <c r="P47" s="287"/>
      <c r="Q47" s="287"/>
      <c r="S47" s="287"/>
    </row>
    <row r="48">
      <c r="A48" s="278" t="s">
        <v>44</v>
      </c>
      <c r="B48" s="279">
        <v>45.0</v>
      </c>
      <c r="C48" s="280" t="s">
        <v>3317</v>
      </c>
      <c r="D48" s="205" t="s">
        <v>3468</v>
      </c>
      <c r="E48" s="83" t="s">
        <v>53</v>
      </c>
      <c r="F48" s="281" t="s">
        <v>3469</v>
      </c>
      <c r="G48" s="282" t="s">
        <v>3470</v>
      </c>
      <c r="H48" s="282" t="s">
        <v>3181</v>
      </c>
      <c r="I48" s="282" t="s">
        <v>3471</v>
      </c>
      <c r="K48" s="284"/>
      <c r="L48" s="206" t="s">
        <v>3472</v>
      </c>
      <c r="M48" s="285" t="s">
        <v>3473</v>
      </c>
      <c r="N48" s="287"/>
      <c r="O48" s="287"/>
      <c r="P48" s="287"/>
      <c r="Q48" s="287"/>
      <c r="S48" s="287"/>
    </row>
    <row r="49">
      <c r="A49" s="278" t="s">
        <v>44</v>
      </c>
      <c r="B49" s="279">
        <v>46.0</v>
      </c>
      <c r="C49" s="280" t="s">
        <v>2969</v>
      </c>
      <c r="D49" s="205" t="s">
        <v>3474</v>
      </c>
      <c r="E49" s="94" t="s">
        <v>49</v>
      </c>
      <c r="F49" s="281"/>
      <c r="G49" s="282" t="s">
        <v>2184</v>
      </c>
      <c r="H49" s="282" t="s">
        <v>3475</v>
      </c>
      <c r="I49" s="282" t="s">
        <v>3143</v>
      </c>
      <c r="K49" s="284"/>
      <c r="L49" s="206" t="s">
        <v>3476</v>
      </c>
      <c r="M49" s="285" t="s">
        <v>3477</v>
      </c>
      <c r="N49" s="287"/>
      <c r="O49" s="287"/>
      <c r="P49" s="287"/>
      <c r="Q49" s="287"/>
      <c r="S49" s="287"/>
    </row>
    <row r="50">
      <c r="A50" s="278" t="s">
        <v>44</v>
      </c>
      <c r="B50" s="279">
        <v>47.0</v>
      </c>
      <c r="C50" s="280" t="s">
        <v>1276</v>
      </c>
      <c r="D50" s="205" t="s">
        <v>3478</v>
      </c>
      <c r="E50" s="94" t="s">
        <v>49</v>
      </c>
      <c r="F50" s="281"/>
      <c r="G50" s="282" t="s">
        <v>3196</v>
      </c>
      <c r="J50" s="283"/>
      <c r="K50" s="284"/>
      <c r="L50" s="206" t="s">
        <v>3479</v>
      </c>
      <c r="M50" s="285" t="s">
        <v>3480</v>
      </c>
      <c r="N50" s="287"/>
      <c r="O50" s="287"/>
      <c r="P50" s="287"/>
      <c r="Q50" s="287"/>
      <c r="S50" s="287"/>
    </row>
    <row r="51">
      <c r="A51" s="278" t="s">
        <v>44</v>
      </c>
      <c r="B51" s="279">
        <v>48.0</v>
      </c>
      <c r="C51" s="294" t="s">
        <v>432</v>
      </c>
      <c r="D51" s="206" t="s">
        <v>3481</v>
      </c>
      <c r="E51" s="94" t="s">
        <v>49</v>
      </c>
      <c r="F51" s="281"/>
      <c r="G51" s="282" t="s">
        <v>1264</v>
      </c>
      <c r="H51" s="282" t="s">
        <v>3181</v>
      </c>
      <c r="I51" s="282" t="s">
        <v>3482</v>
      </c>
      <c r="K51" s="284"/>
      <c r="L51" s="206" t="s">
        <v>3483</v>
      </c>
      <c r="M51" s="285" t="s">
        <v>3484</v>
      </c>
      <c r="N51" s="287"/>
      <c r="O51" s="287"/>
      <c r="P51" s="287"/>
      <c r="Q51" s="287"/>
      <c r="S51" s="287"/>
    </row>
    <row r="52">
      <c r="A52" s="278" t="s">
        <v>44</v>
      </c>
      <c r="B52" s="279">
        <v>49.0</v>
      </c>
      <c r="C52" s="294" t="s">
        <v>3190</v>
      </c>
      <c r="D52" s="206" t="s">
        <v>3485</v>
      </c>
      <c r="E52" s="94" t="s">
        <v>49</v>
      </c>
      <c r="F52" s="281"/>
      <c r="G52" s="282" t="s">
        <v>1264</v>
      </c>
      <c r="H52" s="282" t="s">
        <v>3486</v>
      </c>
      <c r="I52" s="282" t="s">
        <v>578</v>
      </c>
      <c r="K52" s="284"/>
      <c r="L52" s="206" t="s">
        <v>3487</v>
      </c>
      <c r="M52" s="285" t="s">
        <v>3488</v>
      </c>
      <c r="N52" s="287"/>
      <c r="O52" s="287"/>
      <c r="P52" s="287"/>
      <c r="Q52" s="287"/>
      <c r="S52" s="287"/>
    </row>
    <row r="53">
      <c r="A53" s="278" t="s">
        <v>44</v>
      </c>
      <c r="B53" s="279">
        <v>50.0</v>
      </c>
      <c r="C53" s="280" t="s">
        <v>3490</v>
      </c>
      <c r="D53" s="205" t="s">
        <v>3491</v>
      </c>
      <c r="E53" s="83" t="s">
        <v>53</v>
      </c>
      <c r="F53" s="281" t="s">
        <v>3443</v>
      </c>
      <c r="G53" s="282" t="s">
        <v>781</v>
      </c>
      <c r="H53" s="282" t="s">
        <v>3154</v>
      </c>
      <c r="K53" s="284"/>
      <c r="L53" s="206" t="s">
        <v>3492</v>
      </c>
      <c r="M53" s="285" t="s">
        <v>3493</v>
      </c>
      <c r="N53" s="287"/>
      <c r="O53" s="287"/>
      <c r="P53" s="287"/>
      <c r="Q53" s="287"/>
      <c r="S53" s="287"/>
    </row>
    <row r="54">
      <c r="A54" s="278" t="s">
        <v>44</v>
      </c>
      <c r="B54" s="279">
        <v>51.0</v>
      </c>
      <c r="C54" s="280" t="s">
        <v>173</v>
      </c>
      <c r="D54" s="205" t="s">
        <v>629</v>
      </c>
      <c r="E54" s="94" t="s">
        <v>49</v>
      </c>
      <c r="F54" s="281" t="s">
        <v>1188</v>
      </c>
      <c r="G54" s="282" t="s">
        <v>877</v>
      </c>
      <c r="I54" s="283"/>
      <c r="J54" s="283"/>
      <c r="K54" s="284"/>
      <c r="L54" s="206" t="s">
        <v>3494</v>
      </c>
      <c r="M54" s="285" t="s">
        <v>3495</v>
      </c>
      <c r="N54" s="287"/>
      <c r="O54" s="287"/>
      <c r="P54" s="287"/>
      <c r="Q54" s="287"/>
      <c r="S54" s="287"/>
    </row>
    <row r="55">
      <c r="A55" s="305"/>
      <c r="B55" s="306"/>
      <c r="C55" s="307"/>
      <c r="D55" s="308"/>
      <c r="E55" s="305"/>
      <c r="F55" s="309"/>
      <c r="G55" s="310"/>
      <c r="H55" s="310"/>
      <c r="I55" s="310"/>
      <c r="J55" s="310"/>
      <c r="K55" s="308"/>
      <c r="L55" s="308"/>
      <c r="M55" s="308"/>
      <c r="N55" s="311"/>
      <c r="O55" s="311"/>
      <c r="P55" s="311"/>
      <c r="Q55" s="311"/>
      <c r="R55" s="311"/>
      <c r="S55" s="311"/>
      <c r="T55" s="70"/>
      <c r="U55" s="70"/>
      <c r="V55" s="70"/>
      <c r="W55" s="70"/>
      <c r="X55" s="70"/>
      <c r="Y55" s="70"/>
      <c r="Z55" s="70"/>
      <c r="AA55" s="70"/>
      <c r="AB55" s="70"/>
      <c r="AC55" s="70"/>
      <c r="AD55" s="70"/>
      <c r="AE55" s="70"/>
      <c r="AF55" s="70"/>
      <c r="AG55" s="70"/>
    </row>
    <row r="56">
      <c r="A56" s="278" t="s">
        <v>286</v>
      </c>
      <c r="B56" s="279">
        <v>1.0</v>
      </c>
      <c r="C56" s="280" t="s">
        <v>3498</v>
      </c>
      <c r="D56" s="205" t="s">
        <v>3499</v>
      </c>
      <c r="E56" s="94" t="s">
        <v>49</v>
      </c>
      <c r="F56" s="312" t="s">
        <v>3500</v>
      </c>
      <c r="G56" s="313" t="s">
        <v>3501</v>
      </c>
      <c r="H56" s="313" t="s">
        <v>3502</v>
      </c>
      <c r="I56" s="314"/>
      <c r="J56" s="314"/>
      <c r="K56" s="284"/>
      <c r="L56" s="206" t="s">
        <v>3503</v>
      </c>
      <c r="M56" s="285" t="s">
        <v>3504</v>
      </c>
      <c r="N56" s="287"/>
      <c r="O56" s="287"/>
      <c r="P56" s="287"/>
      <c r="Q56" s="287"/>
      <c r="R56" s="289" t="s">
        <v>3115</v>
      </c>
      <c r="S56" s="287"/>
    </row>
    <row r="57">
      <c r="A57" s="278" t="s">
        <v>286</v>
      </c>
      <c r="B57" s="279">
        <v>2.0</v>
      </c>
      <c r="C57" s="280" t="s">
        <v>1054</v>
      </c>
      <c r="D57" s="205" t="s">
        <v>3506</v>
      </c>
      <c r="E57" s="94" t="s">
        <v>49</v>
      </c>
      <c r="F57" s="312"/>
      <c r="G57" s="313" t="s">
        <v>3507</v>
      </c>
      <c r="H57" s="313" t="s">
        <v>3508</v>
      </c>
      <c r="I57" s="313" t="s">
        <v>3509</v>
      </c>
      <c r="J57" s="314"/>
      <c r="K57" s="284"/>
      <c r="L57" s="206" t="s">
        <v>3510</v>
      </c>
      <c r="M57" s="285" t="s">
        <v>3511</v>
      </c>
      <c r="N57" s="287"/>
      <c r="O57" s="287"/>
      <c r="P57" s="287"/>
      <c r="Q57" s="287"/>
      <c r="S57" s="287"/>
    </row>
    <row r="58">
      <c r="A58" s="278" t="s">
        <v>286</v>
      </c>
      <c r="B58" s="279">
        <v>3.0</v>
      </c>
      <c r="C58" s="280" t="s">
        <v>3512</v>
      </c>
      <c r="D58" s="205" t="s">
        <v>3513</v>
      </c>
      <c r="E58" s="94" t="s">
        <v>49</v>
      </c>
      <c r="F58" s="312" t="s">
        <v>3514</v>
      </c>
      <c r="G58" s="313" t="s">
        <v>515</v>
      </c>
      <c r="H58" s="313" t="s">
        <v>3515</v>
      </c>
      <c r="I58" s="313" t="s">
        <v>3486</v>
      </c>
      <c r="J58" s="314"/>
      <c r="K58" s="284"/>
      <c r="L58" s="206" t="s">
        <v>3516</v>
      </c>
      <c r="M58" s="285" t="s">
        <v>3517</v>
      </c>
      <c r="N58" s="287"/>
      <c r="O58" s="287"/>
      <c r="P58" s="287"/>
      <c r="Q58" s="287"/>
      <c r="S58" s="287"/>
    </row>
    <row r="59">
      <c r="A59" s="278" t="s">
        <v>286</v>
      </c>
      <c r="B59" s="279">
        <v>4.0</v>
      </c>
      <c r="C59" s="280" t="s">
        <v>3518</v>
      </c>
      <c r="D59" s="205" t="s">
        <v>3520</v>
      </c>
      <c r="E59" s="94" t="s">
        <v>49</v>
      </c>
      <c r="F59" s="312" t="s">
        <v>1188</v>
      </c>
      <c r="G59" s="313" t="s">
        <v>3521</v>
      </c>
      <c r="H59" s="313" t="s">
        <v>3522</v>
      </c>
      <c r="I59" s="313" t="s">
        <v>3429</v>
      </c>
      <c r="J59" s="314"/>
      <c r="K59" s="284"/>
      <c r="L59" s="206" t="s">
        <v>3523</v>
      </c>
      <c r="M59" s="285" t="s">
        <v>3524</v>
      </c>
      <c r="N59" s="287"/>
      <c r="O59" s="287"/>
      <c r="P59" s="287"/>
      <c r="Q59" s="287"/>
      <c r="S59" s="287"/>
    </row>
    <row r="60">
      <c r="A60" s="278" t="s">
        <v>286</v>
      </c>
      <c r="B60" s="279">
        <v>5.0</v>
      </c>
      <c r="C60" s="315" t="s">
        <v>815</v>
      </c>
      <c r="D60" s="316" t="s">
        <v>3527</v>
      </c>
      <c r="E60" s="94" t="s">
        <v>49</v>
      </c>
      <c r="F60" s="312" t="s">
        <v>3528</v>
      </c>
      <c r="G60" s="313" t="s">
        <v>3529</v>
      </c>
      <c r="H60" s="313" t="s">
        <v>3530</v>
      </c>
      <c r="I60" s="313" t="s">
        <v>3531</v>
      </c>
      <c r="J60" s="314"/>
      <c r="K60" s="284"/>
      <c r="L60" s="206" t="s">
        <v>3532</v>
      </c>
      <c r="M60" s="285" t="s">
        <v>3533</v>
      </c>
      <c r="N60" s="287"/>
      <c r="O60" s="287"/>
      <c r="P60" s="287"/>
      <c r="Q60" s="287"/>
      <c r="R60" s="317" t="s">
        <v>3170</v>
      </c>
      <c r="S60" s="287"/>
    </row>
    <row r="61">
      <c r="A61" s="278" t="s">
        <v>286</v>
      </c>
      <c r="B61" s="279">
        <v>6.0</v>
      </c>
      <c r="C61" s="280" t="s">
        <v>3534</v>
      </c>
      <c r="D61" s="205" t="s">
        <v>553</v>
      </c>
      <c r="E61" s="94" t="s">
        <v>49</v>
      </c>
      <c r="F61" s="312"/>
      <c r="G61" s="313" t="s">
        <v>3535</v>
      </c>
      <c r="H61" s="313" t="s">
        <v>3536</v>
      </c>
      <c r="I61" s="318" t="s">
        <v>3537</v>
      </c>
      <c r="J61" s="314"/>
      <c r="K61" s="284"/>
      <c r="L61" s="206" t="s">
        <v>3539</v>
      </c>
      <c r="M61" s="285" t="s">
        <v>3540</v>
      </c>
      <c r="N61" s="287"/>
      <c r="O61" s="287"/>
      <c r="P61" s="287"/>
      <c r="Q61" s="287"/>
      <c r="S61" s="287"/>
    </row>
    <row r="62">
      <c r="A62" s="278" t="s">
        <v>286</v>
      </c>
      <c r="B62" s="279">
        <v>7.0</v>
      </c>
      <c r="C62" s="280" t="s">
        <v>3541</v>
      </c>
      <c r="D62" s="205" t="s">
        <v>2445</v>
      </c>
      <c r="E62" s="94" t="s">
        <v>49</v>
      </c>
      <c r="F62" s="312" t="s">
        <v>176</v>
      </c>
      <c r="G62" s="313" t="s">
        <v>3542</v>
      </c>
      <c r="H62" s="313" t="s">
        <v>578</v>
      </c>
      <c r="I62" s="313" t="s">
        <v>3543</v>
      </c>
      <c r="J62" s="314"/>
      <c r="K62" s="284"/>
      <c r="L62" s="206" t="s">
        <v>3544</v>
      </c>
      <c r="M62" s="285" t="s">
        <v>3545</v>
      </c>
      <c r="N62" s="287"/>
      <c r="O62" s="287"/>
      <c r="P62" s="287"/>
      <c r="Q62" s="287"/>
      <c r="R62" s="317" t="s">
        <v>3210</v>
      </c>
      <c r="S62" s="287"/>
    </row>
    <row r="63">
      <c r="A63" s="278" t="s">
        <v>286</v>
      </c>
      <c r="B63" s="279">
        <v>8.0</v>
      </c>
      <c r="C63" s="280" t="s">
        <v>393</v>
      </c>
      <c r="D63" s="205" t="s">
        <v>3546</v>
      </c>
      <c r="E63" s="94" t="s">
        <v>49</v>
      </c>
      <c r="F63" s="312" t="s">
        <v>1156</v>
      </c>
      <c r="G63" s="314"/>
      <c r="H63" s="314"/>
      <c r="I63" s="314"/>
      <c r="J63" s="314"/>
      <c r="K63" s="284"/>
      <c r="L63" s="206" t="s">
        <v>3548</v>
      </c>
      <c r="M63" s="285" t="s">
        <v>3549</v>
      </c>
      <c r="N63" s="287"/>
      <c r="O63" s="287"/>
      <c r="P63" s="287"/>
      <c r="Q63" s="287"/>
      <c r="R63" s="317" t="s">
        <v>3224</v>
      </c>
      <c r="S63" s="287"/>
    </row>
    <row r="64">
      <c r="A64" s="278" t="s">
        <v>286</v>
      </c>
      <c r="B64" s="279">
        <v>9.0</v>
      </c>
      <c r="C64" s="280" t="s">
        <v>3550</v>
      </c>
      <c r="D64" s="205" t="s">
        <v>2199</v>
      </c>
      <c r="E64" s="94" t="s">
        <v>49</v>
      </c>
      <c r="F64" s="312"/>
      <c r="G64" s="313" t="s">
        <v>3552</v>
      </c>
      <c r="H64" s="318" t="s">
        <v>3553</v>
      </c>
      <c r="I64" s="313" t="s">
        <v>3292</v>
      </c>
      <c r="J64" s="313" t="s">
        <v>3554</v>
      </c>
      <c r="K64" s="284"/>
      <c r="L64" s="206" t="s">
        <v>3555</v>
      </c>
      <c r="M64" s="285" t="s">
        <v>3556</v>
      </c>
      <c r="N64" s="287"/>
      <c r="O64" s="287"/>
      <c r="P64" s="287"/>
      <c r="Q64" s="287"/>
      <c r="R64" s="317" t="s">
        <v>3253</v>
      </c>
      <c r="S64" s="287"/>
    </row>
    <row r="65">
      <c r="A65" s="278" t="s">
        <v>286</v>
      </c>
      <c r="B65" s="279">
        <v>10.0</v>
      </c>
      <c r="C65" s="280" t="s">
        <v>1205</v>
      </c>
      <c r="D65" s="205" t="s">
        <v>3559</v>
      </c>
      <c r="E65" s="94" t="s">
        <v>49</v>
      </c>
      <c r="F65" s="312" t="s">
        <v>3560</v>
      </c>
      <c r="G65" s="313" t="s">
        <v>3561</v>
      </c>
      <c r="H65" s="313" t="s">
        <v>3562</v>
      </c>
      <c r="I65" s="313" t="s">
        <v>3563</v>
      </c>
      <c r="J65" s="314"/>
      <c r="K65" s="284"/>
      <c r="L65" s="206" t="s">
        <v>3564</v>
      </c>
      <c r="M65" s="285" t="s">
        <v>3565</v>
      </c>
      <c r="N65" s="287"/>
      <c r="O65" s="287"/>
      <c r="P65" s="287"/>
      <c r="Q65" s="287"/>
      <c r="S65" s="287"/>
    </row>
    <row r="66">
      <c r="A66" s="278" t="s">
        <v>286</v>
      </c>
      <c r="B66" s="279">
        <v>11.0</v>
      </c>
      <c r="C66" s="280" t="s">
        <v>1331</v>
      </c>
      <c r="D66" s="205" t="s">
        <v>3567</v>
      </c>
      <c r="E66" s="94" t="s">
        <v>49</v>
      </c>
      <c r="F66" s="312" t="s">
        <v>3528</v>
      </c>
      <c r="G66" s="313" t="s">
        <v>3568</v>
      </c>
      <c r="H66" s="313" t="s">
        <v>3569</v>
      </c>
      <c r="I66" s="314"/>
      <c r="J66" s="314"/>
      <c r="K66" s="284"/>
      <c r="L66" s="206" t="s">
        <v>3570</v>
      </c>
      <c r="M66" s="285" t="s">
        <v>3571</v>
      </c>
      <c r="N66" s="287"/>
      <c r="O66" s="287"/>
      <c r="P66" s="287"/>
      <c r="Q66" s="287"/>
      <c r="S66" s="287"/>
    </row>
    <row r="67">
      <c r="A67" s="278" t="s">
        <v>286</v>
      </c>
      <c r="B67" s="279">
        <v>12.0</v>
      </c>
      <c r="C67" s="280" t="s">
        <v>1863</v>
      </c>
      <c r="D67" s="205" t="s">
        <v>3573</v>
      </c>
      <c r="E67" s="94" t="s">
        <v>49</v>
      </c>
      <c r="F67" s="312"/>
      <c r="G67" s="313" t="s">
        <v>3509</v>
      </c>
      <c r="H67" s="313" t="s">
        <v>3167</v>
      </c>
      <c r="I67" s="313" t="s">
        <v>3574</v>
      </c>
      <c r="J67" s="314"/>
      <c r="K67" s="284"/>
      <c r="L67" s="206" t="s">
        <v>3575</v>
      </c>
      <c r="M67" s="285" t="s">
        <v>3577</v>
      </c>
      <c r="N67" s="287"/>
      <c r="O67" s="287"/>
      <c r="P67" s="287"/>
      <c r="Q67" s="287"/>
      <c r="S67" s="287"/>
    </row>
    <row r="68">
      <c r="A68" s="278" t="s">
        <v>286</v>
      </c>
      <c r="B68" s="279">
        <v>13.0</v>
      </c>
      <c r="C68" s="280" t="s">
        <v>3578</v>
      </c>
      <c r="D68" s="205" t="s">
        <v>3579</v>
      </c>
      <c r="E68" s="94" t="s">
        <v>49</v>
      </c>
      <c r="F68" s="312"/>
      <c r="G68" s="313" t="s">
        <v>877</v>
      </c>
      <c r="H68" s="313" t="s">
        <v>3580</v>
      </c>
      <c r="I68" s="313" t="s">
        <v>3581</v>
      </c>
      <c r="J68" s="314"/>
      <c r="K68" s="284"/>
      <c r="L68" s="206" t="s">
        <v>3582</v>
      </c>
      <c r="M68" s="285" t="s">
        <v>3583</v>
      </c>
      <c r="N68" s="287"/>
      <c r="O68" s="287"/>
      <c r="P68" s="287"/>
      <c r="Q68" s="287"/>
      <c r="S68" s="287"/>
    </row>
    <row r="69">
      <c r="A69" s="278" t="s">
        <v>286</v>
      </c>
      <c r="B69" s="279">
        <v>14.0</v>
      </c>
      <c r="C69" s="280" t="s">
        <v>3404</v>
      </c>
      <c r="D69" s="205" t="s">
        <v>1973</v>
      </c>
      <c r="E69" s="94" t="s">
        <v>49</v>
      </c>
      <c r="F69" s="312"/>
      <c r="G69" s="313" t="s">
        <v>781</v>
      </c>
      <c r="H69" s="313" t="s">
        <v>3584</v>
      </c>
      <c r="I69" s="313" t="s">
        <v>3585</v>
      </c>
      <c r="J69" s="314"/>
      <c r="K69" s="284"/>
      <c r="L69" s="206" t="s">
        <v>3586</v>
      </c>
      <c r="M69" s="285" t="s">
        <v>3587</v>
      </c>
      <c r="N69" s="287"/>
      <c r="O69" s="287"/>
      <c r="P69" s="287"/>
      <c r="Q69" s="287"/>
      <c r="S69" s="287"/>
    </row>
    <row r="70">
      <c r="A70" s="278" t="s">
        <v>286</v>
      </c>
      <c r="B70" s="279">
        <v>15.0</v>
      </c>
      <c r="C70" s="280" t="s">
        <v>3589</v>
      </c>
      <c r="D70" s="205" t="s">
        <v>3590</v>
      </c>
      <c r="E70" s="94" t="s">
        <v>49</v>
      </c>
      <c r="F70" s="312"/>
      <c r="G70" s="313" t="s">
        <v>517</v>
      </c>
      <c r="H70" s="313" t="s">
        <v>3591</v>
      </c>
      <c r="I70" s="313" t="s">
        <v>3464</v>
      </c>
      <c r="J70" s="314"/>
      <c r="K70" s="284"/>
      <c r="L70" s="206" t="s">
        <v>3592</v>
      </c>
      <c r="M70" s="285" t="s">
        <v>3593</v>
      </c>
      <c r="N70" s="287"/>
      <c r="O70" s="287"/>
      <c r="P70" s="287"/>
      <c r="Q70" s="287"/>
      <c r="S70" s="287"/>
    </row>
    <row r="71">
      <c r="A71" s="278" t="s">
        <v>286</v>
      </c>
      <c r="B71" s="279">
        <v>16.0</v>
      </c>
      <c r="C71" s="280" t="s">
        <v>3595</v>
      </c>
      <c r="D71" s="205" t="s">
        <v>3596</v>
      </c>
      <c r="E71" s="94" t="s">
        <v>49</v>
      </c>
      <c r="F71" s="312"/>
      <c r="G71" s="313" t="s">
        <v>3167</v>
      </c>
      <c r="H71" s="313" t="s">
        <v>3574</v>
      </c>
      <c r="I71" s="313" t="s">
        <v>3166</v>
      </c>
      <c r="J71" s="314"/>
      <c r="K71" s="284"/>
      <c r="L71" s="206" t="s">
        <v>3597</v>
      </c>
      <c r="M71" s="285" t="s">
        <v>3598</v>
      </c>
      <c r="N71" s="287"/>
      <c r="O71" s="287"/>
      <c r="P71" s="287"/>
      <c r="Q71" s="287"/>
      <c r="S71" s="287"/>
    </row>
    <row r="72">
      <c r="A72" s="278" t="s">
        <v>286</v>
      </c>
      <c r="B72" s="279">
        <v>17.0</v>
      </c>
      <c r="C72" s="280" t="s">
        <v>3600</v>
      </c>
      <c r="D72" s="205" t="s">
        <v>3601</v>
      </c>
      <c r="E72" s="94" t="s">
        <v>49</v>
      </c>
      <c r="F72" s="312" t="s">
        <v>3528</v>
      </c>
      <c r="G72" s="313" t="s">
        <v>3509</v>
      </c>
      <c r="H72" s="313" t="s">
        <v>3407</v>
      </c>
      <c r="I72" s="314"/>
      <c r="J72" s="314"/>
      <c r="K72" s="284"/>
      <c r="L72" s="206" t="s">
        <v>3602</v>
      </c>
      <c r="M72" s="285" t="s">
        <v>3603</v>
      </c>
      <c r="N72" s="287"/>
      <c r="O72" s="287"/>
      <c r="P72" s="287"/>
      <c r="Q72" s="287"/>
      <c r="S72" s="287"/>
    </row>
    <row r="73">
      <c r="A73" s="278" t="s">
        <v>286</v>
      </c>
      <c r="B73" s="279">
        <v>18.0</v>
      </c>
      <c r="C73" s="280" t="s">
        <v>22</v>
      </c>
      <c r="D73" s="205" t="s">
        <v>3604</v>
      </c>
      <c r="E73" s="94" t="s">
        <v>49</v>
      </c>
      <c r="F73" s="312" t="s">
        <v>3605</v>
      </c>
      <c r="G73" s="313" t="s">
        <v>3606</v>
      </c>
      <c r="H73" s="313" t="s">
        <v>3607</v>
      </c>
      <c r="I73" s="314"/>
      <c r="J73" s="314"/>
      <c r="K73" s="284"/>
      <c r="L73" s="206" t="s">
        <v>3608</v>
      </c>
      <c r="M73" s="285" t="s">
        <v>3609</v>
      </c>
      <c r="N73" s="287"/>
      <c r="O73" s="287"/>
      <c r="P73" s="287"/>
      <c r="Q73" s="287"/>
      <c r="S73" s="287"/>
    </row>
    <row r="74">
      <c r="A74" s="278" t="s">
        <v>286</v>
      </c>
      <c r="B74" s="279">
        <v>19.0</v>
      </c>
      <c r="C74" s="280" t="s">
        <v>2569</v>
      </c>
      <c r="D74" s="205" t="s">
        <v>3610</v>
      </c>
      <c r="E74" s="83" t="s">
        <v>53</v>
      </c>
      <c r="F74" s="312" t="s">
        <v>498</v>
      </c>
      <c r="G74" s="313" t="s">
        <v>781</v>
      </c>
      <c r="H74" s="313" t="s">
        <v>515</v>
      </c>
      <c r="I74" s="313" t="s">
        <v>3611</v>
      </c>
      <c r="J74" s="313" t="s">
        <v>3612</v>
      </c>
      <c r="K74" s="284"/>
      <c r="L74" s="206" t="s">
        <v>3613</v>
      </c>
      <c r="M74" s="285" t="s">
        <v>3614</v>
      </c>
      <c r="N74" s="287"/>
      <c r="O74" s="287"/>
      <c r="P74" s="287"/>
      <c r="Q74" s="287"/>
      <c r="S74" s="287"/>
    </row>
    <row r="75">
      <c r="A75" s="278" t="s">
        <v>286</v>
      </c>
      <c r="B75" s="279">
        <v>20.0</v>
      </c>
      <c r="C75" s="280" t="s">
        <v>157</v>
      </c>
      <c r="D75" s="205" t="s">
        <v>3615</v>
      </c>
      <c r="E75" s="94" t="s">
        <v>49</v>
      </c>
      <c r="F75" s="312"/>
      <c r="G75" s="313" t="s">
        <v>781</v>
      </c>
      <c r="H75" s="313" t="s">
        <v>3616</v>
      </c>
      <c r="I75" s="313" t="s">
        <v>3554</v>
      </c>
      <c r="J75" s="314"/>
      <c r="K75" s="284"/>
      <c r="L75" s="206" t="s">
        <v>3617</v>
      </c>
      <c r="M75" s="285" t="s">
        <v>3618</v>
      </c>
      <c r="N75" s="287"/>
      <c r="O75" s="287"/>
      <c r="P75" s="287"/>
      <c r="Q75" s="287"/>
      <c r="S75" s="287"/>
    </row>
    <row r="76">
      <c r="A76" s="278" t="s">
        <v>286</v>
      </c>
      <c r="B76" s="279">
        <v>21.0</v>
      </c>
      <c r="C76" s="280" t="s">
        <v>3619</v>
      </c>
      <c r="D76" s="205" t="s">
        <v>3621</v>
      </c>
      <c r="E76" s="94" t="s">
        <v>49</v>
      </c>
      <c r="F76" s="312"/>
      <c r="G76" s="313" t="s">
        <v>3622</v>
      </c>
      <c r="H76" s="313" t="s">
        <v>3623</v>
      </c>
      <c r="I76" s="314"/>
      <c r="J76" s="314"/>
      <c r="K76" s="284"/>
      <c r="L76" s="206" t="s">
        <v>3624</v>
      </c>
      <c r="M76" s="285" t="s">
        <v>3625</v>
      </c>
      <c r="N76" s="287"/>
      <c r="O76" s="287"/>
      <c r="P76" s="287"/>
      <c r="Q76" s="287"/>
      <c r="S76" s="287"/>
    </row>
    <row r="77">
      <c r="A77" s="278" t="s">
        <v>286</v>
      </c>
      <c r="B77" s="279">
        <v>22.0</v>
      </c>
      <c r="C77" s="280" t="s">
        <v>2225</v>
      </c>
      <c r="D77" s="205" t="s">
        <v>3626</v>
      </c>
      <c r="E77" s="94" t="s">
        <v>49</v>
      </c>
      <c r="F77" s="312"/>
      <c r="G77" s="313" t="s">
        <v>3627</v>
      </c>
      <c r="H77" s="313" t="s">
        <v>515</v>
      </c>
      <c r="I77" s="314"/>
      <c r="J77" s="314"/>
      <c r="K77" s="284"/>
      <c r="L77" s="206" t="s">
        <v>3628</v>
      </c>
      <c r="M77" s="285" t="s">
        <v>3629</v>
      </c>
      <c r="N77" s="287"/>
      <c r="O77" s="287"/>
      <c r="P77" s="287"/>
      <c r="Q77" s="287"/>
      <c r="S77" s="287"/>
    </row>
    <row r="78">
      <c r="A78" s="278" t="s">
        <v>286</v>
      </c>
      <c r="B78" s="279">
        <v>23.0</v>
      </c>
      <c r="C78" s="280" t="s">
        <v>356</v>
      </c>
      <c r="D78" s="205" t="s">
        <v>3631</v>
      </c>
      <c r="E78" s="94" t="s">
        <v>49</v>
      </c>
      <c r="F78" s="312"/>
      <c r="G78" s="313" t="s">
        <v>3561</v>
      </c>
      <c r="H78" s="313" t="s">
        <v>3632</v>
      </c>
      <c r="I78" s="313" t="s">
        <v>3542</v>
      </c>
      <c r="J78" s="314"/>
      <c r="K78" s="284"/>
      <c r="L78" s="206" t="s">
        <v>3633</v>
      </c>
      <c r="M78" s="285" t="s">
        <v>3634</v>
      </c>
      <c r="N78" s="287"/>
      <c r="O78" s="287"/>
      <c r="P78" s="287"/>
      <c r="Q78" s="287"/>
      <c r="S78" s="287"/>
    </row>
    <row r="79">
      <c r="A79" s="278" t="s">
        <v>286</v>
      </c>
      <c r="B79" s="279">
        <v>24.0</v>
      </c>
      <c r="C79" s="264" t="s">
        <v>3635</v>
      </c>
      <c r="D79" s="319" t="s">
        <v>3637</v>
      </c>
      <c r="E79" s="94" t="s">
        <v>49</v>
      </c>
      <c r="F79" s="312"/>
      <c r="G79" s="313" t="s">
        <v>3509</v>
      </c>
      <c r="H79" s="313" t="s">
        <v>3639</v>
      </c>
      <c r="I79" s="313" t="s">
        <v>3640</v>
      </c>
      <c r="J79" s="313" t="s">
        <v>3641</v>
      </c>
      <c r="K79" s="284"/>
      <c r="L79" s="206" t="s">
        <v>3642</v>
      </c>
      <c r="M79" s="285" t="s">
        <v>3643</v>
      </c>
      <c r="N79" s="287"/>
      <c r="O79" s="287"/>
      <c r="P79" s="287"/>
      <c r="Q79" s="287"/>
      <c r="S79" s="287"/>
    </row>
    <row r="80">
      <c r="A80" s="278" t="s">
        <v>286</v>
      </c>
      <c r="B80" s="279">
        <v>25.0</v>
      </c>
      <c r="C80" s="280" t="s">
        <v>292</v>
      </c>
      <c r="D80" s="205" t="s">
        <v>3491</v>
      </c>
      <c r="E80" s="94" t="s">
        <v>49</v>
      </c>
      <c r="F80" s="312"/>
      <c r="G80" s="313" t="s">
        <v>3581</v>
      </c>
      <c r="H80" s="313" t="s">
        <v>3509</v>
      </c>
      <c r="I80" s="313" t="s">
        <v>3646</v>
      </c>
      <c r="J80" s="313" t="s">
        <v>732</v>
      </c>
      <c r="K80" s="284"/>
      <c r="L80" s="206" t="s">
        <v>3647</v>
      </c>
      <c r="M80" s="285" t="s">
        <v>3648</v>
      </c>
      <c r="N80" s="287"/>
      <c r="O80" s="287"/>
      <c r="P80" s="287"/>
      <c r="Q80" s="287"/>
      <c r="S80" s="287"/>
    </row>
    <row r="81">
      <c r="A81" s="305"/>
      <c r="B81" s="305"/>
      <c r="C81" s="307"/>
      <c r="D81" s="308"/>
      <c r="E81" s="320"/>
      <c r="F81" s="309"/>
      <c r="G81" s="308"/>
      <c r="H81" s="308"/>
      <c r="I81" s="308"/>
      <c r="J81" s="308"/>
      <c r="K81" s="308"/>
      <c r="L81" s="308"/>
      <c r="M81" s="308"/>
      <c r="N81" s="311"/>
      <c r="O81" s="311"/>
      <c r="P81" s="311"/>
      <c r="Q81" s="311"/>
      <c r="R81" s="311"/>
      <c r="S81" s="311"/>
      <c r="T81" s="70"/>
      <c r="U81" s="70"/>
      <c r="V81" s="70"/>
      <c r="W81" s="70"/>
      <c r="X81" s="70"/>
      <c r="Y81" s="70"/>
      <c r="Z81" s="70"/>
      <c r="AA81" s="70"/>
      <c r="AB81" s="70"/>
      <c r="AC81" s="70"/>
      <c r="AD81" s="70"/>
      <c r="AE81" s="70"/>
      <c r="AF81" s="70"/>
      <c r="AG81" s="70"/>
    </row>
    <row r="82">
      <c r="A82" s="278" t="s">
        <v>421</v>
      </c>
      <c r="B82" s="321"/>
      <c r="C82" s="280" t="s">
        <v>108</v>
      </c>
      <c r="D82" s="205" t="s">
        <v>3649</v>
      </c>
      <c r="E82" s="94" t="s">
        <v>49</v>
      </c>
      <c r="F82" s="322"/>
      <c r="G82" s="284"/>
      <c r="H82" s="284"/>
      <c r="I82" s="284"/>
      <c r="J82" s="284"/>
      <c r="K82" s="284"/>
      <c r="L82" s="284"/>
      <c r="M82" s="284"/>
      <c r="N82" s="287"/>
      <c r="O82" s="287"/>
      <c r="P82" s="287"/>
      <c r="Q82" s="287"/>
      <c r="R82" s="287"/>
      <c r="S82" s="287"/>
    </row>
    <row r="83">
      <c r="A83" s="305"/>
      <c r="B83" s="305"/>
      <c r="C83" s="307"/>
      <c r="D83" s="308"/>
      <c r="E83" s="305"/>
      <c r="F83" s="309"/>
      <c r="G83" s="308"/>
      <c r="H83" s="308"/>
      <c r="I83" s="308"/>
      <c r="J83" s="308"/>
      <c r="K83" s="308"/>
      <c r="L83" s="308"/>
      <c r="M83" s="308"/>
      <c r="N83" s="311"/>
      <c r="O83" s="311"/>
      <c r="P83" s="311"/>
      <c r="Q83" s="311"/>
      <c r="R83" s="311"/>
      <c r="S83" s="311"/>
      <c r="T83" s="70"/>
      <c r="U83" s="70"/>
      <c r="V83" s="70"/>
      <c r="W83" s="70"/>
      <c r="X83" s="70"/>
      <c r="Y83" s="70"/>
      <c r="Z83" s="70"/>
      <c r="AA83" s="70"/>
      <c r="AB83" s="70"/>
      <c r="AC83" s="70"/>
      <c r="AD83" s="70"/>
      <c r="AE83" s="70"/>
      <c r="AF83" s="70"/>
      <c r="AG83" s="70"/>
    </row>
    <row r="84">
      <c r="A84" s="278" t="s">
        <v>427</v>
      </c>
      <c r="B84" s="278">
        <v>1.0</v>
      </c>
      <c r="C84" s="280" t="s">
        <v>636</v>
      </c>
      <c r="D84" s="205" t="s">
        <v>2581</v>
      </c>
      <c r="E84" s="94" t="s">
        <v>49</v>
      </c>
      <c r="F84" s="322"/>
      <c r="G84" s="284"/>
      <c r="H84" s="284"/>
      <c r="I84" s="284"/>
      <c r="J84" s="284"/>
      <c r="K84" s="284"/>
      <c r="L84" s="284"/>
      <c r="M84" s="284"/>
      <c r="N84" s="287"/>
      <c r="O84" s="287"/>
      <c r="P84" s="287"/>
      <c r="Q84" s="287"/>
      <c r="R84" s="287"/>
      <c r="S84" s="287"/>
    </row>
    <row r="85">
      <c r="A85" s="278" t="s">
        <v>427</v>
      </c>
      <c r="B85" s="278">
        <v>2.0</v>
      </c>
      <c r="C85" s="280" t="s">
        <v>3650</v>
      </c>
      <c r="D85" s="205" t="s">
        <v>3615</v>
      </c>
      <c r="E85" s="94" t="s">
        <v>49</v>
      </c>
      <c r="F85" s="322"/>
      <c r="G85" s="284"/>
      <c r="H85" s="284"/>
      <c r="I85" s="284"/>
      <c r="J85" s="284"/>
      <c r="K85" s="284"/>
      <c r="L85" s="284"/>
      <c r="M85" s="284"/>
      <c r="N85" s="287"/>
      <c r="O85" s="287"/>
      <c r="P85" s="287"/>
      <c r="Q85" s="287"/>
      <c r="R85" s="287"/>
      <c r="S85" s="287"/>
    </row>
    <row r="86">
      <c r="A86" s="305"/>
      <c r="B86" s="305"/>
      <c r="C86" s="307"/>
      <c r="D86" s="308"/>
      <c r="E86" s="305"/>
      <c r="F86" s="309"/>
      <c r="G86" s="308"/>
      <c r="H86" s="308"/>
      <c r="I86" s="308"/>
      <c r="J86" s="308"/>
      <c r="K86" s="308"/>
      <c r="L86" s="308"/>
      <c r="M86" s="308"/>
      <c r="N86" s="311"/>
      <c r="O86" s="311"/>
      <c r="P86" s="311"/>
      <c r="Q86" s="311"/>
      <c r="R86" s="311"/>
      <c r="S86" s="311"/>
      <c r="T86" s="70"/>
      <c r="U86" s="70"/>
      <c r="V86" s="70"/>
      <c r="W86" s="70"/>
      <c r="X86" s="70"/>
      <c r="Y86" s="70"/>
      <c r="Z86" s="70"/>
      <c r="AA86" s="70"/>
      <c r="AB86" s="70"/>
      <c r="AC86" s="70"/>
      <c r="AD86" s="70"/>
      <c r="AE86" s="70"/>
      <c r="AF86" s="70"/>
      <c r="AG86" s="70"/>
    </row>
    <row r="87">
      <c r="A87" s="278" t="s">
        <v>430</v>
      </c>
      <c r="B87" s="278" t="s">
        <v>431</v>
      </c>
      <c r="C87" s="280" t="s">
        <v>3652</v>
      </c>
      <c r="D87" s="205" t="s">
        <v>3653</v>
      </c>
      <c r="E87" s="94" t="s">
        <v>49</v>
      </c>
      <c r="F87" s="322"/>
      <c r="G87" s="284"/>
      <c r="H87" s="284"/>
      <c r="I87" s="284"/>
      <c r="J87" s="284"/>
      <c r="K87" s="284"/>
      <c r="L87" s="284"/>
      <c r="M87" s="284"/>
      <c r="N87" s="287"/>
      <c r="O87" s="287"/>
      <c r="P87" s="287"/>
      <c r="Q87" s="287"/>
      <c r="R87" s="287"/>
      <c r="S87" s="287"/>
    </row>
    <row r="88">
      <c r="A88" s="278" t="s">
        <v>430</v>
      </c>
      <c r="B88" s="278" t="s">
        <v>434</v>
      </c>
      <c r="C88" s="280" t="s">
        <v>3654</v>
      </c>
      <c r="D88" s="205" t="s">
        <v>3655</v>
      </c>
      <c r="E88" s="94" t="s">
        <v>49</v>
      </c>
      <c r="F88" s="322"/>
      <c r="G88" s="284"/>
      <c r="H88" s="284"/>
      <c r="I88" s="284"/>
      <c r="J88" s="284"/>
      <c r="K88" s="284"/>
      <c r="L88" s="284"/>
      <c r="M88" s="284"/>
      <c r="N88" s="287"/>
      <c r="O88" s="287"/>
      <c r="P88" s="287"/>
      <c r="Q88" s="287"/>
      <c r="R88" s="287"/>
      <c r="S88" s="287"/>
    </row>
    <row r="89">
      <c r="A89" s="305"/>
      <c r="B89" s="305"/>
      <c r="C89" s="307"/>
      <c r="D89" s="308"/>
      <c r="E89" s="305"/>
      <c r="F89" s="309"/>
      <c r="G89" s="308"/>
      <c r="H89" s="308"/>
      <c r="I89" s="308"/>
      <c r="J89" s="308"/>
      <c r="K89" s="308"/>
      <c r="L89" s="308"/>
      <c r="M89" s="308"/>
      <c r="N89" s="311"/>
      <c r="O89" s="311"/>
      <c r="P89" s="311"/>
      <c r="Q89" s="311"/>
      <c r="R89" s="311"/>
      <c r="S89" s="311"/>
      <c r="T89" s="70"/>
      <c r="U89" s="70"/>
      <c r="V89" s="70"/>
      <c r="W89" s="70"/>
      <c r="X89" s="70"/>
      <c r="Y89" s="70"/>
      <c r="Z89" s="70"/>
      <c r="AA89" s="70"/>
      <c r="AB89" s="70"/>
    </row>
    <row r="90">
      <c r="A90" s="278" t="s">
        <v>438</v>
      </c>
      <c r="B90" s="321"/>
      <c r="C90" s="280"/>
      <c r="D90" s="205"/>
      <c r="E90" s="321"/>
      <c r="F90" s="322"/>
      <c r="G90" s="284"/>
      <c r="H90" s="284"/>
      <c r="I90" s="284"/>
      <c r="J90" s="284"/>
      <c r="K90" s="284"/>
      <c r="L90" s="284"/>
      <c r="M90" s="284"/>
      <c r="N90" s="287"/>
      <c r="O90" s="287"/>
      <c r="P90" s="287"/>
      <c r="Q90" s="287"/>
      <c r="R90" s="287"/>
      <c r="S90" s="287"/>
    </row>
    <row r="91">
      <c r="A91" s="305"/>
      <c r="B91" s="305"/>
      <c r="C91" s="307"/>
      <c r="D91" s="308"/>
      <c r="E91" s="305"/>
      <c r="F91" s="309"/>
      <c r="G91" s="308"/>
      <c r="H91" s="308"/>
      <c r="I91" s="308"/>
      <c r="J91" s="308"/>
      <c r="K91" s="308"/>
      <c r="L91" s="308"/>
      <c r="M91" s="308"/>
      <c r="N91" s="311"/>
      <c r="O91" s="311"/>
      <c r="P91" s="311"/>
      <c r="Q91" s="311"/>
      <c r="R91" s="311"/>
      <c r="S91" s="311"/>
      <c r="T91" s="70"/>
      <c r="U91" s="70"/>
      <c r="V91" s="70"/>
      <c r="W91" s="70"/>
      <c r="X91" s="70"/>
      <c r="Y91" s="70"/>
      <c r="Z91" s="70"/>
      <c r="AA91" s="70"/>
      <c r="AB91" s="70"/>
    </row>
    <row r="92">
      <c r="A92" s="321"/>
      <c r="B92" s="321"/>
      <c r="C92" s="323"/>
      <c r="D92" s="284"/>
      <c r="E92" s="321"/>
      <c r="F92" s="322"/>
      <c r="G92" s="284"/>
      <c r="H92" s="284"/>
      <c r="I92" s="284"/>
      <c r="J92" s="284"/>
      <c r="K92" s="284"/>
      <c r="L92" s="284"/>
      <c r="M92" s="284"/>
      <c r="N92" s="287"/>
      <c r="O92" s="287"/>
      <c r="P92" s="287"/>
      <c r="Q92" s="287"/>
      <c r="R92" s="287"/>
      <c r="S92" s="287"/>
    </row>
    <row r="93">
      <c r="A93" s="321"/>
      <c r="B93" s="321"/>
      <c r="C93" s="323"/>
      <c r="D93" s="284"/>
      <c r="E93" s="321"/>
      <c r="F93" s="322"/>
      <c r="G93" s="284"/>
      <c r="H93" s="284"/>
      <c r="I93" s="284"/>
      <c r="J93" s="284"/>
      <c r="K93" s="284"/>
      <c r="L93" s="284"/>
      <c r="M93" s="284"/>
      <c r="N93" s="287"/>
      <c r="O93" s="287"/>
      <c r="P93" s="287"/>
      <c r="Q93" s="287"/>
      <c r="R93" s="287"/>
      <c r="S93" s="287"/>
    </row>
    <row r="94">
      <c r="A94" s="321"/>
      <c r="B94" s="321"/>
      <c r="C94" s="323"/>
      <c r="D94" s="284"/>
      <c r="E94" s="321"/>
      <c r="F94" s="322"/>
      <c r="G94" s="284"/>
      <c r="H94" s="284"/>
      <c r="I94" s="284"/>
      <c r="J94" s="284"/>
      <c r="K94" s="284"/>
      <c r="L94" s="284"/>
      <c r="M94" s="284"/>
      <c r="N94" s="287"/>
      <c r="O94" s="287"/>
      <c r="P94" s="287"/>
      <c r="Q94" s="287"/>
      <c r="R94" s="287"/>
      <c r="S94" s="287"/>
    </row>
    <row r="95">
      <c r="A95" s="321"/>
      <c r="B95" s="321"/>
      <c r="C95" s="323"/>
      <c r="D95" s="284"/>
      <c r="E95" s="321"/>
      <c r="F95" s="322"/>
      <c r="G95" s="284"/>
      <c r="H95" s="284"/>
      <c r="I95" s="284"/>
      <c r="J95" s="284"/>
      <c r="K95" s="284"/>
      <c r="L95" s="284"/>
      <c r="M95" s="284"/>
      <c r="N95" s="287"/>
      <c r="O95" s="287"/>
      <c r="P95" s="287"/>
      <c r="Q95" s="287"/>
      <c r="R95" s="287"/>
      <c r="S95" s="287"/>
    </row>
    <row r="96">
      <c r="A96" s="321"/>
      <c r="B96" s="321"/>
      <c r="C96" s="323"/>
      <c r="D96" s="284"/>
      <c r="E96" s="321"/>
      <c r="F96" s="322"/>
      <c r="G96" s="284"/>
      <c r="H96" s="284"/>
      <c r="I96" s="284"/>
      <c r="J96" s="284"/>
      <c r="K96" s="284"/>
      <c r="L96" s="284"/>
      <c r="M96" s="284"/>
      <c r="N96" s="287"/>
      <c r="O96" s="287"/>
      <c r="P96" s="287"/>
      <c r="Q96" s="287"/>
      <c r="R96" s="287"/>
      <c r="S96" s="287"/>
    </row>
    <row r="97">
      <c r="A97" s="321"/>
      <c r="B97" s="321"/>
      <c r="C97" s="323"/>
      <c r="D97" s="284"/>
      <c r="E97" s="321"/>
      <c r="F97" s="322"/>
      <c r="G97" s="284"/>
      <c r="H97" s="284"/>
      <c r="I97" s="284"/>
      <c r="J97" s="284"/>
      <c r="K97" s="284"/>
      <c r="L97" s="284"/>
      <c r="M97" s="284"/>
      <c r="N97" s="287"/>
      <c r="O97" s="287"/>
      <c r="P97" s="287"/>
      <c r="Q97" s="287"/>
      <c r="R97" s="287"/>
      <c r="S97" s="287"/>
    </row>
    <row r="98">
      <c r="A98" s="321"/>
      <c r="B98" s="321"/>
      <c r="C98" s="323"/>
      <c r="D98" s="284"/>
      <c r="E98" s="321"/>
      <c r="F98" s="322"/>
      <c r="G98" s="284"/>
      <c r="H98" s="284"/>
      <c r="I98" s="284"/>
      <c r="J98" s="284"/>
      <c r="K98" s="284"/>
      <c r="L98" s="284"/>
      <c r="M98" s="284"/>
      <c r="N98" s="287"/>
      <c r="O98" s="287"/>
      <c r="P98" s="287"/>
      <c r="Q98" s="287"/>
      <c r="R98" s="287"/>
      <c r="S98" s="287"/>
    </row>
    <row r="99">
      <c r="A99" s="321"/>
      <c r="B99" s="321"/>
      <c r="C99" s="323"/>
      <c r="D99" s="284"/>
      <c r="E99" s="321"/>
      <c r="F99" s="322"/>
      <c r="G99" s="284"/>
      <c r="H99" s="284"/>
      <c r="I99" s="284"/>
      <c r="J99" s="284"/>
      <c r="K99" s="284"/>
      <c r="L99" s="284"/>
      <c r="M99" s="284"/>
      <c r="N99" s="287"/>
      <c r="O99" s="287"/>
      <c r="P99" s="287"/>
      <c r="Q99" s="287"/>
      <c r="R99" s="287"/>
      <c r="S99" s="287"/>
    </row>
    <row r="100">
      <c r="A100" s="321"/>
      <c r="B100" s="321"/>
      <c r="C100" s="323"/>
      <c r="D100" s="284"/>
      <c r="E100" s="321"/>
      <c r="F100" s="322"/>
      <c r="G100" s="284"/>
      <c r="H100" s="284"/>
      <c r="I100" s="284"/>
      <c r="J100" s="284"/>
      <c r="K100" s="284"/>
      <c r="L100" s="284"/>
      <c r="M100" s="284"/>
      <c r="N100" s="287"/>
      <c r="O100" s="287"/>
      <c r="P100" s="287"/>
      <c r="Q100" s="287"/>
      <c r="R100" s="287"/>
      <c r="S100" s="287"/>
    </row>
    <row r="101">
      <c r="A101" s="321"/>
      <c r="B101" s="321"/>
      <c r="C101" s="323"/>
      <c r="D101" s="284"/>
      <c r="E101" s="321"/>
      <c r="F101" s="322"/>
      <c r="G101" s="284"/>
      <c r="H101" s="284"/>
      <c r="I101" s="284"/>
      <c r="J101" s="284"/>
      <c r="K101" s="284"/>
      <c r="L101" s="284"/>
      <c r="M101" s="284"/>
      <c r="N101" s="287"/>
      <c r="O101" s="287"/>
      <c r="P101" s="287"/>
      <c r="Q101" s="287"/>
      <c r="R101" s="287"/>
      <c r="S101" s="287"/>
    </row>
    <row r="102">
      <c r="A102" s="321"/>
      <c r="B102" s="321"/>
      <c r="C102" s="323"/>
      <c r="D102" s="284"/>
      <c r="E102" s="321"/>
      <c r="F102" s="322"/>
      <c r="G102" s="284"/>
      <c r="H102" s="284"/>
      <c r="I102" s="284"/>
      <c r="J102" s="284"/>
      <c r="K102" s="284"/>
      <c r="L102" s="284"/>
      <c r="M102" s="284"/>
      <c r="N102" s="287"/>
      <c r="O102" s="287"/>
      <c r="P102" s="287"/>
      <c r="Q102" s="287"/>
      <c r="R102" s="287"/>
      <c r="S102" s="287"/>
    </row>
    <row r="103">
      <c r="A103" s="321"/>
      <c r="B103" s="321"/>
      <c r="C103" s="323"/>
      <c r="D103" s="284"/>
      <c r="E103" s="321"/>
      <c r="F103" s="322"/>
      <c r="G103" s="284"/>
      <c r="H103" s="284"/>
      <c r="I103" s="284"/>
      <c r="J103" s="284"/>
      <c r="K103" s="284"/>
      <c r="L103" s="284"/>
      <c r="M103" s="284"/>
      <c r="N103" s="287"/>
      <c r="O103" s="287"/>
      <c r="P103" s="287"/>
      <c r="Q103" s="287"/>
      <c r="R103" s="287"/>
      <c r="S103" s="287"/>
    </row>
    <row r="104">
      <c r="A104" s="321"/>
      <c r="B104" s="321"/>
      <c r="C104" s="323"/>
      <c r="D104" s="284"/>
      <c r="E104" s="321"/>
      <c r="F104" s="322"/>
      <c r="G104" s="284"/>
      <c r="H104" s="284"/>
      <c r="I104" s="284"/>
      <c r="J104" s="284"/>
      <c r="K104" s="284"/>
      <c r="L104" s="284"/>
      <c r="M104" s="284"/>
      <c r="N104" s="287"/>
      <c r="O104" s="287"/>
      <c r="P104" s="287"/>
      <c r="Q104" s="287"/>
      <c r="R104" s="287"/>
      <c r="S104" s="287"/>
    </row>
    <row r="105">
      <c r="A105" s="321"/>
      <c r="B105" s="321"/>
      <c r="C105" s="323"/>
      <c r="D105" s="284"/>
      <c r="E105" s="321"/>
      <c r="F105" s="322"/>
      <c r="G105" s="284"/>
      <c r="H105" s="284"/>
      <c r="I105" s="284"/>
      <c r="J105" s="284"/>
      <c r="K105" s="284"/>
      <c r="L105" s="284"/>
      <c r="M105" s="284"/>
      <c r="N105" s="287"/>
      <c r="O105" s="287"/>
      <c r="P105" s="287"/>
      <c r="Q105" s="287"/>
      <c r="R105" s="287"/>
      <c r="S105" s="287"/>
    </row>
    <row r="106">
      <c r="A106" s="321"/>
      <c r="B106" s="321"/>
      <c r="C106" s="323"/>
      <c r="D106" s="284"/>
      <c r="E106" s="321"/>
      <c r="F106" s="322"/>
      <c r="G106" s="284"/>
      <c r="H106" s="284"/>
      <c r="I106" s="284"/>
      <c r="J106" s="284"/>
      <c r="K106" s="284"/>
      <c r="L106" s="284"/>
      <c r="M106" s="284"/>
      <c r="N106" s="287"/>
      <c r="O106" s="287"/>
      <c r="P106" s="287"/>
      <c r="Q106" s="287"/>
      <c r="R106" s="287"/>
      <c r="S106" s="287"/>
    </row>
    <row r="107">
      <c r="A107" s="321"/>
      <c r="B107" s="321"/>
      <c r="C107" s="323"/>
      <c r="D107" s="284"/>
      <c r="E107" s="321"/>
      <c r="F107" s="322"/>
      <c r="G107" s="284"/>
      <c r="H107" s="284"/>
      <c r="I107" s="284"/>
      <c r="J107" s="284"/>
      <c r="K107" s="284"/>
      <c r="L107" s="284"/>
      <c r="M107" s="284"/>
      <c r="N107" s="287"/>
      <c r="O107" s="287"/>
      <c r="P107" s="287"/>
      <c r="Q107" s="287"/>
      <c r="R107" s="287"/>
      <c r="S107" s="287"/>
    </row>
    <row r="108">
      <c r="A108" s="321"/>
      <c r="B108" s="321"/>
      <c r="C108" s="323"/>
      <c r="D108" s="284"/>
      <c r="E108" s="321"/>
      <c r="F108" s="322"/>
      <c r="G108" s="284"/>
      <c r="H108" s="284"/>
      <c r="I108" s="284"/>
      <c r="J108" s="284"/>
      <c r="K108" s="284"/>
      <c r="L108" s="284"/>
      <c r="M108" s="284"/>
      <c r="N108" s="287"/>
      <c r="O108" s="287"/>
      <c r="P108" s="287"/>
      <c r="Q108" s="287"/>
      <c r="R108" s="287"/>
      <c r="S108" s="287"/>
    </row>
    <row r="109">
      <c r="A109" s="321"/>
      <c r="B109" s="321"/>
      <c r="C109" s="323"/>
      <c r="D109" s="284"/>
      <c r="E109" s="321"/>
      <c r="F109" s="322"/>
      <c r="G109" s="284"/>
      <c r="H109" s="284"/>
      <c r="I109" s="284"/>
      <c r="J109" s="284"/>
      <c r="K109" s="284"/>
      <c r="L109" s="284"/>
      <c r="M109" s="284"/>
      <c r="N109" s="287"/>
      <c r="O109" s="287"/>
      <c r="P109" s="287"/>
      <c r="Q109" s="287"/>
      <c r="R109" s="287"/>
      <c r="S109" s="287"/>
    </row>
    <row r="110">
      <c r="A110" s="321"/>
      <c r="B110" s="321"/>
      <c r="C110" s="323"/>
      <c r="D110" s="284"/>
      <c r="E110" s="321"/>
      <c r="F110" s="322"/>
      <c r="G110" s="284"/>
      <c r="H110" s="284"/>
      <c r="I110" s="284"/>
      <c r="J110" s="284"/>
      <c r="K110" s="284"/>
      <c r="L110" s="284"/>
      <c r="M110" s="284"/>
      <c r="N110" s="287"/>
      <c r="O110" s="287"/>
      <c r="P110" s="287"/>
      <c r="Q110" s="287"/>
      <c r="R110" s="287"/>
      <c r="S110" s="287"/>
    </row>
    <row r="111">
      <c r="A111" s="321"/>
      <c r="B111" s="321"/>
      <c r="C111" s="323"/>
      <c r="D111" s="284"/>
      <c r="E111" s="321"/>
      <c r="F111" s="322"/>
      <c r="G111" s="284"/>
      <c r="H111" s="284"/>
      <c r="I111" s="284"/>
      <c r="J111" s="284"/>
      <c r="K111" s="284"/>
      <c r="L111" s="284"/>
      <c r="M111" s="284"/>
      <c r="N111" s="287"/>
      <c r="O111" s="287"/>
      <c r="P111" s="287"/>
      <c r="Q111" s="287"/>
      <c r="R111" s="287"/>
      <c r="S111" s="287"/>
    </row>
    <row r="112">
      <c r="A112" s="321"/>
      <c r="B112" s="321"/>
      <c r="C112" s="323"/>
      <c r="D112" s="284"/>
      <c r="E112" s="321"/>
      <c r="F112" s="322"/>
      <c r="G112" s="284"/>
      <c r="H112" s="284"/>
      <c r="I112" s="284"/>
      <c r="J112" s="284"/>
      <c r="K112" s="284"/>
      <c r="L112" s="284"/>
      <c r="M112" s="284"/>
      <c r="N112" s="287"/>
      <c r="O112" s="287"/>
      <c r="P112" s="287"/>
      <c r="Q112" s="287"/>
      <c r="R112" s="287"/>
      <c r="S112" s="287"/>
    </row>
    <row r="113">
      <c r="A113" s="321"/>
      <c r="B113" s="321"/>
      <c r="C113" s="323"/>
      <c r="D113" s="284"/>
      <c r="E113" s="321"/>
      <c r="F113" s="322"/>
      <c r="G113" s="284"/>
      <c r="H113" s="284"/>
      <c r="I113" s="284"/>
      <c r="J113" s="284"/>
      <c r="K113" s="284"/>
      <c r="L113" s="284"/>
      <c r="M113" s="284"/>
      <c r="N113" s="287"/>
      <c r="O113" s="287"/>
      <c r="P113" s="287"/>
      <c r="Q113" s="287"/>
      <c r="R113" s="287"/>
      <c r="S113" s="287"/>
    </row>
    <row r="114">
      <c r="A114" s="321"/>
      <c r="B114" s="321"/>
      <c r="C114" s="323"/>
      <c r="D114" s="284"/>
      <c r="E114" s="321"/>
      <c r="F114" s="322"/>
      <c r="G114" s="284"/>
      <c r="H114" s="284"/>
      <c r="I114" s="284"/>
      <c r="J114" s="284"/>
      <c r="K114" s="284"/>
      <c r="L114" s="284"/>
      <c r="M114" s="284"/>
      <c r="N114" s="287"/>
      <c r="O114" s="287"/>
      <c r="P114" s="287"/>
      <c r="Q114" s="287"/>
      <c r="R114" s="287"/>
      <c r="S114" s="287"/>
    </row>
    <row r="115">
      <c r="A115" s="321"/>
      <c r="B115" s="321"/>
      <c r="C115" s="323"/>
      <c r="D115" s="284"/>
      <c r="E115" s="321"/>
      <c r="F115" s="322"/>
      <c r="G115" s="284"/>
      <c r="H115" s="284"/>
      <c r="I115" s="284"/>
      <c r="J115" s="284"/>
      <c r="K115" s="284"/>
      <c r="L115" s="284"/>
      <c r="M115" s="284"/>
      <c r="N115" s="287"/>
      <c r="O115" s="287"/>
      <c r="P115" s="287"/>
      <c r="Q115" s="287"/>
      <c r="R115" s="287"/>
      <c r="S115" s="287"/>
    </row>
    <row r="116">
      <c r="A116" s="321"/>
      <c r="B116" s="321"/>
      <c r="C116" s="323"/>
      <c r="D116" s="284"/>
      <c r="E116" s="321"/>
      <c r="F116" s="322"/>
      <c r="G116" s="284"/>
      <c r="H116" s="284"/>
      <c r="I116" s="284"/>
      <c r="J116" s="284"/>
      <c r="K116" s="284"/>
      <c r="L116" s="284"/>
      <c r="M116" s="284"/>
      <c r="N116" s="287"/>
      <c r="O116" s="287"/>
      <c r="P116" s="287"/>
      <c r="Q116" s="287"/>
      <c r="R116" s="287"/>
      <c r="S116" s="287"/>
    </row>
    <row r="117">
      <c r="A117" s="321"/>
      <c r="B117" s="321"/>
      <c r="C117" s="323"/>
      <c r="D117" s="284"/>
      <c r="E117" s="321"/>
      <c r="F117" s="322"/>
      <c r="G117" s="284"/>
      <c r="H117" s="284"/>
      <c r="I117" s="284"/>
      <c r="J117" s="284"/>
      <c r="K117" s="284"/>
      <c r="L117" s="284"/>
      <c r="M117" s="284"/>
      <c r="N117" s="287"/>
      <c r="O117" s="287"/>
      <c r="P117" s="287"/>
      <c r="Q117" s="287"/>
      <c r="R117" s="287"/>
      <c r="S117" s="287"/>
    </row>
    <row r="118">
      <c r="A118" s="321"/>
      <c r="B118" s="321"/>
      <c r="C118" s="323"/>
      <c r="D118" s="284"/>
      <c r="E118" s="321"/>
      <c r="F118" s="322"/>
      <c r="G118" s="284"/>
      <c r="H118" s="284"/>
      <c r="I118" s="284"/>
      <c r="J118" s="284"/>
      <c r="K118" s="284"/>
      <c r="L118" s="284"/>
      <c r="M118" s="284"/>
      <c r="N118" s="287"/>
      <c r="O118" s="287"/>
      <c r="P118" s="287"/>
      <c r="Q118" s="287"/>
      <c r="R118" s="287"/>
      <c r="S118" s="287"/>
    </row>
    <row r="119">
      <c r="A119" s="321"/>
      <c r="B119" s="321"/>
      <c r="C119" s="323"/>
      <c r="D119" s="284"/>
      <c r="E119" s="321"/>
      <c r="F119" s="322"/>
      <c r="G119" s="284"/>
      <c r="H119" s="284"/>
      <c r="I119" s="284"/>
      <c r="J119" s="284"/>
      <c r="K119" s="284"/>
      <c r="L119" s="284"/>
      <c r="M119" s="284"/>
      <c r="N119" s="287"/>
      <c r="O119" s="287"/>
      <c r="P119" s="287"/>
      <c r="Q119" s="287"/>
      <c r="R119" s="287"/>
      <c r="S119" s="287"/>
    </row>
    <row r="120">
      <c r="A120" s="321"/>
      <c r="B120" s="321"/>
      <c r="C120" s="323"/>
      <c r="D120" s="284"/>
      <c r="E120" s="321"/>
      <c r="F120" s="322"/>
      <c r="G120" s="284"/>
      <c r="H120" s="284"/>
      <c r="I120" s="284"/>
      <c r="J120" s="284"/>
      <c r="K120" s="284"/>
      <c r="L120" s="284"/>
      <c r="M120" s="284"/>
      <c r="N120" s="287"/>
      <c r="O120" s="287"/>
      <c r="P120" s="287"/>
      <c r="Q120" s="287"/>
      <c r="R120" s="287"/>
      <c r="S120" s="287"/>
    </row>
    <row r="121">
      <c r="A121" s="321"/>
      <c r="B121" s="321"/>
      <c r="C121" s="323"/>
      <c r="D121" s="284"/>
      <c r="E121" s="321"/>
      <c r="F121" s="322"/>
      <c r="G121" s="284"/>
      <c r="H121" s="284"/>
      <c r="I121" s="284"/>
      <c r="J121" s="284"/>
      <c r="K121" s="284"/>
      <c r="L121" s="284"/>
      <c r="M121" s="284"/>
      <c r="N121" s="287"/>
      <c r="O121" s="287"/>
      <c r="P121" s="287"/>
      <c r="Q121" s="287"/>
      <c r="R121" s="287"/>
      <c r="S121" s="287"/>
    </row>
    <row r="122">
      <c r="A122" s="321"/>
      <c r="B122" s="321"/>
      <c r="C122" s="323"/>
      <c r="D122" s="284"/>
      <c r="E122" s="321"/>
      <c r="F122" s="322"/>
      <c r="G122" s="284"/>
      <c r="H122" s="284"/>
      <c r="I122" s="284"/>
      <c r="J122" s="284"/>
      <c r="K122" s="284"/>
      <c r="L122" s="284"/>
      <c r="M122" s="284"/>
      <c r="N122" s="287"/>
      <c r="O122" s="287"/>
      <c r="P122" s="287"/>
      <c r="Q122" s="287"/>
      <c r="R122" s="287"/>
      <c r="S122" s="287"/>
    </row>
    <row r="123">
      <c r="A123" s="321"/>
      <c r="B123" s="321"/>
      <c r="C123" s="323"/>
      <c r="D123" s="284"/>
      <c r="E123" s="321"/>
      <c r="F123" s="322"/>
      <c r="G123" s="284"/>
      <c r="H123" s="284"/>
      <c r="I123" s="284"/>
      <c r="J123" s="284"/>
      <c r="K123" s="284"/>
      <c r="L123" s="284"/>
      <c r="M123" s="284"/>
      <c r="N123" s="287"/>
      <c r="O123" s="287"/>
      <c r="P123" s="287"/>
      <c r="Q123" s="287"/>
      <c r="R123" s="287"/>
      <c r="S123" s="287"/>
    </row>
    <row r="124">
      <c r="A124" s="321"/>
      <c r="B124" s="321"/>
      <c r="C124" s="323"/>
      <c r="D124" s="284"/>
      <c r="E124" s="321"/>
      <c r="F124" s="322"/>
      <c r="G124" s="284"/>
      <c r="H124" s="284"/>
      <c r="I124" s="284"/>
      <c r="J124" s="284"/>
      <c r="K124" s="284"/>
      <c r="L124" s="284"/>
      <c r="M124" s="284"/>
      <c r="N124" s="287"/>
      <c r="O124" s="287"/>
      <c r="P124" s="287"/>
      <c r="Q124" s="287"/>
      <c r="R124" s="287"/>
      <c r="S124" s="287"/>
    </row>
    <row r="125">
      <c r="A125" s="321"/>
      <c r="B125" s="321"/>
      <c r="C125" s="323"/>
      <c r="D125" s="284"/>
      <c r="E125" s="321"/>
      <c r="F125" s="322"/>
      <c r="G125" s="284"/>
      <c r="H125" s="284"/>
      <c r="I125" s="284"/>
      <c r="J125" s="284"/>
      <c r="K125" s="284"/>
      <c r="L125" s="284"/>
      <c r="M125" s="284"/>
      <c r="N125" s="287"/>
      <c r="O125" s="287"/>
      <c r="P125" s="287"/>
      <c r="Q125" s="287"/>
      <c r="R125" s="287"/>
      <c r="S125" s="287"/>
    </row>
    <row r="126">
      <c r="A126" s="321"/>
      <c r="B126" s="321"/>
      <c r="C126" s="323"/>
      <c r="D126" s="284"/>
      <c r="E126" s="321"/>
      <c r="F126" s="322"/>
      <c r="G126" s="284"/>
      <c r="H126" s="284"/>
      <c r="I126" s="284"/>
      <c r="J126" s="284"/>
      <c r="K126" s="284"/>
      <c r="L126" s="284"/>
      <c r="M126" s="284"/>
      <c r="N126" s="287"/>
      <c r="O126" s="287"/>
      <c r="P126" s="287"/>
      <c r="Q126" s="287"/>
      <c r="R126" s="287"/>
      <c r="S126" s="287"/>
    </row>
    <row r="127">
      <c r="A127" s="321"/>
      <c r="B127" s="321"/>
      <c r="C127" s="323"/>
      <c r="D127" s="284"/>
      <c r="E127" s="321"/>
      <c r="F127" s="322"/>
      <c r="G127" s="284"/>
      <c r="H127" s="284"/>
      <c r="I127" s="284"/>
      <c r="J127" s="284"/>
      <c r="K127" s="284"/>
      <c r="L127" s="284"/>
      <c r="M127" s="284"/>
      <c r="N127" s="287"/>
      <c r="O127" s="287"/>
      <c r="P127" s="287"/>
      <c r="Q127" s="287"/>
      <c r="R127" s="287"/>
      <c r="S127" s="287"/>
    </row>
    <row r="128">
      <c r="A128" s="321"/>
      <c r="B128" s="321"/>
      <c r="C128" s="323"/>
      <c r="D128" s="284"/>
      <c r="E128" s="321"/>
      <c r="F128" s="322"/>
      <c r="G128" s="284"/>
      <c r="H128" s="284"/>
      <c r="I128" s="284"/>
      <c r="J128" s="284"/>
      <c r="K128" s="284"/>
      <c r="L128" s="284"/>
      <c r="M128" s="284"/>
      <c r="N128" s="287"/>
      <c r="O128" s="287"/>
      <c r="P128" s="287"/>
      <c r="Q128" s="287"/>
      <c r="R128" s="287"/>
      <c r="S128" s="287"/>
    </row>
    <row r="129">
      <c r="A129" s="321"/>
      <c r="B129" s="321"/>
      <c r="C129" s="323"/>
      <c r="D129" s="284"/>
      <c r="E129" s="321"/>
      <c r="F129" s="322"/>
      <c r="G129" s="284"/>
      <c r="H129" s="284"/>
      <c r="I129" s="284"/>
      <c r="J129" s="284"/>
      <c r="K129" s="284"/>
      <c r="L129" s="284"/>
      <c r="M129" s="284"/>
      <c r="N129" s="287"/>
      <c r="O129" s="287"/>
      <c r="P129" s="287"/>
      <c r="Q129" s="287"/>
      <c r="R129" s="287"/>
      <c r="S129" s="287"/>
    </row>
    <row r="130">
      <c r="A130" s="321"/>
      <c r="B130" s="321"/>
      <c r="C130" s="323"/>
      <c r="D130" s="284"/>
      <c r="E130" s="321"/>
      <c r="F130" s="322"/>
      <c r="G130" s="284"/>
      <c r="H130" s="284"/>
      <c r="I130" s="284"/>
      <c r="J130" s="284"/>
      <c r="K130" s="284"/>
      <c r="L130" s="284"/>
      <c r="M130" s="284"/>
      <c r="N130" s="287"/>
      <c r="O130" s="287"/>
      <c r="P130" s="287"/>
      <c r="Q130" s="287"/>
      <c r="R130" s="287"/>
      <c r="S130" s="287"/>
    </row>
    <row r="131">
      <c r="A131" s="321"/>
      <c r="B131" s="321"/>
      <c r="C131" s="323"/>
      <c r="D131" s="284"/>
      <c r="E131" s="321"/>
      <c r="F131" s="322"/>
      <c r="G131" s="284"/>
      <c r="H131" s="284"/>
      <c r="I131" s="284"/>
      <c r="J131" s="284"/>
      <c r="K131" s="284"/>
      <c r="L131" s="284"/>
      <c r="M131" s="284"/>
      <c r="N131" s="287"/>
      <c r="O131" s="287"/>
      <c r="P131" s="287"/>
      <c r="Q131" s="287"/>
      <c r="R131" s="287"/>
      <c r="S131" s="287"/>
    </row>
    <row r="132">
      <c r="A132" s="321"/>
      <c r="B132" s="321"/>
      <c r="C132" s="323"/>
      <c r="D132" s="284"/>
      <c r="E132" s="321"/>
      <c r="F132" s="322"/>
      <c r="G132" s="284"/>
      <c r="H132" s="284"/>
      <c r="I132" s="284"/>
      <c r="J132" s="284"/>
      <c r="K132" s="284"/>
      <c r="L132" s="284"/>
      <c r="M132" s="284"/>
      <c r="N132" s="287"/>
      <c r="O132" s="287"/>
      <c r="P132" s="287"/>
      <c r="Q132" s="287"/>
      <c r="R132" s="287"/>
      <c r="S132" s="287"/>
    </row>
    <row r="133">
      <c r="A133" s="321"/>
      <c r="B133" s="321"/>
      <c r="C133" s="323"/>
      <c r="D133" s="284"/>
      <c r="E133" s="321"/>
      <c r="F133" s="322"/>
      <c r="G133" s="284"/>
      <c r="H133" s="284"/>
      <c r="I133" s="284"/>
      <c r="J133" s="284"/>
      <c r="K133" s="284"/>
      <c r="L133" s="284"/>
      <c r="M133" s="284"/>
      <c r="N133" s="287"/>
      <c r="O133" s="287"/>
      <c r="P133" s="287"/>
      <c r="Q133" s="287"/>
      <c r="R133" s="287"/>
      <c r="S133" s="287"/>
    </row>
    <row r="134">
      <c r="A134" s="321"/>
      <c r="B134" s="321"/>
      <c r="C134" s="323"/>
      <c r="D134" s="284"/>
      <c r="E134" s="321"/>
      <c r="F134" s="322"/>
      <c r="G134" s="284"/>
      <c r="H134" s="284"/>
      <c r="I134" s="284"/>
      <c r="J134" s="284"/>
      <c r="K134" s="284"/>
      <c r="L134" s="284"/>
      <c r="M134" s="284"/>
      <c r="N134" s="287"/>
      <c r="O134" s="287"/>
      <c r="P134" s="287"/>
      <c r="Q134" s="287"/>
      <c r="R134" s="287"/>
      <c r="S134" s="287"/>
    </row>
    <row r="135">
      <c r="A135" s="321"/>
      <c r="B135" s="321"/>
      <c r="C135" s="323"/>
      <c r="D135" s="284"/>
      <c r="E135" s="321"/>
      <c r="F135" s="322"/>
      <c r="G135" s="284"/>
      <c r="H135" s="284"/>
      <c r="I135" s="284"/>
      <c r="J135" s="284"/>
      <c r="K135" s="284"/>
      <c r="L135" s="284"/>
      <c r="M135" s="284"/>
      <c r="N135" s="287"/>
      <c r="O135" s="287"/>
      <c r="P135" s="287"/>
      <c r="Q135" s="287"/>
      <c r="R135" s="287"/>
      <c r="S135" s="287"/>
    </row>
    <row r="136">
      <c r="A136" s="321"/>
      <c r="B136" s="321"/>
      <c r="C136" s="323"/>
      <c r="D136" s="284"/>
      <c r="E136" s="321"/>
      <c r="F136" s="324"/>
      <c r="G136" s="321"/>
      <c r="H136" s="321"/>
      <c r="I136" s="321"/>
      <c r="J136" s="321"/>
      <c r="K136" s="321"/>
      <c r="L136" s="321"/>
      <c r="M136" s="321"/>
    </row>
    <row r="137">
      <c r="A137" s="321"/>
      <c r="B137" s="321"/>
      <c r="C137" s="323"/>
      <c r="D137" s="284"/>
      <c r="E137" s="321"/>
      <c r="F137" s="324"/>
      <c r="G137" s="321"/>
      <c r="H137" s="321"/>
      <c r="I137" s="321"/>
      <c r="J137" s="321"/>
      <c r="K137" s="321"/>
      <c r="L137" s="321"/>
      <c r="M137" s="321"/>
    </row>
    <row r="138">
      <c r="A138" s="321"/>
      <c r="B138" s="321"/>
      <c r="C138" s="323"/>
      <c r="D138" s="284"/>
      <c r="E138" s="321"/>
      <c r="F138" s="324"/>
      <c r="G138" s="321"/>
      <c r="H138" s="321"/>
      <c r="I138" s="321"/>
      <c r="J138" s="321"/>
      <c r="K138" s="321"/>
      <c r="L138" s="321"/>
      <c r="M138" s="321"/>
    </row>
    <row r="139">
      <c r="A139" s="321"/>
      <c r="B139" s="321"/>
      <c r="C139" s="323"/>
      <c r="D139" s="284"/>
      <c r="E139" s="321"/>
      <c r="F139" s="324"/>
      <c r="G139" s="321"/>
      <c r="H139" s="321"/>
      <c r="I139" s="321"/>
      <c r="J139" s="321"/>
      <c r="K139" s="321"/>
      <c r="L139" s="321"/>
      <c r="M139" s="321"/>
    </row>
    <row r="140">
      <c r="A140" s="321"/>
      <c r="B140" s="321"/>
      <c r="C140" s="323"/>
      <c r="D140" s="284"/>
      <c r="E140" s="321"/>
      <c r="F140" s="324"/>
      <c r="G140" s="321"/>
      <c r="H140" s="321"/>
      <c r="I140" s="321"/>
      <c r="J140" s="321"/>
      <c r="K140" s="321"/>
      <c r="L140" s="321"/>
      <c r="M140" s="321"/>
    </row>
    <row r="141">
      <c r="A141" s="321"/>
      <c r="B141" s="321"/>
      <c r="C141" s="323"/>
      <c r="D141" s="284"/>
      <c r="E141" s="321"/>
      <c r="F141" s="324"/>
      <c r="G141" s="321"/>
      <c r="H141" s="321"/>
      <c r="I141" s="321"/>
      <c r="J141" s="321"/>
      <c r="K141" s="321"/>
      <c r="L141" s="321"/>
      <c r="M141" s="321"/>
    </row>
    <row r="142">
      <c r="A142" s="321"/>
      <c r="B142" s="321"/>
      <c r="C142" s="323"/>
      <c r="D142" s="284"/>
      <c r="E142" s="321"/>
      <c r="F142" s="324"/>
      <c r="G142" s="321"/>
      <c r="H142" s="321"/>
      <c r="I142" s="321"/>
      <c r="J142" s="321"/>
      <c r="K142" s="321"/>
      <c r="L142" s="321"/>
      <c r="M142" s="321"/>
    </row>
    <row r="143">
      <c r="A143" s="321"/>
      <c r="B143" s="321"/>
      <c r="C143" s="323"/>
      <c r="D143" s="284"/>
      <c r="E143" s="321"/>
      <c r="F143" s="324"/>
      <c r="G143" s="321"/>
      <c r="H143" s="321"/>
      <c r="I143" s="321"/>
      <c r="J143" s="321"/>
      <c r="K143" s="321"/>
      <c r="L143" s="321"/>
      <c r="M143" s="321"/>
    </row>
    <row r="144">
      <c r="A144" s="321"/>
      <c r="B144" s="321"/>
      <c r="C144" s="323"/>
      <c r="D144" s="284"/>
      <c r="E144" s="321"/>
      <c r="F144" s="324"/>
      <c r="G144" s="321"/>
      <c r="H144" s="321"/>
      <c r="I144" s="321"/>
      <c r="J144" s="321"/>
      <c r="K144" s="321"/>
      <c r="L144" s="321"/>
      <c r="M144" s="321"/>
    </row>
    <row r="145">
      <c r="A145" s="321"/>
      <c r="B145" s="321"/>
      <c r="C145" s="323"/>
      <c r="D145" s="284"/>
      <c r="E145" s="321"/>
      <c r="F145" s="324"/>
      <c r="G145" s="321"/>
      <c r="H145" s="321"/>
      <c r="I145" s="321"/>
      <c r="J145" s="321"/>
      <c r="K145" s="321"/>
      <c r="L145" s="321"/>
      <c r="M145" s="321"/>
    </row>
    <row r="146">
      <c r="A146" s="321"/>
      <c r="B146" s="321"/>
      <c r="C146" s="323"/>
      <c r="D146" s="284"/>
      <c r="E146" s="321"/>
      <c r="F146" s="324"/>
      <c r="G146" s="321"/>
      <c r="H146" s="321"/>
      <c r="I146" s="321"/>
      <c r="J146" s="321"/>
      <c r="K146" s="321"/>
      <c r="L146" s="321"/>
      <c r="M146" s="321"/>
    </row>
    <row r="147">
      <c r="A147" s="321"/>
      <c r="B147" s="321"/>
      <c r="C147" s="323"/>
      <c r="D147" s="284"/>
      <c r="E147" s="321"/>
      <c r="F147" s="324"/>
      <c r="G147" s="321"/>
      <c r="H147" s="321"/>
      <c r="I147" s="321"/>
      <c r="J147" s="321"/>
      <c r="K147" s="321"/>
      <c r="L147" s="321"/>
      <c r="M147" s="321"/>
    </row>
    <row r="148">
      <c r="A148" s="321"/>
      <c r="B148" s="321"/>
      <c r="C148" s="323"/>
      <c r="D148" s="284"/>
      <c r="E148" s="321"/>
      <c r="F148" s="324"/>
      <c r="G148" s="321"/>
      <c r="H148" s="321"/>
      <c r="I148" s="321"/>
      <c r="J148" s="321"/>
      <c r="K148" s="321"/>
      <c r="L148" s="321"/>
      <c r="M148" s="321"/>
    </row>
    <row r="149">
      <c r="A149" s="321"/>
      <c r="B149" s="321"/>
      <c r="C149" s="323"/>
      <c r="D149" s="284"/>
      <c r="E149" s="321"/>
      <c r="F149" s="324"/>
      <c r="G149" s="321"/>
      <c r="H149" s="321"/>
      <c r="I149" s="321"/>
      <c r="J149" s="321"/>
      <c r="K149" s="321"/>
      <c r="L149" s="321"/>
      <c r="M149" s="321"/>
    </row>
    <row r="150">
      <c r="A150" s="321"/>
      <c r="B150" s="321"/>
      <c r="C150" s="323"/>
      <c r="D150" s="284"/>
      <c r="E150" s="321"/>
      <c r="F150" s="324"/>
      <c r="G150" s="321"/>
      <c r="H150" s="321"/>
      <c r="I150" s="321"/>
      <c r="J150" s="321"/>
      <c r="K150" s="321"/>
      <c r="L150" s="321"/>
      <c r="M150" s="321"/>
    </row>
    <row r="151">
      <c r="A151" s="321"/>
      <c r="B151" s="321"/>
      <c r="C151" s="323"/>
      <c r="D151" s="284"/>
      <c r="E151" s="321"/>
      <c r="F151" s="324"/>
      <c r="G151" s="321"/>
      <c r="H151" s="321"/>
      <c r="I151" s="321"/>
      <c r="J151" s="321"/>
      <c r="K151" s="321"/>
      <c r="L151" s="321"/>
      <c r="M151" s="321"/>
    </row>
    <row r="152">
      <c r="A152" s="321"/>
      <c r="B152" s="321"/>
      <c r="C152" s="323"/>
      <c r="D152" s="284"/>
      <c r="E152" s="321"/>
      <c r="F152" s="324"/>
      <c r="G152" s="321"/>
      <c r="H152" s="321"/>
      <c r="I152" s="321"/>
      <c r="J152" s="321"/>
      <c r="K152" s="321"/>
      <c r="L152" s="321"/>
      <c r="M152" s="321"/>
    </row>
    <row r="153">
      <c r="A153" s="321"/>
      <c r="B153" s="321"/>
      <c r="C153" s="323"/>
      <c r="D153" s="284"/>
      <c r="E153" s="321"/>
      <c r="F153" s="324"/>
      <c r="G153" s="321"/>
      <c r="H153" s="321"/>
      <c r="I153" s="321"/>
      <c r="J153" s="321"/>
      <c r="K153" s="321"/>
      <c r="L153" s="321"/>
      <c r="M153" s="321"/>
    </row>
    <row r="154">
      <c r="A154" s="321"/>
      <c r="B154" s="321"/>
      <c r="C154" s="323"/>
      <c r="D154" s="284"/>
      <c r="E154" s="321"/>
      <c r="F154" s="324"/>
      <c r="G154" s="321"/>
      <c r="H154" s="321"/>
      <c r="I154" s="321"/>
      <c r="J154" s="321"/>
      <c r="K154" s="321"/>
      <c r="L154" s="321"/>
      <c r="M154" s="321"/>
    </row>
    <row r="155">
      <c r="A155" s="321"/>
      <c r="B155" s="321"/>
      <c r="C155" s="323"/>
      <c r="D155" s="284"/>
      <c r="E155" s="321"/>
      <c r="F155" s="324"/>
      <c r="G155" s="321"/>
      <c r="H155" s="321"/>
      <c r="I155" s="321"/>
      <c r="J155" s="321"/>
      <c r="K155" s="321"/>
      <c r="L155" s="321"/>
      <c r="M155" s="321"/>
    </row>
    <row r="156">
      <c r="A156" s="321"/>
      <c r="B156" s="321"/>
      <c r="C156" s="323"/>
      <c r="D156" s="284"/>
      <c r="E156" s="321"/>
      <c r="F156" s="324"/>
      <c r="G156" s="321"/>
      <c r="H156" s="321"/>
      <c r="I156" s="321"/>
      <c r="J156" s="321"/>
      <c r="K156" s="321"/>
      <c r="L156" s="321"/>
      <c r="M156" s="321"/>
    </row>
    <row r="157">
      <c r="A157" s="321"/>
      <c r="B157" s="321"/>
      <c r="C157" s="323"/>
      <c r="D157" s="284"/>
      <c r="E157" s="321"/>
      <c r="F157" s="324"/>
      <c r="G157" s="321"/>
      <c r="H157" s="321"/>
      <c r="I157" s="321"/>
      <c r="J157" s="321"/>
      <c r="K157" s="321"/>
      <c r="L157" s="321"/>
      <c r="M157" s="321"/>
    </row>
    <row r="158">
      <c r="A158" s="321"/>
      <c r="B158" s="321"/>
      <c r="C158" s="323"/>
      <c r="D158" s="284"/>
      <c r="E158" s="321"/>
      <c r="F158" s="324"/>
      <c r="G158" s="321"/>
      <c r="H158" s="321"/>
      <c r="I158" s="321"/>
      <c r="J158" s="321"/>
      <c r="K158" s="321"/>
      <c r="L158" s="321"/>
      <c r="M158" s="321"/>
    </row>
    <row r="159">
      <c r="A159" s="321"/>
      <c r="B159" s="321"/>
      <c r="C159" s="323"/>
      <c r="D159" s="284"/>
      <c r="E159" s="321"/>
      <c r="F159" s="324"/>
      <c r="G159" s="321"/>
      <c r="H159" s="321"/>
      <c r="I159" s="321"/>
      <c r="J159" s="321"/>
      <c r="K159" s="321"/>
      <c r="L159" s="321"/>
      <c r="M159" s="321"/>
    </row>
    <row r="160">
      <c r="A160" s="321"/>
      <c r="B160" s="321"/>
      <c r="C160" s="323"/>
      <c r="D160" s="284"/>
      <c r="E160" s="321"/>
      <c r="F160" s="324"/>
      <c r="G160" s="321"/>
      <c r="H160" s="321"/>
      <c r="I160" s="321"/>
      <c r="J160" s="321"/>
      <c r="K160" s="321"/>
      <c r="L160" s="321"/>
      <c r="M160" s="321"/>
    </row>
    <row r="161">
      <c r="A161" s="321"/>
      <c r="B161" s="321"/>
      <c r="C161" s="323"/>
      <c r="D161" s="284"/>
      <c r="E161" s="321"/>
      <c r="F161" s="324"/>
      <c r="G161" s="321"/>
      <c r="H161" s="321"/>
      <c r="I161" s="321"/>
      <c r="J161" s="321"/>
      <c r="K161" s="321"/>
      <c r="L161" s="321"/>
      <c r="M161" s="321"/>
    </row>
    <row r="162">
      <c r="A162" s="321"/>
      <c r="B162" s="321"/>
      <c r="C162" s="323"/>
      <c r="D162" s="284"/>
      <c r="E162" s="321"/>
      <c r="F162" s="324"/>
      <c r="G162" s="321"/>
      <c r="H162" s="321"/>
      <c r="I162" s="321"/>
      <c r="J162" s="321"/>
      <c r="K162" s="321"/>
      <c r="L162" s="321"/>
      <c r="M162" s="321"/>
    </row>
    <row r="163">
      <c r="A163" s="321"/>
      <c r="B163" s="321"/>
      <c r="C163" s="323"/>
      <c r="D163" s="284"/>
      <c r="E163" s="321"/>
      <c r="F163" s="324"/>
      <c r="G163" s="321"/>
      <c r="H163" s="321"/>
      <c r="I163" s="321"/>
      <c r="J163" s="321"/>
      <c r="K163" s="321"/>
      <c r="L163" s="321"/>
      <c r="M163" s="321"/>
    </row>
    <row r="164">
      <c r="A164" s="321"/>
      <c r="B164" s="321"/>
      <c r="C164" s="323"/>
      <c r="D164" s="284"/>
      <c r="E164" s="321"/>
      <c r="F164" s="324"/>
      <c r="G164" s="321"/>
      <c r="H164" s="321"/>
      <c r="I164" s="321"/>
      <c r="J164" s="321"/>
      <c r="K164" s="321"/>
      <c r="L164" s="321"/>
      <c r="M164" s="321"/>
    </row>
    <row r="165">
      <c r="A165" s="321"/>
      <c r="B165" s="321"/>
      <c r="C165" s="323"/>
      <c r="D165" s="284"/>
      <c r="E165" s="321"/>
      <c r="F165" s="324"/>
      <c r="G165" s="321"/>
      <c r="H165" s="321"/>
      <c r="I165" s="321"/>
      <c r="J165" s="321"/>
      <c r="K165" s="321"/>
      <c r="L165" s="321"/>
      <c r="M165" s="321"/>
    </row>
    <row r="166">
      <c r="A166" s="321"/>
      <c r="B166" s="321"/>
      <c r="C166" s="323"/>
      <c r="D166" s="284"/>
      <c r="E166" s="321"/>
      <c r="F166" s="324"/>
      <c r="G166" s="321"/>
      <c r="H166" s="321"/>
      <c r="I166" s="321"/>
      <c r="J166" s="321"/>
      <c r="K166" s="321"/>
      <c r="L166" s="321"/>
      <c r="M166" s="321"/>
    </row>
    <row r="167">
      <c r="A167" s="321"/>
      <c r="B167" s="321"/>
      <c r="C167" s="323"/>
      <c r="D167" s="284"/>
      <c r="E167" s="321"/>
      <c r="F167" s="324"/>
      <c r="G167" s="321"/>
      <c r="H167" s="321"/>
      <c r="I167" s="321"/>
      <c r="J167" s="321"/>
      <c r="K167" s="321"/>
      <c r="L167" s="321"/>
      <c r="M167" s="321"/>
    </row>
    <row r="168">
      <c r="A168" s="321"/>
      <c r="B168" s="321"/>
      <c r="C168" s="323"/>
      <c r="D168" s="284"/>
      <c r="E168" s="321"/>
      <c r="F168" s="324"/>
      <c r="G168" s="321"/>
      <c r="H168" s="321"/>
      <c r="I168" s="321"/>
      <c r="J168" s="321"/>
      <c r="K168" s="321"/>
      <c r="L168" s="321"/>
      <c r="M168" s="321"/>
    </row>
    <row r="169">
      <c r="A169" s="321"/>
      <c r="B169" s="321"/>
      <c r="C169" s="323"/>
      <c r="D169" s="284"/>
      <c r="E169" s="321"/>
      <c r="F169" s="324"/>
      <c r="G169" s="321"/>
      <c r="H169" s="321"/>
      <c r="I169" s="321"/>
      <c r="J169" s="321"/>
      <c r="K169" s="321"/>
      <c r="L169" s="321"/>
      <c r="M169" s="321"/>
    </row>
    <row r="170">
      <c r="A170" s="321"/>
      <c r="B170" s="321"/>
      <c r="C170" s="323"/>
      <c r="D170" s="284"/>
      <c r="E170" s="321"/>
      <c r="F170" s="324"/>
      <c r="G170" s="321"/>
      <c r="H170" s="321"/>
      <c r="I170" s="321"/>
      <c r="J170" s="321"/>
      <c r="K170" s="321"/>
      <c r="L170" s="321"/>
      <c r="M170" s="321"/>
    </row>
    <row r="171">
      <c r="A171" s="321"/>
      <c r="B171" s="321"/>
      <c r="C171" s="323"/>
      <c r="D171" s="284"/>
      <c r="E171" s="321"/>
      <c r="F171" s="324"/>
      <c r="G171" s="321"/>
      <c r="H171" s="321"/>
      <c r="I171" s="321"/>
      <c r="J171" s="321"/>
      <c r="K171" s="321"/>
      <c r="L171" s="321"/>
      <c r="M171" s="321"/>
    </row>
    <row r="172">
      <c r="A172" s="321"/>
      <c r="B172" s="321"/>
      <c r="C172" s="323"/>
      <c r="D172" s="284"/>
      <c r="E172" s="321"/>
      <c r="F172" s="324"/>
      <c r="G172" s="321"/>
      <c r="H172" s="321"/>
      <c r="I172" s="321"/>
      <c r="J172" s="321"/>
      <c r="K172" s="321"/>
      <c r="L172" s="321"/>
      <c r="M172" s="321"/>
    </row>
    <row r="173">
      <c r="A173" s="321"/>
      <c r="B173" s="321"/>
      <c r="C173" s="323"/>
      <c r="D173" s="284"/>
      <c r="E173" s="321"/>
      <c r="F173" s="324"/>
      <c r="G173" s="321"/>
      <c r="H173" s="321"/>
      <c r="I173" s="321"/>
      <c r="J173" s="321"/>
      <c r="K173" s="321"/>
      <c r="L173" s="321"/>
      <c r="M173" s="321"/>
    </row>
    <row r="174">
      <c r="A174" s="321"/>
      <c r="B174" s="321"/>
      <c r="C174" s="323"/>
      <c r="D174" s="284"/>
      <c r="E174" s="321"/>
      <c r="F174" s="324"/>
      <c r="G174" s="321"/>
      <c r="H174" s="321"/>
      <c r="I174" s="321"/>
      <c r="J174" s="321"/>
      <c r="K174" s="321"/>
      <c r="L174" s="321"/>
      <c r="M174" s="321"/>
    </row>
    <row r="175">
      <c r="A175" s="321"/>
      <c r="B175" s="321"/>
      <c r="C175" s="323"/>
      <c r="D175" s="284"/>
      <c r="E175" s="321"/>
      <c r="F175" s="324"/>
      <c r="G175" s="321"/>
      <c r="H175" s="321"/>
      <c r="I175" s="321"/>
      <c r="J175" s="321"/>
      <c r="K175" s="321"/>
      <c r="L175" s="321"/>
      <c r="M175" s="321"/>
    </row>
    <row r="176">
      <c r="A176" s="321"/>
      <c r="B176" s="321"/>
      <c r="C176" s="323"/>
      <c r="D176" s="284"/>
      <c r="E176" s="321"/>
      <c r="F176" s="324"/>
      <c r="G176" s="321"/>
      <c r="H176" s="321"/>
      <c r="I176" s="321"/>
      <c r="J176" s="321"/>
      <c r="K176" s="321"/>
      <c r="L176" s="321"/>
      <c r="M176" s="321"/>
    </row>
    <row r="177">
      <c r="A177" s="321"/>
      <c r="B177" s="321"/>
      <c r="C177" s="323"/>
      <c r="D177" s="284"/>
      <c r="E177" s="321"/>
      <c r="F177" s="324"/>
      <c r="G177" s="321"/>
      <c r="H177" s="321"/>
      <c r="I177" s="321"/>
      <c r="J177" s="321"/>
      <c r="K177" s="321"/>
      <c r="L177" s="321"/>
      <c r="M177" s="321"/>
    </row>
    <row r="178">
      <c r="A178" s="321"/>
      <c r="B178" s="321"/>
      <c r="C178" s="323"/>
      <c r="D178" s="284"/>
      <c r="E178" s="321"/>
      <c r="F178" s="324"/>
      <c r="G178" s="321"/>
      <c r="H178" s="321"/>
      <c r="I178" s="321"/>
      <c r="J178" s="321"/>
      <c r="K178" s="321"/>
      <c r="L178" s="321"/>
      <c r="M178" s="321"/>
    </row>
    <row r="179">
      <c r="A179" s="321"/>
      <c r="B179" s="321"/>
      <c r="C179" s="323"/>
      <c r="D179" s="284"/>
      <c r="E179" s="321"/>
      <c r="F179" s="324"/>
      <c r="G179" s="321"/>
      <c r="H179" s="321"/>
      <c r="I179" s="321"/>
      <c r="J179" s="321"/>
      <c r="K179" s="321"/>
      <c r="L179" s="321"/>
      <c r="M179" s="321"/>
    </row>
    <row r="180">
      <c r="A180" s="321"/>
      <c r="B180" s="321"/>
      <c r="C180" s="323"/>
      <c r="D180" s="284"/>
      <c r="E180" s="321"/>
      <c r="F180" s="324"/>
      <c r="G180" s="321"/>
      <c r="H180" s="321"/>
      <c r="I180" s="321"/>
      <c r="J180" s="321"/>
      <c r="K180" s="321"/>
      <c r="L180" s="321"/>
      <c r="M180" s="321"/>
    </row>
    <row r="181">
      <c r="A181" s="321"/>
      <c r="B181" s="321"/>
      <c r="C181" s="323"/>
      <c r="D181" s="284"/>
      <c r="E181" s="321"/>
      <c r="F181" s="324"/>
      <c r="G181" s="321"/>
      <c r="H181" s="321"/>
      <c r="I181" s="321"/>
      <c r="J181" s="321"/>
      <c r="K181" s="321"/>
      <c r="L181" s="321"/>
      <c r="M181" s="321"/>
    </row>
    <row r="182">
      <c r="A182" s="321"/>
      <c r="B182" s="321"/>
      <c r="C182" s="323"/>
      <c r="D182" s="284"/>
      <c r="E182" s="321"/>
      <c r="F182" s="324"/>
      <c r="G182" s="321"/>
      <c r="H182" s="321"/>
      <c r="I182" s="321"/>
      <c r="J182" s="321"/>
      <c r="K182" s="321"/>
      <c r="L182" s="321"/>
      <c r="M182" s="321"/>
    </row>
    <row r="183">
      <c r="A183" s="321"/>
      <c r="B183" s="321"/>
      <c r="C183" s="323"/>
      <c r="D183" s="284"/>
      <c r="E183" s="321"/>
      <c r="F183" s="324"/>
      <c r="G183" s="321"/>
      <c r="H183" s="321"/>
      <c r="I183" s="321"/>
      <c r="J183" s="321"/>
      <c r="K183" s="321"/>
      <c r="L183" s="321"/>
      <c r="M183" s="321"/>
    </row>
    <row r="184">
      <c r="A184" s="321"/>
      <c r="B184" s="321"/>
      <c r="C184" s="323"/>
      <c r="D184" s="284"/>
      <c r="E184" s="321"/>
      <c r="F184" s="324"/>
      <c r="G184" s="321"/>
      <c r="H184" s="321"/>
      <c r="I184" s="321"/>
      <c r="J184" s="321"/>
      <c r="K184" s="321"/>
      <c r="L184" s="321"/>
      <c r="M184" s="321"/>
    </row>
    <row r="185">
      <c r="A185" s="321"/>
      <c r="B185" s="321"/>
      <c r="C185" s="323"/>
      <c r="D185" s="284"/>
      <c r="E185" s="321"/>
      <c r="F185" s="324"/>
      <c r="G185" s="321"/>
      <c r="H185" s="321"/>
      <c r="I185" s="321"/>
      <c r="J185" s="321"/>
      <c r="K185" s="321"/>
      <c r="L185" s="321"/>
      <c r="M185" s="321"/>
    </row>
    <row r="186">
      <c r="A186" s="321"/>
      <c r="B186" s="321"/>
      <c r="C186" s="323"/>
      <c r="D186" s="284"/>
      <c r="E186" s="321"/>
      <c r="F186" s="324"/>
      <c r="G186" s="321"/>
      <c r="H186" s="321"/>
      <c r="I186" s="321"/>
      <c r="J186" s="321"/>
      <c r="K186" s="321"/>
      <c r="L186" s="321"/>
      <c r="M186" s="321"/>
    </row>
    <row r="187">
      <c r="A187" s="321"/>
      <c r="B187" s="321"/>
      <c r="C187" s="323"/>
      <c r="D187" s="284"/>
      <c r="E187" s="321"/>
      <c r="F187" s="324"/>
      <c r="G187" s="321"/>
      <c r="H187" s="321"/>
      <c r="I187" s="321"/>
      <c r="J187" s="321"/>
      <c r="K187" s="321"/>
      <c r="L187" s="321"/>
      <c r="M187" s="321"/>
    </row>
    <row r="188">
      <c r="A188" s="321"/>
      <c r="B188" s="321"/>
      <c r="C188" s="323"/>
      <c r="D188" s="284"/>
      <c r="E188" s="321"/>
      <c r="F188" s="324"/>
      <c r="G188" s="321"/>
      <c r="H188" s="321"/>
      <c r="I188" s="321"/>
      <c r="J188" s="321"/>
      <c r="K188" s="321"/>
      <c r="L188" s="321"/>
      <c r="M188" s="321"/>
    </row>
    <row r="189">
      <c r="A189" s="321"/>
      <c r="B189" s="321"/>
      <c r="C189" s="323"/>
      <c r="D189" s="284"/>
      <c r="E189" s="321"/>
      <c r="F189" s="324"/>
      <c r="G189" s="321"/>
      <c r="H189" s="321"/>
      <c r="I189" s="321"/>
      <c r="J189" s="321"/>
      <c r="K189" s="321"/>
      <c r="L189" s="321"/>
      <c r="M189" s="321"/>
    </row>
    <row r="190">
      <c r="A190" s="321"/>
      <c r="B190" s="321"/>
      <c r="C190" s="323"/>
      <c r="D190" s="284"/>
      <c r="E190" s="321"/>
      <c r="F190" s="324"/>
      <c r="G190" s="321"/>
      <c r="H190" s="321"/>
      <c r="I190" s="321"/>
      <c r="J190" s="321"/>
      <c r="K190" s="321"/>
      <c r="L190" s="321"/>
      <c r="M190" s="321"/>
    </row>
    <row r="191">
      <c r="A191" s="321"/>
      <c r="B191" s="321"/>
      <c r="C191" s="323"/>
      <c r="D191" s="284"/>
      <c r="E191" s="321"/>
      <c r="F191" s="324"/>
      <c r="G191" s="321"/>
      <c r="H191" s="321"/>
      <c r="I191" s="321"/>
      <c r="J191" s="321"/>
      <c r="K191" s="321"/>
      <c r="L191" s="321"/>
      <c r="M191" s="321"/>
    </row>
    <row r="192">
      <c r="A192" s="321"/>
      <c r="B192" s="321"/>
      <c r="C192" s="323"/>
      <c r="D192" s="284"/>
      <c r="E192" s="321"/>
      <c r="F192" s="324"/>
      <c r="G192" s="321"/>
      <c r="H192" s="321"/>
      <c r="I192" s="321"/>
      <c r="J192" s="321"/>
      <c r="K192" s="321"/>
      <c r="L192" s="321"/>
      <c r="M192" s="321"/>
    </row>
    <row r="193">
      <c r="A193" s="321"/>
      <c r="B193" s="321"/>
      <c r="C193" s="323"/>
      <c r="D193" s="284"/>
      <c r="E193" s="321"/>
      <c r="F193" s="324"/>
      <c r="G193" s="321"/>
      <c r="H193" s="321"/>
      <c r="I193" s="321"/>
      <c r="J193" s="321"/>
      <c r="K193" s="321"/>
      <c r="L193" s="321"/>
      <c r="M193" s="321"/>
    </row>
    <row r="194">
      <c r="A194" s="321"/>
      <c r="B194" s="321"/>
      <c r="C194" s="323"/>
      <c r="D194" s="284"/>
      <c r="E194" s="321"/>
      <c r="F194" s="324"/>
      <c r="G194" s="321"/>
      <c r="H194" s="321"/>
      <c r="I194" s="321"/>
      <c r="J194" s="321"/>
      <c r="K194" s="321"/>
      <c r="L194" s="321"/>
      <c r="M194" s="321"/>
    </row>
    <row r="195">
      <c r="A195" s="321"/>
      <c r="B195" s="321"/>
      <c r="C195" s="323"/>
      <c r="D195" s="284"/>
      <c r="E195" s="321"/>
      <c r="F195" s="324"/>
      <c r="G195" s="321"/>
      <c r="H195" s="321"/>
      <c r="I195" s="321"/>
      <c r="J195" s="321"/>
      <c r="K195" s="321"/>
      <c r="L195" s="321"/>
      <c r="M195" s="321"/>
    </row>
    <row r="196">
      <c r="A196" s="321"/>
      <c r="B196" s="321"/>
      <c r="C196" s="323"/>
      <c r="D196" s="284"/>
      <c r="E196" s="321"/>
      <c r="F196" s="324"/>
      <c r="G196" s="321"/>
      <c r="H196" s="321"/>
      <c r="I196" s="321"/>
      <c r="J196" s="321"/>
      <c r="K196" s="321"/>
      <c r="L196" s="321"/>
      <c r="M196" s="321"/>
    </row>
    <row r="197">
      <c r="A197" s="321"/>
      <c r="B197" s="321"/>
      <c r="C197" s="323"/>
      <c r="D197" s="284"/>
      <c r="E197" s="321"/>
      <c r="F197" s="324"/>
      <c r="G197" s="321"/>
      <c r="H197" s="321"/>
      <c r="I197" s="321"/>
      <c r="J197" s="321"/>
      <c r="K197" s="321"/>
      <c r="L197" s="321"/>
      <c r="M197" s="321"/>
    </row>
    <row r="198">
      <c r="A198" s="321"/>
      <c r="B198" s="321"/>
      <c r="C198" s="323"/>
      <c r="D198" s="284"/>
      <c r="E198" s="321"/>
      <c r="F198" s="324"/>
      <c r="G198" s="321"/>
      <c r="H198" s="321"/>
      <c r="I198" s="321"/>
      <c r="J198" s="321"/>
      <c r="K198" s="321"/>
      <c r="L198" s="321"/>
      <c r="M198" s="321"/>
    </row>
    <row r="199">
      <c r="A199" s="321"/>
      <c r="B199" s="321"/>
      <c r="C199" s="323"/>
      <c r="D199" s="284"/>
      <c r="E199" s="321"/>
      <c r="F199" s="324"/>
      <c r="G199" s="321"/>
      <c r="H199" s="321"/>
      <c r="I199" s="321"/>
      <c r="J199" s="321"/>
      <c r="K199" s="321"/>
      <c r="L199" s="321"/>
      <c r="M199" s="321"/>
    </row>
    <row r="200">
      <c r="A200" s="321"/>
      <c r="B200" s="321"/>
      <c r="C200" s="323"/>
      <c r="D200" s="284"/>
      <c r="E200" s="321"/>
      <c r="F200" s="324"/>
      <c r="G200" s="321"/>
      <c r="H200" s="321"/>
      <c r="I200" s="321"/>
      <c r="J200" s="321"/>
      <c r="K200" s="321"/>
      <c r="L200" s="321"/>
      <c r="M200" s="321"/>
    </row>
    <row r="201">
      <c r="A201" s="321"/>
      <c r="B201" s="321"/>
      <c r="C201" s="323"/>
      <c r="D201" s="284"/>
      <c r="E201" s="321"/>
      <c r="F201" s="324"/>
      <c r="G201" s="321"/>
      <c r="H201" s="321"/>
      <c r="I201" s="321"/>
      <c r="J201" s="321"/>
      <c r="K201" s="321"/>
      <c r="L201" s="321"/>
      <c r="M201" s="321"/>
    </row>
    <row r="202">
      <c r="A202" s="321"/>
      <c r="B202" s="321"/>
      <c r="C202" s="323"/>
      <c r="D202" s="284"/>
      <c r="E202" s="321"/>
      <c r="F202" s="324"/>
      <c r="G202" s="321"/>
      <c r="H202" s="321"/>
      <c r="I202" s="321"/>
      <c r="J202" s="321"/>
      <c r="K202" s="321"/>
      <c r="L202" s="321"/>
      <c r="M202" s="321"/>
    </row>
    <row r="203">
      <c r="A203" s="321"/>
      <c r="B203" s="321"/>
      <c r="C203" s="323"/>
      <c r="D203" s="284"/>
      <c r="E203" s="321"/>
      <c r="F203" s="324"/>
      <c r="G203" s="321"/>
      <c r="H203" s="321"/>
      <c r="I203" s="321"/>
      <c r="J203" s="321"/>
      <c r="K203" s="321"/>
      <c r="L203" s="321"/>
      <c r="M203" s="321"/>
    </row>
    <row r="204">
      <c r="A204" s="321"/>
      <c r="B204" s="321"/>
      <c r="C204" s="323"/>
      <c r="D204" s="284"/>
      <c r="E204" s="321"/>
      <c r="F204" s="324"/>
      <c r="G204" s="321"/>
      <c r="H204" s="321"/>
      <c r="I204" s="321"/>
      <c r="J204" s="321"/>
      <c r="K204" s="321"/>
      <c r="L204" s="321"/>
      <c r="M204" s="321"/>
    </row>
    <row r="205">
      <c r="A205" s="321"/>
      <c r="B205" s="321"/>
      <c r="C205" s="323"/>
      <c r="D205" s="284"/>
      <c r="E205" s="321"/>
      <c r="F205" s="324"/>
      <c r="G205" s="321"/>
      <c r="H205" s="321"/>
      <c r="I205" s="321"/>
      <c r="J205" s="321"/>
      <c r="K205" s="321"/>
      <c r="L205" s="321"/>
      <c r="M205" s="321"/>
    </row>
    <row r="206">
      <c r="A206" s="321"/>
      <c r="B206" s="321"/>
      <c r="C206" s="323"/>
      <c r="D206" s="284"/>
      <c r="E206" s="321"/>
      <c r="F206" s="324"/>
      <c r="G206" s="321"/>
      <c r="H206" s="321"/>
      <c r="I206" s="321"/>
      <c r="J206" s="321"/>
      <c r="K206" s="321"/>
      <c r="L206" s="321"/>
      <c r="M206" s="321"/>
    </row>
    <row r="207">
      <c r="A207" s="321"/>
      <c r="B207" s="321"/>
      <c r="C207" s="323"/>
      <c r="D207" s="284"/>
      <c r="E207" s="321"/>
      <c r="F207" s="324"/>
      <c r="G207" s="321"/>
      <c r="H207" s="321"/>
      <c r="I207" s="321"/>
      <c r="J207" s="321"/>
      <c r="K207" s="321"/>
      <c r="L207" s="321"/>
      <c r="M207" s="321"/>
    </row>
    <row r="208">
      <c r="A208" s="321"/>
      <c r="B208" s="321"/>
      <c r="C208" s="323"/>
      <c r="D208" s="284"/>
      <c r="E208" s="321"/>
      <c r="F208" s="324"/>
      <c r="G208" s="321"/>
      <c r="H208" s="321"/>
      <c r="I208" s="321"/>
      <c r="J208" s="321"/>
      <c r="K208" s="321"/>
      <c r="L208" s="321"/>
      <c r="M208" s="321"/>
    </row>
    <row r="209">
      <c r="A209" s="321"/>
      <c r="B209" s="321"/>
      <c r="C209" s="323"/>
      <c r="D209" s="284"/>
      <c r="E209" s="321"/>
      <c r="F209" s="324"/>
      <c r="G209" s="321"/>
      <c r="H209" s="321"/>
      <c r="I209" s="321"/>
      <c r="J209" s="321"/>
      <c r="K209" s="321"/>
      <c r="L209" s="321"/>
      <c r="M209" s="321"/>
    </row>
    <row r="210">
      <c r="A210" s="321"/>
      <c r="B210" s="321"/>
      <c r="C210" s="323"/>
      <c r="D210" s="284"/>
      <c r="E210" s="321"/>
      <c r="F210" s="324"/>
      <c r="G210" s="321"/>
      <c r="H210" s="321"/>
      <c r="I210" s="321"/>
      <c r="J210" s="321"/>
      <c r="K210" s="321"/>
      <c r="L210" s="321"/>
      <c r="M210" s="321"/>
    </row>
    <row r="211">
      <c r="A211" s="321"/>
      <c r="B211" s="321"/>
      <c r="C211" s="323"/>
      <c r="D211" s="284"/>
      <c r="E211" s="321"/>
      <c r="F211" s="324"/>
      <c r="G211" s="321"/>
      <c r="H211" s="321"/>
      <c r="I211" s="321"/>
      <c r="J211" s="321"/>
      <c r="K211" s="321"/>
      <c r="L211" s="321"/>
      <c r="M211" s="321"/>
    </row>
    <row r="212">
      <c r="A212" s="321"/>
      <c r="B212" s="321"/>
      <c r="C212" s="323"/>
      <c r="D212" s="284"/>
      <c r="E212" s="321"/>
      <c r="F212" s="324"/>
      <c r="G212" s="321"/>
      <c r="H212" s="321"/>
      <c r="I212" s="321"/>
      <c r="J212" s="321"/>
      <c r="K212" s="321"/>
      <c r="L212" s="321"/>
      <c r="M212" s="321"/>
    </row>
    <row r="213">
      <c r="A213" s="321"/>
      <c r="B213" s="321"/>
      <c r="C213" s="323"/>
      <c r="D213" s="284"/>
      <c r="E213" s="321"/>
      <c r="F213" s="324"/>
      <c r="G213" s="321"/>
      <c r="H213" s="321"/>
      <c r="I213" s="321"/>
      <c r="J213" s="321"/>
      <c r="K213" s="321"/>
      <c r="L213" s="321"/>
      <c r="M213" s="321"/>
    </row>
    <row r="214">
      <c r="A214" s="321"/>
      <c r="B214" s="321"/>
      <c r="C214" s="323"/>
      <c r="D214" s="284"/>
      <c r="E214" s="321"/>
      <c r="F214" s="324"/>
      <c r="G214" s="321"/>
      <c r="H214" s="321"/>
      <c r="I214" s="321"/>
      <c r="J214" s="321"/>
      <c r="K214" s="321"/>
      <c r="L214" s="321"/>
      <c r="M214" s="321"/>
    </row>
    <row r="215">
      <c r="A215" s="321"/>
      <c r="B215" s="321"/>
      <c r="C215" s="323"/>
      <c r="D215" s="284"/>
      <c r="E215" s="321"/>
      <c r="F215" s="324"/>
      <c r="G215" s="321"/>
      <c r="H215" s="321"/>
      <c r="I215" s="321"/>
      <c r="J215" s="321"/>
      <c r="K215" s="321"/>
      <c r="L215" s="321"/>
      <c r="M215" s="321"/>
    </row>
    <row r="216">
      <c r="A216" s="321"/>
      <c r="B216" s="321"/>
      <c r="C216" s="323"/>
      <c r="D216" s="284"/>
      <c r="E216" s="321"/>
      <c r="F216" s="324"/>
      <c r="G216" s="321"/>
      <c r="H216" s="321"/>
      <c r="I216" s="321"/>
      <c r="J216" s="321"/>
      <c r="K216" s="321"/>
      <c r="L216" s="321"/>
      <c r="M216" s="321"/>
    </row>
    <row r="217">
      <c r="A217" s="321"/>
      <c r="B217" s="321"/>
      <c r="C217" s="323"/>
      <c r="D217" s="284"/>
      <c r="E217" s="321"/>
      <c r="F217" s="324"/>
      <c r="G217" s="321"/>
      <c r="H217" s="321"/>
      <c r="I217" s="321"/>
      <c r="J217" s="321"/>
      <c r="K217" s="321"/>
      <c r="L217" s="321"/>
      <c r="M217" s="321"/>
    </row>
    <row r="218">
      <c r="A218" s="321"/>
      <c r="B218" s="321"/>
      <c r="C218" s="323"/>
      <c r="D218" s="284"/>
      <c r="E218" s="321"/>
      <c r="F218" s="324"/>
      <c r="G218" s="321"/>
      <c r="H218" s="321"/>
      <c r="I218" s="321"/>
      <c r="J218" s="321"/>
      <c r="K218" s="321"/>
      <c r="L218" s="321"/>
      <c r="M218" s="321"/>
    </row>
    <row r="219">
      <c r="A219" s="321"/>
      <c r="B219" s="321"/>
      <c r="C219" s="323"/>
      <c r="D219" s="284"/>
      <c r="E219" s="321"/>
      <c r="F219" s="324"/>
      <c r="G219" s="321"/>
      <c r="H219" s="321"/>
      <c r="I219" s="321"/>
      <c r="J219" s="321"/>
      <c r="K219" s="321"/>
      <c r="L219" s="321"/>
      <c r="M219" s="321"/>
    </row>
    <row r="220">
      <c r="A220" s="321"/>
      <c r="B220" s="321"/>
      <c r="C220" s="323"/>
      <c r="D220" s="284"/>
      <c r="E220" s="321"/>
      <c r="F220" s="324"/>
      <c r="G220" s="321"/>
      <c r="H220" s="321"/>
      <c r="I220" s="321"/>
      <c r="J220" s="321"/>
      <c r="K220" s="321"/>
      <c r="L220" s="321"/>
      <c r="M220" s="321"/>
    </row>
    <row r="221">
      <c r="A221" s="321"/>
      <c r="B221" s="321"/>
      <c r="C221" s="323"/>
      <c r="D221" s="284"/>
      <c r="E221" s="321"/>
      <c r="F221" s="324"/>
      <c r="G221" s="321"/>
      <c r="H221" s="321"/>
      <c r="I221" s="321"/>
      <c r="J221" s="321"/>
      <c r="K221" s="321"/>
      <c r="L221" s="321"/>
      <c r="M221" s="321"/>
    </row>
    <row r="222">
      <c r="A222" s="321"/>
      <c r="B222" s="321"/>
      <c r="C222" s="323"/>
      <c r="D222" s="284"/>
      <c r="E222" s="321"/>
      <c r="F222" s="324"/>
      <c r="G222" s="321"/>
      <c r="H222" s="321"/>
      <c r="I222" s="321"/>
      <c r="J222" s="321"/>
      <c r="K222" s="321"/>
      <c r="L222" s="321"/>
      <c r="M222" s="321"/>
    </row>
    <row r="223">
      <c r="A223" s="321"/>
      <c r="B223" s="321"/>
      <c r="C223" s="323"/>
      <c r="D223" s="284"/>
      <c r="E223" s="321"/>
      <c r="F223" s="324"/>
      <c r="G223" s="321"/>
      <c r="H223" s="321"/>
      <c r="I223" s="321"/>
      <c r="J223" s="321"/>
      <c r="K223" s="321"/>
      <c r="L223" s="321"/>
      <c r="M223" s="321"/>
    </row>
    <row r="224">
      <c r="A224" s="321"/>
      <c r="B224" s="321"/>
      <c r="C224" s="323"/>
      <c r="D224" s="284"/>
      <c r="E224" s="321"/>
      <c r="F224" s="324"/>
      <c r="G224" s="321"/>
      <c r="H224" s="321"/>
      <c r="I224" s="321"/>
      <c r="J224" s="321"/>
      <c r="K224" s="321"/>
      <c r="L224" s="321"/>
      <c r="M224" s="321"/>
    </row>
    <row r="225">
      <c r="A225" s="321"/>
      <c r="B225" s="321"/>
      <c r="C225" s="323"/>
      <c r="D225" s="284"/>
      <c r="E225" s="321"/>
      <c r="F225" s="324"/>
      <c r="G225" s="321"/>
      <c r="H225" s="321"/>
      <c r="I225" s="321"/>
      <c r="J225" s="321"/>
      <c r="K225" s="321"/>
      <c r="L225" s="321"/>
      <c r="M225" s="321"/>
    </row>
    <row r="226">
      <c r="A226" s="321"/>
      <c r="B226" s="321"/>
      <c r="C226" s="323"/>
      <c r="D226" s="284"/>
      <c r="E226" s="321"/>
      <c r="F226" s="324"/>
      <c r="G226" s="321"/>
      <c r="H226" s="321"/>
      <c r="I226" s="321"/>
      <c r="J226" s="321"/>
      <c r="K226" s="321"/>
      <c r="L226" s="321"/>
      <c r="M226" s="321"/>
    </row>
    <row r="227">
      <c r="A227" s="321"/>
      <c r="B227" s="321"/>
      <c r="C227" s="323"/>
      <c r="D227" s="284"/>
      <c r="E227" s="321"/>
      <c r="F227" s="324"/>
      <c r="G227" s="321"/>
      <c r="H227" s="321"/>
      <c r="I227" s="321"/>
      <c r="J227" s="321"/>
      <c r="K227" s="321"/>
      <c r="L227" s="321"/>
      <c r="M227" s="321"/>
    </row>
    <row r="228">
      <c r="A228" s="321"/>
      <c r="B228" s="321"/>
      <c r="C228" s="323"/>
      <c r="D228" s="284"/>
      <c r="E228" s="321"/>
      <c r="F228" s="324"/>
      <c r="G228" s="321"/>
      <c r="H228" s="321"/>
      <c r="I228" s="321"/>
      <c r="J228" s="321"/>
      <c r="K228" s="321"/>
      <c r="L228" s="321"/>
      <c r="M228" s="321"/>
    </row>
    <row r="229">
      <c r="A229" s="321"/>
      <c r="B229" s="321"/>
      <c r="C229" s="323"/>
      <c r="D229" s="284"/>
      <c r="E229" s="321"/>
      <c r="F229" s="324"/>
      <c r="G229" s="321"/>
      <c r="H229" s="321"/>
      <c r="I229" s="321"/>
      <c r="J229" s="321"/>
      <c r="K229" s="321"/>
      <c r="L229" s="321"/>
      <c r="M229" s="321"/>
    </row>
    <row r="230">
      <c r="A230" s="321"/>
      <c r="B230" s="321"/>
      <c r="C230" s="323"/>
      <c r="D230" s="284"/>
      <c r="E230" s="321"/>
      <c r="F230" s="324"/>
      <c r="G230" s="321"/>
      <c r="H230" s="321"/>
      <c r="I230" s="321"/>
      <c r="J230" s="321"/>
      <c r="K230" s="321"/>
      <c r="L230" s="321"/>
      <c r="M230" s="321"/>
    </row>
    <row r="231">
      <c r="A231" s="321"/>
      <c r="B231" s="321"/>
      <c r="C231" s="323"/>
      <c r="D231" s="284"/>
      <c r="E231" s="321"/>
      <c r="F231" s="324"/>
      <c r="G231" s="321"/>
      <c r="H231" s="321"/>
      <c r="I231" s="321"/>
      <c r="J231" s="321"/>
      <c r="K231" s="321"/>
      <c r="L231" s="321"/>
      <c r="M231" s="321"/>
    </row>
    <row r="232">
      <c r="A232" s="321"/>
      <c r="B232" s="321"/>
      <c r="C232" s="323"/>
      <c r="D232" s="284"/>
      <c r="E232" s="321"/>
      <c r="F232" s="324"/>
      <c r="G232" s="321"/>
      <c r="H232" s="321"/>
      <c r="I232" s="321"/>
      <c r="J232" s="321"/>
      <c r="K232" s="321"/>
      <c r="L232" s="321"/>
      <c r="M232" s="321"/>
    </row>
    <row r="233">
      <c r="A233" s="321"/>
      <c r="B233" s="321"/>
      <c r="C233" s="323"/>
      <c r="D233" s="284"/>
      <c r="E233" s="321"/>
      <c r="F233" s="324"/>
      <c r="G233" s="321"/>
      <c r="H233" s="321"/>
      <c r="I233" s="321"/>
      <c r="J233" s="321"/>
      <c r="K233" s="321"/>
      <c r="L233" s="321"/>
      <c r="M233" s="321"/>
    </row>
    <row r="234">
      <c r="A234" s="321"/>
      <c r="B234" s="321"/>
      <c r="C234" s="323"/>
      <c r="D234" s="284"/>
      <c r="E234" s="321"/>
      <c r="F234" s="324"/>
      <c r="G234" s="321"/>
      <c r="H234" s="321"/>
      <c r="I234" s="321"/>
      <c r="J234" s="321"/>
      <c r="K234" s="321"/>
      <c r="L234" s="321"/>
      <c r="M234" s="321"/>
    </row>
    <row r="235">
      <c r="A235" s="321"/>
      <c r="B235" s="321"/>
      <c r="C235" s="323"/>
      <c r="D235" s="284"/>
      <c r="E235" s="321"/>
      <c r="F235" s="324"/>
      <c r="G235" s="321"/>
      <c r="H235" s="321"/>
      <c r="I235" s="321"/>
      <c r="J235" s="321"/>
      <c r="K235" s="321"/>
      <c r="L235" s="321"/>
      <c r="M235" s="321"/>
    </row>
    <row r="236">
      <c r="A236" s="321"/>
      <c r="B236" s="321"/>
      <c r="C236" s="323"/>
      <c r="D236" s="284"/>
      <c r="E236" s="321"/>
      <c r="F236" s="324"/>
      <c r="G236" s="321"/>
      <c r="H236" s="321"/>
      <c r="I236" s="321"/>
      <c r="J236" s="321"/>
      <c r="K236" s="321"/>
      <c r="L236" s="321"/>
      <c r="M236" s="321"/>
    </row>
    <row r="237">
      <c r="A237" s="321"/>
      <c r="B237" s="321"/>
      <c r="C237" s="323"/>
      <c r="D237" s="284"/>
      <c r="E237" s="321"/>
      <c r="F237" s="324"/>
      <c r="G237" s="321"/>
      <c r="H237" s="321"/>
      <c r="I237" s="321"/>
      <c r="J237" s="321"/>
      <c r="K237" s="321"/>
      <c r="L237" s="321"/>
      <c r="M237" s="321"/>
    </row>
    <row r="238">
      <c r="A238" s="321"/>
      <c r="B238" s="321"/>
      <c r="C238" s="323"/>
      <c r="D238" s="284"/>
      <c r="E238" s="321"/>
      <c r="F238" s="324"/>
      <c r="G238" s="321"/>
      <c r="H238" s="321"/>
      <c r="I238" s="321"/>
      <c r="J238" s="321"/>
      <c r="K238" s="321"/>
      <c r="L238" s="321"/>
      <c r="M238" s="321"/>
    </row>
    <row r="239">
      <c r="A239" s="321"/>
      <c r="B239" s="321"/>
      <c r="C239" s="323"/>
      <c r="D239" s="284"/>
      <c r="E239" s="321"/>
      <c r="F239" s="324"/>
      <c r="G239" s="321"/>
      <c r="H239" s="321"/>
      <c r="I239" s="321"/>
      <c r="J239" s="321"/>
      <c r="K239" s="321"/>
      <c r="L239" s="321"/>
      <c r="M239" s="321"/>
    </row>
    <row r="240">
      <c r="A240" s="321"/>
      <c r="B240" s="321"/>
      <c r="C240" s="323"/>
      <c r="D240" s="284"/>
      <c r="E240" s="321"/>
      <c r="F240" s="324"/>
      <c r="G240" s="321"/>
      <c r="H240" s="321"/>
      <c r="I240" s="321"/>
      <c r="J240" s="321"/>
      <c r="K240" s="321"/>
      <c r="L240" s="321"/>
      <c r="M240" s="321"/>
    </row>
    <row r="241">
      <c r="A241" s="321"/>
      <c r="B241" s="321"/>
      <c r="C241" s="323"/>
      <c r="D241" s="284"/>
      <c r="E241" s="321"/>
      <c r="F241" s="324"/>
      <c r="G241" s="321"/>
      <c r="H241" s="321"/>
      <c r="I241" s="321"/>
      <c r="J241" s="321"/>
      <c r="K241" s="321"/>
      <c r="L241" s="321"/>
      <c r="M241" s="321"/>
    </row>
    <row r="242">
      <c r="A242" s="321"/>
      <c r="B242" s="321"/>
      <c r="C242" s="323"/>
      <c r="D242" s="284"/>
      <c r="E242" s="321"/>
      <c r="F242" s="324"/>
      <c r="G242" s="321"/>
      <c r="H242" s="321"/>
      <c r="I242" s="321"/>
      <c r="J242" s="321"/>
      <c r="K242" s="321"/>
      <c r="L242" s="321"/>
      <c r="M242" s="321"/>
    </row>
    <row r="243">
      <c r="A243" s="321"/>
      <c r="B243" s="321"/>
      <c r="C243" s="323"/>
      <c r="D243" s="284"/>
      <c r="E243" s="321"/>
      <c r="F243" s="324"/>
      <c r="G243" s="321"/>
      <c r="H243" s="321"/>
      <c r="I243" s="321"/>
      <c r="J243" s="321"/>
      <c r="K243" s="321"/>
      <c r="L243" s="321"/>
      <c r="M243" s="321"/>
    </row>
    <row r="244">
      <c r="A244" s="321"/>
      <c r="B244" s="321"/>
      <c r="C244" s="323"/>
      <c r="D244" s="284"/>
      <c r="E244" s="321"/>
      <c r="F244" s="324"/>
      <c r="G244" s="321"/>
      <c r="H244" s="321"/>
      <c r="I244" s="321"/>
      <c r="J244" s="321"/>
      <c r="K244" s="321"/>
      <c r="L244" s="321"/>
      <c r="M244" s="321"/>
    </row>
    <row r="245">
      <c r="A245" s="321"/>
      <c r="B245" s="321"/>
      <c r="C245" s="323"/>
      <c r="D245" s="284"/>
      <c r="E245" s="321"/>
      <c r="F245" s="324"/>
      <c r="G245" s="321"/>
      <c r="H245" s="321"/>
      <c r="I245" s="321"/>
      <c r="J245" s="321"/>
      <c r="K245" s="321"/>
      <c r="L245" s="321"/>
      <c r="M245" s="321"/>
    </row>
    <row r="246">
      <c r="A246" s="321"/>
      <c r="B246" s="321"/>
      <c r="C246" s="323"/>
      <c r="D246" s="284"/>
      <c r="E246" s="321"/>
      <c r="F246" s="324"/>
      <c r="G246" s="321"/>
      <c r="H246" s="321"/>
      <c r="I246" s="321"/>
      <c r="J246" s="321"/>
      <c r="K246" s="321"/>
      <c r="L246" s="321"/>
      <c r="M246" s="321"/>
    </row>
    <row r="247">
      <c r="A247" s="321"/>
      <c r="B247" s="321"/>
      <c r="C247" s="323"/>
      <c r="D247" s="284"/>
      <c r="E247" s="321"/>
      <c r="F247" s="324"/>
      <c r="G247" s="321"/>
      <c r="H247" s="321"/>
      <c r="I247" s="321"/>
      <c r="J247" s="321"/>
      <c r="K247" s="321"/>
      <c r="L247" s="321"/>
      <c r="M247" s="321"/>
    </row>
    <row r="248">
      <c r="A248" s="321"/>
      <c r="B248" s="321"/>
      <c r="C248" s="323"/>
      <c r="D248" s="284"/>
      <c r="E248" s="321"/>
      <c r="F248" s="324"/>
      <c r="G248" s="321"/>
      <c r="H248" s="321"/>
      <c r="I248" s="321"/>
      <c r="J248" s="321"/>
      <c r="K248" s="321"/>
      <c r="L248" s="321"/>
      <c r="M248" s="321"/>
    </row>
    <row r="249">
      <c r="A249" s="321"/>
      <c r="B249" s="321"/>
      <c r="C249" s="323"/>
      <c r="D249" s="284"/>
      <c r="E249" s="321"/>
      <c r="F249" s="324"/>
      <c r="G249" s="321"/>
      <c r="H249" s="321"/>
      <c r="I249" s="321"/>
      <c r="J249" s="321"/>
      <c r="K249" s="321"/>
      <c r="L249" s="321"/>
      <c r="M249" s="321"/>
    </row>
    <row r="250">
      <c r="A250" s="321"/>
      <c r="B250" s="321"/>
      <c r="C250" s="323"/>
      <c r="D250" s="284"/>
      <c r="E250" s="321"/>
      <c r="F250" s="324"/>
      <c r="G250" s="321"/>
      <c r="H250" s="321"/>
      <c r="I250" s="321"/>
      <c r="J250" s="321"/>
      <c r="K250" s="321"/>
      <c r="L250" s="321"/>
      <c r="M250" s="321"/>
    </row>
    <row r="251">
      <c r="A251" s="321"/>
      <c r="B251" s="321"/>
      <c r="C251" s="323"/>
      <c r="D251" s="284"/>
      <c r="E251" s="321"/>
      <c r="F251" s="324"/>
      <c r="G251" s="321"/>
      <c r="H251" s="321"/>
      <c r="I251" s="321"/>
      <c r="J251" s="321"/>
      <c r="K251" s="321"/>
      <c r="L251" s="321"/>
      <c r="M251" s="321"/>
    </row>
    <row r="252">
      <c r="A252" s="321"/>
      <c r="B252" s="321"/>
      <c r="C252" s="323"/>
      <c r="D252" s="284"/>
      <c r="E252" s="321"/>
      <c r="F252" s="324"/>
      <c r="G252" s="321"/>
      <c r="H252" s="321"/>
      <c r="I252" s="321"/>
      <c r="J252" s="321"/>
      <c r="K252" s="321"/>
      <c r="L252" s="321"/>
      <c r="M252" s="321"/>
    </row>
    <row r="253">
      <c r="A253" s="321"/>
      <c r="B253" s="321"/>
      <c r="C253" s="323"/>
      <c r="D253" s="284"/>
      <c r="E253" s="321"/>
      <c r="F253" s="324"/>
      <c r="G253" s="321"/>
      <c r="H253" s="321"/>
      <c r="I253" s="321"/>
      <c r="J253" s="321"/>
      <c r="K253" s="321"/>
      <c r="L253" s="321"/>
      <c r="M253" s="321"/>
    </row>
    <row r="254">
      <c r="A254" s="321"/>
      <c r="B254" s="321"/>
      <c r="C254" s="323"/>
      <c r="D254" s="284"/>
      <c r="E254" s="321"/>
      <c r="F254" s="324"/>
      <c r="G254" s="321"/>
      <c r="H254" s="321"/>
      <c r="I254" s="321"/>
      <c r="J254" s="321"/>
      <c r="K254" s="321"/>
      <c r="L254" s="321"/>
      <c r="M254" s="321"/>
    </row>
    <row r="255">
      <c r="A255" s="321"/>
      <c r="B255" s="321"/>
      <c r="C255" s="323"/>
      <c r="D255" s="284"/>
      <c r="E255" s="321"/>
      <c r="F255" s="324"/>
      <c r="G255" s="321"/>
      <c r="H255" s="321"/>
      <c r="I255" s="321"/>
      <c r="J255" s="321"/>
      <c r="K255" s="321"/>
      <c r="L255" s="321"/>
      <c r="M255" s="321"/>
    </row>
    <row r="256">
      <c r="A256" s="321"/>
      <c r="B256" s="321"/>
      <c r="C256" s="323"/>
      <c r="D256" s="284"/>
      <c r="E256" s="321"/>
      <c r="F256" s="324"/>
      <c r="G256" s="321"/>
      <c r="H256" s="321"/>
      <c r="I256" s="321"/>
      <c r="J256" s="321"/>
      <c r="K256" s="321"/>
      <c r="L256" s="321"/>
      <c r="M256" s="321"/>
    </row>
    <row r="257">
      <c r="A257" s="321"/>
      <c r="B257" s="321"/>
      <c r="C257" s="323"/>
      <c r="D257" s="284"/>
      <c r="E257" s="321"/>
      <c r="F257" s="324"/>
      <c r="G257" s="321"/>
      <c r="H257" s="321"/>
      <c r="I257" s="321"/>
      <c r="J257" s="321"/>
      <c r="K257" s="321"/>
      <c r="L257" s="321"/>
      <c r="M257" s="321"/>
    </row>
    <row r="258">
      <c r="A258" s="321"/>
      <c r="B258" s="321"/>
      <c r="C258" s="323"/>
      <c r="D258" s="284"/>
      <c r="E258" s="321"/>
      <c r="F258" s="324"/>
      <c r="G258" s="321"/>
      <c r="H258" s="321"/>
      <c r="I258" s="321"/>
      <c r="J258" s="321"/>
      <c r="K258" s="321"/>
      <c r="L258" s="321"/>
      <c r="M258" s="321"/>
    </row>
    <row r="259">
      <c r="A259" s="321"/>
      <c r="B259" s="321"/>
      <c r="C259" s="323"/>
      <c r="D259" s="284"/>
      <c r="E259" s="321"/>
      <c r="F259" s="324"/>
      <c r="G259" s="321"/>
      <c r="H259" s="321"/>
      <c r="I259" s="321"/>
      <c r="J259" s="321"/>
      <c r="K259" s="321"/>
      <c r="L259" s="321"/>
      <c r="M259" s="321"/>
    </row>
    <row r="260">
      <c r="A260" s="321"/>
      <c r="B260" s="321"/>
      <c r="C260" s="323"/>
      <c r="D260" s="284"/>
      <c r="E260" s="321"/>
      <c r="F260" s="324"/>
      <c r="G260" s="321"/>
      <c r="H260" s="321"/>
      <c r="I260" s="321"/>
      <c r="J260" s="321"/>
      <c r="K260" s="321"/>
      <c r="L260" s="321"/>
      <c r="M260" s="321"/>
    </row>
    <row r="261">
      <c r="A261" s="321"/>
      <c r="B261" s="321"/>
      <c r="C261" s="323"/>
      <c r="D261" s="284"/>
      <c r="E261" s="321"/>
      <c r="F261" s="324"/>
      <c r="G261" s="321"/>
      <c r="H261" s="321"/>
      <c r="I261" s="321"/>
      <c r="J261" s="321"/>
      <c r="K261" s="321"/>
      <c r="L261" s="321"/>
      <c r="M261" s="321"/>
    </row>
    <row r="262">
      <c r="A262" s="321"/>
      <c r="B262" s="321"/>
      <c r="C262" s="323"/>
      <c r="D262" s="284"/>
      <c r="E262" s="321"/>
      <c r="F262" s="324"/>
      <c r="G262" s="321"/>
      <c r="H262" s="321"/>
      <c r="I262" s="321"/>
      <c r="J262" s="321"/>
      <c r="K262" s="321"/>
      <c r="L262" s="321"/>
      <c r="M262" s="321"/>
    </row>
    <row r="263">
      <c r="A263" s="321"/>
      <c r="B263" s="321"/>
      <c r="C263" s="323"/>
      <c r="D263" s="284"/>
      <c r="E263" s="321"/>
      <c r="F263" s="324"/>
      <c r="G263" s="321"/>
      <c r="H263" s="321"/>
      <c r="I263" s="321"/>
      <c r="J263" s="321"/>
      <c r="K263" s="321"/>
      <c r="L263" s="321"/>
      <c r="M263" s="321"/>
    </row>
    <row r="264">
      <c r="A264" s="321"/>
      <c r="B264" s="321"/>
      <c r="C264" s="323"/>
      <c r="D264" s="284"/>
      <c r="E264" s="321"/>
      <c r="F264" s="324"/>
      <c r="G264" s="321"/>
      <c r="H264" s="321"/>
      <c r="I264" s="321"/>
      <c r="J264" s="321"/>
      <c r="K264" s="321"/>
      <c r="L264" s="321"/>
      <c r="M264" s="321"/>
    </row>
    <row r="265">
      <c r="A265" s="321"/>
      <c r="B265" s="321"/>
      <c r="C265" s="323"/>
      <c r="D265" s="284"/>
      <c r="E265" s="321"/>
      <c r="F265" s="324"/>
      <c r="G265" s="321"/>
      <c r="H265" s="321"/>
      <c r="I265" s="321"/>
      <c r="J265" s="321"/>
      <c r="K265" s="321"/>
      <c r="L265" s="321"/>
      <c r="M265" s="321"/>
    </row>
    <row r="266">
      <c r="A266" s="321"/>
      <c r="B266" s="321"/>
      <c r="C266" s="323"/>
      <c r="D266" s="284"/>
      <c r="E266" s="321"/>
      <c r="F266" s="324"/>
      <c r="G266" s="321"/>
      <c r="H266" s="321"/>
      <c r="I266" s="321"/>
      <c r="J266" s="321"/>
      <c r="K266" s="321"/>
      <c r="L266" s="321"/>
      <c r="M266" s="321"/>
    </row>
    <row r="267">
      <c r="A267" s="321"/>
      <c r="B267" s="321"/>
      <c r="C267" s="323"/>
      <c r="D267" s="284"/>
      <c r="E267" s="321"/>
      <c r="F267" s="324"/>
      <c r="G267" s="321"/>
      <c r="H267" s="321"/>
      <c r="I267" s="321"/>
      <c r="J267" s="321"/>
      <c r="K267" s="321"/>
      <c r="L267" s="321"/>
      <c r="M267" s="321"/>
    </row>
    <row r="268">
      <c r="A268" s="321"/>
      <c r="B268" s="321"/>
      <c r="C268" s="323"/>
      <c r="D268" s="284"/>
      <c r="E268" s="321"/>
      <c r="F268" s="324"/>
      <c r="G268" s="321"/>
      <c r="H268" s="321"/>
      <c r="I268" s="321"/>
      <c r="J268" s="321"/>
      <c r="K268" s="321"/>
      <c r="L268" s="321"/>
      <c r="M268" s="321"/>
    </row>
    <row r="269">
      <c r="A269" s="321"/>
      <c r="B269" s="321"/>
      <c r="C269" s="323"/>
      <c r="D269" s="284"/>
      <c r="E269" s="321"/>
      <c r="F269" s="324"/>
      <c r="G269" s="321"/>
      <c r="H269" s="321"/>
      <c r="I269" s="321"/>
      <c r="J269" s="321"/>
      <c r="K269" s="321"/>
      <c r="L269" s="321"/>
      <c r="M269" s="321"/>
    </row>
    <row r="270">
      <c r="A270" s="321"/>
      <c r="B270" s="321"/>
      <c r="C270" s="323"/>
      <c r="D270" s="284"/>
      <c r="E270" s="321"/>
      <c r="F270" s="324"/>
      <c r="G270" s="321"/>
      <c r="H270" s="321"/>
      <c r="I270" s="321"/>
      <c r="J270" s="321"/>
      <c r="K270" s="321"/>
      <c r="L270" s="321"/>
      <c r="M270" s="321"/>
    </row>
    <row r="271">
      <c r="A271" s="321"/>
      <c r="B271" s="321"/>
      <c r="C271" s="323"/>
      <c r="D271" s="284"/>
      <c r="E271" s="321"/>
      <c r="F271" s="324"/>
      <c r="G271" s="321"/>
      <c r="H271" s="321"/>
      <c r="I271" s="321"/>
      <c r="J271" s="321"/>
      <c r="K271" s="321"/>
      <c r="L271" s="321"/>
      <c r="M271" s="321"/>
    </row>
    <row r="272">
      <c r="A272" s="321"/>
      <c r="B272" s="321"/>
      <c r="C272" s="323"/>
      <c r="D272" s="284"/>
      <c r="E272" s="321"/>
      <c r="F272" s="324"/>
      <c r="G272" s="321"/>
      <c r="H272" s="321"/>
      <c r="I272" s="321"/>
      <c r="J272" s="321"/>
      <c r="K272" s="321"/>
      <c r="L272" s="321"/>
      <c r="M272" s="321"/>
    </row>
    <row r="273">
      <c r="A273" s="321"/>
      <c r="B273" s="321"/>
      <c r="C273" s="323"/>
      <c r="D273" s="284"/>
      <c r="E273" s="321"/>
      <c r="F273" s="324"/>
      <c r="G273" s="321"/>
      <c r="H273" s="321"/>
      <c r="I273" s="321"/>
      <c r="J273" s="321"/>
      <c r="K273" s="321"/>
      <c r="L273" s="321"/>
      <c r="M273" s="321"/>
    </row>
    <row r="274">
      <c r="A274" s="321"/>
      <c r="B274" s="321"/>
      <c r="C274" s="323"/>
      <c r="D274" s="284"/>
      <c r="E274" s="321"/>
      <c r="F274" s="324"/>
      <c r="G274" s="321"/>
      <c r="H274" s="321"/>
      <c r="I274" s="321"/>
      <c r="J274" s="321"/>
      <c r="K274" s="321"/>
      <c r="L274" s="321"/>
      <c r="M274" s="321"/>
    </row>
    <row r="275">
      <c r="A275" s="321"/>
      <c r="B275" s="321"/>
      <c r="C275" s="323"/>
      <c r="D275" s="284"/>
      <c r="E275" s="321"/>
      <c r="F275" s="324"/>
      <c r="G275" s="321"/>
      <c r="H275" s="321"/>
      <c r="I275" s="321"/>
      <c r="J275" s="321"/>
      <c r="K275" s="321"/>
      <c r="L275" s="321"/>
      <c r="M275" s="321"/>
    </row>
    <row r="276">
      <c r="A276" s="321"/>
      <c r="B276" s="321"/>
      <c r="C276" s="323"/>
      <c r="D276" s="284"/>
      <c r="E276" s="321"/>
      <c r="F276" s="324"/>
      <c r="G276" s="321"/>
      <c r="H276" s="321"/>
      <c r="I276" s="321"/>
      <c r="J276" s="321"/>
      <c r="K276" s="321"/>
      <c r="L276" s="321"/>
      <c r="M276" s="321"/>
    </row>
    <row r="277">
      <c r="A277" s="321"/>
      <c r="B277" s="321"/>
      <c r="C277" s="323"/>
      <c r="D277" s="284"/>
      <c r="E277" s="321"/>
      <c r="F277" s="324"/>
      <c r="G277" s="321"/>
      <c r="H277" s="321"/>
      <c r="I277" s="321"/>
      <c r="J277" s="321"/>
      <c r="K277" s="321"/>
      <c r="L277" s="321"/>
      <c r="M277" s="321"/>
    </row>
    <row r="278">
      <c r="A278" s="321"/>
      <c r="B278" s="321"/>
      <c r="C278" s="323"/>
      <c r="D278" s="284"/>
      <c r="E278" s="321"/>
      <c r="F278" s="324"/>
      <c r="G278" s="321"/>
      <c r="H278" s="321"/>
      <c r="I278" s="321"/>
      <c r="J278" s="321"/>
      <c r="K278" s="321"/>
      <c r="L278" s="321"/>
      <c r="M278" s="321"/>
    </row>
    <row r="279">
      <c r="A279" s="321"/>
      <c r="B279" s="321"/>
      <c r="C279" s="323"/>
      <c r="D279" s="284"/>
      <c r="E279" s="321"/>
      <c r="F279" s="324"/>
      <c r="G279" s="321"/>
      <c r="H279" s="321"/>
      <c r="I279" s="321"/>
      <c r="J279" s="321"/>
      <c r="K279" s="321"/>
      <c r="L279" s="321"/>
      <c r="M279" s="321"/>
    </row>
    <row r="280">
      <c r="A280" s="321"/>
      <c r="B280" s="321"/>
      <c r="C280" s="323"/>
      <c r="D280" s="284"/>
      <c r="E280" s="321"/>
      <c r="F280" s="324"/>
      <c r="G280" s="321"/>
      <c r="H280" s="321"/>
      <c r="I280" s="321"/>
      <c r="J280" s="321"/>
      <c r="K280" s="321"/>
      <c r="L280" s="321"/>
      <c r="M280" s="321"/>
    </row>
    <row r="281">
      <c r="A281" s="321"/>
      <c r="B281" s="321"/>
      <c r="C281" s="323"/>
      <c r="D281" s="284"/>
      <c r="E281" s="321"/>
      <c r="F281" s="324"/>
      <c r="G281" s="321"/>
      <c r="H281" s="321"/>
      <c r="I281" s="321"/>
      <c r="J281" s="321"/>
      <c r="K281" s="321"/>
      <c r="L281" s="321"/>
      <c r="M281" s="321"/>
    </row>
    <row r="282">
      <c r="A282" s="321"/>
      <c r="B282" s="321"/>
      <c r="C282" s="323"/>
      <c r="D282" s="284"/>
      <c r="E282" s="321"/>
      <c r="F282" s="324"/>
      <c r="G282" s="321"/>
      <c r="H282" s="321"/>
      <c r="I282" s="321"/>
      <c r="J282" s="321"/>
      <c r="K282" s="321"/>
      <c r="L282" s="321"/>
      <c r="M282" s="321"/>
    </row>
    <row r="283">
      <c r="A283" s="321"/>
      <c r="B283" s="321"/>
      <c r="C283" s="323"/>
      <c r="D283" s="284"/>
      <c r="E283" s="321"/>
      <c r="F283" s="324"/>
      <c r="G283" s="321"/>
      <c r="H283" s="321"/>
      <c r="I283" s="321"/>
      <c r="J283" s="321"/>
      <c r="K283" s="321"/>
      <c r="L283" s="321"/>
      <c r="M283" s="321"/>
    </row>
    <row r="284">
      <c r="A284" s="321"/>
      <c r="B284" s="321"/>
      <c r="C284" s="323"/>
      <c r="D284" s="284"/>
      <c r="E284" s="321"/>
      <c r="F284" s="324"/>
      <c r="G284" s="321"/>
      <c r="H284" s="321"/>
      <c r="I284" s="321"/>
      <c r="J284" s="321"/>
      <c r="K284" s="321"/>
      <c r="L284" s="321"/>
      <c r="M284" s="321"/>
    </row>
    <row r="285">
      <c r="A285" s="321"/>
      <c r="B285" s="321"/>
      <c r="C285" s="323"/>
      <c r="D285" s="284"/>
      <c r="E285" s="321"/>
      <c r="F285" s="324"/>
      <c r="G285" s="321"/>
      <c r="H285" s="321"/>
      <c r="I285" s="321"/>
      <c r="J285" s="321"/>
      <c r="K285" s="321"/>
      <c r="L285" s="321"/>
      <c r="M285" s="321"/>
    </row>
    <row r="286">
      <c r="A286" s="321"/>
      <c r="B286" s="321"/>
      <c r="C286" s="323"/>
      <c r="D286" s="284"/>
      <c r="E286" s="321"/>
      <c r="F286" s="324"/>
      <c r="G286" s="321"/>
      <c r="H286" s="321"/>
      <c r="I286" s="321"/>
      <c r="J286" s="321"/>
      <c r="K286" s="321"/>
      <c r="L286" s="321"/>
      <c r="M286" s="321"/>
    </row>
    <row r="287">
      <c r="A287" s="321"/>
      <c r="B287" s="321"/>
      <c r="C287" s="323"/>
      <c r="D287" s="284"/>
      <c r="E287" s="321"/>
      <c r="F287" s="324"/>
      <c r="G287" s="321"/>
      <c r="H287" s="321"/>
      <c r="I287" s="321"/>
      <c r="J287" s="321"/>
      <c r="K287" s="321"/>
      <c r="L287" s="321"/>
      <c r="M287" s="321"/>
    </row>
    <row r="288">
      <c r="A288" s="321"/>
      <c r="B288" s="321"/>
      <c r="C288" s="323"/>
      <c r="D288" s="284"/>
      <c r="E288" s="321"/>
      <c r="F288" s="324"/>
      <c r="G288" s="321"/>
      <c r="H288" s="321"/>
      <c r="I288" s="321"/>
      <c r="J288" s="321"/>
      <c r="K288" s="321"/>
      <c r="L288" s="321"/>
      <c r="M288" s="321"/>
    </row>
    <row r="289">
      <c r="A289" s="321"/>
      <c r="B289" s="321"/>
      <c r="C289" s="323"/>
      <c r="D289" s="284"/>
      <c r="E289" s="321"/>
      <c r="F289" s="324"/>
      <c r="G289" s="321"/>
      <c r="H289" s="321"/>
      <c r="I289" s="321"/>
      <c r="J289" s="321"/>
      <c r="K289" s="321"/>
      <c r="L289" s="321"/>
      <c r="M289" s="321"/>
    </row>
    <row r="290">
      <c r="A290" s="321"/>
      <c r="B290" s="321"/>
      <c r="C290" s="323"/>
      <c r="D290" s="284"/>
      <c r="E290" s="321"/>
      <c r="F290" s="324"/>
      <c r="G290" s="321"/>
      <c r="H290" s="321"/>
      <c r="I290" s="321"/>
      <c r="J290" s="321"/>
      <c r="K290" s="321"/>
      <c r="L290" s="321"/>
      <c r="M290" s="321"/>
    </row>
    <row r="291">
      <c r="A291" s="321"/>
      <c r="B291" s="321"/>
      <c r="C291" s="323"/>
      <c r="D291" s="284"/>
      <c r="E291" s="321"/>
      <c r="F291" s="324"/>
      <c r="G291" s="321"/>
      <c r="H291" s="321"/>
      <c r="I291" s="321"/>
      <c r="J291" s="321"/>
      <c r="K291" s="321"/>
      <c r="L291" s="321"/>
      <c r="M291" s="321"/>
    </row>
    <row r="292">
      <c r="A292" s="321"/>
      <c r="B292" s="321"/>
      <c r="C292" s="323"/>
      <c r="D292" s="284"/>
      <c r="E292" s="321"/>
      <c r="F292" s="324"/>
      <c r="G292" s="321"/>
      <c r="H292" s="321"/>
      <c r="I292" s="321"/>
      <c r="J292" s="321"/>
      <c r="K292" s="321"/>
      <c r="L292" s="321"/>
      <c r="M292" s="321"/>
    </row>
    <row r="293">
      <c r="A293" s="321"/>
      <c r="B293" s="321"/>
      <c r="C293" s="323"/>
      <c r="D293" s="284"/>
      <c r="E293" s="321"/>
      <c r="F293" s="324"/>
      <c r="G293" s="321"/>
      <c r="H293" s="321"/>
      <c r="I293" s="321"/>
      <c r="J293" s="321"/>
      <c r="K293" s="321"/>
      <c r="L293" s="321"/>
      <c r="M293" s="321"/>
    </row>
    <row r="294">
      <c r="A294" s="321"/>
      <c r="B294" s="321"/>
      <c r="C294" s="323"/>
      <c r="D294" s="284"/>
      <c r="E294" s="321"/>
      <c r="F294" s="324"/>
      <c r="G294" s="321"/>
      <c r="H294" s="321"/>
      <c r="I294" s="321"/>
      <c r="J294" s="321"/>
      <c r="K294" s="321"/>
      <c r="L294" s="321"/>
      <c r="M294" s="321"/>
    </row>
    <row r="295">
      <c r="A295" s="321"/>
      <c r="B295" s="321"/>
      <c r="C295" s="323"/>
      <c r="D295" s="284"/>
      <c r="E295" s="321"/>
      <c r="F295" s="324"/>
      <c r="G295" s="321"/>
      <c r="H295" s="321"/>
      <c r="I295" s="321"/>
      <c r="J295" s="321"/>
      <c r="K295" s="321"/>
      <c r="L295" s="321"/>
      <c r="M295" s="321"/>
    </row>
    <row r="296">
      <c r="A296" s="321"/>
      <c r="B296" s="321"/>
      <c r="C296" s="323"/>
      <c r="D296" s="284"/>
      <c r="E296" s="321"/>
      <c r="F296" s="324"/>
      <c r="G296" s="321"/>
      <c r="H296" s="321"/>
      <c r="I296" s="321"/>
      <c r="J296" s="321"/>
      <c r="K296" s="321"/>
      <c r="L296" s="321"/>
      <c r="M296" s="321"/>
    </row>
    <row r="297">
      <c r="A297" s="321"/>
      <c r="B297" s="321"/>
      <c r="C297" s="323"/>
      <c r="D297" s="284"/>
      <c r="E297" s="321"/>
      <c r="F297" s="324"/>
      <c r="G297" s="321"/>
      <c r="H297" s="321"/>
      <c r="I297" s="321"/>
      <c r="J297" s="321"/>
      <c r="K297" s="321"/>
      <c r="L297" s="321"/>
      <c r="M297" s="321"/>
    </row>
    <row r="298">
      <c r="A298" s="321"/>
      <c r="B298" s="321"/>
      <c r="C298" s="323"/>
      <c r="D298" s="284"/>
      <c r="E298" s="321"/>
      <c r="F298" s="324"/>
      <c r="G298" s="321"/>
      <c r="H298" s="321"/>
      <c r="I298" s="321"/>
      <c r="J298" s="321"/>
      <c r="K298" s="321"/>
      <c r="L298" s="321"/>
      <c r="M298" s="321"/>
    </row>
    <row r="299">
      <c r="A299" s="321"/>
      <c r="B299" s="321"/>
      <c r="C299" s="323"/>
      <c r="D299" s="284"/>
      <c r="E299" s="321"/>
      <c r="F299" s="324"/>
      <c r="G299" s="321"/>
      <c r="H299" s="321"/>
      <c r="I299" s="321"/>
      <c r="J299" s="321"/>
      <c r="K299" s="321"/>
      <c r="L299" s="321"/>
      <c r="M299" s="321"/>
    </row>
    <row r="300">
      <c r="A300" s="321"/>
      <c r="B300" s="321"/>
      <c r="C300" s="323"/>
      <c r="D300" s="284"/>
      <c r="E300" s="321"/>
      <c r="F300" s="324"/>
      <c r="G300" s="321"/>
      <c r="H300" s="321"/>
      <c r="I300" s="321"/>
      <c r="J300" s="321"/>
      <c r="K300" s="321"/>
      <c r="L300" s="321"/>
      <c r="M300" s="321"/>
    </row>
    <row r="301">
      <c r="A301" s="321"/>
      <c r="B301" s="321"/>
      <c r="C301" s="323"/>
      <c r="D301" s="284"/>
      <c r="E301" s="321"/>
      <c r="F301" s="324"/>
      <c r="G301" s="321"/>
      <c r="H301" s="321"/>
      <c r="I301" s="321"/>
      <c r="J301" s="321"/>
      <c r="K301" s="321"/>
      <c r="L301" s="321"/>
      <c r="M301" s="321"/>
    </row>
    <row r="302">
      <c r="A302" s="321"/>
      <c r="B302" s="321"/>
      <c r="C302" s="323"/>
      <c r="D302" s="284"/>
      <c r="E302" s="321"/>
      <c r="F302" s="324"/>
      <c r="G302" s="321"/>
      <c r="H302" s="321"/>
      <c r="I302" s="321"/>
      <c r="J302" s="321"/>
      <c r="K302" s="321"/>
      <c r="L302" s="321"/>
      <c r="M302" s="321"/>
    </row>
    <row r="303">
      <c r="A303" s="321"/>
      <c r="B303" s="321"/>
      <c r="C303" s="323"/>
      <c r="D303" s="284"/>
      <c r="E303" s="321"/>
      <c r="F303" s="324"/>
      <c r="G303" s="321"/>
      <c r="H303" s="321"/>
      <c r="I303" s="321"/>
      <c r="J303" s="321"/>
      <c r="K303" s="321"/>
      <c r="L303" s="321"/>
      <c r="M303" s="321"/>
    </row>
    <row r="304">
      <c r="A304" s="321"/>
      <c r="B304" s="321"/>
      <c r="C304" s="323"/>
      <c r="D304" s="284"/>
      <c r="E304" s="321"/>
      <c r="F304" s="324"/>
      <c r="G304" s="321"/>
      <c r="H304" s="321"/>
      <c r="I304" s="321"/>
      <c r="J304" s="321"/>
      <c r="K304" s="321"/>
      <c r="L304" s="321"/>
      <c r="M304" s="321"/>
    </row>
    <row r="305">
      <c r="A305" s="321"/>
      <c r="B305" s="321"/>
      <c r="C305" s="323"/>
      <c r="D305" s="284"/>
      <c r="E305" s="321"/>
      <c r="F305" s="324"/>
      <c r="G305" s="321"/>
      <c r="H305" s="321"/>
      <c r="I305" s="321"/>
      <c r="J305" s="321"/>
      <c r="K305" s="321"/>
      <c r="L305" s="321"/>
      <c r="M305" s="321"/>
    </row>
    <row r="306">
      <c r="A306" s="321"/>
      <c r="B306" s="321"/>
      <c r="C306" s="323"/>
      <c r="D306" s="284"/>
      <c r="E306" s="321"/>
      <c r="F306" s="324"/>
      <c r="G306" s="321"/>
      <c r="H306" s="321"/>
      <c r="I306" s="321"/>
      <c r="J306" s="321"/>
      <c r="K306" s="321"/>
      <c r="L306" s="321"/>
      <c r="M306" s="321"/>
    </row>
    <row r="307">
      <c r="A307" s="321"/>
      <c r="B307" s="321"/>
      <c r="C307" s="323"/>
      <c r="D307" s="284"/>
      <c r="E307" s="321"/>
      <c r="F307" s="324"/>
      <c r="G307" s="321"/>
      <c r="H307" s="321"/>
      <c r="I307" s="321"/>
      <c r="J307" s="321"/>
      <c r="K307" s="321"/>
      <c r="L307" s="321"/>
      <c r="M307" s="321"/>
    </row>
    <row r="308">
      <c r="A308" s="321"/>
      <c r="B308" s="321"/>
      <c r="C308" s="323"/>
      <c r="D308" s="284"/>
      <c r="E308" s="321"/>
      <c r="F308" s="324"/>
      <c r="G308" s="321"/>
      <c r="H308" s="321"/>
      <c r="I308" s="321"/>
      <c r="J308" s="321"/>
      <c r="K308" s="321"/>
      <c r="L308" s="321"/>
      <c r="M308" s="321"/>
    </row>
    <row r="309">
      <c r="A309" s="321"/>
      <c r="B309" s="321"/>
      <c r="C309" s="323"/>
      <c r="D309" s="284"/>
      <c r="E309" s="321"/>
      <c r="F309" s="324"/>
      <c r="G309" s="321"/>
      <c r="H309" s="321"/>
      <c r="I309" s="321"/>
      <c r="J309" s="321"/>
      <c r="K309" s="321"/>
      <c r="L309" s="321"/>
      <c r="M309" s="321"/>
    </row>
    <row r="310">
      <c r="A310" s="321"/>
      <c r="B310" s="321"/>
      <c r="C310" s="323"/>
      <c r="D310" s="284"/>
      <c r="E310" s="321"/>
      <c r="F310" s="324"/>
      <c r="G310" s="321"/>
      <c r="H310" s="321"/>
      <c r="I310" s="321"/>
      <c r="J310" s="321"/>
      <c r="K310" s="321"/>
      <c r="L310" s="321"/>
      <c r="M310" s="321"/>
    </row>
    <row r="311">
      <c r="A311" s="321"/>
      <c r="B311" s="321"/>
      <c r="C311" s="323"/>
      <c r="D311" s="284"/>
      <c r="E311" s="321"/>
      <c r="F311" s="324"/>
      <c r="G311" s="321"/>
      <c r="H311" s="321"/>
      <c r="I311" s="321"/>
      <c r="J311" s="321"/>
      <c r="K311" s="321"/>
      <c r="L311" s="321"/>
      <c r="M311" s="321"/>
    </row>
    <row r="312">
      <c r="A312" s="321"/>
      <c r="B312" s="321"/>
      <c r="C312" s="323"/>
      <c r="D312" s="284"/>
      <c r="E312" s="321"/>
      <c r="F312" s="324"/>
      <c r="G312" s="321"/>
      <c r="H312" s="321"/>
      <c r="I312" s="321"/>
      <c r="J312" s="321"/>
      <c r="K312" s="321"/>
      <c r="L312" s="321"/>
      <c r="M312" s="321"/>
    </row>
    <row r="313">
      <c r="A313" s="321"/>
      <c r="B313" s="321"/>
      <c r="C313" s="323"/>
      <c r="D313" s="284"/>
      <c r="E313" s="321"/>
      <c r="F313" s="324"/>
      <c r="G313" s="321"/>
      <c r="H313" s="321"/>
      <c r="I313" s="321"/>
      <c r="J313" s="321"/>
      <c r="K313" s="321"/>
      <c r="L313" s="321"/>
      <c r="M313" s="321"/>
    </row>
    <row r="314">
      <c r="A314" s="321"/>
      <c r="B314" s="321"/>
      <c r="C314" s="323"/>
      <c r="D314" s="284"/>
      <c r="E314" s="321"/>
      <c r="F314" s="324"/>
      <c r="G314" s="321"/>
      <c r="H314" s="321"/>
      <c r="I314" s="321"/>
      <c r="J314" s="321"/>
      <c r="K314" s="321"/>
      <c r="L314" s="321"/>
      <c r="M314" s="321"/>
    </row>
    <row r="315">
      <c r="A315" s="321"/>
      <c r="B315" s="321"/>
      <c r="C315" s="323"/>
      <c r="D315" s="284"/>
      <c r="E315" s="321"/>
      <c r="F315" s="324"/>
      <c r="G315" s="321"/>
      <c r="H315" s="321"/>
      <c r="I315" s="321"/>
      <c r="J315" s="321"/>
      <c r="K315" s="321"/>
      <c r="L315" s="321"/>
      <c r="M315" s="321"/>
    </row>
    <row r="316">
      <c r="A316" s="321"/>
      <c r="B316" s="321"/>
      <c r="C316" s="323"/>
      <c r="D316" s="284"/>
      <c r="E316" s="321"/>
      <c r="F316" s="324"/>
      <c r="G316" s="321"/>
      <c r="H316" s="321"/>
      <c r="I316" s="321"/>
      <c r="J316" s="321"/>
      <c r="K316" s="321"/>
      <c r="L316" s="321"/>
      <c r="M316" s="321"/>
    </row>
    <row r="317">
      <c r="A317" s="321"/>
      <c r="B317" s="321"/>
      <c r="C317" s="323"/>
      <c r="D317" s="284"/>
      <c r="E317" s="321"/>
      <c r="F317" s="324"/>
      <c r="G317" s="321"/>
      <c r="H317" s="321"/>
      <c r="I317" s="321"/>
      <c r="J317" s="321"/>
      <c r="K317" s="321"/>
      <c r="L317" s="321"/>
      <c r="M317" s="321"/>
    </row>
    <row r="318">
      <c r="A318" s="321"/>
      <c r="B318" s="321"/>
      <c r="C318" s="323"/>
      <c r="D318" s="284"/>
      <c r="E318" s="321"/>
      <c r="F318" s="324"/>
      <c r="G318" s="321"/>
      <c r="H318" s="321"/>
      <c r="I318" s="321"/>
      <c r="J318" s="321"/>
      <c r="K318" s="321"/>
      <c r="L318" s="321"/>
      <c r="M318" s="321"/>
    </row>
    <row r="319">
      <c r="A319" s="321"/>
      <c r="B319" s="321"/>
      <c r="C319" s="323"/>
      <c r="D319" s="284"/>
      <c r="E319" s="321"/>
      <c r="F319" s="324"/>
      <c r="G319" s="321"/>
      <c r="H319" s="321"/>
      <c r="I319" s="321"/>
      <c r="J319" s="321"/>
      <c r="K319" s="321"/>
      <c r="L319" s="321"/>
      <c r="M319" s="321"/>
    </row>
    <row r="320">
      <c r="A320" s="321"/>
      <c r="B320" s="321"/>
      <c r="C320" s="323"/>
      <c r="D320" s="284"/>
      <c r="E320" s="321"/>
      <c r="F320" s="324"/>
      <c r="G320" s="321"/>
      <c r="H320" s="321"/>
      <c r="I320" s="321"/>
      <c r="J320" s="321"/>
      <c r="K320" s="321"/>
      <c r="L320" s="321"/>
      <c r="M320" s="321"/>
    </row>
    <row r="321">
      <c r="A321" s="321"/>
      <c r="B321" s="321"/>
      <c r="C321" s="323"/>
      <c r="D321" s="284"/>
      <c r="E321" s="321"/>
      <c r="F321" s="324"/>
      <c r="G321" s="321"/>
      <c r="H321" s="321"/>
      <c r="I321" s="321"/>
      <c r="J321" s="321"/>
      <c r="K321" s="321"/>
      <c r="L321" s="321"/>
      <c r="M321" s="321"/>
    </row>
    <row r="322">
      <c r="A322" s="321"/>
      <c r="B322" s="321"/>
      <c r="C322" s="323"/>
      <c r="D322" s="284"/>
      <c r="E322" s="321"/>
      <c r="F322" s="324"/>
      <c r="G322" s="321"/>
      <c r="H322" s="321"/>
      <c r="I322" s="321"/>
      <c r="J322" s="321"/>
      <c r="K322" s="321"/>
      <c r="L322" s="321"/>
      <c r="M322" s="321"/>
    </row>
    <row r="323">
      <c r="A323" s="321"/>
      <c r="B323" s="321"/>
      <c r="C323" s="323"/>
      <c r="D323" s="284"/>
      <c r="E323" s="321"/>
      <c r="F323" s="324"/>
      <c r="G323" s="321"/>
      <c r="H323" s="321"/>
      <c r="I323" s="321"/>
      <c r="J323" s="321"/>
      <c r="K323" s="321"/>
      <c r="L323" s="321"/>
      <c r="M323" s="321"/>
    </row>
    <row r="324">
      <c r="A324" s="321"/>
      <c r="B324" s="321"/>
      <c r="C324" s="323"/>
      <c r="D324" s="284"/>
      <c r="E324" s="321"/>
      <c r="F324" s="324"/>
      <c r="G324" s="321"/>
      <c r="H324" s="321"/>
      <c r="I324" s="321"/>
      <c r="J324" s="321"/>
      <c r="K324" s="321"/>
      <c r="L324" s="321"/>
      <c r="M324" s="321"/>
    </row>
    <row r="325">
      <c r="A325" s="321"/>
      <c r="B325" s="321"/>
      <c r="C325" s="323"/>
      <c r="D325" s="284"/>
      <c r="E325" s="321"/>
      <c r="F325" s="324"/>
      <c r="G325" s="321"/>
      <c r="H325" s="321"/>
      <c r="I325" s="321"/>
      <c r="J325" s="321"/>
      <c r="K325" s="321"/>
      <c r="L325" s="321"/>
      <c r="M325" s="321"/>
    </row>
    <row r="326">
      <c r="A326" s="321"/>
      <c r="B326" s="321"/>
      <c r="C326" s="323"/>
      <c r="D326" s="284"/>
      <c r="E326" s="321"/>
      <c r="F326" s="324"/>
      <c r="G326" s="321"/>
      <c r="H326" s="321"/>
      <c r="I326" s="321"/>
      <c r="J326" s="321"/>
      <c r="K326" s="321"/>
      <c r="L326" s="321"/>
      <c r="M326" s="321"/>
    </row>
    <row r="327">
      <c r="A327" s="321"/>
      <c r="B327" s="321"/>
      <c r="C327" s="323"/>
      <c r="D327" s="284"/>
      <c r="E327" s="321"/>
      <c r="F327" s="324"/>
      <c r="G327" s="321"/>
      <c r="H327" s="321"/>
      <c r="I327" s="321"/>
      <c r="J327" s="321"/>
      <c r="K327" s="321"/>
      <c r="L327" s="321"/>
      <c r="M327" s="321"/>
    </row>
    <row r="328">
      <c r="A328" s="321"/>
      <c r="B328" s="321"/>
      <c r="C328" s="323"/>
      <c r="D328" s="284"/>
      <c r="E328" s="321"/>
      <c r="F328" s="324"/>
      <c r="G328" s="321"/>
      <c r="H328" s="321"/>
      <c r="I328" s="321"/>
      <c r="J328" s="321"/>
      <c r="K328" s="321"/>
      <c r="L328" s="321"/>
      <c r="M328" s="321"/>
    </row>
    <row r="329">
      <c r="A329" s="321"/>
      <c r="B329" s="321"/>
      <c r="C329" s="323"/>
      <c r="D329" s="284"/>
      <c r="E329" s="321"/>
      <c r="F329" s="324"/>
      <c r="G329" s="321"/>
      <c r="H329" s="321"/>
      <c r="I329" s="321"/>
      <c r="J329" s="321"/>
      <c r="K329" s="321"/>
      <c r="L329" s="321"/>
      <c r="M329" s="321"/>
    </row>
    <row r="330">
      <c r="A330" s="321"/>
      <c r="B330" s="321"/>
      <c r="C330" s="323"/>
      <c r="D330" s="284"/>
      <c r="E330" s="321"/>
      <c r="F330" s="324"/>
      <c r="G330" s="321"/>
      <c r="H330" s="321"/>
      <c r="I330" s="321"/>
      <c r="J330" s="321"/>
      <c r="K330" s="321"/>
      <c r="L330" s="321"/>
      <c r="M330" s="321"/>
    </row>
    <row r="331">
      <c r="A331" s="321"/>
      <c r="B331" s="321"/>
      <c r="C331" s="323"/>
      <c r="D331" s="284"/>
      <c r="E331" s="321"/>
      <c r="F331" s="324"/>
      <c r="G331" s="321"/>
      <c r="H331" s="321"/>
      <c r="I331" s="321"/>
      <c r="J331" s="321"/>
      <c r="K331" s="321"/>
      <c r="L331" s="321"/>
      <c r="M331" s="321"/>
    </row>
    <row r="332">
      <c r="A332" s="321"/>
      <c r="B332" s="321"/>
      <c r="C332" s="323"/>
      <c r="D332" s="284"/>
      <c r="E332" s="321"/>
      <c r="F332" s="324"/>
      <c r="G332" s="321"/>
      <c r="H332" s="321"/>
      <c r="I332" s="321"/>
      <c r="J332" s="321"/>
      <c r="K332" s="321"/>
      <c r="L332" s="321"/>
      <c r="M332" s="321"/>
    </row>
    <row r="333">
      <c r="A333" s="321"/>
      <c r="B333" s="321"/>
      <c r="C333" s="323"/>
      <c r="D333" s="284"/>
      <c r="E333" s="321"/>
      <c r="F333" s="324"/>
      <c r="G333" s="321"/>
      <c r="H333" s="321"/>
      <c r="I333" s="321"/>
      <c r="J333" s="321"/>
      <c r="K333" s="321"/>
      <c r="L333" s="321"/>
      <c r="M333" s="321"/>
    </row>
    <row r="334">
      <c r="A334" s="321"/>
      <c r="B334" s="321"/>
      <c r="C334" s="323"/>
      <c r="D334" s="284"/>
      <c r="E334" s="321"/>
      <c r="F334" s="324"/>
      <c r="G334" s="321"/>
      <c r="H334" s="321"/>
      <c r="I334" s="321"/>
      <c r="J334" s="321"/>
      <c r="K334" s="321"/>
      <c r="L334" s="321"/>
      <c r="M334" s="321"/>
    </row>
    <row r="335">
      <c r="A335" s="321"/>
      <c r="B335" s="321"/>
      <c r="C335" s="323"/>
      <c r="D335" s="284"/>
      <c r="E335" s="321"/>
      <c r="F335" s="324"/>
      <c r="G335" s="321"/>
      <c r="H335" s="321"/>
      <c r="I335" s="321"/>
      <c r="J335" s="321"/>
      <c r="K335" s="321"/>
      <c r="L335" s="321"/>
      <c r="M335" s="321"/>
    </row>
    <row r="336">
      <c r="A336" s="321"/>
      <c r="B336" s="321"/>
      <c r="C336" s="323"/>
      <c r="D336" s="284"/>
      <c r="E336" s="321"/>
      <c r="F336" s="324"/>
      <c r="G336" s="321"/>
      <c r="H336" s="321"/>
      <c r="I336" s="321"/>
      <c r="J336" s="321"/>
      <c r="K336" s="321"/>
      <c r="L336" s="321"/>
      <c r="M336" s="321"/>
    </row>
    <row r="337">
      <c r="A337" s="321"/>
      <c r="B337" s="321"/>
      <c r="C337" s="323"/>
      <c r="D337" s="284"/>
      <c r="E337" s="321"/>
      <c r="F337" s="324"/>
      <c r="G337" s="321"/>
      <c r="H337" s="321"/>
      <c r="I337" s="321"/>
      <c r="J337" s="321"/>
      <c r="K337" s="321"/>
      <c r="L337" s="321"/>
      <c r="M337" s="321"/>
    </row>
    <row r="338">
      <c r="A338" s="321"/>
      <c r="B338" s="321"/>
      <c r="C338" s="323"/>
      <c r="D338" s="284"/>
      <c r="E338" s="321"/>
      <c r="F338" s="324"/>
      <c r="G338" s="321"/>
      <c r="H338" s="321"/>
      <c r="I338" s="321"/>
      <c r="J338" s="321"/>
      <c r="K338" s="321"/>
      <c r="L338" s="321"/>
      <c r="M338" s="321"/>
    </row>
    <row r="339">
      <c r="A339" s="321"/>
      <c r="B339" s="321"/>
      <c r="C339" s="323"/>
      <c r="D339" s="284"/>
      <c r="E339" s="321"/>
      <c r="F339" s="324"/>
      <c r="G339" s="321"/>
      <c r="H339" s="321"/>
      <c r="I339" s="321"/>
      <c r="J339" s="321"/>
      <c r="K339" s="321"/>
      <c r="L339" s="321"/>
      <c r="M339" s="321"/>
    </row>
    <row r="340">
      <c r="A340" s="321"/>
      <c r="B340" s="321"/>
      <c r="C340" s="323"/>
      <c r="D340" s="284"/>
      <c r="E340" s="321"/>
      <c r="F340" s="324"/>
      <c r="G340" s="321"/>
      <c r="H340" s="321"/>
      <c r="I340" s="321"/>
      <c r="J340" s="321"/>
      <c r="K340" s="321"/>
      <c r="L340" s="321"/>
      <c r="M340" s="321"/>
    </row>
    <row r="341">
      <c r="A341" s="321"/>
      <c r="B341" s="321"/>
      <c r="C341" s="323"/>
      <c r="D341" s="284"/>
      <c r="E341" s="321"/>
      <c r="F341" s="324"/>
      <c r="G341" s="321"/>
      <c r="H341" s="321"/>
      <c r="I341" s="321"/>
      <c r="J341" s="321"/>
      <c r="K341" s="321"/>
      <c r="L341" s="321"/>
      <c r="M341" s="321"/>
    </row>
    <row r="342">
      <c r="A342" s="321"/>
      <c r="B342" s="321"/>
      <c r="C342" s="323"/>
      <c r="D342" s="284"/>
      <c r="E342" s="321"/>
      <c r="F342" s="324"/>
      <c r="G342" s="321"/>
      <c r="H342" s="321"/>
      <c r="I342" s="321"/>
      <c r="J342" s="321"/>
      <c r="K342" s="321"/>
      <c r="L342" s="321"/>
      <c r="M342" s="321"/>
    </row>
    <row r="343">
      <c r="A343" s="321"/>
      <c r="B343" s="321"/>
      <c r="C343" s="323"/>
      <c r="D343" s="284"/>
      <c r="E343" s="321"/>
      <c r="F343" s="324"/>
      <c r="G343" s="321"/>
      <c r="H343" s="321"/>
      <c r="I343" s="321"/>
      <c r="J343" s="321"/>
      <c r="K343" s="321"/>
      <c r="L343" s="321"/>
      <c r="M343" s="321"/>
    </row>
    <row r="344">
      <c r="A344" s="321"/>
      <c r="B344" s="321"/>
      <c r="C344" s="323"/>
      <c r="D344" s="284"/>
      <c r="E344" s="321"/>
      <c r="F344" s="324"/>
      <c r="G344" s="321"/>
      <c r="H344" s="321"/>
      <c r="I344" s="321"/>
      <c r="J344" s="321"/>
      <c r="K344" s="321"/>
      <c r="L344" s="321"/>
      <c r="M344" s="321"/>
    </row>
    <row r="345">
      <c r="A345" s="321"/>
      <c r="B345" s="321"/>
      <c r="C345" s="323"/>
      <c r="D345" s="284"/>
      <c r="E345" s="321"/>
      <c r="F345" s="324"/>
      <c r="G345" s="321"/>
      <c r="H345" s="321"/>
      <c r="I345" s="321"/>
      <c r="J345" s="321"/>
      <c r="K345" s="321"/>
      <c r="L345" s="321"/>
      <c r="M345" s="321"/>
    </row>
    <row r="346">
      <c r="A346" s="321"/>
      <c r="B346" s="321"/>
      <c r="C346" s="323"/>
      <c r="D346" s="284"/>
      <c r="E346" s="321"/>
      <c r="F346" s="324"/>
      <c r="G346" s="321"/>
      <c r="H346" s="321"/>
      <c r="I346" s="321"/>
      <c r="J346" s="321"/>
      <c r="K346" s="321"/>
      <c r="L346" s="321"/>
      <c r="M346" s="321"/>
    </row>
    <row r="347">
      <c r="A347" s="321"/>
      <c r="B347" s="321"/>
      <c r="C347" s="323"/>
      <c r="D347" s="284"/>
      <c r="E347" s="321"/>
      <c r="F347" s="324"/>
      <c r="G347" s="321"/>
      <c r="H347" s="321"/>
      <c r="I347" s="321"/>
      <c r="J347" s="321"/>
      <c r="K347" s="321"/>
      <c r="L347" s="321"/>
      <c r="M347" s="321"/>
    </row>
    <row r="348">
      <c r="A348" s="321"/>
      <c r="B348" s="321"/>
      <c r="C348" s="323"/>
      <c r="D348" s="284"/>
      <c r="E348" s="321"/>
      <c r="F348" s="324"/>
      <c r="G348" s="321"/>
      <c r="H348" s="321"/>
      <c r="I348" s="321"/>
      <c r="J348" s="321"/>
      <c r="K348" s="321"/>
      <c r="L348" s="321"/>
      <c r="M348" s="321"/>
    </row>
    <row r="349">
      <c r="A349" s="321"/>
      <c r="B349" s="321"/>
      <c r="C349" s="323"/>
      <c r="D349" s="284"/>
      <c r="E349" s="321"/>
      <c r="F349" s="324"/>
      <c r="G349" s="321"/>
      <c r="H349" s="321"/>
      <c r="I349" s="321"/>
      <c r="J349" s="321"/>
      <c r="K349" s="321"/>
      <c r="L349" s="321"/>
      <c r="M349" s="321"/>
    </row>
    <row r="350">
      <c r="A350" s="321"/>
      <c r="B350" s="321"/>
      <c r="C350" s="323"/>
      <c r="D350" s="284"/>
      <c r="E350" s="321"/>
      <c r="F350" s="324"/>
      <c r="G350" s="321"/>
      <c r="H350" s="321"/>
      <c r="I350" s="321"/>
      <c r="J350" s="321"/>
      <c r="K350" s="321"/>
      <c r="L350" s="321"/>
      <c r="M350" s="321"/>
    </row>
    <row r="351">
      <c r="A351" s="321"/>
      <c r="B351" s="321"/>
      <c r="C351" s="323"/>
      <c r="D351" s="284"/>
      <c r="E351" s="321"/>
      <c r="F351" s="324"/>
      <c r="G351" s="321"/>
      <c r="H351" s="321"/>
      <c r="I351" s="321"/>
      <c r="J351" s="321"/>
      <c r="K351" s="321"/>
      <c r="L351" s="321"/>
      <c r="M351" s="321"/>
    </row>
    <row r="352">
      <c r="A352" s="321"/>
      <c r="B352" s="321"/>
      <c r="C352" s="323"/>
      <c r="D352" s="284"/>
      <c r="E352" s="321"/>
      <c r="F352" s="324"/>
      <c r="G352" s="321"/>
      <c r="H352" s="321"/>
      <c r="I352" s="321"/>
      <c r="J352" s="321"/>
      <c r="K352" s="321"/>
      <c r="L352" s="321"/>
      <c r="M352" s="321"/>
    </row>
    <row r="353">
      <c r="A353" s="321"/>
      <c r="B353" s="321"/>
      <c r="C353" s="323"/>
      <c r="D353" s="284"/>
      <c r="E353" s="321"/>
      <c r="F353" s="324"/>
      <c r="G353" s="321"/>
      <c r="H353" s="321"/>
      <c r="I353" s="321"/>
      <c r="J353" s="321"/>
      <c r="K353" s="321"/>
      <c r="L353" s="321"/>
      <c r="M353" s="321"/>
    </row>
    <row r="354">
      <c r="A354" s="321"/>
      <c r="B354" s="321"/>
      <c r="C354" s="323"/>
      <c r="D354" s="284"/>
      <c r="E354" s="321"/>
      <c r="F354" s="324"/>
      <c r="G354" s="321"/>
      <c r="H354" s="321"/>
      <c r="I354" s="321"/>
      <c r="J354" s="321"/>
      <c r="K354" s="321"/>
      <c r="L354" s="321"/>
      <c r="M354" s="321"/>
    </row>
    <row r="355">
      <c r="A355" s="321"/>
      <c r="B355" s="321"/>
      <c r="C355" s="323"/>
      <c r="D355" s="284"/>
      <c r="E355" s="321"/>
      <c r="F355" s="324"/>
      <c r="G355" s="321"/>
      <c r="H355" s="321"/>
      <c r="I355" s="321"/>
      <c r="J355" s="321"/>
      <c r="K355" s="321"/>
      <c r="L355" s="321"/>
      <c r="M355" s="321"/>
    </row>
    <row r="356">
      <c r="A356" s="321"/>
      <c r="B356" s="321"/>
      <c r="C356" s="323"/>
      <c r="D356" s="284"/>
      <c r="E356" s="321"/>
      <c r="F356" s="324"/>
      <c r="G356" s="321"/>
      <c r="H356" s="321"/>
      <c r="I356" s="321"/>
      <c r="J356" s="321"/>
      <c r="K356" s="321"/>
      <c r="L356" s="321"/>
      <c r="M356" s="321"/>
    </row>
    <row r="357">
      <c r="A357" s="321"/>
      <c r="B357" s="321"/>
      <c r="C357" s="323"/>
      <c r="D357" s="284"/>
      <c r="E357" s="321"/>
      <c r="F357" s="324"/>
      <c r="G357" s="321"/>
      <c r="H357" s="321"/>
      <c r="I357" s="321"/>
      <c r="J357" s="321"/>
      <c r="K357" s="321"/>
      <c r="L357" s="321"/>
      <c r="M357" s="321"/>
    </row>
    <row r="358">
      <c r="A358" s="321"/>
      <c r="B358" s="321"/>
      <c r="C358" s="323"/>
      <c r="D358" s="284"/>
      <c r="E358" s="321"/>
      <c r="F358" s="324"/>
      <c r="G358" s="321"/>
      <c r="H358" s="321"/>
      <c r="I358" s="321"/>
      <c r="J358" s="321"/>
      <c r="K358" s="321"/>
      <c r="L358" s="321"/>
      <c r="M358" s="321"/>
    </row>
    <row r="359">
      <c r="A359" s="321"/>
      <c r="B359" s="321"/>
      <c r="C359" s="323"/>
      <c r="D359" s="284"/>
      <c r="E359" s="321"/>
      <c r="F359" s="324"/>
      <c r="G359" s="321"/>
      <c r="H359" s="321"/>
      <c r="I359" s="321"/>
      <c r="J359" s="321"/>
      <c r="K359" s="321"/>
      <c r="L359" s="321"/>
      <c r="M359" s="321"/>
    </row>
    <row r="360">
      <c r="A360" s="321"/>
      <c r="B360" s="321"/>
      <c r="C360" s="323"/>
      <c r="D360" s="284"/>
      <c r="E360" s="321"/>
      <c r="F360" s="324"/>
      <c r="G360" s="321"/>
      <c r="H360" s="321"/>
      <c r="I360" s="321"/>
      <c r="J360" s="321"/>
      <c r="K360" s="321"/>
      <c r="L360" s="321"/>
      <c r="M360" s="321"/>
    </row>
    <row r="361">
      <c r="A361" s="321"/>
      <c r="B361" s="321"/>
      <c r="C361" s="323"/>
      <c r="D361" s="284"/>
      <c r="E361" s="321"/>
      <c r="F361" s="324"/>
      <c r="G361" s="321"/>
      <c r="H361" s="321"/>
      <c r="I361" s="321"/>
      <c r="J361" s="321"/>
      <c r="K361" s="321"/>
      <c r="L361" s="321"/>
      <c r="M361" s="321"/>
    </row>
    <row r="362">
      <c r="A362" s="321"/>
      <c r="B362" s="321"/>
      <c r="C362" s="323"/>
      <c r="D362" s="284"/>
      <c r="E362" s="321"/>
      <c r="F362" s="324"/>
      <c r="G362" s="321"/>
      <c r="H362" s="321"/>
      <c r="I362" s="321"/>
      <c r="J362" s="321"/>
      <c r="K362" s="321"/>
      <c r="L362" s="321"/>
      <c r="M362" s="321"/>
    </row>
    <row r="363">
      <c r="A363" s="321"/>
      <c r="B363" s="321"/>
      <c r="C363" s="323"/>
      <c r="D363" s="284"/>
      <c r="E363" s="321"/>
      <c r="F363" s="324"/>
      <c r="G363" s="321"/>
      <c r="H363" s="321"/>
      <c r="I363" s="321"/>
      <c r="J363" s="321"/>
      <c r="K363" s="321"/>
      <c r="L363" s="321"/>
      <c r="M363" s="321"/>
    </row>
    <row r="364">
      <c r="A364" s="321"/>
      <c r="B364" s="321"/>
      <c r="C364" s="323"/>
      <c r="D364" s="284"/>
      <c r="E364" s="321"/>
      <c r="F364" s="324"/>
      <c r="G364" s="321"/>
      <c r="H364" s="321"/>
      <c r="I364" s="321"/>
      <c r="J364" s="321"/>
      <c r="K364" s="321"/>
      <c r="L364" s="321"/>
      <c r="M364" s="321"/>
    </row>
    <row r="365">
      <c r="A365" s="321"/>
      <c r="B365" s="321"/>
      <c r="C365" s="323"/>
      <c r="D365" s="284"/>
      <c r="E365" s="321"/>
      <c r="F365" s="324"/>
      <c r="G365" s="321"/>
      <c r="H365" s="321"/>
      <c r="I365" s="321"/>
      <c r="J365" s="321"/>
      <c r="K365" s="321"/>
      <c r="L365" s="321"/>
      <c r="M365" s="321"/>
    </row>
    <row r="366">
      <c r="A366" s="321"/>
      <c r="B366" s="321"/>
      <c r="C366" s="323"/>
      <c r="D366" s="284"/>
      <c r="E366" s="321"/>
      <c r="F366" s="324"/>
      <c r="G366" s="321"/>
      <c r="H366" s="321"/>
      <c r="I366" s="321"/>
      <c r="J366" s="321"/>
      <c r="K366" s="321"/>
      <c r="L366" s="321"/>
      <c r="M366" s="321"/>
    </row>
    <row r="367">
      <c r="A367" s="321"/>
      <c r="B367" s="321"/>
      <c r="C367" s="323"/>
      <c r="D367" s="284"/>
      <c r="E367" s="321"/>
      <c r="F367" s="324"/>
      <c r="G367" s="321"/>
      <c r="H367" s="321"/>
      <c r="I367" s="321"/>
      <c r="J367" s="321"/>
      <c r="K367" s="321"/>
      <c r="L367" s="321"/>
      <c r="M367" s="321"/>
    </row>
    <row r="368">
      <c r="A368" s="321"/>
      <c r="B368" s="321"/>
      <c r="C368" s="323"/>
      <c r="D368" s="284"/>
      <c r="E368" s="321"/>
      <c r="F368" s="324"/>
      <c r="G368" s="321"/>
      <c r="H368" s="321"/>
      <c r="I368" s="321"/>
      <c r="J368" s="321"/>
      <c r="K368" s="321"/>
      <c r="L368" s="321"/>
      <c r="M368" s="321"/>
    </row>
    <row r="369">
      <c r="A369" s="321"/>
      <c r="B369" s="321"/>
      <c r="C369" s="323"/>
      <c r="D369" s="284"/>
      <c r="E369" s="321"/>
      <c r="F369" s="324"/>
      <c r="G369" s="321"/>
      <c r="H369" s="321"/>
      <c r="I369" s="321"/>
      <c r="J369" s="321"/>
      <c r="K369" s="321"/>
      <c r="L369" s="321"/>
      <c r="M369" s="321"/>
    </row>
    <row r="370">
      <c r="A370" s="321"/>
      <c r="B370" s="321"/>
      <c r="C370" s="323"/>
      <c r="D370" s="284"/>
      <c r="E370" s="321"/>
      <c r="F370" s="324"/>
      <c r="G370" s="321"/>
      <c r="H370" s="321"/>
      <c r="I370" s="321"/>
      <c r="J370" s="321"/>
      <c r="K370" s="321"/>
      <c r="L370" s="321"/>
      <c r="M370" s="321"/>
    </row>
    <row r="371">
      <c r="A371" s="321"/>
      <c r="B371" s="321"/>
      <c r="C371" s="323"/>
      <c r="D371" s="284"/>
      <c r="E371" s="321"/>
      <c r="F371" s="324"/>
      <c r="G371" s="321"/>
      <c r="H371" s="321"/>
      <c r="I371" s="321"/>
      <c r="J371" s="321"/>
      <c r="K371" s="321"/>
      <c r="L371" s="321"/>
      <c r="M371" s="321"/>
    </row>
    <row r="372">
      <c r="A372" s="321"/>
      <c r="B372" s="321"/>
      <c r="C372" s="323"/>
      <c r="D372" s="284"/>
      <c r="E372" s="321"/>
      <c r="F372" s="324"/>
      <c r="G372" s="321"/>
      <c r="H372" s="321"/>
      <c r="I372" s="321"/>
      <c r="J372" s="321"/>
      <c r="K372" s="321"/>
      <c r="L372" s="321"/>
      <c r="M372" s="321"/>
    </row>
    <row r="373">
      <c r="A373" s="321"/>
      <c r="B373" s="321"/>
      <c r="C373" s="323"/>
      <c r="D373" s="284"/>
      <c r="E373" s="321"/>
      <c r="F373" s="324"/>
      <c r="G373" s="321"/>
      <c r="H373" s="321"/>
      <c r="I373" s="321"/>
      <c r="J373" s="321"/>
      <c r="K373" s="321"/>
      <c r="L373" s="321"/>
      <c r="M373" s="321"/>
    </row>
    <row r="374">
      <c r="A374" s="321"/>
      <c r="B374" s="321"/>
      <c r="C374" s="323"/>
      <c r="D374" s="284"/>
      <c r="E374" s="321"/>
      <c r="F374" s="324"/>
      <c r="G374" s="321"/>
      <c r="H374" s="321"/>
      <c r="I374" s="321"/>
      <c r="J374" s="321"/>
      <c r="K374" s="321"/>
      <c r="L374" s="321"/>
      <c r="M374" s="321"/>
    </row>
    <row r="375">
      <c r="A375" s="321"/>
      <c r="B375" s="321"/>
      <c r="C375" s="323"/>
      <c r="D375" s="284"/>
      <c r="E375" s="321"/>
      <c r="F375" s="324"/>
      <c r="G375" s="321"/>
      <c r="H375" s="321"/>
      <c r="I375" s="321"/>
      <c r="J375" s="321"/>
      <c r="K375" s="321"/>
      <c r="L375" s="321"/>
      <c r="M375" s="321"/>
    </row>
    <row r="376">
      <c r="A376" s="321"/>
      <c r="B376" s="321"/>
      <c r="C376" s="323"/>
      <c r="D376" s="284"/>
      <c r="E376" s="321"/>
      <c r="F376" s="324"/>
      <c r="G376" s="321"/>
      <c r="H376" s="321"/>
      <c r="I376" s="321"/>
      <c r="J376" s="321"/>
      <c r="K376" s="321"/>
      <c r="L376" s="321"/>
      <c r="M376" s="321"/>
    </row>
    <row r="377">
      <c r="A377" s="321"/>
      <c r="B377" s="321"/>
      <c r="C377" s="323"/>
      <c r="D377" s="284"/>
      <c r="E377" s="321"/>
      <c r="F377" s="324"/>
      <c r="G377" s="321"/>
      <c r="H377" s="321"/>
      <c r="I377" s="321"/>
      <c r="J377" s="321"/>
      <c r="K377" s="321"/>
      <c r="L377" s="321"/>
      <c r="M377" s="321"/>
    </row>
    <row r="378">
      <c r="A378" s="321"/>
      <c r="B378" s="321"/>
      <c r="C378" s="323"/>
      <c r="D378" s="284"/>
      <c r="E378" s="321"/>
      <c r="F378" s="324"/>
      <c r="G378" s="321"/>
      <c r="H378" s="321"/>
      <c r="I378" s="321"/>
      <c r="J378" s="321"/>
      <c r="K378" s="321"/>
      <c r="L378" s="321"/>
      <c r="M378" s="321"/>
    </row>
    <row r="379">
      <c r="A379" s="321"/>
      <c r="B379" s="321"/>
      <c r="C379" s="323"/>
      <c r="D379" s="284"/>
      <c r="E379" s="321"/>
      <c r="F379" s="324"/>
      <c r="G379" s="321"/>
      <c r="H379" s="321"/>
      <c r="I379" s="321"/>
      <c r="J379" s="321"/>
      <c r="K379" s="321"/>
      <c r="L379" s="321"/>
      <c r="M379" s="321"/>
    </row>
    <row r="380">
      <c r="A380" s="321"/>
      <c r="B380" s="321"/>
      <c r="C380" s="323"/>
      <c r="D380" s="284"/>
      <c r="E380" s="321"/>
      <c r="F380" s="324"/>
      <c r="G380" s="321"/>
      <c r="H380" s="321"/>
      <c r="I380" s="321"/>
      <c r="J380" s="321"/>
      <c r="K380" s="321"/>
      <c r="L380" s="321"/>
      <c r="M380" s="321"/>
    </row>
    <row r="381">
      <c r="A381" s="321"/>
      <c r="B381" s="321"/>
      <c r="C381" s="323"/>
      <c r="D381" s="284"/>
      <c r="E381" s="321"/>
      <c r="F381" s="324"/>
      <c r="G381" s="321"/>
      <c r="H381" s="321"/>
      <c r="I381" s="321"/>
      <c r="J381" s="321"/>
      <c r="K381" s="321"/>
      <c r="L381" s="321"/>
      <c r="M381" s="321"/>
    </row>
    <row r="382">
      <c r="A382" s="321"/>
      <c r="B382" s="321"/>
      <c r="C382" s="323"/>
      <c r="D382" s="284"/>
      <c r="E382" s="321"/>
      <c r="F382" s="324"/>
      <c r="G382" s="321"/>
      <c r="H382" s="321"/>
      <c r="I382" s="321"/>
      <c r="J382" s="321"/>
      <c r="K382" s="321"/>
      <c r="L382" s="321"/>
      <c r="M382" s="321"/>
    </row>
    <row r="383">
      <c r="A383" s="321"/>
      <c r="B383" s="321"/>
      <c r="C383" s="323"/>
      <c r="D383" s="284"/>
      <c r="E383" s="321"/>
      <c r="F383" s="324"/>
      <c r="G383" s="321"/>
      <c r="H383" s="321"/>
      <c r="I383" s="321"/>
      <c r="J383" s="321"/>
      <c r="K383" s="321"/>
      <c r="L383" s="321"/>
      <c r="M383" s="321"/>
    </row>
    <row r="384">
      <c r="A384" s="321"/>
      <c r="B384" s="321"/>
      <c r="C384" s="323"/>
      <c r="D384" s="284"/>
      <c r="E384" s="321"/>
      <c r="F384" s="324"/>
      <c r="G384" s="321"/>
      <c r="H384" s="321"/>
      <c r="I384" s="321"/>
      <c r="J384" s="321"/>
      <c r="K384" s="321"/>
      <c r="L384" s="321"/>
      <c r="M384" s="321"/>
    </row>
    <row r="385">
      <c r="A385" s="321"/>
      <c r="B385" s="321"/>
      <c r="C385" s="323"/>
      <c r="D385" s="284"/>
      <c r="E385" s="321"/>
      <c r="F385" s="324"/>
      <c r="G385" s="321"/>
      <c r="H385" s="321"/>
      <c r="I385" s="321"/>
      <c r="J385" s="321"/>
      <c r="K385" s="321"/>
      <c r="L385" s="321"/>
      <c r="M385" s="321"/>
    </row>
    <row r="386">
      <c r="A386" s="321"/>
      <c r="B386" s="321"/>
      <c r="C386" s="323"/>
      <c r="D386" s="284"/>
      <c r="E386" s="321"/>
      <c r="F386" s="324"/>
      <c r="G386" s="321"/>
      <c r="H386" s="321"/>
      <c r="I386" s="321"/>
      <c r="J386" s="321"/>
      <c r="K386" s="321"/>
      <c r="L386" s="321"/>
      <c r="M386" s="321"/>
    </row>
    <row r="387">
      <c r="A387" s="321"/>
      <c r="B387" s="321"/>
      <c r="C387" s="323"/>
      <c r="D387" s="284"/>
      <c r="E387" s="321"/>
      <c r="F387" s="324"/>
      <c r="G387" s="321"/>
      <c r="H387" s="321"/>
      <c r="I387" s="321"/>
      <c r="J387" s="321"/>
      <c r="K387" s="321"/>
      <c r="L387" s="321"/>
      <c r="M387" s="321"/>
    </row>
    <row r="388">
      <c r="A388" s="321"/>
      <c r="B388" s="321"/>
      <c r="C388" s="323"/>
      <c r="D388" s="284"/>
      <c r="E388" s="321"/>
      <c r="F388" s="324"/>
      <c r="G388" s="321"/>
      <c r="H388" s="321"/>
      <c r="I388" s="321"/>
      <c r="J388" s="321"/>
      <c r="K388" s="321"/>
      <c r="L388" s="321"/>
      <c r="M388" s="321"/>
    </row>
    <row r="389">
      <c r="A389" s="321"/>
      <c r="B389" s="321"/>
      <c r="C389" s="323"/>
      <c r="D389" s="284"/>
      <c r="E389" s="321"/>
      <c r="F389" s="324"/>
      <c r="G389" s="321"/>
      <c r="H389" s="321"/>
      <c r="I389" s="321"/>
      <c r="J389" s="321"/>
      <c r="K389" s="321"/>
      <c r="L389" s="321"/>
      <c r="M389" s="321"/>
    </row>
    <row r="390">
      <c r="A390" s="321"/>
      <c r="B390" s="321"/>
      <c r="C390" s="323"/>
      <c r="D390" s="284"/>
      <c r="E390" s="321"/>
      <c r="F390" s="324"/>
      <c r="G390" s="321"/>
      <c r="H390" s="321"/>
      <c r="I390" s="321"/>
      <c r="J390" s="321"/>
      <c r="K390" s="321"/>
      <c r="L390" s="321"/>
      <c r="M390" s="321"/>
    </row>
    <row r="391">
      <c r="A391" s="321"/>
      <c r="B391" s="321"/>
      <c r="C391" s="323"/>
      <c r="D391" s="284"/>
      <c r="E391" s="321"/>
      <c r="F391" s="324"/>
      <c r="G391" s="321"/>
      <c r="H391" s="321"/>
      <c r="I391" s="321"/>
      <c r="J391" s="321"/>
      <c r="K391" s="321"/>
      <c r="L391" s="321"/>
      <c r="M391" s="321"/>
    </row>
    <row r="392">
      <c r="A392" s="321"/>
      <c r="B392" s="321"/>
      <c r="C392" s="323"/>
      <c r="D392" s="284"/>
      <c r="E392" s="321"/>
      <c r="F392" s="324"/>
      <c r="G392" s="321"/>
      <c r="H392" s="321"/>
      <c r="I392" s="321"/>
      <c r="J392" s="321"/>
      <c r="K392" s="321"/>
      <c r="L392" s="321"/>
      <c r="M392" s="321"/>
    </row>
    <row r="393">
      <c r="A393" s="321"/>
      <c r="B393" s="321"/>
      <c r="C393" s="323"/>
      <c r="D393" s="284"/>
      <c r="E393" s="321"/>
      <c r="F393" s="324"/>
      <c r="G393" s="321"/>
      <c r="H393" s="321"/>
      <c r="I393" s="321"/>
      <c r="J393" s="321"/>
      <c r="K393" s="321"/>
      <c r="L393" s="321"/>
      <c r="M393" s="321"/>
    </row>
    <row r="394">
      <c r="A394" s="321"/>
      <c r="B394" s="321"/>
      <c r="C394" s="323"/>
      <c r="D394" s="284"/>
      <c r="E394" s="321"/>
      <c r="F394" s="324"/>
      <c r="G394" s="321"/>
      <c r="H394" s="321"/>
      <c r="I394" s="321"/>
      <c r="J394" s="321"/>
      <c r="K394" s="321"/>
      <c r="L394" s="321"/>
      <c r="M394" s="321"/>
    </row>
    <row r="395">
      <c r="A395" s="321"/>
      <c r="B395" s="321"/>
      <c r="C395" s="323"/>
      <c r="D395" s="284"/>
      <c r="E395" s="321"/>
      <c r="F395" s="324"/>
      <c r="G395" s="321"/>
      <c r="H395" s="321"/>
      <c r="I395" s="321"/>
      <c r="J395" s="321"/>
      <c r="K395" s="321"/>
      <c r="L395" s="321"/>
      <c r="M395" s="321"/>
    </row>
    <row r="396">
      <c r="A396" s="321"/>
      <c r="B396" s="321"/>
      <c r="C396" s="323"/>
      <c r="D396" s="284"/>
      <c r="E396" s="321"/>
      <c r="F396" s="324"/>
      <c r="G396" s="321"/>
      <c r="H396" s="321"/>
      <c r="I396" s="321"/>
      <c r="J396" s="321"/>
      <c r="K396" s="321"/>
      <c r="L396" s="321"/>
      <c r="M396" s="321"/>
    </row>
    <row r="397">
      <c r="A397" s="321"/>
      <c r="B397" s="321"/>
      <c r="C397" s="323"/>
      <c r="D397" s="284"/>
      <c r="E397" s="321"/>
      <c r="F397" s="324"/>
      <c r="G397" s="321"/>
      <c r="H397" s="321"/>
      <c r="I397" s="321"/>
      <c r="J397" s="321"/>
      <c r="K397" s="321"/>
      <c r="L397" s="321"/>
      <c r="M397" s="321"/>
    </row>
    <row r="398">
      <c r="A398" s="321"/>
      <c r="B398" s="321"/>
      <c r="C398" s="323"/>
      <c r="D398" s="284"/>
      <c r="E398" s="321"/>
      <c r="F398" s="324"/>
      <c r="G398" s="321"/>
      <c r="H398" s="321"/>
      <c r="I398" s="321"/>
      <c r="J398" s="321"/>
      <c r="K398" s="321"/>
      <c r="L398" s="321"/>
      <c r="M398" s="321"/>
    </row>
    <row r="399">
      <c r="A399" s="321"/>
      <c r="B399" s="321"/>
      <c r="C399" s="323"/>
      <c r="D399" s="284"/>
      <c r="E399" s="321"/>
      <c r="F399" s="324"/>
      <c r="G399" s="321"/>
      <c r="H399" s="321"/>
      <c r="I399" s="321"/>
      <c r="J399" s="321"/>
      <c r="K399" s="321"/>
      <c r="L399" s="321"/>
      <c r="M399" s="321"/>
    </row>
    <row r="400">
      <c r="A400" s="321"/>
      <c r="B400" s="321"/>
      <c r="C400" s="323"/>
      <c r="D400" s="284"/>
      <c r="E400" s="321"/>
      <c r="F400" s="324"/>
      <c r="G400" s="321"/>
      <c r="H400" s="321"/>
      <c r="I400" s="321"/>
      <c r="J400" s="321"/>
      <c r="K400" s="321"/>
      <c r="L400" s="321"/>
      <c r="M400" s="321"/>
    </row>
    <row r="401">
      <c r="A401" s="321"/>
      <c r="B401" s="321"/>
      <c r="C401" s="323"/>
      <c r="D401" s="284"/>
      <c r="E401" s="321"/>
      <c r="F401" s="324"/>
      <c r="G401" s="321"/>
      <c r="H401" s="321"/>
      <c r="I401" s="321"/>
      <c r="J401" s="321"/>
      <c r="K401" s="321"/>
      <c r="L401" s="321"/>
      <c r="M401" s="321"/>
    </row>
    <row r="402">
      <c r="A402" s="321"/>
      <c r="B402" s="321"/>
      <c r="C402" s="323"/>
      <c r="D402" s="284"/>
      <c r="E402" s="321"/>
      <c r="F402" s="324"/>
      <c r="G402" s="321"/>
      <c r="H402" s="321"/>
      <c r="I402" s="321"/>
      <c r="J402" s="321"/>
      <c r="K402" s="321"/>
      <c r="L402" s="321"/>
      <c r="M402" s="321"/>
    </row>
    <row r="403">
      <c r="A403" s="321"/>
      <c r="B403" s="321"/>
      <c r="C403" s="323"/>
      <c r="D403" s="284"/>
      <c r="E403" s="321"/>
      <c r="F403" s="324"/>
      <c r="G403" s="321"/>
      <c r="H403" s="321"/>
      <c r="I403" s="321"/>
      <c r="J403" s="321"/>
      <c r="K403" s="321"/>
      <c r="L403" s="321"/>
      <c r="M403" s="321"/>
    </row>
    <row r="404">
      <c r="A404" s="321"/>
      <c r="B404" s="321"/>
      <c r="C404" s="323"/>
      <c r="D404" s="284"/>
      <c r="E404" s="321"/>
      <c r="F404" s="324"/>
      <c r="G404" s="321"/>
      <c r="H404" s="321"/>
      <c r="I404" s="321"/>
      <c r="J404" s="321"/>
      <c r="K404" s="321"/>
      <c r="L404" s="321"/>
      <c r="M404" s="321"/>
    </row>
    <row r="405">
      <c r="A405" s="321"/>
      <c r="B405" s="321"/>
      <c r="C405" s="323"/>
      <c r="D405" s="284"/>
      <c r="E405" s="321"/>
      <c r="F405" s="324"/>
      <c r="G405" s="321"/>
      <c r="H405" s="321"/>
      <c r="I405" s="321"/>
      <c r="J405" s="321"/>
      <c r="K405" s="321"/>
      <c r="L405" s="321"/>
      <c r="M405" s="321"/>
    </row>
    <row r="406">
      <c r="A406" s="321"/>
      <c r="B406" s="321"/>
      <c r="C406" s="323"/>
      <c r="D406" s="284"/>
      <c r="E406" s="321"/>
      <c r="F406" s="324"/>
      <c r="G406" s="321"/>
      <c r="H406" s="321"/>
      <c r="I406" s="321"/>
      <c r="J406" s="321"/>
      <c r="K406" s="321"/>
      <c r="L406" s="321"/>
      <c r="M406" s="321"/>
    </row>
    <row r="407">
      <c r="A407" s="321"/>
      <c r="B407" s="321"/>
      <c r="C407" s="323"/>
      <c r="D407" s="284"/>
      <c r="E407" s="321"/>
      <c r="F407" s="324"/>
      <c r="G407" s="321"/>
      <c r="H407" s="321"/>
      <c r="I407" s="321"/>
      <c r="J407" s="321"/>
      <c r="K407" s="321"/>
      <c r="L407" s="321"/>
      <c r="M407" s="321"/>
    </row>
    <row r="408">
      <c r="A408" s="321"/>
      <c r="B408" s="321"/>
      <c r="C408" s="323"/>
      <c r="D408" s="284"/>
      <c r="E408" s="321"/>
      <c r="F408" s="324"/>
      <c r="G408" s="321"/>
      <c r="H408" s="321"/>
      <c r="I408" s="321"/>
      <c r="J408" s="321"/>
      <c r="K408" s="321"/>
      <c r="L408" s="321"/>
      <c r="M408" s="321"/>
    </row>
    <row r="409">
      <c r="A409" s="321"/>
      <c r="B409" s="321"/>
      <c r="C409" s="323"/>
      <c r="D409" s="284"/>
      <c r="E409" s="321"/>
      <c r="F409" s="324"/>
      <c r="G409" s="321"/>
      <c r="H409" s="321"/>
      <c r="I409" s="321"/>
      <c r="J409" s="321"/>
      <c r="K409" s="321"/>
      <c r="L409" s="321"/>
      <c r="M409" s="321"/>
    </row>
    <row r="410">
      <c r="A410" s="321"/>
      <c r="B410" s="321"/>
      <c r="C410" s="323"/>
      <c r="D410" s="284"/>
      <c r="E410" s="321"/>
      <c r="F410" s="324"/>
      <c r="G410" s="321"/>
      <c r="H410" s="321"/>
      <c r="I410" s="321"/>
      <c r="J410" s="321"/>
      <c r="K410" s="321"/>
      <c r="L410" s="321"/>
      <c r="M410" s="321"/>
    </row>
    <row r="411">
      <c r="A411" s="321"/>
      <c r="B411" s="321"/>
      <c r="C411" s="323"/>
      <c r="D411" s="284"/>
      <c r="E411" s="321"/>
      <c r="F411" s="324"/>
      <c r="G411" s="321"/>
      <c r="H411" s="321"/>
      <c r="I411" s="321"/>
      <c r="J411" s="321"/>
      <c r="K411" s="321"/>
      <c r="L411" s="321"/>
      <c r="M411" s="321"/>
    </row>
    <row r="412">
      <c r="A412" s="321"/>
      <c r="B412" s="321"/>
      <c r="C412" s="323"/>
      <c r="D412" s="284"/>
      <c r="E412" s="321"/>
      <c r="F412" s="324"/>
      <c r="G412" s="321"/>
      <c r="H412" s="321"/>
      <c r="I412" s="321"/>
      <c r="J412" s="321"/>
      <c r="K412" s="321"/>
      <c r="L412" s="321"/>
      <c r="M412" s="321"/>
    </row>
    <row r="413">
      <c r="A413" s="321"/>
      <c r="B413" s="321"/>
      <c r="C413" s="323"/>
      <c r="D413" s="284"/>
      <c r="E413" s="321"/>
      <c r="F413" s="324"/>
      <c r="G413" s="321"/>
      <c r="H413" s="321"/>
      <c r="I413" s="321"/>
      <c r="J413" s="321"/>
      <c r="K413" s="321"/>
      <c r="L413" s="321"/>
      <c r="M413" s="321"/>
    </row>
    <row r="414">
      <c r="A414" s="321"/>
      <c r="B414" s="321"/>
      <c r="C414" s="323"/>
      <c r="D414" s="284"/>
      <c r="E414" s="321"/>
      <c r="F414" s="324"/>
      <c r="G414" s="321"/>
      <c r="H414" s="321"/>
      <c r="I414" s="321"/>
      <c r="J414" s="321"/>
      <c r="K414" s="321"/>
      <c r="L414" s="321"/>
      <c r="M414" s="321"/>
    </row>
    <row r="415">
      <c r="A415" s="321"/>
      <c r="B415" s="321"/>
      <c r="C415" s="323"/>
      <c r="D415" s="284"/>
      <c r="E415" s="321"/>
      <c r="F415" s="324"/>
      <c r="G415" s="321"/>
      <c r="H415" s="321"/>
      <c r="I415" s="321"/>
      <c r="J415" s="321"/>
      <c r="K415" s="321"/>
      <c r="L415" s="321"/>
      <c r="M415" s="321"/>
    </row>
    <row r="416">
      <c r="A416" s="321"/>
      <c r="B416" s="321"/>
      <c r="C416" s="323"/>
      <c r="D416" s="284"/>
      <c r="E416" s="321"/>
      <c r="F416" s="324"/>
      <c r="G416" s="321"/>
      <c r="H416" s="321"/>
      <c r="I416" s="321"/>
      <c r="J416" s="321"/>
      <c r="K416" s="321"/>
      <c r="L416" s="321"/>
      <c r="M416" s="321"/>
    </row>
    <row r="417">
      <c r="A417" s="321"/>
      <c r="B417" s="321"/>
      <c r="C417" s="323"/>
      <c r="D417" s="284"/>
      <c r="E417" s="321"/>
      <c r="F417" s="324"/>
      <c r="G417" s="321"/>
      <c r="H417" s="321"/>
      <c r="I417" s="321"/>
      <c r="J417" s="321"/>
      <c r="K417" s="321"/>
      <c r="L417" s="321"/>
      <c r="M417" s="321"/>
    </row>
    <row r="418">
      <c r="A418" s="321"/>
      <c r="B418" s="321"/>
      <c r="C418" s="323"/>
      <c r="D418" s="284"/>
      <c r="E418" s="321"/>
      <c r="F418" s="324"/>
      <c r="G418" s="321"/>
      <c r="H418" s="321"/>
      <c r="I418" s="321"/>
      <c r="J418" s="321"/>
      <c r="K418" s="321"/>
      <c r="L418" s="321"/>
      <c r="M418" s="321"/>
    </row>
    <row r="419">
      <c r="A419" s="321"/>
      <c r="B419" s="321"/>
      <c r="C419" s="323"/>
      <c r="D419" s="284"/>
      <c r="E419" s="321"/>
      <c r="F419" s="324"/>
      <c r="G419" s="321"/>
      <c r="H419" s="321"/>
      <c r="I419" s="321"/>
      <c r="J419" s="321"/>
      <c r="K419" s="321"/>
      <c r="L419" s="321"/>
      <c r="M419" s="321"/>
    </row>
    <row r="420">
      <c r="A420" s="321"/>
      <c r="B420" s="321"/>
      <c r="C420" s="323"/>
      <c r="D420" s="284"/>
      <c r="E420" s="321"/>
      <c r="F420" s="324"/>
      <c r="G420" s="321"/>
      <c r="H420" s="321"/>
      <c r="I420" s="321"/>
      <c r="J420" s="321"/>
      <c r="K420" s="321"/>
      <c r="L420" s="321"/>
      <c r="M420" s="321"/>
    </row>
    <row r="421">
      <c r="A421" s="321"/>
      <c r="B421" s="321"/>
      <c r="C421" s="323"/>
      <c r="D421" s="284"/>
      <c r="E421" s="321"/>
      <c r="F421" s="324"/>
      <c r="G421" s="321"/>
      <c r="H421" s="321"/>
      <c r="I421" s="321"/>
      <c r="J421" s="321"/>
      <c r="K421" s="321"/>
      <c r="L421" s="321"/>
      <c r="M421" s="321"/>
    </row>
    <row r="422">
      <c r="A422" s="321"/>
      <c r="B422" s="321"/>
      <c r="C422" s="323"/>
      <c r="D422" s="284"/>
      <c r="E422" s="321"/>
      <c r="F422" s="324"/>
      <c r="G422" s="321"/>
      <c r="H422" s="321"/>
      <c r="I422" s="321"/>
      <c r="J422" s="321"/>
      <c r="K422" s="321"/>
      <c r="L422" s="321"/>
      <c r="M422" s="321"/>
    </row>
    <row r="423">
      <c r="A423" s="321"/>
      <c r="B423" s="321"/>
      <c r="C423" s="323"/>
      <c r="D423" s="284"/>
      <c r="E423" s="321"/>
      <c r="F423" s="324"/>
      <c r="G423" s="321"/>
      <c r="H423" s="321"/>
      <c r="I423" s="321"/>
      <c r="J423" s="321"/>
      <c r="K423" s="321"/>
      <c r="L423" s="321"/>
      <c r="M423" s="321"/>
    </row>
    <row r="424">
      <c r="A424" s="321"/>
      <c r="B424" s="321"/>
      <c r="C424" s="323"/>
      <c r="D424" s="284"/>
      <c r="E424" s="321"/>
      <c r="F424" s="324"/>
      <c r="G424" s="321"/>
      <c r="H424" s="321"/>
      <c r="I424" s="321"/>
      <c r="J424" s="321"/>
      <c r="K424" s="321"/>
      <c r="L424" s="321"/>
      <c r="M424" s="321"/>
    </row>
    <row r="425">
      <c r="A425" s="321"/>
      <c r="B425" s="321"/>
      <c r="C425" s="323"/>
      <c r="D425" s="284"/>
      <c r="E425" s="321"/>
      <c r="F425" s="324"/>
      <c r="G425" s="321"/>
      <c r="H425" s="321"/>
      <c r="I425" s="321"/>
      <c r="J425" s="321"/>
      <c r="K425" s="321"/>
      <c r="L425" s="321"/>
      <c r="M425" s="321"/>
    </row>
    <row r="426">
      <c r="A426" s="321"/>
      <c r="B426" s="321"/>
      <c r="C426" s="323"/>
      <c r="D426" s="284"/>
      <c r="E426" s="321"/>
      <c r="F426" s="324"/>
      <c r="G426" s="321"/>
      <c r="H426" s="321"/>
      <c r="I426" s="321"/>
      <c r="J426" s="321"/>
      <c r="K426" s="321"/>
      <c r="L426" s="321"/>
      <c r="M426" s="321"/>
    </row>
    <row r="427">
      <c r="A427" s="321"/>
      <c r="B427" s="321"/>
      <c r="C427" s="323"/>
      <c r="D427" s="284"/>
      <c r="E427" s="321"/>
      <c r="F427" s="324"/>
      <c r="G427" s="321"/>
      <c r="H427" s="321"/>
      <c r="I427" s="321"/>
      <c r="J427" s="321"/>
      <c r="K427" s="321"/>
      <c r="L427" s="321"/>
      <c r="M427" s="321"/>
    </row>
    <row r="428">
      <c r="A428" s="321"/>
      <c r="B428" s="321"/>
      <c r="C428" s="323"/>
      <c r="D428" s="284"/>
      <c r="E428" s="321"/>
      <c r="F428" s="324"/>
      <c r="G428" s="321"/>
      <c r="H428" s="321"/>
      <c r="I428" s="321"/>
      <c r="J428" s="321"/>
      <c r="K428" s="321"/>
      <c r="L428" s="321"/>
      <c r="M428" s="321"/>
    </row>
    <row r="429">
      <c r="A429" s="321"/>
      <c r="B429" s="321"/>
      <c r="C429" s="323"/>
      <c r="D429" s="284"/>
      <c r="E429" s="321"/>
      <c r="F429" s="324"/>
      <c r="G429" s="321"/>
      <c r="H429" s="321"/>
      <c r="I429" s="321"/>
      <c r="J429" s="321"/>
      <c r="K429" s="321"/>
      <c r="L429" s="321"/>
      <c r="M429" s="321"/>
    </row>
    <row r="430">
      <c r="A430" s="321"/>
      <c r="B430" s="321"/>
      <c r="C430" s="323"/>
      <c r="D430" s="284"/>
      <c r="E430" s="321"/>
      <c r="F430" s="324"/>
      <c r="G430" s="321"/>
      <c r="H430" s="321"/>
      <c r="I430" s="321"/>
      <c r="J430" s="321"/>
      <c r="K430" s="321"/>
      <c r="L430" s="321"/>
      <c r="M430" s="321"/>
    </row>
    <row r="431">
      <c r="A431" s="321"/>
      <c r="B431" s="321"/>
      <c r="C431" s="323"/>
      <c r="D431" s="284"/>
      <c r="E431" s="321"/>
      <c r="F431" s="324"/>
      <c r="G431" s="321"/>
      <c r="H431" s="321"/>
      <c r="I431" s="321"/>
      <c r="J431" s="321"/>
      <c r="K431" s="321"/>
      <c r="L431" s="321"/>
      <c r="M431" s="321"/>
    </row>
    <row r="432">
      <c r="A432" s="321"/>
      <c r="B432" s="321"/>
      <c r="C432" s="323"/>
      <c r="D432" s="284"/>
      <c r="E432" s="321"/>
      <c r="F432" s="324"/>
      <c r="G432" s="321"/>
      <c r="H432" s="321"/>
      <c r="I432" s="321"/>
      <c r="J432" s="321"/>
      <c r="K432" s="321"/>
      <c r="L432" s="321"/>
      <c r="M432" s="321"/>
    </row>
    <row r="433">
      <c r="A433" s="321"/>
      <c r="B433" s="321"/>
      <c r="C433" s="323"/>
      <c r="D433" s="284"/>
      <c r="E433" s="321"/>
      <c r="F433" s="324"/>
      <c r="G433" s="321"/>
      <c r="H433" s="321"/>
      <c r="I433" s="321"/>
      <c r="J433" s="321"/>
      <c r="K433" s="321"/>
      <c r="L433" s="321"/>
      <c r="M433" s="321"/>
    </row>
    <row r="434">
      <c r="A434" s="321"/>
      <c r="B434" s="321"/>
      <c r="C434" s="323"/>
      <c r="D434" s="284"/>
      <c r="E434" s="321"/>
      <c r="F434" s="324"/>
      <c r="G434" s="321"/>
      <c r="H434" s="321"/>
      <c r="I434" s="321"/>
      <c r="J434" s="321"/>
      <c r="K434" s="321"/>
      <c r="L434" s="321"/>
      <c r="M434" s="321"/>
    </row>
    <row r="435">
      <c r="A435" s="321"/>
      <c r="B435" s="321"/>
      <c r="C435" s="323"/>
      <c r="D435" s="284"/>
      <c r="E435" s="321"/>
      <c r="F435" s="324"/>
      <c r="G435" s="321"/>
      <c r="H435" s="321"/>
      <c r="I435" s="321"/>
      <c r="J435" s="321"/>
      <c r="K435" s="321"/>
      <c r="L435" s="321"/>
      <c r="M435" s="321"/>
    </row>
    <row r="436">
      <c r="A436" s="321"/>
      <c r="B436" s="321"/>
      <c r="C436" s="323"/>
      <c r="D436" s="284"/>
      <c r="E436" s="321"/>
      <c r="F436" s="324"/>
      <c r="G436" s="321"/>
      <c r="H436" s="321"/>
      <c r="I436" s="321"/>
      <c r="J436" s="321"/>
      <c r="K436" s="321"/>
      <c r="L436" s="321"/>
      <c r="M436" s="321"/>
    </row>
    <row r="437">
      <c r="A437" s="321"/>
      <c r="B437" s="321"/>
      <c r="C437" s="323"/>
      <c r="D437" s="284"/>
      <c r="E437" s="321"/>
      <c r="F437" s="324"/>
      <c r="G437" s="321"/>
      <c r="H437" s="321"/>
      <c r="I437" s="321"/>
      <c r="J437" s="321"/>
      <c r="K437" s="321"/>
      <c r="L437" s="321"/>
      <c r="M437" s="321"/>
    </row>
    <row r="438">
      <c r="A438" s="321"/>
      <c r="B438" s="321"/>
      <c r="C438" s="323"/>
      <c r="D438" s="284"/>
      <c r="E438" s="321"/>
      <c r="F438" s="324"/>
      <c r="G438" s="321"/>
      <c r="H438" s="321"/>
      <c r="I438" s="321"/>
      <c r="J438" s="321"/>
      <c r="K438" s="321"/>
      <c r="L438" s="321"/>
      <c r="M438" s="321"/>
    </row>
    <row r="439">
      <c r="A439" s="321"/>
      <c r="B439" s="321"/>
      <c r="C439" s="323"/>
      <c r="D439" s="284"/>
      <c r="E439" s="321"/>
      <c r="F439" s="324"/>
      <c r="G439" s="321"/>
      <c r="H439" s="321"/>
      <c r="I439" s="321"/>
      <c r="J439" s="321"/>
      <c r="K439" s="321"/>
      <c r="L439" s="321"/>
      <c r="M439" s="321"/>
    </row>
    <row r="440">
      <c r="A440" s="321"/>
      <c r="B440" s="321"/>
      <c r="C440" s="323"/>
      <c r="D440" s="284"/>
      <c r="E440" s="321"/>
      <c r="F440" s="324"/>
      <c r="G440" s="321"/>
      <c r="H440" s="321"/>
      <c r="I440" s="321"/>
      <c r="J440" s="321"/>
      <c r="K440" s="321"/>
      <c r="L440" s="321"/>
      <c r="M440" s="321"/>
    </row>
    <row r="441">
      <c r="A441" s="321"/>
      <c r="B441" s="321"/>
      <c r="C441" s="323"/>
      <c r="D441" s="284"/>
      <c r="E441" s="321"/>
      <c r="F441" s="324"/>
      <c r="G441" s="321"/>
      <c r="H441" s="321"/>
      <c r="I441" s="321"/>
      <c r="J441" s="321"/>
      <c r="K441" s="321"/>
      <c r="L441" s="321"/>
      <c r="M441" s="321"/>
    </row>
    <row r="442">
      <c r="A442" s="321"/>
      <c r="B442" s="321"/>
      <c r="C442" s="323"/>
      <c r="D442" s="284"/>
      <c r="E442" s="321"/>
      <c r="F442" s="324"/>
      <c r="G442" s="321"/>
      <c r="H442" s="321"/>
      <c r="I442" s="321"/>
      <c r="J442" s="321"/>
      <c r="K442" s="321"/>
      <c r="L442" s="321"/>
      <c r="M442" s="321"/>
    </row>
    <row r="443">
      <c r="A443" s="321"/>
      <c r="B443" s="321"/>
      <c r="C443" s="323"/>
      <c r="D443" s="284"/>
      <c r="E443" s="321"/>
      <c r="F443" s="324"/>
      <c r="G443" s="321"/>
      <c r="H443" s="321"/>
      <c r="I443" s="321"/>
      <c r="J443" s="321"/>
      <c r="K443" s="321"/>
      <c r="L443" s="321"/>
      <c r="M443" s="321"/>
    </row>
    <row r="444">
      <c r="A444" s="321"/>
      <c r="B444" s="321"/>
      <c r="C444" s="323"/>
      <c r="D444" s="284"/>
      <c r="E444" s="321"/>
      <c r="F444" s="324"/>
      <c r="G444" s="321"/>
      <c r="H444" s="321"/>
      <c r="I444" s="321"/>
      <c r="J444" s="321"/>
      <c r="K444" s="321"/>
      <c r="L444" s="321"/>
      <c r="M444" s="321"/>
    </row>
    <row r="445">
      <c r="A445" s="321"/>
      <c r="B445" s="321"/>
      <c r="C445" s="323"/>
      <c r="D445" s="284"/>
      <c r="E445" s="321"/>
      <c r="F445" s="324"/>
      <c r="G445" s="321"/>
      <c r="H445" s="321"/>
      <c r="I445" s="321"/>
      <c r="J445" s="321"/>
      <c r="K445" s="321"/>
      <c r="L445" s="321"/>
      <c r="M445" s="321"/>
    </row>
    <row r="446">
      <c r="A446" s="321"/>
      <c r="B446" s="321"/>
      <c r="C446" s="323"/>
      <c r="D446" s="284"/>
      <c r="E446" s="321"/>
      <c r="F446" s="324"/>
      <c r="G446" s="321"/>
      <c r="H446" s="321"/>
      <c r="I446" s="321"/>
      <c r="J446" s="321"/>
      <c r="K446" s="321"/>
      <c r="L446" s="321"/>
      <c r="M446" s="321"/>
    </row>
    <row r="447">
      <c r="A447" s="321"/>
      <c r="B447" s="321"/>
      <c r="C447" s="323"/>
      <c r="D447" s="284"/>
      <c r="E447" s="321"/>
      <c r="F447" s="324"/>
      <c r="G447" s="321"/>
      <c r="H447" s="321"/>
      <c r="I447" s="321"/>
      <c r="J447" s="321"/>
      <c r="K447" s="321"/>
      <c r="L447" s="321"/>
      <c r="M447" s="321"/>
    </row>
    <row r="448">
      <c r="A448" s="321"/>
      <c r="B448" s="321"/>
      <c r="C448" s="323"/>
      <c r="D448" s="284"/>
      <c r="E448" s="321"/>
      <c r="F448" s="324"/>
      <c r="G448" s="321"/>
      <c r="H448" s="321"/>
      <c r="I448" s="321"/>
      <c r="J448" s="321"/>
      <c r="K448" s="321"/>
      <c r="L448" s="321"/>
      <c r="M448" s="321"/>
    </row>
    <row r="449">
      <c r="A449" s="321"/>
      <c r="B449" s="321"/>
      <c r="C449" s="323"/>
      <c r="D449" s="284"/>
      <c r="E449" s="321"/>
      <c r="F449" s="324"/>
      <c r="G449" s="321"/>
      <c r="H449" s="321"/>
      <c r="I449" s="321"/>
      <c r="J449" s="321"/>
      <c r="K449" s="321"/>
      <c r="L449" s="321"/>
      <c r="M449" s="321"/>
    </row>
    <row r="450">
      <c r="A450" s="321"/>
      <c r="B450" s="321"/>
      <c r="C450" s="323"/>
      <c r="D450" s="284"/>
      <c r="E450" s="321"/>
      <c r="F450" s="324"/>
      <c r="G450" s="321"/>
      <c r="H450" s="321"/>
      <c r="I450" s="321"/>
      <c r="J450" s="321"/>
      <c r="K450" s="321"/>
      <c r="L450" s="321"/>
      <c r="M450" s="321"/>
    </row>
    <row r="451">
      <c r="A451" s="321"/>
      <c r="B451" s="321"/>
      <c r="C451" s="323"/>
      <c r="D451" s="284"/>
      <c r="E451" s="321"/>
      <c r="F451" s="324"/>
      <c r="G451" s="321"/>
      <c r="H451" s="321"/>
      <c r="I451" s="321"/>
      <c r="J451" s="321"/>
      <c r="K451" s="321"/>
      <c r="L451" s="321"/>
      <c r="M451" s="321"/>
    </row>
    <row r="452">
      <c r="A452" s="321"/>
      <c r="B452" s="321"/>
      <c r="C452" s="323"/>
      <c r="D452" s="284"/>
      <c r="E452" s="321"/>
      <c r="F452" s="324"/>
      <c r="G452" s="321"/>
      <c r="H452" s="321"/>
      <c r="I452" s="321"/>
      <c r="J452" s="321"/>
      <c r="K452" s="321"/>
      <c r="L452" s="321"/>
      <c r="M452" s="321"/>
    </row>
    <row r="453">
      <c r="A453" s="321"/>
      <c r="B453" s="321"/>
      <c r="C453" s="323"/>
      <c r="D453" s="284"/>
      <c r="E453" s="321"/>
      <c r="F453" s="324"/>
      <c r="G453" s="321"/>
      <c r="H453" s="321"/>
      <c r="I453" s="321"/>
      <c r="J453" s="321"/>
      <c r="K453" s="321"/>
      <c r="L453" s="321"/>
      <c r="M453" s="321"/>
    </row>
    <row r="454">
      <c r="A454" s="321"/>
      <c r="B454" s="321"/>
      <c r="C454" s="323"/>
      <c r="D454" s="284"/>
      <c r="E454" s="321"/>
      <c r="F454" s="324"/>
      <c r="G454" s="321"/>
      <c r="H454" s="321"/>
      <c r="I454" s="321"/>
      <c r="J454" s="321"/>
      <c r="K454" s="321"/>
      <c r="L454" s="321"/>
      <c r="M454" s="321"/>
    </row>
    <row r="455">
      <c r="A455" s="321"/>
      <c r="B455" s="321"/>
      <c r="C455" s="323"/>
      <c r="D455" s="284"/>
      <c r="E455" s="321"/>
      <c r="F455" s="324"/>
      <c r="G455" s="321"/>
      <c r="H455" s="321"/>
      <c r="I455" s="321"/>
      <c r="J455" s="321"/>
      <c r="K455" s="321"/>
      <c r="L455" s="321"/>
      <c r="M455" s="321"/>
    </row>
    <row r="456">
      <c r="A456" s="321"/>
      <c r="B456" s="321"/>
      <c r="C456" s="323"/>
      <c r="D456" s="284"/>
      <c r="E456" s="321"/>
      <c r="F456" s="324"/>
      <c r="G456" s="321"/>
      <c r="H456" s="321"/>
      <c r="I456" s="321"/>
      <c r="J456" s="321"/>
      <c r="K456" s="321"/>
      <c r="L456" s="321"/>
      <c r="M456" s="321"/>
    </row>
    <row r="457">
      <c r="A457" s="321"/>
      <c r="B457" s="321"/>
      <c r="C457" s="323"/>
      <c r="D457" s="284"/>
      <c r="E457" s="321"/>
      <c r="F457" s="324"/>
      <c r="G457" s="321"/>
      <c r="H457" s="321"/>
      <c r="I457" s="321"/>
      <c r="J457" s="321"/>
      <c r="K457" s="321"/>
      <c r="L457" s="321"/>
      <c r="M457" s="321"/>
    </row>
    <row r="458">
      <c r="A458" s="321"/>
      <c r="B458" s="321"/>
      <c r="C458" s="323"/>
      <c r="D458" s="284"/>
      <c r="E458" s="321"/>
      <c r="F458" s="324"/>
      <c r="G458" s="321"/>
      <c r="H458" s="321"/>
      <c r="I458" s="321"/>
      <c r="J458" s="321"/>
      <c r="K458" s="321"/>
      <c r="L458" s="321"/>
      <c r="M458" s="321"/>
    </row>
    <row r="459">
      <c r="A459" s="321"/>
      <c r="B459" s="321"/>
      <c r="C459" s="323"/>
      <c r="D459" s="284"/>
      <c r="E459" s="321"/>
      <c r="F459" s="324"/>
      <c r="G459" s="321"/>
      <c r="H459" s="321"/>
      <c r="I459" s="321"/>
      <c r="J459" s="321"/>
      <c r="K459" s="321"/>
      <c r="L459" s="321"/>
      <c r="M459" s="321"/>
    </row>
    <row r="460">
      <c r="A460" s="321"/>
      <c r="B460" s="321"/>
      <c r="C460" s="323"/>
      <c r="D460" s="284"/>
      <c r="E460" s="321"/>
      <c r="F460" s="324"/>
      <c r="G460" s="321"/>
      <c r="H460" s="321"/>
      <c r="I460" s="321"/>
      <c r="J460" s="321"/>
      <c r="K460" s="321"/>
      <c r="L460" s="321"/>
      <c r="M460" s="321"/>
    </row>
    <row r="461">
      <c r="A461" s="321"/>
      <c r="B461" s="321"/>
      <c r="C461" s="323"/>
      <c r="D461" s="284"/>
      <c r="E461" s="321"/>
      <c r="F461" s="324"/>
      <c r="G461" s="321"/>
      <c r="H461" s="321"/>
      <c r="I461" s="321"/>
      <c r="J461" s="321"/>
      <c r="K461" s="321"/>
      <c r="L461" s="321"/>
      <c r="M461" s="321"/>
    </row>
    <row r="462">
      <c r="A462" s="321"/>
      <c r="B462" s="321"/>
      <c r="C462" s="323"/>
      <c r="D462" s="284"/>
      <c r="E462" s="321"/>
      <c r="F462" s="324"/>
      <c r="G462" s="321"/>
      <c r="H462" s="321"/>
      <c r="I462" s="321"/>
      <c r="J462" s="321"/>
      <c r="K462" s="321"/>
      <c r="L462" s="321"/>
      <c r="M462" s="321"/>
    </row>
    <row r="463">
      <c r="A463" s="321"/>
      <c r="B463" s="321"/>
      <c r="C463" s="323"/>
      <c r="D463" s="284"/>
      <c r="E463" s="321"/>
      <c r="F463" s="324"/>
      <c r="G463" s="321"/>
      <c r="H463" s="321"/>
      <c r="I463" s="321"/>
      <c r="J463" s="321"/>
      <c r="K463" s="321"/>
      <c r="L463" s="321"/>
      <c r="M463" s="321"/>
    </row>
    <row r="464">
      <c r="A464" s="321"/>
      <c r="B464" s="321"/>
      <c r="C464" s="323"/>
      <c r="D464" s="284"/>
      <c r="E464" s="321"/>
      <c r="F464" s="324"/>
      <c r="G464" s="321"/>
      <c r="H464" s="321"/>
      <c r="I464" s="321"/>
      <c r="J464" s="321"/>
      <c r="K464" s="321"/>
      <c r="L464" s="321"/>
      <c r="M464" s="321"/>
    </row>
    <row r="465">
      <c r="A465" s="321"/>
      <c r="B465" s="321"/>
      <c r="C465" s="323"/>
      <c r="D465" s="284"/>
      <c r="E465" s="321"/>
      <c r="F465" s="324"/>
      <c r="G465" s="321"/>
      <c r="H465" s="321"/>
      <c r="I465" s="321"/>
      <c r="J465" s="321"/>
      <c r="K465" s="321"/>
      <c r="L465" s="321"/>
      <c r="M465" s="321"/>
    </row>
    <row r="466">
      <c r="A466" s="321"/>
      <c r="B466" s="321"/>
      <c r="C466" s="323"/>
      <c r="D466" s="284"/>
      <c r="E466" s="321"/>
      <c r="F466" s="324"/>
      <c r="G466" s="321"/>
      <c r="H466" s="321"/>
      <c r="I466" s="321"/>
      <c r="J466" s="321"/>
      <c r="K466" s="321"/>
      <c r="L466" s="321"/>
      <c r="M466" s="321"/>
    </row>
    <row r="467">
      <c r="A467" s="321"/>
      <c r="B467" s="321"/>
      <c r="C467" s="323"/>
      <c r="D467" s="284"/>
      <c r="E467" s="321"/>
      <c r="F467" s="324"/>
      <c r="G467" s="321"/>
      <c r="H467" s="321"/>
      <c r="I467" s="321"/>
      <c r="J467" s="321"/>
      <c r="K467" s="321"/>
      <c r="L467" s="321"/>
      <c r="M467" s="321"/>
    </row>
    <row r="468">
      <c r="A468" s="321"/>
      <c r="B468" s="321"/>
      <c r="C468" s="323"/>
      <c r="D468" s="284"/>
      <c r="E468" s="321"/>
      <c r="F468" s="324"/>
      <c r="G468" s="321"/>
      <c r="H468" s="321"/>
      <c r="I468" s="321"/>
      <c r="J468" s="321"/>
      <c r="K468" s="321"/>
      <c r="L468" s="321"/>
      <c r="M468" s="321"/>
    </row>
    <row r="469">
      <c r="A469" s="321"/>
      <c r="B469" s="321"/>
      <c r="C469" s="323"/>
      <c r="D469" s="284"/>
      <c r="E469" s="321"/>
      <c r="F469" s="324"/>
      <c r="G469" s="321"/>
      <c r="H469" s="321"/>
      <c r="I469" s="321"/>
      <c r="J469" s="321"/>
      <c r="K469" s="321"/>
      <c r="L469" s="321"/>
      <c r="M469" s="321"/>
    </row>
    <row r="470">
      <c r="A470" s="321"/>
      <c r="B470" s="321"/>
      <c r="C470" s="323"/>
      <c r="D470" s="284"/>
      <c r="E470" s="321"/>
      <c r="F470" s="324"/>
      <c r="G470" s="321"/>
      <c r="H470" s="321"/>
      <c r="I470" s="321"/>
      <c r="J470" s="321"/>
      <c r="K470" s="321"/>
      <c r="L470" s="321"/>
      <c r="M470" s="321"/>
    </row>
    <row r="471">
      <c r="A471" s="321"/>
      <c r="B471" s="321"/>
      <c r="C471" s="323"/>
      <c r="D471" s="284"/>
      <c r="E471" s="321"/>
      <c r="F471" s="324"/>
      <c r="G471" s="321"/>
      <c r="H471" s="321"/>
      <c r="I471" s="321"/>
      <c r="J471" s="321"/>
      <c r="K471" s="321"/>
      <c r="L471" s="321"/>
      <c r="M471" s="321"/>
    </row>
    <row r="472">
      <c r="A472" s="321"/>
      <c r="B472" s="321"/>
      <c r="C472" s="323"/>
      <c r="D472" s="284"/>
      <c r="E472" s="321"/>
      <c r="F472" s="324"/>
      <c r="G472" s="321"/>
      <c r="H472" s="321"/>
      <c r="I472" s="321"/>
      <c r="J472" s="321"/>
      <c r="K472" s="321"/>
      <c r="L472" s="321"/>
      <c r="M472" s="321"/>
    </row>
    <row r="473">
      <c r="A473" s="321"/>
      <c r="B473" s="321"/>
      <c r="C473" s="323"/>
      <c r="D473" s="284"/>
      <c r="E473" s="321"/>
      <c r="F473" s="324"/>
      <c r="G473" s="321"/>
      <c r="H473" s="321"/>
      <c r="I473" s="321"/>
      <c r="J473" s="321"/>
      <c r="K473" s="321"/>
      <c r="L473" s="321"/>
      <c r="M473" s="321"/>
    </row>
    <row r="474">
      <c r="A474" s="321"/>
      <c r="B474" s="321"/>
      <c r="C474" s="323"/>
      <c r="D474" s="284"/>
      <c r="E474" s="321"/>
      <c r="F474" s="324"/>
      <c r="G474" s="321"/>
      <c r="H474" s="321"/>
      <c r="I474" s="321"/>
      <c r="J474" s="321"/>
      <c r="K474" s="321"/>
      <c r="L474" s="321"/>
      <c r="M474" s="321"/>
    </row>
    <row r="475">
      <c r="A475" s="321"/>
      <c r="B475" s="321"/>
      <c r="C475" s="323"/>
      <c r="D475" s="284"/>
      <c r="E475" s="321"/>
      <c r="F475" s="324"/>
      <c r="G475" s="321"/>
      <c r="H475" s="321"/>
      <c r="I475" s="321"/>
      <c r="J475" s="321"/>
      <c r="K475" s="321"/>
      <c r="L475" s="321"/>
      <c r="M475" s="321"/>
    </row>
    <row r="476">
      <c r="A476" s="321"/>
      <c r="B476" s="321"/>
      <c r="C476" s="323"/>
      <c r="D476" s="284"/>
      <c r="E476" s="321"/>
      <c r="F476" s="324"/>
      <c r="G476" s="321"/>
      <c r="H476" s="321"/>
      <c r="I476" s="321"/>
      <c r="J476" s="321"/>
      <c r="K476" s="321"/>
      <c r="L476" s="321"/>
      <c r="M476" s="321"/>
    </row>
    <row r="477">
      <c r="A477" s="321"/>
      <c r="B477" s="321"/>
      <c r="C477" s="323"/>
      <c r="D477" s="284"/>
      <c r="E477" s="321"/>
      <c r="F477" s="324"/>
      <c r="G477" s="321"/>
      <c r="H477" s="321"/>
      <c r="I477" s="321"/>
      <c r="J477" s="321"/>
      <c r="K477" s="321"/>
      <c r="L477" s="321"/>
      <c r="M477" s="321"/>
    </row>
    <row r="478">
      <c r="A478" s="321"/>
      <c r="B478" s="321"/>
      <c r="C478" s="323"/>
      <c r="D478" s="284"/>
      <c r="E478" s="321"/>
      <c r="F478" s="324"/>
      <c r="G478" s="321"/>
      <c r="H478" s="321"/>
      <c r="I478" s="321"/>
      <c r="J478" s="321"/>
      <c r="K478" s="321"/>
      <c r="L478" s="321"/>
      <c r="M478" s="321"/>
    </row>
    <row r="479">
      <c r="A479" s="321"/>
      <c r="B479" s="321"/>
      <c r="C479" s="323"/>
      <c r="D479" s="284"/>
      <c r="E479" s="321"/>
      <c r="F479" s="324"/>
      <c r="G479" s="321"/>
      <c r="H479" s="321"/>
      <c r="I479" s="321"/>
      <c r="J479" s="321"/>
      <c r="K479" s="321"/>
      <c r="L479" s="321"/>
      <c r="M479" s="321"/>
    </row>
    <row r="480">
      <c r="A480" s="321"/>
      <c r="B480" s="321"/>
      <c r="C480" s="323"/>
      <c r="D480" s="284"/>
      <c r="E480" s="321"/>
      <c r="F480" s="324"/>
      <c r="G480" s="321"/>
      <c r="H480" s="321"/>
      <c r="I480" s="321"/>
      <c r="J480" s="321"/>
      <c r="K480" s="321"/>
      <c r="L480" s="321"/>
      <c r="M480" s="321"/>
    </row>
    <row r="481">
      <c r="A481" s="321"/>
      <c r="B481" s="321"/>
      <c r="C481" s="323"/>
      <c r="D481" s="284"/>
      <c r="E481" s="321"/>
      <c r="F481" s="324"/>
      <c r="G481" s="321"/>
      <c r="H481" s="321"/>
      <c r="I481" s="321"/>
      <c r="J481" s="321"/>
      <c r="K481" s="321"/>
      <c r="L481" s="321"/>
      <c r="M481" s="321"/>
    </row>
    <row r="482">
      <c r="A482" s="321"/>
      <c r="B482" s="321"/>
      <c r="C482" s="323"/>
      <c r="D482" s="284"/>
      <c r="E482" s="321"/>
      <c r="F482" s="324"/>
      <c r="G482" s="321"/>
      <c r="H482" s="321"/>
      <c r="I482" s="321"/>
      <c r="J482" s="321"/>
      <c r="K482" s="321"/>
      <c r="L482" s="321"/>
      <c r="M482" s="321"/>
    </row>
    <row r="483">
      <c r="A483" s="321"/>
      <c r="B483" s="321"/>
      <c r="C483" s="323"/>
      <c r="D483" s="284"/>
      <c r="E483" s="321"/>
      <c r="F483" s="324"/>
      <c r="G483" s="321"/>
      <c r="H483" s="321"/>
      <c r="I483" s="321"/>
      <c r="J483" s="321"/>
      <c r="K483" s="321"/>
      <c r="L483" s="321"/>
      <c r="M483" s="321"/>
    </row>
    <row r="484">
      <c r="A484" s="321"/>
      <c r="B484" s="321"/>
      <c r="C484" s="323"/>
      <c r="D484" s="284"/>
      <c r="E484" s="321"/>
      <c r="F484" s="324"/>
      <c r="G484" s="321"/>
      <c r="H484" s="321"/>
      <c r="I484" s="321"/>
      <c r="J484" s="321"/>
      <c r="K484" s="321"/>
      <c r="L484" s="321"/>
      <c r="M484" s="321"/>
    </row>
    <row r="485">
      <c r="A485" s="321"/>
      <c r="B485" s="321"/>
      <c r="C485" s="323"/>
      <c r="D485" s="284"/>
      <c r="E485" s="321"/>
      <c r="F485" s="324"/>
      <c r="G485" s="321"/>
      <c r="H485" s="321"/>
      <c r="I485" s="321"/>
      <c r="J485" s="321"/>
      <c r="K485" s="321"/>
      <c r="L485" s="321"/>
      <c r="M485" s="321"/>
    </row>
    <row r="486">
      <c r="A486" s="321"/>
      <c r="B486" s="321"/>
      <c r="C486" s="323"/>
      <c r="D486" s="284"/>
      <c r="E486" s="321"/>
      <c r="F486" s="324"/>
      <c r="G486" s="321"/>
      <c r="H486" s="321"/>
      <c r="I486" s="321"/>
      <c r="J486" s="321"/>
      <c r="K486" s="321"/>
      <c r="L486" s="321"/>
      <c r="M486" s="321"/>
    </row>
    <row r="487">
      <c r="A487" s="321"/>
      <c r="B487" s="321"/>
      <c r="C487" s="323"/>
      <c r="D487" s="284"/>
      <c r="E487" s="321"/>
      <c r="F487" s="324"/>
      <c r="G487" s="321"/>
      <c r="H487" s="321"/>
      <c r="I487" s="321"/>
      <c r="J487" s="321"/>
      <c r="K487" s="321"/>
      <c r="L487" s="321"/>
      <c r="M487" s="321"/>
    </row>
    <row r="488">
      <c r="A488" s="321"/>
      <c r="B488" s="321"/>
      <c r="C488" s="323"/>
      <c r="D488" s="284"/>
      <c r="E488" s="321"/>
      <c r="F488" s="324"/>
      <c r="G488" s="321"/>
      <c r="H488" s="321"/>
      <c r="I488" s="321"/>
      <c r="J488" s="321"/>
      <c r="K488" s="321"/>
      <c r="L488" s="321"/>
      <c r="M488" s="321"/>
    </row>
    <row r="489">
      <c r="A489" s="321"/>
      <c r="B489" s="321"/>
      <c r="C489" s="323"/>
      <c r="D489" s="284"/>
      <c r="E489" s="321"/>
      <c r="F489" s="324"/>
      <c r="G489" s="321"/>
      <c r="H489" s="321"/>
      <c r="I489" s="321"/>
      <c r="J489" s="321"/>
      <c r="K489" s="321"/>
      <c r="L489" s="321"/>
      <c r="M489" s="321"/>
    </row>
    <row r="490">
      <c r="A490" s="321"/>
      <c r="B490" s="321"/>
      <c r="C490" s="323"/>
      <c r="D490" s="284"/>
      <c r="E490" s="321"/>
      <c r="F490" s="324"/>
      <c r="G490" s="321"/>
      <c r="H490" s="321"/>
      <c r="I490" s="321"/>
      <c r="J490" s="321"/>
      <c r="K490" s="321"/>
      <c r="L490" s="321"/>
      <c r="M490" s="321"/>
    </row>
    <row r="491">
      <c r="A491" s="321"/>
      <c r="B491" s="321"/>
      <c r="C491" s="323"/>
      <c r="D491" s="284"/>
      <c r="E491" s="321"/>
      <c r="F491" s="324"/>
      <c r="G491" s="321"/>
      <c r="H491" s="321"/>
      <c r="I491" s="321"/>
      <c r="J491" s="321"/>
      <c r="K491" s="321"/>
      <c r="L491" s="321"/>
      <c r="M491" s="321"/>
    </row>
    <row r="492">
      <c r="A492" s="321"/>
      <c r="B492" s="321"/>
      <c r="C492" s="323"/>
      <c r="D492" s="284"/>
      <c r="E492" s="321"/>
      <c r="F492" s="324"/>
      <c r="G492" s="321"/>
      <c r="H492" s="321"/>
      <c r="I492" s="321"/>
      <c r="J492" s="321"/>
      <c r="K492" s="321"/>
      <c r="L492" s="321"/>
      <c r="M492" s="321"/>
    </row>
    <row r="493">
      <c r="A493" s="321"/>
      <c r="B493" s="321"/>
      <c r="C493" s="323"/>
      <c r="D493" s="284"/>
      <c r="E493" s="321"/>
      <c r="F493" s="324"/>
      <c r="G493" s="321"/>
      <c r="H493" s="321"/>
      <c r="I493" s="321"/>
      <c r="J493" s="321"/>
      <c r="K493" s="321"/>
      <c r="L493" s="321"/>
      <c r="M493" s="321"/>
    </row>
    <row r="494">
      <c r="A494" s="321"/>
      <c r="B494" s="321"/>
      <c r="C494" s="323"/>
      <c r="D494" s="284"/>
      <c r="E494" s="321"/>
      <c r="F494" s="324"/>
      <c r="G494" s="321"/>
      <c r="H494" s="321"/>
      <c r="I494" s="321"/>
      <c r="J494" s="321"/>
      <c r="K494" s="321"/>
      <c r="L494" s="321"/>
      <c r="M494" s="321"/>
    </row>
    <row r="495">
      <c r="A495" s="321"/>
      <c r="B495" s="321"/>
      <c r="C495" s="323"/>
      <c r="D495" s="284"/>
      <c r="E495" s="321"/>
      <c r="F495" s="324"/>
      <c r="G495" s="321"/>
      <c r="H495" s="321"/>
      <c r="I495" s="321"/>
      <c r="J495" s="321"/>
      <c r="K495" s="321"/>
      <c r="L495" s="321"/>
      <c r="M495" s="321"/>
    </row>
    <row r="496">
      <c r="A496" s="321"/>
      <c r="B496" s="321"/>
      <c r="C496" s="323"/>
      <c r="D496" s="284"/>
      <c r="E496" s="321"/>
      <c r="F496" s="324"/>
      <c r="G496" s="321"/>
      <c r="H496" s="321"/>
      <c r="I496" s="321"/>
      <c r="J496" s="321"/>
      <c r="K496" s="321"/>
      <c r="L496" s="321"/>
      <c r="M496" s="321"/>
    </row>
    <row r="497">
      <c r="A497" s="321"/>
      <c r="B497" s="321"/>
      <c r="C497" s="323"/>
      <c r="D497" s="284"/>
      <c r="E497" s="321"/>
      <c r="F497" s="324"/>
      <c r="G497" s="321"/>
      <c r="H497" s="321"/>
      <c r="I497" s="321"/>
      <c r="J497" s="321"/>
      <c r="K497" s="321"/>
      <c r="L497" s="321"/>
      <c r="M497" s="321"/>
    </row>
    <row r="498">
      <c r="A498" s="321"/>
      <c r="B498" s="321"/>
      <c r="C498" s="323"/>
      <c r="D498" s="284"/>
      <c r="E498" s="321"/>
      <c r="F498" s="324"/>
      <c r="G498" s="321"/>
      <c r="H498" s="321"/>
      <c r="I498" s="321"/>
      <c r="J498" s="321"/>
      <c r="K498" s="321"/>
      <c r="L498" s="321"/>
      <c r="M498" s="321"/>
    </row>
    <row r="499">
      <c r="A499" s="321"/>
      <c r="B499" s="321"/>
      <c r="C499" s="323"/>
      <c r="D499" s="284"/>
      <c r="E499" s="321"/>
      <c r="F499" s="324"/>
      <c r="G499" s="321"/>
      <c r="H499" s="321"/>
      <c r="I499" s="321"/>
      <c r="J499" s="321"/>
      <c r="K499" s="321"/>
      <c r="L499" s="321"/>
      <c r="M499" s="321"/>
    </row>
    <row r="500">
      <c r="A500" s="321"/>
      <c r="B500" s="321"/>
      <c r="C500" s="323"/>
      <c r="D500" s="284"/>
      <c r="E500" s="321"/>
      <c r="F500" s="324"/>
      <c r="G500" s="321"/>
      <c r="H500" s="321"/>
      <c r="I500" s="321"/>
      <c r="J500" s="321"/>
      <c r="K500" s="321"/>
      <c r="L500" s="321"/>
      <c r="M500" s="321"/>
    </row>
    <row r="501">
      <c r="A501" s="321"/>
      <c r="B501" s="321"/>
      <c r="C501" s="323"/>
      <c r="D501" s="284"/>
      <c r="E501" s="321"/>
      <c r="F501" s="324"/>
      <c r="G501" s="321"/>
      <c r="H501" s="321"/>
      <c r="I501" s="321"/>
      <c r="J501" s="321"/>
      <c r="K501" s="321"/>
      <c r="L501" s="321"/>
      <c r="M501" s="321"/>
    </row>
    <row r="502">
      <c r="A502" s="321"/>
      <c r="B502" s="321"/>
      <c r="C502" s="323"/>
      <c r="D502" s="284"/>
      <c r="E502" s="321"/>
      <c r="F502" s="324"/>
      <c r="G502" s="321"/>
      <c r="H502" s="321"/>
      <c r="I502" s="321"/>
      <c r="J502" s="321"/>
      <c r="K502" s="321"/>
      <c r="L502" s="321"/>
      <c r="M502" s="321"/>
    </row>
    <row r="503">
      <c r="A503" s="321"/>
      <c r="B503" s="321"/>
      <c r="C503" s="323"/>
      <c r="D503" s="284"/>
      <c r="E503" s="321"/>
      <c r="F503" s="324"/>
      <c r="G503" s="321"/>
      <c r="H503" s="321"/>
      <c r="I503" s="321"/>
      <c r="J503" s="321"/>
      <c r="K503" s="321"/>
      <c r="L503" s="321"/>
      <c r="M503" s="321"/>
    </row>
    <row r="504">
      <c r="A504" s="321"/>
      <c r="B504" s="321"/>
      <c r="C504" s="323"/>
      <c r="D504" s="284"/>
      <c r="E504" s="321"/>
      <c r="F504" s="324"/>
      <c r="G504" s="321"/>
      <c r="H504" s="321"/>
      <c r="I504" s="321"/>
      <c r="J504" s="321"/>
      <c r="K504" s="321"/>
      <c r="L504" s="321"/>
      <c r="M504" s="321"/>
    </row>
    <row r="505">
      <c r="A505" s="321"/>
      <c r="B505" s="321"/>
      <c r="C505" s="323"/>
      <c r="D505" s="284"/>
      <c r="E505" s="321"/>
      <c r="F505" s="324"/>
      <c r="G505" s="321"/>
      <c r="H505" s="321"/>
      <c r="I505" s="321"/>
      <c r="J505" s="321"/>
      <c r="K505" s="321"/>
      <c r="L505" s="321"/>
      <c r="M505" s="321"/>
    </row>
    <row r="506">
      <c r="A506" s="321"/>
      <c r="B506" s="321"/>
      <c r="C506" s="323"/>
      <c r="D506" s="284"/>
      <c r="E506" s="321"/>
      <c r="F506" s="324"/>
      <c r="G506" s="321"/>
      <c r="H506" s="321"/>
      <c r="I506" s="321"/>
      <c r="J506" s="321"/>
      <c r="K506" s="321"/>
      <c r="L506" s="321"/>
      <c r="M506" s="321"/>
    </row>
    <row r="507">
      <c r="A507" s="321"/>
      <c r="B507" s="321"/>
      <c r="C507" s="323"/>
      <c r="D507" s="284"/>
      <c r="E507" s="321"/>
      <c r="F507" s="324"/>
      <c r="G507" s="321"/>
      <c r="H507" s="321"/>
      <c r="I507" s="321"/>
      <c r="J507" s="321"/>
      <c r="K507" s="321"/>
      <c r="L507" s="321"/>
      <c r="M507" s="321"/>
    </row>
    <row r="508">
      <c r="A508" s="321"/>
      <c r="B508" s="321"/>
      <c r="C508" s="323"/>
      <c r="D508" s="284"/>
      <c r="E508" s="321"/>
      <c r="F508" s="324"/>
      <c r="G508" s="321"/>
      <c r="H508" s="321"/>
      <c r="I508" s="321"/>
      <c r="J508" s="321"/>
      <c r="K508" s="321"/>
      <c r="L508" s="321"/>
      <c r="M508" s="321"/>
    </row>
    <row r="509">
      <c r="A509" s="321"/>
      <c r="B509" s="321"/>
      <c r="C509" s="323"/>
      <c r="D509" s="284"/>
      <c r="E509" s="321"/>
      <c r="F509" s="324"/>
      <c r="G509" s="321"/>
      <c r="H509" s="321"/>
      <c r="I509" s="321"/>
      <c r="J509" s="321"/>
      <c r="K509" s="321"/>
      <c r="L509" s="321"/>
      <c r="M509" s="321"/>
    </row>
    <row r="510">
      <c r="A510" s="321"/>
      <c r="B510" s="321"/>
      <c r="C510" s="323"/>
      <c r="D510" s="284"/>
      <c r="E510" s="321"/>
      <c r="F510" s="324"/>
      <c r="G510" s="321"/>
      <c r="H510" s="321"/>
      <c r="I510" s="321"/>
      <c r="J510" s="321"/>
      <c r="K510" s="321"/>
      <c r="L510" s="321"/>
      <c r="M510" s="321"/>
    </row>
    <row r="511">
      <c r="A511" s="321"/>
      <c r="B511" s="321"/>
      <c r="C511" s="323"/>
      <c r="D511" s="284"/>
      <c r="E511" s="321"/>
      <c r="F511" s="324"/>
      <c r="G511" s="321"/>
      <c r="H511" s="321"/>
      <c r="I511" s="321"/>
      <c r="J511" s="321"/>
      <c r="K511" s="321"/>
      <c r="L511" s="321"/>
      <c r="M511" s="321"/>
    </row>
    <row r="512">
      <c r="A512" s="321"/>
      <c r="B512" s="321"/>
      <c r="C512" s="323"/>
      <c r="D512" s="284"/>
      <c r="E512" s="321"/>
      <c r="F512" s="324"/>
      <c r="G512" s="321"/>
      <c r="H512" s="321"/>
      <c r="I512" s="321"/>
      <c r="J512" s="321"/>
      <c r="K512" s="321"/>
      <c r="L512" s="321"/>
      <c r="M512" s="321"/>
    </row>
    <row r="513">
      <c r="A513" s="321"/>
      <c r="B513" s="321"/>
      <c r="C513" s="323"/>
      <c r="D513" s="284"/>
      <c r="E513" s="321"/>
      <c r="F513" s="324"/>
      <c r="G513" s="321"/>
      <c r="H513" s="321"/>
      <c r="I513" s="321"/>
      <c r="J513" s="321"/>
      <c r="K513" s="321"/>
      <c r="L513" s="321"/>
      <c r="M513" s="321"/>
    </row>
    <row r="514">
      <c r="A514" s="321"/>
      <c r="B514" s="321"/>
      <c r="C514" s="323"/>
      <c r="D514" s="284"/>
      <c r="E514" s="321"/>
      <c r="F514" s="324"/>
      <c r="G514" s="321"/>
      <c r="H514" s="321"/>
      <c r="I514" s="321"/>
      <c r="J514" s="321"/>
      <c r="K514" s="321"/>
      <c r="L514" s="321"/>
      <c r="M514" s="321"/>
    </row>
    <row r="515">
      <c r="A515" s="321"/>
      <c r="B515" s="321"/>
      <c r="C515" s="323"/>
      <c r="D515" s="284"/>
      <c r="E515" s="321"/>
      <c r="F515" s="324"/>
      <c r="G515" s="321"/>
      <c r="H515" s="321"/>
      <c r="I515" s="321"/>
      <c r="J515" s="321"/>
      <c r="K515" s="321"/>
      <c r="L515" s="321"/>
      <c r="M515" s="321"/>
    </row>
    <row r="516">
      <c r="A516" s="321"/>
      <c r="B516" s="321"/>
      <c r="C516" s="323"/>
      <c r="D516" s="284"/>
      <c r="E516" s="321"/>
      <c r="F516" s="324"/>
      <c r="G516" s="321"/>
      <c r="H516" s="321"/>
      <c r="I516" s="321"/>
      <c r="J516" s="321"/>
      <c r="K516" s="321"/>
      <c r="L516" s="321"/>
      <c r="M516" s="321"/>
    </row>
    <row r="517">
      <c r="A517" s="321"/>
      <c r="B517" s="321"/>
      <c r="C517" s="323"/>
      <c r="D517" s="284"/>
      <c r="E517" s="321"/>
      <c r="F517" s="324"/>
      <c r="G517" s="321"/>
      <c r="H517" s="321"/>
      <c r="I517" s="321"/>
      <c r="J517" s="321"/>
      <c r="K517" s="321"/>
      <c r="L517" s="321"/>
      <c r="M517" s="321"/>
    </row>
    <row r="518">
      <c r="A518" s="321"/>
      <c r="B518" s="321"/>
      <c r="C518" s="323"/>
      <c r="D518" s="284"/>
      <c r="E518" s="321"/>
      <c r="F518" s="324"/>
      <c r="G518" s="321"/>
      <c r="H518" s="321"/>
      <c r="I518" s="321"/>
      <c r="J518" s="321"/>
      <c r="K518" s="321"/>
      <c r="L518" s="321"/>
      <c r="M518" s="321"/>
    </row>
    <row r="519">
      <c r="A519" s="321"/>
      <c r="B519" s="321"/>
      <c r="C519" s="323"/>
      <c r="D519" s="284"/>
      <c r="E519" s="321"/>
      <c r="F519" s="324"/>
      <c r="G519" s="321"/>
      <c r="H519" s="321"/>
      <c r="I519" s="321"/>
      <c r="J519" s="321"/>
      <c r="K519" s="321"/>
      <c r="L519" s="321"/>
      <c r="M519" s="321"/>
    </row>
    <row r="520">
      <c r="A520" s="321"/>
      <c r="B520" s="321"/>
      <c r="C520" s="323"/>
      <c r="D520" s="284"/>
      <c r="E520" s="321"/>
      <c r="F520" s="324"/>
      <c r="G520" s="321"/>
      <c r="H520" s="321"/>
      <c r="I520" s="321"/>
      <c r="J520" s="321"/>
      <c r="K520" s="321"/>
      <c r="L520" s="321"/>
      <c r="M520" s="321"/>
    </row>
    <row r="521">
      <c r="A521" s="321"/>
      <c r="B521" s="321"/>
      <c r="C521" s="323"/>
      <c r="D521" s="284"/>
      <c r="E521" s="321"/>
      <c r="F521" s="324"/>
      <c r="G521" s="321"/>
      <c r="H521" s="321"/>
      <c r="I521" s="321"/>
      <c r="J521" s="321"/>
      <c r="K521" s="321"/>
      <c r="L521" s="321"/>
      <c r="M521" s="321"/>
    </row>
    <row r="522">
      <c r="A522" s="321"/>
      <c r="B522" s="321"/>
      <c r="C522" s="323"/>
      <c r="D522" s="284"/>
      <c r="E522" s="321"/>
      <c r="F522" s="324"/>
      <c r="G522" s="321"/>
      <c r="H522" s="321"/>
      <c r="I522" s="321"/>
      <c r="J522" s="321"/>
      <c r="K522" s="321"/>
      <c r="L522" s="321"/>
      <c r="M522" s="321"/>
    </row>
    <row r="523">
      <c r="A523" s="321"/>
      <c r="B523" s="321"/>
      <c r="C523" s="323"/>
      <c r="D523" s="284"/>
      <c r="E523" s="321"/>
      <c r="F523" s="324"/>
      <c r="G523" s="321"/>
      <c r="H523" s="321"/>
      <c r="I523" s="321"/>
      <c r="J523" s="321"/>
      <c r="K523" s="321"/>
      <c r="L523" s="321"/>
      <c r="M523" s="321"/>
    </row>
    <row r="524">
      <c r="A524" s="321"/>
      <c r="B524" s="321"/>
      <c r="C524" s="323"/>
      <c r="D524" s="284"/>
      <c r="E524" s="321"/>
      <c r="F524" s="324"/>
      <c r="G524" s="321"/>
      <c r="H524" s="321"/>
      <c r="I524" s="321"/>
      <c r="J524" s="321"/>
      <c r="K524" s="321"/>
      <c r="L524" s="321"/>
      <c r="M524" s="321"/>
    </row>
    <row r="525">
      <c r="A525" s="321"/>
      <c r="B525" s="321"/>
      <c r="C525" s="323"/>
      <c r="D525" s="284"/>
      <c r="E525" s="321"/>
      <c r="F525" s="324"/>
      <c r="G525" s="321"/>
      <c r="H525" s="321"/>
      <c r="I525" s="321"/>
      <c r="J525" s="321"/>
      <c r="K525" s="321"/>
      <c r="L525" s="321"/>
      <c r="M525" s="321"/>
    </row>
    <row r="526">
      <c r="A526" s="321"/>
      <c r="B526" s="321"/>
      <c r="C526" s="323"/>
      <c r="D526" s="284"/>
      <c r="E526" s="321"/>
      <c r="F526" s="324"/>
      <c r="G526" s="321"/>
      <c r="H526" s="321"/>
      <c r="I526" s="321"/>
      <c r="J526" s="321"/>
      <c r="K526" s="321"/>
      <c r="L526" s="321"/>
      <c r="M526" s="321"/>
    </row>
    <row r="527">
      <c r="A527" s="321"/>
      <c r="B527" s="321"/>
      <c r="C527" s="323"/>
      <c r="D527" s="284"/>
      <c r="E527" s="321"/>
      <c r="F527" s="324"/>
      <c r="G527" s="321"/>
      <c r="H527" s="321"/>
      <c r="I527" s="321"/>
      <c r="J527" s="321"/>
      <c r="K527" s="321"/>
      <c r="L527" s="321"/>
      <c r="M527" s="321"/>
    </row>
    <row r="528">
      <c r="A528" s="321"/>
      <c r="B528" s="321"/>
      <c r="C528" s="323"/>
      <c r="D528" s="284"/>
      <c r="E528" s="321"/>
      <c r="F528" s="324"/>
      <c r="G528" s="321"/>
      <c r="H528" s="321"/>
      <c r="I528" s="321"/>
      <c r="J528" s="321"/>
      <c r="K528" s="321"/>
      <c r="L528" s="321"/>
      <c r="M528" s="321"/>
    </row>
    <row r="529">
      <c r="A529" s="321"/>
      <c r="B529" s="321"/>
      <c r="C529" s="323"/>
      <c r="D529" s="284"/>
      <c r="E529" s="321"/>
      <c r="F529" s="324"/>
      <c r="G529" s="321"/>
      <c r="H529" s="321"/>
      <c r="I529" s="321"/>
      <c r="J529" s="321"/>
      <c r="K529" s="321"/>
      <c r="L529" s="321"/>
      <c r="M529" s="321"/>
    </row>
    <row r="530">
      <c r="A530" s="321"/>
      <c r="B530" s="321"/>
      <c r="C530" s="323"/>
      <c r="D530" s="284"/>
      <c r="E530" s="321"/>
      <c r="F530" s="324"/>
      <c r="G530" s="321"/>
      <c r="H530" s="321"/>
      <c r="I530" s="321"/>
      <c r="J530" s="321"/>
      <c r="K530" s="321"/>
      <c r="L530" s="321"/>
      <c r="M530" s="321"/>
    </row>
    <row r="531">
      <c r="A531" s="321"/>
      <c r="B531" s="321"/>
      <c r="C531" s="323"/>
      <c r="D531" s="284"/>
      <c r="E531" s="321"/>
      <c r="F531" s="324"/>
      <c r="G531" s="321"/>
      <c r="H531" s="321"/>
      <c r="I531" s="321"/>
      <c r="J531" s="321"/>
      <c r="K531" s="321"/>
      <c r="L531" s="321"/>
      <c r="M531" s="321"/>
    </row>
    <row r="532">
      <c r="A532" s="321"/>
      <c r="B532" s="321"/>
      <c r="C532" s="323"/>
      <c r="D532" s="284"/>
      <c r="E532" s="321"/>
      <c r="F532" s="324"/>
      <c r="G532" s="321"/>
      <c r="H532" s="321"/>
      <c r="I532" s="321"/>
      <c r="J532" s="321"/>
      <c r="K532" s="321"/>
      <c r="L532" s="321"/>
      <c r="M532" s="321"/>
    </row>
    <row r="533">
      <c r="A533" s="321"/>
      <c r="B533" s="321"/>
      <c r="C533" s="323"/>
      <c r="D533" s="284"/>
      <c r="E533" s="321"/>
      <c r="F533" s="324"/>
      <c r="G533" s="321"/>
      <c r="H533" s="321"/>
      <c r="I533" s="321"/>
      <c r="J533" s="321"/>
      <c r="K533" s="321"/>
      <c r="L533" s="321"/>
      <c r="M533" s="321"/>
    </row>
    <row r="534">
      <c r="A534" s="321"/>
      <c r="B534" s="321"/>
      <c r="C534" s="323"/>
      <c r="D534" s="284"/>
      <c r="E534" s="321"/>
      <c r="F534" s="324"/>
      <c r="G534" s="321"/>
      <c r="H534" s="321"/>
      <c r="I534" s="321"/>
      <c r="J534" s="321"/>
      <c r="K534" s="321"/>
      <c r="L534" s="321"/>
      <c r="M534" s="321"/>
    </row>
    <row r="535">
      <c r="A535" s="321"/>
      <c r="B535" s="321"/>
      <c r="C535" s="323"/>
      <c r="D535" s="284"/>
      <c r="E535" s="321"/>
      <c r="F535" s="324"/>
      <c r="G535" s="321"/>
      <c r="H535" s="321"/>
      <c r="I535" s="321"/>
      <c r="J535" s="321"/>
      <c r="K535" s="321"/>
      <c r="L535" s="321"/>
      <c r="M535" s="321"/>
    </row>
    <row r="536">
      <c r="A536" s="321"/>
      <c r="B536" s="321"/>
      <c r="C536" s="323"/>
      <c r="D536" s="284"/>
      <c r="E536" s="321"/>
      <c r="F536" s="324"/>
      <c r="G536" s="321"/>
      <c r="H536" s="321"/>
      <c r="I536" s="321"/>
      <c r="J536" s="321"/>
      <c r="K536" s="321"/>
      <c r="L536" s="321"/>
      <c r="M536" s="321"/>
    </row>
    <row r="537">
      <c r="A537" s="321"/>
      <c r="B537" s="321"/>
      <c r="C537" s="323"/>
      <c r="D537" s="284"/>
      <c r="E537" s="321"/>
      <c r="F537" s="324"/>
      <c r="G537" s="321"/>
      <c r="H537" s="321"/>
      <c r="I537" s="321"/>
      <c r="J537" s="321"/>
      <c r="K537" s="321"/>
      <c r="L537" s="321"/>
      <c r="M537" s="321"/>
    </row>
    <row r="538">
      <c r="A538" s="321"/>
      <c r="B538" s="321"/>
      <c r="C538" s="323"/>
      <c r="D538" s="284"/>
      <c r="E538" s="321"/>
      <c r="F538" s="324"/>
      <c r="G538" s="321"/>
      <c r="H538" s="321"/>
      <c r="I538" s="321"/>
      <c r="J538" s="321"/>
      <c r="K538" s="321"/>
      <c r="L538" s="321"/>
      <c r="M538" s="321"/>
    </row>
    <row r="539">
      <c r="A539" s="321"/>
      <c r="B539" s="321"/>
      <c r="C539" s="323"/>
      <c r="D539" s="284"/>
      <c r="E539" s="321"/>
      <c r="F539" s="324"/>
      <c r="G539" s="321"/>
      <c r="H539" s="321"/>
      <c r="I539" s="321"/>
      <c r="J539" s="321"/>
      <c r="K539" s="321"/>
      <c r="L539" s="321"/>
      <c r="M539" s="321"/>
    </row>
    <row r="540">
      <c r="A540" s="321"/>
      <c r="B540" s="321"/>
      <c r="C540" s="323"/>
      <c r="D540" s="284"/>
      <c r="E540" s="321"/>
      <c r="F540" s="324"/>
      <c r="G540" s="321"/>
      <c r="H540" s="321"/>
      <c r="I540" s="321"/>
      <c r="J540" s="321"/>
      <c r="K540" s="321"/>
      <c r="L540" s="321"/>
      <c r="M540" s="321"/>
    </row>
    <row r="541">
      <c r="A541" s="321"/>
      <c r="B541" s="321"/>
      <c r="C541" s="323"/>
      <c r="D541" s="284"/>
      <c r="E541" s="321"/>
      <c r="F541" s="324"/>
      <c r="G541" s="321"/>
      <c r="H541" s="321"/>
      <c r="I541" s="321"/>
      <c r="J541" s="321"/>
      <c r="K541" s="321"/>
      <c r="L541" s="321"/>
      <c r="M541" s="321"/>
    </row>
    <row r="542">
      <c r="A542" s="321"/>
      <c r="B542" s="321"/>
      <c r="C542" s="323"/>
      <c r="D542" s="284"/>
      <c r="E542" s="321"/>
      <c r="F542" s="324"/>
      <c r="G542" s="321"/>
      <c r="H542" s="321"/>
      <c r="I542" s="321"/>
      <c r="J542" s="321"/>
      <c r="K542" s="321"/>
      <c r="L542" s="321"/>
      <c r="M542" s="321"/>
    </row>
    <row r="543">
      <c r="A543" s="321"/>
      <c r="B543" s="321"/>
      <c r="C543" s="323"/>
      <c r="D543" s="284"/>
      <c r="E543" s="321"/>
      <c r="F543" s="324"/>
      <c r="G543" s="321"/>
      <c r="H543" s="321"/>
      <c r="I543" s="321"/>
      <c r="J543" s="321"/>
      <c r="K543" s="321"/>
      <c r="L543" s="321"/>
      <c r="M543" s="321"/>
    </row>
    <row r="544">
      <c r="A544" s="321"/>
      <c r="B544" s="321"/>
      <c r="C544" s="323"/>
      <c r="D544" s="284"/>
      <c r="E544" s="321"/>
      <c r="F544" s="324"/>
      <c r="G544" s="321"/>
      <c r="H544" s="321"/>
      <c r="I544" s="321"/>
      <c r="J544" s="321"/>
      <c r="K544" s="321"/>
      <c r="L544" s="321"/>
      <c r="M544" s="321"/>
    </row>
    <row r="545">
      <c r="A545" s="321"/>
      <c r="B545" s="321"/>
      <c r="C545" s="323"/>
      <c r="D545" s="284"/>
      <c r="E545" s="321"/>
      <c r="F545" s="324"/>
      <c r="G545" s="321"/>
      <c r="H545" s="321"/>
      <c r="I545" s="321"/>
      <c r="J545" s="321"/>
      <c r="K545" s="321"/>
      <c r="L545" s="321"/>
      <c r="M545" s="321"/>
    </row>
    <row r="546">
      <c r="A546" s="321"/>
      <c r="B546" s="321"/>
      <c r="C546" s="323"/>
      <c r="D546" s="284"/>
      <c r="E546" s="321"/>
      <c r="F546" s="324"/>
      <c r="G546" s="321"/>
      <c r="H546" s="321"/>
      <c r="I546" s="321"/>
      <c r="J546" s="321"/>
      <c r="K546" s="321"/>
      <c r="L546" s="321"/>
      <c r="M546" s="321"/>
    </row>
    <row r="547">
      <c r="A547" s="321"/>
      <c r="B547" s="321"/>
      <c r="C547" s="323"/>
      <c r="D547" s="284"/>
      <c r="E547" s="321"/>
      <c r="F547" s="324"/>
      <c r="G547" s="321"/>
      <c r="H547" s="321"/>
      <c r="I547" s="321"/>
      <c r="J547" s="321"/>
      <c r="K547" s="321"/>
      <c r="L547" s="321"/>
      <c r="M547" s="321"/>
    </row>
    <row r="548">
      <c r="A548" s="321"/>
      <c r="B548" s="321"/>
      <c r="C548" s="323"/>
      <c r="D548" s="284"/>
      <c r="E548" s="321"/>
      <c r="F548" s="324"/>
      <c r="G548" s="321"/>
      <c r="H548" s="321"/>
      <c r="I548" s="321"/>
      <c r="J548" s="321"/>
      <c r="K548" s="321"/>
      <c r="L548" s="321"/>
      <c r="M548" s="321"/>
    </row>
    <row r="549">
      <c r="A549" s="321"/>
      <c r="B549" s="321"/>
      <c r="C549" s="323"/>
      <c r="D549" s="284"/>
      <c r="E549" s="321"/>
      <c r="F549" s="324"/>
      <c r="G549" s="321"/>
      <c r="H549" s="321"/>
      <c r="I549" s="321"/>
      <c r="J549" s="321"/>
      <c r="K549" s="321"/>
      <c r="L549" s="321"/>
      <c r="M549" s="321"/>
    </row>
    <row r="550">
      <c r="A550" s="321"/>
      <c r="B550" s="321"/>
      <c r="C550" s="323"/>
      <c r="D550" s="284"/>
      <c r="E550" s="321"/>
      <c r="F550" s="324"/>
      <c r="G550" s="321"/>
      <c r="H550" s="321"/>
      <c r="I550" s="321"/>
      <c r="J550" s="321"/>
      <c r="K550" s="321"/>
      <c r="L550" s="321"/>
      <c r="M550" s="321"/>
    </row>
    <row r="551">
      <c r="A551" s="321"/>
      <c r="B551" s="321"/>
      <c r="C551" s="323"/>
      <c r="D551" s="284"/>
      <c r="E551" s="321"/>
      <c r="F551" s="324"/>
      <c r="G551" s="321"/>
      <c r="H551" s="321"/>
      <c r="I551" s="321"/>
      <c r="J551" s="321"/>
      <c r="K551" s="321"/>
      <c r="L551" s="321"/>
      <c r="M551" s="321"/>
    </row>
    <row r="552">
      <c r="A552" s="321"/>
      <c r="B552" s="321"/>
      <c r="C552" s="323"/>
      <c r="D552" s="284"/>
      <c r="E552" s="321"/>
      <c r="F552" s="324"/>
      <c r="G552" s="321"/>
      <c r="H552" s="321"/>
      <c r="I552" s="321"/>
      <c r="J552" s="321"/>
      <c r="K552" s="321"/>
      <c r="L552" s="321"/>
      <c r="M552" s="321"/>
    </row>
    <row r="553">
      <c r="A553" s="321"/>
      <c r="B553" s="321"/>
      <c r="C553" s="323"/>
      <c r="D553" s="284"/>
      <c r="E553" s="321"/>
      <c r="F553" s="324"/>
      <c r="G553" s="321"/>
      <c r="H553" s="321"/>
      <c r="I553" s="321"/>
      <c r="J553" s="321"/>
      <c r="K553" s="321"/>
      <c r="L553" s="321"/>
      <c r="M553" s="321"/>
    </row>
    <row r="554">
      <c r="A554" s="321"/>
      <c r="B554" s="321"/>
      <c r="C554" s="323"/>
      <c r="D554" s="284"/>
      <c r="E554" s="321"/>
      <c r="F554" s="324"/>
      <c r="G554" s="321"/>
      <c r="H554" s="321"/>
      <c r="I554" s="321"/>
      <c r="J554" s="321"/>
      <c r="K554" s="321"/>
      <c r="L554" s="321"/>
      <c r="M554" s="321"/>
    </row>
    <row r="555">
      <c r="A555" s="321"/>
      <c r="B555" s="321"/>
      <c r="C555" s="323"/>
      <c r="D555" s="284"/>
      <c r="E555" s="321"/>
      <c r="F555" s="324"/>
      <c r="G555" s="321"/>
      <c r="H555" s="321"/>
      <c r="I555" s="321"/>
      <c r="J555" s="321"/>
      <c r="K555" s="321"/>
      <c r="L555" s="321"/>
      <c r="M555" s="321"/>
    </row>
    <row r="556">
      <c r="A556" s="321"/>
      <c r="B556" s="321"/>
      <c r="C556" s="323"/>
      <c r="D556" s="284"/>
      <c r="E556" s="321"/>
      <c r="F556" s="324"/>
      <c r="G556" s="321"/>
      <c r="H556" s="321"/>
      <c r="I556" s="321"/>
      <c r="J556" s="321"/>
      <c r="K556" s="321"/>
      <c r="L556" s="321"/>
      <c r="M556" s="321"/>
    </row>
    <row r="557">
      <c r="A557" s="321"/>
      <c r="B557" s="321"/>
      <c r="C557" s="323"/>
      <c r="D557" s="284"/>
      <c r="E557" s="321"/>
      <c r="F557" s="324"/>
      <c r="G557" s="321"/>
      <c r="H557" s="321"/>
      <c r="I557" s="321"/>
      <c r="J557" s="321"/>
      <c r="K557" s="321"/>
      <c r="L557" s="321"/>
      <c r="M557" s="321"/>
    </row>
    <row r="558">
      <c r="A558" s="321"/>
      <c r="B558" s="321"/>
      <c r="C558" s="323"/>
      <c r="D558" s="284"/>
      <c r="E558" s="321"/>
      <c r="F558" s="324"/>
      <c r="G558" s="321"/>
      <c r="H558" s="321"/>
      <c r="I558" s="321"/>
      <c r="J558" s="321"/>
      <c r="K558" s="321"/>
      <c r="L558" s="321"/>
      <c r="M558" s="321"/>
    </row>
    <row r="559">
      <c r="A559" s="321"/>
      <c r="B559" s="321"/>
      <c r="C559" s="323"/>
      <c r="D559" s="284"/>
      <c r="E559" s="321"/>
      <c r="F559" s="324"/>
      <c r="G559" s="321"/>
      <c r="H559" s="321"/>
      <c r="I559" s="321"/>
      <c r="J559" s="321"/>
      <c r="K559" s="321"/>
      <c r="L559" s="321"/>
      <c r="M559" s="321"/>
    </row>
    <row r="560">
      <c r="A560" s="321"/>
      <c r="B560" s="321"/>
      <c r="C560" s="323"/>
      <c r="D560" s="284"/>
      <c r="E560" s="321"/>
      <c r="F560" s="324"/>
      <c r="G560" s="321"/>
      <c r="H560" s="321"/>
      <c r="I560" s="321"/>
      <c r="J560" s="321"/>
      <c r="K560" s="321"/>
      <c r="L560" s="321"/>
      <c r="M560" s="321"/>
    </row>
    <row r="561">
      <c r="A561" s="321"/>
      <c r="B561" s="321"/>
      <c r="C561" s="323"/>
      <c r="D561" s="284"/>
      <c r="E561" s="321"/>
      <c r="F561" s="324"/>
      <c r="G561" s="321"/>
      <c r="H561" s="321"/>
      <c r="I561" s="321"/>
      <c r="J561" s="321"/>
      <c r="K561" s="321"/>
      <c r="L561" s="321"/>
      <c r="M561" s="321"/>
    </row>
    <row r="562">
      <c r="A562" s="321"/>
      <c r="B562" s="321"/>
      <c r="C562" s="323"/>
      <c r="D562" s="284"/>
      <c r="E562" s="321"/>
      <c r="F562" s="324"/>
      <c r="G562" s="321"/>
      <c r="H562" s="321"/>
      <c r="I562" s="321"/>
      <c r="J562" s="321"/>
      <c r="K562" s="321"/>
      <c r="L562" s="321"/>
      <c r="M562" s="321"/>
    </row>
    <row r="563">
      <c r="A563" s="321"/>
      <c r="B563" s="321"/>
      <c r="C563" s="323"/>
      <c r="D563" s="284"/>
      <c r="E563" s="321"/>
      <c r="F563" s="324"/>
      <c r="G563" s="321"/>
      <c r="H563" s="321"/>
      <c r="I563" s="321"/>
      <c r="J563" s="321"/>
      <c r="K563" s="321"/>
      <c r="L563" s="321"/>
      <c r="M563" s="321"/>
    </row>
    <row r="564">
      <c r="A564" s="321"/>
      <c r="B564" s="321"/>
      <c r="C564" s="323"/>
      <c r="D564" s="284"/>
      <c r="E564" s="321"/>
      <c r="F564" s="324"/>
      <c r="G564" s="321"/>
      <c r="H564" s="321"/>
      <c r="I564" s="321"/>
      <c r="J564" s="321"/>
      <c r="K564" s="321"/>
      <c r="L564" s="321"/>
      <c r="M564" s="321"/>
    </row>
    <row r="565">
      <c r="A565" s="321"/>
      <c r="B565" s="321"/>
      <c r="C565" s="323"/>
      <c r="D565" s="284"/>
      <c r="E565" s="321"/>
      <c r="F565" s="324"/>
      <c r="G565" s="321"/>
      <c r="H565" s="321"/>
      <c r="I565" s="321"/>
      <c r="J565" s="321"/>
      <c r="K565" s="321"/>
      <c r="L565" s="321"/>
      <c r="M565" s="321"/>
    </row>
    <row r="566">
      <c r="A566" s="321"/>
      <c r="B566" s="321"/>
      <c r="C566" s="323"/>
      <c r="D566" s="284"/>
      <c r="E566" s="321"/>
      <c r="F566" s="324"/>
      <c r="G566" s="321"/>
      <c r="H566" s="321"/>
      <c r="I566" s="321"/>
      <c r="J566" s="321"/>
      <c r="K566" s="321"/>
      <c r="L566" s="321"/>
      <c r="M566" s="321"/>
    </row>
    <row r="567">
      <c r="A567" s="321"/>
      <c r="B567" s="321"/>
      <c r="C567" s="323"/>
      <c r="D567" s="284"/>
      <c r="E567" s="321"/>
      <c r="F567" s="324"/>
      <c r="G567" s="321"/>
      <c r="H567" s="321"/>
      <c r="I567" s="321"/>
      <c r="J567" s="321"/>
      <c r="K567" s="321"/>
      <c r="L567" s="321"/>
      <c r="M567" s="321"/>
    </row>
    <row r="568">
      <c r="A568" s="321"/>
      <c r="B568" s="321"/>
      <c r="C568" s="323"/>
      <c r="D568" s="284"/>
      <c r="E568" s="321"/>
      <c r="F568" s="324"/>
      <c r="G568" s="321"/>
      <c r="H568" s="321"/>
      <c r="I568" s="321"/>
      <c r="J568" s="321"/>
      <c r="K568" s="321"/>
      <c r="L568" s="321"/>
      <c r="M568" s="321"/>
    </row>
    <row r="569">
      <c r="A569" s="321"/>
      <c r="B569" s="321"/>
      <c r="C569" s="323"/>
      <c r="D569" s="284"/>
      <c r="E569" s="321"/>
      <c r="F569" s="324"/>
      <c r="G569" s="321"/>
      <c r="H569" s="321"/>
      <c r="I569" s="321"/>
      <c r="J569" s="321"/>
      <c r="K569" s="321"/>
      <c r="L569" s="321"/>
      <c r="M569" s="321"/>
    </row>
    <row r="570">
      <c r="A570" s="321"/>
      <c r="B570" s="321"/>
      <c r="C570" s="323"/>
      <c r="D570" s="284"/>
      <c r="E570" s="321"/>
      <c r="F570" s="324"/>
      <c r="G570" s="321"/>
      <c r="H570" s="321"/>
      <c r="I570" s="321"/>
      <c r="J570" s="321"/>
      <c r="K570" s="321"/>
      <c r="L570" s="321"/>
      <c r="M570" s="321"/>
    </row>
    <row r="571">
      <c r="A571" s="321"/>
      <c r="B571" s="321"/>
      <c r="C571" s="323"/>
      <c r="D571" s="284"/>
      <c r="E571" s="321"/>
      <c r="F571" s="324"/>
      <c r="G571" s="321"/>
      <c r="H571" s="321"/>
      <c r="I571" s="321"/>
      <c r="J571" s="321"/>
      <c r="K571" s="321"/>
      <c r="L571" s="321"/>
      <c r="M571" s="321"/>
    </row>
    <row r="572">
      <c r="A572" s="321"/>
      <c r="B572" s="321"/>
      <c r="C572" s="323"/>
      <c r="D572" s="284"/>
      <c r="E572" s="321"/>
      <c r="F572" s="324"/>
      <c r="G572" s="321"/>
      <c r="H572" s="321"/>
      <c r="I572" s="321"/>
      <c r="J572" s="321"/>
      <c r="K572" s="321"/>
      <c r="L572" s="321"/>
      <c r="M572" s="321"/>
    </row>
    <row r="573">
      <c r="A573" s="321"/>
      <c r="B573" s="321"/>
      <c r="C573" s="323"/>
      <c r="D573" s="284"/>
      <c r="E573" s="321"/>
      <c r="F573" s="324"/>
      <c r="G573" s="321"/>
      <c r="H573" s="321"/>
      <c r="I573" s="321"/>
      <c r="J573" s="321"/>
      <c r="K573" s="321"/>
      <c r="L573" s="321"/>
      <c r="M573" s="321"/>
    </row>
    <row r="574">
      <c r="A574" s="321"/>
      <c r="B574" s="321"/>
      <c r="C574" s="323"/>
      <c r="D574" s="284"/>
      <c r="E574" s="321"/>
      <c r="F574" s="324"/>
      <c r="G574" s="321"/>
      <c r="H574" s="321"/>
      <c r="I574" s="321"/>
      <c r="J574" s="321"/>
      <c r="K574" s="321"/>
      <c r="L574" s="321"/>
      <c r="M574" s="321"/>
    </row>
    <row r="575">
      <c r="A575" s="321"/>
      <c r="B575" s="321"/>
      <c r="C575" s="323"/>
      <c r="D575" s="284"/>
      <c r="E575" s="321"/>
      <c r="F575" s="324"/>
      <c r="G575" s="321"/>
      <c r="H575" s="321"/>
      <c r="I575" s="321"/>
      <c r="J575" s="321"/>
      <c r="K575" s="321"/>
      <c r="L575" s="321"/>
      <c r="M575" s="321"/>
    </row>
    <row r="576">
      <c r="A576" s="321"/>
      <c r="B576" s="321"/>
      <c r="C576" s="323"/>
      <c r="D576" s="284"/>
      <c r="E576" s="321"/>
      <c r="F576" s="324"/>
      <c r="G576" s="321"/>
      <c r="H576" s="321"/>
      <c r="I576" s="321"/>
      <c r="J576" s="321"/>
      <c r="K576" s="321"/>
      <c r="L576" s="321"/>
      <c r="M576" s="321"/>
    </row>
    <row r="577">
      <c r="A577" s="321"/>
      <c r="B577" s="321"/>
      <c r="C577" s="323"/>
      <c r="D577" s="284"/>
      <c r="E577" s="321"/>
      <c r="F577" s="324"/>
      <c r="G577" s="321"/>
      <c r="H577" s="321"/>
      <c r="I577" s="321"/>
      <c r="J577" s="321"/>
      <c r="K577" s="321"/>
      <c r="L577" s="321"/>
      <c r="M577" s="321"/>
    </row>
    <row r="578">
      <c r="A578" s="321"/>
      <c r="B578" s="321"/>
      <c r="C578" s="323"/>
      <c r="D578" s="284"/>
      <c r="E578" s="321"/>
      <c r="F578" s="324"/>
      <c r="G578" s="321"/>
      <c r="H578" s="321"/>
      <c r="I578" s="321"/>
      <c r="J578" s="321"/>
      <c r="K578" s="321"/>
      <c r="L578" s="321"/>
      <c r="M578" s="321"/>
    </row>
    <row r="579">
      <c r="A579" s="321"/>
      <c r="B579" s="321"/>
      <c r="C579" s="323"/>
      <c r="D579" s="284"/>
      <c r="E579" s="321"/>
      <c r="F579" s="324"/>
      <c r="G579" s="321"/>
      <c r="H579" s="321"/>
      <c r="I579" s="321"/>
      <c r="J579" s="321"/>
      <c r="K579" s="321"/>
      <c r="L579" s="321"/>
      <c r="M579" s="321"/>
    </row>
    <row r="580">
      <c r="A580" s="321"/>
      <c r="B580" s="321"/>
      <c r="C580" s="323"/>
      <c r="D580" s="284"/>
      <c r="E580" s="321"/>
      <c r="F580" s="324"/>
      <c r="G580" s="321"/>
      <c r="H580" s="321"/>
      <c r="I580" s="321"/>
      <c r="J580" s="321"/>
      <c r="K580" s="321"/>
      <c r="L580" s="321"/>
      <c r="M580" s="321"/>
    </row>
    <row r="581">
      <c r="A581" s="321"/>
      <c r="B581" s="321"/>
      <c r="C581" s="323"/>
      <c r="D581" s="284"/>
      <c r="E581" s="321"/>
      <c r="F581" s="324"/>
      <c r="G581" s="321"/>
      <c r="H581" s="321"/>
      <c r="I581" s="321"/>
      <c r="J581" s="321"/>
      <c r="K581" s="321"/>
      <c r="L581" s="321"/>
      <c r="M581" s="321"/>
    </row>
    <row r="582">
      <c r="A582" s="321"/>
      <c r="B582" s="321"/>
      <c r="C582" s="323"/>
      <c r="D582" s="284"/>
      <c r="E582" s="321"/>
      <c r="F582" s="324"/>
      <c r="G582" s="321"/>
      <c r="H582" s="321"/>
      <c r="I582" s="321"/>
      <c r="J582" s="321"/>
      <c r="K582" s="321"/>
      <c r="L582" s="321"/>
      <c r="M582" s="321"/>
    </row>
    <row r="583">
      <c r="A583" s="321"/>
      <c r="B583" s="321"/>
      <c r="C583" s="323"/>
      <c r="D583" s="284"/>
      <c r="E583" s="321"/>
      <c r="F583" s="324"/>
      <c r="G583" s="321"/>
      <c r="H583" s="321"/>
      <c r="I583" s="321"/>
      <c r="J583" s="321"/>
      <c r="K583" s="321"/>
      <c r="L583" s="321"/>
      <c r="M583" s="321"/>
    </row>
    <row r="584">
      <c r="A584" s="321"/>
      <c r="B584" s="321"/>
      <c r="C584" s="323"/>
      <c r="D584" s="284"/>
      <c r="E584" s="321"/>
      <c r="F584" s="324"/>
      <c r="G584" s="321"/>
      <c r="H584" s="321"/>
      <c r="I584" s="321"/>
      <c r="J584" s="321"/>
      <c r="K584" s="321"/>
      <c r="L584" s="321"/>
      <c r="M584" s="321"/>
    </row>
    <row r="585">
      <c r="A585" s="321"/>
      <c r="B585" s="321"/>
      <c r="C585" s="323"/>
      <c r="D585" s="284"/>
      <c r="E585" s="321"/>
      <c r="F585" s="324"/>
      <c r="G585" s="321"/>
      <c r="H585" s="321"/>
      <c r="I585" s="321"/>
      <c r="J585" s="321"/>
      <c r="K585" s="321"/>
      <c r="L585" s="321"/>
      <c r="M585" s="321"/>
    </row>
    <row r="586">
      <c r="A586" s="321"/>
      <c r="B586" s="321"/>
      <c r="C586" s="323"/>
      <c r="D586" s="284"/>
      <c r="E586" s="321"/>
      <c r="F586" s="324"/>
      <c r="G586" s="321"/>
      <c r="H586" s="321"/>
      <c r="I586" s="321"/>
      <c r="J586" s="321"/>
      <c r="K586" s="321"/>
      <c r="L586" s="321"/>
      <c r="M586" s="321"/>
    </row>
    <row r="587">
      <c r="A587" s="321"/>
      <c r="B587" s="321"/>
      <c r="C587" s="323"/>
      <c r="D587" s="284"/>
      <c r="E587" s="321"/>
      <c r="F587" s="324"/>
      <c r="G587" s="321"/>
      <c r="H587" s="321"/>
      <c r="I587" s="321"/>
      <c r="J587" s="321"/>
      <c r="K587" s="321"/>
      <c r="L587" s="321"/>
      <c r="M587" s="321"/>
    </row>
    <row r="588">
      <c r="A588" s="321"/>
      <c r="B588" s="321"/>
      <c r="C588" s="323"/>
      <c r="D588" s="284"/>
      <c r="E588" s="321"/>
      <c r="F588" s="324"/>
      <c r="G588" s="321"/>
      <c r="H588" s="321"/>
      <c r="I588" s="321"/>
      <c r="J588" s="321"/>
      <c r="K588" s="321"/>
      <c r="L588" s="321"/>
      <c r="M588" s="321"/>
    </row>
    <row r="589">
      <c r="A589" s="321"/>
      <c r="B589" s="321"/>
      <c r="C589" s="323"/>
      <c r="D589" s="284"/>
      <c r="E589" s="321"/>
      <c r="F589" s="324"/>
      <c r="G589" s="321"/>
      <c r="H589" s="321"/>
      <c r="I589" s="321"/>
      <c r="J589" s="321"/>
      <c r="K589" s="321"/>
      <c r="L589" s="321"/>
      <c r="M589" s="321"/>
    </row>
    <row r="590">
      <c r="A590" s="321"/>
      <c r="B590" s="321"/>
      <c r="C590" s="323"/>
      <c r="D590" s="284"/>
      <c r="E590" s="321"/>
      <c r="F590" s="324"/>
      <c r="G590" s="321"/>
      <c r="H590" s="321"/>
      <c r="I590" s="321"/>
      <c r="J590" s="321"/>
      <c r="K590" s="321"/>
      <c r="L590" s="321"/>
      <c r="M590" s="321"/>
    </row>
    <row r="591">
      <c r="A591" s="321"/>
      <c r="B591" s="321"/>
      <c r="C591" s="323"/>
      <c r="D591" s="284"/>
      <c r="E591" s="321"/>
      <c r="F591" s="324"/>
      <c r="G591" s="321"/>
      <c r="H591" s="321"/>
      <c r="I591" s="321"/>
      <c r="J591" s="321"/>
      <c r="K591" s="321"/>
      <c r="L591" s="321"/>
      <c r="M591" s="321"/>
    </row>
    <row r="592">
      <c r="A592" s="321"/>
      <c r="B592" s="321"/>
      <c r="C592" s="323"/>
      <c r="D592" s="284"/>
      <c r="E592" s="321"/>
      <c r="F592" s="324"/>
      <c r="G592" s="321"/>
      <c r="H592" s="321"/>
      <c r="I592" s="321"/>
      <c r="J592" s="321"/>
      <c r="K592" s="321"/>
      <c r="L592" s="321"/>
      <c r="M592" s="321"/>
    </row>
    <row r="593">
      <c r="A593" s="321"/>
      <c r="B593" s="321"/>
      <c r="C593" s="323"/>
      <c r="D593" s="284"/>
      <c r="E593" s="321"/>
      <c r="F593" s="324"/>
      <c r="G593" s="321"/>
      <c r="H593" s="321"/>
      <c r="I593" s="321"/>
      <c r="J593" s="321"/>
      <c r="K593" s="321"/>
      <c r="L593" s="321"/>
      <c r="M593" s="321"/>
    </row>
    <row r="594">
      <c r="A594" s="321"/>
      <c r="B594" s="321"/>
      <c r="C594" s="323"/>
      <c r="D594" s="284"/>
      <c r="E594" s="321"/>
      <c r="F594" s="324"/>
      <c r="G594" s="321"/>
      <c r="H594" s="321"/>
      <c r="I594" s="321"/>
      <c r="J594" s="321"/>
      <c r="K594" s="321"/>
      <c r="L594" s="321"/>
      <c r="M594" s="321"/>
    </row>
    <row r="595">
      <c r="A595" s="321"/>
      <c r="B595" s="321"/>
      <c r="C595" s="323"/>
      <c r="D595" s="284"/>
      <c r="E595" s="321"/>
      <c r="F595" s="324"/>
      <c r="G595" s="321"/>
      <c r="H595" s="321"/>
      <c r="I595" s="321"/>
      <c r="J595" s="321"/>
      <c r="K595" s="321"/>
      <c r="L595" s="321"/>
      <c r="M595" s="321"/>
    </row>
    <row r="596">
      <c r="A596" s="321"/>
      <c r="B596" s="321"/>
      <c r="C596" s="323"/>
      <c r="D596" s="284"/>
      <c r="E596" s="321"/>
      <c r="F596" s="324"/>
      <c r="G596" s="321"/>
      <c r="H596" s="321"/>
      <c r="I596" s="321"/>
      <c r="J596" s="321"/>
      <c r="K596" s="321"/>
      <c r="L596" s="321"/>
      <c r="M596" s="321"/>
    </row>
    <row r="597">
      <c r="A597" s="321"/>
      <c r="B597" s="321"/>
      <c r="C597" s="323"/>
      <c r="D597" s="284"/>
      <c r="E597" s="321"/>
      <c r="F597" s="324"/>
      <c r="G597" s="321"/>
      <c r="H597" s="321"/>
      <c r="I597" s="321"/>
      <c r="J597" s="321"/>
      <c r="K597" s="321"/>
      <c r="L597" s="321"/>
      <c r="M597" s="321"/>
    </row>
    <row r="598">
      <c r="A598" s="321"/>
      <c r="B598" s="321"/>
      <c r="C598" s="323"/>
      <c r="D598" s="284"/>
      <c r="E598" s="321"/>
      <c r="F598" s="324"/>
      <c r="G598" s="321"/>
      <c r="H598" s="321"/>
      <c r="I598" s="321"/>
      <c r="J598" s="321"/>
      <c r="K598" s="321"/>
      <c r="L598" s="321"/>
      <c r="M598" s="321"/>
    </row>
    <row r="599">
      <c r="A599" s="321"/>
      <c r="B599" s="321"/>
      <c r="C599" s="323"/>
      <c r="D599" s="284"/>
      <c r="E599" s="321"/>
      <c r="F599" s="324"/>
      <c r="G599" s="321"/>
      <c r="H599" s="321"/>
      <c r="I599" s="321"/>
      <c r="J599" s="321"/>
      <c r="K599" s="321"/>
      <c r="L599" s="321"/>
      <c r="M599" s="321"/>
    </row>
    <row r="600">
      <c r="A600" s="321"/>
      <c r="B600" s="321"/>
      <c r="C600" s="323"/>
      <c r="D600" s="284"/>
      <c r="E600" s="321"/>
      <c r="F600" s="324"/>
      <c r="G600" s="321"/>
      <c r="H600" s="321"/>
      <c r="I600" s="321"/>
      <c r="J600" s="321"/>
      <c r="K600" s="321"/>
      <c r="L600" s="321"/>
      <c r="M600" s="321"/>
    </row>
    <row r="601">
      <c r="A601" s="321"/>
      <c r="B601" s="321"/>
      <c r="C601" s="323"/>
      <c r="D601" s="284"/>
      <c r="E601" s="321"/>
      <c r="F601" s="324"/>
      <c r="G601" s="321"/>
      <c r="H601" s="321"/>
      <c r="I601" s="321"/>
      <c r="J601" s="321"/>
      <c r="K601" s="321"/>
      <c r="L601" s="321"/>
      <c r="M601" s="321"/>
    </row>
    <row r="602">
      <c r="A602" s="321"/>
      <c r="B602" s="321"/>
      <c r="C602" s="323"/>
      <c r="D602" s="284"/>
      <c r="E602" s="321"/>
      <c r="F602" s="324"/>
      <c r="G602" s="321"/>
      <c r="H602" s="321"/>
      <c r="I602" s="321"/>
      <c r="J602" s="321"/>
      <c r="K602" s="321"/>
      <c r="L602" s="321"/>
      <c r="M602" s="321"/>
    </row>
    <row r="603">
      <c r="A603" s="321"/>
      <c r="B603" s="321"/>
      <c r="C603" s="323"/>
      <c r="D603" s="284"/>
      <c r="E603" s="321"/>
      <c r="F603" s="324"/>
      <c r="G603" s="321"/>
      <c r="H603" s="321"/>
      <c r="I603" s="321"/>
      <c r="J603" s="321"/>
      <c r="K603" s="321"/>
      <c r="L603" s="321"/>
      <c r="M603" s="321"/>
    </row>
    <row r="604">
      <c r="A604" s="321"/>
      <c r="B604" s="321"/>
      <c r="C604" s="323"/>
      <c r="D604" s="284"/>
      <c r="E604" s="321"/>
      <c r="F604" s="324"/>
      <c r="G604" s="321"/>
      <c r="H604" s="321"/>
      <c r="I604" s="321"/>
      <c r="J604" s="321"/>
      <c r="K604" s="321"/>
      <c r="L604" s="321"/>
      <c r="M604" s="321"/>
    </row>
    <row r="605">
      <c r="A605" s="321"/>
      <c r="B605" s="321"/>
      <c r="C605" s="323"/>
      <c r="D605" s="284"/>
      <c r="E605" s="321"/>
      <c r="F605" s="324"/>
      <c r="G605" s="321"/>
      <c r="H605" s="321"/>
      <c r="I605" s="321"/>
      <c r="J605" s="321"/>
      <c r="K605" s="321"/>
      <c r="L605" s="321"/>
      <c r="M605" s="321"/>
    </row>
    <row r="606">
      <c r="A606" s="321"/>
      <c r="B606" s="321"/>
      <c r="C606" s="323"/>
      <c r="D606" s="284"/>
      <c r="E606" s="321"/>
      <c r="F606" s="324"/>
      <c r="G606" s="321"/>
      <c r="H606" s="321"/>
      <c r="I606" s="321"/>
      <c r="J606" s="321"/>
      <c r="K606" s="321"/>
      <c r="L606" s="321"/>
      <c r="M606" s="321"/>
    </row>
    <row r="607">
      <c r="A607" s="321"/>
      <c r="B607" s="321"/>
      <c r="C607" s="323"/>
      <c r="D607" s="284"/>
      <c r="E607" s="321"/>
      <c r="F607" s="324"/>
      <c r="G607" s="321"/>
      <c r="H607" s="321"/>
      <c r="I607" s="321"/>
      <c r="J607" s="321"/>
      <c r="K607" s="321"/>
      <c r="L607" s="321"/>
      <c r="M607" s="321"/>
    </row>
    <row r="608">
      <c r="A608" s="321"/>
      <c r="B608" s="321"/>
      <c r="C608" s="323"/>
      <c r="D608" s="284"/>
      <c r="E608" s="321"/>
      <c r="F608" s="324"/>
      <c r="G608" s="321"/>
      <c r="H608" s="321"/>
      <c r="I608" s="321"/>
      <c r="J608" s="321"/>
      <c r="K608" s="321"/>
      <c r="L608" s="321"/>
      <c r="M608" s="321"/>
    </row>
    <row r="609">
      <c r="A609" s="321"/>
      <c r="B609" s="321"/>
      <c r="C609" s="323"/>
      <c r="D609" s="284"/>
      <c r="E609" s="321"/>
      <c r="F609" s="324"/>
      <c r="G609" s="321"/>
      <c r="H609" s="321"/>
      <c r="I609" s="321"/>
      <c r="J609" s="321"/>
      <c r="K609" s="321"/>
      <c r="L609" s="321"/>
      <c r="M609" s="321"/>
    </row>
    <row r="610">
      <c r="A610" s="321"/>
      <c r="B610" s="321"/>
      <c r="C610" s="323"/>
      <c r="D610" s="284"/>
      <c r="E610" s="321"/>
      <c r="F610" s="324"/>
      <c r="G610" s="321"/>
      <c r="H610" s="321"/>
      <c r="I610" s="321"/>
      <c r="J610" s="321"/>
      <c r="K610" s="321"/>
      <c r="L610" s="321"/>
      <c r="M610" s="321"/>
    </row>
    <row r="611">
      <c r="A611" s="321"/>
      <c r="B611" s="321"/>
      <c r="C611" s="323"/>
      <c r="D611" s="284"/>
      <c r="E611" s="321"/>
      <c r="F611" s="324"/>
      <c r="G611" s="321"/>
      <c r="H611" s="321"/>
      <c r="I611" s="321"/>
      <c r="J611" s="321"/>
      <c r="K611" s="321"/>
      <c r="L611" s="321"/>
      <c r="M611" s="321"/>
    </row>
    <row r="612">
      <c r="A612" s="321"/>
      <c r="B612" s="321"/>
      <c r="C612" s="323"/>
      <c r="D612" s="284"/>
      <c r="E612" s="321"/>
      <c r="F612" s="324"/>
      <c r="G612" s="321"/>
      <c r="H612" s="321"/>
      <c r="I612" s="321"/>
      <c r="J612" s="321"/>
      <c r="K612" s="321"/>
      <c r="L612" s="321"/>
      <c r="M612" s="321"/>
    </row>
    <row r="613">
      <c r="A613" s="321"/>
      <c r="B613" s="321"/>
      <c r="C613" s="323"/>
      <c r="D613" s="284"/>
      <c r="E613" s="321"/>
      <c r="F613" s="324"/>
      <c r="G613" s="321"/>
      <c r="H613" s="321"/>
      <c r="I613" s="321"/>
      <c r="J613" s="321"/>
      <c r="K613" s="321"/>
      <c r="L613" s="321"/>
      <c r="M613" s="321"/>
    </row>
    <row r="614">
      <c r="A614" s="321"/>
      <c r="B614" s="321"/>
      <c r="C614" s="323"/>
      <c r="D614" s="284"/>
      <c r="E614" s="321"/>
      <c r="F614" s="324"/>
      <c r="G614" s="321"/>
      <c r="H614" s="321"/>
      <c r="I614" s="321"/>
      <c r="J614" s="321"/>
      <c r="K614" s="321"/>
      <c r="L614" s="321"/>
      <c r="M614" s="321"/>
    </row>
    <row r="615">
      <c r="A615" s="321"/>
      <c r="B615" s="321"/>
      <c r="C615" s="323"/>
      <c r="D615" s="284"/>
      <c r="E615" s="321"/>
      <c r="F615" s="324"/>
      <c r="G615" s="321"/>
      <c r="H615" s="321"/>
      <c r="I615" s="321"/>
      <c r="J615" s="321"/>
      <c r="K615" s="321"/>
      <c r="L615" s="321"/>
      <c r="M615" s="321"/>
    </row>
    <row r="616">
      <c r="A616" s="321"/>
      <c r="B616" s="321"/>
      <c r="C616" s="323"/>
      <c r="D616" s="284"/>
      <c r="E616" s="321"/>
      <c r="F616" s="324"/>
      <c r="G616" s="321"/>
      <c r="H616" s="321"/>
      <c r="I616" s="321"/>
      <c r="J616" s="321"/>
      <c r="K616" s="321"/>
      <c r="L616" s="321"/>
      <c r="M616" s="321"/>
    </row>
    <row r="617">
      <c r="A617" s="321"/>
      <c r="B617" s="321"/>
      <c r="C617" s="323"/>
      <c r="D617" s="284"/>
      <c r="E617" s="321"/>
      <c r="F617" s="324"/>
      <c r="G617" s="321"/>
      <c r="H617" s="321"/>
      <c r="I617" s="321"/>
      <c r="J617" s="321"/>
      <c r="K617" s="321"/>
      <c r="L617" s="321"/>
      <c r="M617" s="321"/>
    </row>
    <row r="618">
      <c r="A618" s="321"/>
      <c r="B618" s="321"/>
      <c r="C618" s="323"/>
      <c r="D618" s="284"/>
      <c r="E618" s="321"/>
      <c r="F618" s="324"/>
      <c r="G618" s="321"/>
      <c r="H618" s="321"/>
      <c r="I618" s="321"/>
      <c r="J618" s="321"/>
      <c r="K618" s="321"/>
      <c r="L618" s="321"/>
      <c r="M618" s="321"/>
    </row>
    <row r="619">
      <c r="A619" s="321"/>
      <c r="B619" s="321"/>
      <c r="C619" s="323"/>
      <c r="D619" s="284"/>
      <c r="E619" s="321"/>
      <c r="F619" s="324"/>
      <c r="G619" s="321"/>
      <c r="H619" s="321"/>
      <c r="I619" s="321"/>
      <c r="J619" s="321"/>
      <c r="K619" s="321"/>
      <c r="L619" s="321"/>
      <c r="M619" s="321"/>
    </row>
    <row r="620">
      <c r="A620" s="321"/>
      <c r="B620" s="321"/>
      <c r="C620" s="323"/>
      <c r="D620" s="284"/>
      <c r="E620" s="321"/>
      <c r="F620" s="324"/>
      <c r="G620" s="321"/>
      <c r="H620" s="321"/>
      <c r="I620" s="321"/>
      <c r="J620" s="321"/>
      <c r="K620" s="321"/>
      <c r="L620" s="321"/>
      <c r="M620" s="321"/>
    </row>
    <row r="621">
      <c r="A621" s="321"/>
      <c r="B621" s="321"/>
      <c r="C621" s="323"/>
      <c r="D621" s="284"/>
      <c r="E621" s="321"/>
      <c r="F621" s="324"/>
      <c r="G621" s="321"/>
      <c r="H621" s="321"/>
      <c r="I621" s="321"/>
      <c r="J621" s="321"/>
      <c r="K621" s="321"/>
      <c r="L621" s="321"/>
      <c r="M621" s="321"/>
    </row>
    <row r="622">
      <c r="A622" s="321"/>
      <c r="B622" s="321"/>
      <c r="C622" s="323"/>
      <c r="D622" s="284"/>
      <c r="E622" s="321"/>
      <c r="F622" s="324"/>
      <c r="G622" s="321"/>
      <c r="H622" s="321"/>
      <c r="I622" s="321"/>
      <c r="J622" s="321"/>
      <c r="K622" s="321"/>
      <c r="L622" s="321"/>
      <c r="M622" s="321"/>
    </row>
    <row r="623">
      <c r="A623" s="321"/>
      <c r="B623" s="321"/>
      <c r="C623" s="323"/>
      <c r="D623" s="284"/>
      <c r="E623" s="321"/>
      <c r="F623" s="324"/>
      <c r="G623" s="321"/>
      <c r="H623" s="321"/>
      <c r="I623" s="321"/>
      <c r="J623" s="321"/>
      <c r="K623" s="321"/>
      <c r="L623" s="321"/>
      <c r="M623" s="321"/>
    </row>
    <row r="624">
      <c r="A624" s="321"/>
      <c r="B624" s="321"/>
      <c r="C624" s="323"/>
      <c r="D624" s="284"/>
      <c r="E624" s="321"/>
      <c r="F624" s="324"/>
      <c r="G624" s="321"/>
      <c r="H624" s="321"/>
      <c r="I624" s="321"/>
      <c r="J624" s="321"/>
      <c r="K624" s="321"/>
      <c r="L624" s="321"/>
      <c r="M624" s="321"/>
    </row>
    <row r="625">
      <c r="A625" s="321"/>
      <c r="B625" s="321"/>
      <c r="C625" s="323"/>
      <c r="D625" s="284"/>
      <c r="E625" s="321"/>
      <c r="F625" s="324"/>
      <c r="G625" s="321"/>
      <c r="H625" s="321"/>
      <c r="I625" s="321"/>
      <c r="J625" s="321"/>
      <c r="K625" s="321"/>
      <c r="L625" s="321"/>
      <c r="M625" s="321"/>
    </row>
    <row r="626">
      <c r="A626" s="321"/>
      <c r="B626" s="321"/>
      <c r="C626" s="323"/>
      <c r="D626" s="284"/>
      <c r="E626" s="321"/>
      <c r="F626" s="324"/>
      <c r="G626" s="321"/>
      <c r="H626" s="321"/>
      <c r="I626" s="321"/>
      <c r="J626" s="321"/>
      <c r="K626" s="321"/>
      <c r="L626" s="321"/>
      <c r="M626" s="321"/>
    </row>
    <row r="627">
      <c r="A627" s="321"/>
      <c r="B627" s="321"/>
      <c r="C627" s="323"/>
      <c r="D627" s="284"/>
      <c r="E627" s="321"/>
      <c r="F627" s="324"/>
      <c r="G627" s="321"/>
      <c r="H627" s="321"/>
      <c r="I627" s="321"/>
      <c r="J627" s="321"/>
      <c r="K627" s="321"/>
      <c r="L627" s="321"/>
      <c r="M627" s="321"/>
    </row>
    <row r="628">
      <c r="A628" s="321"/>
      <c r="B628" s="321"/>
      <c r="C628" s="323"/>
      <c r="D628" s="284"/>
      <c r="E628" s="321"/>
      <c r="F628" s="324"/>
      <c r="G628" s="321"/>
      <c r="H628" s="321"/>
      <c r="I628" s="321"/>
      <c r="J628" s="321"/>
      <c r="K628" s="321"/>
      <c r="L628" s="321"/>
      <c r="M628" s="321"/>
    </row>
    <row r="629">
      <c r="A629" s="321"/>
      <c r="B629" s="321"/>
      <c r="C629" s="323"/>
      <c r="D629" s="284"/>
      <c r="E629" s="321"/>
      <c r="F629" s="324"/>
      <c r="G629" s="321"/>
      <c r="H629" s="321"/>
      <c r="I629" s="321"/>
      <c r="J629" s="321"/>
      <c r="K629" s="321"/>
      <c r="L629" s="321"/>
      <c r="M629" s="321"/>
    </row>
    <row r="630">
      <c r="A630" s="321"/>
      <c r="B630" s="321"/>
      <c r="C630" s="323"/>
      <c r="D630" s="284"/>
      <c r="E630" s="321"/>
      <c r="F630" s="324"/>
      <c r="G630" s="321"/>
      <c r="H630" s="321"/>
      <c r="I630" s="321"/>
      <c r="J630" s="321"/>
      <c r="K630" s="321"/>
      <c r="L630" s="321"/>
      <c r="M630" s="321"/>
    </row>
    <row r="631">
      <c r="A631" s="321"/>
      <c r="B631" s="321"/>
      <c r="C631" s="323"/>
      <c r="D631" s="284"/>
      <c r="E631" s="321"/>
      <c r="F631" s="324"/>
      <c r="G631" s="321"/>
      <c r="H631" s="321"/>
      <c r="I631" s="321"/>
      <c r="J631" s="321"/>
      <c r="K631" s="321"/>
      <c r="L631" s="321"/>
      <c r="M631" s="321"/>
    </row>
    <row r="632">
      <c r="A632" s="321"/>
      <c r="B632" s="321"/>
      <c r="C632" s="323"/>
      <c r="D632" s="284"/>
      <c r="E632" s="321"/>
      <c r="F632" s="324"/>
      <c r="G632" s="321"/>
      <c r="H632" s="321"/>
      <c r="I632" s="321"/>
      <c r="J632" s="321"/>
      <c r="K632" s="321"/>
      <c r="L632" s="321"/>
      <c r="M632" s="321"/>
    </row>
    <row r="633">
      <c r="A633" s="321"/>
      <c r="B633" s="321"/>
      <c r="C633" s="323"/>
      <c r="D633" s="284"/>
      <c r="E633" s="321"/>
      <c r="F633" s="324"/>
      <c r="G633" s="321"/>
      <c r="H633" s="321"/>
      <c r="I633" s="321"/>
      <c r="J633" s="321"/>
      <c r="K633" s="321"/>
      <c r="L633" s="321"/>
      <c r="M633" s="321"/>
    </row>
    <row r="634">
      <c r="A634" s="321"/>
      <c r="B634" s="321"/>
      <c r="C634" s="323"/>
      <c r="D634" s="284"/>
      <c r="E634" s="321"/>
      <c r="F634" s="324"/>
      <c r="G634" s="321"/>
      <c r="H634" s="321"/>
      <c r="I634" s="321"/>
      <c r="J634" s="321"/>
      <c r="K634" s="321"/>
      <c r="L634" s="321"/>
      <c r="M634" s="321"/>
    </row>
    <row r="635">
      <c r="A635" s="321"/>
      <c r="B635" s="321"/>
      <c r="C635" s="323"/>
      <c r="D635" s="284"/>
      <c r="E635" s="321"/>
      <c r="F635" s="324"/>
      <c r="G635" s="321"/>
      <c r="H635" s="321"/>
      <c r="I635" s="321"/>
      <c r="J635" s="321"/>
      <c r="K635" s="321"/>
      <c r="L635" s="321"/>
      <c r="M635" s="321"/>
    </row>
    <row r="636">
      <c r="A636" s="321"/>
      <c r="B636" s="321"/>
      <c r="C636" s="323"/>
      <c r="D636" s="284"/>
      <c r="E636" s="321"/>
      <c r="F636" s="324"/>
      <c r="G636" s="321"/>
      <c r="H636" s="321"/>
      <c r="I636" s="321"/>
      <c r="J636" s="321"/>
      <c r="K636" s="321"/>
      <c r="L636" s="321"/>
      <c r="M636" s="321"/>
    </row>
    <row r="637">
      <c r="A637" s="321"/>
      <c r="B637" s="321"/>
      <c r="C637" s="323"/>
      <c r="D637" s="284"/>
      <c r="E637" s="321"/>
      <c r="F637" s="324"/>
      <c r="G637" s="321"/>
      <c r="H637" s="321"/>
      <c r="I637" s="321"/>
      <c r="J637" s="321"/>
      <c r="K637" s="321"/>
      <c r="L637" s="321"/>
      <c r="M637" s="321"/>
    </row>
    <row r="638">
      <c r="A638" s="321"/>
      <c r="B638" s="321"/>
      <c r="C638" s="323"/>
      <c r="D638" s="284"/>
      <c r="E638" s="321"/>
      <c r="F638" s="324"/>
      <c r="G638" s="321"/>
      <c r="H638" s="321"/>
      <c r="I638" s="321"/>
      <c r="J638" s="321"/>
      <c r="K638" s="321"/>
      <c r="L638" s="321"/>
      <c r="M638" s="321"/>
    </row>
    <row r="639">
      <c r="A639" s="321"/>
      <c r="B639" s="321"/>
      <c r="C639" s="323"/>
      <c r="D639" s="284"/>
      <c r="E639" s="321"/>
      <c r="F639" s="324"/>
      <c r="G639" s="321"/>
      <c r="H639" s="321"/>
      <c r="I639" s="321"/>
      <c r="J639" s="321"/>
      <c r="K639" s="321"/>
      <c r="L639" s="321"/>
      <c r="M639" s="321"/>
    </row>
    <row r="640">
      <c r="A640" s="321"/>
      <c r="B640" s="321"/>
      <c r="C640" s="323"/>
      <c r="D640" s="284"/>
      <c r="E640" s="321"/>
      <c r="F640" s="324"/>
      <c r="G640" s="321"/>
      <c r="H640" s="321"/>
      <c r="I640" s="321"/>
      <c r="J640" s="321"/>
      <c r="K640" s="321"/>
      <c r="L640" s="321"/>
      <c r="M640" s="321"/>
    </row>
    <row r="641">
      <c r="A641" s="321"/>
      <c r="B641" s="321"/>
      <c r="C641" s="323"/>
      <c r="D641" s="284"/>
      <c r="E641" s="321"/>
      <c r="F641" s="324"/>
      <c r="G641" s="321"/>
      <c r="H641" s="321"/>
      <c r="I641" s="321"/>
      <c r="J641" s="321"/>
      <c r="K641" s="321"/>
      <c r="L641" s="321"/>
      <c r="M641" s="321"/>
    </row>
    <row r="642">
      <c r="A642" s="321"/>
      <c r="B642" s="321"/>
      <c r="C642" s="323"/>
      <c r="D642" s="284"/>
      <c r="E642" s="321"/>
      <c r="F642" s="324"/>
      <c r="G642" s="321"/>
      <c r="H642" s="321"/>
      <c r="I642" s="321"/>
      <c r="J642" s="321"/>
      <c r="K642" s="321"/>
      <c r="L642" s="321"/>
      <c r="M642" s="321"/>
    </row>
    <row r="643">
      <c r="A643" s="321"/>
      <c r="B643" s="321"/>
      <c r="C643" s="323"/>
      <c r="D643" s="284"/>
      <c r="E643" s="321"/>
      <c r="F643" s="324"/>
      <c r="G643" s="321"/>
      <c r="H643" s="321"/>
      <c r="I643" s="321"/>
      <c r="J643" s="321"/>
      <c r="K643" s="321"/>
      <c r="L643" s="321"/>
      <c r="M643" s="321"/>
    </row>
    <row r="644">
      <c r="A644" s="321"/>
      <c r="B644" s="321"/>
      <c r="C644" s="323"/>
      <c r="D644" s="284"/>
      <c r="E644" s="321"/>
      <c r="F644" s="324"/>
      <c r="G644" s="321"/>
      <c r="H644" s="321"/>
      <c r="I644" s="321"/>
      <c r="J644" s="321"/>
      <c r="K644" s="321"/>
      <c r="L644" s="321"/>
      <c r="M644" s="321"/>
    </row>
    <row r="645">
      <c r="A645" s="321"/>
      <c r="B645" s="321"/>
      <c r="C645" s="323"/>
      <c r="D645" s="284"/>
      <c r="E645" s="321"/>
      <c r="F645" s="324"/>
      <c r="G645" s="321"/>
      <c r="H645" s="321"/>
      <c r="I645" s="321"/>
      <c r="J645" s="321"/>
      <c r="K645" s="321"/>
      <c r="L645" s="321"/>
      <c r="M645" s="321"/>
    </row>
    <row r="646">
      <c r="A646" s="321"/>
      <c r="B646" s="321"/>
      <c r="C646" s="323"/>
      <c r="D646" s="284"/>
      <c r="E646" s="321"/>
      <c r="F646" s="324"/>
      <c r="G646" s="321"/>
      <c r="H646" s="321"/>
      <c r="I646" s="321"/>
      <c r="J646" s="321"/>
      <c r="K646" s="321"/>
      <c r="L646" s="321"/>
      <c r="M646" s="321"/>
    </row>
    <row r="647">
      <c r="A647" s="321"/>
      <c r="B647" s="321"/>
      <c r="C647" s="323"/>
      <c r="D647" s="284"/>
      <c r="E647" s="321"/>
      <c r="F647" s="324"/>
      <c r="G647" s="321"/>
      <c r="H647" s="321"/>
      <c r="I647" s="321"/>
      <c r="J647" s="321"/>
      <c r="K647" s="321"/>
      <c r="L647" s="321"/>
      <c r="M647" s="321"/>
    </row>
    <row r="648">
      <c r="A648" s="321"/>
      <c r="B648" s="321"/>
      <c r="C648" s="323"/>
      <c r="D648" s="284"/>
      <c r="E648" s="321"/>
      <c r="F648" s="324"/>
      <c r="G648" s="321"/>
      <c r="H648" s="321"/>
      <c r="I648" s="321"/>
      <c r="J648" s="321"/>
      <c r="K648" s="321"/>
      <c r="L648" s="321"/>
      <c r="M648" s="321"/>
    </row>
    <row r="649">
      <c r="A649" s="321"/>
      <c r="B649" s="321"/>
      <c r="C649" s="323"/>
      <c r="D649" s="284"/>
      <c r="E649" s="321"/>
      <c r="F649" s="324"/>
      <c r="G649" s="321"/>
      <c r="H649" s="321"/>
      <c r="I649" s="321"/>
      <c r="J649" s="321"/>
      <c r="K649" s="321"/>
      <c r="L649" s="321"/>
      <c r="M649" s="321"/>
    </row>
    <row r="650">
      <c r="A650" s="321"/>
      <c r="B650" s="321"/>
      <c r="C650" s="323"/>
      <c r="D650" s="284"/>
      <c r="E650" s="321"/>
      <c r="F650" s="324"/>
      <c r="G650" s="321"/>
      <c r="H650" s="321"/>
      <c r="I650" s="321"/>
      <c r="J650" s="321"/>
      <c r="K650" s="321"/>
      <c r="L650" s="321"/>
      <c r="M650" s="321"/>
    </row>
    <row r="651">
      <c r="A651" s="321"/>
      <c r="B651" s="321"/>
      <c r="C651" s="323"/>
      <c r="D651" s="284"/>
      <c r="E651" s="321"/>
      <c r="F651" s="324"/>
      <c r="G651" s="321"/>
      <c r="H651" s="321"/>
      <c r="I651" s="321"/>
      <c r="J651" s="321"/>
      <c r="K651" s="321"/>
      <c r="L651" s="321"/>
      <c r="M651" s="321"/>
    </row>
    <row r="652">
      <c r="A652" s="321"/>
      <c r="B652" s="321"/>
      <c r="C652" s="323"/>
      <c r="D652" s="284"/>
      <c r="E652" s="321"/>
      <c r="F652" s="324"/>
      <c r="G652" s="321"/>
      <c r="H652" s="321"/>
      <c r="I652" s="321"/>
      <c r="J652" s="321"/>
      <c r="K652" s="321"/>
      <c r="L652" s="321"/>
      <c r="M652" s="321"/>
    </row>
    <row r="653">
      <c r="A653" s="321"/>
      <c r="B653" s="321"/>
      <c r="C653" s="323"/>
      <c r="D653" s="284"/>
      <c r="E653" s="321"/>
      <c r="F653" s="324"/>
      <c r="G653" s="321"/>
      <c r="H653" s="321"/>
      <c r="I653" s="321"/>
      <c r="J653" s="321"/>
      <c r="K653" s="321"/>
      <c r="L653" s="321"/>
      <c r="M653" s="321"/>
    </row>
    <row r="654">
      <c r="A654" s="321"/>
      <c r="B654" s="321"/>
      <c r="C654" s="323"/>
      <c r="D654" s="284"/>
      <c r="E654" s="321"/>
      <c r="F654" s="324"/>
      <c r="G654" s="321"/>
      <c r="H654" s="321"/>
      <c r="I654" s="321"/>
      <c r="J654" s="321"/>
      <c r="K654" s="321"/>
      <c r="L654" s="321"/>
      <c r="M654" s="321"/>
    </row>
    <row r="655">
      <c r="A655" s="321"/>
      <c r="B655" s="321"/>
      <c r="C655" s="323"/>
      <c r="D655" s="284"/>
      <c r="E655" s="321"/>
      <c r="F655" s="324"/>
      <c r="G655" s="321"/>
      <c r="H655" s="321"/>
      <c r="I655" s="321"/>
      <c r="J655" s="321"/>
      <c r="K655" s="321"/>
      <c r="L655" s="321"/>
      <c r="M655" s="321"/>
    </row>
    <row r="656">
      <c r="A656" s="321"/>
      <c r="B656" s="321"/>
      <c r="C656" s="323"/>
      <c r="D656" s="284"/>
      <c r="E656" s="321"/>
      <c r="F656" s="324"/>
      <c r="G656" s="321"/>
      <c r="H656" s="321"/>
      <c r="I656" s="321"/>
      <c r="J656" s="321"/>
      <c r="K656" s="321"/>
      <c r="L656" s="321"/>
      <c r="M656" s="321"/>
    </row>
    <row r="657">
      <c r="A657" s="321"/>
      <c r="B657" s="321"/>
      <c r="C657" s="323"/>
      <c r="D657" s="284"/>
      <c r="E657" s="321"/>
      <c r="F657" s="324"/>
      <c r="G657" s="321"/>
      <c r="H657" s="321"/>
      <c r="I657" s="321"/>
      <c r="J657" s="321"/>
      <c r="K657" s="321"/>
      <c r="L657" s="321"/>
      <c r="M657" s="321"/>
    </row>
    <row r="658">
      <c r="A658" s="321"/>
      <c r="B658" s="321"/>
      <c r="C658" s="323"/>
      <c r="D658" s="284"/>
      <c r="E658" s="321"/>
      <c r="F658" s="324"/>
      <c r="G658" s="321"/>
      <c r="H658" s="321"/>
      <c r="I658" s="321"/>
      <c r="J658" s="321"/>
      <c r="K658" s="321"/>
      <c r="L658" s="321"/>
      <c r="M658" s="321"/>
    </row>
    <row r="659">
      <c r="A659" s="321"/>
      <c r="B659" s="321"/>
      <c r="C659" s="323"/>
      <c r="D659" s="284"/>
      <c r="E659" s="321"/>
      <c r="F659" s="324"/>
      <c r="G659" s="321"/>
      <c r="H659" s="321"/>
      <c r="I659" s="321"/>
      <c r="J659" s="321"/>
      <c r="K659" s="321"/>
      <c r="L659" s="321"/>
      <c r="M659" s="321"/>
    </row>
    <row r="660">
      <c r="A660" s="321"/>
      <c r="B660" s="321"/>
      <c r="C660" s="323"/>
      <c r="D660" s="284"/>
      <c r="E660" s="321"/>
      <c r="F660" s="324"/>
      <c r="G660" s="321"/>
      <c r="H660" s="321"/>
      <c r="I660" s="321"/>
      <c r="J660" s="321"/>
      <c r="K660" s="321"/>
      <c r="L660" s="321"/>
      <c r="M660" s="321"/>
    </row>
    <row r="661">
      <c r="A661" s="321"/>
      <c r="B661" s="321"/>
      <c r="C661" s="323"/>
      <c r="D661" s="284"/>
      <c r="E661" s="321"/>
      <c r="F661" s="324"/>
      <c r="G661" s="321"/>
      <c r="H661" s="321"/>
      <c r="I661" s="321"/>
      <c r="J661" s="321"/>
      <c r="K661" s="321"/>
      <c r="L661" s="321"/>
      <c r="M661" s="321"/>
    </row>
    <row r="662">
      <c r="A662" s="321"/>
      <c r="B662" s="321"/>
      <c r="C662" s="323"/>
      <c r="D662" s="284"/>
      <c r="E662" s="321"/>
      <c r="F662" s="324"/>
      <c r="G662" s="321"/>
      <c r="H662" s="321"/>
      <c r="I662" s="321"/>
      <c r="J662" s="321"/>
      <c r="K662" s="321"/>
      <c r="L662" s="321"/>
      <c r="M662" s="321"/>
    </row>
    <row r="663">
      <c r="A663" s="321"/>
      <c r="B663" s="321"/>
      <c r="C663" s="323"/>
      <c r="D663" s="284"/>
      <c r="E663" s="321"/>
      <c r="F663" s="324"/>
      <c r="G663" s="321"/>
      <c r="H663" s="321"/>
      <c r="I663" s="321"/>
      <c r="J663" s="321"/>
      <c r="K663" s="321"/>
      <c r="L663" s="321"/>
      <c r="M663" s="321"/>
    </row>
    <row r="664">
      <c r="A664" s="321"/>
      <c r="B664" s="321"/>
      <c r="C664" s="323"/>
      <c r="D664" s="284"/>
      <c r="E664" s="321"/>
      <c r="F664" s="324"/>
      <c r="G664" s="321"/>
      <c r="H664" s="321"/>
      <c r="I664" s="321"/>
      <c r="J664" s="321"/>
      <c r="K664" s="321"/>
      <c r="L664" s="321"/>
      <c r="M664" s="321"/>
    </row>
    <row r="665">
      <c r="A665" s="321"/>
      <c r="B665" s="321"/>
      <c r="C665" s="323"/>
      <c r="D665" s="284"/>
      <c r="E665" s="321"/>
      <c r="F665" s="324"/>
      <c r="G665" s="321"/>
      <c r="H665" s="321"/>
      <c r="I665" s="321"/>
      <c r="J665" s="321"/>
      <c r="K665" s="321"/>
      <c r="L665" s="321"/>
      <c r="M665" s="321"/>
    </row>
    <row r="666">
      <c r="A666" s="321"/>
      <c r="B666" s="321"/>
      <c r="C666" s="323"/>
      <c r="D666" s="284"/>
      <c r="E666" s="321"/>
      <c r="F666" s="324"/>
      <c r="G666" s="321"/>
      <c r="H666" s="321"/>
      <c r="I666" s="321"/>
      <c r="J666" s="321"/>
      <c r="K666" s="321"/>
      <c r="L666" s="321"/>
      <c r="M666" s="321"/>
    </row>
    <row r="667">
      <c r="A667" s="321"/>
      <c r="B667" s="321"/>
      <c r="C667" s="323"/>
      <c r="D667" s="284"/>
      <c r="E667" s="321"/>
      <c r="F667" s="324"/>
      <c r="G667" s="321"/>
      <c r="H667" s="321"/>
      <c r="I667" s="321"/>
      <c r="J667" s="321"/>
      <c r="K667" s="321"/>
      <c r="L667" s="321"/>
      <c r="M667" s="321"/>
    </row>
    <row r="668">
      <c r="A668" s="321"/>
      <c r="B668" s="321"/>
      <c r="C668" s="323"/>
      <c r="D668" s="284"/>
      <c r="E668" s="321"/>
      <c r="F668" s="324"/>
      <c r="G668" s="321"/>
      <c r="H668" s="321"/>
      <c r="I668" s="321"/>
      <c r="J668" s="321"/>
      <c r="K668" s="321"/>
      <c r="L668" s="321"/>
      <c r="M668" s="321"/>
    </row>
    <row r="669">
      <c r="A669" s="321"/>
      <c r="B669" s="321"/>
      <c r="C669" s="323"/>
      <c r="D669" s="284"/>
      <c r="E669" s="321"/>
      <c r="F669" s="324"/>
      <c r="G669" s="321"/>
      <c r="H669" s="321"/>
      <c r="I669" s="321"/>
      <c r="J669" s="321"/>
      <c r="K669" s="321"/>
      <c r="L669" s="321"/>
      <c r="M669" s="321"/>
    </row>
    <row r="670">
      <c r="A670" s="321"/>
      <c r="B670" s="321"/>
      <c r="C670" s="323"/>
      <c r="D670" s="284"/>
      <c r="E670" s="321"/>
      <c r="F670" s="324"/>
      <c r="G670" s="321"/>
      <c r="H670" s="321"/>
      <c r="I670" s="321"/>
      <c r="J670" s="321"/>
      <c r="K670" s="321"/>
      <c r="L670" s="321"/>
      <c r="M670" s="321"/>
    </row>
    <row r="671">
      <c r="A671" s="321"/>
      <c r="B671" s="321"/>
      <c r="C671" s="323"/>
      <c r="D671" s="284"/>
      <c r="E671" s="321"/>
      <c r="F671" s="324"/>
      <c r="G671" s="321"/>
      <c r="H671" s="321"/>
      <c r="I671" s="321"/>
      <c r="J671" s="321"/>
      <c r="K671" s="321"/>
      <c r="L671" s="321"/>
      <c r="M671" s="321"/>
    </row>
    <row r="672">
      <c r="A672" s="321"/>
      <c r="B672" s="321"/>
      <c r="C672" s="323"/>
      <c r="D672" s="284"/>
      <c r="E672" s="321"/>
      <c r="F672" s="324"/>
      <c r="G672" s="321"/>
      <c r="H672" s="321"/>
      <c r="I672" s="321"/>
      <c r="J672" s="321"/>
      <c r="K672" s="321"/>
      <c r="L672" s="321"/>
      <c r="M672" s="321"/>
    </row>
    <row r="673">
      <c r="A673" s="321"/>
      <c r="B673" s="321"/>
      <c r="C673" s="323"/>
      <c r="D673" s="284"/>
      <c r="E673" s="321"/>
      <c r="F673" s="324"/>
      <c r="G673" s="321"/>
      <c r="H673" s="321"/>
      <c r="I673" s="321"/>
      <c r="J673" s="321"/>
      <c r="K673" s="321"/>
      <c r="L673" s="321"/>
      <c r="M673" s="321"/>
    </row>
    <row r="674">
      <c r="A674" s="321"/>
      <c r="B674" s="321"/>
      <c r="C674" s="323"/>
      <c r="D674" s="284"/>
      <c r="E674" s="321"/>
      <c r="F674" s="324"/>
      <c r="G674" s="321"/>
      <c r="H674" s="321"/>
      <c r="I674" s="321"/>
      <c r="J674" s="321"/>
      <c r="K674" s="321"/>
      <c r="L674" s="321"/>
      <c r="M674" s="321"/>
    </row>
    <row r="675">
      <c r="A675" s="321"/>
      <c r="B675" s="321"/>
      <c r="C675" s="323"/>
      <c r="D675" s="284"/>
      <c r="E675" s="321"/>
      <c r="F675" s="324"/>
      <c r="G675" s="321"/>
      <c r="H675" s="321"/>
      <c r="I675" s="321"/>
      <c r="J675" s="321"/>
      <c r="K675" s="321"/>
      <c r="L675" s="321"/>
      <c r="M675" s="321"/>
    </row>
    <row r="676">
      <c r="A676" s="321"/>
      <c r="B676" s="321"/>
      <c r="C676" s="323"/>
      <c r="D676" s="284"/>
      <c r="E676" s="321"/>
      <c r="F676" s="324"/>
      <c r="G676" s="321"/>
      <c r="H676" s="321"/>
      <c r="I676" s="321"/>
      <c r="J676" s="321"/>
      <c r="K676" s="321"/>
      <c r="L676" s="321"/>
      <c r="M676" s="321"/>
    </row>
    <row r="677">
      <c r="A677" s="321"/>
      <c r="B677" s="321"/>
      <c r="C677" s="323"/>
      <c r="D677" s="284"/>
      <c r="E677" s="321"/>
      <c r="F677" s="324"/>
      <c r="G677" s="321"/>
      <c r="H677" s="321"/>
      <c r="I677" s="321"/>
      <c r="J677" s="321"/>
      <c r="K677" s="321"/>
      <c r="L677" s="321"/>
      <c r="M677" s="321"/>
    </row>
    <row r="678">
      <c r="A678" s="321"/>
      <c r="B678" s="321"/>
      <c r="C678" s="323"/>
      <c r="D678" s="284"/>
      <c r="E678" s="321"/>
      <c r="F678" s="324"/>
      <c r="G678" s="321"/>
      <c r="H678" s="321"/>
      <c r="I678" s="321"/>
      <c r="J678" s="321"/>
      <c r="K678" s="321"/>
      <c r="L678" s="321"/>
      <c r="M678" s="321"/>
    </row>
    <row r="679">
      <c r="A679" s="321"/>
      <c r="B679" s="321"/>
      <c r="C679" s="323"/>
      <c r="D679" s="284"/>
      <c r="E679" s="321"/>
      <c r="F679" s="324"/>
      <c r="G679" s="321"/>
      <c r="H679" s="321"/>
      <c r="I679" s="321"/>
      <c r="J679" s="321"/>
      <c r="K679" s="321"/>
      <c r="L679" s="321"/>
      <c r="M679" s="321"/>
    </row>
    <row r="680">
      <c r="A680" s="321"/>
      <c r="B680" s="321"/>
      <c r="C680" s="323"/>
      <c r="D680" s="284"/>
      <c r="E680" s="321"/>
      <c r="F680" s="324"/>
      <c r="G680" s="321"/>
      <c r="H680" s="321"/>
      <c r="I680" s="321"/>
      <c r="J680" s="321"/>
      <c r="K680" s="321"/>
      <c r="L680" s="321"/>
      <c r="M680" s="321"/>
    </row>
    <row r="681">
      <c r="A681" s="321"/>
      <c r="B681" s="321"/>
      <c r="C681" s="323"/>
      <c r="D681" s="284"/>
      <c r="E681" s="321"/>
      <c r="F681" s="324"/>
      <c r="G681" s="321"/>
      <c r="H681" s="321"/>
      <c r="I681" s="321"/>
      <c r="J681" s="321"/>
      <c r="K681" s="321"/>
      <c r="L681" s="321"/>
      <c r="M681" s="321"/>
    </row>
    <row r="682">
      <c r="A682" s="321"/>
      <c r="B682" s="321"/>
      <c r="C682" s="323"/>
      <c r="D682" s="284"/>
      <c r="E682" s="321"/>
      <c r="F682" s="324"/>
      <c r="G682" s="321"/>
      <c r="H682" s="321"/>
      <c r="I682" s="321"/>
      <c r="J682" s="321"/>
      <c r="K682" s="321"/>
      <c r="L682" s="321"/>
      <c r="M682" s="321"/>
    </row>
    <row r="683">
      <c r="A683" s="321"/>
      <c r="B683" s="321"/>
      <c r="C683" s="323"/>
      <c r="D683" s="284"/>
      <c r="E683" s="321"/>
      <c r="F683" s="324"/>
      <c r="G683" s="321"/>
      <c r="H683" s="321"/>
      <c r="I683" s="321"/>
      <c r="J683" s="321"/>
      <c r="K683" s="321"/>
      <c r="L683" s="321"/>
      <c r="M683" s="321"/>
    </row>
    <row r="684">
      <c r="A684" s="321"/>
      <c r="B684" s="321"/>
      <c r="C684" s="323"/>
      <c r="D684" s="284"/>
      <c r="E684" s="321"/>
      <c r="F684" s="324"/>
      <c r="G684" s="321"/>
      <c r="H684" s="321"/>
      <c r="I684" s="321"/>
      <c r="J684" s="321"/>
      <c r="K684" s="321"/>
      <c r="L684" s="321"/>
      <c r="M684" s="321"/>
    </row>
    <row r="685">
      <c r="A685" s="321"/>
      <c r="B685" s="321"/>
      <c r="C685" s="323"/>
      <c r="D685" s="284"/>
      <c r="E685" s="321"/>
      <c r="F685" s="324"/>
      <c r="G685" s="321"/>
      <c r="H685" s="321"/>
      <c r="I685" s="321"/>
      <c r="J685" s="321"/>
      <c r="K685" s="321"/>
      <c r="L685" s="321"/>
      <c r="M685" s="321"/>
    </row>
    <row r="686">
      <c r="A686" s="321"/>
      <c r="B686" s="321"/>
      <c r="C686" s="323"/>
      <c r="D686" s="284"/>
      <c r="E686" s="321"/>
      <c r="F686" s="324"/>
      <c r="G686" s="321"/>
      <c r="H686" s="321"/>
      <c r="I686" s="321"/>
      <c r="J686" s="321"/>
      <c r="K686" s="321"/>
      <c r="L686" s="321"/>
      <c r="M686" s="321"/>
    </row>
    <row r="687">
      <c r="A687" s="321"/>
      <c r="B687" s="321"/>
      <c r="C687" s="323"/>
      <c r="D687" s="284"/>
      <c r="E687" s="321"/>
      <c r="F687" s="324"/>
      <c r="G687" s="321"/>
      <c r="H687" s="321"/>
      <c r="I687" s="321"/>
      <c r="J687" s="321"/>
      <c r="K687" s="321"/>
      <c r="L687" s="321"/>
      <c r="M687" s="321"/>
    </row>
    <row r="688">
      <c r="A688" s="321"/>
      <c r="B688" s="321"/>
      <c r="C688" s="323"/>
      <c r="D688" s="284"/>
      <c r="E688" s="321"/>
      <c r="F688" s="324"/>
      <c r="G688" s="321"/>
      <c r="H688" s="321"/>
      <c r="I688" s="321"/>
      <c r="J688" s="321"/>
      <c r="K688" s="321"/>
      <c r="L688" s="321"/>
      <c r="M688" s="321"/>
    </row>
    <row r="689">
      <c r="A689" s="321"/>
      <c r="B689" s="321"/>
      <c r="C689" s="323"/>
      <c r="D689" s="284"/>
      <c r="E689" s="321"/>
      <c r="F689" s="324"/>
      <c r="G689" s="321"/>
      <c r="H689" s="321"/>
      <c r="I689" s="321"/>
      <c r="J689" s="321"/>
      <c r="K689" s="321"/>
      <c r="L689" s="321"/>
      <c r="M689" s="321"/>
    </row>
    <row r="690">
      <c r="A690" s="321"/>
      <c r="B690" s="321"/>
      <c r="C690" s="323"/>
      <c r="D690" s="284"/>
      <c r="E690" s="321"/>
      <c r="F690" s="324"/>
      <c r="G690" s="321"/>
      <c r="H690" s="321"/>
      <c r="I690" s="321"/>
      <c r="J690" s="321"/>
      <c r="K690" s="321"/>
      <c r="L690" s="321"/>
      <c r="M690" s="321"/>
    </row>
    <row r="691">
      <c r="A691" s="321"/>
      <c r="B691" s="321"/>
      <c r="C691" s="323"/>
      <c r="D691" s="284"/>
      <c r="E691" s="321"/>
      <c r="F691" s="324"/>
      <c r="G691" s="321"/>
      <c r="H691" s="321"/>
      <c r="I691" s="321"/>
      <c r="J691" s="321"/>
      <c r="K691" s="321"/>
      <c r="L691" s="321"/>
      <c r="M691" s="321"/>
    </row>
    <row r="692">
      <c r="A692" s="321"/>
      <c r="B692" s="321"/>
      <c r="C692" s="323"/>
      <c r="D692" s="284"/>
      <c r="E692" s="321"/>
      <c r="F692" s="324"/>
      <c r="G692" s="321"/>
      <c r="H692" s="321"/>
      <c r="I692" s="321"/>
      <c r="J692" s="321"/>
      <c r="K692" s="321"/>
      <c r="L692" s="321"/>
      <c r="M692" s="321"/>
    </row>
    <row r="693">
      <c r="A693" s="321"/>
      <c r="B693" s="321"/>
      <c r="C693" s="323"/>
      <c r="D693" s="284"/>
      <c r="E693" s="321"/>
      <c r="F693" s="324"/>
      <c r="G693" s="321"/>
      <c r="H693" s="321"/>
      <c r="I693" s="321"/>
      <c r="J693" s="321"/>
      <c r="K693" s="321"/>
      <c r="L693" s="321"/>
      <c r="M693" s="321"/>
    </row>
    <row r="694">
      <c r="A694" s="321"/>
      <c r="B694" s="321"/>
      <c r="C694" s="323"/>
      <c r="D694" s="284"/>
      <c r="E694" s="321"/>
      <c r="F694" s="324"/>
      <c r="G694" s="321"/>
      <c r="H694" s="321"/>
      <c r="I694" s="321"/>
      <c r="J694" s="321"/>
      <c r="K694" s="321"/>
      <c r="L694" s="321"/>
      <c r="M694" s="321"/>
    </row>
    <row r="695">
      <c r="A695" s="321"/>
      <c r="B695" s="321"/>
      <c r="C695" s="323"/>
      <c r="D695" s="284"/>
      <c r="E695" s="321"/>
      <c r="F695" s="324"/>
      <c r="G695" s="321"/>
      <c r="H695" s="321"/>
      <c r="I695" s="321"/>
      <c r="J695" s="321"/>
      <c r="K695" s="321"/>
      <c r="L695" s="321"/>
      <c r="M695" s="321"/>
    </row>
    <row r="696">
      <c r="A696" s="321"/>
      <c r="B696" s="321"/>
      <c r="C696" s="323"/>
      <c r="D696" s="284"/>
      <c r="E696" s="321"/>
      <c r="F696" s="324"/>
      <c r="G696" s="321"/>
      <c r="H696" s="321"/>
      <c r="I696" s="321"/>
      <c r="J696" s="321"/>
      <c r="K696" s="321"/>
      <c r="L696" s="321"/>
      <c r="M696" s="321"/>
    </row>
    <row r="697">
      <c r="A697" s="321"/>
      <c r="B697" s="321"/>
      <c r="C697" s="323"/>
      <c r="D697" s="284"/>
      <c r="E697" s="321"/>
      <c r="F697" s="324"/>
      <c r="G697" s="321"/>
      <c r="H697" s="321"/>
      <c r="I697" s="321"/>
      <c r="J697" s="321"/>
      <c r="K697" s="321"/>
      <c r="L697" s="321"/>
      <c r="M697" s="321"/>
    </row>
    <row r="698">
      <c r="A698" s="321"/>
      <c r="B698" s="321"/>
      <c r="C698" s="323"/>
      <c r="D698" s="284"/>
      <c r="E698" s="321"/>
      <c r="F698" s="324"/>
      <c r="G698" s="321"/>
      <c r="H698" s="321"/>
      <c r="I698" s="321"/>
      <c r="J698" s="321"/>
      <c r="K698" s="321"/>
      <c r="L698" s="321"/>
      <c r="M698" s="321"/>
    </row>
    <row r="699">
      <c r="A699" s="321"/>
      <c r="B699" s="321"/>
      <c r="C699" s="323"/>
      <c r="D699" s="284"/>
      <c r="E699" s="321"/>
      <c r="F699" s="324"/>
      <c r="G699" s="321"/>
      <c r="H699" s="321"/>
      <c r="I699" s="321"/>
      <c r="J699" s="321"/>
      <c r="K699" s="321"/>
      <c r="L699" s="321"/>
      <c r="M699" s="321"/>
    </row>
    <row r="700">
      <c r="A700" s="321"/>
      <c r="B700" s="321"/>
      <c r="C700" s="323"/>
      <c r="D700" s="284"/>
      <c r="E700" s="321"/>
      <c r="F700" s="324"/>
      <c r="G700" s="321"/>
      <c r="H700" s="321"/>
      <c r="I700" s="321"/>
      <c r="J700" s="321"/>
      <c r="K700" s="321"/>
      <c r="L700" s="321"/>
      <c r="M700" s="321"/>
    </row>
    <row r="701">
      <c r="A701" s="321"/>
      <c r="B701" s="321"/>
      <c r="C701" s="323"/>
      <c r="D701" s="284"/>
      <c r="E701" s="321"/>
      <c r="F701" s="324"/>
      <c r="G701" s="321"/>
      <c r="H701" s="321"/>
      <c r="I701" s="321"/>
      <c r="J701" s="321"/>
      <c r="K701" s="321"/>
      <c r="L701" s="321"/>
      <c r="M701" s="321"/>
    </row>
    <row r="702">
      <c r="A702" s="321"/>
      <c r="B702" s="321"/>
      <c r="C702" s="323"/>
      <c r="D702" s="284"/>
      <c r="E702" s="321"/>
      <c r="F702" s="324"/>
      <c r="G702" s="321"/>
      <c r="H702" s="321"/>
      <c r="I702" s="321"/>
      <c r="J702" s="321"/>
      <c r="K702" s="321"/>
      <c r="L702" s="321"/>
      <c r="M702" s="321"/>
    </row>
    <row r="703">
      <c r="A703" s="321"/>
      <c r="B703" s="321"/>
      <c r="C703" s="323"/>
      <c r="D703" s="284"/>
      <c r="E703" s="321"/>
      <c r="F703" s="324"/>
      <c r="G703" s="321"/>
      <c r="H703" s="321"/>
      <c r="I703" s="321"/>
      <c r="J703" s="321"/>
      <c r="K703" s="321"/>
      <c r="L703" s="321"/>
      <c r="M703" s="321"/>
    </row>
    <row r="704">
      <c r="A704" s="321"/>
      <c r="B704" s="321"/>
      <c r="C704" s="323"/>
      <c r="D704" s="284"/>
      <c r="E704" s="321"/>
      <c r="F704" s="324"/>
      <c r="G704" s="321"/>
      <c r="H704" s="321"/>
      <c r="I704" s="321"/>
      <c r="J704" s="321"/>
      <c r="K704" s="321"/>
      <c r="L704" s="321"/>
      <c r="M704" s="321"/>
    </row>
    <row r="705">
      <c r="A705" s="321"/>
      <c r="B705" s="321"/>
      <c r="C705" s="323"/>
      <c r="D705" s="284"/>
      <c r="E705" s="321"/>
      <c r="F705" s="324"/>
      <c r="G705" s="321"/>
      <c r="H705" s="321"/>
      <c r="I705" s="321"/>
      <c r="J705" s="321"/>
      <c r="K705" s="321"/>
      <c r="L705" s="321"/>
      <c r="M705" s="321"/>
    </row>
    <row r="706">
      <c r="A706" s="321"/>
      <c r="B706" s="321"/>
      <c r="C706" s="323"/>
      <c r="D706" s="284"/>
      <c r="E706" s="321"/>
      <c r="F706" s="324"/>
      <c r="G706" s="321"/>
      <c r="H706" s="321"/>
      <c r="I706" s="321"/>
      <c r="J706" s="321"/>
      <c r="K706" s="321"/>
      <c r="L706" s="321"/>
      <c r="M706" s="321"/>
    </row>
    <row r="707">
      <c r="A707" s="321"/>
      <c r="B707" s="321"/>
      <c r="C707" s="323"/>
      <c r="D707" s="284"/>
      <c r="E707" s="321"/>
      <c r="F707" s="324"/>
      <c r="G707" s="321"/>
      <c r="H707" s="321"/>
      <c r="I707" s="321"/>
      <c r="J707" s="321"/>
      <c r="K707" s="321"/>
      <c r="L707" s="321"/>
      <c r="M707" s="321"/>
    </row>
    <row r="708">
      <c r="A708" s="321"/>
      <c r="B708" s="321"/>
      <c r="C708" s="323"/>
      <c r="D708" s="284"/>
      <c r="E708" s="321"/>
      <c r="F708" s="324"/>
      <c r="G708" s="321"/>
      <c r="H708" s="321"/>
      <c r="I708" s="321"/>
      <c r="J708" s="321"/>
      <c r="K708" s="321"/>
      <c r="L708" s="321"/>
      <c r="M708" s="321"/>
    </row>
    <row r="709">
      <c r="A709" s="321"/>
      <c r="B709" s="321"/>
      <c r="C709" s="323"/>
      <c r="D709" s="284"/>
      <c r="E709" s="321"/>
      <c r="F709" s="324"/>
      <c r="G709" s="321"/>
      <c r="H709" s="321"/>
      <c r="I709" s="321"/>
      <c r="J709" s="321"/>
      <c r="K709" s="321"/>
      <c r="L709" s="321"/>
      <c r="M709" s="321"/>
    </row>
    <row r="710">
      <c r="A710" s="321"/>
      <c r="B710" s="321"/>
      <c r="C710" s="323"/>
      <c r="D710" s="284"/>
      <c r="E710" s="321"/>
      <c r="F710" s="324"/>
      <c r="G710" s="321"/>
      <c r="H710" s="321"/>
      <c r="I710" s="321"/>
      <c r="J710" s="321"/>
      <c r="K710" s="321"/>
      <c r="L710" s="321"/>
      <c r="M710" s="321"/>
    </row>
    <row r="711">
      <c r="A711" s="321"/>
      <c r="B711" s="321"/>
      <c r="C711" s="323"/>
      <c r="D711" s="284"/>
      <c r="E711" s="321"/>
      <c r="F711" s="324"/>
      <c r="G711" s="321"/>
      <c r="H711" s="321"/>
      <c r="I711" s="321"/>
      <c r="J711" s="321"/>
      <c r="K711" s="321"/>
      <c r="L711" s="321"/>
      <c r="M711" s="321"/>
    </row>
    <row r="712">
      <c r="A712" s="321"/>
      <c r="B712" s="321"/>
      <c r="C712" s="323"/>
      <c r="D712" s="284"/>
      <c r="E712" s="321"/>
      <c r="F712" s="324"/>
      <c r="G712" s="321"/>
      <c r="H712" s="321"/>
      <c r="I712" s="321"/>
      <c r="J712" s="321"/>
      <c r="K712" s="321"/>
      <c r="L712" s="321"/>
      <c r="M712" s="321"/>
    </row>
    <row r="713">
      <c r="A713" s="321"/>
      <c r="B713" s="321"/>
      <c r="C713" s="323"/>
      <c r="D713" s="284"/>
      <c r="E713" s="321"/>
      <c r="F713" s="324"/>
      <c r="G713" s="321"/>
      <c r="H713" s="321"/>
      <c r="I713" s="321"/>
      <c r="J713" s="321"/>
      <c r="K713" s="321"/>
      <c r="L713" s="321"/>
      <c r="M713" s="321"/>
    </row>
    <row r="714">
      <c r="A714" s="321"/>
      <c r="B714" s="321"/>
      <c r="C714" s="323"/>
      <c r="D714" s="284"/>
      <c r="E714" s="321"/>
      <c r="F714" s="324"/>
      <c r="G714" s="321"/>
      <c r="H714" s="321"/>
      <c r="I714" s="321"/>
      <c r="J714" s="321"/>
      <c r="K714" s="321"/>
      <c r="L714" s="321"/>
      <c r="M714" s="321"/>
    </row>
    <row r="715">
      <c r="A715" s="321"/>
      <c r="B715" s="321"/>
      <c r="C715" s="323"/>
      <c r="D715" s="284"/>
      <c r="E715" s="321"/>
      <c r="F715" s="324"/>
      <c r="G715" s="321"/>
      <c r="H715" s="321"/>
      <c r="I715" s="321"/>
      <c r="J715" s="321"/>
      <c r="K715" s="321"/>
      <c r="L715" s="321"/>
      <c r="M715" s="321"/>
    </row>
    <row r="716">
      <c r="A716" s="321"/>
      <c r="B716" s="321"/>
      <c r="C716" s="323"/>
      <c r="D716" s="284"/>
      <c r="E716" s="321"/>
      <c r="F716" s="324"/>
      <c r="G716" s="321"/>
      <c r="H716" s="321"/>
      <c r="I716" s="321"/>
      <c r="J716" s="321"/>
      <c r="K716" s="321"/>
      <c r="L716" s="321"/>
      <c r="M716" s="321"/>
    </row>
    <row r="717">
      <c r="A717" s="321"/>
      <c r="B717" s="321"/>
      <c r="C717" s="323"/>
      <c r="D717" s="284"/>
      <c r="E717" s="321"/>
      <c r="F717" s="324"/>
      <c r="G717" s="321"/>
      <c r="H717" s="321"/>
      <c r="I717" s="321"/>
      <c r="J717" s="321"/>
      <c r="K717" s="321"/>
      <c r="L717" s="321"/>
      <c r="M717" s="321"/>
    </row>
    <row r="718">
      <c r="A718" s="321"/>
      <c r="B718" s="321"/>
      <c r="C718" s="323"/>
      <c r="D718" s="284"/>
      <c r="E718" s="321"/>
      <c r="F718" s="324"/>
      <c r="G718" s="321"/>
      <c r="H718" s="321"/>
      <c r="I718" s="321"/>
      <c r="J718" s="321"/>
      <c r="K718" s="321"/>
      <c r="L718" s="321"/>
      <c r="M718" s="321"/>
    </row>
    <row r="719">
      <c r="A719" s="321"/>
      <c r="B719" s="321"/>
      <c r="C719" s="323"/>
      <c r="D719" s="284"/>
      <c r="E719" s="321"/>
      <c r="F719" s="324"/>
      <c r="G719" s="321"/>
      <c r="H719" s="321"/>
      <c r="I719" s="321"/>
      <c r="J719" s="321"/>
      <c r="K719" s="321"/>
      <c r="L719" s="321"/>
      <c r="M719" s="321"/>
    </row>
    <row r="720">
      <c r="A720" s="321"/>
      <c r="B720" s="321"/>
      <c r="C720" s="323"/>
      <c r="D720" s="284"/>
      <c r="E720" s="321"/>
      <c r="F720" s="324"/>
      <c r="G720" s="321"/>
      <c r="H720" s="321"/>
      <c r="I720" s="321"/>
      <c r="J720" s="321"/>
      <c r="K720" s="321"/>
      <c r="L720" s="321"/>
      <c r="M720" s="321"/>
    </row>
    <row r="721">
      <c r="A721" s="321"/>
      <c r="B721" s="321"/>
      <c r="C721" s="323"/>
      <c r="D721" s="284"/>
      <c r="E721" s="321"/>
      <c r="F721" s="324"/>
      <c r="G721" s="321"/>
      <c r="H721" s="321"/>
      <c r="I721" s="321"/>
      <c r="J721" s="321"/>
      <c r="K721" s="321"/>
      <c r="L721" s="321"/>
      <c r="M721" s="321"/>
    </row>
    <row r="722">
      <c r="A722" s="321"/>
      <c r="B722" s="321"/>
      <c r="C722" s="323"/>
      <c r="D722" s="284"/>
      <c r="E722" s="321"/>
      <c r="F722" s="324"/>
      <c r="G722" s="321"/>
      <c r="H722" s="321"/>
      <c r="I722" s="321"/>
      <c r="J722" s="321"/>
      <c r="K722" s="321"/>
      <c r="L722" s="321"/>
      <c r="M722" s="321"/>
    </row>
    <row r="723">
      <c r="A723" s="321"/>
      <c r="B723" s="321"/>
      <c r="C723" s="323"/>
      <c r="D723" s="284"/>
      <c r="E723" s="321"/>
      <c r="F723" s="324"/>
      <c r="G723" s="321"/>
      <c r="H723" s="321"/>
      <c r="I723" s="321"/>
      <c r="J723" s="321"/>
      <c r="K723" s="321"/>
      <c r="L723" s="321"/>
      <c r="M723" s="321"/>
    </row>
    <row r="724">
      <c r="A724" s="321"/>
      <c r="B724" s="321"/>
      <c r="C724" s="323"/>
      <c r="D724" s="284"/>
      <c r="E724" s="321"/>
      <c r="F724" s="324"/>
      <c r="G724" s="321"/>
      <c r="H724" s="321"/>
      <c r="I724" s="321"/>
      <c r="J724" s="321"/>
      <c r="K724" s="321"/>
      <c r="L724" s="321"/>
      <c r="M724" s="321"/>
    </row>
    <row r="725">
      <c r="A725" s="321"/>
      <c r="B725" s="321"/>
      <c r="C725" s="323"/>
      <c r="D725" s="284"/>
      <c r="E725" s="321"/>
      <c r="F725" s="324"/>
      <c r="G725" s="321"/>
      <c r="H725" s="321"/>
      <c r="I725" s="321"/>
      <c r="J725" s="321"/>
      <c r="K725" s="321"/>
      <c r="L725" s="321"/>
      <c r="M725" s="321"/>
    </row>
    <row r="726">
      <c r="A726" s="321"/>
      <c r="B726" s="321"/>
      <c r="C726" s="323"/>
      <c r="D726" s="284"/>
      <c r="E726" s="321"/>
      <c r="F726" s="324"/>
      <c r="G726" s="321"/>
      <c r="H726" s="321"/>
      <c r="I726" s="321"/>
      <c r="J726" s="321"/>
      <c r="K726" s="321"/>
      <c r="L726" s="321"/>
      <c r="M726" s="321"/>
    </row>
    <row r="727">
      <c r="A727" s="321"/>
      <c r="B727" s="321"/>
      <c r="C727" s="323"/>
      <c r="D727" s="284"/>
      <c r="E727" s="321"/>
      <c r="F727" s="324"/>
      <c r="G727" s="321"/>
      <c r="H727" s="321"/>
      <c r="I727" s="321"/>
      <c r="J727" s="321"/>
      <c r="K727" s="321"/>
      <c r="L727" s="321"/>
      <c r="M727" s="321"/>
    </row>
    <row r="728">
      <c r="A728" s="321"/>
      <c r="B728" s="321"/>
      <c r="C728" s="323"/>
      <c r="D728" s="284"/>
      <c r="E728" s="321"/>
      <c r="F728" s="324"/>
      <c r="G728" s="321"/>
      <c r="H728" s="321"/>
      <c r="I728" s="321"/>
      <c r="J728" s="321"/>
      <c r="K728" s="321"/>
      <c r="L728" s="321"/>
      <c r="M728" s="321"/>
    </row>
    <row r="729">
      <c r="A729" s="321"/>
      <c r="B729" s="321"/>
      <c r="C729" s="323"/>
      <c r="D729" s="284"/>
      <c r="E729" s="321"/>
      <c r="F729" s="324"/>
      <c r="G729" s="321"/>
      <c r="H729" s="321"/>
      <c r="I729" s="321"/>
      <c r="J729" s="321"/>
      <c r="K729" s="321"/>
      <c r="L729" s="321"/>
      <c r="M729" s="321"/>
    </row>
    <row r="730">
      <c r="A730" s="321"/>
      <c r="B730" s="321"/>
      <c r="C730" s="323"/>
      <c r="D730" s="284"/>
      <c r="E730" s="321"/>
      <c r="F730" s="324"/>
      <c r="G730" s="321"/>
      <c r="H730" s="321"/>
      <c r="I730" s="321"/>
      <c r="J730" s="321"/>
      <c r="K730" s="321"/>
      <c r="L730" s="321"/>
      <c r="M730" s="321"/>
    </row>
    <row r="731">
      <c r="A731" s="321"/>
      <c r="B731" s="321"/>
      <c r="C731" s="323"/>
      <c r="D731" s="284"/>
      <c r="E731" s="321"/>
      <c r="F731" s="324"/>
      <c r="G731" s="321"/>
      <c r="H731" s="321"/>
      <c r="I731" s="321"/>
      <c r="J731" s="321"/>
      <c r="K731" s="321"/>
      <c r="L731" s="321"/>
      <c r="M731" s="321"/>
    </row>
    <row r="732">
      <c r="A732" s="321"/>
      <c r="B732" s="321"/>
      <c r="C732" s="323"/>
      <c r="D732" s="284"/>
      <c r="E732" s="321"/>
      <c r="F732" s="324"/>
      <c r="G732" s="321"/>
      <c r="H732" s="321"/>
      <c r="I732" s="321"/>
      <c r="J732" s="321"/>
      <c r="K732" s="321"/>
      <c r="L732" s="321"/>
      <c r="M732" s="321"/>
    </row>
    <row r="733">
      <c r="A733" s="321"/>
      <c r="B733" s="321"/>
      <c r="C733" s="323"/>
      <c r="D733" s="284"/>
      <c r="E733" s="321"/>
      <c r="F733" s="324"/>
      <c r="G733" s="321"/>
      <c r="H733" s="321"/>
      <c r="I733" s="321"/>
      <c r="J733" s="321"/>
      <c r="K733" s="321"/>
      <c r="L733" s="321"/>
      <c r="M733" s="321"/>
    </row>
    <row r="734">
      <c r="A734" s="321"/>
      <c r="B734" s="321"/>
      <c r="C734" s="323"/>
      <c r="D734" s="284"/>
      <c r="E734" s="321"/>
      <c r="F734" s="324"/>
      <c r="G734" s="321"/>
      <c r="H734" s="321"/>
      <c r="I734" s="321"/>
      <c r="J734" s="321"/>
      <c r="K734" s="321"/>
      <c r="L734" s="321"/>
      <c r="M734" s="321"/>
    </row>
    <row r="735">
      <c r="A735" s="321"/>
      <c r="B735" s="321"/>
      <c r="C735" s="323"/>
      <c r="D735" s="284"/>
      <c r="E735" s="321"/>
      <c r="F735" s="324"/>
      <c r="G735" s="321"/>
      <c r="H735" s="321"/>
      <c r="I735" s="321"/>
      <c r="J735" s="321"/>
      <c r="K735" s="321"/>
      <c r="L735" s="321"/>
      <c r="M735" s="321"/>
    </row>
    <row r="736">
      <c r="A736" s="321"/>
      <c r="B736" s="321"/>
      <c r="C736" s="323"/>
      <c r="D736" s="284"/>
      <c r="E736" s="321"/>
      <c r="F736" s="324"/>
      <c r="G736" s="321"/>
      <c r="H736" s="321"/>
      <c r="I736" s="321"/>
      <c r="J736" s="321"/>
      <c r="K736" s="321"/>
      <c r="L736" s="321"/>
      <c r="M736" s="321"/>
    </row>
    <row r="737">
      <c r="A737" s="321"/>
      <c r="B737" s="321"/>
      <c r="C737" s="323"/>
      <c r="D737" s="284"/>
      <c r="E737" s="321"/>
      <c r="F737" s="324"/>
      <c r="G737" s="321"/>
      <c r="H737" s="321"/>
      <c r="I737" s="321"/>
      <c r="J737" s="321"/>
      <c r="K737" s="321"/>
      <c r="L737" s="321"/>
      <c r="M737" s="321"/>
    </row>
    <row r="738">
      <c r="A738" s="321"/>
      <c r="B738" s="321"/>
      <c r="C738" s="323"/>
      <c r="D738" s="284"/>
      <c r="E738" s="321"/>
      <c r="F738" s="324"/>
      <c r="G738" s="321"/>
      <c r="H738" s="321"/>
      <c r="I738" s="321"/>
      <c r="J738" s="321"/>
      <c r="K738" s="321"/>
      <c r="L738" s="321"/>
      <c r="M738" s="321"/>
    </row>
    <row r="739">
      <c r="A739" s="321"/>
      <c r="B739" s="321"/>
      <c r="C739" s="323"/>
      <c r="D739" s="284"/>
      <c r="E739" s="321"/>
      <c r="F739" s="324"/>
      <c r="G739" s="321"/>
      <c r="H739" s="321"/>
      <c r="I739" s="321"/>
      <c r="J739" s="321"/>
      <c r="K739" s="321"/>
      <c r="L739" s="321"/>
      <c r="M739" s="321"/>
    </row>
    <row r="740">
      <c r="A740" s="321"/>
      <c r="B740" s="321"/>
      <c r="C740" s="323"/>
      <c r="D740" s="284"/>
      <c r="E740" s="321"/>
      <c r="F740" s="324"/>
      <c r="G740" s="321"/>
      <c r="H740" s="321"/>
      <c r="I740" s="321"/>
      <c r="J740" s="321"/>
      <c r="K740" s="321"/>
      <c r="L740" s="321"/>
      <c r="M740" s="321"/>
    </row>
    <row r="741">
      <c r="A741" s="321"/>
      <c r="B741" s="321"/>
      <c r="C741" s="323"/>
      <c r="D741" s="284"/>
      <c r="E741" s="321"/>
      <c r="F741" s="324"/>
      <c r="G741" s="321"/>
      <c r="H741" s="321"/>
      <c r="I741" s="321"/>
      <c r="J741" s="321"/>
      <c r="K741" s="321"/>
      <c r="L741" s="321"/>
      <c r="M741" s="321"/>
    </row>
    <row r="742">
      <c r="A742" s="321"/>
      <c r="B742" s="321"/>
      <c r="C742" s="323"/>
      <c r="D742" s="284"/>
      <c r="E742" s="321"/>
      <c r="F742" s="324"/>
      <c r="G742" s="321"/>
      <c r="H742" s="321"/>
      <c r="I742" s="321"/>
      <c r="J742" s="321"/>
      <c r="K742" s="321"/>
      <c r="L742" s="321"/>
      <c r="M742" s="321"/>
    </row>
    <row r="743">
      <c r="A743" s="321"/>
      <c r="B743" s="321"/>
      <c r="C743" s="323"/>
      <c r="D743" s="284"/>
      <c r="E743" s="321"/>
      <c r="F743" s="324"/>
      <c r="G743" s="321"/>
      <c r="H743" s="321"/>
      <c r="I743" s="321"/>
      <c r="J743" s="321"/>
      <c r="K743" s="321"/>
      <c r="L743" s="321"/>
      <c r="M743" s="321"/>
    </row>
    <row r="744">
      <c r="A744" s="321"/>
      <c r="B744" s="321"/>
      <c r="C744" s="323"/>
      <c r="D744" s="284"/>
      <c r="E744" s="321"/>
      <c r="F744" s="324"/>
      <c r="G744" s="321"/>
      <c r="H744" s="321"/>
      <c r="I744" s="321"/>
      <c r="J744" s="321"/>
      <c r="K744" s="321"/>
      <c r="L744" s="321"/>
      <c r="M744" s="321"/>
    </row>
    <row r="745">
      <c r="A745" s="321"/>
      <c r="B745" s="321"/>
      <c r="C745" s="323"/>
      <c r="D745" s="284"/>
      <c r="E745" s="321"/>
      <c r="F745" s="324"/>
      <c r="G745" s="321"/>
      <c r="H745" s="321"/>
      <c r="I745" s="321"/>
      <c r="J745" s="321"/>
      <c r="K745" s="321"/>
      <c r="L745" s="321"/>
      <c r="M745" s="321"/>
    </row>
    <row r="746">
      <c r="A746" s="321"/>
      <c r="B746" s="321"/>
      <c r="C746" s="323"/>
      <c r="D746" s="284"/>
      <c r="E746" s="321"/>
      <c r="F746" s="324"/>
      <c r="G746" s="321"/>
      <c r="H746" s="321"/>
      <c r="I746" s="321"/>
      <c r="J746" s="321"/>
      <c r="K746" s="321"/>
      <c r="L746" s="321"/>
      <c r="M746" s="321"/>
    </row>
    <row r="747">
      <c r="A747" s="321"/>
      <c r="B747" s="321"/>
      <c r="C747" s="323"/>
      <c r="D747" s="284"/>
      <c r="E747" s="321"/>
      <c r="F747" s="324"/>
      <c r="G747" s="321"/>
      <c r="H747" s="321"/>
      <c r="I747" s="321"/>
      <c r="J747" s="321"/>
      <c r="K747" s="321"/>
      <c r="L747" s="321"/>
      <c r="M747" s="321"/>
    </row>
    <row r="748">
      <c r="A748" s="321"/>
      <c r="B748" s="321"/>
      <c r="C748" s="323"/>
      <c r="D748" s="284"/>
      <c r="E748" s="321"/>
      <c r="F748" s="324"/>
      <c r="G748" s="321"/>
      <c r="H748" s="321"/>
      <c r="I748" s="321"/>
      <c r="J748" s="321"/>
      <c r="K748" s="321"/>
      <c r="L748" s="321"/>
      <c r="M748" s="321"/>
    </row>
    <row r="749">
      <c r="A749" s="321"/>
      <c r="B749" s="321"/>
      <c r="C749" s="323"/>
      <c r="D749" s="284"/>
      <c r="E749" s="321"/>
      <c r="F749" s="324"/>
      <c r="G749" s="321"/>
      <c r="H749" s="321"/>
      <c r="I749" s="321"/>
      <c r="J749" s="321"/>
      <c r="K749" s="321"/>
      <c r="L749" s="321"/>
      <c r="M749" s="321"/>
    </row>
    <row r="750">
      <c r="A750" s="321"/>
      <c r="B750" s="321"/>
      <c r="C750" s="323"/>
      <c r="D750" s="284"/>
      <c r="E750" s="321"/>
      <c r="F750" s="324"/>
      <c r="G750" s="321"/>
      <c r="H750" s="321"/>
      <c r="I750" s="321"/>
      <c r="J750" s="321"/>
      <c r="K750" s="321"/>
      <c r="L750" s="321"/>
      <c r="M750" s="321"/>
    </row>
    <row r="751">
      <c r="A751" s="321"/>
      <c r="B751" s="321"/>
      <c r="C751" s="323"/>
      <c r="D751" s="284"/>
      <c r="E751" s="321"/>
      <c r="F751" s="324"/>
      <c r="G751" s="321"/>
      <c r="H751" s="321"/>
      <c r="I751" s="321"/>
      <c r="J751" s="321"/>
      <c r="K751" s="321"/>
      <c r="L751" s="321"/>
      <c r="M751" s="321"/>
    </row>
    <row r="752">
      <c r="A752" s="321"/>
      <c r="B752" s="321"/>
      <c r="C752" s="323"/>
      <c r="D752" s="284"/>
      <c r="E752" s="321"/>
      <c r="F752" s="324"/>
      <c r="G752" s="321"/>
      <c r="H752" s="321"/>
      <c r="I752" s="321"/>
      <c r="J752" s="321"/>
      <c r="K752" s="321"/>
      <c r="L752" s="321"/>
      <c r="M752" s="321"/>
    </row>
    <row r="753">
      <c r="A753" s="321"/>
      <c r="B753" s="321"/>
      <c r="C753" s="323"/>
      <c r="D753" s="284"/>
      <c r="E753" s="321"/>
      <c r="F753" s="324"/>
      <c r="G753" s="321"/>
      <c r="H753" s="321"/>
      <c r="I753" s="321"/>
      <c r="J753" s="321"/>
      <c r="K753" s="321"/>
      <c r="L753" s="321"/>
      <c r="M753" s="321"/>
    </row>
    <row r="754">
      <c r="A754" s="321"/>
      <c r="B754" s="321"/>
      <c r="C754" s="323"/>
      <c r="D754" s="284"/>
      <c r="E754" s="321"/>
      <c r="F754" s="324"/>
      <c r="G754" s="321"/>
      <c r="H754" s="321"/>
      <c r="I754" s="321"/>
      <c r="J754" s="321"/>
      <c r="K754" s="321"/>
      <c r="L754" s="321"/>
      <c r="M754" s="321"/>
    </row>
    <row r="755">
      <c r="A755" s="321"/>
      <c r="B755" s="321"/>
      <c r="C755" s="323"/>
      <c r="D755" s="284"/>
      <c r="E755" s="321"/>
      <c r="F755" s="324"/>
      <c r="G755" s="321"/>
      <c r="H755" s="321"/>
      <c r="I755" s="321"/>
      <c r="J755" s="321"/>
      <c r="K755" s="321"/>
      <c r="L755" s="321"/>
      <c r="M755" s="321"/>
    </row>
    <row r="756">
      <c r="A756" s="321"/>
      <c r="B756" s="321"/>
      <c r="C756" s="323"/>
      <c r="D756" s="284"/>
      <c r="E756" s="321"/>
      <c r="F756" s="324"/>
      <c r="G756" s="321"/>
      <c r="H756" s="321"/>
      <c r="I756" s="321"/>
      <c r="J756" s="321"/>
      <c r="K756" s="321"/>
      <c r="L756" s="321"/>
      <c r="M756" s="321"/>
    </row>
    <row r="757">
      <c r="A757" s="321"/>
      <c r="B757" s="321"/>
      <c r="C757" s="323"/>
      <c r="D757" s="284"/>
      <c r="E757" s="321"/>
      <c r="F757" s="324"/>
      <c r="G757" s="321"/>
      <c r="H757" s="321"/>
      <c r="I757" s="321"/>
      <c r="J757" s="321"/>
      <c r="K757" s="321"/>
      <c r="L757" s="321"/>
      <c r="M757" s="321"/>
    </row>
    <row r="758">
      <c r="A758" s="321"/>
      <c r="B758" s="321"/>
      <c r="C758" s="323"/>
      <c r="D758" s="284"/>
      <c r="E758" s="321"/>
      <c r="F758" s="324"/>
      <c r="G758" s="321"/>
      <c r="H758" s="321"/>
      <c r="I758" s="321"/>
      <c r="J758" s="321"/>
      <c r="K758" s="321"/>
      <c r="L758" s="321"/>
      <c r="M758" s="321"/>
    </row>
    <row r="759">
      <c r="A759" s="321"/>
      <c r="B759" s="321"/>
      <c r="C759" s="323"/>
      <c r="D759" s="284"/>
      <c r="E759" s="321"/>
      <c r="F759" s="324"/>
      <c r="G759" s="321"/>
      <c r="H759" s="321"/>
      <c r="I759" s="321"/>
      <c r="J759" s="321"/>
      <c r="K759" s="321"/>
      <c r="L759" s="321"/>
      <c r="M759" s="321"/>
    </row>
    <row r="760">
      <c r="A760" s="321"/>
      <c r="B760" s="321"/>
      <c r="C760" s="323"/>
      <c r="D760" s="284"/>
      <c r="E760" s="321"/>
      <c r="F760" s="324"/>
      <c r="G760" s="321"/>
      <c r="H760" s="321"/>
      <c r="I760" s="321"/>
      <c r="J760" s="321"/>
      <c r="K760" s="321"/>
      <c r="L760" s="321"/>
      <c r="M760" s="321"/>
    </row>
    <row r="761">
      <c r="A761" s="321"/>
      <c r="B761" s="321"/>
      <c r="C761" s="323"/>
      <c r="D761" s="284"/>
      <c r="E761" s="321"/>
      <c r="F761" s="324"/>
      <c r="G761" s="321"/>
      <c r="H761" s="321"/>
      <c r="I761" s="321"/>
      <c r="J761" s="321"/>
      <c r="K761" s="321"/>
      <c r="L761" s="321"/>
      <c r="M761" s="321"/>
    </row>
    <row r="762">
      <c r="A762" s="321"/>
      <c r="B762" s="321"/>
      <c r="C762" s="323"/>
      <c r="D762" s="284"/>
      <c r="E762" s="321"/>
      <c r="F762" s="324"/>
      <c r="G762" s="321"/>
      <c r="H762" s="321"/>
      <c r="I762" s="321"/>
      <c r="J762" s="321"/>
      <c r="K762" s="321"/>
      <c r="L762" s="321"/>
      <c r="M762" s="321"/>
    </row>
    <row r="763">
      <c r="A763" s="321"/>
      <c r="B763" s="321"/>
      <c r="C763" s="323"/>
      <c r="D763" s="284"/>
      <c r="E763" s="321"/>
      <c r="F763" s="324"/>
      <c r="G763" s="321"/>
      <c r="H763" s="321"/>
      <c r="I763" s="321"/>
      <c r="J763" s="321"/>
      <c r="K763" s="321"/>
      <c r="L763" s="321"/>
      <c r="M763" s="321"/>
    </row>
    <row r="764">
      <c r="A764" s="321"/>
      <c r="B764" s="321"/>
      <c r="C764" s="323"/>
      <c r="D764" s="284"/>
      <c r="E764" s="321"/>
      <c r="F764" s="324"/>
      <c r="G764" s="321"/>
      <c r="H764" s="321"/>
      <c r="I764" s="321"/>
      <c r="J764" s="321"/>
      <c r="K764" s="321"/>
      <c r="L764" s="321"/>
      <c r="M764" s="321"/>
    </row>
    <row r="765">
      <c r="A765" s="321"/>
      <c r="B765" s="321"/>
      <c r="C765" s="323"/>
      <c r="D765" s="284"/>
      <c r="E765" s="321"/>
      <c r="F765" s="324"/>
      <c r="G765" s="321"/>
      <c r="H765" s="321"/>
      <c r="I765" s="321"/>
      <c r="J765" s="321"/>
      <c r="K765" s="321"/>
      <c r="L765" s="321"/>
      <c r="M765" s="321"/>
    </row>
    <row r="766">
      <c r="A766" s="321"/>
      <c r="B766" s="321"/>
      <c r="C766" s="323"/>
      <c r="D766" s="284"/>
      <c r="E766" s="321"/>
      <c r="F766" s="324"/>
      <c r="G766" s="321"/>
      <c r="H766" s="321"/>
      <c r="I766" s="321"/>
      <c r="J766" s="321"/>
      <c r="K766" s="321"/>
      <c r="L766" s="321"/>
      <c r="M766" s="321"/>
    </row>
    <row r="767">
      <c r="A767" s="321"/>
      <c r="B767" s="321"/>
      <c r="C767" s="323"/>
      <c r="D767" s="284"/>
      <c r="E767" s="321"/>
      <c r="F767" s="324"/>
      <c r="G767" s="321"/>
      <c r="H767" s="321"/>
      <c r="I767" s="321"/>
      <c r="J767" s="321"/>
      <c r="K767" s="321"/>
      <c r="L767" s="321"/>
      <c r="M767" s="321"/>
    </row>
    <row r="768">
      <c r="A768" s="321"/>
      <c r="B768" s="321"/>
      <c r="C768" s="323"/>
      <c r="D768" s="284"/>
      <c r="E768" s="321"/>
      <c r="F768" s="324"/>
      <c r="G768" s="321"/>
      <c r="H768" s="321"/>
      <c r="I768" s="321"/>
      <c r="J768" s="321"/>
      <c r="K768" s="321"/>
      <c r="L768" s="321"/>
      <c r="M768" s="321"/>
    </row>
    <row r="769">
      <c r="A769" s="321"/>
      <c r="B769" s="321"/>
      <c r="C769" s="323"/>
      <c r="D769" s="284"/>
      <c r="E769" s="321"/>
      <c r="F769" s="324"/>
      <c r="G769" s="321"/>
      <c r="H769" s="321"/>
      <c r="I769" s="321"/>
      <c r="J769" s="321"/>
      <c r="K769" s="321"/>
      <c r="L769" s="321"/>
      <c r="M769" s="321"/>
    </row>
    <row r="770">
      <c r="A770" s="321"/>
      <c r="B770" s="321"/>
      <c r="C770" s="323"/>
      <c r="D770" s="284"/>
      <c r="E770" s="321"/>
      <c r="F770" s="324"/>
      <c r="G770" s="321"/>
      <c r="H770" s="321"/>
      <c r="I770" s="321"/>
      <c r="J770" s="321"/>
      <c r="K770" s="321"/>
      <c r="L770" s="321"/>
      <c r="M770" s="321"/>
    </row>
    <row r="771">
      <c r="A771" s="321"/>
      <c r="B771" s="321"/>
      <c r="C771" s="323"/>
      <c r="D771" s="284"/>
      <c r="E771" s="321"/>
      <c r="F771" s="324"/>
      <c r="G771" s="321"/>
      <c r="H771" s="321"/>
      <c r="I771" s="321"/>
      <c r="J771" s="321"/>
      <c r="K771" s="321"/>
      <c r="L771" s="321"/>
      <c r="M771" s="321"/>
    </row>
    <row r="772">
      <c r="A772" s="321"/>
      <c r="B772" s="321"/>
      <c r="C772" s="323"/>
      <c r="D772" s="284"/>
      <c r="E772" s="321"/>
      <c r="F772" s="324"/>
      <c r="G772" s="321"/>
      <c r="H772" s="321"/>
      <c r="I772" s="321"/>
      <c r="J772" s="321"/>
      <c r="K772" s="321"/>
      <c r="L772" s="321"/>
      <c r="M772" s="321"/>
    </row>
    <row r="773">
      <c r="A773" s="321"/>
      <c r="B773" s="321"/>
      <c r="C773" s="323"/>
      <c r="D773" s="284"/>
      <c r="E773" s="321"/>
      <c r="F773" s="324"/>
      <c r="G773" s="321"/>
      <c r="H773" s="321"/>
      <c r="I773" s="321"/>
      <c r="J773" s="321"/>
      <c r="K773" s="321"/>
      <c r="L773" s="321"/>
      <c r="M773" s="321"/>
    </row>
    <row r="774">
      <c r="A774" s="321"/>
      <c r="B774" s="321"/>
      <c r="C774" s="323"/>
      <c r="D774" s="284"/>
      <c r="E774" s="321"/>
      <c r="F774" s="324"/>
      <c r="G774" s="321"/>
      <c r="H774" s="321"/>
      <c r="I774" s="321"/>
      <c r="J774" s="321"/>
      <c r="K774" s="321"/>
      <c r="L774" s="321"/>
      <c r="M774" s="321"/>
    </row>
    <row r="775">
      <c r="A775" s="321"/>
      <c r="B775" s="321"/>
      <c r="C775" s="323"/>
      <c r="D775" s="284"/>
      <c r="E775" s="321"/>
      <c r="F775" s="324"/>
      <c r="G775" s="321"/>
      <c r="H775" s="321"/>
      <c r="I775" s="321"/>
      <c r="J775" s="321"/>
      <c r="K775" s="321"/>
      <c r="L775" s="321"/>
      <c r="M775" s="321"/>
    </row>
    <row r="776">
      <c r="A776" s="321"/>
      <c r="B776" s="321"/>
      <c r="C776" s="323"/>
      <c r="D776" s="284"/>
      <c r="E776" s="321"/>
      <c r="F776" s="324"/>
      <c r="G776" s="321"/>
      <c r="H776" s="321"/>
      <c r="I776" s="321"/>
      <c r="J776" s="321"/>
      <c r="K776" s="321"/>
      <c r="L776" s="321"/>
      <c r="M776" s="321"/>
    </row>
    <row r="777">
      <c r="A777" s="321"/>
      <c r="B777" s="321"/>
      <c r="C777" s="323"/>
      <c r="D777" s="284"/>
      <c r="E777" s="321"/>
      <c r="F777" s="324"/>
      <c r="G777" s="321"/>
      <c r="H777" s="321"/>
      <c r="I777" s="321"/>
      <c r="J777" s="321"/>
      <c r="K777" s="321"/>
      <c r="L777" s="321"/>
      <c r="M777" s="321"/>
    </row>
    <row r="778">
      <c r="A778" s="321"/>
      <c r="B778" s="321"/>
      <c r="C778" s="323"/>
      <c r="D778" s="284"/>
      <c r="E778" s="321"/>
      <c r="F778" s="324"/>
      <c r="G778" s="321"/>
      <c r="H778" s="321"/>
      <c r="I778" s="321"/>
      <c r="J778" s="321"/>
      <c r="K778" s="321"/>
      <c r="L778" s="321"/>
      <c r="M778" s="321"/>
    </row>
    <row r="779">
      <c r="A779" s="321"/>
      <c r="B779" s="321"/>
      <c r="C779" s="323"/>
      <c r="D779" s="284"/>
      <c r="E779" s="321"/>
      <c r="F779" s="324"/>
      <c r="G779" s="321"/>
      <c r="H779" s="321"/>
      <c r="I779" s="321"/>
      <c r="J779" s="321"/>
      <c r="K779" s="321"/>
      <c r="L779" s="321"/>
      <c r="M779" s="321"/>
    </row>
    <row r="780">
      <c r="A780" s="321"/>
      <c r="B780" s="321"/>
      <c r="C780" s="323"/>
      <c r="D780" s="284"/>
      <c r="E780" s="321"/>
      <c r="F780" s="324"/>
      <c r="G780" s="321"/>
      <c r="H780" s="321"/>
      <c r="I780" s="321"/>
      <c r="J780" s="321"/>
      <c r="K780" s="321"/>
      <c r="L780" s="321"/>
      <c r="M780" s="321"/>
    </row>
    <row r="781">
      <c r="A781" s="321"/>
      <c r="B781" s="321"/>
      <c r="C781" s="323"/>
      <c r="D781" s="284"/>
      <c r="E781" s="321"/>
      <c r="F781" s="324"/>
      <c r="G781" s="321"/>
      <c r="H781" s="321"/>
      <c r="I781" s="321"/>
      <c r="J781" s="321"/>
      <c r="K781" s="321"/>
      <c r="L781" s="321"/>
      <c r="M781" s="321"/>
    </row>
    <row r="782">
      <c r="A782" s="321"/>
      <c r="B782" s="321"/>
      <c r="C782" s="323"/>
      <c r="D782" s="284"/>
      <c r="E782" s="321"/>
      <c r="F782" s="324"/>
      <c r="G782" s="321"/>
      <c r="H782" s="321"/>
      <c r="I782" s="321"/>
      <c r="J782" s="321"/>
      <c r="K782" s="321"/>
      <c r="L782" s="321"/>
      <c r="M782" s="321"/>
    </row>
    <row r="783">
      <c r="A783" s="321"/>
      <c r="B783" s="321"/>
      <c r="C783" s="323"/>
      <c r="D783" s="284"/>
      <c r="E783" s="321"/>
      <c r="F783" s="324"/>
      <c r="G783" s="321"/>
      <c r="H783" s="321"/>
      <c r="I783" s="321"/>
      <c r="J783" s="321"/>
      <c r="K783" s="321"/>
      <c r="L783" s="321"/>
      <c r="M783" s="321"/>
    </row>
    <row r="784">
      <c r="A784" s="321"/>
      <c r="B784" s="321"/>
      <c r="C784" s="323"/>
      <c r="D784" s="284"/>
      <c r="E784" s="321"/>
      <c r="F784" s="324"/>
      <c r="G784" s="321"/>
      <c r="H784" s="321"/>
      <c r="I784" s="321"/>
      <c r="J784" s="321"/>
      <c r="K784" s="321"/>
      <c r="L784" s="321"/>
      <c r="M784" s="321"/>
    </row>
    <row r="785">
      <c r="A785" s="321"/>
      <c r="B785" s="321"/>
      <c r="C785" s="323"/>
      <c r="D785" s="284"/>
      <c r="E785" s="321"/>
      <c r="F785" s="324"/>
      <c r="G785" s="321"/>
      <c r="H785" s="321"/>
      <c r="I785" s="321"/>
      <c r="J785" s="321"/>
      <c r="K785" s="321"/>
      <c r="L785" s="321"/>
      <c r="M785" s="321"/>
    </row>
    <row r="786">
      <c r="A786" s="321"/>
      <c r="B786" s="321"/>
      <c r="C786" s="323"/>
      <c r="D786" s="284"/>
      <c r="E786" s="321"/>
      <c r="F786" s="324"/>
      <c r="G786" s="321"/>
      <c r="H786" s="321"/>
      <c r="I786" s="321"/>
      <c r="J786" s="321"/>
      <c r="K786" s="321"/>
      <c r="L786" s="321"/>
      <c r="M786" s="321"/>
    </row>
    <row r="787">
      <c r="A787" s="321"/>
      <c r="B787" s="321"/>
      <c r="C787" s="323"/>
      <c r="D787" s="284"/>
      <c r="E787" s="321"/>
      <c r="F787" s="324"/>
      <c r="G787" s="321"/>
      <c r="H787" s="321"/>
      <c r="I787" s="321"/>
      <c r="J787" s="321"/>
      <c r="K787" s="321"/>
      <c r="L787" s="321"/>
      <c r="M787" s="321"/>
    </row>
    <row r="788">
      <c r="A788" s="321"/>
      <c r="B788" s="321"/>
      <c r="C788" s="323"/>
      <c r="D788" s="284"/>
      <c r="E788" s="321"/>
      <c r="F788" s="324"/>
      <c r="G788" s="321"/>
      <c r="H788" s="321"/>
      <c r="I788" s="321"/>
      <c r="J788" s="321"/>
      <c r="K788" s="321"/>
      <c r="L788" s="321"/>
      <c r="M788" s="321"/>
    </row>
    <row r="789">
      <c r="A789" s="321"/>
      <c r="B789" s="321"/>
      <c r="C789" s="323"/>
      <c r="D789" s="284"/>
      <c r="E789" s="321"/>
      <c r="F789" s="324"/>
      <c r="G789" s="321"/>
      <c r="H789" s="321"/>
      <c r="I789" s="321"/>
      <c r="J789" s="321"/>
      <c r="K789" s="321"/>
      <c r="L789" s="321"/>
      <c r="M789" s="321"/>
    </row>
    <row r="790">
      <c r="A790" s="321"/>
      <c r="B790" s="321"/>
      <c r="C790" s="323"/>
      <c r="D790" s="284"/>
      <c r="E790" s="321"/>
      <c r="F790" s="324"/>
      <c r="G790" s="321"/>
      <c r="H790" s="321"/>
      <c r="I790" s="321"/>
      <c r="J790" s="321"/>
      <c r="K790" s="321"/>
      <c r="L790" s="321"/>
      <c r="M790" s="321"/>
    </row>
    <row r="791">
      <c r="A791" s="321"/>
      <c r="B791" s="321"/>
      <c r="C791" s="323"/>
      <c r="D791" s="284"/>
      <c r="E791" s="321"/>
      <c r="F791" s="324"/>
      <c r="G791" s="321"/>
      <c r="H791" s="321"/>
      <c r="I791" s="321"/>
      <c r="J791" s="321"/>
      <c r="K791" s="321"/>
      <c r="L791" s="321"/>
      <c r="M791" s="321"/>
    </row>
    <row r="792">
      <c r="A792" s="321"/>
      <c r="B792" s="321"/>
      <c r="C792" s="323"/>
      <c r="D792" s="284"/>
      <c r="E792" s="321"/>
      <c r="F792" s="324"/>
      <c r="G792" s="321"/>
      <c r="H792" s="321"/>
      <c r="I792" s="321"/>
      <c r="J792" s="321"/>
      <c r="K792" s="321"/>
      <c r="L792" s="321"/>
      <c r="M792" s="321"/>
    </row>
    <row r="793">
      <c r="A793" s="321"/>
      <c r="B793" s="321"/>
      <c r="C793" s="323"/>
      <c r="D793" s="284"/>
      <c r="E793" s="321"/>
      <c r="F793" s="324"/>
      <c r="G793" s="321"/>
      <c r="H793" s="321"/>
      <c r="I793" s="321"/>
      <c r="J793" s="321"/>
      <c r="K793" s="321"/>
      <c r="L793" s="321"/>
      <c r="M793" s="321"/>
    </row>
    <row r="794">
      <c r="A794" s="321"/>
      <c r="B794" s="321"/>
      <c r="C794" s="323"/>
      <c r="D794" s="284"/>
      <c r="E794" s="321"/>
      <c r="F794" s="324"/>
      <c r="G794" s="321"/>
      <c r="H794" s="321"/>
      <c r="I794" s="321"/>
      <c r="J794" s="321"/>
      <c r="K794" s="321"/>
      <c r="L794" s="321"/>
      <c r="M794" s="321"/>
    </row>
    <row r="795">
      <c r="A795" s="321"/>
      <c r="B795" s="321"/>
      <c r="C795" s="323"/>
      <c r="D795" s="284"/>
      <c r="E795" s="321"/>
      <c r="F795" s="324"/>
      <c r="G795" s="321"/>
      <c r="H795" s="321"/>
      <c r="I795" s="321"/>
      <c r="J795" s="321"/>
      <c r="K795" s="321"/>
      <c r="L795" s="321"/>
      <c r="M795" s="321"/>
    </row>
    <row r="796">
      <c r="A796" s="321"/>
      <c r="B796" s="321"/>
      <c r="C796" s="323"/>
      <c r="D796" s="284"/>
      <c r="E796" s="321"/>
      <c r="F796" s="324"/>
      <c r="G796" s="321"/>
      <c r="H796" s="321"/>
      <c r="I796" s="321"/>
      <c r="J796" s="321"/>
      <c r="K796" s="321"/>
      <c r="L796" s="321"/>
      <c r="M796" s="321"/>
    </row>
    <row r="797">
      <c r="A797" s="321"/>
      <c r="B797" s="321"/>
      <c r="C797" s="323"/>
      <c r="D797" s="284"/>
      <c r="E797" s="321"/>
      <c r="F797" s="324"/>
      <c r="G797" s="321"/>
      <c r="H797" s="321"/>
      <c r="I797" s="321"/>
      <c r="J797" s="321"/>
      <c r="K797" s="321"/>
      <c r="L797" s="321"/>
      <c r="M797" s="321"/>
    </row>
    <row r="798">
      <c r="A798" s="321"/>
      <c r="B798" s="321"/>
      <c r="C798" s="323"/>
      <c r="D798" s="284"/>
      <c r="E798" s="321"/>
      <c r="F798" s="324"/>
      <c r="G798" s="321"/>
      <c r="H798" s="321"/>
      <c r="I798" s="321"/>
      <c r="J798" s="321"/>
      <c r="K798" s="321"/>
      <c r="L798" s="321"/>
      <c r="M798" s="321"/>
    </row>
    <row r="799">
      <c r="A799" s="321"/>
      <c r="B799" s="321"/>
      <c r="C799" s="323"/>
      <c r="D799" s="284"/>
      <c r="E799" s="321"/>
      <c r="F799" s="324"/>
      <c r="G799" s="321"/>
      <c r="H799" s="321"/>
      <c r="I799" s="321"/>
      <c r="J799" s="321"/>
      <c r="K799" s="321"/>
      <c r="L799" s="321"/>
      <c r="M799" s="321"/>
    </row>
    <row r="800">
      <c r="A800" s="321"/>
      <c r="B800" s="321"/>
      <c r="C800" s="323"/>
      <c r="D800" s="284"/>
      <c r="E800" s="321"/>
      <c r="F800" s="324"/>
      <c r="G800" s="321"/>
      <c r="H800" s="321"/>
      <c r="I800" s="321"/>
      <c r="J800" s="321"/>
      <c r="K800" s="321"/>
      <c r="L800" s="321"/>
      <c r="M800" s="321"/>
    </row>
    <row r="801">
      <c r="A801" s="321"/>
      <c r="B801" s="321"/>
      <c r="C801" s="323"/>
      <c r="D801" s="284"/>
      <c r="E801" s="321"/>
      <c r="F801" s="324"/>
      <c r="G801" s="321"/>
      <c r="H801" s="321"/>
      <c r="I801" s="321"/>
      <c r="J801" s="321"/>
      <c r="K801" s="321"/>
      <c r="L801" s="321"/>
      <c r="M801" s="321"/>
    </row>
    <row r="802">
      <c r="A802" s="321"/>
      <c r="B802" s="321"/>
      <c r="C802" s="323"/>
      <c r="D802" s="284"/>
      <c r="E802" s="321"/>
      <c r="F802" s="324"/>
      <c r="G802" s="321"/>
      <c r="H802" s="321"/>
      <c r="I802" s="321"/>
      <c r="J802" s="321"/>
      <c r="K802" s="321"/>
      <c r="L802" s="321"/>
      <c r="M802" s="321"/>
    </row>
    <row r="803">
      <c r="A803" s="321"/>
      <c r="B803" s="321"/>
      <c r="C803" s="323"/>
      <c r="D803" s="284"/>
      <c r="E803" s="321"/>
      <c r="F803" s="324"/>
      <c r="G803" s="321"/>
      <c r="H803" s="321"/>
      <c r="I803" s="321"/>
      <c r="J803" s="321"/>
      <c r="K803" s="321"/>
      <c r="L803" s="321"/>
      <c r="M803" s="321"/>
    </row>
    <row r="804">
      <c r="A804" s="321"/>
      <c r="B804" s="321"/>
      <c r="C804" s="323"/>
      <c r="D804" s="284"/>
      <c r="E804" s="321"/>
      <c r="F804" s="324"/>
      <c r="G804" s="321"/>
      <c r="H804" s="321"/>
      <c r="I804" s="321"/>
      <c r="J804" s="321"/>
      <c r="K804" s="321"/>
      <c r="L804" s="321"/>
      <c r="M804" s="321"/>
    </row>
    <row r="805">
      <c r="A805" s="321"/>
      <c r="B805" s="321"/>
      <c r="C805" s="323"/>
      <c r="D805" s="284"/>
      <c r="E805" s="321"/>
      <c r="F805" s="324"/>
      <c r="G805" s="321"/>
      <c r="H805" s="321"/>
      <c r="I805" s="321"/>
      <c r="J805" s="321"/>
      <c r="K805" s="321"/>
      <c r="L805" s="321"/>
      <c r="M805" s="321"/>
    </row>
    <row r="806">
      <c r="A806" s="321"/>
      <c r="B806" s="321"/>
      <c r="C806" s="323"/>
      <c r="D806" s="284"/>
      <c r="E806" s="321"/>
      <c r="F806" s="324"/>
      <c r="G806" s="321"/>
      <c r="H806" s="321"/>
      <c r="I806" s="321"/>
      <c r="J806" s="321"/>
      <c r="K806" s="321"/>
      <c r="L806" s="321"/>
      <c r="M806" s="321"/>
    </row>
    <row r="807">
      <c r="A807" s="321"/>
      <c r="B807" s="321"/>
      <c r="C807" s="323"/>
      <c r="D807" s="284"/>
      <c r="E807" s="321"/>
      <c r="F807" s="324"/>
      <c r="G807" s="321"/>
      <c r="H807" s="321"/>
      <c r="I807" s="321"/>
      <c r="J807" s="321"/>
      <c r="K807" s="321"/>
      <c r="L807" s="321"/>
      <c r="M807" s="321"/>
    </row>
    <row r="808">
      <c r="A808" s="321"/>
      <c r="B808" s="321"/>
      <c r="C808" s="323"/>
      <c r="D808" s="284"/>
      <c r="E808" s="321"/>
      <c r="F808" s="324"/>
      <c r="G808" s="321"/>
      <c r="H808" s="321"/>
      <c r="I808" s="321"/>
      <c r="J808" s="321"/>
      <c r="K808" s="321"/>
      <c r="L808" s="321"/>
      <c r="M808" s="321"/>
    </row>
    <row r="809">
      <c r="A809" s="321"/>
      <c r="B809" s="321"/>
      <c r="C809" s="323"/>
      <c r="D809" s="284"/>
      <c r="E809" s="321"/>
      <c r="F809" s="324"/>
      <c r="G809" s="321"/>
      <c r="H809" s="321"/>
      <c r="I809" s="321"/>
      <c r="J809" s="321"/>
      <c r="K809" s="321"/>
      <c r="L809" s="321"/>
      <c r="M809" s="321"/>
    </row>
    <row r="810">
      <c r="A810" s="321"/>
      <c r="B810" s="321"/>
      <c r="C810" s="323"/>
      <c r="D810" s="284"/>
      <c r="E810" s="321"/>
      <c r="F810" s="324"/>
      <c r="G810" s="321"/>
      <c r="H810" s="321"/>
      <c r="I810" s="321"/>
      <c r="J810" s="321"/>
      <c r="K810" s="321"/>
      <c r="L810" s="321"/>
      <c r="M810" s="321"/>
    </row>
    <row r="811">
      <c r="A811" s="321"/>
      <c r="B811" s="321"/>
      <c r="C811" s="323"/>
      <c r="D811" s="284"/>
      <c r="E811" s="321"/>
      <c r="F811" s="324"/>
      <c r="G811" s="321"/>
      <c r="H811" s="321"/>
      <c r="I811" s="321"/>
      <c r="J811" s="321"/>
      <c r="K811" s="321"/>
      <c r="L811" s="321"/>
      <c r="M811" s="321"/>
    </row>
    <row r="812">
      <c r="A812" s="321"/>
      <c r="B812" s="321"/>
      <c r="C812" s="323"/>
      <c r="D812" s="284"/>
      <c r="E812" s="321"/>
      <c r="F812" s="324"/>
      <c r="G812" s="321"/>
      <c r="H812" s="321"/>
      <c r="I812" s="321"/>
      <c r="J812" s="321"/>
      <c r="K812" s="321"/>
      <c r="L812" s="321"/>
      <c r="M812" s="321"/>
    </row>
    <row r="813">
      <c r="A813" s="321"/>
      <c r="B813" s="321"/>
      <c r="C813" s="323"/>
      <c r="D813" s="284"/>
      <c r="E813" s="321"/>
      <c r="F813" s="324"/>
      <c r="G813" s="321"/>
      <c r="H813" s="321"/>
      <c r="I813" s="321"/>
      <c r="J813" s="321"/>
      <c r="K813" s="321"/>
      <c r="L813" s="321"/>
      <c r="M813" s="321"/>
    </row>
    <row r="814">
      <c r="A814" s="321"/>
      <c r="B814" s="321"/>
      <c r="C814" s="323"/>
      <c r="D814" s="284"/>
      <c r="E814" s="321"/>
      <c r="F814" s="324"/>
      <c r="G814" s="321"/>
      <c r="H814" s="321"/>
      <c r="I814" s="321"/>
      <c r="J814" s="321"/>
      <c r="K814" s="321"/>
      <c r="L814" s="321"/>
      <c r="M814" s="321"/>
    </row>
    <row r="815">
      <c r="A815" s="321"/>
      <c r="B815" s="321"/>
      <c r="C815" s="323"/>
      <c r="D815" s="284"/>
      <c r="E815" s="321"/>
      <c r="F815" s="324"/>
      <c r="G815" s="321"/>
      <c r="H815" s="321"/>
      <c r="I815" s="321"/>
      <c r="J815" s="321"/>
      <c r="K815" s="321"/>
      <c r="L815" s="321"/>
      <c r="M815" s="321"/>
    </row>
    <row r="816">
      <c r="A816" s="321"/>
      <c r="B816" s="321"/>
      <c r="C816" s="323"/>
      <c r="D816" s="284"/>
      <c r="E816" s="321"/>
      <c r="F816" s="324"/>
      <c r="G816" s="321"/>
      <c r="H816" s="321"/>
      <c r="I816" s="321"/>
      <c r="J816" s="321"/>
      <c r="K816" s="321"/>
      <c r="L816" s="321"/>
      <c r="M816" s="321"/>
    </row>
    <row r="817">
      <c r="A817" s="321"/>
      <c r="B817" s="321"/>
      <c r="C817" s="323"/>
      <c r="D817" s="284"/>
      <c r="E817" s="321"/>
      <c r="F817" s="324"/>
      <c r="G817" s="321"/>
      <c r="H817" s="321"/>
      <c r="I817" s="321"/>
      <c r="J817" s="321"/>
      <c r="K817" s="321"/>
      <c r="L817" s="321"/>
      <c r="M817" s="321"/>
    </row>
    <row r="818">
      <c r="A818" s="321"/>
      <c r="B818" s="321"/>
      <c r="C818" s="323"/>
      <c r="D818" s="284"/>
      <c r="E818" s="321"/>
      <c r="F818" s="324"/>
      <c r="G818" s="321"/>
      <c r="H818" s="321"/>
      <c r="I818" s="321"/>
      <c r="J818" s="321"/>
      <c r="K818" s="321"/>
      <c r="L818" s="321"/>
      <c r="M818" s="321"/>
    </row>
    <row r="819">
      <c r="A819" s="321"/>
      <c r="B819" s="321"/>
      <c r="C819" s="323"/>
      <c r="D819" s="284"/>
      <c r="E819" s="321"/>
      <c r="F819" s="324"/>
      <c r="G819" s="321"/>
      <c r="H819" s="321"/>
      <c r="I819" s="321"/>
      <c r="J819" s="321"/>
      <c r="K819" s="321"/>
      <c r="L819" s="321"/>
      <c r="M819" s="321"/>
    </row>
    <row r="820">
      <c r="A820" s="321"/>
      <c r="B820" s="321"/>
      <c r="C820" s="323"/>
      <c r="D820" s="284"/>
      <c r="E820" s="321"/>
      <c r="F820" s="324"/>
      <c r="G820" s="321"/>
      <c r="H820" s="321"/>
      <c r="I820" s="321"/>
      <c r="J820" s="321"/>
      <c r="K820" s="321"/>
      <c r="L820" s="321"/>
      <c r="M820" s="321"/>
    </row>
    <row r="821">
      <c r="A821" s="321"/>
      <c r="B821" s="321"/>
      <c r="C821" s="323"/>
      <c r="D821" s="284"/>
      <c r="E821" s="321"/>
      <c r="F821" s="324"/>
      <c r="G821" s="321"/>
      <c r="H821" s="321"/>
      <c r="I821" s="321"/>
      <c r="J821" s="321"/>
      <c r="K821" s="321"/>
      <c r="L821" s="321"/>
      <c r="M821" s="321"/>
    </row>
    <row r="822">
      <c r="A822" s="321"/>
      <c r="B822" s="321"/>
      <c r="C822" s="323"/>
      <c r="D822" s="284"/>
      <c r="E822" s="321"/>
      <c r="F822" s="324"/>
      <c r="G822" s="321"/>
      <c r="H822" s="321"/>
      <c r="I822" s="321"/>
      <c r="J822" s="321"/>
      <c r="K822" s="321"/>
      <c r="L822" s="321"/>
      <c r="M822" s="321"/>
    </row>
    <row r="823">
      <c r="A823" s="321"/>
      <c r="B823" s="321"/>
      <c r="C823" s="323"/>
      <c r="D823" s="284"/>
      <c r="E823" s="321"/>
      <c r="F823" s="324"/>
      <c r="G823" s="321"/>
      <c r="H823" s="321"/>
      <c r="I823" s="321"/>
      <c r="J823" s="321"/>
      <c r="K823" s="321"/>
      <c r="L823" s="321"/>
      <c r="M823" s="321"/>
    </row>
    <row r="824">
      <c r="A824" s="321"/>
      <c r="B824" s="321"/>
      <c r="C824" s="323"/>
      <c r="D824" s="284"/>
      <c r="E824" s="321"/>
      <c r="F824" s="324"/>
      <c r="G824" s="321"/>
      <c r="H824" s="321"/>
      <c r="I824" s="321"/>
      <c r="J824" s="321"/>
      <c r="K824" s="321"/>
      <c r="L824" s="321"/>
      <c r="M824" s="321"/>
    </row>
    <row r="825">
      <c r="A825" s="321"/>
      <c r="B825" s="321"/>
      <c r="C825" s="323"/>
      <c r="D825" s="284"/>
      <c r="E825" s="321"/>
      <c r="F825" s="324"/>
      <c r="G825" s="321"/>
      <c r="H825" s="321"/>
      <c r="I825" s="321"/>
      <c r="J825" s="321"/>
      <c r="K825" s="321"/>
      <c r="L825" s="321"/>
      <c r="M825" s="321"/>
    </row>
    <row r="826">
      <c r="A826" s="321"/>
      <c r="B826" s="321"/>
      <c r="C826" s="323"/>
      <c r="D826" s="284"/>
      <c r="E826" s="321"/>
      <c r="F826" s="324"/>
      <c r="G826" s="321"/>
      <c r="H826" s="321"/>
      <c r="I826" s="321"/>
      <c r="J826" s="321"/>
      <c r="K826" s="321"/>
      <c r="L826" s="321"/>
      <c r="M826" s="321"/>
    </row>
    <row r="827">
      <c r="A827" s="321"/>
      <c r="B827" s="321"/>
      <c r="C827" s="323"/>
      <c r="D827" s="284"/>
      <c r="E827" s="321"/>
      <c r="F827" s="324"/>
      <c r="G827" s="321"/>
      <c r="H827" s="321"/>
      <c r="I827" s="321"/>
      <c r="J827" s="321"/>
      <c r="K827" s="321"/>
      <c r="L827" s="321"/>
      <c r="M827" s="321"/>
    </row>
    <row r="828">
      <c r="A828" s="321"/>
      <c r="B828" s="321"/>
      <c r="C828" s="323"/>
      <c r="D828" s="284"/>
      <c r="E828" s="321"/>
      <c r="F828" s="324"/>
      <c r="G828" s="321"/>
      <c r="H828" s="321"/>
      <c r="I828" s="321"/>
      <c r="J828" s="321"/>
      <c r="K828" s="321"/>
      <c r="L828" s="321"/>
      <c r="M828" s="321"/>
    </row>
    <row r="829">
      <c r="A829" s="321"/>
      <c r="B829" s="321"/>
      <c r="C829" s="323"/>
      <c r="D829" s="284"/>
      <c r="E829" s="321"/>
      <c r="F829" s="324"/>
      <c r="G829" s="321"/>
      <c r="H829" s="321"/>
      <c r="I829" s="321"/>
      <c r="J829" s="321"/>
      <c r="K829" s="321"/>
      <c r="L829" s="321"/>
      <c r="M829" s="321"/>
    </row>
    <row r="830">
      <c r="A830" s="321"/>
      <c r="B830" s="321"/>
      <c r="C830" s="323"/>
      <c r="D830" s="284"/>
      <c r="E830" s="321"/>
      <c r="F830" s="324"/>
      <c r="G830" s="321"/>
      <c r="H830" s="321"/>
      <c r="I830" s="321"/>
      <c r="J830" s="321"/>
      <c r="K830" s="321"/>
      <c r="L830" s="321"/>
      <c r="M830" s="321"/>
    </row>
    <row r="831">
      <c r="A831" s="321"/>
      <c r="B831" s="321"/>
      <c r="C831" s="323"/>
      <c r="D831" s="284"/>
      <c r="E831" s="321"/>
      <c r="F831" s="324"/>
      <c r="G831" s="321"/>
      <c r="H831" s="321"/>
      <c r="I831" s="321"/>
      <c r="J831" s="321"/>
      <c r="K831" s="321"/>
      <c r="L831" s="321"/>
      <c r="M831" s="321"/>
    </row>
    <row r="832">
      <c r="A832" s="321"/>
      <c r="B832" s="321"/>
      <c r="C832" s="323"/>
      <c r="D832" s="284"/>
      <c r="E832" s="321"/>
      <c r="F832" s="324"/>
      <c r="G832" s="321"/>
      <c r="H832" s="321"/>
      <c r="I832" s="321"/>
      <c r="J832" s="321"/>
      <c r="K832" s="321"/>
      <c r="L832" s="321"/>
      <c r="M832" s="321"/>
    </row>
    <row r="833">
      <c r="A833" s="321"/>
      <c r="B833" s="321"/>
      <c r="C833" s="323"/>
      <c r="D833" s="284"/>
      <c r="E833" s="321"/>
      <c r="F833" s="324"/>
      <c r="G833" s="321"/>
      <c r="H833" s="321"/>
      <c r="I833" s="321"/>
      <c r="J833" s="321"/>
      <c r="K833" s="321"/>
      <c r="L833" s="321"/>
      <c r="M833" s="321"/>
    </row>
    <row r="834">
      <c r="A834" s="321"/>
      <c r="B834" s="321"/>
      <c r="C834" s="323"/>
      <c r="D834" s="284"/>
      <c r="E834" s="321"/>
      <c r="F834" s="324"/>
      <c r="G834" s="321"/>
      <c r="H834" s="321"/>
      <c r="I834" s="321"/>
      <c r="J834" s="321"/>
      <c r="K834" s="321"/>
      <c r="L834" s="321"/>
      <c r="M834" s="321"/>
    </row>
    <row r="835">
      <c r="A835" s="321"/>
      <c r="B835" s="321"/>
      <c r="C835" s="323"/>
      <c r="D835" s="284"/>
      <c r="E835" s="321"/>
      <c r="F835" s="324"/>
      <c r="G835" s="321"/>
      <c r="H835" s="321"/>
      <c r="I835" s="321"/>
      <c r="J835" s="321"/>
      <c r="K835" s="321"/>
      <c r="L835" s="321"/>
      <c r="M835" s="321"/>
    </row>
    <row r="836">
      <c r="A836" s="321"/>
      <c r="B836" s="321"/>
      <c r="C836" s="323"/>
      <c r="D836" s="284"/>
      <c r="E836" s="321"/>
      <c r="F836" s="324"/>
      <c r="G836" s="321"/>
      <c r="H836" s="321"/>
      <c r="I836" s="321"/>
      <c r="J836" s="321"/>
      <c r="K836" s="321"/>
      <c r="L836" s="321"/>
      <c r="M836" s="321"/>
    </row>
    <row r="837">
      <c r="A837" s="321"/>
      <c r="B837" s="321"/>
      <c r="C837" s="323"/>
      <c r="D837" s="284"/>
      <c r="E837" s="321"/>
      <c r="F837" s="324"/>
      <c r="G837" s="321"/>
      <c r="H837" s="321"/>
      <c r="I837" s="321"/>
      <c r="J837" s="321"/>
      <c r="K837" s="321"/>
      <c r="L837" s="321"/>
      <c r="M837" s="321"/>
    </row>
    <row r="838">
      <c r="A838" s="321"/>
      <c r="B838" s="321"/>
      <c r="C838" s="323"/>
      <c r="D838" s="284"/>
      <c r="E838" s="321"/>
      <c r="F838" s="324"/>
      <c r="G838" s="321"/>
      <c r="H838" s="321"/>
      <c r="I838" s="321"/>
      <c r="J838" s="321"/>
      <c r="K838" s="321"/>
      <c r="L838" s="321"/>
      <c r="M838" s="321"/>
    </row>
    <row r="839">
      <c r="A839" s="321"/>
      <c r="B839" s="321"/>
      <c r="C839" s="323"/>
      <c r="D839" s="284"/>
      <c r="E839" s="321"/>
      <c r="F839" s="324"/>
      <c r="G839" s="321"/>
      <c r="H839" s="321"/>
      <c r="I839" s="321"/>
      <c r="J839" s="321"/>
      <c r="K839" s="321"/>
      <c r="L839" s="321"/>
      <c r="M839" s="321"/>
    </row>
    <row r="840">
      <c r="A840" s="321"/>
      <c r="B840" s="321"/>
      <c r="C840" s="323"/>
      <c r="D840" s="284"/>
      <c r="E840" s="321"/>
      <c r="F840" s="324"/>
      <c r="G840" s="321"/>
      <c r="H840" s="321"/>
      <c r="I840" s="321"/>
      <c r="J840" s="321"/>
      <c r="K840" s="321"/>
      <c r="L840" s="321"/>
      <c r="M840" s="321"/>
    </row>
    <row r="841">
      <c r="A841" s="321"/>
      <c r="B841" s="321"/>
      <c r="C841" s="323"/>
      <c r="D841" s="284"/>
      <c r="E841" s="321"/>
      <c r="F841" s="324"/>
      <c r="G841" s="321"/>
      <c r="H841" s="321"/>
      <c r="I841" s="321"/>
      <c r="J841" s="321"/>
      <c r="K841" s="321"/>
      <c r="L841" s="321"/>
      <c r="M841" s="321"/>
    </row>
    <row r="842">
      <c r="A842" s="321"/>
      <c r="B842" s="321"/>
      <c r="C842" s="323"/>
      <c r="D842" s="284"/>
      <c r="E842" s="321"/>
      <c r="F842" s="324"/>
      <c r="G842" s="321"/>
      <c r="H842" s="321"/>
      <c r="I842" s="321"/>
      <c r="J842" s="321"/>
      <c r="K842" s="321"/>
      <c r="L842" s="321"/>
      <c r="M842" s="321"/>
    </row>
    <row r="843">
      <c r="A843" s="321"/>
      <c r="B843" s="321"/>
      <c r="C843" s="323"/>
      <c r="D843" s="284"/>
      <c r="E843" s="321"/>
      <c r="F843" s="324"/>
      <c r="G843" s="321"/>
      <c r="H843" s="321"/>
      <c r="I843" s="321"/>
      <c r="J843" s="321"/>
      <c r="K843" s="321"/>
      <c r="L843" s="321"/>
      <c r="M843" s="321"/>
    </row>
    <row r="844">
      <c r="A844" s="321"/>
      <c r="B844" s="321"/>
      <c r="C844" s="323"/>
      <c r="D844" s="284"/>
      <c r="E844" s="321"/>
      <c r="F844" s="324"/>
      <c r="G844" s="321"/>
      <c r="H844" s="321"/>
      <c r="I844" s="321"/>
      <c r="J844" s="321"/>
      <c r="K844" s="321"/>
      <c r="L844" s="321"/>
      <c r="M844" s="321"/>
    </row>
    <row r="845">
      <c r="A845" s="321"/>
      <c r="B845" s="321"/>
      <c r="C845" s="323"/>
      <c r="D845" s="284"/>
      <c r="E845" s="321"/>
      <c r="F845" s="324"/>
      <c r="G845" s="321"/>
      <c r="H845" s="321"/>
      <c r="I845" s="321"/>
      <c r="J845" s="321"/>
      <c r="K845" s="321"/>
      <c r="L845" s="321"/>
      <c r="M845" s="321"/>
    </row>
    <row r="846">
      <c r="A846" s="321"/>
      <c r="B846" s="321"/>
      <c r="C846" s="323"/>
      <c r="D846" s="284"/>
      <c r="E846" s="321"/>
      <c r="F846" s="324"/>
      <c r="G846" s="321"/>
      <c r="H846" s="321"/>
      <c r="I846" s="321"/>
      <c r="J846" s="321"/>
      <c r="K846" s="321"/>
      <c r="L846" s="321"/>
      <c r="M846" s="321"/>
    </row>
    <row r="847">
      <c r="A847" s="321"/>
      <c r="B847" s="321"/>
      <c r="C847" s="323"/>
      <c r="D847" s="284"/>
      <c r="E847" s="321"/>
      <c r="F847" s="324"/>
      <c r="G847" s="321"/>
      <c r="H847" s="321"/>
      <c r="I847" s="321"/>
      <c r="J847" s="321"/>
      <c r="K847" s="321"/>
      <c r="L847" s="321"/>
      <c r="M847" s="321"/>
    </row>
    <row r="848">
      <c r="A848" s="321"/>
      <c r="B848" s="321"/>
      <c r="C848" s="323"/>
      <c r="D848" s="284"/>
      <c r="E848" s="321"/>
      <c r="F848" s="324"/>
      <c r="G848" s="321"/>
      <c r="H848" s="321"/>
      <c r="I848" s="321"/>
      <c r="J848" s="321"/>
      <c r="K848" s="321"/>
      <c r="L848" s="321"/>
      <c r="M848" s="321"/>
    </row>
    <row r="849">
      <c r="A849" s="321"/>
      <c r="B849" s="321"/>
      <c r="C849" s="323"/>
      <c r="D849" s="284"/>
      <c r="E849" s="321"/>
      <c r="F849" s="324"/>
      <c r="G849" s="321"/>
      <c r="H849" s="321"/>
      <c r="I849" s="321"/>
      <c r="J849" s="321"/>
      <c r="K849" s="321"/>
      <c r="L849" s="321"/>
      <c r="M849" s="321"/>
    </row>
    <row r="850">
      <c r="A850" s="321"/>
      <c r="B850" s="321"/>
      <c r="C850" s="323"/>
      <c r="D850" s="284"/>
      <c r="E850" s="321"/>
      <c r="F850" s="324"/>
      <c r="G850" s="321"/>
      <c r="H850" s="321"/>
      <c r="I850" s="321"/>
      <c r="J850" s="321"/>
      <c r="K850" s="321"/>
      <c r="L850" s="321"/>
      <c r="M850" s="321"/>
    </row>
    <row r="851">
      <c r="A851" s="321"/>
      <c r="B851" s="321"/>
      <c r="C851" s="323"/>
      <c r="D851" s="284"/>
      <c r="E851" s="321"/>
      <c r="F851" s="324"/>
      <c r="G851" s="321"/>
      <c r="H851" s="321"/>
      <c r="I851" s="321"/>
      <c r="J851" s="321"/>
      <c r="K851" s="321"/>
      <c r="L851" s="321"/>
      <c r="M851" s="321"/>
    </row>
    <row r="852">
      <c r="A852" s="321"/>
      <c r="B852" s="321"/>
      <c r="C852" s="323"/>
      <c r="D852" s="284"/>
      <c r="E852" s="321"/>
      <c r="F852" s="324"/>
      <c r="G852" s="321"/>
      <c r="H852" s="321"/>
      <c r="I852" s="321"/>
      <c r="J852" s="321"/>
      <c r="K852" s="321"/>
      <c r="L852" s="321"/>
      <c r="M852" s="321"/>
    </row>
    <row r="853">
      <c r="A853" s="321"/>
      <c r="B853" s="321"/>
      <c r="C853" s="323"/>
      <c r="D853" s="284"/>
      <c r="E853" s="321"/>
      <c r="F853" s="324"/>
      <c r="G853" s="321"/>
      <c r="H853" s="321"/>
      <c r="I853" s="321"/>
      <c r="J853" s="321"/>
      <c r="K853" s="321"/>
      <c r="L853" s="321"/>
      <c r="M853" s="321"/>
    </row>
    <row r="854">
      <c r="A854" s="321"/>
      <c r="B854" s="321"/>
      <c r="C854" s="323"/>
      <c r="D854" s="284"/>
      <c r="E854" s="321"/>
      <c r="F854" s="324"/>
      <c r="G854" s="321"/>
      <c r="H854" s="321"/>
      <c r="I854" s="321"/>
      <c r="J854" s="321"/>
      <c r="K854" s="321"/>
      <c r="L854" s="321"/>
      <c r="M854" s="321"/>
    </row>
    <row r="855">
      <c r="A855" s="321"/>
      <c r="B855" s="321"/>
      <c r="C855" s="323"/>
      <c r="D855" s="284"/>
      <c r="E855" s="321"/>
      <c r="F855" s="324"/>
      <c r="G855" s="321"/>
      <c r="H855" s="321"/>
      <c r="I855" s="321"/>
      <c r="J855" s="321"/>
      <c r="K855" s="321"/>
      <c r="L855" s="321"/>
      <c r="M855" s="321"/>
    </row>
    <row r="856">
      <c r="A856" s="321"/>
      <c r="B856" s="321"/>
      <c r="C856" s="323"/>
      <c r="D856" s="284"/>
      <c r="E856" s="321"/>
      <c r="F856" s="324"/>
      <c r="G856" s="321"/>
      <c r="H856" s="321"/>
      <c r="I856" s="321"/>
      <c r="J856" s="321"/>
      <c r="K856" s="321"/>
      <c r="L856" s="321"/>
      <c r="M856" s="321"/>
    </row>
    <row r="857">
      <c r="A857" s="321"/>
      <c r="B857" s="321"/>
      <c r="C857" s="323"/>
      <c r="D857" s="284"/>
      <c r="E857" s="321"/>
      <c r="F857" s="324"/>
      <c r="G857" s="321"/>
      <c r="H857" s="321"/>
      <c r="I857" s="321"/>
      <c r="J857" s="321"/>
      <c r="K857" s="321"/>
      <c r="L857" s="321"/>
      <c r="M857" s="321"/>
    </row>
    <row r="858">
      <c r="A858" s="321"/>
      <c r="B858" s="321"/>
      <c r="C858" s="323"/>
      <c r="D858" s="284"/>
      <c r="E858" s="321"/>
      <c r="F858" s="324"/>
      <c r="G858" s="321"/>
      <c r="H858" s="321"/>
      <c r="I858" s="321"/>
      <c r="J858" s="321"/>
      <c r="K858" s="321"/>
      <c r="L858" s="321"/>
      <c r="M858" s="321"/>
    </row>
    <row r="859">
      <c r="A859" s="321"/>
      <c r="B859" s="321"/>
      <c r="C859" s="323"/>
      <c r="D859" s="284"/>
      <c r="E859" s="321"/>
      <c r="F859" s="324"/>
      <c r="G859" s="321"/>
      <c r="H859" s="321"/>
      <c r="I859" s="321"/>
      <c r="J859" s="321"/>
      <c r="K859" s="321"/>
      <c r="L859" s="321"/>
      <c r="M859" s="321"/>
    </row>
    <row r="860">
      <c r="A860" s="321"/>
      <c r="B860" s="321"/>
      <c r="C860" s="323"/>
      <c r="D860" s="284"/>
      <c r="E860" s="321"/>
      <c r="F860" s="324"/>
      <c r="G860" s="321"/>
      <c r="H860" s="321"/>
      <c r="I860" s="321"/>
      <c r="J860" s="321"/>
      <c r="K860" s="321"/>
      <c r="L860" s="321"/>
      <c r="M860" s="321"/>
    </row>
    <row r="861">
      <c r="A861" s="321"/>
      <c r="B861" s="321"/>
      <c r="C861" s="323"/>
      <c r="D861" s="284"/>
      <c r="E861" s="321"/>
      <c r="F861" s="324"/>
      <c r="G861" s="321"/>
      <c r="H861" s="321"/>
      <c r="I861" s="321"/>
      <c r="J861" s="321"/>
      <c r="K861" s="321"/>
      <c r="L861" s="321"/>
      <c r="M861" s="321"/>
    </row>
    <row r="862">
      <c r="A862" s="321"/>
      <c r="B862" s="321"/>
      <c r="C862" s="323"/>
      <c r="D862" s="284"/>
      <c r="E862" s="321"/>
      <c r="F862" s="324"/>
      <c r="G862" s="321"/>
      <c r="H862" s="321"/>
      <c r="I862" s="321"/>
      <c r="J862" s="321"/>
      <c r="K862" s="321"/>
      <c r="L862" s="321"/>
      <c r="M862" s="321"/>
    </row>
    <row r="863">
      <c r="A863" s="321"/>
      <c r="B863" s="321"/>
      <c r="C863" s="323"/>
      <c r="D863" s="284"/>
      <c r="E863" s="321"/>
      <c r="F863" s="324"/>
      <c r="G863" s="321"/>
      <c r="H863" s="321"/>
      <c r="I863" s="321"/>
      <c r="J863" s="321"/>
      <c r="K863" s="321"/>
      <c r="L863" s="321"/>
      <c r="M863" s="321"/>
    </row>
    <row r="864">
      <c r="A864" s="321"/>
      <c r="B864" s="321"/>
      <c r="C864" s="323"/>
      <c r="D864" s="284"/>
      <c r="E864" s="321"/>
      <c r="F864" s="324"/>
      <c r="G864" s="321"/>
      <c r="H864" s="321"/>
      <c r="I864" s="321"/>
      <c r="J864" s="321"/>
      <c r="K864" s="321"/>
      <c r="L864" s="321"/>
      <c r="M864" s="321"/>
    </row>
    <row r="865">
      <c r="A865" s="321"/>
      <c r="B865" s="321"/>
      <c r="C865" s="323"/>
      <c r="D865" s="284"/>
      <c r="E865" s="321"/>
      <c r="F865" s="324"/>
      <c r="G865" s="321"/>
      <c r="H865" s="321"/>
      <c r="I865" s="321"/>
      <c r="J865" s="321"/>
      <c r="K865" s="321"/>
      <c r="L865" s="321"/>
      <c r="M865" s="321"/>
    </row>
    <row r="866">
      <c r="A866" s="321"/>
      <c r="B866" s="321"/>
      <c r="C866" s="323"/>
      <c r="D866" s="284"/>
      <c r="E866" s="321"/>
      <c r="F866" s="324"/>
      <c r="G866" s="321"/>
      <c r="H866" s="321"/>
      <c r="I866" s="321"/>
      <c r="J866" s="321"/>
      <c r="K866" s="321"/>
      <c r="L866" s="321"/>
      <c r="M866" s="321"/>
    </row>
    <row r="867">
      <c r="A867" s="321"/>
      <c r="B867" s="321"/>
      <c r="C867" s="323"/>
      <c r="D867" s="284"/>
      <c r="E867" s="321"/>
      <c r="F867" s="324"/>
      <c r="G867" s="321"/>
      <c r="H867" s="321"/>
      <c r="I867" s="321"/>
      <c r="J867" s="321"/>
      <c r="K867" s="321"/>
      <c r="L867" s="321"/>
      <c r="M867" s="321"/>
    </row>
    <row r="868">
      <c r="A868" s="321"/>
      <c r="B868" s="321"/>
      <c r="C868" s="323"/>
      <c r="D868" s="284"/>
      <c r="E868" s="321"/>
      <c r="F868" s="324"/>
      <c r="G868" s="321"/>
      <c r="H868" s="321"/>
      <c r="I868" s="321"/>
      <c r="J868" s="321"/>
      <c r="K868" s="321"/>
      <c r="L868" s="321"/>
      <c r="M868" s="321"/>
    </row>
    <row r="869">
      <c r="A869" s="321"/>
      <c r="B869" s="321"/>
      <c r="C869" s="323"/>
      <c r="D869" s="284"/>
      <c r="E869" s="321"/>
      <c r="F869" s="324"/>
      <c r="G869" s="321"/>
      <c r="H869" s="321"/>
      <c r="I869" s="321"/>
      <c r="J869" s="321"/>
      <c r="K869" s="321"/>
      <c r="L869" s="321"/>
      <c r="M869" s="321"/>
    </row>
    <row r="870">
      <c r="A870" s="321"/>
      <c r="B870" s="321"/>
      <c r="C870" s="323"/>
      <c r="D870" s="284"/>
      <c r="E870" s="321"/>
      <c r="F870" s="324"/>
      <c r="G870" s="321"/>
      <c r="H870" s="321"/>
      <c r="I870" s="321"/>
      <c r="J870" s="321"/>
      <c r="K870" s="321"/>
      <c r="L870" s="321"/>
      <c r="M870" s="321"/>
    </row>
    <row r="871">
      <c r="A871" s="321"/>
      <c r="B871" s="321"/>
      <c r="C871" s="323"/>
      <c r="D871" s="284"/>
      <c r="E871" s="321"/>
      <c r="F871" s="324"/>
      <c r="G871" s="321"/>
      <c r="H871" s="321"/>
      <c r="I871" s="321"/>
      <c r="J871" s="321"/>
      <c r="K871" s="321"/>
      <c r="L871" s="321"/>
      <c r="M871" s="321"/>
    </row>
    <row r="872">
      <c r="A872" s="321"/>
      <c r="B872" s="321"/>
      <c r="C872" s="323"/>
      <c r="D872" s="284"/>
      <c r="E872" s="321"/>
      <c r="F872" s="324"/>
      <c r="G872" s="321"/>
      <c r="H872" s="321"/>
      <c r="I872" s="321"/>
      <c r="J872" s="321"/>
      <c r="K872" s="321"/>
      <c r="L872" s="321"/>
      <c r="M872" s="321"/>
    </row>
    <row r="873">
      <c r="A873" s="321"/>
      <c r="B873" s="321"/>
      <c r="C873" s="323"/>
      <c r="D873" s="284"/>
      <c r="E873" s="321"/>
      <c r="F873" s="324"/>
      <c r="G873" s="321"/>
      <c r="H873" s="321"/>
      <c r="I873" s="321"/>
      <c r="J873" s="321"/>
      <c r="K873" s="321"/>
      <c r="L873" s="321"/>
      <c r="M873" s="321"/>
    </row>
    <row r="874">
      <c r="A874" s="321"/>
      <c r="B874" s="321"/>
      <c r="C874" s="323"/>
      <c r="D874" s="284"/>
      <c r="E874" s="321"/>
      <c r="F874" s="324"/>
      <c r="G874" s="321"/>
      <c r="H874" s="321"/>
      <c r="I874" s="321"/>
      <c r="J874" s="321"/>
      <c r="K874" s="321"/>
      <c r="L874" s="321"/>
      <c r="M874" s="321"/>
    </row>
    <row r="875">
      <c r="A875" s="321"/>
      <c r="B875" s="321"/>
      <c r="C875" s="323"/>
      <c r="D875" s="284"/>
      <c r="E875" s="321"/>
      <c r="F875" s="324"/>
      <c r="G875" s="321"/>
      <c r="H875" s="321"/>
      <c r="I875" s="321"/>
      <c r="J875" s="321"/>
      <c r="K875" s="321"/>
      <c r="L875" s="321"/>
      <c r="M875" s="321"/>
    </row>
    <row r="876">
      <c r="A876" s="321"/>
      <c r="B876" s="321"/>
      <c r="C876" s="323"/>
      <c r="D876" s="284"/>
      <c r="E876" s="321"/>
      <c r="F876" s="324"/>
      <c r="G876" s="321"/>
      <c r="H876" s="321"/>
      <c r="I876" s="321"/>
      <c r="J876" s="321"/>
      <c r="K876" s="321"/>
      <c r="L876" s="321"/>
      <c r="M876" s="321"/>
    </row>
    <row r="877">
      <c r="A877" s="321"/>
      <c r="B877" s="321"/>
      <c r="C877" s="323"/>
      <c r="D877" s="284"/>
      <c r="E877" s="321"/>
      <c r="F877" s="324"/>
      <c r="G877" s="321"/>
      <c r="H877" s="321"/>
      <c r="I877" s="321"/>
      <c r="J877" s="321"/>
      <c r="K877" s="321"/>
      <c r="L877" s="321"/>
      <c r="M877" s="321"/>
    </row>
    <row r="878">
      <c r="A878" s="321"/>
      <c r="B878" s="321"/>
      <c r="C878" s="323"/>
      <c r="D878" s="284"/>
      <c r="E878" s="321"/>
      <c r="F878" s="324"/>
      <c r="G878" s="321"/>
      <c r="H878" s="321"/>
      <c r="I878" s="321"/>
      <c r="J878" s="321"/>
      <c r="K878" s="321"/>
      <c r="L878" s="321"/>
      <c r="M878" s="321"/>
    </row>
    <row r="879">
      <c r="A879" s="321"/>
      <c r="B879" s="321"/>
      <c r="C879" s="323"/>
      <c r="D879" s="284"/>
      <c r="E879" s="321"/>
      <c r="F879" s="324"/>
      <c r="G879" s="321"/>
      <c r="H879" s="321"/>
      <c r="I879" s="321"/>
      <c r="J879" s="321"/>
      <c r="K879" s="321"/>
      <c r="L879" s="321"/>
      <c r="M879" s="321"/>
    </row>
    <row r="880">
      <c r="A880" s="321"/>
      <c r="B880" s="321"/>
      <c r="C880" s="323"/>
      <c r="D880" s="284"/>
      <c r="E880" s="321"/>
      <c r="F880" s="324"/>
      <c r="G880" s="321"/>
      <c r="H880" s="321"/>
      <c r="I880" s="321"/>
      <c r="J880" s="321"/>
      <c r="K880" s="321"/>
      <c r="L880" s="321"/>
      <c r="M880" s="321"/>
    </row>
    <row r="881">
      <c r="A881" s="321"/>
      <c r="B881" s="321"/>
      <c r="C881" s="323"/>
      <c r="D881" s="284"/>
      <c r="E881" s="321"/>
      <c r="F881" s="324"/>
      <c r="G881" s="321"/>
      <c r="H881" s="321"/>
      <c r="I881" s="321"/>
      <c r="J881" s="321"/>
      <c r="K881" s="321"/>
      <c r="L881" s="321"/>
      <c r="M881" s="321"/>
    </row>
    <row r="882">
      <c r="A882" s="321"/>
      <c r="B882" s="321"/>
      <c r="C882" s="323"/>
      <c r="D882" s="284"/>
      <c r="E882" s="321"/>
      <c r="F882" s="324"/>
      <c r="G882" s="321"/>
      <c r="H882" s="321"/>
      <c r="I882" s="321"/>
      <c r="J882" s="321"/>
      <c r="K882" s="321"/>
      <c r="L882" s="321"/>
      <c r="M882" s="321"/>
    </row>
    <row r="883">
      <c r="A883" s="321"/>
      <c r="B883" s="321"/>
      <c r="C883" s="323"/>
      <c r="D883" s="284"/>
      <c r="E883" s="321"/>
      <c r="F883" s="324"/>
      <c r="G883" s="321"/>
      <c r="H883" s="321"/>
      <c r="I883" s="321"/>
      <c r="J883" s="321"/>
      <c r="K883" s="321"/>
      <c r="L883" s="321"/>
      <c r="M883" s="321"/>
    </row>
    <row r="884">
      <c r="A884" s="321"/>
      <c r="B884" s="321"/>
      <c r="C884" s="323"/>
      <c r="D884" s="284"/>
      <c r="E884" s="321"/>
      <c r="F884" s="324"/>
      <c r="G884" s="321"/>
      <c r="H884" s="321"/>
      <c r="I884" s="321"/>
      <c r="J884" s="321"/>
      <c r="K884" s="321"/>
      <c r="L884" s="321"/>
      <c r="M884" s="321"/>
    </row>
    <row r="885">
      <c r="A885" s="321"/>
      <c r="B885" s="321"/>
      <c r="C885" s="323"/>
      <c r="D885" s="284"/>
      <c r="E885" s="321"/>
      <c r="F885" s="324"/>
      <c r="G885" s="321"/>
      <c r="H885" s="321"/>
      <c r="I885" s="321"/>
      <c r="J885" s="321"/>
      <c r="K885" s="321"/>
      <c r="L885" s="321"/>
      <c r="M885" s="321"/>
    </row>
    <row r="886">
      <c r="A886" s="321"/>
      <c r="B886" s="321"/>
      <c r="C886" s="323"/>
      <c r="D886" s="284"/>
      <c r="E886" s="321"/>
      <c r="F886" s="324"/>
      <c r="G886" s="321"/>
      <c r="H886" s="321"/>
      <c r="I886" s="321"/>
      <c r="J886" s="321"/>
      <c r="K886" s="321"/>
      <c r="L886" s="321"/>
      <c r="M886" s="321"/>
    </row>
    <row r="887">
      <c r="A887" s="321"/>
      <c r="B887" s="321"/>
      <c r="C887" s="323"/>
      <c r="D887" s="284"/>
      <c r="E887" s="321"/>
      <c r="F887" s="324"/>
      <c r="G887" s="321"/>
      <c r="H887" s="321"/>
      <c r="I887" s="321"/>
      <c r="J887" s="321"/>
      <c r="K887" s="321"/>
      <c r="L887" s="321"/>
      <c r="M887" s="321"/>
    </row>
    <row r="888">
      <c r="A888" s="321"/>
      <c r="B888" s="321"/>
      <c r="C888" s="323"/>
      <c r="D888" s="284"/>
      <c r="E888" s="321"/>
      <c r="F888" s="324"/>
      <c r="G888" s="321"/>
      <c r="H888" s="321"/>
      <c r="I888" s="321"/>
      <c r="J888" s="321"/>
      <c r="K888" s="321"/>
      <c r="L888" s="321"/>
      <c r="M888" s="321"/>
    </row>
    <row r="889">
      <c r="A889" s="321"/>
      <c r="B889" s="321"/>
      <c r="C889" s="323"/>
      <c r="D889" s="284"/>
      <c r="E889" s="321"/>
      <c r="F889" s="324"/>
      <c r="G889" s="321"/>
      <c r="H889" s="321"/>
      <c r="I889" s="321"/>
      <c r="J889" s="321"/>
      <c r="K889" s="321"/>
      <c r="L889" s="321"/>
      <c r="M889" s="321"/>
    </row>
    <row r="890">
      <c r="A890" s="321"/>
      <c r="B890" s="321"/>
      <c r="C890" s="323"/>
      <c r="D890" s="284"/>
      <c r="E890" s="321"/>
      <c r="F890" s="324"/>
      <c r="G890" s="321"/>
      <c r="H890" s="321"/>
      <c r="I890" s="321"/>
      <c r="J890" s="321"/>
      <c r="K890" s="321"/>
      <c r="L890" s="321"/>
      <c r="M890" s="321"/>
    </row>
    <row r="891">
      <c r="A891" s="321"/>
      <c r="B891" s="321"/>
      <c r="C891" s="323"/>
      <c r="D891" s="284"/>
      <c r="E891" s="321"/>
      <c r="F891" s="324"/>
      <c r="G891" s="321"/>
      <c r="H891" s="321"/>
      <c r="I891" s="321"/>
      <c r="J891" s="321"/>
      <c r="K891" s="321"/>
      <c r="L891" s="321"/>
      <c r="M891" s="321"/>
    </row>
    <row r="892">
      <c r="A892" s="321"/>
      <c r="B892" s="321"/>
      <c r="C892" s="323"/>
      <c r="D892" s="284"/>
      <c r="E892" s="321"/>
      <c r="F892" s="324"/>
      <c r="G892" s="321"/>
      <c r="H892" s="321"/>
      <c r="I892" s="321"/>
      <c r="J892" s="321"/>
      <c r="K892" s="321"/>
      <c r="L892" s="321"/>
      <c r="M892" s="321"/>
    </row>
    <row r="893">
      <c r="A893" s="321"/>
      <c r="B893" s="321"/>
      <c r="C893" s="323"/>
      <c r="D893" s="284"/>
      <c r="E893" s="321"/>
      <c r="F893" s="324"/>
      <c r="G893" s="321"/>
      <c r="H893" s="321"/>
      <c r="I893" s="321"/>
      <c r="J893" s="321"/>
      <c r="K893" s="321"/>
      <c r="L893" s="321"/>
      <c r="M893" s="321"/>
    </row>
    <row r="894">
      <c r="A894" s="321"/>
      <c r="B894" s="321"/>
      <c r="C894" s="323"/>
      <c r="D894" s="284"/>
      <c r="E894" s="321"/>
      <c r="F894" s="324"/>
      <c r="G894" s="321"/>
      <c r="H894" s="321"/>
      <c r="I894" s="321"/>
      <c r="J894" s="321"/>
      <c r="K894" s="321"/>
      <c r="L894" s="321"/>
      <c r="M894" s="321"/>
    </row>
    <row r="895">
      <c r="A895" s="321"/>
      <c r="B895" s="321"/>
      <c r="C895" s="323"/>
      <c r="D895" s="284"/>
      <c r="E895" s="321"/>
      <c r="F895" s="324"/>
      <c r="G895" s="321"/>
      <c r="H895" s="321"/>
      <c r="I895" s="321"/>
      <c r="J895" s="321"/>
      <c r="K895" s="321"/>
      <c r="L895" s="321"/>
      <c r="M895" s="321"/>
    </row>
    <row r="896">
      <c r="A896" s="321"/>
      <c r="B896" s="321"/>
      <c r="C896" s="323"/>
      <c r="D896" s="284"/>
      <c r="E896" s="321"/>
      <c r="F896" s="324"/>
      <c r="G896" s="321"/>
      <c r="H896" s="321"/>
      <c r="I896" s="321"/>
      <c r="J896" s="321"/>
      <c r="K896" s="321"/>
      <c r="L896" s="321"/>
      <c r="M896" s="321"/>
    </row>
    <row r="897">
      <c r="A897" s="321"/>
      <c r="B897" s="321"/>
      <c r="C897" s="323"/>
      <c r="D897" s="284"/>
      <c r="E897" s="321"/>
      <c r="F897" s="324"/>
      <c r="G897" s="321"/>
      <c r="H897" s="321"/>
      <c r="I897" s="321"/>
      <c r="J897" s="321"/>
      <c r="K897" s="321"/>
      <c r="L897" s="321"/>
      <c r="M897" s="321"/>
    </row>
    <row r="898">
      <c r="A898" s="321"/>
      <c r="B898" s="321"/>
      <c r="C898" s="323"/>
      <c r="D898" s="284"/>
      <c r="E898" s="321"/>
      <c r="F898" s="324"/>
      <c r="G898" s="321"/>
      <c r="H898" s="321"/>
      <c r="I898" s="321"/>
      <c r="J898" s="321"/>
      <c r="K898" s="321"/>
      <c r="L898" s="321"/>
      <c r="M898" s="321"/>
    </row>
    <row r="899">
      <c r="A899" s="321"/>
      <c r="B899" s="321"/>
      <c r="C899" s="323"/>
      <c r="D899" s="284"/>
      <c r="E899" s="321"/>
      <c r="F899" s="324"/>
      <c r="G899" s="321"/>
      <c r="H899" s="321"/>
      <c r="I899" s="321"/>
      <c r="J899" s="321"/>
      <c r="K899" s="321"/>
      <c r="L899" s="321"/>
      <c r="M899" s="321"/>
    </row>
    <row r="900">
      <c r="A900" s="321"/>
      <c r="B900" s="321"/>
      <c r="C900" s="323"/>
      <c r="D900" s="284"/>
      <c r="E900" s="321"/>
      <c r="F900" s="324"/>
      <c r="G900" s="321"/>
      <c r="H900" s="321"/>
      <c r="I900" s="321"/>
      <c r="J900" s="321"/>
      <c r="K900" s="321"/>
      <c r="L900" s="321"/>
      <c r="M900" s="321"/>
    </row>
    <row r="901">
      <c r="A901" s="321"/>
      <c r="B901" s="321"/>
      <c r="C901" s="323"/>
      <c r="D901" s="284"/>
      <c r="E901" s="321"/>
      <c r="F901" s="324"/>
      <c r="G901" s="321"/>
      <c r="H901" s="321"/>
      <c r="I901" s="321"/>
      <c r="J901" s="321"/>
      <c r="K901" s="321"/>
      <c r="L901" s="321"/>
      <c r="M901" s="321"/>
    </row>
    <row r="902">
      <c r="A902" s="321"/>
      <c r="B902" s="321"/>
      <c r="C902" s="323"/>
      <c r="D902" s="284"/>
      <c r="E902" s="321"/>
      <c r="F902" s="324"/>
      <c r="G902" s="321"/>
      <c r="H902" s="321"/>
      <c r="I902" s="321"/>
      <c r="J902" s="321"/>
      <c r="K902" s="321"/>
      <c r="L902" s="321"/>
      <c r="M902" s="321"/>
    </row>
    <row r="903">
      <c r="A903" s="321"/>
      <c r="B903" s="321"/>
      <c r="C903" s="323"/>
      <c r="D903" s="284"/>
      <c r="E903" s="321"/>
      <c r="F903" s="324"/>
      <c r="G903" s="321"/>
      <c r="H903" s="321"/>
      <c r="I903" s="321"/>
      <c r="J903" s="321"/>
      <c r="K903" s="321"/>
      <c r="L903" s="321"/>
      <c r="M903" s="321"/>
    </row>
    <row r="904">
      <c r="A904" s="321"/>
      <c r="B904" s="321"/>
      <c r="C904" s="323"/>
      <c r="D904" s="284"/>
      <c r="E904" s="321"/>
      <c r="F904" s="324"/>
      <c r="G904" s="321"/>
      <c r="H904" s="321"/>
      <c r="I904" s="321"/>
      <c r="J904" s="321"/>
      <c r="K904" s="321"/>
      <c r="L904" s="321"/>
      <c r="M904" s="321"/>
    </row>
    <row r="905">
      <c r="A905" s="321"/>
      <c r="B905" s="321"/>
      <c r="C905" s="323"/>
      <c r="D905" s="284"/>
      <c r="E905" s="321"/>
      <c r="F905" s="324"/>
      <c r="G905" s="321"/>
      <c r="H905" s="321"/>
      <c r="I905" s="321"/>
      <c r="J905" s="321"/>
      <c r="K905" s="321"/>
      <c r="L905" s="321"/>
      <c r="M905" s="321"/>
    </row>
    <row r="906">
      <c r="A906" s="321"/>
      <c r="B906" s="321"/>
      <c r="C906" s="323"/>
      <c r="D906" s="284"/>
      <c r="E906" s="321"/>
      <c r="F906" s="324"/>
      <c r="G906" s="321"/>
      <c r="H906" s="321"/>
      <c r="I906" s="321"/>
      <c r="J906" s="321"/>
      <c r="K906" s="321"/>
      <c r="L906" s="321"/>
      <c r="M906" s="321"/>
    </row>
    <row r="907">
      <c r="A907" s="321"/>
      <c r="B907" s="321"/>
      <c r="C907" s="323"/>
      <c r="D907" s="284"/>
      <c r="E907" s="321"/>
      <c r="F907" s="324"/>
      <c r="G907" s="321"/>
      <c r="H907" s="321"/>
      <c r="I907" s="321"/>
      <c r="J907" s="321"/>
      <c r="K907" s="321"/>
      <c r="L907" s="321"/>
      <c r="M907" s="321"/>
    </row>
    <row r="908">
      <c r="A908" s="321"/>
      <c r="B908" s="321"/>
      <c r="C908" s="323"/>
      <c r="D908" s="284"/>
      <c r="E908" s="321"/>
      <c r="F908" s="324"/>
      <c r="G908" s="321"/>
      <c r="H908" s="321"/>
      <c r="I908" s="321"/>
      <c r="J908" s="321"/>
      <c r="K908" s="321"/>
      <c r="L908" s="321"/>
      <c r="M908" s="321"/>
    </row>
    <row r="909">
      <c r="A909" s="321"/>
      <c r="B909" s="321"/>
      <c r="C909" s="323"/>
      <c r="D909" s="284"/>
      <c r="E909" s="321"/>
      <c r="F909" s="324"/>
      <c r="G909" s="321"/>
      <c r="H909" s="321"/>
      <c r="I909" s="321"/>
      <c r="J909" s="321"/>
      <c r="K909" s="321"/>
      <c r="L909" s="321"/>
      <c r="M909" s="321"/>
    </row>
    <row r="910">
      <c r="A910" s="321"/>
      <c r="B910" s="321"/>
      <c r="C910" s="323"/>
      <c r="D910" s="284"/>
      <c r="E910" s="321"/>
      <c r="F910" s="324"/>
      <c r="G910" s="321"/>
      <c r="H910" s="321"/>
      <c r="I910" s="321"/>
      <c r="J910" s="321"/>
      <c r="K910" s="321"/>
      <c r="L910" s="321"/>
      <c r="M910" s="321"/>
    </row>
    <row r="911">
      <c r="A911" s="321"/>
      <c r="B911" s="321"/>
      <c r="C911" s="323"/>
      <c r="D911" s="284"/>
      <c r="E911" s="321"/>
      <c r="F911" s="324"/>
      <c r="G911" s="321"/>
      <c r="H911" s="321"/>
      <c r="I911" s="321"/>
      <c r="J911" s="321"/>
      <c r="K911" s="321"/>
      <c r="L911" s="321"/>
      <c r="M911" s="321"/>
    </row>
    <row r="912">
      <c r="A912" s="321"/>
      <c r="B912" s="321"/>
      <c r="C912" s="323"/>
      <c r="D912" s="284"/>
      <c r="E912" s="321"/>
      <c r="F912" s="324"/>
      <c r="G912" s="321"/>
      <c r="H912" s="321"/>
      <c r="I912" s="321"/>
      <c r="J912" s="321"/>
      <c r="K912" s="321"/>
      <c r="L912" s="321"/>
      <c r="M912" s="321"/>
    </row>
    <row r="913">
      <c r="A913" s="321"/>
      <c r="B913" s="321"/>
      <c r="C913" s="323"/>
      <c r="D913" s="284"/>
      <c r="E913" s="321"/>
      <c r="F913" s="324"/>
      <c r="G913" s="321"/>
      <c r="H913" s="321"/>
      <c r="I913" s="321"/>
      <c r="J913" s="321"/>
      <c r="K913" s="321"/>
      <c r="L913" s="321"/>
      <c r="M913" s="321"/>
    </row>
    <row r="914">
      <c r="A914" s="321"/>
      <c r="B914" s="321"/>
      <c r="C914" s="323"/>
      <c r="D914" s="284"/>
      <c r="E914" s="321"/>
      <c r="F914" s="324"/>
      <c r="G914" s="321"/>
      <c r="H914" s="321"/>
      <c r="I914" s="321"/>
      <c r="J914" s="321"/>
      <c r="K914" s="321"/>
      <c r="L914" s="321"/>
      <c r="M914" s="321"/>
    </row>
    <row r="915">
      <c r="A915" s="321"/>
      <c r="B915" s="321"/>
      <c r="C915" s="323"/>
      <c r="D915" s="284"/>
      <c r="E915" s="321"/>
      <c r="F915" s="324"/>
      <c r="G915" s="321"/>
      <c r="H915" s="321"/>
      <c r="I915" s="321"/>
      <c r="J915" s="321"/>
      <c r="K915" s="321"/>
      <c r="L915" s="321"/>
      <c r="M915" s="321"/>
    </row>
    <row r="916">
      <c r="A916" s="321"/>
      <c r="B916" s="321"/>
      <c r="C916" s="323"/>
      <c r="D916" s="284"/>
      <c r="E916" s="321"/>
      <c r="F916" s="324"/>
      <c r="G916" s="321"/>
      <c r="H916" s="321"/>
      <c r="I916" s="321"/>
      <c r="J916" s="321"/>
      <c r="K916" s="321"/>
      <c r="L916" s="321"/>
      <c r="M916" s="321"/>
    </row>
    <row r="917">
      <c r="A917" s="321"/>
      <c r="B917" s="321"/>
      <c r="C917" s="323"/>
      <c r="D917" s="284"/>
      <c r="E917" s="321"/>
      <c r="F917" s="324"/>
      <c r="G917" s="321"/>
      <c r="H917" s="321"/>
      <c r="I917" s="321"/>
      <c r="J917" s="321"/>
      <c r="K917" s="321"/>
      <c r="L917" s="321"/>
      <c r="M917" s="321"/>
    </row>
    <row r="918">
      <c r="A918" s="321"/>
      <c r="B918" s="321"/>
      <c r="C918" s="323"/>
      <c r="D918" s="284"/>
      <c r="E918" s="321"/>
      <c r="F918" s="324"/>
      <c r="G918" s="321"/>
      <c r="H918" s="321"/>
      <c r="I918" s="321"/>
      <c r="J918" s="321"/>
      <c r="K918" s="321"/>
      <c r="L918" s="321"/>
      <c r="M918" s="321"/>
    </row>
    <row r="919">
      <c r="A919" s="321"/>
      <c r="B919" s="321"/>
      <c r="C919" s="323"/>
      <c r="D919" s="284"/>
      <c r="E919" s="321"/>
      <c r="F919" s="324"/>
      <c r="G919" s="321"/>
      <c r="H919" s="321"/>
      <c r="I919" s="321"/>
      <c r="J919" s="321"/>
      <c r="K919" s="321"/>
      <c r="L919" s="321"/>
      <c r="M919" s="321"/>
    </row>
    <row r="920">
      <c r="A920" s="321"/>
      <c r="B920" s="321"/>
      <c r="C920" s="323"/>
      <c r="D920" s="284"/>
      <c r="E920" s="321"/>
      <c r="F920" s="324"/>
      <c r="G920" s="321"/>
      <c r="H920" s="321"/>
      <c r="I920" s="321"/>
      <c r="J920" s="321"/>
      <c r="K920" s="321"/>
      <c r="L920" s="321"/>
      <c r="M920" s="321"/>
    </row>
    <row r="921">
      <c r="A921" s="321"/>
      <c r="B921" s="321"/>
      <c r="C921" s="323"/>
      <c r="D921" s="284"/>
      <c r="E921" s="321"/>
      <c r="F921" s="324"/>
      <c r="G921" s="321"/>
      <c r="H921" s="321"/>
      <c r="I921" s="321"/>
      <c r="J921" s="321"/>
      <c r="K921" s="321"/>
      <c r="L921" s="321"/>
      <c r="M921" s="321"/>
    </row>
    <row r="922">
      <c r="A922" s="321"/>
      <c r="B922" s="321"/>
      <c r="C922" s="323"/>
      <c r="D922" s="284"/>
      <c r="E922" s="321"/>
      <c r="F922" s="324"/>
      <c r="G922" s="321"/>
      <c r="H922" s="321"/>
      <c r="I922" s="321"/>
      <c r="J922" s="321"/>
      <c r="K922" s="321"/>
      <c r="L922" s="321"/>
      <c r="M922" s="321"/>
    </row>
    <row r="923">
      <c r="A923" s="321"/>
      <c r="B923" s="321"/>
      <c r="C923" s="323"/>
      <c r="D923" s="284"/>
      <c r="E923" s="321"/>
      <c r="F923" s="324"/>
      <c r="G923" s="321"/>
      <c r="H923" s="321"/>
      <c r="I923" s="321"/>
      <c r="J923" s="321"/>
      <c r="K923" s="321"/>
      <c r="L923" s="321"/>
      <c r="M923" s="321"/>
    </row>
    <row r="924">
      <c r="A924" s="321"/>
      <c r="B924" s="321"/>
      <c r="C924" s="323"/>
      <c r="D924" s="284"/>
      <c r="E924" s="321"/>
      <c r="F924" s="324"/>
      <c r="G924" s="321"/>
      <c r="H924" s="321"/>
      <c r="I924" s="321"/>
      <c r="J924" s="321"/>
      <c r="K924" s="321"/>
      <c r="L924" s="321"/>
      <c r="M924" s="321"/>
    </row>
    <row r="925">
      <c r="A925" s="321"/>
      <c r="B925" s="321"/>
      <c r="C925" s="323"/>
      <c r="D925" s="284"/>
      <c r="E925" s="321"/>
      <c r="F925" s="324"/>
      <c r="G925" s="321"/>
      <c r="H925" s="321"/>
      <c r="I925" s="321"/>
      <c r="J925" s="321"/>
      <c r="K925" s="321"/>
      <c r="L925" s="321"/>
      <c r="M925" s="321"/>
    </row>
    <row r="926">
      <c r="A926" s="321"/>
      <c r="B926" s="321"/>
      <c r="C926" s="323"/>
      <c r="D926" s="284"/>
      <c r="E926" s="321"/>
      <c r="F926" s="324"/>
      <c r="G926" s="321"/>
      <c r="H926" s="321"/>
      <c r="I926" s="321"/>
      <c r="J926" s="321"/>
      <c r="K926" s="321"/>
      <c r="L926" s="321"/>
      <c r="M926" s="321"/>
    </row>
    <row r="927">
      <c r="A927" s="321"/>
      <c r="B927" s="321"/>
      <c r="C927" s="323"/>
      <c r="D927" s="284"/>
      <c r="E927" s="321"/>
      <c r="F927" s="324"/>
      <c r="G927" s="321"/>
      <c r="H927" s="321"/>
      <c r="I927" s="321"/>
      <c r="J927" s="321"/>
      <c r="K927" s="321"/>
      <c r="L927" s="321"/>
      <c r="M927" s="321"/>
    </row>
    <row r="928">
      <c r="A928" s="321"/>
      <c r="B928" s="321"/>
      <c r="C928" s="323"/>
      <c r="D928" s="284"/>
      <c r="E928" s="321"/>
      <c r="F928" s="324"/>
      <c r="G928" s="321"/>
      <c r="H928" s="321"/>
      <c r="I928" s="321"/>
      <c r="J928" s="321"/>
      <c r="K928" s="321"/>
      <c r="L928" s="321"/>
      <c r="M928" s="321"/>
    </row>
    <row r="929">
      <c r="A929" s="321"/>
      <c r="B929" s="321"/>
      <c r="C929" s="323"/>
      <c r="D929" s="284"/>
      <c r="E929" s="321"/>
      <c r="F929" s="324"/>
      <c r="G929" s="321"/>
      <c r="H929" s="321"/>
      <c r="I929" s="321"/>
      <c r="J929" s="321"/>
      <c r="K929" s="321"/>
      <c r="L929" s="321"/>
      <c r="M929" s="321"/>
    </row>
    <row r="930">
      <c r="A930" s="321"/>
      <c r="B930" s="321"/>
      <c r="C930" s="323"/>
      <c r="D930" s="284"/>
      <c r="E930" s="321"/>
      <c r="F930" s="324"/>
      <c r="G930" s="321"/>
      <c r="H930" s="321"/>
      <c r="I930" s="321"/>
      <c r="J930" s="321"/>
      <c r="K930" s="321"/>
      <c r="L930" s="321"/>
      <c r="M930" s="321"/>
    </row>
    <row r="931">
      <c r="A931" s="321"/>
      <c r="B931" s="321"/>
      <c r="C931" s="323"/>
      <c r="D931" s="284"/>
      <c r="E931" s="321"/>
      <c r="F931" s="324"/>
      <c r="G931" s="321"/>
      <c r="H931" s="321"/>
      <c r="I931" s="321"/>
      <c r="J931" s="321"/>
      <c r="K931" s="321"/>
      <c r="L931" s="321"/>
      <c r="M931" s="321"/>
    </row>
    <row r="932">
      <c r="A932" s="321"/>
      <c r="B932" s="321"/>
      <c r="C932" s="323"/>
      <c r="D932" s="284"/>
      <c r="E932" s="321"/>
      <c r="F932" s="324"/>
      <c r="G932" s="321"/>
      <c r="H932" s="321"/>
      <c r="I932" s="321"/>
      <c r="J932" s="321"/>
      <c r="K932" s="321"/>
      <c r="L932" s="321"/>
      <c r="M932" s="321"/>
    </row>
    <row r="933">
      <c r="A933" s="321"/>
      <c r="B933" s="321"/>
      <c r="C933" s="323"/>
      <c r="D933" s="284"/>
      <c r="E933" s="321"/>
      <c r="F933" s="324"/>
      <c r="G933" s="321"/>
      <c r="H933" s="321"/>
      <c r="I933" s="321"/>
      <c r="J933" s="321"/>
      <c r="K933" s="321"/>
      <c r="L933" s="321"/>
      <c r="M933" s="321"/>
    </row>
    <row r="934">
      <c r="A934" s="321"/>
      <c r="B934" s="321"/>
      <c r="C934" s="323"/>
      <c r="D934" s="284"/>
      <c r="E934" s="321"/>
      <c r="F934" s="324"/>
      <c r="G934" s="321"/>
      <c r="H934" s="321"/>
      <c r="I934" s="321"/>
      <c r="J934" s="321"/>
      <c r="K934" s="321"/>
      <c r="L934" s="321"/>
      <c r="M934" s="321"/>
    </row>
    <row r="935">
      <c r="A935" s="321"/>
      <c r="B935" s="321"/>
      <c r="C935" s="323"/>
      <c r="D935" s="284"/>
      <c r="E935" s="321"/>
      <c r="F935" s="324"/>
      <c r="G935" s="321"/>
      <c r="H935" s="321"/>
      <c r="I935" s="321"/>
      <c r="J935" s="321"/>
      <c r="K935" s="321"/>
      <c r="L935" s="321"/>
      <c r="M935" s="321"/>
    </row>
    <row r="936">
      <c r="A936" s="321"/>
      <c r="B936" s="321"/>
      <c r="C936" s="323"/>
      <c r="D936" s="284"/>
      <c r="E936" s="321"/>
      <c r="F936" s="324"/>
      <c r="G936" s="321"/>
      <c r="H936" s="321"/>
      <c r="I936" s="321"/>
      <c r="J936" s="321"/>
      <c r="K936" s="321"/>
      <c r="L936" s="321"/>
      <c r="M936" s="321"/>
    </row>
    <row r="937">
      <c r="A937" s="321"/>
      <c r="B937" s="321"/>
      <c r="C937" s="323"/>
      <c r="D937" s="284"/>
      <c r="E937" s="321"/>
      <c r="F937" s="324"/>
      <c r="G937" s="321"/>
      <c r="H937" s="321"/>
      <c r="I937" s="321"/>
      <c r="J937" s="321"/>
      <c r="K937" s="321"/>
      <c r="L937" s="321"/>
      <c r="M937" s="321"/>
    </row>
    <row r="938">
      <c r="A938" s="321"/>
      <c r="B938" s="321"/>
      <c r="C938" s="323"/>
      <c r="D938" s="284"/>
      <c r="E938" s="321"/>
      <c r="F938" s="324"/>
      <c r="G938" s="321"/>
      <c r="H938" s="321"/>
      <c r="I938" s="321"/>
      <c r="J938" s="321"/>
      <c r="K938" s="321"/>
      <c r="L938" s="321"/>
      <c r="M938" s="321"/>
    </row>
    <row r="939">
      <c r="A939" s="321"/>
      <c r="B939" s="321"/>
      <c r="C939" s="323"/>
      <c r="D939" s="284"/>
      <c r="E939" s="321"/>
      <c r="F939" s="324"/>
      <c r="G939" s="321"/>
      <c r="H939" s="321"/>
      <c r="I939" s="321"/>
      <c r="J939" s="321"/>
      <c r="K939" s="321"/>
      <c r="L939" s="321"/>
      <c r="M939" s="321"/>
    </row>
    <row r="940">
      <c r="A940" s="321"/>
      <c r="B940" s="321"/>
      <c r="C940" s="323"/>
      <c r="D940" s="284"/>
      <c r="E940" s="321"/>
      <c r="F940" s="324"/>
      <c r="G940" s="321"/>
      <c r="H940" s="321"/>
      <c r="I940" s="321"/>
      <c r="J940" s="321"/>
      <c r="K940" s="321"/>
      <c r="L940" s="321"/>
      <c r="M940" s="321"/>
    </row>
    <row r="941">
      <c r="A941" s="321"/>
      <c r="B941" s="321"/>
      <c r="C941" s="323"/>
      <c r="D941" s="284"/>
      <c r="E941" s="321"/>
      <c r="F941" s="324"/>
      <c r="G941" s="321"/>
      <c r="H941" s="321"/>
      <c r="I941" s="321"/>
      <c r="J941" s="321"/>
      <c r="K941" s="321"/>
      <c r="L941" s="321"/>
      <c r="M941" s="321"/>
    </row>
    <row r="942">
      <c r="A942" s="321"/>
      <c r="B942" s="321"/>
      <c r="C942" s="323"/>
      <c r="D942" s="284"/>
      <c r="E942" s="321"/>
      <c r="F942" s="324"/>
      <c r="G942" s="321"/>
      <c r="H942" s="321"/>
      <c r="I942" s="321"/>
      <c r="J942" s="321"/>
      <c r="K942" s="321"/>
      <c r="L942" s="321"/>
      <c r="M942" s="321"/>
    </row>
    <row r="943">
      <c r="A943" s="321"/>
      <c r="B943" s="321"/>
      <c r="C943" s="323"/>
      <c r="D943" s="284"/>
      <c r="E943" s="321"/>
      <c r="F943" s="324"/>
      <c r="G943" s="321"/>
      <c r="H943" s="321"/>
      <c r="I943" s="321"/>
      <c r="J943" s="321"/>
      <c r="K943" s="321"/>
      <c r="L943" s="321"/>
      <c r="M943" s="321"/>
    </row>
    <row r="944">
      <c r="A944" s="321"/>
      <c r="B944" s="321"/>
      <c r="C944" s="323"/>
      <c r="D944" s="284"/>
      <c r="E944" s="321"/>
      <c r="F944" s="324"/>
      <c r="G944" s="321"/>
      <c r="H944" s="321"/>
      <c r="I944" s="321"/>
      <c r="J944" s="321"/>
      <c r="K944" s="321"/>
      <c r="L944" s="321"/>
      <c r="M944" s="321"/>
    </row>
    <row r="945">
      <c r="A945" s="321"/>
      <c r="B945" s="321"/>
      <c r="C945" s="323"/>
      <c r="D945" s="284"/>
      <c r="E945" s="321"/>
      <c r="F945" s="324"/>
      <c r="G945" s="321"/>
      <c r="H945" s="321"/>
      <c r="I945" s="321"/>
      <c r="J945" s="321"/>
      <c r="K945" s="321"/>
      <c r="L945" s="321"/>
      <c r="M945" s="321"/>
    </row>
    <row r="946">
      <c r="A946" s="321"/>
      <c r="B946" s="321"/>
      <c r="C946" s="323"/>
      <c r="D946" s="284"/>
      <c r="E946" s="321"/>
      <c r="F946" s="324"/>
      <c r="G946" s="321"/>
      <c r="H946" s="321"/>
      <c r="I946" s="321"/>
      <c r="J946" s="321"/>
      <c r="K946" s="321"/>
      <c r="L946" s="321"/>
      <c r="M946" s="321"/>
    </row>
    <row r="947">
      <c r="A947" s="321"/>
      <c r="B947" s="321"/>
      <c r="C947" s="323"/>
      <c r="D947" s="284"/>
      <c r="E947" s="321"/>
      <c r="F947" s="324"/>
      <c r="G947" s="321"/>
      <c r="H947" s="321"/>
      <c r="I947" s="321"/>
      <c r="J947" s="321"/>
      <c r="K947" s="321"/>
      <c r="L947" s="321"/>
      <c r="M947" s="321"/>
    </row>
    <row r="948">
      <c r="A948" s="321"/>
      <c r="B948" s="321"/>
      <c r="C948" s="323"/>
      <c r="D948" s="284"/>
      <c r="E948" s="321"/>
      <c r="F948" s="324"/>
      <c r="G948" s="321"/>
      <c r="H948" s="321"/>
      <c r="I948" s="321"/>
      <c r="J948" s="321"/>
      <c r="K948" s="321"/>
      <c r="L948" s="321"/>
      <c r="M948" s="321"/>
    </row>
    <row r="949">
      <c r="A949" s="321"/>
      <c r="B949" s="321"/>
      <c r="C949" s="323"/>
      <c r="D949" s="284"/>
      <c r="E949" s="321"/>
      <c r="F949" s="324"/>
      <c r="G949" s="321"/>
      <c r="H949" s="321"/>
      <c r="I949" s="321"/>
      <c r="J949" s="321"/>
      <c r="K949" s="321"/>
      <c r="L949" s="321"/>
      <c r="M949" s="321"/>
    </row>
    <row r="950">
      <c r="A950" s="321"/>
      <c r="B950" s="321"/>
      <c r="C950" s="323"/>
      <c r="D950" s="284"/>
      <c r="E950" s="321"/>
      <c r="F950" s="324"/>
      <c r="G950" s="321"/>
      <c r="H950" s="321"/>
      <c r="I950" s="321"/>
      <c r="J950" s="321"/>
      <c r="K950" s="321"/>
      <c r="L950" s="321"/>
      <c r="M950" s="321"/>
    </row>
    <row r="951">
      <c r="A951" s="321"/>
      <c r="B951" s="321"/>
      <c r="C951" s="323"/>
      <c r="D951" s="284"/>
      <c r="E951" s="321"/>
      <c r="F951" s="324"/>
      <c r="G951" s="321"/>
      <c r="H951" s="321"/>
      <c r="I951" s="321"/>
      <c r="J951" s="321"/>
      <c r="K951" s="321"/>
      <c r="L951" s="321"/>
      <c r="M951" s="321"/>
    </row>
    <row r="952">
      <c r="A952" s="321"/>
      <c r="B952" s="321"/>
      <c r="C952" s="323"/>
      <c r="D952" s="284"/>
      <c r="E952" s="321"/>
      <c r="F952" s="324"/>
      <c r="G952" s="321"/>
      <c r="H952" s="321"/>
      <c r="I952" s="321"/>
      <c r="J952" s="321"/>
      <c r="K952" s="321"/>
      <c r="L952" s="321"/>
      <c r="M952" s="321"/>
    </row>
    <row r="953">
      <c r="A953" s="321"/>
      <c r="B953" s="321"/>
      <c r="C953" s="323"/>
      <c r="D953" s="284"/>
      <c r="E953" s="321"/>
      <c r="F953" s="324"/>
      <c r="G953" s="321"/>
      <c r="H953" s="321"/>
      <c r="I953" s="321"/>
      <c r="J953" s="321"/>
      <c r="K953" s="321"/>
      <c r="L953" s="321"/>
      <c r="M953" s="321"/>
    </row>
    <row r="954">
      <c r="A954" s="321"/>
      <c r="B954" s="321"/>
      <c r="C954" s="323"/>
      <c r="D954" s="284"/>
      <c r="E954" s="321"/>
      <c r="F954" s="324"/>
      <c r="G954" s="321"/>
      <c r="H954" s="321"/>
      <c r="I954" s="321"/>
      <c r="J954" s="321"/>
      <c r="K954" s="321"/>
      <c r="L954" s="321"/>
      <c r="M954" s="321"/>
    </row>
    <row r="955">
      <c r="A955" s="321"/>
      <c r="B955" s="321"/>
      <c r="C955" s="323"/>
      <c r="D955" s="284"/>
      <c r="E955" s="321"/>
      <c r="F955" s="324"/>
      <c r="G955" s="321"/>
      <c r="H955" s="321"/>
      <c r="I955" s="321"/>
      <c r="J955" s="321"/>
      <c r="K955" s="321"/>
      <c r="L955" s="321"/>
      <c r="M955" s="321"/>
    </row>
    <row r="956">
      <c r="A956" s="321"/>
      <c r="B956" s="321"/>
      <c r="C956" s="323"/>
      <c r="D956" s="284"/>
      <c r="E956" s="321"/>
      <c r="F956" s="324"/>
      <c r="G956" s="321"/>
      <c r="H956" s="321"/>
      <c r="I956" s="321"/>
      <c r="J956" s="321"/>
      <c r="K956" s="321"/>
      <c r="L956" s="321"/>
      <c r="M956" s="321"/>
    </row>
    <row r="957">
      <c r="A957" s="321"/>
      <c r="B957" s="321"/>
      <c r="C957" s="323"/>
      <c r="D957" s="284"/>
      <c r="E957" s="321"/>
      <c r="F957" s="324"/>
      <c r="G957" s="321"/>
      <c r="H957" s="321"/>
      <c r="I957" s="321"/>
      <c r="J957" s="321"/>
      <c r="K957" s="321"/>
      <c r="L957" s="321"/>
      <c r="M957" s="321"/>
    </row>
    <row r="958">
      <c r="A958" s="321"/>
      <c r="B958" s="321"/>
      <c r="C958" s="323"/>
      <c r="D958" s="284"/>
      <c r="E958" s="321"/>
      <c r="F958" s="324"/>
      <c r="G958" s="321"/>
      <c r="H958" s="321"/>
      <c r="I958" s="321"/>
      <c r="J958" s="321"/>
      <c r="K958" s="321"/>
      <c r="L958" s="321"/>
      <c r="M958" s="321"/>
    </row>
    <row r="959">
      <c r="A959" s="321"/>
      <c r="B959" s="321"/>
      <c r="C959" s="323"/>
      <c r="D959" s="284"/>
      <c r="E959" s="321"/>
      <c r="F959" s="324"/>
      <c r="G959" s="321"/>
      <c r="H959" s="321"/>
      <c r="I959" s="321"/>
      <c r="J959" s="321"/>
      <c r="K959" s="321"/>
      <c r="L959" s="321"/>
      <c r="M959" s="321"/>
    </row>
    <row r="960">
      <c r="A960" s="321"/>
      <c r="B960" s="321"/>
      <c r="C960" s="323"/>
      <c r="D960" s="284"/>
      <c r="E960" s="321"/>
      <c r="F960" s="324"/>
      <c r="G960" s="321"/>
      <c r="H960" s="321"/>
      <c r="I960" s="321"/>
      <c r="J960" s="321"/>
      <c r="K960" s="321"/>
      <c r="L960" s="321"/>
      <c r="M960" s="321"/>
    </row>
    <row r="961">
      <c r="A961" s="321"/>
      <c r="B961" s="321"/>
      <c r="C961" s="323"/>
      <c r="D961" s="284"/>
      <c r="E961" s="321"/>
      <c r="F961" s="324"/>
      <c r="G961" s="321"/>
      <c r="H961" s="321"/>
      <c r="I961" s="321"/>
      <c r="J961" s="321"/>
      <c r="K961" s="321"/>
      <c r="L961" s="321"/>
      <c r="M961" s="321"/>
    </row>
    <row r="962">
      <c r="A962" s="321"/>
      <c r="B962" s="321"/>
      <c r="C962" s="323"/>
      <c r="D962" s="284"/>
      <c r="E962" s="321"/>
      <c r="F962" s="324"/>
      <c r="G962" s="321"/>
      <c r="H962" s="321"/>
      <c r="I962" s="321"/>
      <c r="J962" s="321"/>
      <c r="K962" s="321"/>
      <c r="L962" s="321"/>
      <c r="M962" s="321"/>
    </row>
    <row r="963">
      <c r="A963" s="321"/>
      <c r="B963" s="321"/>
      <c r="C963" s="323"/>
      <c r="D963" s="284"/>
      <c r="E963" s="321"/>
      <c r="F963" s="324"/>
      <c r="G963" s="321"/>
      <c r="H963" s="321"/>
      <c r="I963" s="321"/>
      <c r="J963" s="321"/>
      <c r="K963" s="321"/>
      <c r="L963" s="321"/>
      <c r="M963" s="321"/>
    </row>
    <row r="964">
      <c r="A964" s="321"/>
      <c r="B964" s="321"/>
      <c r="C964" s="323"/>
      <c r="D964" s="284"/>
      <c r="E964" s="321"/>
      <c r="F964" s="324"/>
      <c r="G964" s="321"/>
      <c r="H964" s="321"/>
      <c r="I964" s="321"/>
      <c r="J964" s="321"/>
      <c r="K964" s="321"/>
      <c r="L964" s="321"/>
      <c r="M964" s="321"/>
    </row>
    <row r="965">
      <c r="A965" s="321"/>
      <c r="B965" s="321"/>
      <c r="C965" s="323"/>
      <c r="D965" s="284"/>
      <c r="E965" s="321"/>
      <c r="F965" s="324"/>
      <c r="G965" s="321"/>
      <c r="H965" s="321"/>
      <c r="I965" s="321"/>
      <c r="J965" s="321"/>
      <c r="K965" s="321"/>
      <c r="L965" s="321"/>
      <c r="M965" s="321"/>
    </row>
    <row r="966">
      <c r="A966" s="321"/>
      <c r="B966" s="321"/>
      <c r="C966" s="323"/>
      <c r="D966" s="284"/>
      <c r="E966" s="321"/>
      <c r="F966" s="324"/>
      <c r="G966" s="321"/>
      <c r="H966" s="321"/>
      <c r="I966" s="321"/>
      <c r="J966" s="321"/>
      <c r="K966" s="321"/>
      <c r="L966" s="321"/>
      <c r="M966" s="321"/>
    </row>
    <row r="967">
      <c r="A967" s="321"/>
      <c r="B967" s="321"/>
      <c r="C967" s="323"/>
      <c r="D967" s="284"/>
      <c r="E967" s="321"/>
      <c r="F967" s="324"/>
      <c r="G967" s="321"/>
      <c r="H967" s="321"/>
      <c r="I967" s="321"/>
      <c r="J967" s="321"/>
      <c r="K967" s="321"/>
      <c r="L967" s="321"/>
      <c r="M967" s="321"/>
    </row>
    <row r="968">
      <c r="A968" s="321"/>
      <c r="B968" s="321"/>
      <c r="C968" s="323"/>
      <c r="D968" s="284"/>
      <c r="E968" s="321"/>
      <c r="F968" s="324"/>
      <c r="G968" s="321"/>
      <c r="H968" s="321"/>
      <c r="I968" s="321"/>
      <c r="J968" s="321"/>
      <c r="K968" s="321"/>
      <c r="L968" s="321"/>
      <c r="M968" s="321"/>
    </row>
    <row r="969">
      <c r="A969" s="321"/>
      <c r="B969" s="321"/>
      <c r="C969" s="323"/>
      <c r="D969" s="284"/>
      <c r="E969" s="321"/>
      <c r="F969" s="324"/>
      <c r="G969" s="321"/>
      <c r="H969" s="321"/>
      <c r="I969" s="321"/>
      <c r="J969" s="321"/>
      <c r="K969" s="321"/>
      <c r="L969" s="321"/>
      <c r="M969" s="321"/>
    </row>
    <row r="970">
      <c r="A970" s="321"/>
      <c r="B970" s="321"/>
      <c r="C970" s="323"/>
      <c r="D970" s="284"/>
      <c r="E970" s="321"/>
      <c r="F970" s="324"/>
      <c r="G970" s="321"/>
      <c r="H970" s="321"/>
      <c r="I970" s="321"/>
      <c r="J970" s="321"/>
      <c r="K970" s="321"/>
      <c r="L970" s="321"/>
      <c r="M970" s="321"/>
    </row>
    <row r="971">
      <c r="A971" s="321"/>
      <c r="B971" s="321"/>
      <c r="C971" s="323"/>
      <c r="D971" s="284"/>
      <c r="E971" s="321"/>
      <c r="F971" s="324"/>
      <c r="G971" s="321"/>
      <c r="H971" s="321"/>
      <c r="I971" s="321"/>
      <c r="J971" s="321"/>
      <c r="K971" s="321"/>
      <c r="L971" s="321"/>
      <c r="M971" s="321"/>
    </row>
    <row r="972">
      <c r="A972" s="321"/>
      <c r="B972" s="321"/>
      <c r="C972" s="323"/>
      <c r="D972" s="284"/>
      <c r="E972" s="321"/>
      <c r="F972" s="324"/>
      <c r="G972" s="321"/>
      <c r="H972" s="321"/>
      <c r="I972" s="321"/>
      <c r="J972" s="321"/>
      <c r="K972" s="321"/>
      <c r="L972" s="321"/>
      <c r="M972" s="321"/>
    </row>
    <row r="973">
      <c r="A973" s="321"/>
      <c r="B973" s="321"/>
      <c r="C973" s="323"/>
      <c r="D973" s="284"/>
      <c r="E973" s="321"/>
      <c r="F973" s="324"/>
      <c r="G973" s="321"/>
      <c r="H973" s="321"/>
      <c r="I973" s="321"/>
      <c r="J973" s="321"/>
      <c r="K973" s="321"/>
      <c r="L973" s="321"/>
      <c r="M973" s="321"/>
    </row>
    <row r="974">
      <c r="A974" s="321"/>
      <c r="B974" s="321"/>
      <c r="C974" s="323"/>
      <c r="D974" s="284"/>
      <c r="E974" s="321"/>
      <c r="F974" s="324"/>
      <c r="G974" s="321"/>
      <c r="H974" s="321"/>
      <c r="I974" s="321"/>
      <c r="J974" s="321"/>
      <c r="K974" s="321"/>
      <c r="L974" s="321"/>
      <c r="M974" s="321"/>
    </row>
    <row r="975">
      <c r="A975" s="321"/>
      <c r="B975" s="321"/>
      <c r="C975" s="323"/>
      <c r="D975" s="284"/>
      <c r="E975" s="321"/>
      <c r="F975" s="324"/>
      <c r="G975" s="321"/>
      <c r="H975" s="321"/>
      <c r="I975" s="321"/>
      <c r="J975" s="321"/>
      <c r="K975" s="321"/>
      <c r="L975" s="321"/>
      <c r="M975" s="321"/>
    </row>
    <row r="976">
      <c r="A976" s="321"/>
      <c r="B976" s="321"/>
      <c r="C976" s="323"/>
      <c r="D976" s="284"/>
      <c r="E976" s="321"/>
      <c r="F976" s="324"/>
      <c r="G976" s="321"/>
      <c r="H976" s="321"/>
      <c r="I976" s="321"/>
      <c r="J976" s="321"/>
      <c r="K976" s="321"/>
      <c r="L976" s="321"/>
      <c r="M976" s="321"/>
    </row>
    <row r="977">
      <c r="A977" s="321"/>
      <c r="B977" s="321"/>
      <c r="C977" s="323"/>
      <c r="D977" s="284"/>
      <c r="E977" s="321"/>
      <c r="F977" s="324"/>
      <c r="G977" s="321"/>
      <c r="H977" s="321"/>
      <c r="I977" s="321"/>
      <c r="J977" s="321"/>
      <c r="K977" s="321"/>
      <c r="L977" s="321"/>
      <c r="M977" s="321"/>
    </row>
    <row r="978">
      <c r="A978" s="321"/>
      <c r="B978" s="321"/>
      <c r="C978" s="323"/>
      <c r="D978" s="284"/>
      <c r="E978" s="321"/>
      <c r="F978" s="324"/>
      <c r="G978" s="321"/>
      <c r="H978" s="321"/>
      <c r="I978" s="321"/>
      <c r="J978" s="321"/>
      <c r="K978" s="321"/>
      <c r="L978" s="321"/>
      <c r="M978" s="321"/>
    </row>
    <row r="979">
      <c r="A979" s="321"/>
      <c r="B979" s="321"/>
      <c r="C979" s="323"/>
      <c r="D979" s="284"/>
      <c r="E979" s="321"/>
      <c r="F979" s="324"/>
      <c r="G979" s="321"/>
      <c r="H979" s="321"/>
      <c r="I979" s="321"/>
      <c r="J979" s="321"/>
      <c r="K979" s="321"/>
      <c r="L979" s="321"/>
      <c r="M979" s="321"/>
    </row>
    <row r="980">
      <c r="A980" s="321"/>
      <c r="B980" s="321"/>
      <c r="C980" s="323"/>
      <c r="D980" s="284"/>
      <c r="E980" s="321"/>
      <c r="F980" s="324"/>
      <c r="G980" s="321"/>
      <c r="H980" s="321"/>
      <c r="I980" s="321"/>
      <c r="J980" s="321"/>
      <c r="K980" s="321"/>
      <c r="L980" s="321"/>
      <c r="M980" s="321"/>
    </row>
    <row r="981">
      <c r="A981" s="321"/>
      <c r="B981" s="321"/>
      <c r="C981" s="323"/>
      <c r="D981" s="284"/>
      <c r="E981" s="321"/>
      <c r="F981" s="324"/>
      <c r="G981" s="321"/>
      <c r="H981" s="321"/>
      <c r="I981" s="321"/>
      <c r="J981" s="321"/>
      <c r="K981" s="321"/>
      <c r="L981" s="321"/>
      <c r="M981" s="321"/>
    </row>
    <row r="982">
      <c r="A982" s="321"/>
      <c r="B982" s="321"/>
      <c r="C982" s="323"/>
      <c r="D982" s="284"/>
      <c r="E982" s="321"/>
      <c r="F982" s="324"/>
      <c r="G982" s="321"/>
      <c r="H982" s="321"/>
      <c r="I982" s="321"/>
      <c r="J982" s="321"/>
      <c r="K982" s="321"/>
      <c r="L982" s="321"/>
      <c r="M982" s="321"/>
    </row>
    <row r="983">
      <c r="A983" s="321"/>
      <c r="B983" s="321"/>
      <c r="C983" s="323"/>
      <c r="D983" s="284"/>
      <c r="E983" s="321"/>
      <c r="F983" s="324"/>
      <c r="G983" s="321"/>
      <c r="H983" s="321"/>
      <c r="I983" s="321"/>
      <c r="J983" s="321"/>
      <c r="K983" s="321"/>
      <c r="L983" s="321"/>
      <c r="M983" s="321"/>
    </row>
    <row r="984">
      <c r="A984" s="321"/>
      <c r="B984" s="321"/>
      <c r="C984" s="323"/>
      <c r="D984" s="284"/>
      <c r="E984" s="321"/>
      <c r="F984" s="324"/>
      <c r="G984" s="321"/>
      <c r="H984" s="321"/>
      <c r="I984" s="321"/>
      <c r="J984" s="321"/>
      <c r="K984" s="321"/>
      <c r="L984" s="321"/>
      <c r="M984" s="321"/>
    </row>
    <row r="985">
      <c r="A985" s="321"/>
      <c r="B985" s="321"/>
      <c r="C985" s="323"/>
      <c r="D985" s="284"/>
      <c r="E985" s="321"/>
      <c r="F985" s="324"/>
      <c r="G985" s="321"/>
      <c r="H985" s="321"/>
      <c r="I985" s="321"/>
      <c r="J985" s="321"/>
      <c r="K985" s="321"/>
      <c r="L985" s="321"/>
      <c r="M985" s="321"/>
    </row>
    <row r="986">
      <c r="A986" s="321"/>
      <c r="B986" s="321"/>
      <c r="C986" s="323"/>
      <c r="D986" s="284"/>
      <c r="E986" s="321"/>
      <c r="F986" s="324"/>
      <c r="G986" s="321"/>
      <c r="H986" s="321"/>
      <c r="I986" s="321"/>
      <c r="J986" s="321"/>
      <c r="K986" s="321"/>
      <c r="L986" s="321"/>
      <c r="M986" s="321"/>
    </row>
    <row r="987">
      <c r="A987" s="321"/>
      <c r="B987" s="321"/>
      <c r="C987" s="323"/>
      <c r="D987" s="284"/>
      <c r="E987" s="321"/>
      <c r="F987" s="324"/>
      <c r="G987" s="321"/>
      <c r="H987" s="321"/>
      <c r="I987" s="321"/>
      <c r="J987" s="321"/>
      <c r="K987" s="321"/>
      <c r="L987" s="321"/>
      <c r="M987" s="321"/>
    </row>
    <row r="988">
      <c r="A988" s="321"/>
      <c r="B988" s="321"/>
      <c r="C988" s="323"/>
      <c r="D988" s="284"/>
      <c r="E988" s="321"/>
      <c r="F988" s="324"/>
      <c r="G988" s="321"/>
      <c r="H988" s="321"/>
      <c r="I988" s="321"/>
      <c r="J988" s="321"/>
      <c r="K988" s="321"/>
      <c r="L988" s="321"/>
      <c r="M988" s="321"/>
    </row>
    <row r="989">
      <c r="A989" s="321"/>
      <c r="B989" s="321"/>
      <c r="C989" s="323"/>
      <c r="D989" s="284"/>
      <c r="E989" s="321"/>
      <c r="F989" s="324"/>
      <c r="G989" s="321"/>
      <c r="H989" s="321"/>
      <c r="I989" s="321"/>
      <c r="J989" s="321"/>
      <c r="K989" s="321"/>
      <c r="L989" s="321"/>
      <c r="M989" s="321"/>
    </row>
    <row r="990">
      <c r="A990" s="321"/>
      <c r="B990" s="321"/>
      <c r="C990" s="323"/>
      <c r="D990" s="284"/>
      <c r="E990" s="321"/>
      <c r="F990" s="324"/>
      <c r="G990" s="321"/>
      <c r="H990" s="321"/>
      <c r="I990" s="321"/>
      <c r="J990" s="321"/>
      <c r="K990" s="321"/>
      <c r="L990" s="321"/>
      <c r="M990" s="321"/>
    </row>
    <row r="991">
      <c r="A991" s="321"/>
      <c r="B991" s="321"/>
      <c r="C991" s="323"/>
      <c r="D991" s="284"/>
      <c r="E991" s="321"/>
      <c r="F991" s="324"/>
      <c r="G991" s="321"/>
      <c r="H991" s="321"/>
      <c r="I991" s="321"/>
      <c r="J991" s="321"/>
      <c r="K991" s="321"/>
      <c r="L991" s="321"/>
      <c r="M991" s="321"/>
    </row>
    <row r="992">
      <c r="A992" s="321"/>
      <c r="B992" s="321"/>
      <c r="C992" s="323"/>
      <c r="D992" s="284"/>
      <c r="E992" s="321"/>
      <c r="F992" s="324"/>
      <c r="G992" s="321"/>
      <c r="H992" s="321"/>
      <c r="I992" s="321"/>
      <c r="J992" s="321"/>
      <c r="K992" s="321"/>
      <c r="L992" s="321"/>
      <c r="M992" s="321"/>
    </row>
    <row r="993">
      <c r="A993" s="321"/>
      <c r="B993" s="321"/>
      <c r="C993" s="323"/>
      <c r="D993" s="284"/>
      <c r="E993" s="321"/>
      <c r="F993" s="324"/>
      <c r="G993" s="321"/>
      <c r="H993" s="321"/>
      <c r="I993" s="321"/>
      <c r="J993" s="321"/>
      <c r="K993" s="321"/>
      <c r="L993" s="321"/>
      <c r="M993" s="321"/>
    </row>
    <row r="994">
      <c r="A994" s="321"/>
      <c r="B994" s="321"/>
      <c r="C994" s="323"/>
      <c r="D994" s="284"/>
      <c r="E994" s="321"/>
      <c r="F994" s="324"/>
      <c r="G994" s="321"/>
      <c r="H994" s="321"/>
      <c r="I994" s="321"/>
      <c r="J994" s="321"/>
      <c r="K994" s="321"/>
      <c r="L994" s="321"/>
      <c r="M994" s="321"/>
    </row>
    <row r="995">
      <c r="A995" s="321"/>
      <c r="B995" s="321"/>
      <c r="C995" s="323"/>
      <c r="D995" s="284"/>
      <c r="E995" s="321"/>
      <c r="F995" s="324"/>
      <c r="G995" s="321"/>
      <c r="H995" s="321"/>
      <c r="I995" s="321"/>
      <c r="J995" s="321"/>
      <c r="K995" s="321"/>
      <c r="L995" s="321"/>
      <c r="M995" s="321"/>
    </row>
    <row r="996">
      <c r="A996" s="321"/>
      <c r="B996" s="321"/>
      <c r="C996" s="323"/>
      <c r="D996" s="284"/>
      <c r="E996" s="321"/>
      <c r="F996" s="324"/>
      <c r="G996" s="321"/>
      <c r="H996" s="321"/>
      <c r="I996" s="321"/>
      <c r="J996" s="321"/>
      <c r="K996" s="321"/>
      <c r="L996" s="321"/>
      <c r="M996" s="321"/>
    </row>
    <row r="997">
      <c r="A997" s="321"/>
      <c r="B997" s="321"/>
      <c r="C997" s="323"/>
      <c r="D997" s="284"/>
      <c r="E997" s="321"/>
      <c r="F997" s="324"/>
      <c r="G997" s="321"/>
      <c r="H997" s="321"/>
      <c r="I997" s="321"/>
      <c r="J997" s="321"/>
      <c r="K997" s="321"/>
      <c r="L997" s="321"/>
      <c r="M997" s="321"/>
    </row>
    <row r="998">
      <c r="A998" s="321"/>
      <c r="B998" s="321"/>
      <c r="C998" s="323"/>
      <c r="D998" s="284"/>
      <c r="E998" s="321"/>
      <c r="F998" s="324"/>
      <c r="G998" s="321"/>
      <c r="H998" s="321"/>
      <c r="I998" s="321"/>
      <c r="J998" s="321"/>
      <c r="K998" s="321"/>
      <c r="L998" s="321"/>
      <c r="M998" s="321"/>
    </row>
    <row r="999">
      <c r="A999" s="321"/>
      <c r="B999" s="321"/>
      <c r="C999" s="323"/>
      <c r="D999" s="284"/>
      <c r="E999" s="321"/>
      <c r="F999" s="324"/>
      <c r="G999" s="321"/>
      <c r="H999" s="321"/>
      <c r="I999" s="321"/>
      <c r="J999" s="321"/>
      <c r="K999" s="321"/>
      <c r="L999" s="321"/>
      <c r="M999" s="321"/>
    </row>
    <row r="1000">
      <c r="A1000" s="321"/>
      <c r="B1000" s="321"/>
      <c r="C1000" s="323"/>
      <c r="D1000" s="284"/>
      <c r="E1000" s="321"/>
      <c r="F1000" s="324"/>
      <c r="G1000" s="321"/>
      <c r="H1000" s="321"/>
      <c r="I1000" s="321"/>
      <c r="J1000" s="321"/>
      <c r="K1000" s="321"/>
      <c r="L1000" s="321"/>
      <c r="M1000" s="321"/>
    </row>
    <row r="1001">
      <c r="A1001" s="321"/>
      <c r="B1001" s="321"/>
      <c r="C1001" s="323"/>
      <c r="D1001" s="284"/>
      <c r="E1001" s="321"/>
      <c r="F1001" s="324"/>
      <c r="G1001" s="321"/>
      <c r="H1001" s="321"/>
      <c r="I1001" s="321"/>
      <c r="J1001" s="321"/>
      <c r="K1001" s="321"/>
      <c r="L1001" s="321"/>
      <c r="M1001" s="321"/>
    </row>
    <row r="1002">
      <c r="A1002" s="321"/>
      <c r="B1002" s="321"/>
      <c r="C1002" s="323"/>
      <c r="D1002" s="284"/>
      <c r="E1002" s="321"/>
      <c r="F1002" s="324"/>
      <c r="G1002" s="321"/>
      <c r="H1002" s="321"/>
      <c r="I1002" s="321"/>
      <c r="J1002" s="321"/>
      <c r="K1002" s="321"/>
      <c r="L1002" s="321"/>
      <c r="M1002" s="321"/>
    </row>
  </sheetData>
  <mergeCells count="50">
    <mergeCell ref="I52:J52"/>
    <mergeCell ref="G50:I50"/>
    <mergeCell ref="I51:J51"/>
    <mergeCell ref="I43:J43"/>
    <mergeCell ref="H53:J53"/>
    <mergeCell ref="H41:I41"/>
    <mergeCell ref="I42:J42"/>
    <mergeCell ref="H40:J40"/>
    <mergeCell ref="G54:H54"/>
    <mergeCell ref="H44:J44"/>
    <mergeCell ref="R20:R54"/>
    <mergeCell ref="R17:R19"/>
    <mergeCell ref="R56:R59"/>
    <mergeCell ref="R60:R61"/>
    <mergeCell ref="R64:R80"/>
    <mergeCell ref="R4:R10"/>
    <mergeCell ref="R11:R15"/>
    <mergeCell ref="H19:I19"/>
    <mergeCell ref="H21:I21"/>
    <mergeCell ref="H24:I24"/>
    <mergeCell ref="N1:O1"/>
    <mergeCell ref="L1:M1"/>
    <mergeCell ref="I8:J8"/>
    <mergeCell ref="I9:J9"/>
    <mergeCell ref="I12:J12"/>
    <mergeCell ref="I14:J14"/>
    <mergeCell ref="I13:J13"/>
    <mergeCell ref="I7:J7"/>
    <mergeCell ref="H6:J6"/>
    <mergeCell ref="H17:J17"/>
    <mergeCell ref="I48:J48"/>
    <mergeCell ref="I49:J49"/>
    <mergeCell ref="G38:J38"/>
    <mergeCell ref="H35:J35"/>
    <mergeCell ref="H36:I36"/>
    <mergeCell ref="H32:J32"/>
    <mergeCell ref="H33:J33"/>
    <mergeCell ref="H34:J34"/>
    <mergeCell ref="H31:J31"/>
    <mergeCell ref="I27:J27"/>
    <mergeCell ref="I30:J30"/>
    <mergeCell ref="G28:H28"/>
    <mergeCell ref="I37:J37"/>
    <mergeCell ref="I39:J39"/>
    <mergeCell ref="I20:J20"/>
    <mergeCell ref="I18:J18"/>
    <mergeCell ref="I26:J26"/>
    <mergeCell ref="I23:J23"/>
    <mergeCell ref="I25:J25"/>
    <mergeCell ref="I16:J16"/>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C4"/>
    <hyperlink r:id="rId2" ref="M4"/>
    <hyperlink r:id="rId3" ref="C5"/>
    <hyperlink r:id="rId4" ref="M5"/>
    <hyperlink r:id="rId5" ref="C6"/>
    <hyperlink r:id="rId6" ref="M6"/>
    <hyperlink r:id="rId7" ref="C7"/>
    <hyperlink r:id="rId8" ref="M7"/>
    <hyperlink r:id="rId9" ref="C8"/>
    <hyperlink r:id="rId10" ref="M8"/>
    <hyperlink r:id="rId11" ref="C9"/>
    <hyperlink r:id="rId12" ref="M9"/>
    <hyperlink r:id="rId13" ref="M10"/>
    <hyperlink r:id="rId14" ref="M11"/>
    <hyperlink r:id="rId15" ref="C12"/>
    <hyperlink r:id="rId16" ref="M12"/>
    <hyperlink r:id="rId17" ref="C13"/>
    <hyperlink r:id="rId18" ref="M13"/>
    <hyperlink r:id="rId19" ref="M14"/>
    <hyperlink r:id="rId20" ref="C15"/>
    <hyperlink r:id="rId21" ref="M15"/>
    <hyperlink r:id="rId22" ref="C16"/>
    <hyperlink r:id="rId23" ref="M16"/>
    <hyperlink r:id="rId24" ref="C17"/>
    <hyperlink r:id="rId25" ref="M17"/>
    <hyperlink r:id="rId26" ref="C18"/>
    <hyperlink r:id="rId27" ref="M18"/>
    <hyperlink r:id="rId28" ref="C19"/>
    <hyperlink r:id="rId29" ref="M19"/>
    <hyperlink r:id="rId30" ref="C20"/>
    <hyperlink r:id="rId31" ref="M20"/>
    <hyperlink r:id="rId32" ref="C21"/>
    <hyperlink r:id="rId33" ref="M21"/>
    <hyperlink r:id="rId34" ref="C22"/>
    <hyperlink r:id="rId35" ref="M22"/>
    <hyperlink r:id="rId36" ref="C23"/>
    <hyperlink r:id="rId37" ref="M23"/>
    <hyperlink r:id="rId38" ref="C24"/>
    <hyperlink r:id="rId39" ref="M24"/>
    <hyperlink r:id="rId40" ref="C25"/>
    <hyperlink r:id="rId41" ref="M25"/>
    <hyperlink r:id="rId42" ref="M26"/>
    <hyperlink r:id="rId43" ref="C27"/>
    <hyperlink r:id="rId44" ref="M27"/>
    <hyperlink r:id="rId45" ref="C28"/>
    <hyperlink r:id="rId46" ref="M28"/>
    <hyperlink r:id="rId47" ref="C29"/>
    <hyperlink r:id="rId48" ref="M29"/>
    <hyperlink r:id="rId49" ref="C30"/>
    <hyperlink r:id="rId50" ref="M30"/>
    <hyperlink r:id="rId51" ref="C31"/>
    <hyperlink r:id="rId52" ref="M31"/>
    <hyperlink r:id="rId53" ref="C32"/>
    <hyperlink r:id="rId54" ref="M32"/>
    <hyperlink r:id="rId55" ref="C33"/>
    <hyperlink r:id="rId56" ref="M33"/>
    <hyperlink r:id="rId57" ref="C34"/>
    <hyperlink r:id="rId58" location="cite_note-5" ref="E34"/>
    <hyperlink r:id="rId59" ref="M34"/>
    <hyperlink r:id="rId60" ref="C35"/>
    <hyperlink r:id="rId61" ref="M35"/>
    <hyperlink r:id="rId62" ref="C36"/>
    <hyperlink r:id="rId63" ref="M36"/>
    <hyperlink r:id="rId64" ref="C37"/>
    <hyperlink r:id="rId65" ref="M37"/>
    <hyperlink r:id="rId66" ref="C38"/>
    <hyperlink r:id="rId67" ref="M38"/>
    <hyperlink r:id="rId68" ref="M39"/>
    <hyperlink r:id="rId69" ref="C40"/>
    <hyperlink r:id="rId70" ref="M40"/>
    <hyperlink r:id="rId71" ref="C41"/>
    <hyperlink r:id="rId72" ref="M41"/>
    <hyperlink r:id="rId73" ref="C42"/>
    <hyperlink r:id="rId74" ref="M42"/>
    <hyperlink r:id="rId75" ref="C43"/>
    <hyperlink r:id="rId76" ref="M43"/>
    <hyperlink r:id="rId77" ref="M44"/>
    <hyperlink r:id="rId78" ref="C45"/>
    <hyperlink r:id="rId79" ref="M45"/>
    <hyperlink r:id="rId80" ref="M46"/>
    <hyperlink r:id="rId81" ref="C47"/>
    <hyperlink r:id="rId82" ref="M47"/>
    <hyperlink r:id="rId83" ref="C48"/>
    <hyperlink r:id="rId84" ref="M48"/>
    <hyperlink r:id="rId85" ref="M49"/>
    <hyperlink r:id="rId86" ref="M50"/>
    <hyperlink r:id="rId87" ref="M51"/>
    <hyperlink r:id="rId88" ref="M52"/>
    <hyperlink r:id="rId89" ref="M53"/>
    <hyperlink r:id="rId90" ref="C54"/>
    <hyperlink r:id="rId91" ref="M54"/>
    <hyperlink r:id="rId92" ref="C56"/>
    <hyperlink r:id="rId93" ref="M56"/>
    <hyperlink r:id="rId94" ref="C57"/>
    <hyperlink r:id="rId95" ref="M57"/>
    <hyperlink r:id="rId96" ref="M58"/>
    <hyperlink r:id="rId97" ref="C59"/>
    <hyperlink r:id="rId98" ref="M59"/>
    <hyperlink r:id="rId99" location="cite_note-5" ref="C60"/>
    <hyperlink r:id="rId100" ref="M60"/>
    <hyperlink r:id="rId101" ref="C61"/>
    <hyperlink r:id="rId102" ref="I61"/>
    <hyperlink r:id="rId103" ref="M61"/>
    <hyperlink r:id="rId104" ref="M62"/>
    <hyperlink r:id="rId105" ref="C63"/>
    <hyperlink r:id="rId106" ref="M63"/>
    <hyperlink r:id="rId107" ref="C64"/>
    <hyperlink r:id="rId108" ref="H64"/>
    <hyperlink r:id="rId109" ref="M64"/>
    <hyperlink r:id="rId110" ref="C65"/>
    <hyperlink r:id="rId111" ref="M65"/>
    <hyperlink r:id="rId112" ref="C66"/>
    <hyperlink r:id="rId113" ref="M66"/>
    <hyperlink r:id="rId114" ref="M67"/>
    <hyperlink r:id="rId115" ref="M68"/>
    <hyperlink r:id="rId116" ref="M69"/>
    <hyperlink r:id="rId117" ref="C70"/>
    <hyperlink r:id="rId118" ref="M70"/>
    <hyperlink r:id="rId119" ref="C71"/>
    <hyperlink r:id="rId120" ref="M71"/>
    <hyperlink r:id="rId121" ref="C72"/>
    <hyperlink r:id="rId122" ref="M72"/>
    <hyperlink r:id="rId123" ref="C73"/>
    <hyperlink r:id="rId124" ref="M73"/>
    <hyperlink r:id="rId125" ref="M74"/>
    <hyperlink r:id="rId126" ref="C75"/>
    <hyperlink r:id="rId127" ref="M75"/>
    <hyperlink r:id="rId128" ref="C76"/>
    <hyperlink r:id="rId129" ref="M76"/>
    <hyperlink r:id="rId130" ref="C77"/>
    <hyperlink r:id="rId131" ref="M77"/>
    <hyperlink r:id="rId132" ref="C78"/>
    <hyperlink r:id="rId133" ref="M78"/>
    <hyperlink r:id="rId134" ref="C79"/>
    <hyperlink r:id="rId135" ref="M79"/>
    <hyperlink r:id="rId136" ref="C80"/>
    <hyperlink r:id="rId137" ref="M80"/>
  </hyperlinks>
  <drawing r:id="rId138"/>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3" max="4" width="16.0"/>
    <col customWidth="1" min="7" max="7" width="18.43"/>
    <col customWidth="1" min="8" max="8" width="20.29"/>
    <col customWidth="1" min="9" max="9" width="18.71"/>
  </cols>
  <sheetData>
    <row r="1" ht="15.0" customHeight="1" outlineLevel="1">
      <c r="A1" s="1" t="s">
        <v>0</v>
      </c>
      <c r="B1" s="2" t="s">
        <v>1</v>
      </c>
      <c r="C1" s="2" t="s">
        <v>2</v>
      </c>
      <c r="D1" s="2" t="s">
        <v>2</v>
      </c>
      <c r="E1" s="3"/>
      <c r="F1" s="30" t="s">
        <v>1577</v>
      </c>
      <c r="G1" s="30" t="s">
        <v>4</v>
      </c>
      <c r="H1" s="30" t="s">
        <v>5</v>
      </c>
      <c r="I1" s="30" t="s">
        <v>6</v>
      </c>
      <c r="J1" s="30" t="s">
        <v>7</v>
      </c>
      <c r="K1" s="1" t="s">
        <v>8</v>
      </c>
      <c r="L1" s="7" t="s">
        <v>9</v>
      </c>
      <c r="N1" s="10" t="s">
        <v>14</v>
      </c>
      <c r="P1" s="167"/>
      <c r="Q1" s="167"/>
      <c r="R1" s="30"/>
      <c r="S1" s="20"/>
      <c r="T1" s="20"/>
      <c r="U1" s="20"/>
      <c r="V1" s="20"/>
      <c r="W1" s="20"/>
      <c r="X1" s="20"/>
      <c r="Y1" s="20"/>
      <c r="Z1" s="20"/>
      <c r="AA1" s="20"/>
      <c r="AB1" s="20"/>
      <c r="AC1" s="20"/>
      <c r="AD1" s="20"/>
    </row>
    <row r="2" ht="16.5" customHeight="1" outlineLevel="1">
      <c r="A2" s="23"/>
      <c r="B2" s="23"/>
      <c r="C2" s="325"/>
      <c r="D2" s="325"/>
      <c r="E2" s="3"/>
      <c r="F2" s="168">
        <v>43472.0</v>
      </c>
      <c r="G2" s="326">
        <v>43483.0</v>
      </c>
      <c r="H2" s="21">
        <f>G2-TODAY()</f>
        <v>-252</v>
      </c>
      <c r="I2" s="168">
        <v>43472.0</v>
      </c>
      <c r="J2" s="327">
        <v>43184.0</v>
      </c>
      <c r="K2" s="23">
        <v>43497.0</v>
      </c>
      <c r="L2" s="26">
        <f>CountIFS($E:$E,"=Dem",$A:$A,"=House")</f>
        <v>14</v>
      </c>
      <c r="M2" s="328">
        <f>CountIFS($E:$E,"=Rep",$A:$A,"=House")</f>
        <v>56</v>
      </c>
      <c r="N2" s="26">
        <f>CountIFS($E:$E,"=Dem",$A:$A,"=Senate")</f>
        <v>6</v>
      </c>
      <c r="O2" s="28">
        <f>CountIFS($E:$E,"=Rep",$A:$A,"=Senate")</f>
        <v>29</v>
      </c>
      <c r="P2" s="167"/>
      <c r="Q2" s="167"/>
      <c r="R2" s="30"/>
      <c r="S2" s="20"/>
      <c r="T2" s="20"/>
      <c r="U2" s="20"/>
      <c r="V2" s="20"/>
      <c r="W2" s="20"/>
      <c r="X2" s="20"/>
      <c r="Y2" s="20"/>
      <c r="Z2" s="20"/>
      <c r="AA2" s="20"/>
      <c r="AB2" s="20"/>
      <c r="AC2" s="20"/>
      <c r="AD2" s="20"/>
    </row>
    <row r="3">
      <c r="A3" s="30" t="s">
        <v>29</v>
      </c>
      <c r="B3" s="30" t="s">
        <v>30</v>
      </c>
      <c r="C3" s="2" t="s">
        <v>31</v>
      </c>
      <c r="D3" s="2" t="s">
        <v>32</v>
      </c>
      <c r="E3" s="3" t="s">
        <v>33</v>
      </c>
      <c r="F3" s="1" t="s">
        <v>10</v>
      </c>
      <c r="G3" s="1" t="s">
        <v>34</v>
      </c>
      <c r="H3" s="1" t="s">
        <v>34</v>
      </c>
      <c r="I3" s="1" t="s">
        <v>34</v>
      </c>
      <c r="J3" s="1" t="s">
        <v>34</v>
      </c>
      <c r="K3" s="1" t="s">
        <v>35</v>
      </c>
      <c r="L3" s="19" t="s">
        <v>36</v>
      </c>
      <c r="M3" s="329" t="s">
        <v>37</v>
      </c>
      <c r="N3" s="19" t="s">
        <v>38</v>
      </c>
      <c r="O3" s="17" t="s">
        <v>39</v>
      </c>
      <c r="P3" s="11" t="s">
        <v>40</v>
      </c>
      <c r="Q3" s="11" t="s">
        <v>41</v>
      </c>
      <c r="R3" s="17" t="s">
        <v>42</v>
      </c>
      <c r="S3" s="20"/>
      <c r="T3" s="20"/>
      <c r="U3" s="20"/>
      <c r="V3" s="20"/>
      <c r="W3" s="20"/>
      <c r="X3" s="20"/>
      <c r="Y3" s="20"/>
      <c r="Z3" s="20"/>
      <c r="AA3" s="20"/>
      <c r="AB3" s="20"/>
      <c r="AC3" s="20"/>
      <c r="AD3" s="20"/>
    </row>
    <row r="4">
      <c r="A4" s="14" t="s">
        <v>44</v>
      </c>
      <c r="B4" s="330">
        <v>1.0</v>
      </c>
      <c r="C4" s="35" t="s">
        <v>1255</v>
      </c>
      <c r="D4" s="35" t="s">
        <v>45</v>
      </c>
      <c r="E4" s="51" t="s">
        <v>53</v>
      </c>
      <c r="F4" s="15"/>
      <c r="G4" s="52" t="s">
        <v>3671</v>
      </c>
      <c r="H4" s="52" t="s">
        <v>3672</v>
      </c>
      <c r="I4" s="52" t="s">
        <v>2802</v>
      </c>
      <c r="J4" s="331"/>
      <c r="L4" s="14" t="s">
        <v>3674</v>
      </c>
      <c r="M4" s="332" t="s">
        <v>3675</v>
      </c>
      <c r="R4" s="45" t="s">
        <v>3676</v>
      </c>
    </row>
    <row r="5">
      <c r="A5" s="14" t="s">
        <v>44</v>
      </c>
      <c r="C5" s="35" t="s">
        <v>3677</v>
      </c>
      <c r="D5" s="35" t="s">
        <v>3679</v>
      </c>
      <c r="E5" s="51" t="s">
        <v>53</v>
      </c>
      <c r="F5" s="15"/>
      <c r="G5" s="52" t="s">
        <v>3680</v>
      </c>
      <c r="H5" s="52" t="s">
        <v>3681</v>
      </c>
      <c r="I5" s="52" t="s">
        <v>3682</v>
      </c>
      <c r="J5" s="331"/>
      <c r="L5" s="14" t="s">
        <v>3683</v>
      </c>
      <c r="M5" s="332" t="s">
        <v>3684</v>
      </c>
      <c r="R5" s="45" t="s">
        <v>3685</v>
      </c>
    </row>
    <row r="6">
      <c r="A6" s="14" t="s">
        <v>44</v>
      </c>
      <c r="B6" s="330">
        <v>2.0</v>
      </c>
      <c r="C6" s="35" t="s">
        <v>3686</v>
      </c>
      <c r="D6" s="35" t="s">
        <v>3687</v>
      </c>
      <c r="E6" s="51" t="s">
        <v>53</v>
      </c>
      <c r="F6" s="15"/>
      <c r="G6" s="52" t="s">
        <v>3688</v>
      </c>
      <c r="H6" s="52" t="s">
        <v>2802</v>
      </c>
      <c r="I6" s="52" t="s">
        <v>3689</v>
      </c>
      <c r="J6" s="331"/>
      <c r="L6" s="14" t="s">
        <v>3690</v>
      </c>
      <c r="M6" s="332" t="s">
        <v>3691</v>
      </c>
      <c r="R6" s="45" t="s">
        <v>3692</v>
      </c>
    </row>
    <row r="7">
      <c r="A7" s="14" t="s">
        <v>44</v>
      </c>
      <c r="C7" s="35" t="s">
        <v>278</v>
      </c>
      <c r="D7" s="35" t="s">
        <v>2574</v>
      </c>
      <c r="E7" s="51" t="s">
        <v>53</v>
      </c>
      <c r="F7" s="15"/>
      <c r="G7" s="52" t="s">
        <v>3693</v>
      </c>
      <c r="H7" s="52" t="s">
        <v>3694</v>
      </c>
      <c r="I7" s="52" t="s">
        <v>3689</v>
      </c>
      <c r="J7" s="331"/>
      <c r="L7" s="14" t="s">
        <v>3695</v>
      </c>
      <c r="M7" s="332" t="s">
        <v>3696</v>
      </c>
      <c r="R7" s="45" t="s">
        <v>3697</v>
      </c>
    </row>
    <row r="8">
      <c r="A8" s="14" t="s">
        <v>44</v>
      </c>
      <c r="B8" s="330">
        <v>3.0</v>
      </c>
      <c r="C8" s="35" t="s">
        <v>1813</v>
      </c>
      <c r="D8" s="35" t="s">
        <v>3699</v>
      </c>
      <c r="E8" s="51" t="s">
        <v>53</v>
      </c>
      <c r="F8" s="15"/>
      <c r="G8" s="52" t="s">
        <v>515</v>
      </c>
      <c r="H8" s="52" t="s">
        <v>3700</v>
      </c>
      <c r="I8" s="52" t="s">
        <v>3701</v>
      </c>
      <c r="J8" s="331"/>
      <c r="L8" s="14" t="s">
        <v>3702</v>
      </c>
      <c r="M8" s="332" t="s">
        <v>3703</v>
      </c>
      <c r="R8" s="45" t="s">
        <v>3704</v>
      </c>
    </row>
    <row r="9">
      <c r="A9" s="14" t="s">
        <v>44</v>
      </c>
      <c r="C9" s="35" t="s">
        <v>980</v>
      </c>
      <c r="D9" s="35" t="s">
        <v>3705</v>
      </c>
      <c r="E9" s="51" t="s">
        <v>53</v>
      </c>
      <c r="F9" s="15"/>
      <c r="G9" s="52" t="s">
        <v>515</v>
      </c>
      <c r="H9" s="52" t="s">
        <v>3706</v>
      </c>
      <c r="I9" s="52" t="s">
        <v>3689</v>
      </c>
      <c r="J9" s="331"/>
      <c r="L9" s="14" t="s">
        <v>3707</v>
      </c>
      <c r="M9" s="332" t="s">
        <v>3709</v>
      </c>
      <c r="R9" s="45" t="s">
        <v>3710</v>
      </c>
    </row>
    <row r="10">
      <c r="A10" s="14" t="s">
        <v>44</v>
      </c>
      <c r="B10" s="330">
        <v>4.0</v>
      </c>
      <c r="C10" s="35" t="s">
        <v>476</v>
      </c>
      <c r="D10" s="35" t="s">
        <v>3711</v>
      </c>
      <c r="E10" s="51" t="s">
        <v>53</v>
      </c>
      <c r="F10" s="15"/>
      <c r="G10" s="52" t="s">
        <v>3712</v>
      </c>
      <c r="H10" s="52" t="s">
        <v>578</v>
      </c>
      <c r="I10" s="52" t="s">
        <v>3713</v>
      </c>
      <c r="J10" s="331"/>
      <c r="L10" s="14" t="s">
        <v>3714</v>
      </c>
      <c r="M10" s="332" t="s">
        <v>3715</v>
      </c>
      <c r="R10" s="31" t="s">
        <v>3704</v>
      </c>
    </row>
    <row r="11">
      <c r="A11" s="14" t="s">
        <v>44</v>
      </c>
      <c r="C11" s="35" t="s">
        <v>679</v>
      </c>
      <c r="D11" s="35" t="s">
        <v>3716</v>
      </c>
      <c r="E11" s="51" t="s">
        <v>53</v>
      </c>
      <c r="F11" s="15"/>
      <c r="G11" s="52" t="s">
        <v>3717</v>
      </c>
      <c r="H11" s="52" t="s">
        <v>626</v>
      </c>
      <c r="I11" s="52" t="s">
        <v>3718</v>
      </c>
      <c r="J11" s="331"/>
      <c r="L11" s="14" t="s">
        <v>3719</v>
      </c>
      <c r="M11" s="332" t="s">
        <v>3720</v>
      </c>
      <c r="R11" s="31" t="s">
        <v>3704</v>
      </c>
    </row>
    <row r="12">
      <c r="A12" s="14" t="s">
        <v>44</v>
      </c>
      <c r="B12" s="330">
        <v>5.0</v>
      </c>
      <c r="C12" s="35" t="s">
        <v>325</v>
      </c>
      <c r="D12" s="35" t="s">
        <v>3721</v>
      </c>
      <c r="E12" s="51" t="s">
        <v>53</v>
      </c>
      <c r="F12" s="15"/>
      <c r="G12" s="52" t="s">
        <v>3717</v>
      </c>
      <c r="H12" s="52" t="s">
        <v>515</v>
      </c>
      <c r="I12" s="52" t="s">
        <v>3722</v>
      </c>
      <c r="J12" s="331"/>
      <c r="L12" s="14" t="s">
        <v>3723</v>
      </c>
      <c r="M12" s="332" t="s">
        <v>3724</v>
      </c>
      <c r="R12" s="45" t="s">
        <v>3725</v>
      </c>
    </row>
    <row r="13">
      <c r="A13" s="14" t="s">
        <v>44</v>
      </c>
      <c r="C13" s="35" t="s">
        <v>2799</v>
      </c>
      <c r="D13" s="35" t="s">
        <v>3163</v>
      </c>
      <c r="E13" s="51" t="s">
        <v>53</v>
      </c>
      <c r="F13" s="15"/>
      <c r="G13" s="52" t="s">
        <v>3717</v>
      </c>
      <c r="H13" s="52" t="s">
        <v>626</v>
      </c>
      <c r="I13" s="52" t="s">
        <v>3726</v>
      </c>
      <c r="J13" s="331"/>
      <c r="L13" s="14" t="s">
        <v>3727</v>
      </c>
      <c r="M13" s="332" t="s">
        <v>3728</v>
      </c>
      <c r="R13" s="45" t="s">
        <v>3729</v>
      </c>
    </row>
    <row r="14">
      <c r="A14" s="14" t="s">
        <v>44</v>
      </c>
      <c r="B14" s="330">
        <v>6.0</v>
      </c>
      <c r="C14" s="35" t="s">
        <v>3730</v>
      </c>
      <c r="D14" s="35" t="s">
        <v>2870</v>
      </c>
      <c r="E14" s="51" t="s">
        <v>53</v>
      </c>
      <c r="F14" s="15"/>
      <c r="G14" s="52" t="s">
        <v>3688</v>
      </c>
      <c r="H14" s="52" t="s">
        <v>3732</v>
      </c>
      <c r="I14" s="52" t="s">
        <v>3722</v>
      </c>
      <c r="J14" s="331"/>
      <c r="L14" s="14" t="s">
        <v>3733</v>
      </c>
      <c r="M14" s="332" t="s">
        <v>3734</v>
      </c>
      <c r="R14" s="45" t="s">
        <v>3735</v>
      </c>
    </row>
    <row r="15">
      <c r="A15" s="14" t="s">
        <v>44</v>
      </c>
      <c r="C15" s="35" t="s">
        <v>157</v>
      </c>
      <c r="D15" s="35" t="s">
        <v>3737</v>
      </c>
      <c r="E15" s="51" t="s">
        <v>53</v>
      </c>
      <c r="F15" s="15"/>
      <c r="G15" s="52" t="s">
        <v>3694</v>
      </c>
      <c r="H15" s="52" t="s">
        <v>3706</v>
      </c>
      <c r="I15" s="52" t="s">
        <v>3738</v>
      </c>
      <c r="J15" s="331"/>
      <c r="L15" s="14" t="s">
        <v>3739</v>
      </c>
      <c r="M15" s="332" t="s">
        <v>3740</v>
      </c>
      <c r="R15" s="31" t="s">
        <v>3735</v>
      </c>
    </row>
    <row r="16">
      <c r="A16" s="14" t="s">
        <v>44</v>
      </c>
      <c r="B16" s="330">
        <v>7.0</v>
      </c>
      <c r="C16" s="35" t="s">
        <v>970</v>
      </c>
      <c r="D16" s="35" t="s">
        <v>3741</v>
      </c>
      <c r="E16" s="51" t="s">
        <v>53</v>
      </c>
      <c r="F16" s="15"/>
      <c r="G16" s="52" t="s">
        <v>3681</v>
      </c>
      <c r="H16" s="52" t="s">
        <v>3706</v>
      </c>
      <c r="I16" s="52" t="s">
        <v>3722</v>
      </c>
      <c r="J16" s="331"/>
      <c r="L16" s="14" t="s">
        <v>3742</v>
      </c>
      <c r="M16" s="332" t="s">
        <v>3743</v>
      </c>
      <c r="R16" s="45" t="s">
        <v>3744</v>
      </c>
    </row>
    <row r="17">
      <c r="A17" s="14" t="s">
        <v>44</v>
      </c>
      <c r="C17" s="35" t="s">
        <v>679</v>
      </c>
      <c r="D17" s="35" t="s">
        <v>901</v>
      </c>
      <c r="E17" s="51" t="s">
        <v>53</v>
      </c>
      <c r="F17" s="15"/>
      <c r="G17" s="52" t="s">
        <v>515</v>
      </c>
      <c r="H17" s="52" t="s">
        <v>3166</v>
      </c>
      <c r="I17" s="52" t="s">
        <v>3700</v>
      </c>
      <c r="J17" s="331"/>
      <c r="L17" s="14" t="s">
        <v>3746</v>
      </c>
      <c r="M17" s="332" t="s">
        <v>3747</v>
      </c>
      <c r="R17" s="45" t="s">
        <v>3748</v>
      </c>
    </row>
    <row r="18">
      <c r="A18" s="14" t="s">
        <v>44</v>
      </c>
      <c r="B18" s="330">
        <v>8.0</v>
      </c>
      <c r="C18" s="35" t="s">
        <v>1990</v>
      </c>
      <c r="D18" s="35" t="s">
        <v>3749</v>
      </c>
      <c r="E18" s="51" t="s">
        <v>53</v>
      </c>
      <c r="F18" s="15"/>
      <c r="G18" s="52" t="s">
        <v>578</v>
      </c>
      <c r="H18" s="52" t="s">
        <v>3750</v>
      </c>
      <c r="I18" s="52" t="s">
        <v>3713</v>
      </c>
      <c r="J18" s="331"/>
      <c r="L18" s="14" t="s">
        <v>3751</v>
      </c>
      <c r="M18" s="332" t="s">
        <v>3752</v>
      </c>
      <c r="R18" s="45" t="s">
        <v>3753</v>
      </c>
    </row>
    <row r="19">
      <c r="A19" s="14" t="s">
        <v>44</v>
      </c>
      <c r="C19" s="35" t="s">
        <v>3755</v>
      </c>
      <c r="D19" s="35" t="s">
        <v>3756</v>
      </c>
      <c r="E19" s="51" t="s">
        <v>53</v>
      </c>
      <c r="F19" s="15"/>
      <c r="G19" s="52" t="s">
        <v>515</v>
      </c>
      <c r="H19" s="52" t="s">
        <v>3706</v>
      </c>
      <c r="I19" s="52" t="s">
        <v>3718</v>
      </c>
      <c r="J19" s="52" t="s">
        <v>3757</v>
      </c>
      <c r="L19" s="14" t="s">
        <v>3758</v>
      </c>
      <c r="M19" s="332" t="s">
        <v>3759</v>
      </c>
      <c r="R19" s="45" t="s">
        <v>3550</v>
      </c>
    </row>
    <row r="20">
      <c r="A20" s="14" t="s">
        <v>44</v>
      </c>
      <c r="B20" s="330">
        <v>9.0</v>
      </c>
      <c r="C20" s="35" t="s">
        <v>2780</v>
      </c>
      <c r="D20" s="35" t="s">
        <v>3761</v>
      </c>
      <c r="E20" s="51" t="s">
        <v>53</v>
      </c>
      <c r="F20" s="15"/>
      <c r="G20" s="52" t="s">
        <v>3762</v>
      </c>
      <c r="H20" s="52" t="s">
        <v>888</v>
      </c>
      <c r="I20" s="52" t="s">
        <v>3722</v>
      </c>
      <c r="J20" s="331"/>
      <c r="L20" s="14" t="s">
        <v>3763</v>
      </c>
      <c r="M20" s="332" t="s">
        <v>3764</v>
      </c>
      <c r="R20" s="45" t="s">
        <v>3765</v>
      </c>
    </row>
    <row r="21">
      <c r="A21" s="14" t="s">
        <v>44</v>
      </c>
      <c r="C21" s="35" t="s">
        <v>2320</v>
      </c>
      <c r="D21" s="35" t="s">
        <v>3766</v>
      </c>
      <c r="E21" s="51" t="s">
        <v>53</v>
      </c>
      <c r="F21" s="15"/>
      <c r="G21" s="52" t="s">
        <v>515</v>
      </c>
      <c r="H21" s="52" t="s">
        <v>3700</v>
      </c>
      <c r="I21" s="52" t="s">
        <v>3767</v>
      </c>
      <c r="J21" s="331"/>
      <c r="L21" s="14" t="s">
        <v>3768</v>
      </c>
      <c r="M21" s="332" t="s">
        <v>3769</v>
      </c>
      <c r="R21" s="45" t="s">
        <v>3770</v>
      </c>
    </row>
    <row r="22">
      <c r="A22" s="14" t="s">
        <v>44</v>
      </c>
      <c r="B22" s="330">
        <v>10.0</v>
      </c>
      <c r="C22" s="35" t="s">
        <v>3771</v>
      </c>
      <c r="D22" s="35" t="s">
        <v>3773</v>
      </c>
      <c r="E22" s="51" t="s">
        <v>53</v>
      </c>
      <c r="F22" s="15"/>
      <c r="G22" s="52" t="s">
        <v>3774</v>
      </c>
      <c r="H22" s="52" t="s">
        <v>3775</v>
      </c>
      <c r="I22" s="331"/>
      <c r="J22" s="331"/>
      <c r="L22" s="14" t="s">
        <v>3776</v>
      </c>
      <c r="M22" s="332" t="s">
        <v>3777</v>
      </c>
      <c r="R22" s="31" t="s">
        <v>2230</v>
      </c>
    </row>
    <row r="23">
      <c r="A23" s="14" t="s">
        <v>44</v>
      </c>
      <c r="C23" s="35" t="s">
        <v>997</v>
      </c>
      <c r="D23" s="35" t="s">
        <v>3779</v>
      </c>
      <c r="E23" s="51" t="s">
        <v>53</v>
      </c>
      <c r="F23" s="15"/>
      <c r="G23" s="52" t="s">
        <v>3780</v>
      </c>
      <c r="H23" s="331"/>
      <c r="I23" s="52" t="s">
        <v>3713</v>
      </c>
      <c r="J23" s="331"/>
      <c r="L23" s="14" t="s">
        <v>3781</v>
      </c>
      <c r="M23" s="332" t="s">
        <v>3782</v>
      </c>
      <c r="R23" s="31" t="s">
        <v>2230</v>
      </c>
    </row>
    <row r="24">
      <c r="A24" s="14" t="s">
        <v>44</v>
      </c>
      <c r="B24" s="330">
        <v>11.0</v>
      </c>
      <c r="C24" s="35" t="s">
        <v>45</v>
      </c>
      <c r="D24" s="35" t="s">
        <v>3784</v>
      </c>
      <c r="E24" s="51" t="s">
        <v>53</v>
      </c>
      <c r="F24" s="15"/>
      <c r="G24" s="52" t="s">
        <v>3693</v>
      </c>
      <c r="H24" s="52" t="s">
        <v>626</v>
      </c>
      <c r="I24" s="52" t="s">
        <v>3623</v>
      </c>
      <c r="J24" s="331"/>
      <c r="L24" s="14" t="s">
        <v>3786</v>
      </c>
      <c r="M24" s="332" t="s">
        <v>3787</v>
      </c>
      <c r="R24" s="45" t="s">
        <v>3788</v>
      </c>
    </row>
    <row r="25">
      <c r="A25" s="14" t="s">
        <v>44</v>
      </c>
      <c r="C25" s="35" t="s">
        <v>2373</v>
      </c>
      <c r="D25" s="35" t="s">
        <v>3790</v>
      </c>
      <c r="E25" s="51" t="s">
        <v>53</v>
      </c>
      <c r="F25" s="15"/>
      <c r="G25" s="52" t="s">
        <v>3688</v>
      </c>
      <c r="H25" s="52" t="s">
        <v>3722</v>
      </c>
      <c r="I25" s="52" t="s">
        <v>3713</v>
      </c>
      <c r="J25" s="331"/>
      <c r="L25" s="14" t="s">
        <v>3791</v>
      </c>
      <c r="M25" s="332" t="s">
        <v>3792</v>
      </c>
      <c r="R25" s="45" t="s">
        <v>3793</v>
      </c>
    </row>
    <row r="26">
      <c r="A26" s="14" t="s">
        <v>44</v>
      </c>
      <c r="B26" s="330">
        <v>12.0</v>
      </c>
      <c r="C26" s="35" t="s">
        <v>1134</v>
      </c>
      <c r="D26" s="35" t="s">
        <v>3795</v>
      </c>
      <c r="E26" s="51" t="s">
        <v>53</v>
      </c>
      <c r="F26" s="15"/>
      <c r="G26" s="52" t="s">
        <v>3797</v>
      </c>
      <c r="H26" s="52" t="s">
        <v>3798</v>
      </c>
      <c r="I26" s="52" t="s">
        <v>3713</v>
      </c>
      <c r="J26" s="331"/>
      <c r="L26" s="14" t="s">
        <v>3799</v>
      </c>
      <c r="M26" s="332" t="s">
        <v>3800</v>
      </c>
      <c r="R26" s="31" t="s">
        <v>3793</v>
      </c>
    </row>
    <row r="27">
      <c r="A27" s="14" t="s">
        <v>44</v>
      </c>
      <c r="C27" s="35" t="s">
        <v>1291</v>
      </c>
      <c r="D27" s="35" t="s">
        <v>3801</v>
      </c>
      <c r="E27" s="51" t="s">
        <v>53</v>
      </c>
      <c r="F27" s="15"/>
      <c r="G27" s="52" t="s">
        <v>3802</v>
      </c>
      <c r="H27" s="52" t="s">
        <v>578</v>
      </c>
      <c r="I27" s="331"/>
      <c r="J27" s="331"/>
      <c r="L27" s="14" t="s">
        <v>3803</v>
      </c>
      <c r="M27" s="332" t="s">
        <v>3804</v>
      </c>
      <c r="R27" s="31" t="s">
        <v>3793</v>
      </c>
    </row>
    <row r="28">
      <c r="A28" s="14" t="s">
        <v>44</v>
      </c>
      <c r="B28" s="330">
        <v>13.0</v>
      </c>
      <c r="C28" s="35" t="s">
        <v>3805</v>
      </c>
      <c r="D28" s="35" t="s">
        <v>3806</v>
      </c>
      <c r="E28" s="51" t="s">
        <v>53</v>
      </c>
      <c r="G28" s="52" t="s">
        <v>3688</v>
      </c>
      <c r="H28" s="52" t="s">
        <v>2802</v>
      </c>
      <c r="I28" s="331"/>
      <c r="J28" s="331"/>
      <c r="L28" s="14" t="s">
        <v>3807</v>
      </c>
      <c r="M28" s="332" t="s">
        <v>3808</v>
      </c>
      <c r="R28" s="31" t="s">
        <v>3793</v>
      </c>
    </row>
    <row r="29">
      <c r="A29" s="14" t="s">
        <v>44</v>
      </c>
      <c r="C29" s="35" t="s">
        <v>199</v>
      </c>
      <c r="D29" s="35" t="s">
        <v>137</v>
      </c>
      <c r="E29" s="51" t="s">
        <v>53</v>
      </c>
      <c r="F29" s="15"/>
      <c r="G29" s="52" t="s">
        <v>3688</v>
      </c>
      <c r="H29" s="52" t="s">
        <v>3809</v>
      </c>
      <c r="I29" s="52" t="s">
        <v>3713</v>
      </c>
      <c r="J29" s="331"/>
      <c r="L29" s="14" t="s">
        <v>3810</v>
      </c>
      <c r="M29" s="332" t="s">
        <v>3811</v>
      </c>
      <c r="R29" s="31" t="s">
        <v>3793</v>
      </c>
    </row>
    <row r="30">
      <c r="A30" s="14" t="s">
        <v>44</v>
      </c>
      <c r="B30" s="330">
        <v>14.0</v>
      </c>
      <c r="C30" s="35" t="s">
        <v>157</v>
      </c>
      <c r="D30" s="35" t="s">
        <v>3812</v>
      </c>
      <c r="E30" s="51" t="s">
        <v>53</v>
      </c>
      <c r="F30" s="12" t="s">
        <v>176</v>
      </c>
      <c r="G30" s="52" t="s">
        <v>3813</v>
      </c>
      <c r="H30" s="52" t="s">
        <v>3700</v>
      </c>
      <c r="I30" s="52" t="s">
        <v>3713</v>
      </c>
      <c r="J30" s="331"/>
      <c r="L30" s="14" t="s">
        <v>3814</v>
      </c>
      <c r="M30" s="332" t="s">
        <v>3815</v>
      </c>
      <c r="R30" s="45" t="s">
        <v>3816</v>
      </c>
    </row>
    <row r="31">
      <c r="A31" s="14" t="s">
        <v>44</v>
      </c>
      <c r="C31" s="35" t="s">
        <v>3817</v>
      </c>
      <c r="D31" s="35" t="s">
        <v>3818</v>
      </c>
      <c r="E31" s="51" t="s">
        <v>53</v>
      </c>
      <c r="F31" s="15"/>
      <c r="G31" s="52" t="s">
        <v>3819</v>
      </c>
      <c r="H31" s="52" t="s">
        <v>3820</v>
      </c>
      <c r="I31" s="52" t="s">
        <v>578</v>
      </c>
      <c r="J31" s="331"/>
      <c r="L31" s="14" t="s">
        <v>3821</v>
      </c>
      <c r="M31" s="332" t="s">
        <v>3822</v>
      </c>
      <c r="R31" s="45" t="s">
        <v>1822</v>
      </c>
    </row>
    <row r="32">
      <c r="A32" s="14" t="s">
        <v>44</v>
      </c>
      <c r="B32" s="330">
        <v>15.0</v>
      </c>
      <c r="C32" s="35" t="s">
        <v>55</v>
      </c>
      <c r="D32" s="35" t="s">
        <v>3824</v>
      </c>
      <c r="E32" s="36" t="s">
        <v>49</v>
      </c>
      <c r="F32" s="15"/>
      <c r="G32" s="52" t="s">
        <v>3688</v>
      </c>
      <c r="H32" s="52" t="s">
        <v>3820</v>
      </c>
      <c r="I32" s="52" t="s">
        <v>3689</v>
      </c>
      <c r="J32" s="331"/>
      <c r="L32" s="14" t="s">
        <v>3825</v>
      </c>
      <c r="M32" s="332" t="s">
        <v>3826</v>
      </c>
      <c r="R32" s="45" t="s">
        <v>3827</v>
      </c>
    </row>
    <row r="33">
      <c r="A33" s="14" t="s">
        <v>44</v>
      </c>
      <c r="C33" s="35" t="s">
        <v>3828</v>
      </c>
      <c r="D33" s="35" t="s">
        <v>451</v>
      </c>
      <c r="E33" s="36" t="s">
        <v>49</v>
      </c>
      <c r="F33" s="15"/>
      <c r="G33" s="52" t="s">
        <v>3693</v>
      </c>
      <c r="H33" s="52" t="s">
        <v>3798</v>
      </c>
      <c r="I33" s="52" t="s">
        <v>3713</v>
      </c>
      <c r="J33" s="331"/>
      <c r="L33" s="14" t="s">
        <v>3829</v>
      </c>
      <c r="M33" s="332" t="s">
        <v>3830</v>
      </c>
      <c r="R33" s="31" t="s">
        <v>3827</v>
      </c>
    </row>
    <row r="34">
      <c r="A34" s="14" t="s">
        <v>44</v>
      </c>
      <c r="B34" s="330">
        <v>16.0</v>
      </c>
      <c r="C34" s="35" t="s">
        <v>278</v>
      </c>
      <c r="D34" s="35" t="s">
        <v>3831</v>
      </c>
      <c r="E34" s="36" t="s">
        <v>49</v>
      </c>
      <c r="F34" s="15"/>
      <c r="G34" s="52" t="s">
        <v>3762</v>
      </c>
      <c r="H34" s="52" t="s">
        <v>515</v>
      </c>
      <c r="I34" s="52" t="s">
        <v>3689</v>
      </c>
      <c r="J34" s="331"/>
      <c r="L34" s="14" t="s">
        <v>3832</v>
      </c>
      <c r="M34" s="332" t="s">
        <v>3833</v>
      </c>
      <c r="R34" s="45" t="s">
        <v>3834</v>
      </c>
    </row>
    <row r="35">
      <c r="A35" s="14" t="s">
        <v>44</v>
      </c>
      <c r="C35" s="35" t="s">
        <v>1476</v>
      </c>
      <c r="D35" s="35" t="s">
        <v>3835</v>
      </c>
      <c r="E35" s="36" t="s">
        <v>49</v>
      </c>
      <c r="F35" s="15"/>
      <c r="G35" s="52" t="s">
        <v>3681</v>
      </c>
      <c r="H35" s="52" t="s">
        <v>3798</v>
      </c>
      <c r="I35" s="52" t="s">
        <v>3757</v>
      </c>
      <c r="J35" s="331"/>
      <c r="L35" s="14" t="s">
        <v>3836</v>
      </c>
      <c r="M35" s="332" t="s">
        <v>3837</v>
      </c>
      <c r="R35" s="31" t="s">
        <v>3827</v>
      </c>
    </row>
    <row r="36">
      <c r="A36" s="14" t="s">
        <v>44</v>
      </c>
      <c r="B36" s="330">
        <v>17.0</v>
      </c>
      <c r="C36" s="35" t="s">
        <v>278</v>
      </c>
      <c r="D36" s="35" t="s">
        <v>3838</v>
      </c>
      <c r="E36" s="36" t="s">
        <v>49</v>
      </c>
      <c r="F36" s="15"/>
      <c r="G36" s="52" t="s">
        <v>3762</v>
      </c>
      <c r="H36" s="52" t="s">
        <v>2802</v>
      </c>
      <c r="I36" s="52" t="s">
        <v>578</v>
      </c>
      <c r="J36" s="331"/>
      <c r="L36" s="14" t="s">
        <v>3839</v>
      </c>
      <c r="M36" s="332" t="s">
        <v>3840</v>
      </c>
      <c r="R36" s="31" t="s">
        <v>3827</v>
      </c>
    </row>
    <row r="37">
      <c r="A37" s="14" t="s">
        <v>44</v>
      </c>
      <c r="C37" s="35" t="s">
        <v>1446</v>
      </c>
      <c r="D37" s="35" t="s">
        <v>3841</v>
      </c>
      <c r="E37" s="36" t="s">
        <v>49</v>
      </c>
      <c r="F37" s="15"/>
      <c r="G37" s="52" t="s">
        <v>3842</v>
      </c>
      <c r="H37" s="52" t="s">
        <v>3798</v>
      </c>
      <c r="I37" s="52" t="s">
        <v>3693</v>
      </c>
      <c r="J37" s="331"/>
      <c r="L37" s="14" t="s">
        <v>3843</v>
      </c>
      <c r="M37" s="332" t="s">
        <v>3844</v>
      </c>
      <c r="R37" s="31" t="s">
        <v>3827</v>
      </c>
    </row>
    <row r="38">
      <c r="A38" s="14" t="s">
        <v>44</v>
      </c>
      <c r="B38" s="330">
        <v>18.0</v>
      </c>
      <c r="C38" s="35" t="s">
        <v>3845</v>
      </c>
      <c r="D38" s="35" t="s">
        <v>3847</v>
      </c>
      <c r="E38" s="36" t="s">
        <v>49</v>
      </c>
      <c r="F38" s="333" t="s">
        <v>1965</v>
      </c>
      <c r="G38" s="52" t="s">
        <v>3842</v>
      </c>
      <c r="H38" s="52" t="s">
        <v>3700</v>
      </c>
      <c r="I38" s="52" t="s">
        <v>578</v>
      </c>
      <c r="J38" s="52" t="s">
        <v>3813</v>
      </c>
      <c r="L38" s="14" t="s">
        <v>3848</v>
      </c>
      <c r="M38" s="332" t="s">
        <v>3849</v>
      </c>
      <c r="R38" s="31" t="s">
        <v>3827</v>
      </c>
    </row>
    <row r="39">
      <c r="A39" s="14" t="s">
        <v>44</v>
      </c>
      <c r="C39" s="35" t="s">
        <v>3850</v>
      </c>
      <c r="D39" s="35" t="s">
        <v>2574</v>
      </c>
      <c r="E39" s="36" t="s">
        <v>49</v>
      </c>
      <c r="F39" s="15"/>
      <c r="G39" s="52" t="s">
        <v>3688</v>
      </c>
      <c r="H39" s="52" t="s">
        <v>2802</v>
      </c>
      <c r="I39" s="52" t="s">
        <v>3689</v>
      </c>
      <c r="J39" s="331"/>
      <c r="L39" s="14" t="s">
        <v>3851</v>
      </c>
      <c r="M39" s="332" t="s">
        <v>3852</v>
      </c>
      <c r="R39" s="31" t="s">
        <v>3827</v>
      </c>
    </row>
    <row r="40">
      <c r="A40" s="14" t="s">
        <v>44</v>
      </c>
      <c r="B40" s="330">
        <v>19.0</v>
      </c>
      <c r="C40" s="35" t="s">
        <v>3853</v>
      </c>
      <c r="D40" s="35" t="s">
        <v>3854</v>
      </c>
      <c r="E40" s="36" t="s">
        <v>49</v>
      </c>
      <c r="F40" s="12" t="s">
        <v>498</v>
      </c>
      <c r="G40" s="52" t="s">
        <v>3681</v>
      </c>
      <c r="H40" s="52" t="s">
        <v>3700</v>
      </c>
      <c r="I40" s="52" t="s">
        <v>3722</v>
      </c>
      <c r="J40" s="52" t="s">
        <v>3813</v>
      </c>
      <c r="L40" s="14" t="s">
        <v>3855</v>
      </c>
      <c r="M40" s="332" t="s">
        <v>3856</v>
      </c>
      <c r="R40" s="31" t="s">
        <v>3827</v>
      </c>
    </row>
    <row r="41">
      <c r="A41" s="14" t="s">
        <v>44</v>
      </c>
      <c r="C41" s="35" t="s">
        <v>1884</v>
      </c>
      <c r="D41" s="35" t="s">
        <v>3857</v>
      </c>
      <c r="E41" s="36" t="s">
        <v>49</v>
      </c>
      <c r="F41" s="15"/>
      <c r="G41" s="52" t="s">
        <v>3762</v>
      </c>
      <c r="H41" s="52" t="s">
        <v>578</v>
      </c>
      <c r="I41" s="52" t="s">
        <v>626</v>
      </c>
      <c r="J41" s="331"/>
      <c r="L41" s="14" t="s">
        <v>3858</v>
      </c>
      <c r="M41" s="332" t="s">
        <v>3859</v>
      </c>
      <c r="R41" s="31" t="s">
        <v>3827</v>
      </c>
    </row>
    <row r="42">
      <c r="A42" s="14" t="s">
        <v>44</v>
      </c>
      <c r="B42" s="330">
        <v>20.0</v>
      </c>
      <c r="C42" s="35" t="s">
        <v>622</v>
      </c>
      <c r="D42" s="35" t="s">
        <v>102</v>
      </c>
      <c r="E42" s="51" t="s">
        <v>53</v>
      </c>
      <c r="F42" s="15"/>
      <c r="G42" s="52" t="s">
        <v>3429</v>
      </c>
      <c r="H42" s="52" t="s">
        <v>3688</v>
      </c>
      <c r="I42" s="52" t="s">
        <v>2802</v>
      </c>
      <c r="J42" s="331"/>
      <c r="L42" s="14" t="s">
        <v>3860</v>
      </c>
      <c r="M42" s="332" t="s">
        <v>3861</v>
      </c>
      <c r="R42" s="45" t="s">
        <v>3862</v>
      </c>
    </row>
    <row r="43">
      <c r="A43" s="14" t="s">
        <v>44</v>
      </c>
      <c r="C43" s="35" t="s">
        <v>930</v>
      </c>
      <c r="D43" s="35" t="s">
        <v>3863</v>
      </c>
      <c r="E43" s="51" t="s">
        <v>53</v>
      </c>
      <c r="F43" s="15"/>
      <c r="G43" s="52" t="s">
        <v>3693</v>
      </c>
      <c r="H43" s="52" t="s">
        <v>2802</v>
      </c>
      <c r="I43" s="52" t="s">
        <v>578</v>
      </c>
      <c r="J43" s="331"/>
      <c r="L43" s="334" t="s">
        <v>3864</v>
      </c>
      <c r="M43" s="332" t="s">
        <v>3866</v>
      </c>
      <c r="R43" s="31" t="s">
        <v>3862</v>
      </c>
    </row>
    <row r="44">
      <c r="A44" s="14" t="s">
        <v>44</v>
      </c>
      <c r="B44" s="330">
        <v>21.0</v>
      </c>
      <c r="C44" s="35" t="s">
        <v>1897</v>
      </c>
      <c r="D44" s="35" t="s">
        <v>2362</v>
      </c>
      <c r="E44" s="51" t="s">
        <v>53</v>
      </c>
      <c r="F44" s="15"/>
      <c r="G44" s="52" t="s">
        <v>3867</v>
      </c>
      <c r="H44" s="52" t="s">
        <v>3693</v>
      </c>
      <c r="I44" s="52" t="s">
        <v>578</v>
      </c>
      <c r="J44" s="331"/>
      <c r="L44" s="14" t="s">
        <v>3868</v>
      </c>
      <c r="M44" s="332" t="s">
        <v>3869</v>
      </c>
      <c r="R44" s="31" t="s">
        <v>3862</v>
      </c>
    </row>
    <row r="45">
      <c r="A45" s="14" t="s">
        <v>44</v>
      </c>
      <c r="C45" s="35" t="s">
        <v>561</v>
      </c>
      <c r="D45" s="35" t="s">
        <v>3871</v>
      </c>
      <c r="E45" s="51" t="s">
        <v>53</v>
      </c>
      <c r="F45" s="15"/>
      <c r="G45" s="52" t="s">
        <v>877</v>
      </c>
      <c r="H45" s="52" t="s">
        <v>3722</v>
      </c>
      <c r="I45" s="52" t="s">
        <v>3713</v>
      </c>
      <c r="J45" s="331"/>
      <c r="L45" s="14" t="s">
        <v>3872</v>
      </c>
      <c r="M45" s="332" t="s">
        <v>3873</v>
      </c>
      <c r="R45" s="31" t="s">
        <v>3827</v>
      </c>
    </row>
    <row r="46">
      <c r="A46" s="14" t="s">
        <v>44</v>
      </c>
      <c r="B46" s="330">
        <v>22.0</v>
      </c>
      <c r="C46" s="35" t="s">
        <v>278</v>
      </c>
      <c r="D46" s="35" t="s">
        <v>3874</v>
      </c>
      <c r="E46" s="51" t="s">
        <v>53</v>
      </c>
      <c r="G46" s="52" t="s">
        <v>3694</v>
      </c>
      <c r="H46" s="52" t="s">
        <v>3700</v>
      </c>
      <c r="I46" s="52" t="s">
        <v>3875</v>
      </c>
      <c r="J46" s="331"/>
      <c r="L46" s="14" t="s">
        <v>3876</v>
      </c>
      <c r="M46" s="332" t="s">
        <v>3877</v>
      </c>
      <c r="R46" s="31" t="s">
        <v>3862</v>
      </c>
    </row>
    <row r="47">
      <c r="A47" s="14" t="s">
        <v>44</v>
      </c>
      <c r="C47" s="35" t="s">
        <v>1231</v>
      </c>
      <c r="D47" s="35" t="s">
        <v>3879</v>
      </c>
      <c r="E47" s="51" t="s">
        <v>53</v>
      </c>
      <c r="F47" s="12" t="s">
        <v>1479</v>
      </c>
      <c r="G47" s="52" t="s">
        <v>3688</v>
      </c>
      <c r="H47" s="52" t="s">
        <v>2802</v>
      </c>
      <c r="I47" s="52" t="s">
        <v>578</v>
      </c>
      <c r="J47" s="52" t="s">
        <v>3813</v>
      </c>
      <c r="L47" s="14" t="s">
        <v>3880</v>
      </c>
      <c r="M47" s="332" t="s">
        <v>3881</v>
      </c>
      <c r="R47" s="31" t="s">
        <v>3862</v>
      </c>
    </row>
    <row r="48">
      <c r="A48" s="14" t="s">
        <v>44</v>
      </c>
      <c r="B48" s="330">
        <v>23.0</v>
      </c>
      <c r="C48" s="35" t="s">
        <v>3882</v>
      </c>
      <c r="D48" s="35" t="s">
        <v>3883</v>
      </c>
      <c r="E48" s="51" t="s">
        <v>53</v>
      </c>
      <c r="F48" s="15"/>
      <c r="G48" s="52" t="s">
        <v>781</v>
      </c>
      <c r="H48" s="52" t="s">
        <v>3722</v>
      </c>
      <c r="I48" s="52" t="s">
        <v>2802</v>
      </c>
      <c r="J48" s="331"/>
      <c r="L48" s="14" t="s">
        <v>3884</v>
      </c>
      <c r="M48" s="332" t="s">
        <v>3885</v>
      </c>
      <c r="R48" s="45" t="s">
        <v>3886</v>
      </c>
    </row>
    <row r="49">
      <c r="A49" s="14" t="s">
        <v>44</v>
      </c>
      <c r="C49" s="35" t="s">
        <v>1687</v>
      </c>
      <c r="D49" s="35" t="s">
        <v>3887</v>
      </c>
      <c r="E49" s="51" t="s">
        <v>53</v>
      </c>
      <c r="F49" s="12" t="s">
        <v>1684</v>
      </c>
      <c r="G49" s="52" t="s">
        <v>3694</v>
      </c>
      <c r="H49" s="52" t="s">
        <v>3700</v>
      </c>
      <c r="I49" s="52" t="s">
        <v>578</v>
      </c>
      <c r="J49" s="52" t="s">
        <v>3813</v>
      </c>
      <c r="L49" s="14" t="s">
        <v>3888</v>
      </c>
      <c r="M49" s="332" t="s">
        <v>3889</v>
      </c>
      <c r="R49" s="31" t="s">
        <v>3886</v>
      </c>
    </row>
    <row r="50">
      <c r="A50" s="14" t="s">
        <v>44</v>
      </c>
      <c r="B50" s="330">
        <v>24.0</v>
      </c>
      <c r="C50" s="35" t="s">
        <v>185</v>
      </c>
      <c r="D50" s="35" t="s">
        <v>3890</v>
      </c>
      <c r="E50" s="51" t="s">
        <v>53</v>
      </c>
      <c r="F50" s="15"/>
      <c r="G50" s="52" t="s">
        <v>1047</v>
      </c>
      <c r="H50" s="52" t="s">
        <v>3688</v>
      </c>
      <c r="I50" s="52" t="s">
        <v>3689</v>
      </c>
      <c r="J50" s="331"/>
      <c r="L50" s="14" t="s">
        <v>3891</v>
      </c>
      <c r="M50" s="332" t="s">
        <v>3892</v>
      </c>
      <c r="R50" s="45" t="s">
        <v>3893</v>
      </c>
    </row>
    <row r="51">
      <c r="A51" s="14" t="s">
        <v>44</v>
      </c>
      <c r="C51" s="35" t="s">
        <v>978</v>
      </c>
      <c r="D51" s="35" t="s">
        <v>3894</v>
      </c>
      <c r="E51" s="51" t="s">
        <v>53</v>
      </c>
      <c r="F51" s="15"/>
      <c r="G51" s="52" t="s">
        <v>781</v>
      </c>
      <c r="H51" s="52" t="s">
        <v>2802</v>
      </c>
      <c r="I51" s="52" t="s">
        <v>3672</v>
      </c>
      <c r="J51" s="331"/>
      <c r="L51" s="14" t="s">
        <v>3895</v>
      </c>
      <c r="M51" s="332" t="s">
        <v>3896</v>
      </c>
      <c r="R51" s="31" t="s">
        <v>3893</v>
      </c>
    </row>
    <row r="52">
      <c r="A52" s="14" t="s">
        <v>44</v>
      </c>
      <c r="B52" s="330">
        <v>25.0</v>
      </c>
      <c r="C52" s="35" t="s">
        <v>1213</v>
      </c>
      <c r="D52" s="35" t="s">
        <v>3897</v>
      </c>
      <c r="E52" s="51" t="s">
        <v>53</v>
      </c>
      <c r="F52" s="15"/>
      <c r="G52" s="52" t="s">
        <v>3842</v>
      </c>
      <c r="H52" s="52" t="s">
        <v>3700</v>
      </c>
      <c r="I52" s="52" t="s">
        <v>3672</v>
      </c>
      <c r="J52" s="331"/>
      <c r="L52" s="14" t="s">
        <v>3898</v>
      </c>
      <c r="M52" s="332" t="s">
        <v>3899</v>
      </c>
      <c r="R52" s="45" t="s">
        <v>3900</v>
      </c>
    </row>
    <row r="53">
      <c r="A53" s="14" t="s">
        <v>44</v>
      </c>
      <c r="C53" s="35" t="s">
        <v>2063</v>
      </c>
      <c r="D53" s="35" t="s">
        <v>3903</v>
      </c>
      <c r="E53" s="51" t="s">
        <v>53</v>
      </c>
      <c r="F53" s="15"/>
      <c r="G53" s="52" t="s">
        <v>3904</v>
      </c>
      <c r="H53" s="52" t="s">
        <v>3700</v>
      </c>
      <c r="I53" s="52" t="s">
        <v>578</v>
      </c>
      <c r="J53" s="331"/>
      <c r="L53" s="14" t="s">
        <v>3905</v>
      </c>
      <c r="M53" s="332" t="s">
        <v>3906</v>
      </c>
      <c r="R53" s="45" t="s">
        <v>3907</v>
      </c>
    </row>
    <row r="54">
      <c r="A54" s="14" t="s">
        <v>44</v>
      </c>
      <c r="B54" s="330">
        <v>26.0</v>
      </c>
      <c r="C54" s="35" t="s">
        <v>3909</v>
      </c>
      <c r="D54" s="35" t="s">
        <v>1254</v>
      </c>
      <c r="E54" s="36" t="s">
        <v>49</v>
      </c>
      <c r="F54" s="15"/>
      <c r="G54" s="52" t="s">
        <v>781</v>
      </c>
      <c r="H54" s="52" t="s">
        <v>3842</v>
      </c>
      <c r="I54" s="52" t="s">
        <v>578</v>
      </c>
      <c r="J54" s="331"/>
      <c r="K54" s="14" t="s">
        <v>3910</v>
      </c>
      <c r="L54" s="14" t="s">
        <v>3911</v>
      </c>
      <c r="M54" s="332" t="s">
        <v>3912</v>
      </c>
      <c r="R54" s="45" t="s">
        <v>3913</v>
      </c>
    </row>
    <row r="55">
      <c r="A55" s="14" t="s">
        <v>44</v>
      </c>
      <c r="C55" s="35" t="s">
        <v>1172</v>
      </c>
      <c r="D55" s="35" t="s">
        <v>3914</v>
      </c>
      <c r="E55" s="36" t="s">
        <v>49</v>
      </c>
      <c r="F55" s="15"/>
      <c r="G55" s="52" t="s">
        <v>3722</v>
      </c>
      <c r="H55" s="52" t="s">
        <v>626</v>
      </c>
      <c r="I55" s="52" t="s">
        <v>3757</v>
      </c>
      <c r="J55" s="331"/>
      <c r="L55" s="14" t="s">
        <v>3915</v>
      </c>
      <c r="M55" s="332" t="s">
        <v>3916</v>
      </c>
      <c r="R55" s="45" t="s">
        <v>3917</v>
      </c>
    </row>
    <row r="56">
      <c r="A56" s="14" t="s">
        <v>44</v>
      </c>
      <c r="B56" s="330">
        <v>27.0</v>
      </c>
      <c r="C56" s="35" t="s">
        <v>45</v>
      </c>
      <c r="D56" s="35" t="s">
        <v>3919</v>
      </c>
      <c r="E56" s="51" t="s">
        <v>53</v>
      </c>
      <c r="F56" s="12" t="s">
        <v>1056</v>
      </c>
      <c r="G56" s="331"/>
      <c r="H56" s="331"/>
      <c r="I56" s="331"/>
      <c r="J56" s="331"/>
      <c r="L56" s="14" t="s">
        <v>3920</v>
      </c>
      <c r="M56" s="332" t="s">
        <v>3921</v>
      </c>
      <c r="R56" s="45" t="s">
        <v>3922</v>
      </c>
    </row>
    <row r="57">
      <c r="A57" s="14" t="s">
        <v>44</v>
      </c>
      <c r="C57" s="35" t="s">
        <v>1242</v>
      </c>
      <c r="D57" s="35" t="s">
        <v>415</v>
      </c>
      <c r="E57" s="51" t="s">
        <v>53</v>
      </c>
      <c r="F57" s="15"/>
      <c r="G57" s="52" t="s">
        <v>3924</v>
      </c>
      <c r="H57" s="331"/>
      <c r="I57" s="52" t="s">
        <v>3757</v>
      </c>
      <c r="J57" s="331"/>
      <c r="L57" s="14" t="s">
        <v>3925</v>
      </c>
      <c r="M57" s="332" t="s">
        <v>3926</v>
      </c>
      <c r="R57" s="45" t="s">
        <v>3927</v>
      </c>
    </row>
    <row r="58">
      <c r="A58" s="14" t="s">
        <v>44</v>
      </c>
      <c r="B58" s="330">
        <v>28.0</v>
      </c>
      <c r="C58" s="35" t="s">
        <v>179</v>
      </c>
      <c r="D58" s="35" t="s">
        <v>3929</v>
      </c>
      <c r="E58" s="51" t="s">
        <v>53</v>
      </c>
      <c r="F58" s="15"/>
      <c r="G58" s="52" t="s">
        <v>3930</v>
      </c>
      <c r="H58" s="52" t="s">
        <v>3688</v>
      </c>
      <c r="I58" s="52" t="s">
        <v>3931</v>
      </c>
      <c r="J58" s="331"/>
      <c r="L58" s="14" t="s">
        <v>3932</v>
      </c>
      <c r="M58" s="332" t="s">
        <v>3933</v>
      </c>
      <c r="R58" s="45" t="s">
        <v>3934</v>
      </c>
    </row>
    <row r="59">
      <c r="A59" s="14" t="s">
        <v>44</v>
      </c>
      <c r="C59" s="35" t="s">
        <v>971</v>
      </c>
      <c r="D59" s="35" t="s">
        <v>3935</v>
      </c>
      <c r="E59" s="51" t="s">
        <v>53</v>
      </c>
      <c r="F59" s="15"/>
      <c r="G59" s="52" t="s">
        <v>3722</v>
      </c>
      <c r="H59" s="52" t="s">
        <v>3688</v>
      </c>
      <c r="I59" s="52" t="s">
        <v>2802</v>
      </c>
      <c r="J59" s="331"/>
      <c r="L59" s="14" t="s">
        <v>3936</v>
      </c>
      <c r="M59" s="332" t="s">
        <v>3937</v>
      </c>
      <c r="R59" s="45" t="s">
        <v>3939</v>
      </c>
    </row>
    <row r="60">
      <c r="A60" s="14" t="s">
        <v>44</v>
      </c>
      <c r="B60" s="330">
        <v>29.0</v>
      </c>
      <c r="C60" s="35" t="s">
        <v>173</v>
      </c>
      <c r="D60" s="35" t="s">
        <v>3940</v>
      </c>
      <c r="E60" s="36" t="s">
        <v>49</v>
      </c>
      <c r="F60" s="15"/>
      <c r="G60" s="52" t="s">
        <v>515</v>
      </c>
      <c r="H60" s="52" t="s">
        <v>3941</v>
      </c>
      <c r="I60" s="52" t="s">
        <v>3942</v>
      </c>
      <c r="J60" s="331"/>
      <c r="L60" s="14" t="s">
        <v>3943</v>
      </c>
      <c r="M60" s="332" t="s">
        <v>3944</v>
      </c>
      <c r="R60" s="45" t="s">
        <v>3945</v>
      </c>
    </row>
    <row r="61">
      <c r="A61" s="14" t="s">
        <v>44</v>
      </c>
      <c r="C61" s="35" t="s">
        <v>3948</v>
      </c>
      <c r="D61" s="35" t="s">
        <v>1451</v>
      </c>
      <c r="E61" s="36" t="s">
        <v>49</v>
      </c>
      <c r="F61" s="12" t="s">
        <v>2029</v>
      </c>
      <c r="G61" s="52" t="s">
        <v>3949</v>
      </c>
      <c r="H61" s="52" t="s">
        <v>3688</v>
      </c>
      <c r="I61" s="52" t="s">
        <v>3931</v>
      </c>
      <c r="J61" s="52" t="s">
        <v>3813</v>
      </c>
      <c r="L61" s="14" t="s">
        <v>3950</v>
      </c>
      <c r="M61" s="332" t="s">
        <v>3951</v>
      </c>
      <c r="R61" s="31" t="s">
        <v>3945</v>
      </c>
    </row>
    <row r="62">
      <c r="A62" s="14" t="s">
        <v>44</v>
      </c>
      <c r="B62" s="330">
        <v>30.0</v>
      </c>
      <c r="C62" s="35" t="s">
        <v>199</v>
      </c>
      <c r="D62" s="35" t="s">
        <v>1150</v>
      </c>
      <c r="E62" s="51" t="s">
        <v>53</v>
      </c>
      <c r="F62" s="15"/>
      <c r="G62" s="52" t="s">
        <v>781</v>
      </c>
      <c r="H62" s="52" t="s">
        <v>515</v>
      </c>
      <c r="I62" s="52" t="s">
        <v>3722</v>
      </c>
      <c r="J62" s="331"/>
      <c r="L62" s="14" t="s">
        <v>3952</v>
      </c>
      <c r="M62" s="332" t="s">
        <v>3953</v>
      </c>
      <c r="R62" s="45" t="s">
        <v>3954</v>
      </c>
    </row>
    <row r="63">
      <c r="A63" s="14" t="s">
        <v>44</v>
      </c>
      <c r="C63" s="35" t="s">
        <v>1725</v>
      </c>
      <c r="D63" s="35" t="s">
        <v>3956</v>
      </c>
      <c r="E63" s="51" t="s">
        <v>53</v>
      </c>
      <c r="F63" s="15"/>
      <c r="G63" s="52" t="s">
        <v>3957</v>
      </c>
      <c r="H63" s="52" t="s">
        <v>3958</v>
      </c>
      <c r="I63" s="331"/>
      <c r="J63" s="331"/>
      <c r="L63" s="334" t="s">
        <v>3959</v>
      </c>
      <c r="M63" s="332" t="s">
        <v>3960</v>
      </c>
      <c r="R63" s="31" t="s">
        <v>3954</v>
      </c>
    </row>
    <row r="64">
      <c r="A64" s="14" t="s">
        <v>44</v>
      </c>
      <c r="B64" s="330">
        <v>31.0</v>
      </c>
      <c r="C64" s="35" t="s">
        <v>500</v>
      </c>
      <c r="D64" s="35" t="s">
        <v>3961</v>
      </c>
      <c r="E64" s="51" t="s">
        <v>53</v>
      </c>
      <c r="F64" s="15"/>
      <c r="G64" s="52" t="s">
        <v>3693</v>
      </c>
      <c r="H64" s="52" t="s">
        <v>626</v>
      </c>
      <c r="I64" s="52" t="s">
        <v>3931</v>
      </c>
      <c r="J64" s="331"/>
      <c r="L64" s="334" t="s">
        <v>3962</v>
      </c>
      <c r="M64" s="332" t="s">
        <v>3963</v>
      </c>
      <c r="R64" s="45" t="s">
        <v>3964</v>
      </c>
    </row>
    <row r="65">
      <c r="A65" s="14" t="s">
        <v>44</v>
      </c>
      <c r="C65" s="35" t="s">
        <v>3965</v>
      </c>
      <c r="D65" s="35" t="s">
        <v>429</v>
      </c>
      <c r="E65" s="51" t="s">
        <v>53</v>
      </c>
      <c r="F65" s="15"/>
      <c r="G65" s="52" t="s">
        <v>781</v>
      </c>
      <c r="H65" s="52" t="s">
        <v>3958</v>
      </c>
      <c r="I65" s="52" t="s">
        <v>2802</v>
      </c>
      <c r="J65" s="331"/>
      <c r="L65" s="334" t="s">
        <v>3966</v>
      </c>
      <c r="M65" s="332" t="s">
        <v>3967</v>
      </c>
      <c r="R65" s="31" t="s">
        <v>3964</v>
      </c>
    </row>
    <row r="66">
      <c r="A66" s="14" t="s">
        <v>44</v>
      </c>
      <c r="B66" s="330">
        <v>32.0</v>
      </c>
      <c r="C66" s="35" t="s">
        <v>1431</v>
      </c>
      <c r="D66" s="35" t="s">
        <v>3968</v>
      </c>
      <c r="E66" s="51" t="s">
        <v>53</v>
      </c>
      <c r="F66" s="15"/>
      <c r="G66" s="52" t="s">
        <v>3842</v>
      </c>
      <c r="H66" s="52" t="s">
        <v>3969</v>
      </c>
      <c r="I66" s="331"/>
      <c r="J66" s="331"/>
      <c r="L66" s="334" t="s">
        <v>3970</v>
      </c>
      <c r="M66" s="332" t="s">
        <v>3971</v>
      </c>
      <c r="R66" s="45" t="s">
        <v>2328</v>
      </c>
    </row>
    <row r="67">
      <c r="A67" s="14" t="s">
        <v>44</v>
      </c>
      <c r="C67" s="35" t="s">
        <v>1626</v>
      </c>
      <c r="D67" s="35" t="s">
        <v>3972</v>
      </c>
      <c r="E67" s="51" t="s">
        <v>53</v>
      </c>
      <c r="F67" s="15"/>
      <c r="G67" s="52" t="s">
        <v>3842</v>
      </c>
      <c r="H67" s="52" t="s">
        <v>3693</v>
      </c>
      <c r="I67" s="52" t="s">
        <v>3809</v>
      </c>
      <c r="J67" s="331"/>
      <c r="L67" s="334" t="s">
        <v>3973</v>
      </c>
      <c r="M67" s="332" t="s">
        <v>3974</v>
      </c>
      <c r="R67" s="45" t="s">
        <v>3975</v>
      </c>
    </row>
    <row r="68">
      <c r="A68" s="14" t="s">
        <v>44</v>
      </c>
      <c r="B68" s="330">
        <v>33.0</v>
      </c>
      <c r="C68" s="74" t="s">
        <v>384</v>
      </c>
      <c r="D68" s="74" t="s">
        <v>3979</v>
      </c>
      <c r="E68" s="51" t="s">
        <v>53</v>
      </c>
      <c r="F68" s="15"/>
      <c r="G68" s="52" t="s">
        <v>781</v>
      </c>
      <c r="H68" s="52" t="s">
        <v>515</v>
      </c>
      <c r="I68" s="52" t="s">
        <v>2505</v>
      </c>
      <c r="J68" s="331"/>
      <c r="L68" s="334" t="s">
        <v>3980</v>
      </c>
      <c r="M68" s="332" t="s">
        <v>3981</v>
      </c>
      <c r="R68" s="31" t="s">
        <v>3954</v>
      </c>
    </row>
    <row r="69">
      <c r="A69" s="14" t="s">
        <v>44</v>
      </c>
      <c r="C69" s="35" t="s">
        <v>2775</v>
      </c>
      <c r="D69" s="35" t="s">
        <v>3983</v>
      </c>
      <c r="E69" s="51" t="s">
        <v>53</v>
      </c>
      <c r="F69" s="15"/>
      <c r="G69" s="52" t="s">
        <v>781</v>
      </c>
      <c r="H69" s="52" t="s">
        <v>3694</v>
      </c>
      <c r="I69" s="52" t="s">
        <v>3809</v>
      </c>
      <c r="J69" s="331"/>
      <c r="L69" s="334" t="s">
        <v>3984</v>
      </c>
      <c r="M69" s="332" t="s">
        <v>3985</v>
      </c>
      <c r="R69" s="31" t="s">
        <v>3954</v>
      </c>
    </row>
    <row r="70">
      <c r="A70" s="14" t="s">
        <v>44</v>
      </c>
      <c r="B70" s="330">
        <v>34.0</v>
      </c>
      <c r="C70" s="35" t="s">
        <v>1146</v>
      </c>
      <c r="D70" s="35" t="s">
        <v>3986</v>
      </c>
      <c r="E70" s="51" t="s">
        <v>53</v>
      </c>
      <c r="F70" s="15"/>
      <c r="G70" s="52" t="s">
        <v>781</v>
      </c>
      <c r="H70" s="52" t="s">
        <v>3713</v>
      </c>
      <c r="I70" s="52" t="s">
        <v>578</v>
      </c>
      <c r="J70" s="331"/>
      <c r="L70" s="334" t="s">
        <v>3987</v>
      </c>
      <c r="M70" s="332" t="s">
        <v>3988</v>
      </c>
      <c r="R70" s="45" t="s">
        <v>3989</v>
      </c>
    </row>
    <row r="71">
      <c r="A71" s="14" t="s">
        <v>44</v>
      </c>
      <c r="C71" s="35" t="s">
        <v>3993</v>
      </c>
      <c r="D71" s="35" t="s">
        <v>3994</v>
      </c>
      <c r="E71" s="51" t="s">
        <v>53</v>
      </c>
      <c r="F71" s="15"/>
      <c r="G71" s="52" t="s">
        <v>626</v>
      </c>
      <c r="H71" s="52" t="s">
        <v>3958</v>
      </c>
      <c r="I71" s="52" t="s">
        <v>3997</v>
      </c>
      <c r="J71" s="331"/>
      <c r="L71" s="334" t="s">
        <v>3998</v>
      </c>
      <c r="M71" s="332" t="s">
        <v>3999</v>
      </c>
      <c r="R71" s="31" t="s">
        <v>3989</v>
      </c>
    </row>
    <row r="72">
      <c r="A72" s="14" t="s">
        <v>44</v>
      </c>
      <c r="B72" s="330">
        <v>35.0</v>
      </c>
      <c r="C72" s="35" t="s">
        <v>4000</v>
      </c>
      <c r="D72" s="35" t="s">
        <v>2609</v>
      </c>
      <c r="E72" s="51" t="s">
        <v>53</v>
      </c>
      <c r="F72" s="15"/>
      <c r="G72" s="52" t="s">
        <v>515</v>
      </c>
      <c r="H72" s="52" t="s">
        <v>3688</v>
      </c>
      <c r="I72" s="52" t="s">
        <v>3722</v>
      </c>
      <c r="J72" s="331"/>
      <c r="L72" s="334" t="s">
        <v>4001</v>
      </c>
      <c r="M72" s="332" t="s">
        <v>4002</v>
      </c>
      <c r="R72" s="45" t="s">
        <v>4003</v>
      </c>
    </row>
    <row r="73">
      <c r="A73" s="14" t="s">
        <v>44</v>
      </c>
      <c r="C73" s="35" t="s">
        <v>503</v>
      </c>
      <c r="D73" s="35" t="s">
        <v>4006</v>
      </c>
      <c r="E73" s="51" t="s">
        <v>53</v>
      </c>
      <c r="F73" s="15"/>
      <c r="G73" s="52" t="s">
        <v>3688</v>
      </c>
      <c r="H73" s="52" t="s">
        <v>3713</v>
      </c>
      <c r="I73" s="52" t="s">
        <v>2505</v>
      </c>
      <c r="J73" s="331"/>
      <c r="L73" s="334" t="s">
        <v>4007</v>
      </c>
      <c r="M73" s="332" t="s">
        <v>4008</v>
      </c>
      <c r="R73" s="45" t="s">
        <v>4009</v>
      </c>
    </row>
    <row r="74">
      <c r="A74" s="70"/>
      <c r="B74" s="70"/>
      <c r="C74" s="71"/>
      <c r="D74" s="71"/>
      <c r="E74" s="70"/>
      <c r="F74" s="184"/>
      <c r="G74" s="344"/>
      <c r="H74" s="344"/>
      <c r="I74" s="344"/>
      <c r="J74" s="344"/>
      <c r="K74" s="70"/>
      <c r="L74" s="70"/>
      <c r="M74" s="345"/>
      <c r="N74" s="70"/>
      <c r="O74" s="70"/>
      <c r="P74" s="70"/>
      <c r="Q74" s="70"/>
      <c r="R74" s="70"/>
      <c r="S74" s="70"/>
      <c r="T74" s="70"/>
      <c r="U74" s="70"/>
      <c r="V74" s="70"/>
      <c r="W74" s="70"/>
      <c r="X74" s="70"/>
      <c r="Y74" s="70"/>
      <c r="Z74" s="70"/>
      <c r="AA74" s="70"/>
      <c r="AB74" s="70"/>
      <c r="AC74" s="70"/>
      <c r="AD74" s="70"/>
    </row>
    <row r="75">
      <c r="A75" s="14" t="s">
        <v>286</v>
      </c>
      <c r="B75" s="45">
        <v>1.0</v>
      </c>
      <c r="C75" s="35" t="s">
        <v>476</v>
      </c>
      <c r="D75" s="35" t="s">
        <v>2371</v>
      </c>
      <c r="E75" s="51" t="s">
        <v>53</v>
      </c>
      <c r="F75" s="15"/>
      <c r="G75" s="52" t="s">
        <v>515</v>
      </c>
      <c r="H75" s="52" t="s">
        <v>1264</v>
      </c>
      <c r="I75" s="331"/>
      <c r="J75" s="331"/>
      <c r="L75" s="334" t="s">
        <v>4021</v>
      </c>
      <c r="M75" s="332" t="s">
        <v>4022</v>
      </c>
      <c r="R75" s="45" t="s">
        <v>3685</v>
      </c>
    </row>
    <row r="76">
      <c r="A76" s="14" t="s">
        <v>286</v>
      </c>
      <c r="B76" s="45">
        <v>2.0</v>
      </c>
      <c r="C76" s="35" t="s">
        <v>55</v>
      </c>
      <c r="D76" s="35" t="s">
        <v>4031</v>
      </c>
      <c r="E76" s="51" t="s">
        <v>53</v>
      </c>
      <c r="F76" s="12" t="s">
        <v>4032</v>
      </c>
      <c r="G76" s="52" t="s">
        <v>3809</v>
      </c>
      <c r="H76" s="52" t="s">
        <v>2802</v>
      </c>
      <c r="I76" s="331"/>
      <c r="J76" s="331"/>
      <c r="L76" s="334" t="s">
        <v>4033</v>
      </c>
      <c r="M76" s="332" t="s">
        <v>4034</v>
      </c>
      <c r="R76" s="45" t="s">
        <v>3692</v>
      </c>
    </row>
    <row r="77">
      <c r="A77" s="14" t="s">
        <v>286</v>
      </c>
      <c r="B77" s="45">
        <v>3.0</v>
      </c>
      <c r="C77" s="35" t="s">
        <v>428</v>
      </c>
      <c r="D77" s="35" t="s">
        <v>2276</v>
      </c>
      <c r="E77" s="51" t="s">
        <v>53</v>
      </c>
      <c r="F77" s="15"/>
      <c r="G77" s="52" t="s">
        <v>4047</v>
      </c>
      <c r="H77" s="52" t="s">
        <v>515</v>
      </c>
      <c r="I77" s="331"/>
      <c r="J77" s="331"/>
      <c r="L77" s="348" t="s">
        <v>4049</v>
      </c>
      <c r="M77" s="332" t="s">
        <v>4050</v>
      </c>
      <c r="R77" s="45" t="s">
        <v>3704</v>
      </c>
    </row>
    <row r="78">
      <c r="A78" s="14" t="s">
        <v>286</v>
      </c>
      <c r="B78" s="45">
        <v>4.0</v>
      </c>
      <c r="C78" s="35" t="s">
        <v>514</v>
      </c>
      <c r="D78" s="35" t="s">
        <v>4062</v>
      </c>
      <c r="E78" s="51" t="s">
        <v>53</v>
      </c>
      <c r="F78" s="15"/>
      <c r="G78" s="52" t="s">
        <v>4063</v>
      </c>
      <c r="H78" s="52" t="s">
        <v>3693</v>
      </c>
      <c r="I78" s="52" t="s">
        <v>2802</v>
      </c>
      <c r="J78" s="331"/>
      <c r="L78" s="334" t="s">
        <v>4064</v>
      </c>
      <c r="M78" s="332" t="s">
        <v>4065</v>
      </c>
      <c r="R78" s="31" t="s">
        <v>3704</v>
      </c>
    </row>
    <row r="79">
      <c r="A79" s="14" t="s">
        <v>286</v>
      </c>
      <c r="B79" s="45">
        <v>5.0</v>
      </c>
      <c r="C79" s="35" t="s">
        <v>108</v>
      </c>
      <c r="D79" s="35" t="s">
        <v>3823</v>
      </c>
      <c r="E79" s="51" t="s">
        <v>53</v>
      </c>
      <c r="F79" s="15"/>
      <c r="G79" s="52" t="s">
        <v>4069</v>
      </c>
      <c r="H79" s="52" t="s">
        <v>3722</v>
      </c>
      <c r="I79" s="52" t="s">
        <v>578</v>
      </c>
      <c r="J79" s="331"/>
      <c r="L79" s="334" t="s">
        <v>4070</v>
      </c>
      <c r="M79" s="332" t="s">
        <v>4071</v>
      </c>
      <c r="R79" s="45" t="s">
        <v>2721</v>
      </c>
    </row>
    <row r="80">
      <c r="A80" s="14" t="s">
        <v>286</v>
      </c>
      <c r="B80" s="45">
        <v>6.0</v>
      </c>
      <c r="C80" s="35" t="s">
        <v>239</v>
      </c>
      <c r="D80" s="35" t="s">
        <v>118</v>
      </c>
      <c r="E80" s="51" t="s">
        <v>53</v>
      </c>
      <c r="F80" s="15"/>
      <c r="G80" s="52" t="s">
        <v>4079</v>
      </c>
      <c r="H80" s="52" t="s">
        <v>4080</v>
      </c>
      <c r="I80" s="331"/>
      <c r="J80" s="331"/>
      <c r="L80" s="334" t="s">
        <v>4081</v>
      </c>
      <c r="M80" s="332" t="s">
        <v>4082</v>
      </c>
      <c r="R80" s="45" t="s">
        <v>3735</v>
      </c>
    </row>
    <row r="81">
      <c r="A81" s="14" t="s">
        <v>286</v>
      </c>
      <c r="B81" s="45">
        <v>7.0</v>
      </c>
      <c r="C81" s="35" t="s">
        <v>4087</v>
      </c>
      <c r="D81" s="35" t="s">
        <v>4090</v>
      </c>
      <c r="E81" s="51" t="s">
        <v>53</v>
      </c>
      <c r="F81" s="15"/>
      <c r="G81" s="52" t="s">
        <v>4069</v>
      </c>
      <c r="H81" s="52" t="s">
        <v>3166</v>
      </c>
      <c r="I81" s="52" t="s">
        <v>1264</v>
      </c>
      <c r="J81" s="331"/>
      <c r="L81" s="334" t="s">
        <v>4093</v>
      </c>
      <c r="M81" s="332" t="s">
        <v>4094</v>
      </c>
      <c r="R81" s="45" t="s">
        <v>4095</v>
      </c>
    </row>
    <row r="82">
      <c r="A82" s="14" t="s">
        <v>286</v>
      </c>
      <c r="B82" s="45">
        <v>8.0</v>
      </c>
      <c r="C82" s="35" t="s">
        <v>1897</v>
      </c>
      <c r="D82" s="35" t="s">
        <v>4102</v>
      </c>
      <c r="E82" s="51" t="s">
        <v>53</v>
      </c>
      <c r="F82" s="15"/>
      <c r="G82" s="52" t="s">
        <v>4047</v>
      </c>
      <c r="H82" s="52" t="s">
        <v>3584</v>
      </c>
      <c r="I82" s="52" t="s">
        <v>3693</v>
      </c>
      <c r="J82" s="331"/>
      <c r="L82" s="334" t="s">
        <v>4103</v>
      </c>
      <c r="M82" s="332" t="s">
        <v>4104</v>
      </c>
      <c r="R82" s="45" t="s">
        <v>2563</v>
      </c>
    </row>
    <row r="83">
      <c r="A83" s="14" t="s">
        <v>286</v>
      </c>
      <c r="B83" s="45">
        <v>9.0</v>
      </c>
      <c r="C83" s="35" t="s">
        <v>4109</v>
      </c>
      <c r="D83" s="35" t="s">
        <v>629</v>
      </c>
      <c r="E83" s="51" t="s">
        <v>53</v>
      </c>
      <c r="F83" s="15"/>
      <c r="G83" s="52" t="s">
        <v>4112</v>
      </c>
      <c r="H83" s="52" t="s">
        <v>4113</v>
      </c>
      <c r="I83" s="52" t="s">
        <v>1264</v>
      </c>
      <c r="J83" s="331"/>
      <c r="L83" s="334" t="s">
        <v>4115</v>
      </c>
      <c r="M83" s="332" t="s">
        <v>4116</v>
      </c>
      <c r="R83" s="45" t="s">
        <v>4117</v>
      </c>
    </row>
    <row r="84">
      <c r="A84" s="14" t="s">
        <v>286</v>
      </c>
      <c r="B84" s="45">
        <v>10.0</v>
      </c>
      <c r="C84" s="35" t="s">
        <v>476</v>
      </c>
      <c r="D84" s="35" t="s">
        <v>1993</v>
      </c>
      <c r="E84" s="51" t="s">
        <v>53</v>
      </c>
      <c r="F84" s="15"/>
      <c r="G84" s="52" t="s">
        <v>3809</v>
      </c>
      <c r="H84" s="52" t="s">
        <v>4125</v>
      </c>
      <c r="I84" s="331"/>
      <c r="J84" s="331"/>
      <c r="L84" s="334" t="s">
        <v>4126</v>
      </c>
      <c r="M84" s="332" t="s">
        <v>4127</v>
      </c>
      <c r="R84" s="45" t="s">
        <v>2230</v>
      </c>
    </row>
    <row r="85">
      <c r="A85" s="14" t="s">
        <v>286</v>
      </c>
      <c r="B85" s="45">
        <v>11.0</v>
      </c>
      <c r="C85" s="35" t="s">
        <v>4132</v>
      </c>
      <c r="D85" s="38" t="s">
        <v>4137</v>
      </c>
      <c r="E85" s="51" t="s">
        <v>53</v>
      </c>
      <c r="F85" s="15"/>
      <c r="G85" s="52" t="s">
        <v>4047</v>
      </c>
      <c r="H85" s="52" t="s">
        <v>2928</v>
      </c>
      <c r="I85" s="52" t="s">
        <v>578</v>
      </c>
      <c r="J85" s="331"/>
      <c r="L85" s="334" t="s">
        <v>4138</v>
      </c>
      <c r="M85" s="332" t="s">
        <v>4139</v>
      </c>
      <c r="R85" s="45" t="s">
        <v>4140</v>
      </c>
    </row>
    <row r="86">
      <c r="A86" s="14" t="s">
        <v>286</v>
      </c>
      <c r="B86" s="45">
        <v>12.0</v>
      </c>
      <c r="C86" s="35" t="s">
        <v>1974</v>
      </c>
      <c r="D86" s="35" t="s">
        <v>4145</v>
      </c>
      <c r="E86" s="51" t="s">
        <v>53</v>
      </c>
      <c r="F86" s="15"/>
      <c r="G86" s="52" t="s">
        <v>4146</v>
      </c>
      <c r="H86" s="52" t="s">
        <v>3693</v>
      </c>
      <c r="I86" s="331"/>
      <c r="J86" s="331"/>
      <c r="L86" s="334" t="s">
        <v>4147</v>
      </c>
      <c r="M86" s="332" t="s">
        <v>4148</v>
      </c>
      <c r="R86" s="45" t="s">
        <v>3793</v>
      </c>
    </row>
    <row r="87">
      <c r="A87" s="14" t="s">
        <v>286</v>
      </c>
      <c r="B87" s="45">
        <v>13.0</v>
      </c>
      <c r="C87" s="35" t="s">
        <v>683</v>
      </c>
      <c r="D87" s="35" t="s">
        <v>4155</v>
      </c>
      <c r="E87" s="51" t="s">
        <v>53</v>
      </c>
      <c r="F87" s="15"/>
      <c r="G87" s="52" t="s">
        <v>1264</v>
      </c>
      <c r="H87" s="52" t="s">
        <v>3693</v>
      </c>
      <c r="I87" s="331"/>
      <c r="J87" s="331"/>
      <c r="L87" s="334" t="s">
        <v>4156</v>
      </c>
      <c r="M87" s="332" t="s">
        <v>4157</v>
      </c>
      <c r="R87" s="31" t="s">
        <v>3793</v>
      </c>
    </row>
    <row r="88">
      <c r="A88" s="14" t="s">
        <v>286</v>
      </c>
      <c r="B88" s="45">
        <v>14.0</v>
      </c>
      <c r="C88" s="35" t="s">
        <v>45</v>
      </c>
      <c r="D88" s="35" t="s">
        <v>4158</v>
      </c>
      <c r="E88" s="51" t="s">
        <v>53</v>
      </c>
      <c r="F88" s="15"/>
      <c r="G88" s="52" t="s">
        <v>781</v>
      </c>
      <c r="H88" s="52" t="s">
        <v>3809</v>
      </c>
      <c r="I88" s="52" t="s">
        <v>1264</v>
      </c>
      <c r="J88" s="331"/>
      <c r="L88" s="334" t="s">
        <v>4159</v>
      </c>
      <c r="M88" s="332" t="s">
        <v>4160</v>
      </c>
      <c r="R88" s="45" t="s">
        <v>3862</v>
      </c>
    </row>
    <row r="89">
      <c r="A89" s="14" t="s">
        <v>286</v>
      </c>
      <c r="B89" s="45">
        <v>15.0</v>
      </c>
      <c r="C89" s="35" t="s">
        <v>1242</v>
      </c>
      <c r="D89" s="35" t="s">
        <v>456</v>
      </c>
      <c r="E89" s="51" t="s">
        <v>53</v>
      </c>
      <c r="F89" s="15"/>
      <c r="G89" s="52" t="s">
        <v>4167</v>
      </c>
      <c r="H89" s="52" t="s">
        <v>3693</v>
      </c>
      <c r="I89" s="331"/>
      <c r="J89" s="331"/>
      <c r="L89" s="334" t="s">
        <v>4168</v>
      </c>
      <c r="M89" s="332" t="s">
        <v>4169</v>
      </c>
      <c r="R89" s="45" t="s">
        <v>3827</v>
      </c>
    </row>
    <row r="90">
      <c r="A90" s="14" t="s">
        <v>286</v>
      </c>
      <c r="B90" s="45">
        <v>16.0</v>
      </c>
      <c r="C90" s="35" t="s">
        <v>1787</v>
      </c>
      <c r="D90" s="35" t="s">
        <v>4176</v>
      </c>
      <c r="E90" s="36" t="s">
        <v>49</v>
      </c>
      <c r="F90" s="15"/>
      <c r="G90" s="52" t="s">
        <v>781</v>
      </c>
      <c r="H90" s="52" t="s">
        <v>3693</v>
      </c>
      <c r="I90" s="52" t="s">
        <v>3809</v>
      </c>
      <c r="J90" s="331"/>
      <c r="L90" s="334" t="s">
        <v>4177</v>
      </c>
      <c r="M90" s="332" t="s">
        <v>4178</v>
      </c>
      <c r="R90" s="31" t="s">
        <v>3827</v>
      </c>
    </row>
    <row r="91">
      <c r="A91" s="14" t="s">
        <v>286</v>
      </c>
      <c r="B91" s="45">
        <v>17.0</v>
      </c>
      <c r="C91" s="35" t="s">
        <v>4181</v>
      </c>
      <c r="D91" s="35" t="s">
        <v>1581</v>
      </c>
      <c r="E91" s="36" t="s">
        <v>49</v>
      </c>
      <c r="F91" s="12" t="s">
        <v>2029</v>
      </c>
      <c r="G91" s="52" t="s">
        <v>4069</v>
      </c>
      <c r="H91" s="52" t="s">
        <v>3722</v>
      </c>
      <c r="I91" s="52" t="s">
        <v>4080</v>
      </c>
      <c r="J91" s="331"/>
      <c r="L91" s="334" t="s">
        <v>4185</v>
      </c>
      <c r="M91" s="332" t="s">
        <v>4186</v>
      </c>
      <c r="R91" s="31" t="s">
        <v>3827</v>
      </c>
    </row>
    <row r="92">
      <c r="A92" s="14" t="s">
        <v>286</v>
      </c>
      <c r="B92" s="45">
        <v>18.0</v>
      </c>
      <c r="C92" s="35" t="s">
        <v>4189</v>
      </c>
      <c r="D92" s="35" t="s">
        <v>4192</v>
      </c>
      <c r="E92" s="36" t="s">
        <v>49</v>
      </c>
      <c r="F92" s="15"/>
      <c r="G92" s="52" t="s">
        <v>515</v>
      </c>
      <c r="H92" s="52" t="s">
        <v>1264</v>
      </c>
      <c r="I92" s="52" t="s">
        <v>3693</v>
      </c>
      <c r="J92" s="331"/>
      <c r="L92" s="334" t="s">
        <v>4193</v>
      </c>
      <c r="M92" s="350" t="s">
        <v>4194</v>
      </c>
      <c r="R92" s="31" t="s">
        <v>3827</v>
      </c>
    </row>
    <row r="93">
      <c r="A93" s="14" t="s">
        <v>286</v>
      </c>
      <c r="B93" s="45">
        <v>19.0</v>
      </c>
      <c r="C93" s="35" t="s">
        <v>4198</v>
      </c>
      <c r="D93" s="35" t="s">
        <v>4204</v>
      </c>
      <c r="E93" s="36" t="s">
        <v>49</v>
      </c>
      <c r="F93" s="15"/>
      <c r="G93" s="52" t="s">
        <v>515</v>
      </c>
      <c r="H93" s="52" t="s">
        <v>4205</v>
      </c>
      <c r="I93" s="52" t="s">
        <v>578</v>
      </c>
      <c r="J93" s="331"/>
      <c r="L93" s="334" t="s">
        <v>4206</v>
      </c>
      <c r="M93" s="350" t="s">
        <v>4207</v>
      </c>
      <c r="R93" s="31" t="s">
        <v>3827</v>
      </c>
    </row>
    <row r="94">
      <c r="A94" s="14" t="s">
        <v>286</v>
      </c>
      <c r="B94" s="45">
        <v>20.0</v>
      </c>
      <c r="C94" s="35" t="s">
        <v>177</v>
      </c>
      <c r="D94" s="35" t="s">
        <v>4213</v>
      </c>
      <c r="E94" s="51" t="s">
        <v>53</v>
      </c>
      <c r="F94" s="12" t="s">
        <v>176</v>
      </c>
      <c r="G94" s="52" t="s">
        <v>515</v>
      </c>
      <c r="H94" s="52" t="s">
        <v>2802</v>
      </c>
      <c r="I94" s="52" t="s">
        <v>578</v>
      </c>
      <c r="J94" s="331"/>
      <c r="L94" s="334" t="s">
        <v>4214</v>
      </c>
      <c r="M94" s="332" t="s">
        <v>4216</v>
      </c>
      <c r="R94" s="31" t="s">
        <v>3827</v>
      </c>
    </row>
    <row r="95">
      <c r="A95" s="14" t="s">
        <v>286</v>
      </c>
      <c r="B95" s="45">
        <v>21.0</v>
      </c>
      <c r="C95" s="35" t="s">
        <v>4224</v>
      </c>
      <c r="D95" s="35" t="s">
        <v>4228</v>
      </c>
      <c r="E95" s="51" t="s">
        <v>53</v>
      </c>
      <c r="F95" s="15"/>
      <c r="G95" s="52" t="s">
        <v>3738</v>
      </c>
      <c r="H95" s="52" t="s">
        <v>3722</v>
      </c>
      <c r="I95" s="52" t="s">
        <v>4080</v>
      </c>
      <c r="J95" s="331"/>
      <c r="L95" s="334" t="s">
        <v>4229</v>
      </c>
      <c r="M95" s="332" t="s">
        <v>4230</v>
      </c>
      <c r="R95" s="31" t="s">
        <v>3827</v>
      </c>
    </row>
    <row r="96">
      <c r="A96" s="14" t="s">
        <v>286</v>
      </c>
      <c r="B96" s="45">
        <v>22.0</v>
      </c>
      <c r="C96" s="35" t="s">
        <v>2149</v>
      </c>
      <c r="D96" s="35" t="s">
        <v>4236</v>
      </c>
      <c r="E96" s="51" t="s">
        <v>53</v>
      </c>
      <c r="F96" s="15"/>
      <c r="G96" s="52" t="s">
        <v>515</v>
      </c>
      <c r="H96" s="52" t="s">
        <v>578</v>
      </c>
      <c r="I96" s="52" t="s">
        <v>3726</v>
      </c>
      <c r="J96" s="331"/>
      <c r="L96" s="334" t="s">
        <v>4237</v>
      </c>
      <c r="M96" s="332" t="s">
        <v>4238</v>
      </c>
      <c r="R96" s="31" t="s">
        <v>3793</v>
      </c>
    </row>
    <row r="97">
      <c r="A97" s="14" t="s">
        <v>286</v>
      </c>
      <c r="B97" s="45">
        <v>23.0</v>
      </c>
      <c r="C97" s="35" t="s">
        <v>392</v>
      </c>
      <c r="D97" s="35" t="s">
        <v>4246</v>
      </c>
      <c r="E97" s="51" t="s">
        <v>53</v>
      </c>
      <c r="F97" s="15"/>
      <c r="G97" s="52" t="s">
        <v>3429</v>
      </c>
      <c r="H97" s="52" t="s">
        <v>4248</v>
      </c>
      <c r="I97" s="331"/>
      <c r="J97" s="331"/>
      <c r="L97" s="14" t="s">
        <v>4249</v>
      </c>
      <c r="M97" s="332" t="s">
        <v>4251</v>
      </c>
      <c r="R97" s="45" t="s">
        <v>4253</v>
      </c>
    </row>
    <row r="98">
      <c r="A98" s="14" t="s">
        <v>286</v>
      </c>
      <c r="B98" s="45">
        <v>24.0</v>
      </c>
      <c r="C98" s="35" t="s">
        <v>629</v>
      </c>
      <c r="D98" s="35" t="s">
        <v>4261</v>
      </c>
      <c r="E98" s="51" t="s">
        <v>53</v>
      </c>
      <c r="F98" s="15"/>
      <c r="G98" s="52" t="s">
        <v>4069</v>
      </c>
      <c r="H98" s="52" t="s">
        <v>4262</v>
      </c>
      <c r="I98" s="331"/>
      <c r="J98" s="331"/>
      <c r="L98" s="334" t="s">
        <v>4263</v>
      </c>
      <c r="M98" s="332" t="s">
        <v>4264</v>
      </c>
      <c r="R98" s="45" t="s">
        <v>3893</v>
      </c>
    </row>
    <row r="99">
      <c r="A99" s="14" t="s">
        <v>286</v>
      </c>
      <c r="B99" s="45">
        <v>25.0</v>
      </c>
      <c r="C99" s="35" t="s">
        <v>476</v>
      </c>
      <c r="D99" s="35" t="s">
        <v>1914</v>
      </c>
      <c r="E99" s="51" t="s">
        <v>53</v>
      </c>
      <c r="F99" s="15"/>
      <c r="G99" s="52" t="s">
        <v>4279</v>
      </c>
      <c r="H99" s="52" t="s">
        <v>3722</v>
      </c>
      <c r="I99" s="52" t="s">
        <v>4080</v>
      </c>
      <c r="J99" s="331"/>
      <c r="L99" s="334" t="s">
        <v>4280</v>
      </c>
      <c r="M99" s="332" t="s">
        <v>4281</v>
      </c>
      <c r="R99" s="45" t="s">
        <v>3893</v>
      </c>
    </row>
    <row r="100">
      <c r="A100" s="14" t="s">
        <v>286</v>
      </c>
      <c r="B100" s="45">
        <v>26.0</v>
      </c>
      <c r="C100" s="35" t="s">
        <v>22</v>
      </c>
      <c r="D100" s="35" t="s">
        <v>4291</v>
      </c>
      <c r="E100" s="36" t="s">
        <v>49</v>
      </c>
      <c r="F100" s="12" t="s">
        <v>498</v>
      </c>
      <c r="G100" s="52" t="s">
        <v>2802</v>
      </c>
      <c r="H100" s="52" t="s">
        <v>4080</v>
      </c>
      <c r="I100" s="331"/>
      <c r="J100" s="331"/>
      <c r="L100" s="334" t="s">
        <v>4293</v>
      </c>
      <c r="M100" s="332" t="s">
        <v>4294</v>
      </c>
      <c r="R100" s="45" t="s">
        <v>4295</v>
      </c>
    </row>
    <row r="101">
      <c r="A101" s="14" t="s">
        <v>286</v>
      </c>
      <c r="B101" s="45">
        <v>27.0</v>
      </c>
      <c r="C101" s="35" t="s">
        <v>130</v>
      </c>
      <c r="D101" s="35" t="s">
        <v>4305</v>
      </c>
      <c r="E101" s="51" t="s">
        <v>53</v>
      </c>
      <c r="F101" s="12" t="s">
        <v>1684</v>
      </c>
      <c r="G101" s="52" t="s">
        <v>781</v>
      </c>
      <c r="H101" s="52" t="s">
        <v>3809</v>
      </c>
      <c r="I101" s="52" t="s">
        <v>2802</v>
      </c>
      <c r="J101" s="331"/>
      <c r="L101" s="334" t="s">
        <v>4306</v>
      </c>
      <c r="M101" s="332" t="s">
        <v>4307</v>
      </c>
      <c r="R101" s="45" t="s">
        <v>4308</v>
      </c>
    </row>
    <row r="102">
      <c r="A102" s="14" t="s">
        <v>286</v>
      </c>
      <c r="B102" s="45">
        <v>28.0</v>
      </c>
      <c r="C102" s="35" t="s">
        <v>476</v>
      </c>
      <c r="D102" s="35" t="s">
        <v>4316</v>
      </c>
      <c r="E102" s="51" t="s">
        <v>53</v>
      </c>
      <c r="F102" s="15"/>
      <c r="G102" s="52" t="s">
        <v>3693</v>
      </c>
      <c r="H102" s="52" t="s">
        <v>3809</v>
      </c>
      <c r="I102" s="52" t="s">
        <v>4317</v>
      </c>
      <c r="J102" s="331"/>
      <c r="L102" s="334" t="s">
        <v>4318</v>
      </c>
      <c r="M102" s="332" t="s">
        <v>4319</v>
      </c>
      <c r="R102" s="45" t="s">
        <v>3939</v>
      </c>
    </row>
    <row r="103">
      <c r="A103" s="14" t="s">
        <v>286</v>
      </c>
      <c r="B103" s="45">
        <v>29.0</v>
      </c>
      <c r="C103" s="35" t="s">
        <v>91</v>
      </c>
      <c r="D103" s="35" t="s">
        <v>4329</v>
      </c>
      <c r="E103" s="36" t="s">
        <v>49</v>
      </c>
      <c r="F103" s="15"/>
      <c r="G103" s="52" t="s">
        <v>781</v>
      </c>
      <c r="H103" s="52" t="s">
        <v>1264</v>
      </c>
      <c r="I103" s="52" t="s">
        <v>3809</v>
      </c>
      <c r="J103" s="331"/>
      <c r="L103" s="334" t="s">
        <v>4331</v>
      </c>
      <c r="M103" s="332" t="s">
        <v>4332</v>
      </c>
      <c r="R103" s="45" t="s">
        <v>3945</v>
      </c>
    </row>
    <row r="104">
      <c r="A104" s="14" t="s">
        <v>286</v>
      </c>
      <c r="B104" s="45">
        <v>30.0</v>
      </c>
      <c r="C104" s="35" t="s">
        <v>4340</v>
      </c>
      <c r="D104" s="35" t="s">
        <v>4343</v>
      </c>
      <c r="E104" s="51" t="s">
        <v>53</v>
      </c>
      <c r="F104" s="15"/>
      <c r="G104" s="52" t="s">
        <v>4344</v>
      </c>
      <c r="H104" s="52" t="s">
        <v>3722</v>
      </c>
      <c r="I104" s="52" t="s">
        <v>4345</v>
      </c>
      <c r="J104" s="331"/>
      <c r="L104" s="334" t="s">
        <v>4346</v>
      </c>
      <c r="M104" s="332" t="s">
        <v>4347</v>
      </c>
      <c r="R104" s="45" t="s">
        <v>3954</v>
      </c>
    </row>
    <row r="105">
      <c r="A105" s="14" t="s">
        <v>286</v>
      </c>
      <c r="B105" s="45">
        <v>31.0</v>
      </c>
      <c r="C105" s="35" t="s">
        <v>55</v>
      </c>
      <c r="D105" s="35" t="s">
        <v>4355</v>
      </c>
      <c r="E105" s="51" t="s">
        <v>53</v>
      </c>
      <c r="F105" s="15"/>
      <c r="G105" s="52" t="s">
        <v>4356</v>
      </c>
      <c r="H105" s="52" t="s">
        <v>4080</v>
      </c>
      <c r="I105" s="331"/>
      <c r="J105" s="331"/>
      <c r="L105" s="334" t="s">
        <v>4357</v>
      </c>
      <c r="M105" s="332" t="s">
        <v>4358</v>
      </c>
      <c r="R105" s="45" t="s">
        <v>3964</v>
      </c>
    </row>
    <row r="106">
      <c r="A106" s="14" t="s">
        <v>286</v>
      </c>
      <c r="B106" s="45">
        <v>32.0</v>
      </c>
      <c r="C106" s="35" t="s">
        <v>91</v>
      </c>
      <c r="D106" s="35" t="s">
        <v>2362</v>
      </c>
      <c r="E106" s="51" t="s">
        <v>53</v>
      </c>
      <c r="F106" s="15"/>
      <c r="G106" s="52" t="s">
        <v>4069</v>
      </c>
      <c r="H106" s="52" t="s">
        <v>4371</v>
      </c>
      <c r="I106" s="52" t="s">
        <v>4372</v>
      </c>
      <c r="J106" s="331"/>
      <c r="L106" s="334" t="s">
        <v>4373</v>
      </c>
      <c r="M106" s="332" t="s">
        <v>4374</v>
      </c>
      <c r="R106" s="45" t="s">
        <v>4375</v>
      </c>
    </row>
    <row r="107">
      <c r="A107" s="14" t="s">
        <v>286</v>
      </c>
      <c r="B107" s="45">
        <v>33.0</v>
      </c>
      <c r="C107" s="35" t="s">
        <v>108</v>
      </c>
      <c r="D107" s="35" t="s">
        <v>4379</v>
      </c>
      <c r="E107" s="51" t="s">
        <v>53</v>
      </c>
      <c r="F107" s="15"/>
      <c r="G107" s="52" t="s">
        <v>515</v>
      </c>
      <c r="H107" s="52" t="s">
        <v>3722</v>
      </c>
      <c r="I107" s="331"/>
      <c r="J107" s="331"/>
      <c r="L107" s="334" t="s">
        <v>4380</v>
      </c>
      <c r="M107" s="332" t="s">
        <v>4381</v>
      </c>
      <c r="R107" s="31" t="s">
        <v>3954</v>
      </c>
    </row>
    <row r="108">
      <c r="A108" s="14" t="s">
        <v>286</v>
      </c>
      <c r="B108" s="45">
        <v>34.0</v>
      </c>
      <c r="C108" s="35" t="s">
        <v>3805</v>
      </c>
      <c r="D108" s="35" t="s">
        <v>485</v>
      </c>
      <c r="E108" s="51" t="s">
        <v>53</v>
      </c>
      <c r="F108" s="12" t="s">
        <v>2875</v>
      </c>
      <c r="G108" s="52" t="s">
        <v>3809</v>
      </c>
      <c r="H108" s="52" t="s">
        <v>2802</v>
      </c>
      <c r="I108" s="331"/>
      <c r="J108" s="331"/>
      <c r="L108" s="334" t="s">
        <v>4387</v>
      </c>
      <c r="M108" s="332" t="s">
        <v>4388</v>
      </c>
      <c r="R108" s="45" t="s">
        <v>3989</v>
      </c>
    </row>
    <row r="109">
      <c r="A109" s="14" t="s">
        <v>286</v>
      </c>
      <c r="B109" s="45">
        <v>35.0</v>
      </c>
      <c r="C109" s="35" t="s">
        <v>4397</v>
      </c>
      <c r="D109" s="35" t="s">
        <v>4399</v>
      </c>
      <c r="E109" s="51" t="s">
        <v>53</v>
      </c>
      <c r="F109" s="15"/>
      <c r="G109" s="52" t="s">
        <v>1264</v>
      </c>
      <c r="H109" s="52" t="s">
        <v>4113</v>
      </c>
      <c r="I109" s="52" t="s">
        <v>578</v>
      </c>
      <c r="J109" s="331"/>
      <c r="L109" s="334" t="s">
        <v>4400</v>
      </c>
      <c r="M109" s="332" t="s">
        <v>4401</v>
      </c>
      <c r="R109" s="45" t="s">
        <v>4003</v>
      </c>
    </row>
    <row r="110">
      <c r="A110" s="70"/>
      <c r="B110" s="70"/>
      <c r="C110" s="71"/>
      <c r="D110" s="71"/>
      <c r="E110" s="70"/>
      <c r="F110" s="184"/>
      <c r="G110" s="344"/>
      <c r="H110" s="344"/>
      <c r="I110" s="344"/>
      <c r="J110" s="344"/>
      <c r="K110" s="70"/>
      <c r="L110" s="70"/>
      <c r="M110" s="345"/>
      <c r="N110" s="70"/>
      <c r="O110" s="70"/>
      <c r="P110" s="70"/>
      <c r="Q110" s="70"/>
      <c r="R110" s="70"/>
      <c r="S110" s="70"/>
      <c r="T110" s="70"/>
      <c r="U110" s="70"/>
      <c r="V110" s="70"/>
      <c r="W110" s="70"/>
      <c r="X110" s="70"/>
      <c r="Y110" s="70"/>
      <c r="Z110" s="70"/>
      <c r="AA110" s="70"/>
      <c r="AB110" s="70"/>
      <c r="AC110" s="70"/>
      <c r="AD110" s="70"/>
    </row>
    <row r="111">
      <c r="A111" s="14" t="s">
        <v>421</v>
      </c>
      <c r="C111" s="77" t="s">
        <v>2323</v>
      </c>
      <c r="D111" s="77" t="s">
        <v>4410</v>
      </c>
      <c r="E111" s="51" t="s">
        <v>53</v>
      </c>
      <c r="F111" s="15"/>
      <c r="G111" s="331"/>
      <c r="H111" s="331"/>
      <c r="I111" s="331"/>
      <c r="J111" s="331"/>
      <c r="M111" s="303"/>
    </row>
    <row r="112">
      <c r="A112" s="70"/>
      <c r="B112" s="70"/>
      <c r="C112" s="71"/>
      <c r="D112" s="71"/>
      <c r="E112" s="70"/>
      <c r="F112" s="184"/>
      <c r="G112" s="344"/>
      <c r="H112" s="344"/>
      <c r="I112" s="344"/>
      <c r="J112" s="344"/>
      <c r="K112" s="70"/>
      <c r="L112" s="70"/>
      <c r="M112" s="345"/>
      <c r="N112" s="70"/>
      <c r="O112" s="70"/>
      <c r="P112" s="70"/>
      <c r="Q112" s="70"/>
      <c r="R112" s="70"/>
      <c r="S112" s="70"/>
      <c r="T112" s="70"/>
      <c r="U112" s="70"/>
      <c r="V112" s="70"/>
      <c r="W112" s="70"/>
      <c r="X112" s="70"/>
      <c r="Y112" s="70"/>
      <c r="Z112" s="70"/>
      <c r="AA112" s="70"/>
      <c r="AB112" s="70"/>
      <c r="AC112" s="70"/>
      <c r="AD112" s="70"/>
    </row>
    <row r="113">
      <c r="A113" s="14" t="s">
        <v>427</v>
      </c>
      <c r="B113" s="14">
        <v>1.0</v>
      </c>
      <c r="C113" s="77" t="s">
        <v>4411</v>
      </c>
      <c r="D113" s="77" t="s">
        <v>4412</v>
      </c>
      <c r="E113" s="51" t="s">
        <v>53</v>
      </c>
      <c r="F113" s="15"/>
      <c r="G113" s="331"/>
      <c r="H113" s="331"/>
      <c r="I113" s="331"/>
      <c r="J113" s="331"/>
      <c r="M113" s="303"/>
    </row>
    <row r="114">
      <c r="A114" s="14" t="s">
        <v>427</v>
      </c>
      <c r="B114" s="14">
        <v>2.0</v>
      </c>
      <c r="C114" s="77" t="s">
        <v>157</v>
      </c>
      <c r="D114" s="77" t="s">
        <v>728</v>
      </c>
      <c r="E114" s="51" t="s">
        <v>53</v>
      </c>
      <c r="F114" s="15"/>
      <c r="G114" s="331"/>
      <c r="H114" s="331"/>
      <c r="I114" s="331"/>
      <c r="J114" s="331"/>
      <c r="M114" s="303"/>
    </row>
    <row r="115">
      <c r="A115" s="70"/>
      <c r="B115" s="70"/>
      <c r="C115" s="71"/>
      <c r="D115" s="71"/>
      <c r="E115" s="70"/>
      <c r="F115" s="184"/>
      <c r="G115" s="344"/>
      <c r="H115" s="344"/>
      <c r="I115" s="344"/>
      <c r="J115" s="344"/>
      <c r="K115" s="70"/>
      <c r="L115" s="70"/>
      <c r="M115" s="345"/>
      <c r="N115" s="70"/>
      <c r="O115" s="70"/>
      <c r="P115" s="70"/>
      <c r="Q115" s="70"/>
      <c r="R115" s="70"/>
      <c r="S115" s="70"/>
      <c r="T115" s="70"/>
      <c r="U115" s="70"/>
      <c r="V115" s="70"/>
      <c r="W115" s="70"/>
      <c r="X115" s="70"/>
      <c r="Y115" s="70"/>
      <c r="Z115" s="70"/>
      <c r="AA115" s="70"/>
      <c r="AB115" s="70"/>
      <c r="AC115" s="70"/>
      <c r="AD115" s="70"/>
    </row>
    <row r="116">
      <c r="A116" s="14" t="s">
        <v>430</v>
      </c>
      <c r="B116" s="14" t="s">
        <v>431</v>
      </c>
      <c r="C116" s="77" t="s">
        <v>157</v>
      </c>
      <c r="D116" s="77" t="s">
        <v>4416</v>
      </c>
      <c r="E116" s="51" t="s">
        <v>53</v>
      </c>
      <c r="F116" s="15"/>
      <c r="G116" s="331"/>
      <c r="H116" s="331"/>
      <c r="I116" s="331"/>
      <c r="J116" s="331"/>
      <c r="M116" s="303"/>
    </row>
    <row r="117">
      <c r="A117" s="14" t="s">
        <v>430</v>
      </c>
      <c r="B117" s="14" t="s">
        <v>434</v>
      </c>
      <c r="C117" s="77" t="s">
        <v>476</v>
      </c>
      <c r="D117" s="77" t="s">
        <v>4417</v>
      </c>
      <c r="E117" s="51" t="s">
        <v>53</v>
      </c>
      <c r="F117" s="15"/>
      <c r="G117" s="331"/>
      <c r="H117" s="331"/>
      <c r="I117" s="331"/>
      <c r="J117" s="331"/>
      <c r="M117" s="303"/>
    </row>
    <row r="118">
      <c r="A118" s="70"/>
      <c r="B118" s="70"/>
      <c r="C118" s="71"/>
      <c r="D118" s="71"/>
      <c r="E118" s="70"/>
      <c r="F118" s="184"/>
      <c r="G118" s="344"/>
      <c r="H118" s="344"/>
      <c r="I118" s="344"/>
      <c r="J118" s="344"/>
      <c r="K118" s="70"/>
      <c r="L118" s="70"/>
      <c r="M118" s="345"/>
      <c r="N118" s="70"/>
      <c r="O118" s="70"/>
      <c r="P118" s="70"/>
      <c r="Q118" s="70"/>
      <c r="R118" s="70"/>
      <c r="S118" s="70"/>
      <c r="T118" s="70"/>
      <c r="U118" s="70"/>
      <c r="V118" s="70"/>
      <c r="W118" s="70"/>
      <c r="X118" s="70"/>
      <c r="Y118" s="70"/>
      <c r="Z118" s="70"/>
      <c r="AA118" s="70"/>
      <c r="AB118" s="70"/>
      <c r="AC118" s="70"/>
      <c r="AD118" s="70"/>
    </row>
    <row r="119">
      <c r="A119" s="14" t="s">
        <v>438</v>
      </c>
      <c r="C119" s="77" t="s">
        <v>572</v>
      </c>
      <c r="D119" s="77" t="s">
        <v>4419</v>
      </c>
      <c r="E119" s="51" t="s">
        <v>53</v>
      </c>
      <c r="F119" s="15"/>
      <c r="G119" s="331"/>
      <c r="H119" s="331"/>
      <c r="I119" s="331"/>
      <c r="J119" s="331"/>
      <c r="M119" s="303"/>
    </row>
    <row r="120">
      <c r="A120" s="70"/>
      <c r="B120" s="70"/>
      <c r="C120" s="71"/>
      <c r="D120" s="71"/>
      <c r="E120" s="70"/>
      <c r="F120" s="184"/>
      <c r="G120" s="344"/>
      <c r="H120" s="344"/>
      <c r="I120" s="344"/>
      <c r="J120" s="344"/>
      <c r="K120" s="70"/>
      <c r="L120" s="70"/>
      <c r="M120" s="345"/>
      <c r="N120" s="70"/>
      <c r="O120" s="70"/>
      <c r="P120" s="70"/>
      <c r="Q120" s="70"/>
      <c r="R120" s="70"/>
      <c r="S120" s="70"/>
      <c r="T120" s="70"/>
      <c r="U120" s="70"/>
      <c r="V120" s="70"/>
      <c r="W120" s="70"/>
      <c r="X120" s="70"/>
      <c r="Y120" s="70"/>
      <c r="Z120" s="70"/>
      <c r="AA120" s="70"/>
      <c r="AB120" s="70"/>
      <c r="AC120" s="70"/>
      <c r="AD120" s="70"/>
    </row>
    <row r="121">
      <c r="C121" s="139"/>
      <c r="D121" s="139"/>
      <c r="F121" s="15"/>
      <c r="G121" s="331"/>
      <c r="H121" s="331"/>
      <c r="I121" s="331"/>
      <c r="J121" s="331"/>
      <c r="M121" s="303"/>
    </row>
    <row r="122">
      <c r="C122" s="139"/>
      <c r="D122" s="139"/>
      <c r="F122" s="15"/>
      <c r="G122" s="331"/>
      <c r="H122" s="331"/>
      <c r="I122" s="331"/>
      <c r="J122" s="331"/>
      <c r="M122" s="303"/>
    </row>
    <row r="123">
      <c r="C123" s="139"/>
      <c r="D123" s="139"/>
      <c r="F123" s="15"/>
      <c r="G123" s="331"/>
      <c r="H123" s="331"/>
      <c r="I123" s="331"/>
      <c r="J123" s="331"/>
      <c r="M123" s="303"/>
    </row>
    <row r="124">
      <c r="C124" s="139"/>
      <c r="D124" s="139"/>
      <c r="F124" s="15"/>
      <c r="G124" s="331"/>
      <c r="H124" s="331"/>
      <c r="I124" s="331"/>
      <c r="J124" s="331"/>
      <c r="M124" s="303"/>
    </row>
    <row r="125">
      <c r="C125" s="139"/>
      <c r="D125" s="139"/>
      <c r="F125" s="15"/>
      <c r="G125" s="331"/>
      <c r="H125" s="331"/>
      <c r="I125" s="331"/>
      <c r="J125" s="331"/>
      <c r="M125" s="303"/>
    </row>
    <row r="126">
      <c r="C126" s="139"/>
      <c r="D126" s="139"/>
      <c r="F126" s="15"/>
      <c r="G126" s="331"/>
      <c r="H126" s="331"/>
      <c r="I126" s="331"/>
      <c r="J126" s="331"/>
      <c r="M126" s="303"/>
    </row>
    <row r="127">
      <c r="C127" s="139"/>
      <c r="D127" s="139"/>
      <c r="F127" s="15"/>
      <c r="G127" s="331"/>
      <c r="H127" s="331"/>
      <c r="I127" s="331"/>
      <c r="J127" s="331"/>
      <c r="M127" s="303"/>
    </row>
    <row r="128">
      <c r="C128" s="139"/>
      <c r="D128" s="139"/>
      <c r="F128" s="15"/>
      <c r="G128" s="331"/>
      <c r="H128" s="331"/>
      <c r="I128" s="331"/>
      <c r="J128" s="331"/>
      <c r="M128" s="303"/>
    </row>
    <row r="129">
      <c r="C129" s="139"/>
      <c r="D129" s="139"/>
      <c r="F129" s="15"/>
      <c r="G129" s="331"/>
      <c r="H129" s="331"/>
      <c r="I129" s="331"/>
      <c r="J129" s="331"/>
      <c r="M129" s="303"/>
    </row>
    <row r="130">
      <c r="C130" s="139"/>
      <c r="D130" s="139"/>
      <c r="F130" s="15"/>
      <c r="G130" s="331"/>
      <c r="H130" s="331"/>
      <c r="I130" s="331"/>
      <c r="J130" s="331"/>
      <c r="M130" s="303"/>
    </row>
    <row r="131">
      <c r="C131" s="139"/>
      <c r="D131" s="139"/>
      <c r="F131" s="15"/>
      <c r="G131" s="331"/>
      <c r="H131" s="331"/>
      <c r="I131" s="331"/>
      <c r="J131" s="331"/>
      <c r="M131" s="303"/>
    </row>
    <row r="132">
      <c r="C132" s="139"/>
      <c r="D132" s="139"/>
      <c r="F132" s="15"/>
      <c r="G132" s="331"/>
      <c r="H132" s="331"/>
      <c r="I132" s="331"/>
      <c r="J132" s="331"/>
      <c r="M132" s="303"/>
    </row>
    <row r="133">
      <c r="C133" s="139"/>
      <c r="D133" s="139"/>
      <c r="F133" s="15"/>
      <c r="G133" s="331"/>
      <c r="H133" s="331"/>
      <c r="I133" s="331"/>
      <c r="J133" s="331"/>
      <c r="M133" s="303"/>
    </row>
    <row r="134">
      <c r="C134" s="139"/>
      <c r="D134" s="139"/>
      <c r="F134" s="15"/>
      <c r="G134" s="331"/>
      <c r="H134" s="331"/>
      <c r="I134" s="331"/>
      <c r="J134" s="331"/>
      <c r="M134" s="303"/>
    </row>
    <row r="135">
      <c r="C135" s="139"/>
      <c r="D135" s="139"/>
      <c r="F135" s="15"/>
      <c r="G135" s="331"/>
      <c r="H135" s="331"/>
      <c r="I135" s="331"/>
      <c r="J135" s="331"/>
      <c r="M135" s="303"/>
    </row>
    <row r="136">
      <c r="C136" s="139"/>
      <c r="D136" s="139"/>
      <c r="F136" s="15"/>
      <c r="M136" s="303"/>
    </row>
    <row r="137">
      <c r="C137" s="139"/>
      <c r="D137" s="139"/>
      <c r="F137" s="15"/>
      <c r="M137" s="303"/>
    </row>
    <row r="138">
      <c r="C138" s="139"/>
      <c r="D138" s="139"/>
      <c r="F138" s="15"/>
      <c r="M138" s="303"/>
    </row>
    <row r="139">
      <c r="C139" s="139"/>
      <c r="D139" s="139"/>
      <c r="F139" s="15"/>
      <c r="M139" s="303"/>
    </row>
    <row r="140">
      <c r="C140" s="139"/>
      <c r="D140" s="139"/>
      <c r="F140" s="15"/>
      <c r="M140" s="303"/>
    </row>
    <row r="141">
      <c r="C141" s="139"/>
      <c r="D141" s="139"/>
      <c r="F141" s="15"/>
      <c r="M141" s="303"/>
    </row>
    <row r="142">
      <c r="C142" s="139"/>
      <c r="D142" s="139"/>
      <c r="F142" s="15"/>
      <c r="M142" s="303"/>
    </row>
    <row r="143">
      <c r="C143" s="139"/>
      <c r="D143" s="139"/>
      <c r="F143" s="15"/>
      <c r="M143" s="303"/>
    </row>
    <row r="144">
      <c r="C144" s="139"/>
      <c r="D144" s="139"/>
      <c r="F144" s="15"/>
      <c r="M144" s="303"/>
    </row>
    <row r="145">
      <c r="C145" s="139"/>
      <c r="D145" s="139"/>
      <c r="F145" s="15"/>
      <c r="M145" s="303"/>
    </row>
    <row r="146">
      <c r="C146" s="139"/>
      <c r="D146" s="139"/>
      <c r="F146" s="15"/>
      <c r="M146" s="303"/>
    </row>
    <row r="147">
      <c r="C147" s="139"/>
      <c r="D147" s="139"/>
      <c r="F147" s="15"/>
      <c r="M147" s="303"/>
    </row>
    <row r="148">
      <c r="C148" s="139"/>
      <c r="D148" s="139"/>
      <c r="F148" s="15"/>
      <c r="M148" s="303"/>
    </row>
    <row r="149">
      <c r="C149" s="139"/>
      <c r="D149" s="139"/>
      <c r="F149" s="15"/>
      <c r="M149" s="303"/>
    </row>
    <row r="150">
      <c r="C150" s="139"/>
      <c r="D150" s="139"/>
      <c r="F150" s="15"/>
      <c r="M150" s="303"/>
    </row>
    <row r="151">
      <c r="C151" s="139"/>
      <c r="D151" s="139"/>
      <c r="F151" s="15"/>
      <c r="M151" s="303"/>
    </row>
    <row r="152">
      <c r="C152" s="139"/>
      <c r="D152" s="139"/>
      <c r="F152" s="15"/>
      <c r="M152" s="303"/>
    </row>
    <row r="153">
      <c r="C153" s="139"/>
      <c r="D153" s="139"/>
      <c r="F153" s="15"/>
      <c r="M153" s="303"/>
    </row>
    <row r="154">
      <c r="C154" s="139"/>
      <c r="D154" s="139"/>
      <c r="F154" s="15"/>
      <c r="M154" s="303"/>
    </row>
    <row r="155">
      <c r="C155" s="139"/>
      <c r="D155" s="139"/>
      <c r="F155" s="15"/>
      <c r="M155" s="303"/>
    </row>
    <row r="156">
      <c r="C156" s="139"/>
      <c r="D156" s="139"/>
      <c r="F156" s="15"/>
      <c r="M156" s="303"/>
    </row>
    <row r="157">
      <c r="C157" s="139"/>
      <c r="D157" s="139"/>
      <c r="F157" s="15"/>
      <c r="M157" s="303"/>
    </row>
    <row r="158">
      <c r="C158" s="139"/>
      <c r="D158" s="139"/>
      <c r="F158" s="15"/>
      <c r="M158" s="303"/>
    </row>
    <row r="159">
      <c r="C159" s="139"/>
      <c r="D159" s="139"/>
      <c r="F159" s="15"/>
      <c r="M159" s="303"/>
    </row>
    <row r="160">
      <c r="C160" s="139"/>
      <c r="D160" s="139"/>
      <c r="F160" s="15"/>
      <c r="M160" s="303"/>
    </row>
    <row r="161">
      <c r="C161" s="139"/>
      <c r="D161" s="139"/>
      <c r="F161" s="15"/>
      <c r="M161" s="303"/>
    </row>
    <row r="162">
      <c r="C162" s="139"/>
      <c r="D162" s="139"/>
      <c r="F162" s="15"/>
      <c r="M162" s="303"/>
    </row>
    <row r="163">
      <c r="C163" s="139"/>
      <c r="D163" s="139"/>
      <c r="F163" s="15"/>
      <c r="M163" s="303"/>
    </row>
    <row r="164">
      <c r="C164" s="139"/>
      <c r="D164" s="139"/>
      <c r="F164" s="15"/>
      <c r="M164" s="303"/>
    </row>
    <row r="165">
      <c r="C165" s="139"/>
      <c r="D165" s="139"/>
      <c r="F165" s="15"/>
      <c r="M165" s="303"/>
    </row>
    <row r="166">
      <c r="C166" s="139"/>
      <c r="D166" s="139"/>
      <c r="F166" s="15"/>
      <c r="M166" s="303"/>
    </row>
    <row r="167">
      <c r="C167" s="139"/>
      <c r="D167" s="139"/>
      <c r="F167" s="15"/>
      <c r="M167" s="303"/>
    </row>
    <row r="168">
      <c r="C168" s="139"/>
      <c r="D168" s="139"/>
      <c r="F168" s="15"/>
      <c r="M168" s="303"/>
    </row>
    <row r="169">
      <c r="C169" s="139"/>
      <c r="D169" s="139"/>
      <c r="F169" s="15"/>
      <c r="M169" s="303"/>
    </row>
    <row r="170">
      <c r="C170" s="139"/>
      <c r="D170" s="139"/>
      <c r="F170" s="15"/>
      <c r="M170" s="303"/>
    </row>
    <row r="171">
      <c r="C171" s="139"/>
      <c r="D171" s="139"/>
      <c r="F171" s="15"/>
      <c r="M171" s="303"/>
    </row>
    <row r="172">
      <c r="C172" s="139"/>
      <c r="D172" s="139"/>
      <c r="F172" s="15"/>
      <c r="M172" s="303"/>
    </row>
    <row r="173">
      <c r="C173" s="139"/>
      <c r="D173" s="139"/>
      <c r="F173" s="15"/>
      <c r="M173" s="303"/>
    </row>
    <row r="174">
      <c r="C174" s="139"/>
      <c r="D174" s="139"/>
      <c r="F174" s="15"/>
      <c r="M174" s="303"/>
    </row>
    <row r="175">
      <c r="C175" s="139"/>
      <c r="D175" s="139"/>
      <c r="F175" s="15"/>
      <c r="M175" s="303"/>
    </row>
    <row r="176">
      <c r="C176" s="139"/>
      <c r="D176" s="139"/>
      <c r="F176" s="15"/>
      <c r="M176" s="303"/>
    </row>
    <row r="177">
      <c r="C177" s="139"/>
      <c r="D177" s="139"/>
      <c r="F177" s="15"/>
      <c r="M177" s="303"/>
    </row>
    <row r="178">
      <c r="C178" s="139"/>
      <c r="D178" s="139"/>
      <c r="F178" s="15"/>
      <c r="M178" s="303"/>
    </row>
    <row r="179">
      <c r="C179" s="139"/>
      <c r="D179" s="139"/>
      <c r="F179" s="15"/>
      <c r="M179" s="303"/>
    </row>
    <row r="180">
      <c r="C180" s="139"/>
      <c r="D180" s="139"/>
      <c r="F180" s="15"/>
      <c r="M180" s="303"/>
    </row>
    <row r="181">
      <c r="C181" s="139"/>
      <c r="D181" s="139"/>
      <c r="F181" s="15"/>
      <c r="M181" s="303"/>
    </row>
    <row r="182">
      <c r="C182" s="139"/>
      <c r="D182" s="139"/>
      <c r="F182" s="15"/>
      <c r="M182" s="303"/>
    </row>
    <row r="183">
      <c r="C183" s="139"/>
      <c r="D183" s="139"/>
      <c r="F183" s="15"/>
      <c r="M183" s="303"/>
    </row>
    <row r="184">
      <c r="C184" s="139"/>
      <c r="D184" s="139"/>
      <c r="F184" s="15"/>
      <c r="M184" s="303"/>
    </row>
    <row r="185">
      <c r="C185" s="139"/>
      <c r="D185" s="139"/>
      <c r="F185" s="15"/>
      <c r="M185" s="303"/>
    </row>
    <row r="186">
      <c r="C186" s="139"/>
      <c r="D186" s="139"/>
      <c r="F186" s="15"/>
      <c r="M186" s="303"/>
    </row>
    <row r="187">
      <c r="C187" s="139"/>
      <c r="D187" s="139"/>
      <c r="F187" s="15"/>
      <c r="M187" s="303"/>
    </row>
    <row r="188">
      <c r="C188" s="139"/>
      <c r="D188" s="139"/>
      <c r="F188" s="15"/>
      <c r="M188" s="303"/>
    </row>
    <row r="189">
      <c r="C189" s="139"/>
      <c r="D189" s="139"/>
      <c r="F189" s="15"/>
      <c r="M189" s="303"/>
    </row>
    <row r="190">
      <c r="C190" s="139"/>
      <c r="D190" s="139"/>
      <c r="F190" s="15"/>
      <c r="M190" s="303"/>
    </row>
    <row r="191">
      <c r="C191" s="139"/>
      <c r="D191" s="139"/>
      <c r="F191" s="15"/>
      <c r="M191" s="303"/>
    </row>
    <row r="192">
      <c r="C192" s="139"/>
      <c r="D192" s="139"/>
      <c r="F192" s="15"/>
      <c r="M192" s="303"/>
    </row>
    <row r="193">
      <c r="C193" s="139"/>
      <c r="D193" s="139"/>
      <c r="F193" s="15"/>
      <c r="M193" s="303"/>
    </row>
    <row r="194">
      <c r="C194" s="139"/>
      <c r="D194" s="139"/>
      <c r="F194" s="15"/>
      <c r="M194" s="303"/>
    </row>
    <row r="195">
      <c r="C195" s="139"/>
      <c r="D195" s="139"/>
      <c r="F195" s="15"/>
      <c r="M195" s="303"/>
    </row>
    <row r="196">
      <c r="C196" s="139"/>
      <c r="D196" s="139"/>
      <c r="F196" s="15"/>
      <c r="M196" s="303"/>
    </row>
    <row r="197">
      <c r="C197" s="139"/>
      <c r="D197" s="139"/>
      <c r="F197" s="15"/>
      <c r="M197" s="303"/>
    </row>
    <row r="198">
      <c r="C198" s="139"/>
      <c r="D198" s="139"/>
      <c r="F198" s="15"/>
      <c r="M198" s="303"/>
    </row>
    <row r="199">
      <c r="C199" s="139"/>
      <c r="D199" s="139"/>
      <c r="F199" s="15"/>
      <c r="M199" s="303"/>
    </row>
    <row r="200">
      <c r="C200" s="139"/>
      <c r="D200" s="139"/>
      <c r="F200" s="15"/>
      <c r="M200" s="303"/>
    </row>
    <row r="201">
      <c r="C201" s="139"/>
      <c r="D201" s="139"/>
      <c r="F201" s="15"/>
      <c r="M201" s="303"/>
    </row>
    <row r="202">
      <c r="C202" s="139"/>
      <c r="D202" s="139"/>
      <c r="F202" s="15"/>
      <c r="M202" s="303"/>
    </row>
    <row r="203">
      <c r="C203" s="139"/>
      <c r="D203" s="139"/>
      <c r="F203" s="15"/>
      <c r="M203" s="303"/>
    </row>
    <row r="204">
      <c r="C204" s="139"/>
      <c r="D204" s="139"/>
      <c r="F204" s="15"/>
      <c r="M204" s="303"/>
    </row>
    <row r="205">
      <c r="C205" s="139"/>
      <c r="D205" s="139"/>
      <c r="F205" s="15"/>
      <c r="M205" s="303"/>
    </row>
    <row r="206">
      <c r="C206" s="139"/>
      <c r="D206" s="139"/>
      <c r="F206" s="15"/>
      <c r="M206" s="303"/>
    </row>
    <row r="207">
      <c r="C207" s="139"/>
      <c r="D207" s="139"/>
      <c r="F207" s="15"/>
      <c r="M207" s="303"/>
    </row>
    <row r="208">
      <c r="C208" s="139"/>
      <c r="D208" s="139"/>
      <c r="F208" s="15"/>
      <c r="M208" s="303"/>
    </row>
    <row r="209">
      <c r="C209" s="139"/>
      <c r="D209" s="139"/>
      <c r="F209" s="15"/>
      <c r="M209" s="303"/>
    </row>
    <row r="210">
      <c r="C210" s="139"/>
      <c r="D210" s="139"/>
      <c r="F210" s="15"/>
      <c r="M210" s="303"/>
    </row>
    <row r="211">
      <c r="C211" s="139"/>
      <c r="D211" s="139"/>
      <c r="F211" s="15"/>
      <c r="M211" s="303"/>
    </row>
    <row r="212">
      <c r="C212" s="139"/>
      <c r="D212" s="139"/>
      <c r="F212" s="15"/>
      <c r="M212" s="303"/>
    </row>
    <row r="213">
      <c r="C213" s="139"/>
      <c r="D213" s="139"/>
      <c r="F213" s="15"/>
      <c r="M213" s="303"/>
    </row>
    <row r="214">
      <c r="C214" s="139"/>
      <c r="D214" s="139"/>
      <c r="F214" s="15"/>
      <c r="M214" s="303"/>
    </row>
    <row r="215">
      <c r="C215" s="139"/>
      <c r="D215" s="139"/>
      <c r="F215" s="15"/>
      <c r="M215" s="303"/>
    </row>
    <row r="216">
      <c r="C216" s="139"/>
      <c r="D216" s="139"/>
      <c r="F216" s="15"/>
      <c r="M216" s="303"/>
    </row>
    <row r="217">
      <c r="C217" s="139"/>
      <c r="D217" s="139"/>
      <c r="F217" s="15"/>
      <c r="M217" s="303"/>
    </row>
    <row r="218">
      <c r="C218" s="139"/>
      <c r="D218" s="139"/>
      <c r="F218" s="15"/>
      <c r="M218" s="303"/>
    </row>
    <row r="219">
      <c r="C219" s="139"/>
      <c r="D219" s="139"/>
      <c r="F219" s="15"/>
      <c r="M219" s="303"/>
    </row>
    <row r="220">
      <c r="C220" s="139"/>
      <c r="D220" s="139"/>
      <c r="F220" s="15"/>
      <c r="M220" s="303"/>
    </row>
    <row r="221">
      <c r="C221" s="139"/>
      <c r="D221" s="139"/>
      <c r="F221" s="15"/>
      <c r="M221" s="303"/>
    </row>
    <row r="222">
      <c r="C222" s="139"/>
      <c r="D222" s="139"/>
      <c r="F222" s="15"/>
      <c r="M222" s="303"/>
    </row>
    <row r="223">
      <c r="C223" s="139"/>
      <c r="D223" s="139"/>
      <c r="F223" s="15"/>
      <c r="M223" s="303"/>
    </row>
    <row r="224">
      <c r="C224" s="139"/>
      <c r="D224" s="139"/>
      <c r="F224" s="15"/>
      <c r="M224" s="303"/>
    </row>
    <row r="225">
      <c r="C225" s="139"/>
      <c r="D225" s="139"/>
      <c r="F225" s="15"/>
      <c r="M225" s="303"/>
    </row>
    <row r="226">
      <c r="C226" s="139"/>
      <c r="D226" s="139"/>
      <c r="F226" s="15"/>
      <c r="M226" s="303"/>
    </row>
    <row r="227">
      <c r="C227" s="139"/>
      <c r="D227" s="139"/>
      <c r="F227" s="15"/>
      <c r="M227" s="303"/>
    </row>
    <row r="228">
      <c r="C228" s="139"/>
      <c r="D228" s="139"/>
      <c r="F228" s="15"/>
      <c r="M228" s="303"/>
    </row>
    <row r="229">
      <c r="C229" s="139"/>
      <c r="D229" s="139"/>
      <c r="F229" s="15"/>
      <c r="M229" s="303"/>
    </row>
    <row r="230">
      <c r="C230" s="139"/>
      <c r="D230" s="139"/>
      <c r="F230" s="15"/>
      <c r="M230" s="303"/>
    </row>
    <row r="231">
      <c r="C231" s="139"/>
      <c r="D231" s="139"/>
      <c r="F231" s="15"/>
      <c r="M231" s="303"/>
    </row>
    <row r="232">
      <c r="C232" s="139"/>
      <c r="D232" s="139"/>
      <c r="F232" s="15"/>
      <c r="M232" s="303"/>
    </row>
    <row r="233">
      <c r="C233" s="139"/>
      <c r="D233" s="139"/>
      <c r="F233" s="15"/>
      <c r="M233" s="303"/>
    </row>
    <row r="234">
      <c r="C234" s="139"/>
      <c r="D234" s="139"/>
      <c r="F234" s="15"/>
      <c r="M234" s="303"/>
    </row>
    <row r="235">
      <c r="C235" s="139"/>
      <c r="D235" s="139"/>
      <c r="F235" s="15"/>
      <c r="M235" s="303"/>
    </row>
    <row r="236">
      <c r="C236" s="139"/>
      <c r="D236" s="139"/>
      <c r="F236" s="15"/>
      <c r="M236" s="303"/>
    </row>
    <row r="237">
      <c r="C237" s="139"/>
      <c r="D237" s="139"/>
      <c r="F237" s="15"/>
      <c r="M237" s="303"/>
    </row>
    <row r="238">
      <c r="C238" s="139"/>
      <c r="D238" s="139"/>
      <c r="F238" s="15"/>
      <c r="M238" s="303"/>
    </row>
    <row r="239">
      <c r="C239" s="139"/>
      <c r="D239" s="139"/>
      <c r="F239" s="15"/>
      <c r="M239" s="303"/>
    </row>
    <row r="240">
      <c r="C240" s="139"/>
      <c r="D240" s="139"/>
      <c r="F240" s="15"/>
      <c r="M240" s="303"/>
    </row>
    <row r="241">
      <c r="C241" s="139"/>
      <c r="D241" s="139"/>
      <c r="F241" s="15"/>
      <c r="M241" s="303"/>
    </row>
    <row r="242">
      <c r="C242" s="139"/>
      <c r="D242" s="139"/>
      <c r="F242" s="15"/>
      <c r="M242" s="303"/>
    </row>
    <row r="243">
      <c r="C243" s="139"/>
      <c r="D243" s="139"/>
      <c r="F243" s="15"/>
      <c r="M243" s="303"/>
    </row>
    <row r="244">
      <c r="C244" s="139"/>
      <c r="D244" s="139"/>
      <c r="F244" s="15"/>
      <c r="M244" s="303"/>
    </row>
    <row r="245">
      <c r="C245" s="139"/>
      <c r="D245" s="139"/>
      <c r="F245" s="15"/>
      <c r="M245" s="303"/>
    </row>
    <row r="246">
      <c r="C246" s="139"/>
      <c r="D246" s="139"/>
      <c r="F246" s="15"/>
      <c r="M246" s="303"/>
    </row>
    <row r="247">
      <c r="C247" s="139"/>
      <c r="D247" s="139"/>
      <c r="F247" s="15"/>
      <c r="M247" s="303"/>
    </row>
    <row r="248">
      <c r="C248" s="139"/>
      <c r="D248" s="139"/>
      <c r="F248" s="15"/>
      <c r="M248" s="303"/>
    </row>
    <row r="249">
      <c r="C249" s="139"/>
      <c r="D249" s="139"/>
      <c r="F249" s="15"/>
      <c r="M249" s="303"/>
    </row>
    <row r="250">
      <c r="C250" s="139"/>
      <c r="D250" s="139"/>
      <c r="F250" s="15"/>
      <c r="M250" s="303"/>
    </row>
    <row r="251">
      <c r="C251" s="139"/>
      <c r="D251" s="139"/>
      <c r="F251" s="15"/>
      <c r="M251" s="303"/>
    </row>
    <row r="252">
      <c r="C252" s="139"/>
      <c r="D252" s="139"/>
      <c r="F252" s="15"/>
      <c r="M252" s="303"/>
    </row>
    <row r="253">
      <c r="C253" s="139"/>
      <c r="D253" s="139"/>
      <c r="F253" s="15"/>
      <c r="M253" s="303"/>
    </row>
    <row r="254">
      <c r="C254" s="139"/>
      <c r="D254" s="139"/>
      <c r="F254" s="15"/>
      <c r="M254" s="303"/>
    </row>
    <row r="255">
      <c r="C255" s="139"/>
      <c r="D255" s="139"/>
      <c r="F255" s="15"/>
      <c r="M255" s="303"/>
    </row>
    <row r="256">
      <c r="C256" s="139"/>
      <c r="D256" s="139"/>
      <c r="F256" s="15"/>
      <c r="M256" s="303"/>
    </row>
    <row r="257">
      <c r="C257" s="139"/>
      <c r="D257" s="139"/>
      <c r="F257" s="15"/>
      <c r="M257" s="303"/>
    </row>
    <row r="258">
      <c r="C258" s="139"/>
      <c r="D258" s="139"/>
      <c r="F258" s="15"/>
      <c r="M258" s="303"/>
    </row>
    <row r="259">
      <c r="C259" s="139"/>
      <c r="D259" s="139"/>
      <c r="F259" s="15"/>
      <c r="M259" s="303"/>
    </row>
    <row r="260">
      <c r="C260" s="139"/>
      <c r="D260" s="139"/>
      <c r="F260" s="15"/>
      <c r="M260" s="303"/>
    </row>
    <row r="261">
      <c r="C261" s="139"/>
      <c r="D261" s="139"/>
      <c r="F261" s="15"/>
      <c r="M261" s="303"/>
    </row>
    <row r="262">
      <c r="C262" s="139"/>
      <c r="D262" s="139"/>
      <c r="F262" s="15"/>
      <c r="M262" s="303"/>
    </row>
    <row r="263">
      <c r="C263" s="139"/>
      <c r="D263" s="139"/>
      <c r="F263" s="15"/>
      <c r="M263" s="303"/>
    </row>
    <row r="264">
      <c r="C264" s="139"/>
      <c r="D264" s="139"/>
      <c r="F264" s="15"/>
      <c r="M264" s="303"/>
    </row>
    <row r="265">
      <c r="C265" s="139"/>
      <c r="D265" s="139"/>
      <c r="F265" s="15"/>
      <c r="M265" s="303"/>
    </row>
    <row r="266">
      <c r="C266" s="139"/>
      <c r="D266" s="139"/>
      <c r="F266" s="15"/>
      <c r="M266" s="303"/>
    </row>
    <row r="267">
      <c r="C267" s="139"/>
      <c r="D267" s="139"/>
      <c r="F267" s="15"/>
      <c r="M267" s="303"/>
    </row>
    <row r="268">
      <c r="C268" s="139"/>
      <c r="D268" s="139"/>
      <c r="F268" s="15"/>
      <c r="M268" s="303"/>
    </row>
    <row r="269">
      <c r="C269" s="139"/>
      <c r="D269" s="139"/>
      <c r="F269" s="15"/>
      <c r="M269" s="303"/>
    </row>
    <row r="270">
      <c r="C270" s="139"/>
      <c r="D270" s="139"/>
      <c r="F270" s="15"/>
      <c r="M270" s="303"/>
    </row>
    <row r="271">
      <c r="C271" s="139"/>
      <c r="D271" s="139"/>
      <c r="F271" s="15"/>
      <c r="M271" s="303"/>
    </row>
    <row r="272">
      <c r="C272" s="139"/>
      <c r="D272" s="139"/>
      <c r="F272" s="15"/>
      <c r="M272" s="303"/>
    </row>
    <row r="273">
      <c r="C273" s="139"/>
      <c r="D273" s="139"/>
      <c r="F273" s="15"/>
      <c r="M273" s="303"/>
    </row>
    <row r="274">
      <c r="C274" s="139"/>
      <c r="D274" s="139"/>
      <c r="F274" s="15"/>
      <c r="M274" s="303"/>
    </row>
    <row r="275">
      <c r="C275" s="139"/>
      <c r="D275" s="139"/>
      <c r="F275" s="15"/>
      <c r="M275" s="303"/>
    </row>
    <row r="276">
      <c r="C276" s="139"/>
      <c r="D276" s="139"/>
      <c r="F276" s="15"/>
      <c r="M276" s="303"/>
    </row>
    <row r="277">
      <c r="C277" s="139"/>
      <c r="D277" s="139"/>
      <c r="F277" s="15"/>
      <c r="M277" s="303"/>
    </row>
    <row r="278">
      <c r="C278" s="139"/>
      <c r="D278" s="139"/>
      <c r="F278" s="15"/>
      <c r="M278" s="303"/>
    </row>
    <row r="279">
      <c r="C279" s="139"/>
      <c r="D279" s="139"/>
      <c r="F279" s="15"/>
      <c r="M279" s="303"/>
    </row>
    <row r="280">
      <c r="C280" s="139"/>
      <c r="D280" s="139"/>
      <c r="F280" s="15"/>
      <c r="M280" s="303"/>
    </row>
    <row r="281">
      <c r="C281" s="139"/>
      <c r="D281" s="139"/>
      <c r="F281" s="15"/>
      <c r="M281" s="303"/>
    </row>
    <row r="282">
      <c r="C282" s="139"/>
      <c r="D282" s="139"/>
      <c r="F282" s="15"/>
      <c r="M282" s="303"/>
    </row>
    <row r="283">
      <c r="C283" s="139"/>
      <c r="D283" s="139"/>
      <c r="F283" s="15"/>
      <c r="M283" s="303"/>
    </row>
    <row r="284">
      <c r="C284" s="139"/>
      <c r="D284" s="139"/>
      <c r="F284" s="15"/>
      <c r="M284" s="303"/>
    </row>
    <row r="285">
      <c r="C285" s="139"/>
      <c r="D285" s="139"/>
      <c r="F285" s="15"/>
      <c r="M285" s="303"/>
    </row>
    <row r="286">
      <c r="C286" s="139"/>
      <c r="D286" s="139"/>
      <c r="F286" s="15"/>
      <c r="M286" s="303"/>
    </row>
    <row r="287">
      <c r="C287" s="139"/>
      <c r="D287" s="139"/>
      <c r="F287" s="15"/>
      <c r="M287" s="303"/>
    </row>
    <row r="288">
      <c r="C288" s="139"/>
      <c r="D288" s="139"/>
      <c r="F288" s="15"/>
      <c r="M288" s="303"/>
    </row>
    <row r="289">
      <c r="C289" s="139"/>
      <c r="D289" s="139"/>
      <c r="F289" s="15"/>
      <c r="M289" s="303"/>
    </row>
    <row r="290">
      <c r="C290" s="139"/>
      <c r="D290" s="139"/>
      <c r="F290" s="15"/>
      <c r="M290" s="303"/>
    </row>
    <row r="291">
      <c r="C291" s="139"/>
      <c r="D291" s="139"/>
      <c r="F291" s="15"/>
      <c r="M291" s="303"/>
    </row>
    <row r="292">
      <c r="C292" s="139"/>
      <c r="D292" s="139"/>
      <c r="F292" s="15"/>
      <c r="M292" s="303"/>
    </row>
    <row r="293">
      <c r="C293" s="139"/>
      <c r="D293" s="139"/>
      <c r="F293" s="15"/>
      <c r="M293" s="303"/>
    </row>
    <row r="294">
      <c r="C294" s="139"/>
      <c r="D294" s="139"/>
      <c r="F294" s="15"/>
      <c r="M294" s="303"/>
    </row>
    <row r="295">
      <c r="C295" s="139"/>
      <c r="D295" s="139"/>
      <c r="F295" s="15"/>
      <c r="M295" s="303"/>
    </row>
    <row r="296">
      <c r="C296" s="139"/>
      <c r="D296" s="139"/>
      <c r="F296" s="15"/>
      <c r="M296" s="303"/>
    </row>
    <row r="297">
      <c r="C297" s="139"/>
      <c r="D297" s="139"/>
      <c r="F297" s="15"/>
      <c r="M297" s="303"/>
    </row>
    <row r="298">
      <c r="C298" s="139"/>
      <c r="D298" s="139"/>
      <c r="F298" s="15"/>
      <c r="M298" s="303"/>
    </row>
    <row r="299">
      <c r="C299" s="139"/>
      <c r="D299" s="139"/>
      <c r="F299" s="15"/>
      <c r="M299" s="303"/>
    </row>
    <row r="300">
      <c r="C300" s="139"/>
      <c r="D300" s="139"/>
      <c r="F300" s="15"/>
      <c r="M300" s="303"/>
    </row>
    <row r="301">
      <c r="C301" s="139"/>
      <c r="D301" s="139"/>
      <c r="F301" s="15"/>
      <c r="M301" s="303"/>
    </row>
    <row r="302">
      <c r="C302" s="139"/>
      <c r="D302" s="139"/>
      <c r="F302" s="15"/>
      <c r="M302" s="303"/>
    </row>
    <row r="303">
      <c r="C303" s="139"/>
      <c r="D303" s="139"/>
      <c r="F303" s="15"/>
      <c r="M303" s="303"/>
    </row>
    <row r="304">
      <c r="C304" s="139"/>
      <c r="D304" s="139"/>
      <c r="F304" s="15"/>
      <c r="M304" s="303"/>
    </row>
    <row r="305">
      <c r="C305" s="139"/>
      <c r="D305" s="139"/>
      <c r="F305" s="15"/>
      <c r="M305" s="303"/>
    </row>
    <row r="306">
      <c r="C306" s="139"/>
      <c r="D306" s="139"/>
      <c r="F306" s="15"/>
      <c r="M306" s="303"/>
    </row>
    <row r="307">
      <c r="C307" s="139"/>
      <c r="D307" s="139"/>
      <c r="F307" s="15"/>
      <c r="M307" s="303"/>
    </row>
    <row r="308">
      <c r="C308" s="139"/>
      <c r="D308" s="139"/>
      <c r="F308" s="15"/>
      <c r="M308" s="303"/>
    </row>
    <row r="309">
      <c r="C309" s="139"/>
      <c r="D309" s="139"/>
      <c r="F309" s="15"/>
      <c r="M309" s="303"/>
    </row>
    <row r="310">
      <c r="C310" s="139"/>
      <c r="D310" s="139"/>
      <c r="F310" s="15"/>
      <c r="M310" s="303"/>
    </row>
    <row r="311">
      <c r="C311" s="139"/>
      <c r="D311" s="139"/>
      <c r="F311" s="15"/>
      <c r="M311" s="303"/>
    </row>
    <row r="312">
      <c r="C312" s="139"/>
      <c r="D312" s="139"/>
      <c r="F312" s="15"/>
      <c r="M312" s="303"/>
    </row>
    <row r="313">
      <c r="C313" s="139"/>
      <c r="D313" s="139"/>
      <c r="F313" s="15"/>
      <c r="M313" s="303"/>
    </row>
    <row r="314">
      <c r="C314" s="139"/>
      <c r="D314" s="139"/>
      <c r="F314" s="15"/>
      <c r="M314" s="303"/>
    </row>
    <row r="315">
      <c r="C315" s="139"/>
      <c r="D315" s="139"/>
      <c r="F315" s="15"/>
      <c r="M315" s="303"/>
    </row>
    <row r="316">
      <c r="C316" s="139"/>
      <c r="D316" s="139"/>
      <c r="F316" s="15"/>
      <c r="M316" s="303"/>
    </row>
    <row r="317">
      <c r="C317" s="139"/>
      <c r="D317" s="139"/>
      <c r="F317" s="15"/>
      <c r="M317" s="303"/>
    </row>
    <row r="318">
      <c r="C318" s="139"/>
      <c r="D318" s="139"/>
      <c r="F318" s="15"/>
      <c r="M318" s="303"/>
    </row>
    <row r="319">
      <c r="C319" s="139"/>
      <c r="D319" s="139"/>
      <c r="F319" s="15"/>
      <c r="M319" s="303"/>
    </row>
    <row r="320">
      <c r="C320" s="139"/>
      <c r="D320" s="139"/>
      <c r="F320" s="15"/>
      <c r="M320" s="303"/>
    </row>
    <row r="321">
      <c r="C321" s="139"/>
      <c r="D321" s="139"/>
      <c r="F321" s="15"/>
      <c r="M321" s="303"/>
    </row>
    <row r="322">
      <c r="C322" s="139"/>
      <c r="D322" s="139"/>
      <c r="F322" s="15"/>
      <c r="M322" s="303"/>
    </row>
    <row r="323">
      <c r="C323" s="139"/>
      <c r="D323" s="139"/>
      <c r="F323" s="15"/>
      <c r="M323" s="303"/>
    </row>
    <row r="324">
      <c r="C324" s="139"/>
      <c r="D324" s="139"/>
      <c r="F324" s="15"/>
      <c r="M324" s="303"/>
    </row>
    <row r="325">
      <c r="C325" s="139"/>
      <c r="D325" s="139"/>
      <c r="F325" s="15"/>
      <c r="M325" s="303"/>
    </row>
    <row r="326">
      <c r="C326" s="139"/>
      <c r="D326" s="139"/>
      <c r="F326" s="15"/>
      <c r="M326" s="303"/>
    </row>
    <row r="327">
      <c r="C327" s="139"/>
      <c r="D327" s="139"/>
      <c r="F327" s="15"/>
      <c r="M327" s="303"/>
    </row>
    <row r="328">
      <c r="C328" s="139"/>
      <c r="D328" s="139"/>
      <c r="F328" s="15"/>
      <c r="M328" s="303"/>
    </row>
    <row r="329">
      <c r="C329" s="139"/>
      <c r="D329" s="139"/>
      <c r="F329" s="15"/>
      <c r="M329" s="303"/>
    </row>
    <row r="330">
      <c r="C330" s="139"/>
      <c r="D330" s="139"/>
      <c r="F330" s="15"/>
      <c r="M330" s="303"/>
    </row>
    <row r="331">
      <c r="C331" s="139"/>
      <c r="D331" s="139"/>
      <c r="F331" s="15"/>
      <c r="M331" s="303"/>
    </row>
    <row r="332">
      <c r="C332" s="139"/>
      <c r="D332" s="139"/>
      <c r="F332" s="15"/>
      <c r="M332" s="303"/>
    </row>
    <row r="333">
      <c r="C333" s="139"/>
      <c r="D333" s="139"/>
      <c r="F333" s="15"/>
      <c r="M333" s="303"/>
    </row>
    <row r="334">
      <c r="C334" s="139"/>
      <c r="D334" s="139"/>
      <c r="F334" s="15"/>
      <c r="M334" s="303"/>
    </row>
    <row r="335">
      <c r="C335" s="139"/>
      <c r="D335" s="139"/>
      <c r="F335" s="15"/>
      <c r="M335" s="303"/>
    </row>
    <row r="336">
      <c r="C336" s="139"/>
      <c r="D336" s="139"/>
      <c r="F336" s="15"/>
      <c r="M336" s="303"/>
    </row>
    <row r="337">
      <c r="C337" s="139"/>
      <c r="D337" s="139"/>
      <c r="F337" s="15"/>
      <c r="M337" s="303"/>
    </row>
    <row r="338">
      <c r="C338" s="139"/>
      <c r="D338" s="139"/>
      <c r="F338" s="15"/>
      <c r="M338" s="303"/>
    </row>
    <row r="339">
      <c r="C339" s="139"/>
      <c r="D339" s="139"/>
      <c r="F339" s="15"/>
      <c r="M339" s="303"/>
    </row>
    <row r="340">
      <c r="C340" s="139"/>
      <c r="D340" s="139"/>
      <c r="F340" s="15"/>
      <c r="M340" s="303"/>
    </row>
    <row r="341">
      <c r="C341" s="139"/>
      <c r="D341" s="139"/>
      <c r="F341" s="15"/>
      <c r="M341" s="303"/>
    </row>
    <row r="342">
      <c r="C342" s="139"/>
      <c r="D342" s="139"/>
      <c r="F342" s="15"/>
      <c r="M342" s="303"/>
    </row>
    <row r="343">
      <c r="C343" s="139"/>
      <c r="D343" s="139"/>
      <c r="F343" s="15"/>
      <c r="M343" s="303"/>
    </row>
    <row r="344">
      <c r="C344" s="139"/>
      <c r="D344" s="139"/>
      <c r="F344" s="15"/>
      <c r="M344" s="303"/>
    </row>
    <row r="345">
      <c r="C345" s="139"/>
      <c r="D345" s="139"/>
      <c r="F345" s="15"/>
      <c r="M345" s="303"/>
    </row>
    <row r="346">
      <c r="C346" s="139"/>
      <c r="D346" s="139"/>
      <c r="F346" s="15"/>
      <c r="M346" s="303"/>
    </row>
    <row r="347">
      <c r="C347" s="139"/>
      <c r="D347" s="139"/>
      <c r="F347" s="15"/>
      <c r="M347" s="303"/>
    </row>
    <row r="348">
      <c r="C348" s="139"/>
      <c r="D348" s="139"/>
      <c r="F348" s="15"/>
      <c r="M348" s="303"/>
    </row>
    <row r="349">
      <c r="C349" s="139"/>
      <c r="D349" s="139"/>
      <c r="F349" s="15"/>
      <c r="M349" s="303"/>
    </row>
    <row r="350">
      <c r="C350" s="139"/>
      <c r="D350" s="139"/>
      <c r="F350" s="15"/>
      <c r="M350" s="303"/>
    </row>
    <row r="351">
      <c r="C351" s="139"/>
      <c r="D351" s="139"/>
      <c r="F351" s="15"/>
      <c r="M351" s="303"/>
    </row>
    <row r="352">
      <c r="C352" s="139"/>
      <c r="D352" s="139"/>
      <c r="F352" s="15"/>
      <c r="M352" s="303"/>
    </row>
    <row r="353">
      <c r="C353" s="139"/>
      <c r="D353" s="139"/>
      <c r="F353" s="15"/>
      <c r="M353" s="303"/>
    </row>
    <row r="354">
      <c r="C354" s="139"/>
      <c r="D354" s="139"/>
      <c r="F354" s="15"/>
      <c r="M354" s="303"/>
    </row>
    <row r="355">
      <c r="C355" s="139"/>
      <c r="D355" s="139"/>
      <c r="F355" s="15"/>
      <c r="M355" s="303"/>
    </row>
    <row r="356">
      <c r="C356" s="139"/>
      <c r="D356" s="139"/>
      <c r="F356" s="15"/>
      <c r="M356" s="303"/>
    </row>
    <row r="357">
      <c r="C357" s="139"/>
      <c r="D357" s="139"/>
      <c r="F357" s="15"/>
      <c r="M357" s="303"/>
    </row>
    <row r="358">
      <c r="C358" s="139"/>
      <c r="D358" s="139"/>
      <c r="F358" s="15"/>
      <c r="M358" s="303"/>
    </row>
    <row r="359">
      <c r="C359" s="139"/>
      <c r="D359" s="139"/>
      <c r="F359" s="15"/>
      <c r="M359" s="303"/>
    </row>
    <row r="360">
      <c r="C360" s="139"/>
      <c r="D360" s="139"/>
      <c r="F360" s="15"/>
      <c r="M360" s="303"/>
    </row>
    <row r="361">
      <c r="C361" s="139"/>
      <c r="D361" s="139"/>
      <c r="F361" s="15"/>
      <c r="M361" s="303"/>
    </row>
    <row r="362">
      <c r="C362" s="139"/>
      <c r="D362" s="139"/>
      <c r="F362" s="15"/>
      <c r="M362" s="303"/>
    </row>
    <row r="363">
      <c r="C363" s="139"/>
      <c r="D363" s="139"/>
      <c r="F363" s="15"/>
      <c r="M363" s="303"/>
    </row>
    <row r="364">
      <c r="C364" s="139"/>
      <c r="D364" s="139"/>
      <c r="F364" s="15"/>
      <c r="M364" s="303"/>
    </row>
    <row r="365">
      <c r="C365" s="139"/>
      <c r="D365" s="139"/>
      <c r="F365" s="15"/>
      <c r="M365" s="303"/>
    </row>
    <row r="366">
      <c r="C366" s="139"/>
      <c r="D366" s="139"/>
      <c r="F366" s="15"/>
      <c r="M366" s="303"/>
    </row>
    <row r="367">
      <c r="C367" s="139"/>
      <c r="D367" s="139"/>
      <c r="F367" s="15"/>
      <c r="M367" s="303"/>
    </row>
    <row r="368">
      <c r="C368" s="139"/>
      <c r="D368" s="139"/>
      <c r="F368" s="15"/>
      <c r="M368" s="303"/>
    </row>
    <row r="369">
      <c r="C369" s="139"/>
      <c r="D369" s="139"/>
      <c r="F369" s="15"/>
      <c r="M369" s="303"/>
    </row>
    <row r="370">
      <c r="C370" s="139"/>
      <c r="D370" s="139"/>
      <c r="F370" s="15"/>
      <c r="M370" s="303"/>
    </row>
    <row r="371">
      <c r="C371" s="139"/>
      <c r="D371" s="139"/>
      <c r="F371" s="15"/>
      <c r="M371" s="303"/>
    </row>
    <row r="372">
      <c r="C372" s="139"/>
      <c r="D372" s="139"/>
      <c r="F372" s="15"/>
      <c r="M372" s="303"/>
    </row>
    <row r="373">
      <c r="C373" s="139"/>
      <c r="D373" s="139"/>
      <c r="F373" s="15"/>
      <c r="M373" s="303"/>
    </row>
    <row r="374">
      <c r="C374" s="139"/>
      <c r="D374" s="139"/>
      <c r="F374" s="15"/>
      <c r="M374" s="303"/>
    </row>
    <row r="375">
      <c r="C375" s="139"/>
      <c r="D375" s="139"/>
      <c r="F375" s="15"/>
      <c r="M375" s="303"/>
    </row>
    <row r="376">
      <c r="C376" s="139"/>
      <c r="D376" s="139"/>
      <c r="F376" s="15"/>
      <c r="M376" s="303"/>
    </row>
    <row r="377">
      <c r="C377" s="139"/>
      <c r="D377" s="139"/>
      <c r="F377" s="15"/>
      <c r="M377" s="303"/>
    </row>
    <row r="378">
      <c r="C378" s="139"/>
      <c r="D378" s="139"/>
      <c r="F378" s="15"/>
      <c r="M378" s="303"/>
    </row>
    <row r="379">
      <c r="C379" s="139"/>
      <c r="D379" s="139"/>
      <c r="F379" s="15"/>
      <c r="M379" s="303"/>
    </row>
    <row r="380">
      <c r="C380" s="139"/>
      <c r="D380" s="139"/>
      <c r="F380" s="15"/>
      <c r="M380" s="303"/>
    </row>
    <row r="381">
      <c r="C381" s="139"/>
      <c r="D381" s="139"/>
      <c r="F381" s="15"/>
      <c r="M381" s="303"/>
    </row>
    <row r="382">
      <c r="C382" s="139"/>
      <c r="D382" s="139"/>
      <c r="F382" s="15"/>
      <c r="M382" s="303"/>
    </row>
    <row r="383">
      <c r="C383" s="139"/>
      <c r="D383" s="139"/>
      <c r="F383" s="15"/>
      <c r="M383" s="303"/>
    </row>
    <row r="384">
      <c r="C384" s="139"/>
      <c r="D384" s="139"/>
      <c r="F384" s="15"/>
      <c r="M384" s="303"/>
    </row>
    <row r="385">
      <c r="C385" s="139"/>
      <c r="D385" s="139"/>
      <c r="F385" s="15"/>
      <c r="M385" s="303"/>
    </row>
    <row r="386">
      <c r="C386" s="139"/>
      <c r="D386" s="139"/>
      <c r="F386" s="15"/>
      <c r="M386" s="303"/>
    </row>
    <row r="387">
      <c r="C387" s="139"/>
      <c r="D387" s="139"/>
      <c r="F387" s="15"/>
      <c r="M387" s="303"/>
    </row>
    <row r="388">
      <c r="C388" s="139"/>
      <c r="D388" s="139"/>
      <c r="F388" s="15"/>
      <c r="M388" s="303"/>
    </row>
    <row r="389">
      <c r="C389" s="139"/>
      <c r="D389" s="139"/>
      <c r="F389" s="15"/>
      <c r="M389" s="303"/>
    </row>
    <row r="390">
      <c r="C390" s="139"/>
      <c r="D390" s="139"/>
      <c r="F390" s="15"/>
      <c r="M390" s="303"/>
    </row>
    <row r="391">
      <c r="C391" s="139"/>
      <c r="D391" s="139"/>
      <c r="F391" s="15"/>
      <c r="M391" s="303"/>
    </row>
    <row r="392">
      <c r="C392" s="139"/>
      <c r="D392" s="139"/>
      <c r="F392" s="15"/>
      <c r="M392" s="303"/>
    </row>
    <row r="393">
      <c r="C393" s="139"/>
      <c r="D393" s="139"/>
      <c r="F393" s="15"/>
      <c r="M393" s="303"/>
    </row>
    <row r="394">
      <c r="C394" s="139"/>
      <c r="D394" s="139"/>
      <c r="F394" s="15"/>
      <c r="M394" s="303"/>
    </row>
    <row r="395">
      <c r="C395" s="139"/>
      <c r="D395" s="139"/>
      <c r="F395" s="15"/>
      <c r="M395" s="303"/>
    </row>
    <row r="396">
      <c r="C396" s="139"/>
      <c r="D396" s="139"/>
      <c r="F396" s="15"/>
      <c r="M396" s="303"/>
    </row>
    <row r="397">
      <c r="C397" s="139"/>
      <c r="D397" s="139"/>
      <c r="F397" s="15"/>
      <c r="M397" s="303"/>
    </row>
    <row r="398">
      <c r="C398" s="139"/>
      <c r="D398" s="139"/>
      <c r="F398" s="15"/>
      <c r="M398" s="303"/>
    </row>
    <row r="399">
      <c r="C399" s="139"/>
      <c r="D399" s="139"/>
      <c r="F399" s="15"/>
      <c r="M399" s="303"/>
    </row>
    <row r="400">
      <c r="C400" s="139"/>
      <c r="D400" s="139"/>
      <c r="F400" s="15"/>
      <c r="M400" s="303"/>
    </row>
    <row r="401">
      <c r="C401" s="139"/>
      <c r="D401" s="139"/>
      <c r="F401" s="15"/>
      <c r="M401" s="303"/>
    </row>
    <row r="402">
      <c r="C402" s="139"/>
      <c r="D402" s="139"/>
      <c r="F402" s="15"/>
      <c r="M402" s="303"/>
    </row>
    <row r="403">
      <c r="C403" s="139"/>
      <c r="D403" s="139"/>
      <c r="F403" s="15"/>
      <c r="M403" s="303"/>
    </row>
    <row r="404">
      <c r="C404" s="139"/>
      <c r="D404" s="139"/>
      <c r="F404" s="15"/>
      <c r="M404" s="303"/>
    </row>
    <row r="405">
      <c r="C405" s="139"/>
      <c r="D405" s="139"/>
      <c r="F405" s="15"/>
      <c r="M405" s="303"/>
    </row>
    <row r="406">
      <c r="C406" s="139"/>
      <c r="D406" s="139"/>
      <c r="F406" s="15"/>
      <c r="M406" s="303"/>
    </row>
    <row r="407">
      <c r="C407" s="139"/>
      <c r="D407" s="139"/>
      <c r="F407" s="15"/>
      <c r="M407" s="303"/>
    </row>
    <row r="408">
      <c r="C408" s="139"/>
      <c r="D408" s="139"/>
      <c r="F408" s="15"/>
      <c r="M408" s="303"/>
    </row>
    <row r="409">
      <c r="C409" s="139"/>
      <c r="D409" s="139"/>
      <c r="F409" s="15"/>
      <c r="M409" s="303"/>
    </row>
    <row r="410">
      <c r="C410" s="139"/>
      <c r="D410" s="139"/>
      <c r="F410" s="15"/>
      <c r="M410" s="303"/>
    </row>
    <row r="411">
      <c r="C411" s="139"/>
      <c r="D411" s="139"/>
      <c r="F411" s="15"/>
      <c r="M411" s="303"/>
    </row>
    <row r="412">
      <c r="C412" s="139"/>
      <c r="D412" s="139"/>
      <c r="F412" s="15"/>
      <c r="M412" s="303"/>
    </row>
    <row r="413">
      <c r="C413" s="139"/>
      <c r="D413" s="139"/>
      <c r="F413" s="15"/>
      <c r="M413" s="303"/>
    </row>
    <row r="414">
      <c r="C414" s="139"/>
      <c r="D414" s="139"/>
      <c r="F414" s="15"/>
      <c r="M414" s="303"/>
    </row>
    <row r="415">
      <c r="C415" s="139"/>
      <c r="D415" s="139"/>
      <c r="F415" s="15"/>
      <c r="M415" s="303"/>
    </row>
    <row r="416">
      <c r="C416" s="139"/>
      <c r="D416" s="139"/>
      <c r="F416" s="15"/>
      <c r="M416" s="303"/>
    </row>
    <row r="417">
      <c r="C417" s="139"/>
      <c r="D417" s="139"/>
      <c r="F417" s="15"/>
      <c r="M417" s="303"/>
    </row>
    <row r="418">
      <c r="C418" s="139"/>
      <c r="D418" s="139"/>
      <c r="F418" s="15"/>
      <c r="M418" s="303"/>
    </row>
    <row r="419">
      <c r="C419" s="139"/>
      <c r="D419" s="139"/>
      <c r="F419" s="15"/>
      <c r="M419" s="303"/>
    </row>
    <row r="420">
      <c r="C420" s="139"/>
      <c r="D420" s="139"/>
      <c r="F420" s="15"/>
      <c r="M420" s="303"/>
    </row>
    <row r="421">
      <c r="C421" s="139"/>
      <c r="D421" s="139"/>
      <c r="F421" s="15"/>
      <c r="M421" s="303"/>
    </row>
    <row r="422">
      <c r="C422" s="139"/>
      <c r="D422" s="139"/>
      <c r="F422" s="15"/>
      <c r="M422" s="303"/>
    </row>
    <row r="423">
      <c r="C423" s="139"/>
      <c r="D423" s="139"/>
      <c r="F423" s="15"/>
      <c r="M423" s="303"/>
    </row>
    <row r="424">
      <c r="C424" s="139"/>
      <c r="D424" s="139"/>
      <c r="F424" s="15"/>
      <c r="M424" s="303"/>
    </row>
    <row r="425">
      <c r="C425" s="139"/>
      <c r="D425" s="139"/>
      <c r="F425" s="15"/>
      <c r="M425" s="303"/>
    </row>
    <row r="426">
      <c r="C426" s="139"/>
      <c r="D426" s="139"/>
      <c r="F426" s="15"/>
      <c r="M426" s="303"/>
    </row>
    <row r="427">
      <c r="C427" s="139"/>
      <c r="D427" s="139"/>
      <c r="F427" s="15"/>
      <c r="M427" s="303"/>
    </row>
    <row r="428">
      <c r="C428" s="139"/>
      <c r="D428" s="139"/>
      <c r="F428" s="15"/>
      <c r="M428" s="303"/>
    </row>
    <row r="429">
      <c r="C429" s="139"/>
      <c r="D429" s="139"/>
      <c r="F429" s="15"/>
      <c r="M429" s="303"/>
    </row>
    <row r="430">
      <c r="C430" s="139"/>
      <c r="D430" s="139"/>
      <c r="F430" s="15"/>
      <c r="M430" s="303"/>
    </row>
    <row r="431">
      <c r="C431" s="139"/>
      <c r="D431" s="139"/>
      <c r="F431" s="15"/>
      <c r="M431" s="303"/>
    </row>
    <row r="432">
      <c r="C432" s="139"/>
      <c r="D432" s="139"/>
      <c r="F432" s="15"/>
      <c r="M432" s="303"/>
    </row>
    <row r="433">
      <c r="C433" s="139"/>
      <c r="D433" s="139"/>
      <c r="F433" s="15"/>
      <c r="M433" s="303"/>
    </row>
    <row r="434">
      <c r="C434" s="139"/>
      <c r="D434" s="139"/>
      <c r="F434" s="15"/>
      <c r="M434" s="303"/>
    </row>
    <row r="435">
      <c r="C435" s="139"/>
      <c r="D435" s="139"/>
      <c r="F435" s="15"/>
      <c r="M435" s="303"/>
    </row>
    <row r="436">
      <c r="C436" s="139"/>
      <c r="D436" s="139"/>
      <c r="F436" s="15"/>
      <c r="M436" s="303"/>
    </row>
    <row r="437">
      <c r="C437" s="139"/>
      <c r="D437" s="139"/>
      <c r="F437" s="15"/>
      <c r="M437" s="303"/>
    </row>
    <row r="438">
      <c r="C438" s="139"/>
      <c r="D438" s="139"/>
      <c r="F438" s="15"/>
      <c r="M438" s="303"/>
    </row>
    <row r="439">
      <c r="C439" s="139"/>
      <c r="D439" s="139"/>
      <c r="F439" s="15"/>
      <c r="M439" s="303"/>
    </row>
    <row r="440">
      <c r="C440" s="139"/>
      <c r="D440" s="139"/>
      <c r="F440" s="15"/>
      <c r="M440" s="303"/>
    </row>
    <row r="441">
      <c r="C441" s="139"/>
      <c r="D441" s="139"/>
      <c r="F441" s="15"/>
      <c r="M441" s="303"/>
    </row>
    <row r="442">
      <c r="C442" s="139"/>
      <c r="D442" s="139"/>
      <c r="F442" s="15"/>
      <c r="M442" s="303"/>
    </row>
    <row r="443">
      <c r="C443" s="139"/>
      <c r="D443" s="139"/>
      <c r="F443" s="15"/>
      <c r="M443" s="303"/>
    </row>
    <row r="444">
      <c r="C444" s="139"/>
      <c r="D444" s="139"/>
      <c r="F444" s="15"/>
      <c r="M444" s="303"/>
    </row>
    <row r="445">
      <c r="C445" s="139"/>
      <c r="D445" s="139"/>
      <c r="F445" s="15"/>
      <c r="M445" s="303"/>
    </row>
    <row r="446">
      <c r="C446" s="139"/>
      <c r="D446" s="139"/>
      <c r="F446" s="15"/>
      <c r="M446" s="303"/>
    </row>
    <row r="447">
      <c r="C447" s="139"/>
      <c r="D447" s="139"/>
      <c r="F447" s="15"/>
      <c r="M447" s="303"/>
    </row>
    <row r="448">
      <c r="C448" s="139"/>
      <c r="D448" s="139"/>
      <c r="F448" s="15"/>
      <c r="M448" s="303"/>
    </row>
    <row r="449">
      <c r="C449" s="139"/>
      <c r="D449" s="139"/>
      <c r="F449" s="15"/>
      <c r="M449" s="303"/>
    </row>
    <row r="450">
      <c r="C450" s="139"/>
      <c r="D450" s="139"/>
      <c r="F450" s="15"/>
      <c r="M450" s="303"/>
    </row>
    <row r="451">
      <c r="C451" s="139"/>
      <c r="D451" s="139"/>
      <c r="F451" s="15"/>
      <c r="M451" s="303"/>
    </row>
    <row r="452">
      <c r="C452" s="139"/>
      <c r="D452" s="139"/>
      <c r="F452" s="15"/>
      <c r="M452" s="303"/>
    </row>
    <row r="453">
      <c r="C453" s="139"/>
      <c r="D453" s="139"/>
      <c r="F453" s="15"/>
      <c r="M453" s="303"/>
    </row>
    <row r="454">
      <c r="C454" s="139"/>
      <c r="D454" s="139"/>
      <c r="F454" s="15"/>
      <c r="M454" s="303"/>
    </row>
    <row r="455">
      <c r="C455" s="139"/>
      <c r="D455" s="139"/>
      <c r="F455" s="15"/>
      <c r="M455" s="303"/>
    </row>
    <row r="456">
      <c r="C456" s="139"/>
      <c r="D456" s="139"/>
      <c r="F456" s="15"/>
      <c r="M456" s="303"/>
    </row>
    <row r="457">
      <c r="C457" s="139"/>
      <c r="D457" s="139"/>
      <c r="F457" s="15"/>
      <c r="M457" s="303"/>
    </row>
    <row r="458">
      <c r="C458" s="139"/>
      <c r="D458" s="139"/>
      <c r="F458" s="15"/>
      <c r="M458" s="303"/>
    </row>
    <row r="459">
      <c r="C459" s="139"/>
      <c r="D459" s="139"/>
      <c r="F459" s="15"/>
      <c r="M459" s="303"/>
    </row>
    <row r="460">
      <c r="C460" s="139"/>
      <c r="D460" s="139"/>
      <c r="F460" s="15"/>
      <c r="M460" s="303"/>
    </row>
    <row r="461">
      <c r="C461" s="139"/>
      <c r="D461" s="139"/>
      <c r="F461" s="15"/>
      <c r="M461" s="303"/>
    </row>
    <row r="462">
      <c r="C462" s="139"/>
      <c r="D462" s="139"/>
      <c r="F462" s="15"/>
      <c r="M462" s="303"/>
    </row>
    <row r="463">
      <c r="C463" s="139"/>
      <c r="D463" s="139"/>
      <c r="F463" s="15"/>
      <c r="M463" s="303"/>
    </row>
    <row r="464">
      <c r="C464" s="139"/>
      <c r="D464" s="139"/>
      <c r="F464" s="15"/>
      <c r="M464" s="303"/>
    </row>
    <row r="465">
      <c r="C465" s="139"/>
      <c r="D465" s="139"/>
      <c r="F465" s="15"/>
      <c r="M465" s="303"/>
    </row>
    <row r="466">
      <c r="C466" s="139"/>
      <c r="D466" s="139"/>
      <c r="F466" s="15"/>
      <c r="M466" s="303"/>
    </row>
    <row r="467">
      <c r="C467" s="139"/>
      <c r="D467" s="139"/>
      <c r="F467" s="15"/>
      <c r="M467" s="303"/>
    </row>
    <row r="468">
      <c r="C468" s="139"/>
      <c r="D468" s="139"/>
      <c r="F468" s="15"/>
      <c r="M468" s="303"/>
    </row>
    <row r="469">
      <c r="C469" s="139"/>
      <c r="D469" s="139"/>
      <c r="F469" s="15"/>
      <c r="M469" s="303"/>
    </row>
    <row r="470">
      <c r="C470" s="139"/>
      <c r="D470" s="139"/>
      <c r="F470" s="15"/>
      <c r="M470" s="303"/>
    </row>
    <row r="471">
      <c r="C471" s="139"/>
      <c r="D471" s="139"/>
      <c r="F471" s="15"/>
      <c r="M471" s="303"/>
    </row>
    <row r="472">
      <c r="C472" s="139"/>
      <c r="D472" s="139"/>
      <c r="F472" s="15"/>
      <c r="M472" s="303"/>
    </row>
    <row r="473">
      <c r="C473" s="139"/>
      <c r="D473" s="139"/>
      <c r="F473" s="15"/>
      <c r="M473" s="303"/>
    </row>
    <row r="474">
      <c r="C474" s="139"/>
      <c r="D474" s="139"/>
      <c r="F474" s="15"/>
      <c r="M474" s="303"/>
    </row>
    <row r="475">
      <c r="C475" s="139"/>
      <c r="D475" s="139"/>
      <c r="F475" s="15"/>
      <c r="M475" s="303"/>
    </row>
    <row r="476">
      <c r="C476" s="139"/>
      <c r="D476" s="139"/>
      <c r="F476" s="15"/>
      <c r="M476" s="303"/>
    </row>
    <row r="477">
      <c r="C477" s="139"/>
      <c r="D477" s="139"/>
      <c r="F477" s="15"/>
      <c r="M477" s="303"/>
    </row>
    <row r="478">
      <c r="C478" s="139"/>
      <c r="D478" s="139"/>
      <c r="F478" s="15"/>
      <c r="M478" s="303"/>
    </row>
    <row r="479">
      <c r="C479" s="139"/>
      <c r="D479" s="139"/>
      <c r="F479" s="15"/>
      <c r="M479" s="303"/>
    </row>
    <row r="480">
      <c r="C480" s="139"/>
      <c r="D480" s="139"/>
      <c r="F480" s="15"/>
      <c r="M480" s="303"/>
    </row>
    <row r="481">
      <c r="C481" s="139"/>
      <c r="D481" s="139"/>
      <c r="F481" s="15"/>
      <c r="M481" s="303"/>
    </row>
    <row r="482">
      <c r="C482" s="139"/>
      <c r="D482" s="139"/>
      <c r="F482" s="15"/>
      <c r="M482" s="303"/>
    </row>
    <row r="483">
      <c r="C483" s="139"/>
      <c r="D483" s="139"/>
      <c r="F483" s="15"/>
      <c r="M483" s="303"/>
    </row>
    <row r="484">
      <c r="C484" s="139"/>
      <c r="D484" s="139"/>
      <c r="F484" s="15"/>
      <c r="M484" s="303"/>
    </row>
    <row r="485">
      <c r="C485" s="139"/>
      <c r="D485" s="139"/>
      <c r="F485" s="15"/>
      <c r="M485" s="303"/>
    </row>
    <row r="486">
      <c r="C486" s="139"/>
      <c r="D486" s="139"/>
      <c r="F486" s="15"/>
      <c r="M486" s="303"/>
    </row>
    <row r="487">
      <c r="C487" s="139"/>
      <c r="D487" s="139"/>
      <c r="F487" s="15"/>
      <c r="M487" s="303"/>
    </row>
    <row r="488">
      <c r="C488" s="139"/>
      <c r="D488" s="139"/>
      <c r="F488" s="15"/>
      <c r="M488" s="303"/>
    </row>
    <row r="489">
      <c r="C489" s="139"/>
      <c r="D489" s="139"/>
      <c r="F489" s="15"/>
      <c r="M489" s="303"/>
    </row>
    <row r="490">
      <c r="C490" s="139"/>
      <c r="D490" s="139"/>
      <c r="F490" s="15"/>
      <c r="M490" s="303"/>
    </row>
    <row r="491">
      <c r="C491" s="139"/>
      <c r="D491" s="139"/>
      <c r="F491" s="15"/>
      <c r="M491" s="303"/>
    </row>
    <row r="492">
      <c r="C492" s="139"/>
      <c r="D492" s="139"/>
      <c r="F492" s="15"/>
      <c r="M492" s="303"/>
    </row>
    <row r="493">
      <c r="C493" s="139"/>
      <c r="D493" s="139"/>
      <c r="F493" s="15"/>
      <c r="M493" s="303"/>
    </row>
    <row r="494">
      <c r="C494" s="139"/>
      <c r="D494" s="139"/>
      <c r="F494" s="15"/>
      <c r="M494" s="303"/>
    </row>
    <row r="495">
      <c r="C495" s="139"/>
      <c r="D495" s="139"/>
      <c r="F495" s="15"/>
      <c r="M495" s="303"/>
    </row>
    <row r="496">
      <c r="C496" s="139"/>
      <c r="D496" s="139"/>
      <c r="F496" s="15"/>
      <c r="M496" s="303"/>
    </row>
    <row r="497">
      <c r="C497" s="139"/>
      <c r="D497" s="139"/>
      <c r="F497" s="15"/>
      <c r="M497" s="303"/>
    </row>
    <row r="498">
      <c r="C498" s="139"/>
      <c r="D498" s="139"/>
      <c r="F498" s="15"/>
      <c r="M498" s="303"/>
    </row>
    <row r="499">
      <c r="C499" s="139"/>
      <c r="D499" s="139"/>
      <c r="F499" s="15"/>
      <c r="M499" s="303"/>
    </row>
    <row r="500">
      <c r="C500" s="139"/>
      <c r="D500" s="139"/>
      <c r="F500" s="15"/>
      <c r="M500" s="303"/>
    </row>
    <row r="501">
      <c r="C501" s="139"/>
      <c r="D501" s="139"/>
      <c r="F501" s="15"/>
      <c r="M501" s="303"/>
    </row>
    <row r="502">
      <c r="C502" s="139"/>
      <c r="D502" s="139"/>
      <c r="F502" s="15"/>
      <c r="M502" s="303"/>
    </row>
    <row r="503">
      <c r="C503" s="139"/>
      <c r="D503" s="139"/>
      <c r="F503" s="15"/>
      <c r="M503" s="303"/>
    </row>
    <row r="504">
      <c r="C504" s="139"/>
      <c r="D504" s="139"/>
      <c r="F504" s="15"/>
      <c r="M504" s="303"/>
    </row>
    <row r="505">
      <c r="C505" s="139"/>
      <c r="D505" s="139"/>
      <c r="F505" s="15"/>
      <c r="M505" s="303"/>
    </row>
    <row r="506">
      <c r="C506" s="139"/>
      <c r="D506" s="139"/>
      <c r="F506" s="15"/>
      <c r="M506" s="303"/>
    </row>
    <row r="507">
      <c r="C507" s="139"/>
      <c r="D507" s="139"/>
      <c r="F507" s="15"/>
      <c r="M507" s="303"/>
    </row>
    <row r="508">
      <c r="C508" s="139"/>
      <c r="D508" s="139"/>
      <c r="F508" s="15"/>
      <c r="M508" s="303"/>
    </row>
    <row r="509">
      <c r="C509" s="139"/>
      <c r="D509" s="139"/>
      <c r="F509" s="15"/>
      <c r="M509" s="303"/>
    </row>
    <row r="510">
      <c r="C510" s="139"/>
      <c r="D510" s="139"/>
      <c r="F510" s="15"/>
      <c r="M510" s="303"/>
    </row>
    <row r="511">
      <c r="C511" s="139"/>
      <c r="D511" s="139"/>
      <c r="F511" s="15"/>
      <c r="M511" s="303"/>
    </row>
    <row r="512">
      <c r="C512" s="139"/>
      <c r="D512" s="139"/>
      <c r="F512" s="15"/>
      <c r="M512" s="303"/>
    </row>
    <row r="513">
      <c r="C513" s="139"/>
      <c r="D513" s="139"/>
      <c r="F513" s="15"/>
      <c r="M513" s="303"/>
    </row>
    <row r="514">
      <c r="C514" s="139"/>
      <c r="D514" s="139"/>
      <c r="F514" s="15"/>
      <c r="M514" s="303"/>
    </row>
    <row r="515">
      <c r="C515" s="139"/>
      <c r="D515" s="139"/>
      <c r="F515" s="15"/>
      <c r="M515" s="303"/>
    </row>
    <row r="516">
      <c r="C516" s="139"/>
      <c r="D516" s="139"/>
      <c r="F516" s="15"/>
      <c r="M516" s="303"/>
    </row>
    <row r="517">
      <c r="C517" s="139"/>
      <c r="D517" s="139"/>
      <c r="F517" s="15"/>
      <c r="M517" s="303"/>
    </row>
    <row r="518">
      <c r="C518" s="139"/>
      <c r="D518" s="139"/>
      <c r="F518" s="15"/>
      <c r="M518" s="303"/>
    </row>
    <row r="519">
      <c r="C519" s="139"/>
      <c r="D519" s="139"/>
      <c r="F519" s="15"/>
      <c r="M519" s="303"/>
    </row>
    <row r="520">
      <c r="C520" s="139"/>
      <c r="D520" s="139"/>
      <c r="F520" s="15"/>
      <c r="M520" s="303"/>
    </row>
    <row r="521">
      <c r="C521" s="139"/>
      <c r="D521" s="139"/>
      <c r="F521" s="15"/>
      <c r="M521" s="303"/>
    </row>
    <row r="522">
      <c r="C522" s="139"/>
      <c r="D522" s="139"/>
      <c r="F522" s="15"/>
      <c r="M522" s="303"/>
    </row>
    <row r="523">
      <c r="C523" s="139"/>
      <c r="D523" s="139"/>
      <c r="F523" s="15"/>
      <c r="M523" s="303"/>
    </row>
    <row r="524">
      <c r="C524" s="139"/>
      <c r="D524" s="139"/>
      <c r="F524" s="15"/>
      <c r="M524" s="303"/>
    </row>
    <row r="525">
      <c r="C525" s="139"/>
      <c r="D525" s="139"/>
      <c r="F525" s="15"/>
      <c r="M525" s="303"/>
    </row>
    <row r="526">
      <c r="C526" s="139"/>
      <c r="D526" s="139"/>
      <c r="F526" s="15"/>
      <c r="M526" s="303"/>
    </row>
    <row r="527">
      <c r="C527" s="139"/>
      <c r="D527" s="139"/>
      <c r="F527" s="15"/>
      <c r="M527" s="303"/>
    </row>
    <row r="528">
      <c r="C528" s="139"/>
      <c r="D528" s="139"/>
      <c r="F528" s="15"/>
      <c r="M528" s="303"/>
    </row>
    <row r="529">
      <c r="C529" s="139"/>
      <c r="D529" s="139"/>
      <c r="F529" s="15"/>
      <c r="M529" s="303"/>
    </row>
    <row r="530">
      <c r="C530" s="139"/>
      <c r="D530" s="139"/>
      <c r="F530" s="15"/>
      <c r="M530" s="303"/>
    </row>
    <row r="531">
      <c r="C531" s="139"/>
      <c r="D531" s="139"/>
      <c r="F531" s="15"/>
      <c r="M531" s="303"/>
    </row>
    <row r="532">
      <c r="C532" s="139"/>
      <c r="D532" s="139"/>
      <c r="F532" s="15"/>
      <c r="M532" s="303"/>
    </row>
    <row r="533">
      <c r="C533" s="139"/>
      <c r="D533" s="139"/>
      <c r="F533" s="15"/>
      <c r="M533" s="303"/>
    </row>
    <row r="534">
      <c r="C534" s="139"/>
      <c r="D534" s="139"/>
      <c r="F534" s="15"/>
      <c r="M534" s="303"/>
    </row>
    <row r="535">
      <c r="C535" s="139"/>
      <c r="D535" s="139"/>
      <c r="F535" s="15"/>
      <c r="M535" s="303"/>
    </row>
    <row r="536">
      <c r="C536" s="139"/>
      <c r="D536" s="139"/>
      <c r="F536" s="15"/>
      <c r="M536" s="303"/>
    </row>
    <row r="537">
      <c r="C537" s="139"/>
      <c r="D537" s="139"/>
      <c r="F537" s="15"/>
      <c r="M537" s="303"/>
    </row>
    <row r="538">
      <c r="C538" s="139"/>
      <c r="D538" s="139"/>
      <c r="F538" s="15"/>
      <c r="M538" s="303"/>
    </row>
    <row r="539">
      <c r="C539" s="139"/>
      <c r="D539" s="139"/>
      <c r="F539" s="15"/>
      <c r="M539" s="303"/>
    </row>
    <row r="540">
      <c r="C540" s="139"/>
      <c r="D540" s="139"/>
      <c r="F540" s="15"/>
      <c r="M540" s="303"/>
    </row>
    <row r="541">
      <c r="C541" s="139"/>
      <c r="D541" s="139"/>
      <c r="F541" s="15"/>
      <c r="M541" s="303"/>
    </row>
    <row r="542">
      <c r="C542" s="139"/>
      <c r="D542" s="139"/>
      <c r="F542" s="15"/>
      <c r="M542" s="303"/>
    </row>
    <row r="543">
      <c r="C543" s="139"/>
      <c r="D543" s="139"/>
      <c r="F543" s="15"/>
      <c r="M543" s="303"/>
    </row>
    <row r="544">
      <c r="C544" s="139"/>
      <c r="D544" s="139"/>
      <c r="F544" s="15"/>
      <c r="M544" s="303"/>
    </row>
    <row r="545">
      <c r="C545" s="139"/>
      <c r="D545" s="139"/>
      <c r="F545" s="15"/>
      <c r="M545" s="303"/>
    </row>
    <row r="546">
      <c r="C546" s="139"/>
      <c r="D546" s="139"/>
      <c r="F546" s="15"/>
      <c r="M546" s="303"/>
    </row>
    <row r="547">
      <c r="C547" s="139"/>
      <c r="D547" s="139"/>
      <c r="F547" s="15"/>
      <c r="M547" s="303"/>
    </row>
    <row r="548">
      <c r="C548" s="139"/>
      <c r="D548" s="139"/>
      <c r="F548" s="15"/>
      <c r="M548" s="303"/>
    </row>
    <row r="549">
      <c r="C549" s="139"/>
      <c r="D549" s="139"/>
      <c r="F549" s="15"/>
      <c r="M549" s="303"/>
    </row>
    <row r="550">
      <c r="C550" s="139"/>
      <c r="D550" s="139"/>
      <c r="F550" s="15"/>
      <c r="M550" s="303"/>
    </row>
    <row r="551">
      <c r="C551" s="139"/>
      <c r="D551" s="139"/>
      <c r="F551" s="15"/>
      <c r="M551" s="303"/>
    </row>
    <row r="552">
      <c r="C552" s="139"/>
      <c r="D552" s="139"/>
      <c r="F552" s="15"/>
      <c r="M552" s="303"/>
    </row>
    <row r="553">
      <c r="C553" s="139"/>
      <c r="D553" s="139"/>
      <c r="F553" s="15"/>
      <c r="M553" s="303"/>
    </row>
    <row r="554">
      <c r="C554" s="139"/>
      <c r="D554" s="139"/>
      <c r="F554" s="15"/>
      <c r="M554" s="303"/>
    </row>
    <row r="555">
      <c r="C555" s="139"/>
      <c r="D555" s="139"/>
      <c r="F555" s="15"/>
      <c r="M555" s="303"/>
    </row>
    <row r="556">
      <c r="C556" s="139"/>
      <c r="D556" s="139"/>
      <c r="F556" s="15"/>
      <c r="M556" s="303"/>
    </row>
    <row r="557">
      <c r="C557" s="139"/>
      <c r="D557" s="139"/>
      <c r="F557" s="15"/>
      <c r="M557" s="303"/>
    </row>
    <row r="558">
      <c r="C558" s="139"/>
      <c r="D558" s="139"/>
      <c r="F558" s="15"/>
      <c r="M558" s="303"/>
    </row>
    <row r="559">
      <c r="C559" s="139"/>
      <c r="D559" s="139"/>
      <c r="F559" s="15"/>
      <c r="M559" s="303"/>
    </row>
    <row r="560">
      <c r="C560" s="139"/>
      <c r="D560" s="139"/>
      <c r="F560" s="15"/>
      <c r="M560" s="303"/>
    </row>
    <row r="561">
      <c r="C561" s="139"/>
      <c r="D561" s="139"/>
      <c r="F561" s="15"/>
      <c r="M561" s="303"/>
    </row>
    <row r="562">
      <c r="C562" s="139"/>
      <c r="D562" s="139"/>
      <c r="F562" s="15"/>
      <c r="M562" s="303"/>
    </row>
    <row r="563">
      <c r="C563" s="139"/>
      <c r="D563" s="139"/>
      <c r="F563" s="15"/>
      <c r="M563" s="303"/>
    </row>
    <row r="564">
      <c r="C564" s="139"/>
      <c r="D564" s="139"/>
      <c r="F564" s="15"/>
      <c r="M564" s="303"/>
    </row>
    <row r="565">
      <c r="C565" s="139"/>
      <c r="D565" s="139"/>
      <c r="F565" s="15"/>
      <c r="M565" s="303"/>
    </row>
    <row r="566">
      <c r="C566" s="139"/>
      <c r="D566" s="139"/>
      <c r="F566" s="15"/>
      <c r="M566" s="303"/>
    </row>
    <row r="567">
      <c r="C567" s="139"/>
      <c r="D567" s="139"/>
      <c r="F567" s="15"/>
      <c r="M567" s="303"/>
    </row>
    <row r="568">
      <c r="C568" s="139"/>
      <c r="D568" s="139"/>
      <c r="F568" s="15"/>
      <c r="M568" s="303"/>
    </row>
    <row r="569">
      <c r="C569" s="139"/>
      <c r="D569" s="139"/>
      <c r="F569" s="15"/>
      <c r="M569" s="303"/>
    </row>
    <row r="570">
      <c r="C570" s="139"/>
      <c r="D570" s="139"/>
      <c r="F570" s="15"/>
      <c r="M570" s="303"/>
    </row>
    <row r="571">
      <c r="C571" s="139"/>
      <c r="D571" s="139"/>
      <c r="F571" s="15"/>
      <c r="M571" s="303"/>
    </row>
    <row r="572">
      <c r="C572" s="139"/>
      <c r="D572" s="139"/>
      <c r="F572" s="15"/>
      <c r="M572" s="303"/>
    </row>
    <row r="573">
      <c r="C573" s="139"/>
      <c r="D573" s="139"/>
      <c r="F573" s="15"/>
      <c r="M573" s="303"/>
    </row>
    <row r="574">
      <c r="C574" s="139"/>
      <c r="D574" s="139"/>
      <c r="F574" s="15"/>
      <c r="M574" s="303"/>
    </row>
    <row r="575">
      <c r="C575" s="139"/>
      <c r="D575" s="139"/>
      <c r="F575" s="15"/>
      <c r="M575" s="303"/>
    </row>
    <row r="576">
      <c r="C576" s="139"/>
      <c r="D576" s="139"/>
      <c r="F576" s="15"/>
      <c r="M576" s="303"/>
    </row>
    <row r="577">
      <c r="C577" s="139"/>
      <c r="D577" s="139"/>
      <c r="F577" s="15"/>
      <c r="M577" s="303"/>
    </row>
    <row r="578">
      <c r="C578" s="139"/>
      <c r="D578" s="139"/>
      <c r="F578" s="15"/>
      <c r="M578" s="303"/>
    </row>
    <row r="579">
      <c r="C579" s="139"/>
      <c r="D579" s="139"/>
      <c r="F579" s="15"/>
      <c r="M579" s="303"/>
    </row>
    <row r="580">
      <c r="C580" s="139"/>
      <c r="D580" s="139"/>
      <c r="F580" s="15"/>
      <c r="M580" s="303"/>
    </row>
    <row r="581">
      <c r="C581" s="139"/>
      <c r="D581" s="139"/>
      <c r="F581" s="15"/>
      <c r="M581" s="303"/>
    </row>
    <row r="582">
      <c r="C582" s="139"/>
      <c r="D582" s="139"/>
      <c r="F582" s="15"/>
      <c r="M582" s="303"/>
    </row>
    <row r="583">
      <c r="C583" s="139"/>
      <c r="D583" s="139"/>
      <c r="F583" s="15"/>
      <c r="M583" s="303"/>
    </row>
    <row r="584">
      <c r="C584" s="139"/>
      <c r="D584" s="139"/>
      <c r="F584" s="15"/>
      <c r="M584" s="303"/>
    </row>
    <row r="585">
      <c r="C585" s="139"/>
      <c r="D585" s="139"/>
      <c r="F585" s="15"/>
      <c r="M585" s="303"/>
    </row>
    <row r="586">
      <c r="C586" s="139"/>
      <c r="D586" s="139"/>
      <c r="F586" s="15"/>
      <c r="M586" s="303"/>
    </row>
    <row r="587">
      <c r="C587" s="139"/>
      <c r="D587" s="139"/>
      <c r="F587" s="15"/>
      <c r="M587" s="303"/>
    </row>
    <row r="588">
      <c r="C588" s="139"/>
      <c r="D588" s="139"/>
      <c r="F588" s="15"/>
      <c r="M588" s="303"/>
    </row>
    <row r="589">
      <c r="C589" s="139"/>
      <c r="D589" s="139"/>
      <c r="F589" s="15"/>
      <c r="M589" s="303"/>
    </row>
    <row r="590">
      <c r="C590" s="139"/>
      <c r="D590" s="139"/>
      <c r="F590" s="15"/>
      <c r="M590" s="303"/>
    </row>
    <row r="591">
      <c r="C591" s="139"/>
      <c r="D591" s="139"/>
      <c r="F591" s="15"/>
      <c r="M591" s="303"/>
    </row>
    <row r="592">
      <c r="C592" s="139"/>
      <c r="D592" s="139"/>
      <c r="F592" s="15"/>
      <c r="M592" s="303"/>
    </row>
    <row r="593">
      <c r="C593" s="139"/>
      <c r="D593" s="139"/>
      <c r="F593" s="15"/>
      <c r="M593" s="303"/>
    </row>
    <row r="594">
      <c r="C594" s="139"/>
      <c r="D594" s="139"/>
      <c r="F594" s="15"/>
      <c r="M594" s="303"/>
    </row>
    <row r="595">
      <c r="C595" s="139"/>
      <c r="D595" s="139"/>
      <c r="F595" s="15"/>
      <c r="M595" s="303"/>
    </row>
    <row r="596">
      <c r="C596" s="139"/>
      <c r="D596" s="139"/>
      <c r="F596" s="15"/>
      <c r="M596" s="303"/>
    </row>
    <row r="597">
      <c r="C597" s="139"/>
      <c r="D597" s="139"/>
      <c r="F597" s="15"/>
      <c r="M597" s="303"/>
    </row>
    <row r="598">
      <c r="C598" s="139"/>
      <c r="D598" s="139"/>
      <c r="F598" s="15"/>
      <c r="M598" s="303"/>
    </row>
    <row r="599">
      <c r="C599" s="139"/>
      <c r="D599" s="139"/>
      <c r="F599" s="15"/>
      <c r="M599" s="303"/>
    </row>
    <row r="600">
      <c r="C600" s="139"/>
      <c r="D600" s="139"/>
      <c r="F600" s="15"/>
      <c r="M600" s="303"/>
    </row>
    <row r="601">
      <c r="C601" s="139"/>
      <c r="D601" s="139"/>
      <c r="F601" s="15"/>
      <c r="M601" s="303"/>
    </row>
    <row r="602">
      <c r="C602" s="139"/>
      <c r="D602" s="139"/>
      <c r="F602" s="15"/>
      <c r="M602" s="303"/>
    </row>
    <row r="603">
      <c r="C603" s="139"/>
      <c r="D603" s="139"/>
      <c r="F603" s="15"/>
      <c r="M603" s="303"/>
    </row>
    <row r="604">
      <c r="C604" s="139"/>
      <c r="D604" s="139"/>
      <c r="F604" s="15"/>
      <c r="M604" s="303"/>
    </row>
    <row r="605">
      <c r="C605" s="139"/>
      <c r="D605" s="139"/>
      <c r="F605" s="15"/>
      <c r="M605" s="303"/>
    </row>
    <row r="606">
      <c r="C606" s="139"/>
      <c r="D606" s="139"/>
      <c r="F606" s="15"/>
      <c r="M606" s="303"/>
    </row>
    <row r="607">
      <c r="C607" s="139"/>
      <c r="D607" s="139"/>
      <c r="F607" s="15"/>
      <c r="M607" s="303"/>
    </row>
    <row r="608">
      <c r="C608" s="139"/>
      <c r="D608" s="139"/>
      <c r="F608" s="15"/>
      <c r="M608" s="303"/>
    </row>
    <row r="609">
      <c r="C609" s="139"/>
      <c r="D609" s="139"/>
      <c r="F609" s="15"/>
      <c r="M609" s="303"/>
    </row>
    <row r="610">
      <c r="C610" s="139"/>
      <c r="D610" s="139"/>
      <c r="F610" s="15"/>
      <c r="M610" s="303"/>
    </row>
    <row r="611">
      <c r="C611" s="139"/>
      <c r="D611" s="139"/>
      <c r="F611" s="15"/>
      <c r="M611" s="303"/>
    </row>
    <row r="612">
      <c r="C612" s="139"/>
      <c r="D612" s="139"/>
      <c r="F612" s="15"/>
      <c r="M612" s="303"/>
    </row>
    <row r="613">
      <c r="C613" s="139"/>
      <c r="D613" s="139"/>
      <c r="F613" s="15"/>
      <c r="M613" s="303"/>
    </row>
    <row r="614">
      <c r="C614" s="139"/>
      <c r="D614" s="139"/>
      <c r="F614" s="15"/>
      <c r="M614" s="303"/>
    </row>
    <row r="615">
      <c r="C615" s="139"/>
      <c r="D615" s="139"/>
      <c r="F615" s="15"/>
      <c r="M615" s="303"/>
    </row>
    <row r="616">
      <c r="C616" s="139"/>
      <c r="D616" s="139"/>
      <c r="F616" s="15"/>
      <c r="M616" s="303"/>
    </row>
    <row r="617">
      <c r="C617" s="139"/>
      <c r="D617" s="139"/>
      <c r="F617" s="15"/>
      <c r="M617" s="303"/>
    </row>
    <row r="618">
      <c r="C618" s="139"/>
      <c r="D618" s="139"/>
      <c r="F618" s="15"/>
      <c r="M618" s="303"/>
    </row>
    <row r="619">
      <c r="C619" s="139"/>
      <c r="D619" s="139"/>
      <c r="F619" s="15"/>
      <c r="M619" s="303"/>
    </row>
    <row r="620">
      <c r="C620" s="139"/>
      <c r="D620" s="139"/>
      <c r="F620" s="15"/>
      <c r="M620" s="303"/>
    </row>
    <row r="621">
      <c r="C621" s="139"/>
      <c r="D621" s="139"/>
      <c r="F621" s="15"/>
      <c r="M621" s="303"/>
    </row>
    <row r="622">
      <c r="C622" s="139"/>
      <c r="D622" s="139"/>
      <c r="F622" s="15"/>
      <c r="M622" s="303"/>
    </row>
    <row r="623">
      <c r="C623" s="139"/>
      <c r="D623" s="139"/>
      <c r="F623" s="15"/>
      <c r="M623" s="303"/>
    </row>
    <row r="624">
      <c r="C624" s="139"/>
      <c r="D624" s="139"/>
      <c r="F624" s="15"/>
      <c r="M624" s="303"/>
    </row>
    <row r="625">
      <c r="C625" s="139"/>
      <c r="D625" s="139"/>
      <c r="F625" s="15"/>
      <c r="M625" s="303"/>
    </row>
    <row r="626">
      <c r="C626" s="139"/>
      <c r="D626" s="139"/>
      <c r="F626" s="15"/>
      <c r="M626" s="303"/>
    </row>
    <row r="627">
      <c r="C627" s="139"/>
      <c r="D627" s="139"/>
      <c r="F627" s="15"/>
      <c r="M627" s="303"/>
    </row>
    <row r="628">
      <c r="C628" s="139"/>
      <c r="D628" s="139"/>
      <c r="F628" s="15"/>
      <c r="M628" s="303"/>
    </row>
    <row r="629">
      <c r="C629" s="139"/>
      <c r="D629" s="139"/>
      <c r="F629" s="15"/>
      <c r="M629" s="303"/>
    </row>
    <row r="630">
      <c r="C630" s="139"/>
      <c r="D630" s="139"/>
      <c r="F630" s="15"/>
      <c r="M630" s="303"/>
    </row>
    <row r="631">
      <c r="C631" s="139"/>
      <c r="D631" s="139"/>
      <c r="F631" s="15"/>
      <c r="M631" s="303"/>
    </row>
    <row r="632">
      <c r="C632" s="139"/>
      <c r="D632" s="139"/>
      <c r="F632" s="15"/>
      <c r="M632" s="303"/>
    </row>
    <row r="633">
      <c r="C633" s="139"/>
      <c r="D633" s="139"/>
      <c r="F633" s="15"/>
      <c r="M633" s="303"/>
    </row>
    <row r="634">
      <c r="C634" s="139"/>
      <c r="D634" s="139"/>
      <c r="F634" s="15"/>
      <c r="M634" s="303"/>
    </row>
    <row r="635">
      <c r="C635" s="139"/>
      <c r="D635" s="139"/>
      <c r="F635" s="15"/>
      <c r="M635" s="303"/>
    </row>
    <row r="636">
      <c r="C636" s="139"/>
      <c r="D636" s="139"/>
      <c r="F636" s="15"/>
      <c r="M636" s="303"/>
    </row>
    <row r="637">
      <c r="C637" s="139"/>
      <c r="D637" s="139"/>
      <c r="F637" s="15"/>
      <c r="M637" s="303"/>
    </row>
    <row r="638">
      <c r="C638" s="139"/>
      <c r="D638" s="139"/>
      <c r="F638" s="15"/>
      <c r="M638" s="303"/>
    </row>
    <row r="639">
      <c r="C639" s="139"/>
      <c r="D639" s="139"/>
      <c r="F639" s="15"/>
      <c r="M639" s="303"/>
    </row>
    <row r="640">
      <c r="C640" s="139"/>
      <c r="D640" s="139"/>
      <c r="F640" s="15"/>
      <c r="M640" s="303"/>
    </row>
    <row r="641">
      <c r="C641" s="139"/>
      <c r="D641" s="139"/>
      <c r="F641" s="15"/>
      <c r="M641" s="303"/>
    </row>
    <row r="642">
      <c r="C642" s="139"/>
      <c r="D642" s="139"/>
      <c r="F642" s="15"/>
      <c r="M642" s="303"/>
    </row>
    <row r="643">
      <c r="C643" s="139"/>
      <c r="D643" s="139"/>
      <c r="F643" s="15"/>
      <c r="M643" s="303"/>
    </row>
    <row r="644">
      <c r="C644" s="139"/>
      <c r="D644" s="139"/>
      <c r="F644" s="15"/>
      <c r="M644" s="303"/>
    </row>
    <row r="645">
      <c r="C645" s="139"/>
      <c r="D645" s="139"/>
      <c r="F645" s="15"/>
      <c r="M645" s="303"/>
    </row>
    <row r="646">
      <c r="C646" s="139"/>
      <c r="D646" s="139"/>
      <c r="F646" s="15"/>
      <c r="M646" s="303"/>
    </row>
    <row r="647">
      <c r="C647" s="139"/>
      <c r="D647" s="139"/>
      <c r="F647" s="15"/>
      <c r="M647" s="303"/>
    </row>
    <row r="648">
      <c r="C648" s="139"/>
      <c r="D648" s="139"/>
      <c r="F648" s="15"/>
      <c r="M648" s="303"/>
    </row>
    <row r="649">
      <c r="C649" s="139"/>
      <c r="D649" s="139"/>
      <c r="F649" s="15"/>
      <c r="M649" s="303"/>
    </row>
    <row r="650">
      <c r="C650" s="139"/>
      <c r="D650" s="139"/>
      <c r="F650" s="15"/>
      <c r="M650" s="303"/>
    </row>
    <row r="651">
      <c r="C651" s="139"/>
      <c r="D651" s="139"/>
      <c r="F651" s="15"/>
      <c r="M651" s="303"/>
    </row>
    <row r="652">
      <c r="C652" s="139"/>
      <c r="D652" s="139"/>
      <c r="F652" s="15"/>
      <c r="M652" s="303"/>
    </row>
    <row r="653">
      <c r="C653" s="139"/>
      <c r="D653" s="139"/>
      <c r="F653" s="15"/>
      <c r="M653" s="303"/>
    </row>
    <row r="654">
      <c r="C654" s="139"/>
      <c r="D654" s="139"/>
      <c r="F654" s="15"/>
      <c r="M654" s="303"/>
    </row>
    <row r="655">
      <c r="C655" s="139"/>
      <c r="D655" s="139"/>
      <c r="F655" s="15"/>
      <c r="M655" s="303"/>
    </row>
    <row r="656">
      <c r="C656" s="139"/>
      <c r="D656" s="139"/>
      <c r="F656" s="15"/>
      <c r="M656" s="303"/>
    </row>
    <row r="657">
      <c r="C657" s="139"/>
      <c r="D657" s="139"/>
      <c r="F657" s="15"/>
      <c r="M657" s="303"/>
    </row>
    <row r="658">
      <c r="C658" s="139"/>
      <c r="D658" s="139"/>
      <c r="F658" s="15"/>
      <c r="M658" s="303"/>
    </row>
    <row r="659">
      <c r="C659" s="139"/>
      <c r="D659" s="139"/>
      <c r="F659" s="15"/>
      <c r="M659" s="303"/>
    </row>
    <row r="660">
      <c r="C660" s="139"/>
      <c r="D660" s="139"/>
      <c r="F660" s="15"/>
      <c r="M660" s="303"/>
    </row>
    <row r="661">
      <c r="C661" s="139"/>
      <c r="D661" s="139"/>
      <c r="F661" s="15"/>
      <c r="M661" s="303"/>
    </row>
    <row r="662">
      <c r="C662" s="139"/>
      <c r="D662" s="139"/>
      <c r="F662" s="15"/>
      <c r="M662" s="303"/>
    </row>
    <row r="663">
      <c r="C663" s="139"/>
      <c r="D663" s="139"/>
      <c r="F663" s="15"/>
      <c r="M663" s="303"/>
    </row>
    <row r="664">
      <c r="C664" s="139"/>
      <c r="D664" s="139"/>
      <c r="F664" s="15"/>
      <c r="M664" s="303"/>
    </row>
    <row r="665">
      <c r="C665" s="139"/>
      <c r="D665" s="139"/>
      <c r="F665" s="15"/>
      <c r="M665" s="303"/>
    </row>
    <row r="666">
      <c r="C666" s="139"/>
      <c r="D666" s="139"/>
      <c r="F666" s="15"/>
      <c r="M666" s="303"/>
    </row>
    <row r="667">
      <c r="C667" s="139"/>
      <c r="D667" s="139"/>
      <c r="F667" s="15"/>
      <c r="M667" s="303"/>
    </row>
    <row r="668">
      <c r="C668" s="139"/>
      <c r="D668" s="139"/>
      <c r="F668" s="15"/>
      <c r="M668" s="303"/>
    </row>
    <row r="669">
      <c r="C669" s="139"/>
      <c r="D669" s="139"/>
      <c r="F669" s="15"/>
      <c r="M669" s="303"/>
    </row>
    <row r="670">
      <c r="C670" s="139"/>
      <c r="D670" s="139"/>
      <c r="F670" s="15"/>
      <c r="M670" s="303"/>
    </row>
    <row r="671">
      <c r="C671" s="139"/>
      <c r="D671" s="139"/>
      <c r="F671" s="15"/>
      <c r="M671" s="303"/>
    </row>
    <row r="672">
      <c r="C672" s="139"/>
      <c r="D672" s="139"/>
      <c r="F672" s="15"/>
      <c r="M672" s="303"/>
    </row>
    <row r="673">
      <c r="C673" s="139"/>
      <c r="D673" s="139"/>
      <c r="F673" s="15"/>
      <c r="M673" s="303"/>
    </row>
    <row r="674">
      <c r="C674" s="139"/>
      <c r="D674" s="139"/>
      <c r="F674" s="15"/>
      <c r="M674" s="303"/>
    </row>
    <row r="675">
      <c r="C675" s="139"/>
      <c r="D675" s="139"/>
      <c r="F675" s="15"/>
      <c r="M675" s="303"/>
    </row>
    <row r="676">
      <c r="C676" s="139"/>
      <c r="D676" s="139"/>
      <c r="F676" s="15"/>
      <c r="M676" s="303"/>
    </row>
    <row r="677">
      <c r="C677" s="139"/>
      <c r="D677" s="139"/>
      <c r="F677" s="15"/>
      <c r="M677" s="303"/>
    </row>
    <row r="678">
      <c r="C678" s="139"/>
      <c r="D678" s="139"/>
      <c r="F678" s="15"/>
      <c r="M678" s="303"/>
    </row>
    <row r="679">
      <c r="C679" s="139"/>
      <c r="D679" s="139"/>
      <c r="F679" s="15"/>
      <c r="M679" s="303"/>
    </row>
    <row r="680">
      <c r="C680" s="139"/>
      <c r="D680" s="139"/>
      <c r="F680" s="15"/>
      <c r="M680" s="303"/>
    </row>
    <row r="681">
      <c r="C681" s="139"/>
      <c r="D681" s="139"/>
      <c r="F681" s="15"/>
      <c r="M681" s="303"/>
    </row>
    <row r="682">
      <c r="C682" s="139"/>
      <c r="D682" s="139"/>
      <c r="F682" s="15"/>
      <c r="M682" s="303"/>
    </row>
    <row r="683">
      <c r="C683" s="139"/>
      <c r="D683" s="139"/>
      <c r="F683" s="15"/>
      <c r="M683" s="303"/>
    </row>
    <row r="684">
      <c r="C684" s="139"/>
      <c r="D684" s="139"/>
      <c r="F684" s="15"/>
      <c r="M684" s="303"/>
    </row>
    <row r="685">
      <c r="C685" s="139"/>
      <c r="D685" s="139"/>
      <c r="F685" s="15"/>
      <c r="M685" s="303"/>
    </row>
    <row r="686">
      <c r="C686" s="139"/>
      <c r="D686" s="139"/>
      <c r="F686" s="15"/>
      <c r="M686" s="303"/>
    </row>
    <row r="687">
      <c r="C687" s="139"/>
      <c r="D687" s="139"/>
      <c r="F687" s="15"/>
      <c r="M687" s="303"/>
    </row>
    <row r="688">
      <c r="C688" s="139"/>
      <c r="D688" s="139"/>
      <c r="F688" s="15"/>
      <c r="M688" s="303"/>
    </row>
    <row r="689">
      <c r="C689" s="139"/>
      <c r="D689" s="139"/>
      <c r="F689" s="15"/>
      <c r="M689" s="303"/>
    </row>
    <row r="690">
      <c r="C690" s="139"/>
      <c r="D690" s="139"/>
      <c r="F690" s="15"/>
      <c r="M690" s="303"/>
    </row>
    <row r="691">
      <c r="C691" s="139"/>
      <c r="D691" s="139"/>
      <c r="F691" s="15"/>
      <c r="M691" s="303"/>
    </row>
    <row r="692">
      <c r="C692" s="139"/>
      <c r="D692" s="139"/>
      <c r="F692" s="15"/>
      <c r="M692" s="303"/>
    </row>
    <row r="693">
      <c r="C693" s="139"/>
      <c r="D693" s="139"/>
      <c r="F693" s="15"/>
      <c r="M693" s="303"/>
    </row>
    <row r="694">
      <c r="C694" s="139"/>
      <c r="D694" s="139"/>
      <c r="F694" s="15"/>
      <c r="M694" s="303"/>
    </row>
    <row r="695">
      <c r="C695" s="139"/>
      <c r="D695" s="139"/>
      <c r="F695" s="15"/>
      <c r="M695" s="303"/>
    </row>
    <row r="696">
      <c r="C696" s="139"/>
      <c r="D696" s="139"/>
      <c r="F696" s="15"/>
      <c r="M696" s="303"/>
    </row>
    <row r="697">
      <c r="C697" s="139"/>
      <c r="D697" s="139"/>
      <c r="F697" s="15"/>
      <c r="M697" s="303"/>
    </row>
    <row r="698">
      <c r="C698" s="139"/>
      <c r="D698" s="139"/>
      <c r="F698" s="15"/>
      <c r="M698" s="303"/>
    </row>
    <row r="699">
      <c r="C699" s="139"/>
      <c r="D699" s="139"/>
      <c r="F699" s="15"/>
      <c r="M699" s="303"/>
    </row>
    <row r="700">
      <c r="C700" s="139"/>
      <c r="D700" s="139"/>
      <c r="F700" s="15"/>
      <c r="M700" s="303"/>
    </row>
    <row r="701">
      <c r="C701" s="139"/>
      <c r="D701" s="139"/>
      <c r="F701" s="15"/>
      <c r="M701" s="303"/>
    </row>
    <row r="702">
      <c r="C702" s="139"/>
      <c r="D702" s="139"/>
      <c r="F702" s="15"/>
      <c r="M702" s="303"/>
    </row>
    <row r="703">
      <c r="C703" s="139"/>
      <c r="D703" s="139"/>
      <c r="F703" s="15"/>
      <c r="M703" s="303"/>
    </row>
    <row r="704">
      <c r="C704" s="139"/>
      <c r="D704" s="139"/>
      <c r="F704" s="15"/>
      <c r="M704" s="303"/>
    </row>
    <row r="705">
      <c r="C705" s="139"/>
      <c r="D705" s="139"/>
      <c r="F705" s="15"/>
      <c r="M705" s="303"/>
    </row>
    <row r="706">
      <c r="C706" s="139"/>
      <c r="D706" s="139"/>
      <c r="F706" s="15"/>
      <c r="M706" s="303"/>
    </row>
    <row r="707">
      <c r="C707" s="139"/>
      <c r="D707" s="139"/>
      <c r="F707" s="15"/>
      <c r="M707" s="303"/>
    </row>
    <row r="708">
      <c r="C708" s="139"/>
      <c r="D708" s="139"/>
      <c r="F708" s="15"/>
      <c r="M708" s="303"/>
    </row>
    <row r="709">
      <c r="C709" s="139"/>
      <c r="D709" s="139"/>
      <c r="F709" s="15"/>
      <c r="M709" s="303"/>
    </row>
    <row r="710">
      <c r="C710" s="139"/>
      <c r="D710" s="139"/>
      <c r="F710" s="15"/>
      <c r="M710" s="303"/>
    </row>
    <row r="711">
      <c r="C711" s="139"/>
      <c r="D711" s="139"/>
      <c r="F711" s="15"/>
      <c r="M711" s="303"/>
    </row>
    <row r="712">
      <c r="C712" s="139"/>
      <c r="D712" s="139"/>
      <c r="F712" s="15"/>
      <c r="M712" s="303"/>
    </row>
    <row r="713">
      <c r="C713" s="139"/>
      <c r="D713" s="139"/>
      <c r="F713" s="15"/>
      <c r="M713" s="303"/>
    </row>
    <row r="714">
      <c r="C714" s="139"/>
      <c r="D714" s="139"/>
      <c r="F714" s="15"/>
      <c r="M714" s="303"/>
    </row>
    <row r="715">
      <c r="C715" s="139"/>
      <c r="D715" s="139"/>
      <c r="F715" s="15"/>
      <c r="M715" s="303"/>
    </row>
    <row r="716">
      <c r="C716" s="139"/>
      <c r="D716" s="139"/>
      <c r="F716" s="15"/>
      <c r="M716" s="303"/>
    </row>
    <row r="717">
      <c r="C717" s="139"/>
      <c r="D717" s="139"/>
      <c r="F717" s="15"/>
      <c r="M717" s="303"/>
    </row>
    <row r="718">
      <c r="C718" s="139"/>
      <c r="D718" s="139"/>
      <c r="F718" s="15"/>
      <c r="M718" s="303"/>
    </row>
    <row r="719">
      <c r="C719" s="139"/>
      <c r="D719" s="139"/>
      <c r="F719" s="15"/>
      <c r="M719" s="303"/>
    </row>
    <row r="720">
      <c r="C720" s="139"/>
      <c r="D720" s="139"/>
      <c r="F720" s="15"/>
      <c r="M720" s="303"/>
    </row>
    <row r="721">
      <c r="C721" s="139"/>
      <c r="D721" s="139"/>
      <c r="F721" s="15"/>
      <c r="M721" s="303"/>
    </row>
    <row r="722">
      <c r="C722" s="139"/>
      <c r="D722" s="139"/>
      <c r="F722" s="15"/>
      <c r="M722" s="303"/>
    </row>
    <row r="723">
      <c r="C723" s="139"/>
      <c r="D723" s="139"/>
      <c r="F723" s="15"/>
      <c r="M723" s="303"/>
    </row>
    <row r="724">
      <c r="C724" s="139"/>
      <c r="D724" s="139"/>
      <c r="F724" s="15"/>
      <c r="M724" s="303"/>
    </row>
    <row r="725">
      <c r="C725" s="139"/>
      <c r="D725" s="139"/>
      <c r="F725" s="15"/>
      <c r="M725" s="303"/>
    </row>
    <row r="726">
      <c r="C726" s="139"/>
      <c r="D726" s="139"/>
      <c r="F726" s="15"/>
      <c r="M726" s="303"/>
    </row>
    <row r="727">
      <c r="C727" s="139"/>
      <c r="D727" s="139"/>
      <c r="F727" s="15"/>
      <c r="M727" s="303"/>
    </row>
    <row r="728">
      <c r="C728" s="139"/>
      <c r="D728" s="139"/>
      <c r="F728" s="15"/>
      <c r="M728" s="303"/>
    </row>
    <row r="729">
      <c r="C729" s="139"/>
      <c r="D729" s="139"/>
      <c r="F729" s="15"/>
      <c r="M729" s="303"/>
    </row>
    <row r="730">
      <c r="C730" s="139"/>
      <c r="D730" s="139"/>
      <c r="F730" s="15"/>
      <c r="M730" s="303"/>
    </row>
    <row r="731">
      <c r="C731" s="139"/>
      <c r="D731" s="139"/>
      <c r="F731" s="15"/>
      <c r="M731" s="303"/>
    </row>
    <row r="732">
      <c r="C732" s="139"/>
      <c r="D732" s="139"/>
      <c r="F732" s="15"/>
      <c r="M732" s="303"/>
    </row>
    <row r="733">
      <c r="C733" s="139"/>
      <c r="D733" s="139"/>
      <c r="F733" s="15"/>
      <c r="M733" s="303"/>
    </row>
    <row r="734">
      <c r="C734" s="139"/>
      <c r="D734" s="139"/>
      <c r="F734" s="15"/>
      <c r="M734" s="303"/>
    </row>
    <row r="735">
      <c r="C735" s="139"/>
      <c r="D735" s="139"/>
      <c r="F735" s="15"/>
      <c r="M735" s="303"/>
    </row>
    <row r="736">
      <c r="C736" s="139"/>
      <c r="D736" s="139"/>
      <c r="F736" s="15"/>
      <c r="M736" s="303"/>
    </row>
    <row r="737">
      <c r="C737" s="139"/>
      <c r="D737" s="139"/>
      <c r="F737" s="15"/>
      <c r="M737" s="303"/>
    </row>
    <row r="738">
      <c r="C738" s="139"/>
      <c r="D738" s="139"/>
      <c r="F738" s="15"/>
      <c r="M738" s="303"/>
    </row>
    <row r="739">
      <c r="C739" s="139"/>
      <c r="D739" s="139"/>
      <c r="F739" s="15"/>
      <c r="M739" s="303"/>
    </row>
    <row r="740">
      <c r="C740" s="139"/>
      <c r="D740" s="139"/>
      <c r="F740" s="15"/>
      <c r="M740" s="303"/>
    </row>
    <row r="741">
      <c r="C741" s="139"/>
      <c r="D741" s="139"/>
      <c r="F741" s="15"/>
      <c r="M741" s="303"/>
    </row>
    <row r="742">
      <c r="C742" s="139"/>
      <c r="D742" s="139"/>
      <c r="F742" s="15"/>
      <c r="M742" s="303"/>
    </row>
    <row r="743">
      <c r="C743" s="139"/>
      <c r="D743" s="139"/>
      <c r="F743" s="15"/>
      <c r="M743" s="303"/>
    </row>
    <row r="744">
      <c r="C744" s="139"/>
      <c r="D744" s="139"/>
      <c r="F744" s="15"/>
      <c r="M744" s="303"/>
    </row>
    <row r="745">
      <c r="C745" s="139"/>
      <c r="D745" s="139"/>
      <c r="F745" s="15"/>
      <c r="M745" s="303"/>
    </row>
    <row r="746">
      <c r="C746" s="139"/>
      <c r="D746" s="139"/>
      <c r="F746" s="15"/>
      <c r="M746" s="303"/>
    </row>
    <row r="747">
      <c r="C747" s="139"/>
      <c r="D747" s="139"/>
      <c r="F747" s="15"/>
      <c r="M747" s="303"/>
    </row>
    <row r="748">
      <c r="C748" s="139"/>
      <c r="D748" s="139"/>
      <c r="F748" s="15"/>
      <c r="M748" s="303"/>
    </row>
    <row r="749">
      <c r="C749" s="139"/>
      <c r="D749" s="139"/>
      <c r="F749" s="15"/>
      <c r="M749" s="303"/>
    </row>
    <row r="750">
      <c r="C750" s="139"/>
      <c r="D750" s="139"/>
      <c r="F750" s="15"/>
      <c r="M750" s="303"/>
    </row>
    <row r="751">
      <c r="C751" s="139"/>
      <c r="D751" s="139"/>
      <c r="F751" s="15"/>
      <c r="M751" s="303"/>
    </row>
    <row r="752">
      <c r="C752" s="139"/>
      <c r="D752" s="139"/>
      <c r="F752" s="15"/>
      <c r="M752" s="303"/>
    </row>
    <row r="753">
      <c r="C753" s="139"/>
      <c r="D753" s="139"/>
      <c r="F753" s="15"/>
      <c r="M753" s="303"/>
    </row>
    <row r="754">
      <c r="C754" s="139"/>
      <c r="D754" s="139"/>
      <c r="F754" s="15"/>
      <c r="M754" s="303"/>
    </row>
    <row r="755">
      <c r="C755" s="139"/>
      <c r="D755" s="139"/>
      <c r="F755" s="15"/>
      <c r="M755" s="303"/>
    </row>
    <row r="756">
      <c r="C756" s="139"/>
      <c r="D756" s="139"/>
      <c r="F756" s="15"/>
      <c r="M756" s="303"/>
    </row>
    <row r="757">
      <c r="C757" s="139"/>
      <c r="D757" s="139"/>
      <c r="F757" s="15"/>
      <c r="M757" s="303"/>
    </row>
    <row r="758">
      <c r="C758" s="139"/>
      <c r="D758" s="139"/>
      <c r="F758" s="15"/>
      <c r="M758" s="303"/>
    </row>
    <row r="759">
      <c r="C759" s="139"/>
      <c r="D759" s="139"/>
      <c r="F759" s="15"/>
      <c r="M759" s="303"/>
    </row>
    <row r="760">
      <c r="C760" s="139"/>
      <c r="D760" s="139"/>
      <c r="F760" s="15"/>
      <c r="M760" s="303"/>
    </row>
    <row r="761">
      <c r="C761" s="139"/>
      <c r="D761" s="139"/>
      <c r="F761" s="15"/>
      <c r="M761" s="303"/>
    </row>
    <row r="762">
      <c r="C762" s="139"/>
      <c r="D762" s="139"/>
      <c r="F762" s="15"/>
      <c r="M762" s="303"/>
    </row>
    <row r="763">
      <c r="C763" s="139"/>
      <c r="D763" s="139"/>
      <c r="F763" s="15"/>
      <c r="M763" s="303"/>
    </row>
    <row r="764">
      <c r="C764" s="139"/>
      <c r="D764" s="139"/>
      <c r="F764" s="15"/>
      <c r="M764" s="303"/>
    </row>
    <row r="765">
      <c r="C765" s="139"/>
      <c r="D765" s="139"/>
      <c r="F765" s="15"/>
      <c r="M765" s="303"/>
    </row>
    <row r="766">
      <c r="C766" s="139"/>
      <c r="D766" s="139"/>
      <c r="F766" s="15"/>
      <c r="M766" s="303"/>
    </row>
    <row r="767">
      <c r="C767" s="139"/>
      <c r="D767" s="139"/>
      <c r="F767" s="15"/>
      <c r="M767" s="303"/>
    </row>
    <row r="768">
      <c r="C768" s="139"/>
      <c r="D768" s="139"/>
      <c r="F768" s="15"/>
      <c r="M768" s="303"/>
    </row>
    <row r="769">
      <c r="C769" s="139"/>
      <c r="D769" s="139"/>
      <c r="F769" s="15"/>
      <c r="M769" s="303"/>
    </row>
    <row r="770">
      <c r="C770" s="139"/>
      <c r="D770" s="139"/>
      <c r="F770" s="15"/>
      <c r="M770" s="303"/>
    </row>
    <row r="771">
      <c r="C771" s="139"/>
      <c r="D771" s="139"/>
      <c r="F771" s="15"/>
      <c r="M771" s="303"/>
    </row>
    <row r="772">
      <c r="C772" s="139"/>
      <c r="D772" s="139"/>
      <c r="F772" s="15"/>
      <c r="M772" s="303"/>
    </row>
    <row r="773">
      <c r="C773" s="139"/>
      <c r="D773" s="139"/>
      <c r="F773" s="15"/>
      <c r="M773" s="303"/>
    </row>
    <row r="774">
      <c r="C774" s="139"/>
      <c r="D774" s="139"/>
      <c r="F774" s="15"/>
      <c r="M774" s="303"/>
    </row>
    <row r="775">
      <c r="C775" s="139"/>
      <c r="D775" s="139"/>
      <c r="F775" s="15"/>
      <c r="M775" s="303"/>
    </row>
    <row r="776">
      <c r="C776" s="139"/>
      <c r="D776" s="139"/>
      <c r="F776" s="15"/>
      <c r="M776" s="303"/>
    </row>
    <row r="777">
      <c r="C777" s="139"/>
      <c r="D777" s="139"/>
      <c r="F777" s="15"/>
      <c r="M777" s="303"/>
    </row>
    <row r="778">
      <c r="C778" s="139"/>
      <c r="D778" s="139"/>
      <c r="F778" s="15"/>
      <c r="M778" s="303"/>
    </row>
    <row r="779">
      <c r="C779" s="139"/>
      <c r="D779" s="139"/>
      <c r="F779" s="15"/>
      <c r="M779" s="303"/>
    </row>
    <row r="780">
      <c r="C780" s="139"/>
      <c r="D780" s="139"/>
      <c r="F780" s="15"/>
      <c r="M780" s="303"/>
    </row>
    <row r="781">
      <c r="C781" s="139"/>
      <c r="D781" s="139"/>
      <c r="F781" s="15"/>
      <c r="M781" s="303"/>
    </row>
    <row r="782">
      <c r="C782" s="139"/>
      <c r="D782" s="139"/>
      <c r="F782" s="15"/>
      <c r="M782" s="303"/>
    </row>
    <row r="783">
      <c r="C783" s="139"/>
      <c r="D783" s="139"/>
      <c r="F783" s="15"/>
      <c r="M783" s="303"/>
    </row>
    <row r="784">
      <c r="C784" s="139"/>
      <c r="D784" s="139"/>
      <c r="F784" s="15"/>
      <c r="M784" s="303"/>
    </row>
    <row r="785">
      <c r="C785" s="139"/>
      <c r="D785" s="139"/>
      <c r="F785" s="15"/>
      <c r="M785" s="303"/>
    </row>
    <row r="786">
      <c r="C786" s="139"/>
      <c r="D786" s="139"/>
      <c r="F786" s="15"/>
      <c r="M786" s="303"/>
    </row>
    <row r="787">
      <c r="C787" s="139"/>
      <c r="D787" s="139"/>
      <c r="F787" s="15"/>
      <c r="M787" s="303"/>
    </row>
    <row r="788">
      <c r="C788" s="139"/>
      <c r="D788" s="139"/>
      <c r="F788" s="15"/>
      <c r="M788" s="303"/>
    </row>
    <row r="789">
      <c r="C789" s="139"/>
      <c r="D789" s="139"/>
      <c r="F789" s="15"/>
      <c r="M789" s="303"/>
    </row>
    <row r="790">
      <c r="C790" s="139"/>
      <c r="D790" s="139"/>
      <c r="F790" s="15"/>
      <c r="M790" s="303"/>
    </row>
    <row r="791">
      <c r="C791" s="139"/>
      <c r="D791" s="139"/>
      <c r="F791" s="15"/>
      <c r="M791" s="303"/>
    </row>
    <row r="792">
      <c r="C792" s="139"/>
      <c r="D792" s="139"/>
      <c r="F792" s="15"/>
      <c r="M792" s="303"/>
    </row>
    <row r="793">
      <c r="C793" s="139"/>
      <c r="D793" s="139"/>
      <c r="F793" s="15"/>
      <c r="M793" s="303"/>
    </row>
    <row r="794">
      <c r="C794" s="139"/>
      <c r="D794" s="139"/>
      <c r="F794" s="15"/>
      <c r="M794" s="303"/>
    </row>
    <row r="795">
      <c r="C795" s="139"/>
      <c r="D795" s="139"/>
      <c r="F795" s="15"/>
      <c r="M795" s="303"/>
    </row>
    <row r="796">
      <c r="C796" s="139"/>
      <c r="D796" s="139"/>
      <c r="F796" s="15"/>
      <c r="M796" s="303"/>
    </row>
    <row r="797">
      <c r="C797" s="139"/>
      <c r="D797" s="139"/>
      <c r="F797" s="15"/>
      <c r="M797" s="303"/>
    </row>
    <row r="798">
      <c r="C798" s="139"/>
      <c r="D798" s="139"/>
      <c r="F798" s="15"/>
      <c r="M798" s="303"/>
    </row>
    <row r="799">
      <c r="C799" s="139"/>
      <c r="D799" s="139"/>
      <c r="F799" s="15"/>
      <c r="M799" s="303"/>
    </row>
    <row r="800">
      <c r="C800" s="139"/>
      <c r="D800" s="139"/>
      <c r="F800" s="15"/>
      <c r="M800" s="303"/>
    </row>
    <row r="801">
      <c r="C801" s="139"/>
      <c r="D801" s="139"/>
      <c r="F801" s="15"/>
      <c r="M801" s="303"/>
    </row>
    <row r="802">
      <c r="C802" s="139"/>
      <c r="D802" s="139"/>
      <c r="F802" s="15"/>
      <c r="M802" s="303"/>
    </row>
    <row r="803">
      <c r="C803" s="139"/>
      <c r="D803" s="139"/>
      <c r="F803" s="15"/>
      <c r="M803" s="303"/>
    </row>
    <row r="804">
      <c r="C804" s="139"/>
      <c r="D804" s="139"/>
      <c r="F804" s="15"/>
      <c r="M804" s="303"/>
    </row>
    <row r="805">
      <c r="C805" s="139"/>
      <c r="D805" s="139"/>
      <c r="F805" s="15"/>
      <c r="M805" s="303"/>
    </row>
    <row r="806">
      <c r="C806" s="139"/>
      <c r="D806" s="139"/>
      <c r="F806" s="15"/>
      <c r="M806" s="303"/>
    </row>
    <row r="807">
      <c r="C807" s="139"/>
      <c r="D807" s="139"/>
      <c r="F807" s="15"/>
      <c r="M807" s="303"/>
    </row>
    <row r="808">
      <c r="C808" s="139"/>
      <c r="D808" s="139"/>
      <c r="F808" s="15"/>
      <c r="M808" s="303"/>
    </row>
    <row r="809">
      <c r="C809" s="139"/>
      <c r="D809" s="139"/>
      <c r="F809" s="15"/>
      <c r="M809" s="303"/>
    </row>
    <row r="810">
      <c r="C810" s="139"/>
      <c r="D810" s="139"/>
      <c r="F810" s="15"/>
      <c r="M810" s="303"/>
    </row>
    <row r="811">
      <c r="C811" s="139"/>
      <c r="D811" s="139"/>
      <c r="F811" s="15"/>
      <c r="M811" s="303"/>
    </row>
    <row r="812">
      <c r="C812" s="139"/>
      <c r="D812" s="139"/>
      <c r="F812" s="15"/>
      <c r="M812" s="303"/>
    </row>
    <row r="813">
      <c r="C813" s="139"/>
      <c r="D813" s="139"/>
      <c r="F813" s="15"/>
      <c r="M813" s="303"/>
    </row>
    <row r="814">
      <c r="C814" s="139"/>
      <c r="D814" s="139"/>
      <c r="F814" s="15"/>
      <c r="M814" s="303"/>
    </row>
    <row r="815">
      <c r="C815" s="139"/>
      <c r="D815" s="139"/>
      <c r="F815" s="15"/>
      <c r="M815" s="303"/>
    </row>
    <row r="816">
      <c r="C816" s="139"/>
      <c r="D816" s="139"/>
      <c r="F816" s="15"/>
      <c r="M816" s="303"/>
    </row>
    <row r="817">
      <c r="C817" s="139"/>
      <c r="D817" s="139"/>
      <c r="F817" s="15"/>
      <c r="M817" s="303"/>
    </row>
    <row r="818">
      <c r="C818" s="139"/>
      <c r="D818" s="139"/>
      <c r="F818" s="15"/>
      <c r="M818" s="303"/>
    </row>
    <row r="819">
      <c r="C819" s="139"/>
      <c r="D819" s="139"/>
      <c r="F819" s="15"/>
      <c r="M819" s="303"/>
    </row>
    <row r="820">
      <c r="C820" s="139"/>
      <c r="D820" s="139"/>
      <c r="F820" s="15"/>
      <c r="M820" s="303"/>
    </row>
    <row r="821">
      <c r="C821" s="139"/>
      <c r="D821" s="139"/>
      <c r="F821" s="15"/>
      <c r="M821" s="303"/>
    </row>
    <row r="822">
      <c r="C822" s="139"/>
      <c r="D822" s="139"/>
      <c r="F822" s="15"/>
      <c r="M822" s="303"/>
    </row>
    <row r="823">
      <c r="C823" s="139"/>
      <c r="D823" s="139"/>
      <c r="F823" s="15"/>
      <c r="M823" s="303"/>
    </row>
    <row r="824">
      <c r="C824" s="139"/>
      <c r="D824" s="139"/>
      <c r="F824" s="15"/>
      <c r="M824" s="303"/>
    </row>
    <row r="825">
      <c r="C825" s="139"/>
      <c r="D825" s="139"/>
      <c r="F825" s="15"/>
      <c r="M825" s="303"/>
    </row>
    <row r="826">
      <c r="C826" s="139"/>
      <c r="D826" s="139"/>
      <c r="F826" s="15"/>
      <c r="M826" s="303"/>
    </row>
    <row r="827">
      <c r="C827" s="139"/>
      <c r="D827" s="139"/>
      <c r="F827" s="15"/>
      <c r="M827" s="303"/>
    </row>
    <row r="828">
      <c r="C828" s="139"/>
      <c r="D828" s="139"/>
      <c r="F828" s="15"/>
      <c r="M828" s="303"/>
    </row>
    <row r="829">
      <c r="C829" s="139"/>
      <c r="D829" s="139"/>
      <c r="F829" s="15"/>
      <c r="M829" s="303"/>
    </row>
    <row r="830">
      <c r="C830" s="139"/>
      <c r="D830" s="139"/>
      <c r="F830" s="15"/>
      <c r="M830" s="303"/>
    </row>
    <row r="831">
      <c r="C831" s="139"/>
      <c r="D831" s="139"/>
      <c r="F831" s="15"/>
      <c r="M831" s="303"/>
    </row>
    <row r="832">
      <c r="C832" s="139"/>
      <c r="D832" s="139"/>
      <c r="F832" s="15"/>
      <c r="M832" s="303"/>
    </row>
    <row r="833">
      <c r="C833" s="139"/>
      <c r="D833" s="139"/>
      <c r="F833" s="15"/>
      <c r="M833" s="303"/>
    </row>
    <row r="834">
      <c r="C834" s="139"/>
      <c r="D834" s="139"/>
      <c r="F834" s="15"/>
      <c r="M834" s="303"/>
    </row>
    <row r="835">
      <c r="C835" s="139"/>
      <c r="D835" s="139"/>
      <c r="F835" s="15"/>
      <c r="M835" s="303"/>
    </row>
    <row r="836">
      <c r="C836" s="139"/>
      <c r="D836" s="139"/>
      <c r="F836" s="15"/>
      <c r="M836" s="303"/>
    </row>
    <row r="837">
      <c r="C837" s="139"/>
      <c r="D837" s="139"/>
      <c r="F837" s="15"/>
      <c r="M837" s="303"/>
    </row>
    <row r="838">
      <c r="C838" s="139"/>
      <c r="D838" s="139"/>
      <c r="F838" s="15"/>
      <c r="M838" s="303"/>
    </row>
    <row r="839">
      <c r="C839" s="139"/>
      <c r="D839" s="139"/>
      <c r="F839" s="15"/>
      <c r="M839" s="303"/>
    </row>
    <row r="840">
      <c r="C840" s="139"/>
      <c r="D840" s="139"/>
      <c r="F840" s="15"/>
      <c r="M840" s="303"/>
    </row>
    <row r="841">
      <c r="C841" s="139"/>
      <c r="D841" s="139"/>
      <c r="F841" s="15"/>
      <c r="M841" s="303"/>
    </row>
    <row r="842">
      <c r="C842" s="139"/>
      <c r="D842" s="139"/>
      <c r="F842" s="15"/>
      <c r="M842" s="303"/>
    </row>
    <row r="843">
      <c r="C843" s="139"/>
      <c r="D843" s="139"/>
      <c r="F843" s="15"/>
      <c r="M843" s="303"/>
    </row>
    <row r="844">
      <c r="C844" s="139"/>
      <c r="D844" s="139"/>
      <c r="F844" s="15"/>
      <c r="M844" s="303"/>
    </row>
    <row r="845">
      <c r="C845" s="139"/>
      <c r="D845" s="139"/>
      <c r="F845" s="15"/>
      <c r="M845" s="303"/>
    </row>
    <row r="846">
      <c r="C846" s="139"/>
      <c r="D846" s="139"/>
      <c r="F846" s="15"/>
      <c r="M846" s="303"/>
    </row>
    <row r="847">
      <c r="C847" s="139"/>
      <c r="D847" s="139"/>
      <c r="F847" s="15"/>
      <c r="M847" s="303"/>
    </row>
    <row r="848">
      <c r="C848" s="139"/>
      <c r="D848" s="139"/>
      <c r="F848" s="15"/>
      <c r="M848" s="303"/>
    </row>
    <row r="849">
      <c r="C849" s="139"/>
      <c r="D849" s="139"/>
      <c r="F849" s="15"/>
      <c r="M849" s="303"/>
    </row>
    <row r="850">
      <c r="C850" s="139"/>
      <c r="D850" s="139"/>
      <c r="F850" s="15"/>
      <c r="M850" s="303"/>
    </row>
    <row r="851">
      <c r="C851" s="139"/>
      <c r="D851" s="139"/>
      <c r="F851" s="15"/>
      <c r="M851" s="303"/>
    </row>
    <row r="852">
      <c r="C852" s="139"/>
      <c r="D852" s="139"/>
      <c r="F852" s="15"/>
      <c r="M852" s="303"/>
    </row>
    <row r="853">
      <c r="C853" s="139"/>
      <c r="D853" s="139"/>
      <c r="F853" s="15"/>
      <c r="M853" s="303"/>
    </row>
    <row r="854">
      <c r="C854" s="139"/>
      <c r="D854" s="139"/>
      <c r="F854" s="15"/>
      <c r="M854" s="303"/>
    </row>
    <row r="855">
      <c r="C855" s="139"/>
      <c r="D855" s="139"/>
      <c r="F855" s="15"/>
      <c r="M855" s="303"/>
    </row>
    <row r="856">
      <c r="C856" s="139"/>
      <c r="D856" s="139"/>
      <c r="F856" s="15"/>
      <c r="M856" s="303"/>
    </row>
    <row r="857">
      <c r="C857" s="139"/>
      <c r="D857" s="139"/>
      <c r="F857" s="15"/>
      <c r="M857" s="303"/>
    </row>
    <row r="858">
      <c r="C858" s="139"/>
      <c r="D858" s="139"/>
      <c r="F858" s="15"/>
      <c r="M858" s="303"/>
    </row>
    <row r="859">
      <c r="C859" s="139"/>
      <c r="D859" s="139"/>
      <c r="F859" s="15"/>
      <c r="M859" s="303"/>
    </row>
    <row r="860">
      <c r="C860" s="139"/>
      <c r="D860" s="139"/>
      <c r="F860" s="15"/>
      <c r="M860" s="303"/>
    </row>
    <row r="861">
      <c r="C861" s="139"/>
      <c r="D861" s="139"/>
      <c r="F861" s="15"/>
      <c r="M861" s="303"/>
    </row>
    <row r="862">
      <c r="C862" s="139"/>
      <c r="D862" s="139"/>
      <c r="F862" s="15"/>
      <c r="M862" s="303"/>
    </row>
    <row r="863">
      <c r="C863" s="139"/>
      <c r="D863" s="139"/>
      <c r="F863" s="15"/>
      <c r="M863" s="303"/>
    </row>
    <row r="864">
      <c r="C864" s="139"/>
      <c r="D864" s="139"/>
      <c r="F864" s="15"/>
      <c r="M864" s="303"/>
    </row>
    <row r="865">
      <c r="C865" s="139"/>
      <c r="D865" s="139"/>
      <c r="F865" s="15"/>
      <c r="M865" s="303"/>
    </row>
    <row r="866">
      <c r="C866" s="139"/>
      <c r="D866" s="139"/>
      <c r="F866" s="15"/>
      <c r="M866" s="303"/>
    </row>
    <row r="867">
      <c r="C867" s="139"/>
      <c r="D867" s="139"/>
      <c r="F867" s="15"/>
      <c r="M867" s="303"/>
    </row>
    <row r="868">
      <c r="C868" s="139"/>
      <c r="D868" s="139"/>
      <c r="F868" s="15"/>
      <c r="M868" s="303"/>
    </row>
    <row r="869">
      <c r="C869" s="139"/>
      <c r="D869" s="139"/>
      <c r="F869" s="15"/>
      <c r="M869" s="303"/>
    </row>
    <row r="870">
      <c r="C870" s="139"/>
      <c r="D870" s="139"/>
      <c r="F870" s="15"/>
      <c r="M870" s="303"/>
    </row>
    <row r="871">
      <c r="C871" s="139"/>
      <c r="D871" s="139"/>
      <c r="F871" s="15"/>
      <c r="M871" s="303"/>
    </row>
    <row r="872">
      <c r="C872" s="139"/>
      <c r="D872" s="139"/>
      <c r="F872" s="15"/>
      <c r="M872" s="303"/>
    </row>
    <row r="873">
      <c r="C873" s="139"/>
      <c r="D873" s="139"/>
      <c r="F873" s="15"/>
      <c r="M873" s="303"/>
    </row>
    <row r="874">
      <c r="C874" s="139"/>
      <c r="D874" s="139"/>
      <c r="F874" s="15"/>
      <c r="M874" s="303"/>
    </row>
    <row r="875">
      <c r="C875" s="139"/>
      <c r="D875" s="139"/>
      <c r="F875" s="15"/>
      <c r="M875" s="303"/>
    </row>
    <row r="876">
      <c r="C876" s="139"/>
      <c r="D876" s="139"/>
      <c r="F876" s="15"/>
      <c r="M876" s="303"/>
    </row>
    <row r="877">
      <c r="C877" s="139"/>
      <c r="D877" s="139"/>
      <c r="F877" s="15"/>
      <c r="M877" s="303"/>
    </row>
    <row r="878">
      <c r="C878" s="139"/>
      <c r="D878" s="139"/>
      <c r="F878" s="15"/>
      <c r="M878" s="303"/>
    </row>
    <row r="879">
      <c r="C879" s="139"/>
      <c r="D879" s="139"/>
      <c r="F879" s="15"/>
      <c r="M879" s="303"/>
    </row>
    <row r="880">
      <c r="C880" s="139"/>
      <c r="D880" s="139"/>
      <c r="F880" s="15"/>
      <c r="M880" s="303"/>
    </row>
    <row r="881">
      <c r="C881" s="139"/>
      <c r="D881" s="139"/>
      <c r="F881" s="15"/>
      <c r="M881" s="303"/>
    </row>
    <row r="882">
      <c r="C882" s="139"/>
      <c r="D882" s="139"/>
      <c r="F882" s="15"/>
      <c r="M882" s="303"/>
    </row>
    <row r="883">
      <c r="C883" s="139"/>
      <c r="D883" s="139"/>
      <c r="F883" s="15"/>
      <c r="M883" s="303"/>
    </row>
    <row r="884">
      <c r="C884" s="139"/>
      <c r="D884" s="139"/>
      <c r="F884" s="15"/>
      <c r="M884" s="303"/>
    </row>
    <row r="885">
      <c r="C885" s="139"/>
      <c r="D885" s="139"/>
      <c r="F885" s="15"/>
      <c r="M885" s="303"/>
    </row>
    <row r="886">
      <c r="C886" s="139"/>
      <c r="D886" s="139"/>
      <c r="F886" s="15"/>
      <c r="M886" s="303"/>
    </row>
    <row r="887">
      <c r="C887" s="139"/>
      <c r="D887" s="139"/>
      <c r="F887" s="15"/>
      <c r="M887" s="303"/>
    </row>
    <row r="888">
      <c r="C888" s="139"/>
      <c r="D888" s="139"/>
      <c r="F888" s="15"/>
      <c r="M888" s="303"/>
    </row>
    <row r="889">
      <c r="C889" s="139"/>
      <c r="D889" s="139"/>
      <c r="F889" s="15"/>
      <c r="M889" s="303"/>
    </row>
    <row r="890">
      <c r="C890" s="139"/>
      <c r="D890" s="139"/>
      <c r="F890" s="15"/>
      <c r="M890" s="303"/>
    </row>
    <row r="891">
      <c r="C891" s="139"/>
      <c r="D891" s="139"/>
      <c r="F891" s="15"/>
      <c r="M891" s="303"/>
    </row>
    <row r="892">
      <c r="C892" s="139"/>
      <c r="D892" s="139"/>
      <c r="F892" s="15"/>
      <c r="M892" s="303"/>
    </row>
    <row r="893">
      <c r="C893" s="139"/>
      <c r="D893" s="139"/>
      <c r="F893" s="15"/>
      <c r="M893" s="303"/>
    </row>
    <row r="894">
      <c r="C894" s="139"/>
      <c r="D894" s="139"/>
      <c r="F894" s="15"/>
      <c r="M894" s="303"/>
    </row>
    <row r="895">
      <c r="C895" s="139"/>
      <c r="D895" s="139"/>
      <c r="F895" s="15"/>
      <c r="M895" s="303"/>
    </row>
    <row r="896">
      <c r="C896" s="139"/>
      <c r="D896" s="139"/>
      <c r="F896" s="15"/>
      <c r="M896" s="303"/>
    </row>
    <row r="897">
      <c r="C897" s="139"/>
      <c r="D897" s="139"/>
      <c r="F897" s="15"/>
      <c r="M897" s="303"/>
    </row>
    <row r="898">
      <c r="C898" s="139"/>
      <c r="D898" s="139"/>
      <c r="F898" s="15"/>
      <c r="M898" s="303"/>
    </row>
    <row r="899">
      <c r="C899" s="139"/>
      <c r="D899" s="139"/>
      <c r="F899" s="15"/>
      <c r="M899" s="303"/>
    </row>
    <row r="900">
      <c r="C900" s="139"/>
      <c r="D900" s="139"/>
      <c r="F900" s="15"/>
      <c r="M900" s="303"/>
    </row>
    <row r="901">
      <c r="C901" s="139"/>
      <c r="D901" s="139"/>
      <c r="F901" s="15"/>
      <c r="M901" s="303"/>
    </row>
    <row r="902">
      <c r="C902" s="139"/>
      <c r="D902" s="139"/>
      <c r="F902" s="15"/>
      <c r="M902" s="303"/>
    </row>
    <row r="903">
      <c r="C903" s="139"/>
      <c r="D903" s="139"/>
      <c r="F903" s="15"/>
      <c r="M903" s="303"/>
    </row>
    <row r="904">
      <c r="C904" s="139"/>
      <c r="D904" s="139"/>
      <c r="F904" s="15"/>
      <c r="M904" s="303"/>
    </row>
    <row r="905">
      <c r="C905" s="139"/>
      <c r="D905" s="139"/>
      <c r="F905" s="15"/>
      <c r="M905" s="303"/>
    </row>
    <row r="906">
      <c r="C906" s="139"/>
      <c r="D906" s="139"/>
      <c r="F906" s="15"/>
      <c r="M906" s="303"/>
    </row>
    <row r="907">
      <c r="C907" s="139"/>
      <c r="D907" s="139"/>
      <c r="F907" s="15"/>
      <c r="M907" s="303"/>
    </row>
    <row r="908">
      <c r="C908" s="139"/>
      <c r="D908" s="139"/>
      <c r="F908" s="15"/>
      <c r="M908" s="303"/>
    </row>
    <row r="909">
      <c r="C909" s="139"/>
      <c r="D909" s="139"/>
      <c r="F909" s="15"/>
      <c r="M909" s="303"/>
    </row>
    <row r="910">
      <c r="C910" s="139"/>
      <c r="D910" s="139"/>
      <c r="F910" s="15"/>
      <c r="M910" s="303"/>
    </row>
    <row r="911">
      <c r="C911" s="139"/>
      <c r="D911" s="139"/>
      <c r="F911" s="15"/>
      <c r="M911" s="303"/>
    </row>
    <row r="912">
      <c r="C912" s="139"/>
      <c r="D912" s="139"/>
      <c r="F912" s="15"/>
      <c r="M912" s="303"/>
    </row>
    <row r="913">
      <c r="C913" s="139"/>
      <c r="D913" s="139"/>
      <c r="F913" s="15"/>
      <c r="M913" s="303"/>
    </row>
    <row r="914">
      <c r="C914" s="139"/>
      <c r="D914" s="139"/>
      <c r="F914" s="15"/>
      <c r="M914" s="303"/>
    </row>
    <row r="915">
      <c r="C915" s="139"/>
      <c r="D915" s="139"/>
      <c r="F915" s="15"/>
      <c r="M915" s="303"/>
    </row>
    <row r="916">
      <c r="C916" s="139"/>
      <c r="D916" s="139"/>
      <c r="F916" s="15"/>
      <c r="M916" s="303"/>
    </row>
    <row r="917">
      <c r="C917" s="139"/>
      <c r="D917" s="139"/>
      <c r="F917" s="15"/>
      <c r="M917" s="303"/>
    </row>
    <row r="918">
      <c r="C918" s="139"/>
      <c r="D918" s="139"/>
      <c r="F918" s="15"/>
      <c r="M918" s="303"/>
    </row>
    <row r="919">
      <c r="C919" s="139"/>
      <c r="D919" s="139"/>
      <c r="F919" s="15"/>
      <c r="M919" s="303"/>
    </row>
    <row r="920">
      <c r="C920" s="139"/>
      <c r="D920" s="139"/>
      <c r="F920" s="15"/>
      <c r="M920" s="303"/>
    </row>
    <row r="921">
      <c r="C921" s="139"/>
      <c r="D921" s="139"/>
      <c r="F921" s="15"/>
      <c r="M921" s="303"/>
    </row>
    <row r="922">
      <c r="C922" s="139"/>
      <c r="D922" s="139"/>
      <c r="F922" s="15"/>
      <c r="M922" s="303"/>
    </row>
    <row r="923">
      <c r="C923" s="139"/>
      <c r="D923" s="139"/>
      <c r="F923" s="15"/>
      <c r="M923" s="303"/>
    </row>
    <row r="924">
      <c r="C924" s="139"/>
      <c r="D924" s="139"/>
      <c r="F924" s="15"/>
      <c r="M924" s="303"/>
    </row>
    <row r="925">
      <c r="C925" s="139"/>
      <c r="D925" s="139"/>
      <c r="F925" s="15"/>
      <c r="M925" s="303"/>
    </row>
    <row r="926">
      <c r="C926" s="139"/>
      <c r="D926" s="139"/>
      <c r="F926" s="15"/>
      <c r="M926" s="303"/>
    </row>
    <row r="927">
      <c r="C927" s="139"/>
      <c r="D927" s="139"/>
      <c r="F927" s="15"/>
      <c r="M927" s="303"/>
    </row>
    <row r="928">
      <c r="C928" s="139"/>
      <c r="D928" s="139"/>
      <c r="F928" s="15"/>
      <c r="M928" s="303"/>
    </row>
    <row r="929">
      <c r="C929" s="139"/>
      <c r="D929" s="139"/>
      <c r="F929" s="15"/>
      <c r="M929" s="303"/>
    </row>
    <row r="930">
      <c r="C930" s="139"/>
      <c r="D930" s="139"/>
      <c r="F930" s="15"/>
      <c r="M930" s="303"/>
    </row>
    <row r="931">
      <c r="C931" s="139"/>
      <c r="D931" s="139"/>
      <c r="F931" s="15"/>
      <c r="M931" s="303"/>
    </row>
    <row r="932">
      <c r="C932" s="139"/>
      <c r="D932" s="139"/>
      <c r="F932" s="15"/>
      <c r="M932" s="303"/>
    </row>
    <row r="933">
      <c r="C933" s="139"/>
      <c r="D933" s="139"/>
      <c r="F933" s="15"/>
      <c r="M933" s="303"/>
    </row>
    <row r="934">
      <c r="C934" s="139"/>
      <c r="D934" s="139"/>
      <c r="F934" s="15"/>
      <c r="M934" s="303"/>
    </row>
    <row r="935">
      <c r="C935" s="139"/>
      <c r="D935" s="139"/>
      <c r="F935" s="15"/>
      <c r="M935" s="303"/>
    </row>
    <row r="936">
      <c r="C936" s="139"/>
      <c r="D936" s="139"/>
      <c r="F936" s="15"/>
      <c r="M936" s="303"/>
    </row>
    <row r="937">
      <c r="C937" s="139"/>
      <c r="D937" s="139"/>
      <c r="F937" s="15"/>
      <c r="M937" s="303"/>
    </row>
    <row r="938">
      <c r="C938" s="139"/>
      <c r="D938" s="139"/>
      <c r="F938" s="15"/>
      <c r="M938" s="303"/>
    </row>
    <row r="939">
      <c r="C939" s="139"/>
      <c r="D939" s="139"/>
      <c r="F939" s="15"/>
      <c r="M939" s="303"/>
    </row>
    <row r="940">
      <c r="C940" s="139"/>
      <c r="D940" s="139"/>
      <c r="F940" s="15"/>
      <c r="M940" s="303"/>
    </row>
    <row r="941">
      <c r="C941" s="139"/>
      <c r="D941" s="139"/>
      <c r="F941" s="15"/>
      <c r="M941" s="303"/>
    </row>
    <row r="942">
      <c r="C942" s="139"/>
      <c r="D942" s="139"/>
      <c r="F942" s="15"/>
      <c r="M942" s="303"/>
    </row>
    <row r="943">
      <c r="C943" s="139"/>
      <c r="D943" s="139"/>
      <c r="F943" s="15"/>
      <c r="M943" s="303"/>
    </row>
    <row r="944">
      <c r="C944" s="139"/>
      <c r="D944" s="139"/>
      <c r="F944" s="15"/>
      <c r="M944" s="303"/>
    </row>
    <row r="945">
      <c r="C945" s="139"/>
      <c r="D945" s="139"/>
      <c r="F945" s="15"/>
      <c r="M945" s="303"/>
    </row>
    <row r="946">
      <c r="C946" s="139"/>
      <c r="D946" s="139"/>
      <c r="F946" s="15"/>
      <c r="M946" s="303"/>
    </row>
    <row r="947">
      <c r="C947" s="139"/>
      <c r="D947" s="139"/>
      <c r="F947" s="15"/>
      <c r="M947" s="303"/>
    </row>
    <row r="948">
      <c r="C948" s="139"/>
      <c r="D948" s="139"/>
      <c r="F948" s="15"/>
      <c r="M948" s="303"/>
    </row>
    <row r="949">
      <c r="C949" s="139"/>
      <c r="D949" s="139"/>
      <c r="F949" s="15"/>
      <c r="M949" s="303"/>
    </row>
    <row r="950">
      <c r="C950" s="139"/>
      <c r="D950" s="139"/>
      <c r="F950" s="15"/>
      <c r="M950" s="303"/>
    </row>
    <row r="951">
      <c r="C951" s="139"/>
      <c r="D951" s="139"/>
      <c r="F951" s="15"/>
      <c r="M951" s="303"/>
    </row>
    <row r="952">
      <c r="C952" s="139"/>
      <c r="D952" s="139"/>
      <c r="F952" s="15"/>
      <c r="M952" s="303"/>
    </row>
    <row r="953">
      <c r="C953" s="139"/>
      <c r="D953" s="139"/>
      <c r="F953" s="15"/>
      <c r="M953" s="303"/>
    </row>
    <row r="954">
      <c r="C954" s="139"/>
      <c r="D954" s="139"/>
      <c r="F954" s="15"/>
      <c r="M954" s="303"/>
    </row>
    <row r="955">
      <c r="C955" s="139"/>
      <c r="D955" s="139"/>
      <c r="F955" s="15"/>
      <c r="M955" s="303"/>
    </row>
    <row r="956">
      <c r="C956" s="139"/>
      <c r="D956" s="139"/>
      <c r="F956" s="15"/>
      <c r="M956" s="303"/>
    </row>
    <row r="957">
      <c r="C957" s="139"/>
      <c r="D957" s="139"/>
      <c r="F957" s="15"/>
      <c r="M957" s="303"/>
    </row>
    <row r="958">
      <c r="C958" s="139"/>
      <c r="D958" s="139"/>
      <c r="F958" s="15"/>
      <c r="M958" s="303"/>
    </row>
    <row r="959">
      <c r="C959" s="139"/>
      <c r="D959" s="139"/>
      <c r="F959" s="15"/>
      <c r="M959" s="303"/>
    </row>
    <row r="960">
      <c r="C960" s="139"/>
      <c r="D960" s="139"/>
      <c r="F960" s="15"/>
      <c r="M960" s="303"/>
    </row>
    <row r="961">
      <c r="C961" s="139"/>
      <c r="D961" s="139"/>
      <c r="F961" s="15"/>
      <c r="M961" s="303"/>
    </row>
    <row r="962">
      <c r="C962" s="139"/>
      <c r="D962" s="139"/>
      <c r="F962" s="15"/>
      <c r="M962" s="303"/>
    </row>
    <row r="963">
      <c r="C963" s="139"/>
      <c r="D963" s="139"/>
      <c r="F963" s="15"/>
      <c r="M963" s="303"/>
    </row>
    <row r="964">
      <c r="C964" s="139"/>
      <c r="D964" s="139"/>
      <c r="F964" s="15"/>
      <c r="M964" s="303"/>
    </row>
    <row r="965">
      <c r="C965" s="139"/>
      <c r="D965" s="139"/>
      <c r="F965" s="15"/>
      <c r="M965" s="303"/>
    </row>
    <row r="966">
      <c r="C966" s="139"/>
      <c r="D966" s="139"/>
      <c r="F966" s="15"/>
      <c r="M966" s="303"/>
    </row>
    <row r="967">
      <c r="C967" s="139"/>
      <c r="D967" s="139"/>
      <c r="F967" s="15"/>
      <c r="M967" s="303"/>
    </row>
    <row r="968">
      <c r="C968" s="139"/>
      <c r="D968" s="139"/>
      <c r="F968" s="15"/>
      <c r="M968" s="303"/>
    </row>
    <row r="969">
      <c r="C969" s="139"/>
      <c r="D969" s="139"/>
      <c r="F969" s="15"/>
      <c r="M969" s="303"/>
    </row>
    <row r="970">
      <c r="C970" s="139"/>
      <c r="D970" s="139"/>
      <c r="F970" s="15"/>
      <c r="M970" s="303"/>
    </row>
    <row r="971">
      <c r="C971" s="139"/>
      <c r="D971" s="139"/>
      <c r="F971" s="15"/>
      <c r="M971" s="303"/>
    </row>
    <row r="972">
      <c r="C972" s="139"/>
      <c r="D972" s="139"/>
      <c r="F972" s="15"/>
      <c r="M972" s="303"/>
    </row>
    <row r="973">
      <c r="C973" s="139"/>
      <c r="D973" s="139"/>
      <c r="F973" s="15"/>
      <c r="M973" s="303"/>
    </row>
    <row r="974">
      <c r="C974" s="139"/>
      <c r="D974" s="139"/>
      <c r="F974" s="15"/>
      <c r="M974" s="303"/>
    </row>
    <row r="975">
      <c r="C975" s="139"/>
      <c r="D975" s="139"/>
      <c r="F975" s="15"/>
      <c r="M975" s="303"/>
    </row>
    <row r="976">
      <c r="C976" s="139"/>
      <c r="D976" s="139"/>
      <c r="F976" s="15"/>
      <c r="M976" s="303"/>
    </row>
    <row r="977">
      <c r="C977" s="139"/>
      <c r="D977" s="139"/>
      <c r="F977" s="15"/>
      <c r="M977" s="303"/>
    </row>
    <row r="978">
      <c r="C978" s="139"/>
      <c r="D978" s="139"/>
      <c r="F978" s="15"/>
      <c r="M978" s="303"/>
    </row>
    <row r="979">
      <c r="C979" s="139"/>
      <c r="D979" s="139"/>
      <c r="F979" s="15"/>
      <c r="M979" s="303"/>
    </row>
    <row r="980">
      <c r="C980" s="139"/>
      <c r="D980" s="139"/>
      <c r="F980" s="15"/>
      <c r="M980" s="303"/>
    </row>
    <row r="981">
      <c r="C981" s="139"/>
      <c r="D981" s="139"/>
      <c r="F981" s="15"/>
      <c r="M981" s="303"/>
    </row>
    <row r="982">
      <c r="C982" s="139"/>
      <c r="D982" s="139"/>
      <c r="F982" s="15"/>
      <c r="M982" s="303"/>
    </row>
    <row r="983">
      <c r="C983" s="139"/>
      <c r="D983" s="139"/>
      <c r="F983" s="15"/>
      <c r="M983" s="303"/>
    </row>
    <row r="984">
      <c r="C984" s="139"/>
      <c r="D984" s="139"/>
      <c r="F984" s="15"/>
      <c r="M984" s="303"/>
    </row>
    <row r="985">
      <c r="C985" s="139"/>
      <c r="D985" s="139"/>
      <c r="F985" s="15"/>
      <c r="M985" s="303"/>
    </row>
    <row r="986">
      <c r="C986" s="139"/>
      <c r="D986" s="139"/>
      <c r="F986" s="15"/>
      <c r="M986" s="303"/>
    </row>
    <row r="987">
      <c r="C987" s="139"/>
      <c r="D987" s="139"/>
      <c r="F987" s="15"/>
      <c r="M987" s="303"/>
    </row>
    <row r="988">
      <c r="C988" s="139"/>
      <c r="D988" s="139"/>
      <c r="F988" s="15"/>
      <c r="M988" s="303"/>
    </row>
    <row r="989">
      <c r="C989" s="139"/>
      <c r="D989" s="139"/>
      <c r="F989" s="15"/>
      <c r="M989" s="303"/>
    </row>
    <row r="990">
      <c r="C990" s="139"/>
      <c r="D990" s="139"/>
      <c r="F990" s="15"/>
      <c r="M990" s="303"/>
    </row>
    <row r="991">
      <c r="C991" s="139"/>
      <c r="D991" s="139"/>
      <c r="F991" s="15"/>
      <c r="M991" s="303"/>
    </row>
    <row r="992">
      <c r="C992" s="139"/>
      <c r="D992" s="139"/>
      <c r="F992" s="15"/>
      <c r="M992" s="303"/>
    </row>
    <row r="993">
      <c r="C993" s="139"/>
      <c r="D993" s="139"/>
      <c r="F993" s="15"/>
      <c r="M993" s="303"/>
    </row>
    <row r="994">
      <c r="C994" s="139"/>
      <c r="D994" s="139"/>
      <c r="F994" s="15"/>
      <c r="M994" s="303"/>
    </row>
    <row r="995">
      <c r="C995" s="139"/>
      <c r="D995" s="139"/>
      <c r="F995" s="15"/>
      <c r="M995" s="303"/>
    </row>
    <row r="996">
      <c r="C996" s="139"/>
      <c r="D996" s="139"/>
      <c r="F996" s="15"/>
      <c r="M996" s="303"/>
    </row>
    <row r="997">
      <c r="C997" s="139"/>
      <c r="D997" s="139"/>
      <c r="F997" s="15"/>
      <c r="M997" s="303"/>
    </row>
    <row r="998">
      <c r="C998" s="139"/>
      <c r="D998" s="139"/>
      <c r="F998" s="15"/>
      <c r="M998" s="303"/>
    </row>
    <row r="999">
      <c r="C999" s="139"/>
      <c r="D999" s="139"/>
      <c r="F999" s="15"/>
      <c r="M999" s="303"/>
    </row>
    <row r="1000">
      <c r="C1000" s="139"/>
      <c r="D1000" s="139"/>
      <c r="F1000" s="15"/>
      <c r="M1000" s="303"/>
    </row>
    <row r="1001">
      <c r="C1001" s="139"/>
      <c r="D1001" s="139"/>
      <c r="F1001" s="15"/>
      <c r="M1001" s="303"/>
    </row>
    <row r="1002">
      <c r="C1002" s="139"/>
      <c r="D1002" s="139"/>
      <c r="F1002" s="15"/>
      <c r="M1002" s="303"/>
    </row>
  </sheetData>
  <mergeCells count="37">
    <mergeCell ref="B60:B61"/>
    <mergeCell ref="B58:B59"/>
    <mergeCell ref="B68:B69"/>
    <mergeCell ref="B66:B67"/>
    <mergeCell ref="B70:B71"/>
    <mergeCell ref="B72:B73"/>
    <mergeCell ref="B62:B63"/>
    <mergeCell ref="B64:B65"/>
    <mergeCell ref="B50:B51"/>
    <mergeCell ref="B52:B53"/>
    <mergeCell ref="B54:B55"/>
    <mergeCell ref="B56:B57"/>
    <mergeCell ref="B42:B43"/>
    <mergeCell ref="B40:B41"/>
    <mergeCell ref="B36:B37"/>
    <mergeCell ref="B38:B39"/>
    <mergeCell ref="B46:B47"/>
    <mergeCell ref="B48:B49"/>
    <mergeCell ref="B44:B45"/>
    <mergeCell ref="B4:B5"/>
    <mergeCell ref="L1:M1"/>
    <mergeCell ref="N1:O1"/>
    <mergeCell ref="B20:B21"/>
    <mergeCell ref="B22:B23"/>
    <mergeCell ref="B14:B15"/>
    <mergeCell ref="B18:B19"/>
    <mergeCell ref="B16:B17"/>
    <mergeCell ref="B28:B29"/>
    <mergeCell ref="B26:B27"/>
    <mergeCell ref="B34:B35"/>
    <mergeCell ref="B30:B31"/>
    <mergeCell ref="B32:B33"/>
    <mergeCell ref="B10:B11"/>
    <mergeCell ref="B6:B7"/>
    <mergeCell ref="B8:B9"/>
    <mergeCell ref="B12:B13"/>
    <mergeCell ref="B24:B25"/>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C4"/>
    <hyperlink r:id="rId2" ref="R4"/>
    <hyperlink r:id="rId3" ref="C5"/>
    <hyperlink r:id="rId4" ref="R5"/>
    <hyperlink r:id="rId5" ref="C6"/>
    <hyperlink r:id="rId6" ref="R6"/>
    <hyperlink r:id="rId7" ref="R7"/>
    <hyperlink r:id="rId8" ref="C8"/>
    <hyperlink r:id="rId9" ref="R8"/>
    <hyperlink r:id="rId10" ref="R9"/>
    <hyperlink r:id="rId11" ref="C11"/>
    <hyperlink r:id="rId12" ref="R12"/>
    <hyperlink r:id="rId13" ref="C13"/>
    <hyperlink r:id="rId14" ref="R13"/>
    <hyperlink r:id="rId15" ref="C14"/>
    <hyperlink r:id="rId16" ref="R14"/>
    <hyperlink r:id="rId17" ref="C15"/>
    <hyperlink r:id="rId18" ref="C16"/>
    <hyperlink r:id="rId19" ref="R16"/>
    <hyperlink r:id="rId20" ref="C17"/>
    <hyperlink r:id="rId21" ref="R17"/>
    <hyperlink r:id="rId22" ref="C18"/>
    <hyperlink r:id="rId23" ref="R18"/>
    <hyperlink r:id="rId24" ref="C19"/>
    <hyperlink r:id="rId25" ref="R19"/>
    <hyperlink r:id="rId26" ref="C20"/>
    <hyperlink r:id="rId27" ref="R20"/>
    <hyperlink r:id="rId28" ref="C21"/>
    <hyperlink r:id="rId29" ref="R21"/>
    <hyperlink r:id="rId30" ref="C22"/>
    <hyperlink r:id="rId31" ref="C23"/>
    <hyperlink r:id="rId32" ref="C24"/>
    <hyperlink r:id="rId33" ref="R24"/>
    <hyperlink r:id="rId34" ref="R25"/>
    <hyperlink r:id="rId35" ref="C26"/>
    <hyperlink r:id="rId36" ref="C27"/>
    <hyperlink r:id="rId37" ref="C28"/>
    <hyperlink r:id="rId38" ref="C29"/>
    <hyperlink r:id="rId39" ref="C30"/>
    <hyperlink r:id="rId40" ref="R30"/>
    <hyperlink r:id="rId41" ref="C31"/>
    <hyperlink r:id="rId42" ref="R31"/>
    <hyperlink r:id="rId43" ref="R32"/>
    <hyperlink r:id="rId44" ref="C34"/>
    <hyperlink r:id="rId45" ref="R34"/>
    <hyperlink r:id="rId46" ref="C36"/>
    <hyperlink r:id="rId47" ref="C37"/>
    <hyperlink r:id="rId48" ref="C38"/>
    <hyperlink r:id="rId49" ref="C40"/>
    <hyperlink r:id="rId50" ref="C41"/>
    <hyperlink r:id="rId51" ref="C42"/>
    <hyperlink r:id="rId52" ref="R42"/>
    <hyperlink r:id="rId53" ref="C43"/>
    <hyperlink r:id="rId54" ref="C44"/>
    <hyperlink r:id="rId55" ref="C45"/>
    <hyperlink r:id="rId56" ref="C46"/>
    <hyperlink r:id="rId57" ref="C47"/>
    <hyperlink r:id="rId58" ref="C48"/>
    <hyperlink r:id="rId59" ref="R48"/>
    <hyperlink r:id="rId60" ref="C49"/>
    <hyperlink r:id="rId61" ref="C50"/>
    <hyperlink r:id="rId62" ref="R50"/>
    <hyperlink r:id="rId63" ref="R52"/>
    <hyperlink r:id="rId64" ref="C53"/>
    <hyperlink r:id="rId65" ref="R53"/>
    <hyperlink r:id="rId66" ref="R54"/>
    <hyperlink r:id="rId67" ref="C55"/>
    <hyperlink r:id="rId68" ref="R55"/>
    <hyperlink r:id="rId69" ref="C56"/>
    <hyperlink r:id="rId70" ref="R56"/>
    <hyperlink r:id="rId71" ref="C57"/>
    <hyperlink r:id="rId72" ref="R57"/>
    <hyperlink r:id="rId73" ref="C58"/>
    <hyperlink r:id="rId74" ref="R58"/>
    <hyperlink r:id="rId75" ref="R59"/>
    <hyperlink r:id="rId76" ref="R60"/>
    <hyperlink r:id="rId77" ref="C61"/>
    <hyperlink r:id="rId78" ref="R62"/>
    <hyperlink r:id="rId79" ref="C63"/>
    <hyperlink r:id="rId80" ref="C64"/>
    <hyperlink r:id="rId81" ref="R64"/>
    <hyperlink r:id="rId82" ref="C66"/>
    <hyperlink r:id="rId83" ref="R66"/>
    <hyperlink r:id="rId84" ref="R67"/>
    <hyperlink r:id="rId85" ref="C69"/>
    <hyperlink r:id="rId86" ref="R70"/>
    <hyperlink r:id="rId87" ref="R72"/>
    <hyperlink r:id="rId88" ref="R73"/>
    <hyperlink r:id="rId89" ref="B75"/>
    <hyperlink r:id="rId90" ref="R75"/>
    <hyperlink r:id="rId91" ref="B76"/>
    <hyperlink r:id="rId92" ref="C76"/>
    <hyperlink r:id="rId93" ref="R76"/>
    <hyperlink r:id="rId94" ref="B77"/>
    <hyperlink r:id="rId95" ref="R77"/>
    <hyperlink r:id="rId96" ref="B78"/>
    <hyperlink r:id="rId97" ref="C78"/>
    <hyperlink r:id="rId98" ref="B79"/>
    <hyperlink r:id="rId99" ref="R79"/>
    <hyperlink r:id="rId100" ref="B80"/>
    <hyperlink r:id="rId101" ref="C80"/>
    <hyperlink r:id="rId102" ref="R80"/>
    <hyperlink r:id="rId103" ref="B81"/>
    <hyperlink r:id="rId104" ref="C81"/>
    <hyperlink r:id="rId105" ref="R81"/>
    <hyperlink r:id="rId106" ref="B82"/>
    <hyperlink r:id="rId107" ref="C82"/>
    <hyperlink r:id="rId108" ref="R82"/>
    <hyperlink r:id="rId109" ref="B83"/>
    <hyperlink r:id="rId110" ref="C83"/>
    <hyperlink r:id="rId111" ref="R83"/>
    <hyperlink r:id="rId112" ref="B84"/>
    <hyperlink r:id="rId113" ref="C84"/>
    <hyperlink r:id="rId114" ref="R84"/>
    <hyperlink r:id="rId115" ref="B85"/>
    <hyperlink r:id="rId116" ref="C85"/>
    <hyperlink r:id="rId117" ref="R85"/>
    <hyperlink r:id="rId118" ref="B86"/>
    <hyperlink r:id="rId119" ref="C86"/>
    <hyperlink r:id="rId120" ref="R86"/>
    <hyperlink r:id="rId121" ref="B87"/>
    <hyperlink r:id="rId122" ref="C87"/>
    <hyperlink r:id="rId123" ref="B88"/>
    <hyperlink r:id="rId124" ref="R88"/>
    <hyperlink r:id="rId125" ref="B89"/>
    <hyperlink r:id="rId126" ref="C89"/>
    <hyperlink r:id="rId127" ref="R89"/>
    <hyperlink r:id="rId128" ref="B90"/>
    <hyperlink r:id="rId129" ref="C90"/>
    <hyperlink r:id="rId130" ref="B91"/>
    <hyperlink r:id="rId131" ref="C91"/>
    <hyperlink r:id="rId132" ref="B92"/>
    <hyperlink r:id="rId133" ref="C92"/>
    <hyperlink r:id="rId134" ref="B93"/>
    <hyperlink r:id="rId135" ref="C93"/>
    <hyperlink r:id="rId136" ref="B94"/>
    <hyperlink r:id="rId137" ref="C94"/>
    <hyperlink r:id="rId138" ref="B95"/>
    <hyperlink r:id="rId139" ref="C95"/>
    <hyperlink r:id="rId140" ref="B96"/>
    <hyperlink r:id="rId141" ref="C96"/>
    <hyperlink r:id="rId142" ref="B97"/>
    <hyperlink r:id="rId143" ref="C97"/>
    <hyperlink r:id="rId144" ref="R97"/>
    <hyperlink r:id="rId145" ref="B98"/>
    <hyperlink r:id="rId146" ref="C98"/>
    <hyperlink r:id="rId147" ref="R98"/>
    <hyperlink r:id="rId148" ref="B99"/>
    <hyperlink r:id="rId149" ref="C99"/>
    <hyperlink r:id="rId150" ref="R99"/>
    <hyperlink r:id="rId151" ref="B100"/>
    <hyperlink r:id="rId152" ref="C100"/>
    <hyperlink r:id="rId153" ref="R100"/>
    <hyperlink r:id="rId154" ref="B101"/>
    <hyperlink r:id="rId155" ref="C101"/>
    <hyperlink r:id="rId156" ref="R101"/>
    <hyperlink r:id="rId157" ref="B102"/>
    <hyperlink r:id="rId158" ref="C102"/>
    <hyperlink r:id="rId159" ref="R102"/>
    <hyperlink r:id="rId160" ref="B103"/>
    <hyperlink r:id="rId161" ref="C103"/>
    <hyperlink r:id="rId162" ref="R103"/>
    <hyperlink r:id="rId163" ref="B104"/>
    <hyperlink r:id="rId164" ref="C104"/>
    <hyperlink r:id="rId165" ref="R104"/>
    <hyperlink r:id="rId166" ref="B105"/>
    <hyperlink r:id="rId167" ref="C105"/>
    <hyperlink r:id="rId168" ref="R105"/>
    <hyperlink r:id="rId169" ref="B106"/>
    <hyperlink r:id="rId170" ref="C106"/>
    <hyperlink r:id="rId171" ref="R106"/>
    <hyperlink r:id="rId172" ref="B107"/>
    <hyperlink r:id="rId173" ref="B108"/>
    <hyperlink r:id="rId174" ref="C108"/>
    <hyperlink r:id="rId175" ref="R108"/>
    <hyperlink r:id="rId176" ref="B109"/>
    <hyperlink r:id="rId177" ref="R109"/>
  </hyperlinks>
  <drawing r:id="rId178"/>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4.43" defaultRowHeight="15.75" outlineLevelRow="1"/>
  <cols>
    <col customWidth="1" min="1" max="1" width="11.0"/>
    <col customWidth="1" min="2" max="2" width="7.43"/>
  </cols>
  <sheetData>
    <row r="1" ht="15.0" customHeight="1" outlineLevel="1">
      <c r="A1" s="1" t="s">
        <v>0</v>
      </c>
      <c r="B1" s="2" t="s">
        <v>1</v>
      </c>
      <c r="C1" s="2" t="s">
        <v>2</v>
      </c>
      <c r="D1" s="2" t="s">
        <v>2</v>
      </c>
      <c r="E1" s="3"/>
      <c r="F1" s="30" t="s">
        <v>1577</v>
      </c>
      <c r="G1" s="30" t="s">
        <v>4</v>
      </c>
      <c r="H1" s="30" t="s">
        <v>5</v>
      </c>
      <c r="I1" s="30" t="s">
        <v>6</v>
      </c>
      <c r="J1" s="30" t="s">
        <v>7</v>
      </c>
      <c r="K1" s="1" t="s">
        <v>8</v>
      </c>
      <c r="L1" s="7" t="s">
        <v>9</v>
      </c>
      <c r="N1" s="10" t="s">
        <v>14</v>
      </c>
      <c r="P1" s="167"/>
      <c r="Q1" s="167"/>
      <c r="R1" s="30"/>
      <c r="S1" s="20"/>
      <c r="T1" s="20"/>
      <c r="U1" s="20"/>
      <c r="V1" s="20"/>
      <c r="W1" s="20"/>
      <c r="X1" s="20"/>
      <c r="Y1" s="20"/>
      <c r="Z1" s="20"/>
      <c r="AA1" s="20"/>
      <c r="AB1" s="20"/>
      <c r="AC1" s="20"/>
      <c r="AD1" s="20"/>
    </row>
    <row r="2" ht="16.5" customHeight="1" outlineLevel="1">
      <c r="A2" s="23"/>
      <c r="B2" s="23"/>
      <c r="C2" s="325"/>
      <c r="D2" s="325"/>
      <c r="E2" s="3"/>
      <c r="F2" s="168">
        <v>43474.0</v>
      </c>
      <c r="G2" s="168">
        <v>43511.0</v>
      </c>
      <c r="H2" s="21">
        <f>G2-TODAY()</f>
        <v>-224</v>
      </c>
      <c r="I2" s="168">
        <v>43474.0</v>
      </c>
      <c r="J2" s="168">
        <v>43616.0</v>
      </c>
      <c r="K2" s="23"/>
      <c r="L2" s="26">
        <f>CountIFS($E:$E,"=Dem",$A:$A,"=House")</f>
        <v>70</v>
      </c>
      <c r="M2" s="335">
        <f>CountIFS($E:$E,"=Rep",$A:$A,"=House")</f>
        <v>47</v>
      </c>
      <c r="N2" s="26">
        <f>CountIFS($E:$E,"=Dem",$A:$A,"=Senate")</f>
        <v>38</v>
      </c>
      <c r="O2" s="28">
        <f>CountIFS($E:$E,"=Rep",$A:$A,"=Senate")</f>
        <v>21</v>
      </c>
      <c r="P2" s="167"/>
      <c r="Q2" s="167"/>
      <c r="R2" s="30"/>
      <c r="S2" s="20"/>
      <c r="T2" s="20"/>
      <c r="U2" s="20"/>
      <c r="V2" s="20"/>
      <c r="W2" s="20"/>
      <c r="X2" s="20"/>
      <c r="Y2" s="20"/>
      <c r="Z2" s="20"/>
      <c r="AA2" s="20"/>
      <c r="AB2" s="20"/>
      <c r="AC2" s="20"/>
      <c r="AD2" s="20"/>
    </row>
    <row r="3">
      <c r="A3" s="30" t="s">
        <v>29</v>
      </c>
      <c r="B3" s="30" t="s">
        <v>30</v>
      </c>
      <c r="C3" s="2" t="s">
        <v>31</v>
      </c>
      <c r="D3" s="2" t="s">
        <v>32</v>
      </c>
      <c r="E3" s="3" t="s">
        <v>33</v>
      </c>
      <c r="F3" s="1" t="s">
        <v>10</v>
      </c>
      <c r="G3" s="1" t="s">
        <v>34</v>
      </c>
      <c r="H3" s="1" t="s">
        <v>34</v>
      </c>
      <c r="I3" s="1" t="s">
        <v>34</v>
      </c>
      <c r="J3" s="1" t="s">
        <v>34</v>
      </c>
      <c r="K3" s="1" t="s">
        <v>35</v>
      </c>
      <c r="L3" s="19" t="s">
        <v>36</v>
      </c>
      <c r="M3" s="11" t="s">
        <v>37</v>
      </c>
      <c r="N3" s="19" t="s">
        <v>38</v>
      </c>
      <c r="O3" s="17" t="s">
        <v>39</v>
      </c>
      <c r="P3" s="11" t="s">
        <v>40</v>
      </c>
      <c r="Q3" s="11" t="s">
        <v>41</v>
      </c>
      <c r="R3" s="17" t="s">
        <v>42</v>
      </c>
      <c r="S3" s="20"/>
      <c r="T3" s="20"/>
      <c r="U3" s="20"/>
      <c r="V3" s="20"/>
      <c r="W3" s="20"/>
      <c r="X3" s="20"/>
      <c r="Y3" s="20"/>
      <c r="Z3" s="20"/>
      <c r="AA3" s="20"/>
      <c r="AB3" s="20"/>
      <c r="AC3" s="20"/>
      <c r="AD3" s="20"/>
    </row>
    <row r="4">
      <c r="A4" s="14" t="s">
        <v>44</v>
      </c>
      <c r="B4" s="31">
        <v>1.0</v>
      </c>
      <c r="C4" s="35" t="s">
        <v>552</v>
      </c>
      <c r="D4" s="35" t="s">
        <v>1837</v>
      </c>
      <c r="E4" s="36" t="s">
        <v>49</v>
      </c>
      <c r="F4" s="336"/>
      <c r="G4" s="336"/>
      <c r="H4" s="336"/>
      <c r="K4" s="337"/>
      <c r="L4" s="338" t="s">
        <v>3976</v>
      </c>
      <c r="M4" s="339" t="s">
        <v>3977</v>
      </c>
    </row>
    <row r="5">
      <c r="A5" s="14" t="s">
        <v>44</v>
      </c>
      <c r="B5" s="31">
        <v>2.0</v>
      </c>
      <c r="C5" s="35" t="s">
        <v>2846</v>
      </c>
      <c r="D5" s="35" t="s">
        <v>3982</v>
      </c>
      <c r="E5" s="36" t="s">
        <v>49</v>
      </c>
      <c r="F5" s="336"/>
      <c r="G5" s="336"/>
      <c r="H5" s="336"/>
      <c r="K5" s="340"/>
      <c r="L5" s="338" t="s">
        <v>3990</v>
      </c>
      <c r="M5" s="339" t="s">
        <v>3991</v>
      </c>
    </row>
    <row r="6">
      <c r="A6" s="14" t="s">
        <v>44</v>
      </c>
      <c r="B6" s="164">
        <v>3.0</v>
      </c>
      <c r="C6" s="35"/>
      <c r="D6" s="35"/>
      <c r="E6" s="36"/>
      <c r="F6" s="336"/>
      <c r="G6" s="336"/>
      <c r="H6" s="336"/>
      <c r="K6" s="340"/>
      <c r="L6" s="338" t="s">
        <v>3992</v>
      </c>
      <c r="M6" s="341"/>
    </row>
    <row r="7">
      <c r="A7" s="14" t="s">
        <v>44</v>
      </c>
      <c r="B7" s="31">
        <v>4.0</v>
      </c>
      <c r="C7" s="38" t="s">
        <v>3995</v>
      </c>
      <c r="D7" s="38" t="s">
        <v>3996</v>
      </c>
      <c r="E7" s="36" t="s">
        <v>49</v>
      </c>
      <c r="F7" s="336"/>
      <c r="G7" s="342"/>
      <c r="H7" s="343"/>
      <c r="K7" s="337"/>
      <c r="L7" s="338" t="s">
        <v>4004</v>
      </c>
      <c r="M7" s="341"/>
    </row>
    <row r="8">
      <c r="A8" s="14" t="s">
        <v>44</v>
      </c>
      <c r="B8" s="31">
        <v>5.0</v>
      </c>
      <c r="C8" s="38" t="s">
        <v>3013</v>
      </c>
      <c r="D8" s="38" t="s">
        <v>3039</v>
      </c>
      <c r="E8" s="36" t="s">
        <v>49</v>
      </c>
      <c r="F8" s="336"/>
      <c r="G8" s="342"/>
      <c r="H8" s="343"/>
      <c r="K8" s="337"/>
      <c r="L8" s="338" t="s">
        <v>4005</v>
      </c>
      <c r="M8" s="341"/>
    </row>
    <row r="9">
      <c r="A9" s="14" t="s">
        <v>44</v>
      </c>
      <c r="B9" s="31">
        <v>6.0</v>
      </c>
      <c r="C9" s="35" t="s">
        <v>1706</v>
      </c>
      <c r="D9" s="35" t="s">
        <v>1946</v>
      </c>
      <c r="E9" s="36" t="s">
        <v>49</v>
      </c>
      <c r="F9" s="336"/>
      <c r="G9" s="342"/>
      <c r="H9" s="343"/>
      <c r="K9" s="340"/>
      <c r="L9" s="338" t="s">
        <v>4010</v>
      </c>
      <c r="M9" s="339" t="s">
        <v>4011</v>
      </c>
    </row>
    <row r="10">
      <c r="A10" s="14" t="s">
        <v>44</v>
      </c>
      <c r="B10" s="31">
        <v>7.0</v>
      </c>
      <c r="C10" s="35" t="s">
        <v>4012</v>
      </c>
      <c r="D10" s="35" t="s">
        <v>3731</v>
      </c>
      <c r="E10" s="36" t="s">
        <v>49</v>
      </c>
      <c r="F10" s="336"/>
      <c r="G10" s="342"/>
      <c r="H10" s="343"/>
      <c r="K10" s="337"/>
      <c r="L10" s="338" t="s">
        <v>4014</v>
      </c>
      <c r="M10" s="339" t="s">
        <v>4015</v>
      </c>
    </row>
    <row r="11">
      <c r="A11" s="14" t="s">
        <v>44</v>
      </c>
      <c r="B11" s="31">
        <v>8.0</v>
      </c>
      <c r="C11" s="35" t="s">
        <v>4016</v>
      </c>
      <c r="D11" s="35" t="s">
        <v>4018</v>
      </c>
      <c r="E11" s="36" t="s">
        <v>49</v>
      </c>
      <c r="F11" s="336"/>
      <c r="G11" s="342"/>
      <c r="H11" s="343"/>
      <c r="K11" s="337"/>
      <c r="L11" s="338" t="s">
        <v>4019</v>
      </c>
      <c r="M11" s="339" t="s">
        <v>4020</v>
      </c>
    </row>
    <row r="12">
      <c r="A12" s="14" t="s">
        <v>44</v>
      </c>
      <c r="B12" s="31">
        <v>9.0</v>
      </c>
      <c r="C12" s="35" t="s">
        <v>2989</v>
      </c>
      <c r="D12" s="35" t="s">
        <v>3193</v>
      </c>
      <c r="E12" s="36" t="s">
        <v>49</v>
      </c>
      <c r="F12" s="336"/>
      <c r="G12" s="342"/>
      <c r="H12" s="343"/>
      <c r="K12" s="340"/>
      <c r="L12" s="338" t="s">
        <v>4023</v>
      </c>
      <c r="M12" s="339" t="s">
        <v>4024</v>
      </c>
    </row>
    <row r="13">
      <c r="A13" s="14" t="s">
        <v>44</v>
      </c>
      <c r="B13" s="31">
        <v>10.0</v>
      </c>
      <c r="C13" s="38" t="s">
        <v>1884</v>
      </c>
      <c r="D13" s="38" t="s">
        <v>4025</v>
      </c>
      <c r="E13" s="36" t="s">
        <v>49</v>
      </c>
      <c r="F13" s="336"/>
      <c r="G13" s="342"/>
      <c r="H13" s="343"/>
      <c r="K13" s="337"/>
      <c r="L13" s="338" t="s">
        <v>4026</v>
      </c>
      <c r="M13" s="346" t="s">
        <v>4027</v>
      </c>
    </row>
    <row r="14">
      <c r="A14" s="14" t="s">
        <v>44</v>
      </c>
      <c r="B14" s="31">
        <v>11.0</v>
      </c>
      <c r="C14" s="35" t="s">
        <v>1375</v>
      </c>
      <c r="D14" s="35" t="s">
        <v>793</v>
      </c>
      <c r="E14" s="36" t="s">
        <v>49</v>
      </c>
      <c r="F14" s="336"/>
      <c r="G14" s="342"/>
      <c r="H14" s="343"/>
      <c r="K14" s="337"/>
      <c r="L14" s="338" t="s">
        <v>4029</v>
      </c>
      <c r="M14" s="339" t="s">
        <v>4030</v>
      </c>
    </row>
    <row r="15">
      <c r="A15" s="14" t="s">
        <v>44</v>
      </c>
      <c r="B15" s="31">
        <v>12.0</v>
      </c>
      <c r="C15" s="35" t="s">
        <v>171</v>
      </c>
      <c r="D15" s="35" t="s">
        <v>4036</v>
      </c>
      <c r="E15" s="36" t="s">
        <v>49</v>
      </c>
      <c r="F15" s="336"/>
      <c r="G15" s="342"/>
      <c r="H15" s="343"/>
      <c r="K15" s="337"/>
      <c r="L15" s="338" t="s">
        <v>4037</v>
      </c>
      <c r="M15" s="339" t="s">
        <v>4038</v>
      </c>
    </row>
    <row r="16">
      <c r="A16" s="14" t="s">
        <v>44</v>
      </c>
      <c r="B16" s="31">
        <v>13.0</v>
      </c>
      <c r="C16" s="35" t="s">
        <v>997</v>
      </c>
      <c r="D16" s="35" t="s">
        <v>2362</v>
      </c>
      <c r="E16" s="36" t="s">
        <v>49</v>
      </c>
      <c r="F16" s="336"/>
      <c r="G16" s="342"/>
      <c r="H16" s="343"/>
      <c r="K16" s="340"/>
      <c r="L16" s="338" t="s">
        <v>4041</v>
      </c>
      <c r="M16" s="339" t="s">
        <v>4042</v>
      </c>
    </row>
    <row r="17">
      <c r="A17" s="14" t="s">
        <v>44</v>
      </c>
      <c r="B17" s="31">
        <v>14.0</v>
      </c>
      <c r="C17" s="35" t="s">
        <v>130</v>
      </c>
      <c r="D17" s="35" t="s">
        <v>4044</v>
      </c>
      <c r="E17" s="36" t="s">
        <v>49</v>
      </c>
      <c r="F17" s="336"/>
      <c r="G17" s="342"/>
      <c r="H17" s="343"/>
      <c r="K17" s="340"/>
      <c r="L17" s="338" t="s">
        <v>4045</v>
      </c>
      <c r="M17" s="339" t="s">
        <v>4046</v>
      </c>
    </row>
    <row r="18">
      <c r="A18" s="14" t="s">
        <v>44</v>
      </c>
      <c r="B18" s="31">
        <v>15.0</v>
      </c>
      <c r="C18" s="35" t="s">
        <v>278</v>
      </c>
      <c r="D18" s="35" t="s">
        <v>4048</v>
      </c>
      <c r="E18" s="36" t="s">
        <v>49</v>
      </c>
      <c r="F18" s="336"/>
      <c r="G18" s="347"/>
      <c r="H18" s="349"/>
      <c r="K18" s="340"/>
      <c r="L18" s="338" t="s">
        <v>4051</v>
      </c>
      <c r="M18" s="339" t="s">
        <v>4052</v>
      </c>
    </row>
    <row r="19">
      <c r="A19" s="14" t="s">
        <v>44</v>
      </c>
      <c r="B19" s="31">
        <v>16.0</v>
      </c>
      <c r="C19" s="35" t="s">
        <v>2348</v>
      </c>
      <c r="D19" s="35" t="s">
        <v>4054</v>
      </c>
      <c r="E19" s="36" t="s">
        <v>49</v>
      </c>
      <c r="F19" s="336"/>
      <c r="G19" s="342"/>
      <c r="H19" s="343"/>
      <c r="K19" s="337"/>
      <c r="L19" s="338" t="s">
        <v>4055</v>
      </c>
      <c r="M19" s="339" t="s">
        <v>4056</v>
      </c>
    </row>
    <row r="20">
      <c r="A20" s="14" t="s">
        <v>44</v>
      </c>
      <c r="B20" s="31">
        <v>17.0</v>
      </c>
      <c r="C20" s="38" t="s">
        <v>191</v>
      </c>
      <c r="D20" s="38" t="s">
        <v>4057</v>
      </c>
      <c r="E20" s="36" t="s">
        <v>49</v>
      </c>
      <c r="F20" s="336"/>
      <c r="G20" s="347"/>
      <c r="H20" s="349"/>
      <c r="K20" s="337"/>
      <c r="L20" s="338" t="s">
        <v>4058</v>
      </c>
      <c r="M20" s="341"/>
    </row>
    <row r="21">
      <c r="A21" s="14" t="s">
        <v>44</v>
      </c>
      <c r="B21" s="31">
        <v>18.0</v>
      </c>
      <c r="C21" s="35" t="s">
        <v>2652</v>
      </c>
      <c r="D21" s="35" t="s">
        <v>4059</v>
      </c>
      <c r="E21" s="36" t="s">
        <v>49</v>
      </c>
      <c r="F21" s="336"/>
      <c r="G21" s="347"/>
      <c r="H21" s="349"/>
      <c r="K21" s="340"/>
      <c r="L21" s="338" t="s">
        <v>4060</v>
      </c>
      <c r="M21" s="339" t="s">
        <v>4061</v>
      </c>
    </row>
    <row r="22">
      <c r="A22" s="14" t="s">
        <v>44</v>
      </c>
      <c r="B22" s="31">
        <v>19.0</v>
      </c>
      <c r="C22" s="35" t="s">
        <v>1134</v>
      </c>
      <c r="D22" s="35" t="s">
        <v>4066</v>
      </c>
      <c r="E22" s="36" t="s">
        <v>49</v>
      </c>
      <c r="F22" s="336"/>
      <c r="G22" s="347"/>
      <c r="H22" s="349"/>
      <c r="K22" s="337"/>
      <c r="L22" s="338" t="s">
        <v>4067</v>
      </c>
      <c r="M22" s="346" t="s">
        <v>4068</v>
      </c>
    </row>
    <row r="23">
      <c r="A23" s="14" t="s">
        <v>44</v>
      </c>
      <c r="B23" s="31">
        <v>20.0</v>
      </c>
      <c r="C23" s="35" t="s">
        <v>2490</v>
      </c>
      <c r="D23" s="35" t="s">
        <v>4072</v>
      </c>
      <c r="E23" s="51" t="s">
        <v>53</v>
      </c>
      <c r="F23" s="336"/>
      <c r="G23" s="342"/>
      <c r="H23" s="343"/>
      <c r="K23" s="340"/>
      <c r="L23" s="338" t="s">
        <v>4073</v>
      </c>
      <c r="M23" s="339" t="s">
        <v>4074</v>
      </c>
    </row>
    <row r="24">
      <c r="A24" s="14" t="s">
        <v>44</v>
      </c>
      <c r="B24" s="31">
        <v>21.0</v>
      </c>
      <c r="C24" s="35" t="s">
        <v>4075</v>
      </c>
      <c r="D24" s="35" t="s">
        <v>4076</v>
      </c>
      <c r="E24" s="36" t="s">
        <v>49</v>
      </c>
      <c r="F24" s="336"/>
      <c r="G24" s="342"/>
      <c r="H24" s="343"/>
      <c r="K24" s="340"/>
      <c r="L24" s="338" t="s">
        <v>4077</v>
      </c>
      <c r="M24" s="346" t="s">
        <v>4078</v>
      </c>
    </row>
    <row r="25">
      <c r="A25" s="14" t="s">
        <v>44</v>
      </c>
      <c r="B25" s="31">
        <v>22.0</v>
      </c>
      <c r="C25" s="35" t="s">
        <v>2490</v>
      </c>
      <c r="D25" s="35" t="s">
        <v>4084</v>
      </c>
      <c r="E25" s="36" t="s">
        <v>49</v>
      </c>
      <c r="F25" s="347" t="s">
        <v>254</v>
      </c>
      <c r="G25" s="342"/>
      <c r="H25" s="343"/>
      <c r="K25" s="337"/>
      <c r="L25" s="338" t="s">
        <v>4085</v>
      </c>
      <c r="M25" s="339" t="s">
        <v>4086</v>
      </c>
    </row>
    <row r="26">
      <c r="A26" s="14" t="s">
        <v>44</v>
      </c>
      <c r="B26" s="31">
        <v>23.0</v>
      </c>
      <c r="C26" s="35" t="s">
        <v>2490</v>
      </c>
      <c r="D26" s="35" t="s">
        <v>4089</v>
      </c>
      <c r="E26" s="36" t="s">
        <v>49</v>
      </c>
      <c r="F26" s="336"/>
      <c r="G26" s="342"/>
      <c r="H26" s="343"/>
      <c r="K26" s="340"/>
      <c r="L26" s="338" t="s">
        <v>4091</v>
      </c>
      <c r="M26" s="339" t="s">
        <v>4092</v>
      </c>
    </row>
    <row r="27">
      <c r="A27" s="14" t="s">
        <v>44</v>
      </c>
      <c r="B27" s="31">
        <v>24.0</v>
      </c>
      <c r="C27" s="35" t="s">
        <v>2830</v>
      </c>
      <c r="D27" s="35" t="s">
        <v>562</v>
      </c>
      <c r="E27" s="36" t="s">
        <v>49</v>
      </c>
      <c r="F27" s="336"/>
      <c r="G27" s="342"/>
      <c r="H27" s="343"/>
      <c r="K27" s="337"/>
      <c r="L27" s="338" t="s">
        <v>4097</v>
      </c>
      <c r="M27" s="339" t="s">
        <v>4098</v>
      </c>
    </row>
    <row r="28">
      <c r="A28" s="14" t="s">
        <v>44</v>
      </c>
      <c r="B28" s="31">
        <v>25.0</v>
      </c>
      <c r="C28" s="38" t="s">
        <v>4099</v>
      </c>
      <c r="D28" s="38" t="s">
        <v>4100</v>
      </c>
      <c r="E28" s="36" t="s">
        <v>49</v>
      </c>
      <c r="F28" s="336"/>
      <c r="G28" s="342"/>
      <c r="H28" s="343"/>
      <c r="K28" s="337"/>
      <c r="L28" s="338" t="s">
        <v>4101</v>
      </c>
      <c r="M28" s="341"/>
    </row>
    <row r="29">
      <c r="A29" s="14" t="s">
        <v>44</v>
      </c>
      <c r="B29" s="31">
        <v>26.0</v>
      </c>
      <c r="C29" s="35" t="s">
        <v>3127</v>
      </c>
      <c r="D29" s="35" t="s">
        <v>2206</v>
      </c>
      <c r="E29" s="36" t="s">
        <v>49</v>
      </c>
      <c r="F29" s="336"/>
      <c r="G29" s="342"/>
      <c r="H29" s="343"/>
      <c r="K29" s="337"/>
      <c r="L29" s="338" t="s">
        <v>4105</v>
      </c>
      <c r="M29" s="339" t="s">
        <v>4106</v>
      </c>
    </row>
    <row r="30">
      <c r="A30" s="14" t="s">
        <v>44</v>
      </c>
      <c r="B30" s="31">
        <v>27.0</v>
      </c>
      <c r="C30" s="35" t="s">
        <v>786</v>
      </c>
      <c r="D30" s="35" t="s">
        <v>4108</v>
      </c>
      <c r="E30" s="36" t="s">
        <v>49</v>
      </c>
      <c r="F30" s="336"/>
      <c r="G30" s="342"/>
      <c r="H30" s="343"/>
      <c r="K30" s="340"/>
      <c r="L30" s="338" t="s">
        <v>4110</v>
      </c>
      <c r="M30" s="346" t="s">
        <v>4111</v>
      </c>
    </row>
    <row r="31">
      <c r="A31" s="14" t="s">
        <v>44</v>
      </c>
      <c r="B31" s="31">
        <v>28.0</v>
      </c>
      <c r="C31" s="35" t="s">
        <v>1134</v>
      </c>
      <c r="D31" s="35" t="s">
        <v>4118</v>
      </c>
      <c r="E31" s="36" t="s">
        <v>49</v>
      </c>
      <c r="F31" s="336"/>
      <c r="G31" s="342"/>
      <c r="H31" s="343"/>
      <c r="K31" s="337"/>
      <c r="L31" s="338" t="s">
        <v>4119</v>
      </c>
      <c r="M31" s="339" t="s">
        <v>4120</v>
      </c>
    </row>
    <row r="32">
      <c r="A32" s="14" t="s">
        <v>44</v>
      </c>
      <c r="B32" s="31">
        <v>29.0</v>
      </c>
      <c r="C32" s="35" t="s">
        <v>4121</v>
      </c>
      <c r="D32" s="35" t="s">
        <v>706</v>
      </c>
      <c r="E32" s="36" t="s">
        <v>49</v>
      </c>
      <c r="F32" s="336"/>
      <c r="G32" s="342"/>
      <c r="H32" s="343"/>
      <c r="K32" s="337"/>
      <c r="L32" s="338" t="s">
        <v>4122</v>
      </c>
      <c r="M32" s="339" t="s">
        <v>4123</v>
      </c>
    </row>
    <row r="33">
      <c r="A33" s="14" t="s">
        <v>44</v>
      </c>
      <c r="B33" s="31">
        <v>30.0</v>
      </c>
      <c r="C33" s="35" t="s">
        <v>1058</v>
      </c>
      <c r="D33" s="35" t="s">
        <v>1254</v>
      </c>
      <c r="E33" s="36" t="s">
        <v>49</v>
      </c>
      <c r="F33" s="336"/>
      <c r="G33" s="342"/>
      <c r="H33" s="343"/>
      <c r="K33" s="337"/>
      <c r="L33" s="338" t="s">
        <v>4128</v>
      </c>
      <c r="M33" s="339" t="s">
        <v>4129</v>
      </c>
    </row>
    <row r="34">
      <c r="A34" s="14" t="s">
        <v>44</v>
      </c>
      <c r="B34" s="31">
        <v>31.0</v>
      </c>
      <c r="C34" s="35" t="s">
        <v>514</v>
      </c>
      <c r="D34" s="35" t="s">
        <v>1096</v>
      </c>
      <c r="E34" s="36" t="s">
        <v>49</v>
      </c>
      <c r="F34" s="336"/>
      <c r="G34" s="342"/>
      <c r="H34" s="343"/>
      <c r="K34" s="337"/>
      <c r="L34" s="338" t="s">
        <v>4130</v>
      </c>
      <c r="M34" s="339" t="s">
        <v>4131</v>
      </c>
    </row>
    <row r="35">
      <c r="A35" s="14" t="s">
        <v>44</v>
      </c>
      <c r="B35" s="31">
        <v>32.0</v>
      </c>
      <c r="C35" s="35" t="s">
        <v>2734</v>
      </c>
      <c r="D35" s="35" t="s">
        <v>4134</v>
      </c>
      <c r="E35" s="36" t="s">
        <v>49</v>
      </c>
      <c r="F35" s="336"/>
      <c r="G35" s="342"/>
      <c r="H35" s="343"/>
      <c r="K35" s="337"/>
      <c r="L35" s="338" t="s">
        <v>4135</v>
      </c>
      <c r="M35" s="339" t="s">
        <v>4136</v>
      </c>
    </row>
    <row r="36">
      <c r="A36" s="14" t="s">
        <v>44</v>
      </c>
      <c r="B36" s="31">
        <v>33.0</v>
      </c>
      <c r="C36" s="35" t="s">
        <v>1161</v>
      </c>
      <c r="D36" s="38" t="s">
        <v>1332</v>
      </c>
      <c r="E36" s="36" t="s">
        <v>49</v>
      </c>
      <c r="F36" s="336"/>
      <c r="G36" s="342"/>
      <c r="H36" s="343"/>
      <c r="K36" s="340"/>
      <c r="L36" s="338" t="s">
        <v>4143</v>
      </c>
      <c r="M36" s="339" t="s">
        <v>4144</v>
      </c>
    </row>
    <row r="37">
      <c r="A37" s="14" t="s">
        <v>44</v>
      </c>
      <c r="B37" s="31">
        <v>34.0</v>
      </c>
      <c r="C37" s="35" t="s">
        <v>3097</v>
      </c>
      <c r="D37" s="35" t="s">
        <v>1451</v>
      </c>
      <c r="E37" s="36" t="s">
        <v>49</v>
      </c>
      <c r="F37" s="336"/>
      <c r="G37" s="342"/>
      <c r="H37" s="343"/>
      <c r="K37" s="340"/>
      <c r="L37" s="338" t="s">
        <v>4149</v>
      </c>
      <c r="M37" s="346" t="s">
        <v>4150</v>
      </c>
    </row>
    <row r="38">
      <c r="A38" s="14" t="s">
        <v>44</v>
      </c>
      <c r="B38" s="31">
        <v>35.0</v>
      </c>
      <c r="C38" s="35" t="s">
        <v>1466</v>
      </c>
      <c r="D38" s="38" t="s">
        <v>4152</v>
      </c>
      <c r="E38" s="36" t="s">
        <v>49</v>
      </c>
      <c r="F38" s="336"/>
      <c r="G38" s="347"/>
      <c r="H38" s="349"/>
      <c r="K38" s="337"/>
      <c r="L38" s="338" t="s">
        <v>4153</v>
      </c>
      <c r="M38" s="346" t="s">
        <v>4154</v>
      </c>
    </row>
    <row r="39">
      <c r="A39" s="14" t="s">
        <v>44</v>
      </c>
      <c r="B39" s="31">
        <v>36.0</v>
      </c>
      <c r="C39" s="35" t="s">
        <v>130</v>
      </c>
      <c r="D39" s="35" t="s">
        <v>1837</v>
      </c>
      <c r="E39" s="36" t="s">
        <v>49</v>
      </c>
      <c r="F39" s="336"/>
      <c r="G39" s="342"/>
      <c r="H39" s="343"/>
      <c r="K39" s="337"/>
      <c r="L39" s="338" t="s">
        <v>4161</v>
      </c>
      <c r="M39" s="339" t="s">
        <v>4162</v>
      </c>
    </row>
    <row r="40">
      <c r="A40" s="14" t="s">
        <v>44</v>
      </c>
      <c r="B40" s="31">
        <v>37.0</v>
      </c>
      <c r="C40" s="35" t="s">
        <v>4163</v>
      </c>
      <c r="D40" s="35" t="s">
        <v>4164</v>
      </c>
      <c r="E40" s="51" t="s">
        <v>53</v>
      </c>
      <c r="F40" s="336"/>
      <c r="G40" s="347"/>
      <c r="H40" s="349"/>
      <c r="K40" s="337"/>
      <c r="L40" s="338" t="s">
        <v>4165</v>
      </c>
      <c r="M40" s="339" t="s">
        <v>4166</v>
      </c>
    </row>
    <row r="41">
      <c r="A41" s="14" t="s">
        <v>44</v>
      </c>
      <c r="B41" s="31">
        <v>38.0</v>
      </c>
      <c r="C41" s="38" t="s">
        <v>425</v>
      </c>
      <c r="D41" s="38" t="s">
        <v>456</v>
      </c>
      <c r="E41" s="36" t="s">
        <v>49</v>
      </c>
      <c r="F41" s="336"/>
      <c r="G41" s="342"/>
      <c r="H41" s="343"/>
      <c r="K41" s="337"/>
      <c r="L41" s="338" t="s">
        <v>4170</v>
      </c>
      <c r="M41" s="341"/>
    </row>
    <row r="42">
      <c r="A42" s="14" t="s">
        <v>44</v>
      </c>
      <c r="B42" s="31">
        <v>39.0</v>
      </c>
      <c r="C42" s="35" t="s">
        <v>689</v>
      </c>
      <c r="D42" s="35" t="s">
        <v>4171</v>
      </c>
      <c r="E42" s="36" t="s">
        <v>49</v>
      </c>
      <c r="F42" s="336"/>
      <c r="G42" s="342"/>
      <c r="H42" s="343"/>
      <c r="K42" s="337"/>
      <c r="L42" s="338" t="s">
        <v>4173</v>
      </c>
      <c r="M42" s="339" t="s">
        <v>4174</v>
      </c>
    </row>
    <row r="43">
      <c r="A43" s="14" t="s">
        <v>44</v>
      </c>
      <c r="B43" s="31">
        <v>40.0</v>
      </c>
      <c r="C43" s="35" t="s">
        <v>4175</v>
      </c>
      <c r="D43" s="35" t="s">
        <v>1116</v>
      </c>
      <c r="E43" s="36" t="s">
        <v>49</v>
      </c>
      <c r="F43" s="336"/>
      <c r="G43" s="342"/>
      <c r="H43" s="343"/>
      <c r="K43" s="340"/>
      <c r="L43" s="338" t="s">
        <v>4179</v>
      </c>
      <c r="M43" s="339" t="s">
        <v>4180</v>
      </c>
    </row>
    <row r="44">
      <c r="A44" s="14" t="s">
        <v>44</v>
      </c>
      <c r="B44" s="31">
        <v>41.0</v>
      </c>
      <c r="C44" s="35" t="s">
        <v>1787</v>
      </c>
      <c r="D44" s="35" t="s">
        <v>4182</v>
      </c>
      <c r="E44" s="51" t="s">
        <v>53</v>
      </c>
      <c r="F44" s="336"/>
      <c r="G44" s="347"/>
      <c r="H44" s="349"/>
      <c r="K44" s="337"/>
      <c r="L44" s="338" t="s">
        <v>4183</v>
      </c>
      <c r="M44" s="339" t="s">
        <v>4184</v>
      </c>
    </row>
    <row r="45">
      <c r="A45" s="14" t="s">
        <v>44</v>
      </c>
      <c r="B45" s="31">
        <v>42.0</v>
      </c>
      <c r="C45" s="38" t="s">
        <v>2969</v>
      </c>
      <c r="D45" s="38" t="s">
        <v>1787</v>
      </c>
      <c r="E45" s="51" t="s">
        <v>53</v>
      </c>
      <c r="F45" s="336"/>
      <c r="G45" s="347"/>
      <c r="H45" s="349"/>
      <c r="K45" s="337"/>
      <c r="L45" s="338" t="s">
        <v>4187</v>
      </c>
      <c r="M45" s="341"/>
    </row>
    <row r="46">
      <c r="A46" s="14" t="s">
        <v>44</v>
      </c>
      <c r="B46" s="31">
        <v>43.0</v>
      </c>
      <c r="C46" s="35" t="s">
        <v>2099</v>
      </c>
      <c r="D46" s="35" t="s">
        <v>4188</v>
      </c>
      <c r="E46" s="36" t="s">
        <v>49</v>
      </c>
      <c r="F46" s="336"/>
      <c r="G46" s="347"/>
      <c r="H46" s="349"/>
      <c r="K46" s="340"/>
      <c r="L46" s="338" t="s">
        <v>4190</v>
      </c>
      <c r="M46" s="339" t="s">
        <v>4191</v>
      </c>
    </row>
    <row r="47">
      <c r="A47" s="14" t="s">
        <v>44</v>
      </c>
      <c r="B47" s="31">
        <v>44.0</v>
      </c>
      <c r="C47" s="35" t="s">
        <v>1242</v>
      </c>
      <c r="D47" s="35" t="s">
        <v>4195</v>
      </c>
      <c r="E47" s="36" t="s">
        <v>49</v>
      </c>
      <c r="F47" s="336"/>
      <c r="G47" s="347"/>
      <c r="H47" s="349"/>
      <c r="K47" s="337"/>
      <c r="L47" s="338" t="s">
        <v>4196</v>
      </c>
      <c r="M47" s="339" t="s">
        <v>4197</v>
      </c>
    </row>
    <row r="48">
      <c r="A48" s="14" t="s">
        <v>44</v>
      </c>
      <c r="B48" s="31">
        <v>45.0</v>
      </c>
      <c r="C48" s="351" t="s">
        <v>2551</v>
      </c>
      <c r="D48" s="351" t="s">
        <v>4200</v>
      </c>
      <c r="E48" s="51" t="s">
        <v>53</v>
      </c>
      <c r="F48" s="336"/>
      <c r="G48" s="347"/>
      <c r="H48" s="349"/>
      <c r="K48" s="337"/>
      <c r="L48" s="338" t="s">
        <v>4202</v>
      </c>
      <c r="M48" s="339" t="s">
        <v>4203</v>
      </c>
    </row>
    <row r="49">
      <c r="A49" s="14" t="s">
        <v>44</v>
      </c>
      <c r="B49" s="31">
        <v>46.0</v>
      </c>
      <c r="C49" s="35" t="s">
        <v>1395</v>
      </c>
      <c r="D49" s="35" t="s">
        <v>4208</v>
      </c>
      <c r="E49" s="36" t="s">
        <v>49</v>
      </c>
      <c r="F49" s="336"/>
      <c r="G49" s="347"/>
      <c r="H49" s="349"/>
      <c r="K49" s="337"/>
      <c r="L49" s="338" t="s">
        <v>4209</v>
      </c>
      <c r="M49" s="339" t="s">
        <v>4210</v>
      </c>
    </row>
    <row r="50">
      <c r="A50" s="14" t="s">
        <v>44</v>
      </c>
      <c r="B50" s="31">
        <v>47.0</v>
      </c>
      <c r="C50" s="35" t="s">
        <v>4211</v>
      </c>
      <c r="D50" s="35" t="s">
        <v>4215</v>
      </c>
      <c r="E50" s="51" t="s">
        <v>53</v>
      </c>
      <c r="F50" s="336"/>
      <c r="G50" s="347"/>
      <c r="H50" s="349"/>
      <c r="K50" s="340"/>
      <c r="L50" s="338" t="s">
        <v>4217</v>
      </c>
      <c r="M50" s="346" t="s">
        <v>4218</v>
      </c>
    </row>
    <row r="51">
      <c r="A51" s="14" t="s">
        <v>44</v>
      </c>
      <c r="B51" s="31">
        <v>48.0</v>
      </c>
      <c r="C51" s="38" t="s">
        <v>4219</v>
      </c>
      <c r="D51" s="38" t="s">
        <v>297</v>
      </c>
      <c r="E51" s="100" t="s">
        <v>49</v>
      </c>
      <c r="F51" s="336"/>
      <c r="G51" s="347"/>
      <c r="H51" s="349"/>
      <c r="K51" s="337"/>
      <c r="L51" s="338" t="s">
        <v>4220</v>
      </c>
      <c r="M51" s="341"/>
    </row>
    <row r="52">
      <c r="A52" s="14" t="s">
        <v>44</v>
      </c>
      <c r="B52" s="31">
        <v>49.0</v>
      </c>
      <c r="C52" s="38" t="s">
        <v>4221</v>
      </c>
      <c r="D52" s="38" t="s">
        <v>4222</v>
      </c>
      <c r="E52" s="100" t="s">
        <v>49</v>
      </c>
      <c r="F52" s="336"/>
      <c r="G52" s="347"/>
      <c r="H52" s="349"/>
      <c r="K52" s="337"/>
      <c r="L52" s="338" t="s">
        <v>4223</v>
      </c>
      <c r="M52" s="341"/>
    </row>
    <row r="53">
      <c r="A53" s="14" t="s">
        <v>44</v>
      </c>
      <c r="B53" s="31">
        <v>50.0</v>
      </c>
      <c r="C53" s="35" t="s">
        <v>1617</v>
      </c>
      <c r="D53" s="35" t="s">
        <v>474</v>
      </c>
      <c r="E53" s="51" t="s">
        <v>53</v>
      </c>
      <c r="F53" s="336"/>
      <c r="G53" s="347"/>
      <c r="H53" s="349"/>
      <c r="K53" s="337"/>
      <c r="L53" s="338" t="s">
        <v>4225</v>
      </c>
      <c r="M53" s="339" t="s">
        <v>4226</v>
      </c>
    </row>
    <row r="54">
      <c r="A54" s="14" t="s">
        <v>44</v>
      </c>
      <c r="B54" s="31">
        <v>51.0</v>
      </c>
      <c r="C54" s="351" t="s">
        <v>4227</v>
      </c>
      <c r="D54" s="351" t="s">
        <v>2877</v>
      </c>
      <c r="E54" s="51" t="s">
        <v>53</v>
      </c>
      <c r="F54" s="336"/>
      <c r="G54" s="347"/>
      <c r="H54" s="349"/>
      <c r="K54" s="340"/>
      <c r="L54" s="338" t="s">
        <v>4231</v>
      </c>
      <c r="M54" s="341"/>
    </row>
    <row r="55">
      <c r="A55" s="14" t="s">
        <v>44</v>
      </c>
      <c r="B55" s="31">
        <v>52.0</v>
      </c>
      <c r="C55" s="35" t="s">
        <v>108</v>
      </c>
      <c r="D55" s="35" t="s">
        <v>4232</v>
      </c>
      <c r="E55" s="51" t="s">
        <v>53</v>
      </c>
      <c r="F55" s="336"/>
      <c r="G55" s="342"/>
      <c r="H55" s="343"/>
      <c r="K55" s="337"/>
      <c r="L55" s="338" t="s">
        <v>4233</v>
      </c>
      <c r="M55" s="339" t="s">
        <v>4234</v>
      </c>
    </row>
    <row r="56">
      <c r="A56" s="14" t="s">
        <v>44</v>
      </c>
      <c r="B56" s="31">
        <v>53.0</v>
      </c>
      <c r="C56" s="38" t="s">
        <v>91</v>
      </c>
      <c r="D56" s="38" t="s">
        <v>1275</v>
      </c>
      <c r="E56" s="100" t="s">
        <v>49</v>
      </c>
      <c r="F56" s="336"/>
      <c r="G56" s="347"/>
      <c r="H56" s="349"/>
      <c r="K56" s="337"/>
      <c r="L56" s="338" t="s">
        <v>4235</v>
      </c>
      <c r="M56" s="341"/>
    </row>
    <row r="57">
      <c r="A57" s="14" t="s">
        <v>44</v>
      </c>
      <c r="B57" s="31">
        <v>54.0</v>
      </c>
      <c r="C57" s="35" t="s">
        <v>561</v>
      </c>
      <c r="D57" s="35" t="s">
        <v>4239</v>
      </c>
      <c r="E57" s="51" t="s">
        <v>53</v>
      </c>
      <c r="F57" s="336"/>
      <c r="G57" s="347"/>
      <c r="H57" s="349"/>
      <c r="K57" s="337"/>
      <c r="L57" s="338" t="s">
        <v>4240</v>
      </c>
      <c r="M57" s="339" t="s">
        <v>4241</v>
      </c>
    </row>
    <row r="58">
      <c r="A58" s="14" t="s">
        <v>44</v>
      </c>
      <c r="B58" s="31">
        <v>55.0</v>
      </c>
      <c r="C58" s="35" t="s">
        <v>4242</v>
      </c>
      <c r="D58" s="35" t="s">
        <v>4243</v>
      </c>
      <c r="E58" s="36" t="s">
        <v>49</v>
      </c>
      <c r="F58" s="336"/>
      <c r="G58" s="347"/>
      <c r="H58" s="349"/>
      <c r="K58" s="337"/>
      <c r="L58" s="338" t="s">
        <v>4244</v>
      </c>
      <c r="M58" s="339" t="s">
        <v>4245</v>
      </c>
    </row>
    <row r="59">
      <c r="A59" s="14" t="s">
        <v>44</v>
      </c>
      <c r="B59" s="31">
        <v>56.0</v>
      </c>
      <c r="C59" s="35" t="s">
        <v>22</v>
      </c>
      <c r="D59" s="35" t="s">
        <v>4247</v>
      </c>
      <c r="E59" s="36" t="s">
        <v>49</v>
      </c>
      <c r="F59" s="336"/>
      <c r="G59" s="347"/>
      <c r="H59" s="349"/>
      <c r="K59" s="337"/>
      <c r="L59" s="338" t="s">
        <v>4250</v>
      </c>
      <c r="M59" s="339" t="s">
        <v>4252</v>
      </c>
    </row>
    <row r="60">
      <c r="A60" s="14" t="s">
        <v>44</v>
      </c>
      <c r="B60" s="31">
        <v>57.0</v>
      </c>
      <c r="C60" s="35" t="s">
        <v>235</v>
      </c>
      <c r="D60" s="35" t="s">
        <v>1002</v>
      </c>
      <c r="E60" s="36" t="s">
        <v>49</v>
      </c>
      <c r="F60" s="336"/>
      <c r="G60" s="342"/>
      <c r="H60" s="343"/>
      <c r="K60" s="340"/>
      <c r="L60" s="338" t="s">
        <v>4256</v>
      </c>
      <c r="M60" s="346" t="s">
        <v>4257</v>
      </c>
    </row>
    <row r="61">
      <c r="A61" s="14" t="s">
        <v>44</v>
      </c>
      <c r="B61" s="31">
        <v>58.0</v>
      </c>
      <c r="C61" s="38" t="s">
        <v>419</v>
      </c>
      <c r="D61" s="38" t="s">
        <v>141</v>
      </c>
      <c r="E61" s="36" t="s">
        <v>49</v>
      </c>
      <c r="F61" s="336"/>
      <c r="G61" s="347"/>
      <c r="H61" s="349"/>
      <c r="K61" s="337"/>
      <c r="L61" s="338" t="s">
        <v>4258</v>
      </c>
      <c r="M61" s="341"/>
    </row>
    <row r="62">
      <c r="A62" s="14" t="s">
        <v>44</v>
      </c>
      <c r="B62" s="31">
        <v>59.0</v>
      </c>
      <c r="C62" s="38" t="s">
        <v>552</v>
      </c>
      <c r="D62" s="38" t="s">
        <v>4259</v>
      </c>
      <c r="E62" s="36" t="s">
        <v>49</v>
      </c>
      <c r="F62" s="336"/>
      <c r="G62" s="347"/>
      <c r="H62" s="349"/>
      <c r="K62" s="340"/>
      <c r="L62" s="338" t="s">
        <v>4260</v>
      </c>
      <c r="M62" s="341"/>
    </row>
    <row r="63">
      <c r="A63" s="14" t="s">
        <v>44</v>
      </c>
      <c r="B63" s="31">
        <v>60.0</v>
      </c>
      <c r="C63" s="35" t="s">
        <v>4118</v>
      </c>
      <c r="D63" s="35" t="s">
        <v>3240</v>
      </c>
      <c r="E63" s="36" t="s">
        <v>49</v>
      </c>
      <c r="F63" s="336"/>
      <c r="G63" s="342"/>
      <c r="H63" s="343"/>
      <c r="K63" s="340"/>
      <c r="L63" s="338" t="s">
        <v>4265</v>
      </c>
      <c r="M63" s="339" t="s">
        <v>4266</v>
      </c>
    </row>
    <row r="64">
      <c r="A64" s="14" t="s">
        <v>44</v>
      </c>
      <c r="B64" s="31">
        <v>61.0</v>
      </c>
      <c r="C64" s="38" t="s">
        <v>2426</v>
      </c>
      <c r="D64" s="38" t="s">
        <v>3835</v>
      </c>
      <c r="E64" s="100" t="s">
        <v>49</v>
      </c>
      <c r="F64" s="336"/>
      <c r="G64" s="347"/>
      <c r="H64" s="349"/>
      <c r="K64" s="340"/>
      <c r="L64" s="338" t="s">
        <v>4267</v>
      </c>
      <c r="M64" s="341"/>
    </row>
    <row r="65">
      <c r="A65" s="14" t="s">
        <v>44</v>
      </c>
      <c r="B65" s="31">
        <v>62.0</v>
      </c>
      <c r="C65" s="35" t="s">
        <v>224</v>
      </c>
      <c r="D65" s="35" t="s">
        <v>4269</v>
      </c>
      <c r="E65" s="36" t="s">
        <v>49</v>
      </c>
      <c r="F65" s="336"/>
      <c r="G65" s="347"/>
      <c r="H65" s="349"/>
      <c r="K65" s="337"/>
      <c r="L65" s="338" t="s">
        <v>4270</v>
      </c>
      <c r="M65" s="339" t="s">
        <v>4271</v>
      </c>
    </row>
    <row r="66">
      <c r="A66" s="14" t="s">
        <v>44</v>
      </c>
      <c r="B66" s="31">
        <v>63.0</v>
      </c>
      <c r="C66" s="35" t="s">
        <v>55</v>
      </c>
      <c r="D66" s="35" t="s">
        <v>4272</v>
      </c>
      <c r="E66" s="51" t="s">
        <v>53</v>
      </c>
      <c r="F66" s="336"/>
      <c r="G66" s="342"/>
      <c r="H66" s="343"/>
      <c r="K66" s="337"/>
      <c r="L66" s="338" t="s">
        <v>4273</v>
      </c>
      <c r="M66" s="339" t="s">
        <v>4274</v>
      </c>
    </row>
    <row r="67">
      <c r="A67" s="14" t="s">
        <v>44</v>
      </c>
      <c r="B67" s="31">
        <v>64.0</v>
      </c>
      <c r="C67" s="38" t="s">
        <v>338</v>
      </c>
      <c r="D67" s="38" t="s">
        <v>1988</v>
      </c>
      <c r="E67" s="51" t="s">
        <v>53</v>
      </c>
      <c r="F67" s="336"/>
      <c r="G67" s="347"/>
      <c r="H67" s="349"/>
      <c r="K67" s="337"/>
      <c r="L67" s="338" t="s">
        <v>4275</v>
      </c>
      <c r="M67" s="341"/>
    </row>
    <row r="68">
      <c r="A68" s="14" t="s">
        <v>44</v>
      </c>
      <c r="B68" s="31">
        <v>65.0</v>
      </c>
      <c r="C68" s="38" t="s">
        <v>239</v>
      </c>
      <c r="D68" s="38" t="s">
        <v>4276</v>
      </c>
      <c r="E68" s="51" t="s">
        <v>53</v>
      </c>
      <c r="F68" s="336"/>
      <c r="G68" s="347"/>
      <c r="H68" s="349"/>
      <c r="K68" s="337"/>
      <c r="L68" s="338" t="s">
        <v>4277</v>
      </c>
      <c r="M68" s="341"/>
    </row>
    <row r="69">
      <c r="A69" s="14" t="s">
        <v>44</v>
      </c>
      <c r="B69" s="31">
        <v>66.0</v>
      </c>
      <c r="C69" s="35" t="s">
        <v>241</v>
      </c>
      <c r="D69" s="35" t="s">
        <v>4282</v>
      </c>
      <c r="E69" s="51" t="s">
        <v>53</v>
      </c>
      <c r="F69" s="336"/>
      <c r="G69" s="342"/>
      <c r="H69" s="343"/>
      <c r="K69" s="337"/>
      <c r="L69" s="338" t="s">
        <v>4283</v>
      </c>
      <c r="M69" s="339" t="s">
        <v>4284</v>
      </c>
    </row>
    <row r="70">
      <c r="A70" s="14" t="s">
        <v>44</v>
      </c>
      <c r="B70" s="31">
        <v>67.0</v>
      </c>
      <c r="C70" s="38" t="s">
        <v>4285</v>
      </c>
      <c r="D70" s="38" t="s">
        <v>4286</v>
      </c>
      <c r="E70" s="36" t="s">
        <v>49</v>
      </c>
      <c r="F70" s="336"/>
      <c r="G70" s="342"/>
      <c r="H70" s="343"/>
      <c r="K70" s="340"/>
      <c r="L70" s="338" t="s">
        <v>4287</v>
      </c>
      <c r="M70" s="341"/>
    </row>
    <row r="71">
      <c r="A71" s="14" t="s">
        <v>44</v>
      </c>
      <c r="B71" s="31">
        <v>68.0</v>
      </c>
      <c r="C71" s="35" t="s">
        <v>278</v>
      </c>
      <c r="D71" s="35" t="s">
        <v>4288</v>
      </c>
      <c r="E71" s="51" t="s">
        <v>53</v>
      </c>
      <c r="F71" s="336"/>
      <c r="G71" s="347"/>
      <c r="H71" s="349"/>
      <c r="K71" s="340"/>
      <c r="L71" s="338" t="s">
        <v>4289</v>
      </c>
      <c r="M71" s="339" t="s">
        <v>4290</v>
      </c>
    </row>
    <row r="72">
      <c r="A72" s="14" t="s">
        <v>44</v>
      </c>
      <c r="B72" s="31">
        <v>69.0</v>
      </c>
      <c r="C72" s="35" t="s">
        <v>622</v>
      </c>
      <c r="D72" s="35" t="s">
        <v>4296</v>
      </c>
      <c r="E72" s="51" t="s">
        <v>53</v>
      </c>
      <c r="F72" s="336"/>
      <c r="G72" s="347"/>
      <c r="H72" s="349"/>
      <c r="K72" s="337"/>
      <c r="L72" s="338" t="s">
        <v>4297</v>
      </c>
      <c r="M72" s="339" t="s">
        <v>4298</v>
      </c>
    </row>
    <row r="73">
      <c r="A73" s="14" t="s">
        <v>44</v>
      </c>
      <c r="B73" s="31">
        <v>70.0</v>
      </c>
      <c r="C73" s="35" t="s">
        <v>683</v>
      </c>
      <c r="D73" s="35" t="s">
        <v>4299</v>
      </c>
      <c r="E73" s="51" t="s">
        <v>53</v>
      </c>
      <c r="F73" s="336"/>
      <c r="G73" s="347"/>
      <c r="H73" s="349"/>
      <c r="K73" s="337"/>
      <c r="L73" s="338" t="s">
        <v>4300</v>
      </c>
      <c r="M73" s="341"/>
    </row>
    <row r="74">
      <c r="A74" s="14" t="s">
        <v>44</v>
      </c>
      <c r="B74" s="31">
        <v>71.0</v>
      </c>
      <c r="C74" s="35" t="s">
        <v>980</v>
      </c>
      <c r="D74" s="35" t="s">
        <v>4302</v>
      </c>
      <c r="E74" s="51" t="s">
        <v>53</v>
      </c>
      <c r="F74" s="336"/>
      <c r="G74" s="347"/>
      <c r="H74" s="349"/>
      <c r="K74" s="337"/>
      <c r="L74" s="338" t="s">
        <v>4303</v>
      </c>
      <c r="M74" s="339" t="s">
        <v>4304</v>
      </c>
    </row>
    <row r="75">
      <c r="A75" s="14" t="s">
        <v>44</v>
      </c>
      <c r="B75" s="31">
        <v>72.0</v>
      </c>
      <c r="C75" s="35" t="s">
        <v>2490</v>
      </c>
      <c r="D75" s="35" t="s">
        <v>4310</v>
      </c>
      <c r="E75" s="36" t="s">
        <v>49</v>
      </c>
      <c r="F75" s="336"/>
      <c r="G75" s="347"/>
      <c r="H75" s="349"/>
      <c r="K75" s="337"/>
      <c r="L75" s="338" t="s">
        <v>4311</v>
      </c>
      <c r="M75" s="339" t="s">
        <v>4312</v>
      </c>
    </row>
    <row r="76">
      <c r="A76" s="14" t="s">
        <v>44</v>
      </c>
      <c r="B76" s="31">
        <v>73.0</v>
      </c>
      <c r="C76" s="35" t="s">
        <v>2780</v>
      </c>
      <c r="D76" s="35" t="s">
        <v>4313</v>
      </c>
      <c r="E76" s="51" t="s">
        <v>53</v>
      </c>
      <c r="F76" s="336"/>
      <c r="G76" s="342"/>
      <c r="H76" s="343"/>
      <c r="K76" s="337"/>
      <c r="L76" s="338" t="s">
        <v>4314</v>
      </c>
      <c r="M76" s="346" t="s">
        <v>4315</v>
      </c>
    </row>
    <row r="77">
      <c r="A77" s="14" t="s">
        <v>44</v>
      </c>
      <c r="B77" s="31">
        <v>74.0</v>
      </c>
      <c r="C77" s="35" t="s">
        <v>552</v>
      </c>
      <c r="D77" s="35" t="s">
        <v>4320</v>
      </c>
      <c r="E77" s="51" t="s">
        <v>53</v>
      </c>
      <c r="F77" s="336"/>
      <c r="G77" s="342"/>
      <c r="H77" s="343"/>
      <c r="K77" s="337"/>
      <c r="L77" s="338" t="s">
        <v>4321</v>
      </c>
      <c r="M77" s="346" t="s">
        <v>4322</v>
      </c>
    </row>
    <row r="78">
      <c r="A78" s="14" t="s">
        <v>44</v>
      </c>
      <c r="B78" s="31">
        <v>75.0</v>
      </c>
      <c r="C78" s="35" t="s">
        <v>108</v>
      </c>
      <c r="D78" s="35" t="s">
        <v>4323</v>
      </c>
      <c r="E78" s="51" t="s">
        <v>53</v>
      </c>
      <c r="F78" s="336"/>
      <c r="G78" s="342"/>
      <c r="H78" s="343"/>
      <c r="K78" s="340"/>
      <c r="L78" s="338" t="s">
        <v>4324</v>
      </c>
      <c r="M78" s="339" t="s">
        <v>4325</v>
      </c>
    </row>
    <row r="79">
      <c r="A79" s="14" t="s">
        <v>44</v>
      </c>
      <c r="B79" s="31">
        <v>76.0</v>
      </c>
      <c r="C79" s="38" t="s">
        <v>185</v>
      </c>
      <c r="D79" s="38" t="s">
        <v>4326</v>
      </c>
      <c r="E79" s="100" t="s">
        <v>49</v>
      </c>
      <c r="F79" s="336"/>
      <c r="G79" s="347"/>
      <c r="H79" s="349"/>
      <c r="K79" s="337"/>
      <c r="L79" s="338" t="s">
        <v>4327</v>
      </c>
      <c r="M79" s="341"/>
    </row>
    <row r="80">
      <c r="A80" s="14" t="s">
        <v>44</v>
      </c>
      <c r="B80" s="31">
        <v>77.0</v>
      </c>
      <c r="C80" s="35" t="s">
        <v>2554</v>
      </c>
      <c r="D80" s="35" t="s">
        <v>4330</v>
      </c>
      <c r="E80" s="36" t="s">
        <v>49</v>
      </c>
      <c r="F80" s="336"/>
      <c r="G80" s="347"/>
      <c r="H80" s="349"/>
      <c r="K80" s="337"/>
      <c r="L80" s="338" t="s">
        <v>4333</v>
      </c>
      <c r="M80" s="339" t="s">
        <v>4334</v>
      </c>
    </row>
    <row r="81">
      <c r="A81" s="14" t="s">
        <v>44</v>
      </c>
      <c r="B81" s="31">
        <v>78.0</v>
      </c>
      <c r="C81" s="35" t="s">
        <v>4335</v>
      </c>
      <c r="D81" s="35" t="s">
        <v>4336</v>
      </c>
      <c r="E81" s="36" t="s">
        <v>49</v>
      </c>
      <c r="F81" s="336"/>
      <c r="G81" s="342"/>
      <c r="H81" s="343"/>
      <c r="K81" s="340"/>
      <c r="L81" s="338" t="s">
        <v>4337</v>
      </c>
      <c r="M81" s="339" t="s">
        <v>4338</v>
      </c>
    </row>
    <row r="82">
      <c r="A82" s="14" t="s">
        <v>44</v>
      </c>
      <c r="B82" s="31">
        <v>79.0</v>
      </c>
      <c r="C82" s="35" t="s">
        <v>4339</v>
      </c>
      <c r="D82" s="35" t="s">
        <v>4341</v>
      </c>
      <c r="E82" s="51" t="s">
        <v>53</v>
      </c>
      <c r="F82" s="336"/>
      <c r="G82" s="347"/>
      <c r="H82" s="349"/>
      <c r="K82" s="337"/>
      <c r="L82" s="338" t="s">
        <v>4342</v>
      </c>
      <c r="M82" s="339" t="s">
        <v>4274</v>
      </c>
    </row>
    <row r="83">
      <c r="A83" s="14" t="s">
        <v>44</v>
      </c>
      <c r="B83" s="31">
        <v>80.0</v>
      </c>
      <c r="C83" s="35" t="s">
        <v>496</v>
      </c>
      <c r="D83" s="35" t="s">
        <v>4348</v>
      </c>
      <c r="E83" s="36" t="s">
        <v>49</v>
      </c>
      <c r="F83" s="336"/>
      <c r="G83" s="342"/>
      <c r="H83" s="343"/>
      <c r="K83" s="340"/>
      <c r="L83" s="338" t="s">
        <v>4349</v>
      </c>
      <c r="M83" s="339" t="s">
        <v>4350</v>
      </c>
    </row>
    <row r="84">
      <c r="A84" s="14" t="s">
        <v>44</v>
      </c>
      <c r="B84" s="31">
        <v>81.0</v>
      </c>
      <c r="C84" s="351" t="s">
        <v>108</v>
      </c>
      <c r="D84" s="351" t="s">
        <v>4352</v>
      </c>
      <c r="E84" s="51" t="s">
        <v>53</v>
      </c>
      <c r="F84" s="336"/>
      <c r="G84" s="347"/>
      <c r="H84" s="349"/>
      <c r="K84" s="340"/>
      <c r="L84" s="338" t="s">
        <v>4353</v>
      </c>
      <c r="M84" s="339" t="s">
        <v>4354</v>
      </c>
    </row>
    <row r="85">
      <c r="A85" s="14" t="s">
        <v>44</v>
      </c>
      <c r="B85" s="31">
        <v>82.0</v>
      </c>
      <c r="C85" s="35" t="s">
        <v>476</v>
      </c>
      <c r="D85" s="35" t="s">
        <v>4359</v>
      </c>
      <c r="E85" s="51" t="s">
        <v>53</v>
      </c>
      <c r="F85" s="347" t="s">
        <v>498</v>
      </c>
      <c r="G85" s="347"/>
      <c r="H85" s="349"/>
      <c r="K85" s="340"/>
      <c r="L85" s="338" t="s">
        <v>4362</v>
      </c>
      <c r="M85" s="339" t="s">
        <v>4363</v>
      </c>
    </row>
    <row r="86">
      <c r="A86" s="14" t="s">
        <v>44</v>
      </c>
      <c r="B86" s="31">
        <v>83.0</v>
      </c>
      <c r="C86" s="35" t="s">
        <v>978</v>
      </c>
      <c r="D86" s="35" t="s">
        <v>4365</v>
      </c>
      <c r="E86" s="36" t="s">
        <v>49</v>
      </c>
      <c r="F86" s="336"/>
      <c r="G86" s="342"/>
      <c r="H86" s="343"/>
      <c r="K86" s="337"/>
      <c r="L86" s="338" t="s">
        <v>4366</v>
      </c>
      <c r="M86" s="339" t="s">
        <v>4367</v>
      </c>
    </row>
    <row r="87">
      <c r="A87" s="14" t="s">
        <v>44</v>
      </c>
      <c r="B87" s="31">
        <v>84.0</v>
      </c>
      <c r="C87" s="35" t="s">
        <v>2254</v>
      </c>
      <c r="D87" s="35" t="s">
        <v>4368</v>
      </c>
      <c r="E87" s="36" t="s">
        <v>49</v>
      </c>
      <c r="F87" s="336"/>
      <c r="G87" s="347"/>
      <c r="H87" s="349"/>
      <c r="K87" s="337"/>
      <c r="L87" s="338" t="s">
        <v>4369</v>
      </c>
      <c r="M87" s="339" t="s">
        <v>4370</v>
      </c>
    </row>
    <row r="88">
      <c r="A88" s="14" t="s">
        <v>44</v>
      </c>
      <c r="B88" s="31">
        <v>85.0</v>
      </c>
      <c r="C88" s="35" t="s">
        <v>278</v>
      </c>
      <c r="D88" s="38" t="s">
        <v>4376</v>
      </c>
      <c r="E88" s="36" t="s">
        <v>49</v>
      </c>
      <c r="F88" s="336"/>
      <c r="G88" s="342"/>
      <c r="H88" s="343"/>
      <c r="K88" s="340"/>
      <c r="L88" s="338" t="s">
        <v>4377</v>
      </c>
      <c r="M88" s="346" t="s">
        <v>4378</v>
      </c>
    </row>
    <row r="89">
      <c r="A89" s="14" t="s">
        <v>44</v>
      </c>
      <c r="B89" s="31">
        <v>86.0</v>
      </c>
      <c r="C89" s="35" t="s">
        <v>572</v>
      </c>
      <c r="D89" s="38" t="s">
        <v>2877</v>
      </c>
      <c r="E89" s="36" t="s">
        <v>49</v>
      </c>
      <c r="F89" s="336"/>
      <c r="G89" s="347"/>
      <c r="H89" s="349"/>
      <c r="K89" s="340"/>
      <c r="L89" s="338" t="s">
        <v>4382</v>
      </c>
      <c r="M89" s="339" t="s">
        <v>4383</v>
      </c>
    </row>
    <row r="90">
      <c r="A90" s="14" t="s">
        <v>44</v>
      </c>
      <c r="B90" s="31">
        <v>87.0</v>
      </c>
      <c r="C90" s="35" t="s">
        <v>225</v>
      </c>
      <c r="D90" s="35" t="s">
        <v>1102</v>
      </c>
      <c r="E90" s="51" t="s">
        <v>53</v>
      </c>
      <c r="F90" s="336"/>
      <c r="G90" s="342"/>
      <c r="H90" s="343"/>
      <c r="K90" s="340"/>
      <c r="L90" s="338" t="s">
        <v>4385</v>
      </c>
      <c r="M90" s="339" t="s">
        <v>4386</v>
      </c>
    </row>
    <row r="91">
      <c r="A91" s="14" t="s">
        <v>44</v>
      </c>
      <c r="B91" s="31">
        <v>88.0</v>
      </c>
      <c r="C91" s="35" t="s">
        <v>1617</v>
      </c>
      <c r="D91" s="35" t="s">
        <v>4390</v>
      </c>
      <c r="E91" s="51" t="s">
        <v>53</v>
      </c>
      <c r="F91" s="336"/>
      <c r="G91" s="347"/>
      <c r="H91" s="349"/>
      <c r="K91" s="340"/>
      <c r="L91" s="338" t="s">
        <v>4391</v>
      </c>
      <c r="M91" s="339" t="s">
        <v>4392</v>
      </c>
    </row>
    <row r="92">
      <c r="A92" s="14" t="s">
        <v>44</v>
      </c>
      <c r="B92" s="31">
        <v>89.0</v>
      </c>
      <c r="C92" s="38" t="s">
        <v>80</v>
      </c>
      <c r="D92" s="38" t="s">
        <v>4393</v>
      </c>
      <c r="E92" s="51" t="s">
        <v>53</v>
      </c>
      <c r="F92" s="336"/>
      <c r="G92" s="347"/>
      <c r="H92" s="349"/>
      <c r="K92" s="340"/>
      <c r="L92" s="338" t="s">
        <v>4394</v>
      </c>
      <c r="M92" s="341"/>
    </row>
    <row r="93">
      <c r="A93" s="14" t="s">
        <v>44</v>
      </c>
      <c r="B93" s="31">
        <v>90.0</v>
      </c>
      <c r="C93" s="35" t="s">
        <v>338</v>
      </c>
      <c r="D93" s="35" t="s">
        <v>4395</v>
      </c>
      <c r="E93" s="51" t="s">
        <v>53</v>
      </c>
      <c r="F93" s="336"/>
      <c r="G93" s="347"/>
      <c r="H93" s="349"/>
      <c r="K93" s="337"/>
      <c r="L93" s="338" t="s">
        <v>4396</v>
      </c>
      <c r="M93" s="339" t="s">
        <v>4398</v>
      </c>
    </row>
    <row r="94">
      <c r="A94" s="14" t="s">
        <v>44</v>
      </c>
      <c r="B94" s="31">
        <v>91.0</v>
      </c>
      <c r="C94" s="35" t="s">
        <v>2490</v>
      </c>
      <c r="D94" s="35" t="s">
        <v>4402</v>
      </c>
      <c r="E94" s="51" t="s">
        <v>53</v>
      </c>
      <c r="F94" s="336"/>
      <c r="G94" s="347"/>
      <c r="H94" s="349"/>
      <c r="K94" s="337"/>
      <c r="L94" s="338" t="s">
        <v>4403</v>
      </c>
      <c r="M94" s="339" t="s">
        <v>4404</v>
      </c>
    </row>
    <row r="95">
      <c r="A95" s="14" t="s">
        <v>44</v>
      </c>
      <c r="B95" s="31">
        <v>92.0</v>
      </c>
      <c r="C95" s="38" t="s">
        <v>4405</v>
      </c>
      <c r="D95" s="38" t="s">
        <v>4406</v>
      </c>
      <c r="E95" s="36" t="s">
        <v>49</v>
      </c>
      <c r="F95" s="336"/>
      <c r="G95" s="342"/>
      <c r="H95" s="343"/>
      <c r="K95" s="337"/>
      <c r="L95" s="338" t="s">
        <v>4407</v>
      </c>
      <c r="M95" s="339" t="s">
        <v>4408</v>
      </c>
    </row>
    <row r="96">
      <c r="A96" s="14" t="s">
        <v>44</v>
      </c>
      <c r="B96" s="31">
        <v>93.0</v>
      </c>
      <c r="C96" s="35" t="s">
        <v>4409</v>
      </c>
      <c r="D96" s="35" t="s">
        <v>4413</v>
      </c>
      <c r="E96" s="51" t="s">
        <v>53</v>
      </c>
      <c r="F96" s="336"/>
      <c r="G96" s="347"/>
      <c r="H96" s="349"/>
      <c r="K96" s="340"/>
      <c r="L96" s="338" t="s">
        <v>4414</v>
      </c>
      <c r="M96" s="339" t="s">
        <v>4415</v>
      </c>
    </row>
    <row r="97">
      <c r="A97" s="14" t="s">
        <v>44</v>
      </c>
      <c r="B97" s="31">
        <v>94.0</v>
      </c>
      <c r="C97" s="35" t="s">
        <v>412</v>
      </c>
      <c r="D97" s="35" t="s">
        <v>4418</v>
      </c>
      <c r="E97" s="51" t="s">
        <v>53</v>
      </c>
      <c r="F97" s="336"/>
      <c r="G97" s="347"/>
      <c r="H97" s="349"/>
      <c r="K97" s="337"/>
      <c r="L97" s="338" t="s">
        <v>4420</v>
      </c>
      <c r="M97" s="339" t="s">
        <v>4421</v>
      </c>
    </row>
    <row r="98">
      <c r="A98" s="14" t="s">
        <v>44</v>
      </c>
      <c r="B98" s="31">
        <v>95.0</v>
      </c>
      <c r="C98" s="35" t="s">
        <v>4422</v>
      </c>
      <c r="D98" s="35" t="s">
        <v>4423</v>
      </c>
      <c r="E98" s="51" t="s">
        <v>53</v>
      </c>
      <c r="F98" s="336"/>
      <c r="G98" s="347"/>
      <c r="H98" s="349"/>
      <c r="K98" s="340"/>
      <c r="L98" s="338" t="s">
        <v>4424</v>
      </c>
      <c r="M98" s="339" t="s">
        <v>4425</v>
      </c>
    </row>
    <row r="99">
      <c r="A99" s="14" t="s">
        <v>44</v>
      </c>
      <c r="B99" s="31">
        <v>96.0</v>
      </c>
      <c r="C99" s="35" t="s">
        <v>4426</v>
      </c>
      <c r="D99" s="35" t="s">
        <v>4427</v>
      </c>
      <c r="E99" s="36" t="s">
        <v>49</v>
      </c>
      <c r="F99" s="336"/>
      <c r="G99" s="347"/>
      <c r="H99" s="349"/>
      <c r="K99" s="337"/>
      <c r="L99" s="338" t="s">
        <v>4428</v>
      </c>
      <c r="M99" s="339" t="s">
        <v>4429</v>
      </c>
    </row>
    <row r="100">
      <c r="A100" s="14" t="s">
        <v>44</v>
      </c>
      <c r="B100" s="31">
        <v>97.0</v>
      </c>
      <c r="C100" s="35" t="s">
        <v>91</v>
      </c>
      <c r="D100" s="35" t="s">
        <v>4430</v>
      </c>
      <c r="E100" s="51" t="s">
        <v>53</v>
      </c>
      <c r="F100" s="336"/>
      <c r="G100" s="347"/>
      <c r="H100" s="349"/>
      <c r="K100" s="337"/>
      <c r="L100" s="338" t="s">
        <v>4431</v>
      </c>
      <c r="M100" s="339" t="s">
        <v>4432</v>
      </c>
    </row>
    <row r="101">
      <c r="A101" s="14" t="s">
        <v>44</v>
      </c>
      <c r="B101" s="31">
        <v>98.0</v>
      </c>
      <c r="C101" s="35" t="s">
        <v>4433</v>
      </c>
      <c r="D101" s="35" t="s">
        <v>4434</v>
      </c>
      <c r="E101" s="36" t="s">
        <v>49</v>
      </c>
      <c r="F101" s="336"/>
      <c r="G101" s="347"/>
      <c r="H101" s="349"/>
      <c r="K101" s="337"/>
      <c r="L101" s="338" t="s">
        <v>4435</v>
      </c>
      <c r="M101" s="339" t="s">
        <v>4436</v>
      </c>
    </row>
    <row r="102">
      <c r="A102" s="14" t="s">
        <v>44</v>
      </c>
      <c r="B102" s="31">
        <v>99.0</v>
      </c>
      <c r="C102" s="38" t="s">
        <v>157</v>
      </c>
      <c r="D102" s="38" t="s">
        <v>3019</v>
      </c>
      <c r="E102" s="51" t="s">
        <v>53</v>
      </c>
      <c r="F102" s="336"/>
      <c r="G102" s="347"/>
      <c r="H102" s="349"/>
      <c r="K102" s="340"/>
      <c r="L102" s="338" t="s">
        <v>4437</v>
      </c>
      <c r="M102" s="341"/>
    </row>
    <row r="103">
      <c r="A103" s="14" t="s">
        <v>44</v>
      </c>
      <c r="B103" s="31">
        <v>100.0</v>
      </c>
      <c r="C103" s="35" t="s">
        <v>4438</v>
      </c>
      <c r="D103" s="35" t="s">
        <v>4439</v>
      </c>
      <c r="E103" s="51" t="s">
        <v>53</v>
      </c>
      <c r="F103" s="336"/>
      <c r="G103" s="342"/>
      <c r="H103" s="343"/>
      <c r="K103" s="340"/>
      <c r="L103" s="338" t="s">
        <v>4440</v>
      </c>
      <c r="M103" s="339" t="s">
        <v>4441</v>
      </c>
    </row>
    <row r="104">
      <c r="A104" s="14" t="s">
        <v>44</v>
      </c>
      <c r="B104" s="31">
        <v>101.0</v>
      </c>
      <c r="C104" s="38" t="s">
        <v>239</v>
      </c>
      <c r="D104" s="38" t="s">
        <v>4442</v>
      </c>
      <c r="E104" s="51" t="s">
        <v>53</v>
      </c>
      <c r="F104" s="336"/>
      <c r="G104" s="347"/>
      <c r="H104" s="349"/>
      <c r="K104" s="337"/>
      <c r="L104" s="338" t="s">
        <v>4443</v>
      </c>
      <c r="M104" s="341"/>
    </row>
    <row r="105">
      <c r="A105" s="14" t="s">
        <v>44</v>
      </c>
      <c r="B105" s="31">
        <v>102.0</v>
      </c>
      <c r="C105" s="35" t="s">
        <v>2323</v>
      </c>
      <c r="D105" s="35" t="s">
        <v>4444</v>
      </c>
      <c r="E105" s="51" t="s">
        <v>53</v>
      </c>
      <c r="F105" s="336"/>
      <c r="G105" s="342"/>
      <c r="H105" s="343"/>
      <c r="K105" s="337"/>
      <c r="L105" s="338" t="s">
        <v>4445</v>
      </c>
      <c r="M105" s="346" t="s">
        <v>4446</v>
      </c>
    </row>
    <row r="106">
      <c r="A106" s="14" t="s">
        <v>44</v>
      </c>
      <c r="B106" s="31">
        <v>103.0</v>
      </c>
      <c r="C106" s="35" t="s">
        <v>801</v>
      </c>
      <c r="D106" s="35" t="s">
        <v>4447</v>
      </c>
      <c r="E106" s="36" t="s">
        <v>49</v>
      </c>
      <c r="F106" s="336"/>
      <c r="G106" s="342"/>
      <c r="H106" s="343"/>
      <c r="K106" s="337"/>
      <c r="L106" s="338" t="s">
        <v>4448</v>
      </c>
      <c r="M106" s="339" t="s">
        <v>4449</v>
      </c>
    </row>
    <row r="107">
      <c r="A107" s="14" t="s">
        <v>44</v>
      </c>
      <c r="B107" s="31">
        <v>104.0</v>
      </c>
      <c r="C107" s="35" t="s">
        <v>1626</v>
      </c>
      <c r="D107" s="35" t="s">
        <v>4450</v>
      </c>
      <c r="E107" s="51" t="s">
        <v>53</v>
      </c>
      <c r="F107" s="336"/>
      <c r="G107" s="347"/>
      <c r="H107" s="349"/>
      <c r="K107" s="340"/>
      <c r="L107" s="338" t="s">
        <v>4451</v>
      </c>
      <c r="M107" s="339" t="s">
        <v>4452</v>
      </c>
    </row>
    <row r="108">
      <c r="A108" s="14" t="s">
        <v>44</v>
      </c>
      <c r="B108" s="31">
        <v>105.0</v>
      </c>
      <c r="C108" s="35" t="s">
        <v>239</v>
      </c>
      <c r="D108" s="35" t="s">
        <v>2596</v>
      </c>
      <c r="E108" s="51" t="s">
        <v>53</v>
      </c>
      <c r="F108" s="336"/>
      <c r="G108" s="347"/>
      <c r="H108" s="349"/>
      <c r="K108" s="337"/>
      <c r="L108" s="338" t="s">
        <v>4453</v>
      </c>
      <c r="M108" s="339" t="s">
        <v>4454</v>
      </c>
    </row>
    <row r="109">
      <c r="A109" s="14" t="s">
        <v>44</v>
      </c>
      <c r="B109" s="31">
        <v>106.0</v>
      </c>
      <c r="C109" s="35" t="s">
        <v>561</v>
      </c>
      <c r="D109" s="35" t="s">
        <v>2763</v>
      </c>
      <c r="E109" s="51" t="s">
        <v>53</v>
      </c>
      <c r="F109" s="336"/>
      <c r="G109" s="342"/>
      <c r="H109" s="343"/>
      <c r="K109" s="337"/>
      <c r="L109" s="338" t="s">
        <v>4455</v>
      </c>
      <c r="M109" s="339" t="s">
        <v>4456</v>
      </c>
    </row>
    <row r="110">
      <c r="A110" s="14" t="s">
        <v>44</v>
      </c>
      <c r="B110" s="31">
        <v>107.0</v>
      </c>
      <c r="C110" s="38" t="s">
        <v>4458</v>
      </c>
      <c r="D110" s="38" t="s">
        <v>4459</v>
      </c>
      <c r="E110" s="51" t="s">
        <v>53</v>
      </c>
      <c r="F110" s="336"/>
      <c r="G110" s="347"/>
      <c r="H110" s="349"/>
      <c r="K110" s="337"/>
      <c r="L110" s="338" t="s">
        <v>4460</v>
      </c>
      <c r="M110" s="341"/>
    </row>
    <row r="111">
      <c r="A111" s="14" t="s">
        <v>44</v>
      </c>
      <c r="B111" s="31">
        <v>108.0</v>
      </c>
      <c r="C111" s="35" t="s">
        <v>1287</v>
      </c>
      <c r="D111" s="35" t="s">
        <v>4461</v>
      </c>
      <c r="E111" s="51" t="s">
        <v>53</v>
      </c>
      <c r="F111" s="336"/>
      <c r="G111" s="342"/>
      <c r="H111" s="343"/>
      <c r="K111" s="337"/>
      <c r="L111" s="338" t="s">
        <v>4462</v>
      </c>
      <c r="M111" s="339" t="s">
        <v>4463</v>
      </c>
    </row>
    <row r="112">
      <c r="A112" s="14" t="s">
        <v>44</v>
      </c>
      <c r="B112" s="31">
        <v>109.0</v>
      </c>
      <c r="C112" s="38" t="s">
        <v>3375</v>
      </c>
      <c r="D112" s="38" t="s">
        <v>4464</v>
      </c>
      <c r="E112" s="51" t="s">
        <v>53</v>
      </c>
      <c r="F112" s="336"/>
      <c r="G112" s="347"/>
      <c r="H112" s="349"/>
      <c r="K112" s="337"/>
      <c r="L112" s="338" t="s">
        <v>4465</v>
      </c>
      <c r="M112" s="341"/>
    </row>
    <row r="113">
      <c r="A113" s="14" t="s">
        <v>44</v>
      </c>
      <c r="B113" s="31">
        <v>110.0</v>
      </c>
      <c r="C113" s="38" t="s">
        <v>173</v>
      </c>
      <c r="D113" s="38" t="s">
        <v>1501</v>
      </c>
      <c r="E113" s="51" t="s">
        <v>53</v>
      </c>
      <c r="F113" s="336"/>
      <c r="G113" s="347"/>
      <c r="H113" s="349"/>
      <c r="K113" s="337"/>
      <c r="L113" s="338" t="s">
        <v>4466</v>
      </c>
      <c r="M113" s="341"/>
    </row>
    <row r="114">
      <c r="A114" s="14" t="s">
        <v>44</v>
      </c>
      <c r="B114" s="31">
        <v>111.0</v>
      </c>
      <c r="C114" s="35" t="s">
        <v>1798</v>
      </c>
      <c r="D114" s="35" t="s">
        <v>4467</v>
      </c>
      <c r="E114" s="36" t="s">
        <v>49</v>
      </c>
      <c r="F114" s="336"/>
      <c r="G114" s="347"/>
      <c r="H114" s="349"/>
      <c r="K114" s="340"/>
      <c r="L114" s="338" t="s">
        <v>4468</v>
      </c>
      <c r="M114" s="346" t="s">
        <v>4469</v>
      </c>
    </row>
    <row r="115">
      <c r="A115" s="14" t="s">
        <v>44</v>
      </c>
      <c r="B115" s="31">
        <v>112.0</v>
      </c>
      <c r="C115" s="35" t="s">
        <v>2317</v>
      </c>
      <c r="D115" s="35" t="s">
        <v>4471</v>
      </c>
      <c r="E115" s="36" t="s">
        <v>49</v>
      </c>
      <c r="F115" s="336"/>
      <c r="G115" s="347"/>
      <c r="H115" s="349"/>
      <c r="K115" s="337"/>
      <c r="L115" s="338" t="s">
        <v>4472</v>
      </c>
      <c r="M115" s="346" t="s">
        <v>4473</v>
      </c>
    </row>
    <row r="116">
      <c r="A116" s="14" t="s">
        <v>44</v>
      </c>
      <c r="B116" s="31">
        <v>113.0</v>
      </c>
      <c r="C116" s="35" t="s">
        <v>1013</v>
      </c>
      <c r="D116" s="35" t="s">
        <v>401</v>
      </c>
      <c r="E116" s="36" t="s">
        <v>49</v>
      </c>
      <c r="F116" s="336"/>
      <c r="G116" s="347"/>
      <c r="H116" s="349"/>
      <c r="K116" s="337"/>
      <c r="L116" s="338" t="s">
        <v>4474</v>
      </c>
      <c r="M116" s="339" t="s">
        <v>4475</v>
      </c>
    </row>
    <row r="117">
      <c r="A117" s="14" t="s">
        <v>44</v>
      </c>
      <c r="B117" s="31">
        <v>114.0</v>
      </c>
      <c r="C117" s="35" t="s">
        <v>4476</v>
      </c>
      <c r="D117" s="35" t="s">
        <v>4477</v>
      </c>
      <c r="E117" s="36" t="s">
        <v>49</v>
      </c>
      <c r="F117" s="336"/>
      <c r="G117" s="347"/>
      <c r="H117" s="349"/>
      <c r="K117" s="337"/>
      <c r="L117" s="338" t="s">
        <v>4478</v>
      </c>
      <c r="M117" s="339" t="s">
        <v>4479</v>
      </c>
    </row>
    <row r="118">
      <c r="A118" s="14" t="s">
        <v>44</v>
      </c>
      <c r="B118" s="31">
        <v>115.0</v>
      </c>
      <c r="C118" s="35" t="s">
        <v>134</v>
      </c>
      <c r="D118" s="35" t="s">
        <v>2976</v>
      </c>
      <c r="E118" s="51" t="s">
        <v>53</v>
      </c>
      <c r="F118" s="336"/>
      <c r="G118" s="347"/>
      <c r="H118" s="349"/>
      <c r="K118" s="337"/>
      <c r="L118" s="338" t="s">
        <v>4481</v>
      </c>
      <c r="M118" s="339" t="s">
        <v>4482</v>
      </c>
    </row>
    <row r="119">
      <c r="A119" s="14" t="s">
        <v>44</v>
      </c>
      <c r="B119" s="31">
        <v>116.0</v>
      </c>
      <c r="C119" s="35" t="s">
        <v>2105</v>
      </c>
      <c r="D119" s="35" t="s">
        <v>352</v>
      </c>
      <c r="E119" s="36" t="s">
        <v>49</v>
      </c>
      <c r="F119" s="336"/>
      <c r="G119" s="347"/>
      <c r="H119" s="349"/>
      <c r="K119" s="340"/>
      <c r="L119" s="338" t="s">
        <v>4483</v>
      </c>
      <c r="M119" s="339" t="s">
        <v>4484</v>
      </c>
    </row>
    <row r="120">
      <c r="A120" s="14" t="s">
        <v>44</v>
      </c>
      <c r="B120" s="31">
        <v>117.0</v>
      </c>
      <c r="C120" s="35" t="s">
        <v>76</v>
      </c>
      <c r="D120" s="35" t="s">
        <v>4485</v>
      </c>
      <c r="E120" s="51" t="s">
        <v>53</v>
      </c>
      <c r="F120" s="336"/>
      <c r="G120" s="347"/>
      <c r="H120" s="349"/>
      <c r="K120" s="337"/>
      <c r="L120" s="338" t="s">
        <v>4486</v>
      </c>
      <c r="M120" s="339" t="s">
        <v>4274</v>
      </c>
    </row>
    <row r="121">
      <c r="A121" s="14" t="s">
        <v>44</v>
      </c>
      <c r="B121" s="31">
        <v>118.0</v>
      </c>
      <c r="C121" s="38" t="s">
        <v>1914</v>
      </c>
      <c r="D121" s="38" t="s">
        <v>4487</v>
      </c>
      <c r="E121" s="98" t="s">
        <v>53</v>
      </c>
      <c r="F121" s="336"/>
      <c r="G121" s="347"/>
      <c r="H121" s="349"/>
      <c r="K121" s="340"/>
      <c r="L121" s="338" t="s">
        <v>4488</v>
      </c>
      <c r="M121" s="341"/>
    </row>
    <row r="122">
      <c r="A122" s="70"/>
      <c r="B122" s="70"/>
      <c r="C122" s="71"/>
      <c r="D122" s="71"/>
      <c r="E122" s="70"/>
      <c r="F122" s="70"/>
      <c r="G122" s="70"/>
      <c r="H122" s="70"/>
      <c r="I122" s="70"/>
      <c r="J122" s="70"/>
      <c r="K122" s="70"/>
      <c r="L122" s="70"/>
      <c r="M122" s="128"/>
      <c r="N122" s="70"/>
      <c r="O122" s="70"/>
      <c r="P122" s="70"/>
      <c r="Q122" s="70"/>
      <c r="R122" s="70"/>
      <c r="S122" s="70"/>
      <c r="T122" s="70"/>
      <c r="U122" s="70"/>
      <c r="V122" s="70"/>
      <c r="W122" s="70"/>
      <c r="X122" s="70"/>
      <c r="Y122" s="70"/>
      <c r="Z122" s="70"/>
      <c r="AA122" s="70"/>
      <c r="AB122" s="70"/>
      <c r="AC122" s="70"/>
      <c r="AD122" s="70"/>
    </row>
    <row r="123">
      <c r="A123" s="14" t="s">
        <v>286</v>
      </c>
      <c r="B123" s="164">
        <v>1.0</v>
      </c>
      <c r="C123" s="35" t="s">
        <v>4489</v>
      </c>
      <c r="D123" s="35" t="s">
        <v>4491</v>
      </c>
      <c r="E123" s="36" t="s">
        <v>49</v>
      </c>
      <c r="K123" s="31"/>
      <c r="L123" s="338" t="s">
        <v>4492</v>
      </c>
      <c r="M123" s="361" t="s">
        <v>4493</v>
      </c>
    </row>
    <row r="124">
      <c r="A124" s="14" t="s">
        <v>286</v>
      </c>
      <c r="B124" s="31">
        <v>2.0</v>
      </c>
      <c r="C124" s="35" t="s">
        <v>4494</v>
      </c>
      <c r="D124" s="35" t="s">
        <v>3428</v>
      </c>
      <c r="E124" s="36" t="s">
        <v>49</v>
      </c>
      <c r="K124" s="31"/>
      <c r="L124" s="338" t="s">
        <v>4495</v>
      </c>
      <c r="M124" s="361" t="s">
        <v>4496</v>
      </c>
    </row>
    <row r="125">
      <c r="A125" s="14" t="s">
        <v>286</v>
      </c>
      <c r="B125" s="31">
        <v>3.0</v>
      </c>
      <c r="C125" s="35" t="s">
        <v>4497</v>
      </c>
      <c r="D125" s="35" t="s">
        <v>2354</v>
      </c>
      <c r="E125" s="36" t="s">
        <v>49</v>
      </c>
      <c r="K125" s="31"/>
      <c r="L125" s="338" t="s">
        <v>4498</v>
      </c>
      <c r="M125" s="362" t="s">
        <v>4499</v>
      </c>
    </row>
    <row r="126">
      <c r="A126" s="14" t="s">
        <v>286</v>
      </c>
      <c r="B126" s="31">
        <v>4.0</v>
      </c>
      <c r="C126" s="35" t="s">
        <v>2689</v>
      </c>
      <c r="D126" s="35" t="s">
        <v>4500</v>
      </c>
      <c r="E126" s="36" t="s">
        <v>49</v>
      </c>
      <c r="K126" s="31"/>
      <c r="L126" s="338" t="s">
        <v>4501</v>
      </c>
      <c r="M126" s="362" t="s">
        <v>4502</v>
      </c>
    </row>
    <row r="127">
      <c r="A127" s="14" t="s">
        <v>286</v>
      </c>
      <c r="B127" s="31">
        <v>5.0</v>
      </c>
      <c r="C127" s="35" t="s">
        <v>2249</v>
      </c>
      <c r="D127" s="38" t="s">
        <v>4503</v>
      </c>
      <c r="E127" s="36" t="s">
        <v>49</v>
      </c>
      <c r="K127" s="31"/>
      <c r="L127" s="338" t="s">
        <v>4504</v>
      </c>
      <c r="M127" s="362" t="s">
        <v>4505</v>
      </c>
    </row>
    <row r="128">
      <c r="A128" s="14" t="s">
        <v>286</v>
      </c>
      <c r="B128" s="31">
        <v>6.0</v>
      </c>
      <c r="C128" s="35" t="s">
        <v>278</v>
      </c>
      <c r="D128" s="38" t="s">
        <v>4506</v>
      </c>
      <c r="E128" s="36" t="s">
        <v>49</v>
      </c>
      <c r="F128" s="14" t="s">
        <v>291</v>
      </c>
      <c r="K128" s="31"/>
      <c r="L128" s="338" t="s">
        <v>4507</v>
      </c>
      <c r="M128" s="362" t="s">
        <v>4508</v>
      </c>
    </row>
    <row r="129">
      <c r="A129" s="14" t="s">
        <v>286</v>
      </c>
      <c r="B129" s="31">
        <v>7.0</v>
      </c>
      <c r="C129" s="35" t="s">
        <v>1255</v>
      </c>
      <c r="D129" s="38" t="s">
        <v>4510</v>
      </c>
      <c r="E129" s="36" t="s">
        <v>49</v>
      </c>
      <c r="K129" s="31"/>
      <c r="L129" s="338" t="s">
        <v>4511</v>
      </c>
      <c r="M129" s="362" t="s">
        <v>4512</v>
      </c>
    </row>
    <row r="130">
      <c r="A130" s="14" t="s">
        <v>286</v>
      </c>
      <c r="B130" s="31">
        <v>8.0</v>
      </c>
      <c r="C130" s="38" t="s">
        <v>4513</v>
      </c>
      <c r="D130" s="38" t="s">
        <v>4514</v>
      </c>
      <c r="E130" s="36" t="s">
        <v>49</v>
      </c>
      <c r="K130" s="31"/>
      <c r="L130" s="338" t="s">
        <v>4515</v>
      </c>
      <c r="M130" s="363"/>
    </row>
    <row r="131">
      <c r="A131" s="14" t="s">
        <v>286</v>
      </c>
      <c r="B131" s="31">
        <v>9.0</v>
      </c>
      <c r="C131" s="38" t="s">
        <v>292</v>
      </c>
      <c r="D131" s="38" t="s">
        <v>2992</v>
      </c>
      <c r="E131" s="36" t="s">
        <v>49</v>
      </c>
      <c r="K131" s="31"/>
      <c r="L131" s="338" t="s">
        <v>4517</v>
      </c>
      <c r="M131" s="363"/>
    </row>
    <row r="132">
      <c r="A132" s="14" t="s">
        <v>286</v>
      </c>
      <c r="B132" s="31">
        <v>10.0</v>
      </c>
      <c r="C132" s="35" t="s">
        <v>278</v>
      </c>
      <c r="D132" s="35" t="s">
        <v>4518</v>
      </c>
      <c r="E132" s="36" t="s">
        <v>49</v>
      </c>
      <c r="K132" s="31"/>
      <c r="L132" s="338" t="s">
        <v>4519</v>
      </c>
      <c r="M132" s="362" t="s">
        <v>4520</v>
      </c>
    </row>
    <row r="133">
      <c r="A133" s="14" t="s">
        <v>286</v>
      </c>
      <c r="B133" s="31">
        <v>11.0</v>
      </c>
      <c r="C133" s="35" t="s">
        <v>456</v>
      </c>
      <c r="D133" s="35" t="s">
        <v>4521</v>
      </c>
      <c r="E133" s="36" t="s">
        <v>49</v>
      </c>
      <c r="K133" s="31"/>
      <c r="L133" s="338" t="s">
        <v>4522</v>
      </c>
      <c r="M133" s="362" t="s">
        <v>4523</v>
      </c>
    </row>
    <row r="134">
      <c r="A134" s="14" t="s">
        <v>286</v>
      </c>
      <c r="B134" s="31">
        <v>12.0</v>
      </c>
      <c r="C134" s="35" t="s">
        <v>1897</v>
      </c>
      <c r="D134" s="35" t="s">
        <v>4524</v>
      </c>
      <c r="E134" s="36" t="s">
        <v>49</v>
      </c>
      <c r="K134" s="31"/>
      <c r="L134" s="338" t="s">
        <v>4525</v>
      </c>
      <c r="M134" s="362" t="s">
        <v>4526</v>
      </c>
    </row>
    <row r="135">
      <c r="A135" s="14" t="s">
        <v>286</v>
      </c>
      <c r="B135" s="31">
        <v>13.0</v>
      </c>
      <c r="C135" s="35" t="s">
        <v>4527</v>
      </c>
      <c r="D135" s="35" t="s">
        <v>4528</v>
      </c>
      <c r="E135" s="36" t="s">
        <v>49</v>
      </c>
      <c r="K135" s="31"/>
      <c r="L135" s="338" t="s">
        <v>4529</v>
      </c>
      <c r="M135" s="362" t="s">
        <v>4530</v>
      </c>
    </row>
    <row r="136">
      <c r="A136" s="14" t="s">
        <v>286</v>
      </c>
      <c r="B136" s="31">
        <v>14.0</v>
      </c>
      <c r="C136" s="35" t="s">
        <v>2627</v>
      </c>
      <c r="D136" s="35" t="s">
        <v>706</v>
      </c>
      <c r="E136" s="36" t="s">
        <v>49</v>
      </c>
      <c r="K136" s="31"/>
      <c r="L136" s="338" t="s">
        <v>4531</v>
      </c>
      <c r="M136" s="362" t="s">
        <v>4532</v>
      </c>
    </row>
    <row r="137">
      <c r="A137" s="14" t="s">
        <v>286</v>
      </c>
      <c r="B137" s="31">
        <v>15.0</v>
      </c>
      <c r="C137" s="35" t="s">
        <v>740</v>
      </c>
      <c r="D137" s="35" t="s">
        <v>2362</v>
      </c>
      <c r="E137" s="36" t="s">
        <v>49</v>
      </c>
      <c r="K137" s="31"/>
      <c r="L137" s="338" t="s">
        <v>4533</v>
      </c>
      <c r="M137" s="362" t="s">
        <v>4534</v>
      </c>
    </row>
    <row r="138">
      <c r="A138" s="14" t="s">
        <v>286</v>
      </c>
      <c r="B138" s="31">
        <v>16.0</v>
      </c>
      <c r="C138" s="35" t="s">
        <v>4535</v>
      </c>
      <c r="D138" s="35" t="s">
        <v>137</v>
      </c>
      <c r="E138" s="36" t="s">
        <v>49</v>
      </c>
      <c r="K138" s="31"/>
      <c r="L138" s="338" t="s">
        <v>4536</v>
      </c>
      <c r="M138" s="362" t="s">
        <v>4537</v>
      </c>
    </row>
    <row r="139">
      <c r="A139" s="14" t="s">
        <v>286</v>
      </c>
      <c r="B139" s="31">
        <v>17.0</v>
      </c>
      <c r="C139" s="35" t="s">
        <v>4538</v>
      </c>
      <c r="D139" s="35" t="s">
        <v>4539</v>
      </c>
      <c r="E139" s="36" t="s">
        <v>49</v>
      </c>
      <c r="K139" s="31"/>
      <c r="L139" s="338" t="s">
        <v>4540</v>
      </c>
      <c r="M139" s="362"/>
    </row>
    <row r="140">
      <c r="A140" s="14" t="s">
        <v>286</v>
      </c>
      <c r="B140" s="31">
        <v>18.0</v>
      </c>
      <c r="C140" s="35" t="s">
        <v>1058</v>
      </c>
      <c r="D140" s="35" t="s">
        <v>1583</v>
      </c>
      <c r="E140" s="36" t="s">
        <v>49</v>
      </c>
      <c r="K140" s="31"/>
      <c r="L140" s="338" t="s">
        <v>4153</v>
      </c>
      <c r="M140" s="362" t="s">
        <v>4542</v>
      </c>
    </row>
    <row r="141">
      <c r="A141" s="14" t="s">
        <v>286</v>
      </c>
      <c r="B141" s="31">
        <v>19.0</v>
      </c>
      <c r="C141" s="35" t="s">
        <v>2490</v>
      </c>
      <c r="D141" s="35" t="s">
        <v>3394</v>
      </c>
      <c r="E141" s="36" t="s">
        <v>49</v>
      </c>
      <c r="K141" s="31"/>
      <c r="L141" s="338" t="s">
        <v>4543</v>
      </c>
      <c r="M141" s="362" t="s">
        <v>4544</v>
      </c>
    </row>
    <row r="142">
      <c r="A142" s="14" t="s">
        <v>286</v>
      </c>
      <c r="B142" s="31">
        <v>20.0</v>
      </c>
      <c r="C142" s="35" t="s">
        <v>4545</v>
      </c>
      <c r="D142" s="35" t="s">
        <v>4546</v>
      </c>
      <c r="E142" s="36" t="s">
        <v>49</v>
      </c>
      <c r="K142" s="31"/>
      <c r="L142" s="338" t="s">
        <v>4547</v>
      </c>
      <c r="M142" s="362" t="s">
        <v>4548</v>
      </c>
    </row>
    <row r="143">
      <c r="A143" s="14" t="s">
        <v>286</v>
      </c>
      <c r="B143" s="31">
        <v>21.0</v>
      </c>
      <c r="C143" s="351" t="s">
        <v>2490</v>
      </c>
      <c r="D143" s="351" t="s">
        <v>4550</v>
      </c>
      <c r="E143" s="51" t="s">
        <v>53</v>
      </c>
      <c r="K143" s="31"/>
      <c r="L143" s="338" t="s">
        <v>4551</v>
      </c>
      <c r="M143" s="362" t="s">
        <v>4552</v>
      </c>
    </row>
    <row r="144">
      <c r="A144" s="14" t="s">
        <v>286</v>
      </c>
      <c r="B144" s="31">
        <v>22.0</v>
      </c>
      <c r="C144" s="35" t="s">
        <v>1788</v>
      </c>
      <c r="D144" s="35" t="s">
        <v>4553</v>
      </c>
      <c r="E144" s="36" t="s">
        <v>49</v>
      </c>
      <c r="K144" s="31"/>
      <c r="L144" s="338" t="s">
        <v>4555</v>
      </c>
      <c r="M144" s="362" t="s">
        <v>4556</v>
      </c>
    </row>
    <row r="145">
      <c r="A145" s="14" t="s">
        <v>286</v>
      </c>
      <c r="B145" s="31">
        <v>23.0</v>
      </c>
      <c r="C145" s="35" t="s">
        <v>338</v>
      </c>
      <c r="D145" s="35" t="s">
        <v>4506</v>
      </c>
      <c r="E145" s="36" t="s">
        <v>49</v>
      </c>
      <c r="K145" s="31"/>
      <c r="L145" s="338" t="s">
        <v>4557</v>
      </c>
      <c r="M145" s="362" t="s">
        <v>4558</v>
      </c>
    </row>
    <row r="146">
      <c r="A146" s="14" t="s">
        <v>286</v>
      </c>
      <c r="B146" s="31">
        <v>24.0</v>
      </c>
      <c r="C146" s="351" t="s">
        <v>173</v>
      </c>
      <c r="D146" s="351" t="s">
        <v>4559</v>
      </c>
      <c r="E146" s="51" t="s">
        <v>53</v>
      </c>
      <c r="K146" s="31"/>
      <c r="L146" s="338" t="s">
        <v>4560</v>
      </c>
      <c r="M146" s="362" t="s">
        <v>4561</v>
      </c>
    </row>
    <row r="147">
      <c r="A147" s="14" t="s">
        <v>286</v>
      </c>
      <c r="B147" s="31">
        <v>25.0</v>
      </c>
      <c r="C147" s="35" t="s">
        <v>476</v>
      </c>
      <c r="D147" s="35" t="s">
        <v>4563</v>
      </c>
      <c r="E147" s="51" t="s">
        <v>53</v>
      </c>
      <c r="K147" s="31"/>
      <c r="L147" s="338" t="s">
        <v>4564</v>
      </c>
      <c r="M147" s="362" t="s">
        <v>4565</v>
      </c>
    </row>
    <row r="148">
      <c r="A148" s="14" t="s">
        <v>286</v>
      </c>
      <c r="B148" s="31">
        <v>26.0</v>
      </c>
      <c r="C148" s="35" t="s">
        <v>239</v>
      </c>
      <c r="D148" s="35" t="s">
        <v>4566</v>
      </c>
      <c r="E148" s="51" t="s">
        <v>53</v>
      </c>
      <c r="K148" s="31"/>
      <c r="L148" s="338" t="s">
        <v>4567</v>
      </c>
      <c r="M148" s="362" t="s">
        <v>4568</v>
      </c>
    </row>
    <row r="149">
      <c r="A149" s="14" t="s">
        <v>286</v>
      </c>
      <c r="B149" s="31">
        <v>27.0</v>
      </c>
      <c r="C149" s="38" t="s">
        <v>1375</v>
      </c>
      <c r="D149" s="38" t="s">
        <v>4569</v>
      </c>
      <c r="E149" s="100" t="s">
        <v>49</v>
      </c>
      <c r="K149" s="31"/>
      <c r="L149" s="338" t="s">
        <v>4570</v>
      </c>
      <c r="M149" s="363"/>
    </row>
    <row r="150">
      <c r="A150" s="14" t="s">
        <v>286</v>
      </c>
      <c r="B150" s="31">
        <v>28.0</v>
      </c>
      <c r="C150" s="35" t="s">
        <v>292</v>
      </c>
      <c r="D150" s="35" t="s">
        <v>3019</v>
      </c>
      <c r="E150" s="36" t="s">
        <v>49</v>
      </c>
      <c r="K150" s="31"/>
      <c r="L150" s="338" t="s">
        <v>4571</v>
      </c>
      <c r="M150" s="362" t="s">
        <v>4572</v>
      </c>
    </row>
    <row r="151">
      <c r="A151" s="14" t="s">
        <v>286</v>
      </c>
      <c r="B151" s="31">
        <v>29.0</v>
      </c>
      <c r="C151" s="35" t="s">
        <v>2133</v>
      </c>
      <c r="D151" s="35" t="s">
        <v>4239</v>
      </c>
      <c r="E151" s="36" t="s">
        <v>49</v>
      </c>
      <c r="K151" s="31"/>
      <c r="L151" s="338" t="s">
        <v>4573</v>
      </c>
      <c r="M151" s="362" t="s">
        <v>4574</v>
      </c>
    </row>
    <row r="152">
      <c r="A152" s="14" t="s">
        <v>286</v>
      </c>
      <c r="B152" s="31">
        <v>30.0</v>
      </c>
      <c r="C152" s="35" t="s">
        <v>1990</v>
      </c>
      <c r="D152" s="35" t="s">
        <v>4577</v>
      </c>
      <c r="E152" s="36" t="s">
        <v>49</v>
      </c>
      <c r="K152" s="31"/>
      <c r="L152" s="338" t="s">
        <v>4578</v>
      </c>
      <c r="M152" s="362" t="s">
        <v>4579</v>
      </c>
    </row>
    <row r="153">
      <c r="A153" s="14" t="s">
        <v>286</v>
      </c>
      <c r="B153" s="31">
        <v>31.0</v>
      </c>
      <c r="C153" s="35" t="s">
        <v>4580</v>
      </c>
      <c r="D153" s="35" t="s">
        <v>2740</v>
      </c>
      <c r="E153" s="36" t="s">
        <v>49</v>
      </c>
      <c r="K153" s="31"/>
      <c r="L153" s="338" t="s">
        <v>4581</v>
      </c>
      <c r="M153" s="362" t="s">
        <v>4582</v>
      </c>
    </row>
    <row r="154">
      <c r="A154" s="14" t="s">
        <v>286</v>
      </c>
      <c r="B154" s="31">
        <v>32.0</v>
      </c>
      <c r="C154" s="35" t="s">
        <v>760</v>
      </c>
      <c r="D154" s="35" t="s">
        <v>4583</v>
      </c>
      <c r="E154" s="51" t="s">
        <v>53</v>
      </c>
      <c r="K154" s="31"/>
      <c r="L154" s="338" t="s">
        <v>4584</v>
      </c>
      <c r="M154" s="362" t="s">
        <v>4585</v>
      </c>
    </row>
    <row r="155">
      <c r="A155" s="14" t="s">
        <v>286</v>
      </c>
      <c r="B155" s="31">
        <v>33.0</v>
      </c>
      <c r="C155" s="35" t="s">
        <v>1153</v>
      </c>
      <c r="D155" s="35" t="s">
        <v>4586</v>
      </c>
      <c r="E155" s="51" t="s">
        <v>53</v>
      </c>
      <c r="K155" s="31"/>
      <c r="L155" s="338" t="s">
        <v>4587</v>
      </c>
      <c r="M155" s="362"/>
    </row>
    <row r="156">
      <c r="A156" s="14" t="s">
        <v>286</v>
      </c>
      <c r="B156" s="31">
        <v>34.0</v>
      </c>
      <c r="C156" s="35" t="s">
        <v>55</v>
      </c>
      <c r="D156" s="35" t="s">
        <v>4588</v>
      </c>
      <c r="E156" s="36" t="s">
        <v>49</v>
      </c>
      <c r="K156" s="31"/>
      <c r="L156" s="338" t="s">
        <v>4589</v>
      </c>
      <c r="M156" s="362" t="s">
        <v>4590</v>
      </c>
    </row>
    <row r="157">
      <c r="A157" s="14" t="s">
        <v>286</v>
      </c>
      <c r="B157" s="31">
        <v>35.0</v>
      </c>
      <c r="C157" s="35" t="s">
        <v>76</v>
      </c>
      <c r="D157" s="35" t="s">
        <v>4591</v>
      </c>
      <c r="E157" s="51" t="s">
        <v>53</v>
      </c>
      <c r="K157" s="31"/>
      <c r="L157" s="338" t="s">
        <v>4592</v>
      </c>
      <c r="M157" s="362" t="s">
        <v>4593</v>
      </c>
    </row>
    <row r="158">
      <c r="A158" s="14" t="s">
        <v>286</v>
      </c>
      <c r="B158" s="31">
        <v>36.0</v>
      </c>
      <c r="C158" s="35" t="s">
        <v>500</v>
      </c>
      <c r="D158" s="35" t="s">
        <v>3961</v>
      </c>
      <c r="E158" s="51" t="s">
        <v>53</v>
      </c>
      <c r="K158" s="31"/>
      <c r="L158" s="338" t="s">
        <v>4594</v>
      </c>
      <c r="M158" s="362" t="s">
        <v>4593</v>
      </c>
    </row>
    <row r="159">
      <c r="A159" s="14" t="s">
        <v>286</v>
      </c>
      <c r="B159" s="31">
        <v>37.0</v>
      </c>
      <c r="C159" s="35" t="s">
        <v>177</v>
      </c>
      <c r="D159" s="35" t="s">
        <v>481</v>
      </c>
      <c r="E159" s="51" t="s">
        <v>53</v>
      </c>
      <c r="K159" s="31"/>
      <c r="L159" s="338" t="s">
        <v>4597</v>
      </c>
      <c r="M159" s="362" t="s">
        <v>4598</v>
      </c>
    </row>
    <row r="160">
      <c r="A160" s="14" t="s">
        <v>286</v>
      </c>
      <c r="B160" s="31">
        <v>38.0</v>
      </c>
      <c r="C160" s="35" t="s">
        <v>4426</v>
      </c>
      <c r="D160" s="35" t="s">
        <v>4600</v>
      </c>
      <c r="E160" s="51" t="s">
        <v>53</v>
      </c>
      <c r="K160" s="31"/>
      <c r="L160" s="338" t="s">
        <v>4601</v>
      </c>
      <c r="M160" s="362" t="s">
        <v>4602</v>
      </c>
    </row>
    <row r="161">
      <c r="A161" s="14" t="s">
        <v>286</v>
      </c>
      <c r="B161" s="31">
        <v>39.0</v>
      </c>
      <c r="C161" s="35" t="s">
        <v>428</v>
      </c>
      <c r="D161" s="35" t="s">
        <v>4603</v>
      </c>
      <c r="E161" s="36" t="s">
        <v>49</v>
      </c>
      <c r="K161" s="31"/>
      <c r="L161" s="338" t="s">
        <v>4604</v>
      </c>
      <c r="M161" s="362" t="s">
        <v>4605</v>
      </c>
    </row>
    <row r="162">
      <c r="A162" s="14" t="s">
        <v>286</v>
      </c>
      <c r="B162" s="31">
        <v>40.0</v>
      </c>
      <c r="C162" s="35" t="s">
        <v>4607</v>
      </c>
      <c r="D162" s="35" t="s">
        <v>2462</v>
      </c>
      <c r="E162" s="36" t="s">
        <v>49</v>
      </c>
      <c r="K162" s="31"/>
      <c r="L162" s="338" t="s">
        <v>4609</v>
      </c>
      <c r="M162" s="362" t="s">
        <v>4610</v>
      </c>
    </row>
    <row r="163">
      <c r="A163" s="14" t="s">
        <v>286</v>
      </c>
      <c r="B163" s="31">
        <v>41.0</v>
      </c>
      <c r="C163" s="35" t="s">
        <v>278</v>
      </c>
      <c r="D163" s="35" t="s">
        <v>4617</v>
      </c>
      <c r="E163" s="51" t="s">
        <v>53</v>
      </c>
      <c r="K163" s="31"/>
      <c r="L163" s="338" t="s">
        <v>4618</v>
      </c>
      <c r="M163" s="363"/>
    </row>
    <row r="164">
      <c r="A164" s="14" t="s">
        <v>286</v>
      </c>
      <c r="B164" s="31">
        <v>42.0</v>
      </c>
      <c r="C164" s="35" t="s">
        <v>978</v>
      </c>
      <c r="D164" s="35" t="s">
        <v>379</v>
      </c>
      <c r="E164" s="36" t="s">
        <v>49</v>
      </c>
      <c r="K164" s="31"/>
      <c r="L164" s="338" t="s">
        <v>4622</v>
      </c>
      <c r="M164" s="362" t="s">
        <v>4623</v>
      </c>
    </row>
    <row r="165">
      <c r="A165" s="14" t="s">
        <v>286</v>
      </c>
      <c r="B165" s="31">
        <v>43.0</v>
      </c>
      <c r="C165" s="35" t="s">
        <v>2570</v>
      </c>
      <c r="D165" s="35" t="s">
        <v>2011</v>
      </c>
      <c r="E165" s="36" t="s">
        <v>49</v>
      </c>
      <c r="K165" s="31"/>
      <c r="L165" s="338" t="s">
        <v>4626</v>
      </c>
      <c r="M165" s="362" t="s">
        <v>4627</v>
      </c>
    </row>
    <row r="166">
      <c r="A166" s="14" t="s">
        <v>286</v>
      </c>
      <c r="B166" s="31">
        <v>44.0</v>
      </c>
      <c r="C166" s="35" t="s">
        <v>325</v>
      </c>
      <c r="D166" s="35" t="s">
        <v>2596</v>
      </c>
      <c r="E166" s="51" t="s">
        <v>53</v>
      </c>
      <c r="F166" s="14" t="s">
        <v>498</v>
      </c>
      <c r="K166" s="31"/>
      <c r="L166" s="338" t="s">
        <v>4631</v>
      </c>
      <c r="M166" s="362" t="s">
        <v>4633</v>
      </c>
    </row>
    <row r="167">
      <c r="A167" s="14" t="s">
        <v>286</v>
      </c>
      <c r="B167" s="31">
        <v>45.0</v>
      </c>
      <c r="C167" s="38" t="s">
        <v>1331</v>
      </c>
      <c r="D167" s="38" t="s">
        <v>3220</v>
      </c>
      <c r="E167" s="51" t="s">
        <v>53</v>
      </c>
      <c r="K167" s="31"/>
      <c r="L167" s="338" t="s">
        <v>4634</v>
      </c>
      <c r="M167" s="362" t="s">
        <v>4635</v>
      </c>
    </row>
    <row r="168">
      <c r="A168" s="14" t="s">
        <v>286</v>
      </c>
      <c r="B168" s="31">
        <v>46.0</v>
      </c>
      <c r="C168" s="35" t="s">
        <v>108</v>
      </c>
      <c r="D168" s="35" t="s">
        <v>4638</v>
      </c>
      <c r="E168" s="36" t="s">
        <v>49</v>
      </c>
      <c r="K168" s="31"/>
      <c r="L168" s="338" t="s">
        <v>4639</v>
      </c>
      <c r="M168" s="363"/>
    </row>
    <row r="169">
      <c r="A169" s="14" t="s">
        <v>286</v>
      </c>
      <c r="B169" s="31">
        <v>47.0</v>
      </c>
      <c r="C169" s="35" t="s">
        <v>4640</v>
      </c>
      <c r="D169" s="35" t="s">
        <v>273</v>
      </c>
      <c r="E169" s="51" t="s">
        <v>53</v>
      </c>
      <c r="K169" s="31"/>
      <c r="L169" s="338" t="s">
        <v>4420</v>
      </c>
      <c r="M169" s="363"/>
    </row>
    <row r="170">
      <c r="A170" s="14" t="s">
        <v>286</v>
      </c>
      <c r="B170" s="31">
        <v>48.0</v>
      </c>
      <c r="C170" s="35" t="s">
        <v>109</v>
      </c>
      <c r="D170" s="35" t="s">
        <v>4645</v>
      </c>
      <c r="E170" s="36" t="s">
        <v>49</v>
      </c>
      <c r="K170" s="31"/>
      <c r="L170" s="338" t="s">
        <v>4646</v>
      </c>
      <c r="M170" s="362" t="s">
        <v>4647</v>
      </c>
    </row>
    <row r="171">
      <c r="A171" s="14" t="s">
        <v>286</v>
      </c>
      <c r="B171" s="31">
        <v>49.0</v>
      </c>
      <c r="C171" s="35" t="s">
        <v>191</v>
      </c>
      <c r="D171" s="35" t="s">
        <v>4650</v>
      </c>
      <c r="E171" s="36" t="s">
        <v>49</v>
      </c>
      <c r="K171" s="31"/>
      <c r="L171" s="338" t="s">
        <v>4651</v>
      </c>
      <c r="M171" s="362" t="s">
        <v>4652</v>
      </c>
    </row>
    <row r="172">
      <c r="A172" s="14" t="s">
        <v>286</v>
      </c>
      <c r="B172" s="31">
        <v>50.0</v>
      </c>
      <c r="C172" s="38" t="s">
        <v>55</v>
      </c>
      <c r="D172" s="38" t="s">
        <v>3016</v>
      </c>
      <c r="E172" s="98" t="s">
        <v>53</v>
      </c>
      <c r="K172" s="31"/>
      <c r="L172" s="338" t="s">
        <v>4654</v>
      </c>
      <c r="M172" s="363"/>
    </row>
    <row r="173">
      <c r="A173" s="14" t="s">
        <v>286</v>
      </c>
      <c r="B173" s="31">
        <v>51.0</v>
      </c>
      <c r="C173" s="35" t="s">
        <v>4655</v>
      </c>
      <c r="D173" s="35" t="s">
        <v>2719</v>
      </c>
      <c r="E173" s="51" t="s">
        <v>53</v>
      </c>
      <c r="K173" s="31"/>
      <c r="L173" s="338" t="s">
        <v>4661</v>
      </c>
      <c r="M173" s="362" t="s">
        <v>4662</v>
      </c>
    </row>
    <row r="174">
      <c r="A174" s="14" t="s">
        <v>286</v>
      </c>
      <c r="B174" s="31">
        <v>52.0</v>
      </c>
      <c r="C174" s="35" t="s">
        <v>45</v>
      </c>
      <c r="D174" s="35" t="s">
        <v>2763</v>
      </c>
      <c r="E174" s="36" t="s">
        <v>49</v>
      </c>
      <c r="K174" s="31"/>
      <c r="L174" s="338" t="s">
        <v>4664</v>
      </c>
      <c r="M174" s="362" t="s">
        <v>4665</v>
      </c>
    </row>
    <row r="175">
      <c r="A175" s="14" t="s">
        <v>286</v>
      </c>
      <c r="B175" s="31">
        <v>53.0</v>
      </c>
      <c r="C175" s="35" t="s">
        <v>1231</v>
      </c>
      <c r="D175" s="35" t="s">
        <v>4666</v>
      </c>
      <c r="E175" s="51" t="s">
        <v>53</v>
      </c>
      <c r="K175" s="31"/>
      <c r="L175" s="338" t="s">
        <v>4667</v>
      </c>
      <c r="M175" s="362" t="s">
        <v>4668</v>
      </c>
    </row>
    <row r="176">
      <c r="A176" s="14" t="s">
        <v>286</v>
      </c>
      <c r="B176" s="31">
        <v>54.0</v>
      </c>
      <c r="C176" s="38" t="s">
        <v>1231</v>
      </c>
      <c r="D176" s="38" t="s">
        <v>3725</v>
      </c>
      <c r="E176" s="51" t="s">
        <v>53</v>
      </c>
      <c r="K176" s="31"/>
      <c r="L176" s="338" t="s">
        <v>4669</v>
      </c>
      <c r="M176" s="363"/>
    </row>
    <row r="177">
      <c r="A177" s="14" t="s">
        <v>286</v>
      </c>
      <c r="B177" s="31">
        <v>55.0</v>
      </c>
      <c r="C177" s="35" t="s">
        <v>3296</v>
      </c>
      <c r="D177" s="35" t="s">
        <v>4671</v>
      </c>
      <c r="E177" s="51" t="s">
        <v>53</v>
      </c>
      <c r="K177" s="31"/>
      <c r="L177" s="338" t="s">
        <v>4672</v>
      </c>
      <c r="M177" s="362" t="s">
        <v>4673</v>
      </c>
    </row>
    <row r="178">
      <c r="A178" s="14" t="s">
        <v>286</v>
      </c>
      <c r="B178" s="31">
        <v>56.0</v>
      </c>
      <c r="C178" s="38" t="s">
        <v>4674</v>
      </c>
      <c r="D178" s="38" t="s">
        <v>4675</v>
      </c>
      <c r="E178" s="36" t="s">
        <v>49</v>
      </c>
      <c r="K178" s="31"/>
      <c r="L178" s="338" t="s">
        <v>4676</v>
      </c>
      <c r="M178" s="363"/>
    </row>
    <row r="179">
      <c r="A179" s="14" t="s">
        <v>286</v>
      </c>
      <c r="B179" s="31">
        <v>57.0</v>
      </c>
      <c r="C179" s="38" t="s">
        <v>575</v>
      </c>
      <c r="D179" s="38" t="s">
        <v>4677</v>
      </c>
      <c r="E179" s="36" t="s">
        <v>49</v>
      </c>
      <c r="K179" s="31"/>
      <c r="L179" s="338" t="s">
        <v>4678</v>
      </c>
      <c r="M179" s="363"/>
    </row>
    <row r="180">
      <c r="A180" s="14" t="s">
        <v>286</v>
      </c>
      <c r="B180" s="31">
        <v>58.0</v>
      </c>
      <c r="C180" s="35" t="s">
        <v>679</v>
      </c>
      <c r="D180" s="35" t="s">
        <v>4681</v>
      </c>
      <c r="E180" s="51" t="s">
        <v>53</v>
      </c>
      <c r="K180" s="31"/>
      <c r="L180" s="338" t="s">
        <v>4682</v>
      </c>
      <c r="M180" s="363"/>
    </row>
    <row r="181">
      <c r="A181" s="14" t="s">
        <v>286</v>
      </c>
      <c r="B181" s="31">
        <v>59.0</v>
      </c>
      <c r="C181" s="35" t="s">
        <v>3296</v>
      </c>
      <c r="D181" s="35" t="s">
        <v>4684</v>
      </c>
      <c r="E181" s="51" t="s">
        <v>53</v>
      </c>
      <c r="K181" s="31"/>
      <c r="L181" s="369" t="s">
        <v>4685</v>
      </c>
      <c r="M181" s="363"/>
    </row>
    <row r="182">
      <c r="A182" s="70"/>
      <c r="B182" s="70"/>
      <c r="C182" s="71"/>
      <c r="D182" s="71"/>
      <c r="E182" s="70"/>
      <c r="F182" s="70"/>
      <c r="G182" s="70"/>
      <c r="H182" s="70"/>
      <c r="I182" s="70"/>
      <c r="J182" s="70"/>
      <c r="K182" s="70"/>
      <c r="L182" s="70"/>
      <c r="M182" s="128"/>
      <c r="N182" s="70"/>
      <c r="O182" s="70"/>
      <c r="P182" s="70"/>
      <c r="Q182" s="70"/>
      <c r="R182" s="70"/>
      <c r="S182" s="70"/>
      <c r="T182" s="70"/>
      <c r="U182" s="70"/>
      <c r="V182" s="70"/>
      <c r="W182" s="70"/>
      <c r="X182" s="70"/>
      <c r="Y182" s="70"/>
      <c r="Z182" s="70"/>
      <c r="AA182" s="70"/>
      <c r="AB182" s="70"/>
      <c r="AC182" s="70"/>
      <c r="AD182" s="70"/>
    </row>
    <row r="183">
      <c r="A183" s="14" t="s">
        <v>421</v>
      </c>
      <c r="C183" s="77" t="s">
        <v>4688</v>
      </c>
      <c r="D183" s="77" t="s">
        <v>4689</v>
      </c>
      <c r="E183" s="14" t="s">
        <v>49</v>
      </c>
      <c r="M183" s="140"/>
    </row>
    <row r="184">
      <c r="A184" s="70"/>
      <c r="B184" s="70"/>
      <c r="C184" s="71"/>
      <c r="D184" s="71"/>
      <c r="E184" s="70"/>
      <c r="F184" s="70"/>
      <c r="G184" s="70"/>
      <c r="H184" s="70"/>
      <c r="I184" s="70"/>
      <c r="J184" s="70"/>
      <c r="K184" s="70"/>
      <c r="L184" s="70"/>
      <c r="M184" s="128"/>
      <c r="N184" s="70"/>
      <c r="O184" s="70"/>
      <c r="P184" s="70"/>
      <c r="Q184" s="70"/>
      <c r="R184" s="70"/>
      <c r="S184" s="70"/>
      <c r="T184" s="70"/>
      <c r="U184" s="70"/>
      <c r="V184" s="70"/>
      <c r="W184" s="70"/>
      <c r="X184" s="70"/>
      <c r="Y184" s="70"/>
      <c r="Z184" s="70"/>
      <c r="AA184" s="70"/>
      <c r="AB184" s="70"/>
      <c r="AC184" s="70"/>
      <c r="AD184" s="70"/>
    </row>
    <row r="185">
      <c r="A185" s="14" t="s">
        <v>427</v>
      </c>
      <c r="B185" s="14">
        <v>1.0</v>
      </c>
      <c r="C185" s="77" t="s">
        <v>1019</v>
      </c>
      <c r="D185" s="77" t="s">
        <v>4690</v>
      </c>
      <c r="E185" s="14" t="s">
        <v>49</v>
      </c>
      <c r="M185" s="140"/>
    </row>
    <row r="186">
      <c r="A186" s="14" t="s">
        <v>427</v>
      </c>
      <c r="B186" s="14">
        <v>2.0</v>
      </c>
      <c r="C186" s="77" t="s">
        <v>1651</v>
      </c>
      <c r="D186" s="77" t="s">
        <v>130</v>
      </c>
      <c r="E186" s="14" t="s">
        <v>49</v>
      </c>
      <c r="M186" s="140"/>
    </row>
    <row r="187">
      <c r="A187" s="14" t="s">
        <v>427</v>
      </c>
      <c r="B187" s="14">
        <v>3.0</v>
      </c>
      <c r="C187" s="77" t="s">
        <v>239</v>
      </c>
      <c r="D187" s="77" t="s">
        <v>4691</v>
      </c>
      <c r="E187" s="14" t="s">
        <v>49</v>
      </c>
      <c r="M187" s="140"/>
    </row>
    <row r="188">
      <c r="A188" s="14" t="s">
        <v>427</v>
      </c>
      <c r="B188" s="14">
        <v>4.0</v>
      </c>
      <c r="C188" s="77" t="s">
        <v>4692</v>
      </c>
      <c r="D188" s="77" t="s">
        <v>1772</v>
      </c>
      <c r="E188" s="14" t="s">
        <v>49</v>
      </c>
      <c r="M188" s="140"/>
    </row>
    <row r="189">
      <c r="A189" s="14" t="s">
        <v>427</v>
      </c>
      <c r="B189" s="14">
        <v>5.0</v>
      </c>
      <c r="C189" s="77" t="s">
        <v>157</v>
      </c>
      <c r="D189" s="77" t="s">
        <v>4693</v>
      </c>
      <c r="E189" s="14" t="s">
        <v>49</v>
      </c>
      <c r="M189" s="140"/>
    </row>
    <row r="190">
      <c r="A190" s="14" t="s">
        <v>427</v>
      </c>
      <c r="B190" s="14">
        <v>6.0</v>
      </c>
      <c r="C190" s="77" t="s">
        <v>1276</v>
      </c>
      <c r="D190" s="77" t="s">
        <v>4694</v>
      </c>
      <c r="E190" s="14" t="s">
        <v>49</v>
      </c>
      <c r="M190" s="140"/>
    </row>
    <row r="191">
      <c r="A191" s="14" t="s">
        <v>427</v>
      </c>
      <c r="B191" s="14">
        <v>7.0</v>
      </c>
      <c r="C191" s="77" t="s">
        <v>100</v>
      </c>
      <c r="D191" s="77" t="s">
        <v>1254</v>
      </c>
      <c r="E191" s="14" t="s">
        <v>49</v>
      </c>
      <c r="M191" s="140"/>
    </row>
    <row r="192">
      <c r="A192" s="14" t="s">
        <v>427</v>
      </c>
      <c r="B192" s="14">
        <v>8.0</v>
      </c>
      <c r="C192" s="77" t="s">
        <v>4696</v>
      </c>
      <c r="D192" s="77" t="s">
        <v>4697</v>
      </c>
      <c r="E192" s="14" t="s">
        <v>49</v>
      </c>
      <c r="M192" s="140"/>
    </row>
    <row r="193">
      <c r="A193" s="14" t="s">
        <v>427</v>
      </c>
      <c r="B193" s="14">
        <v>9.0</v>
      </c>
      <c r="C193" s="77" t="s">
        <v>3359</v>
      </c>
      <c r="D193" s="77" t="s">
        <v>4698</v>
      </c>
      <c r="E193" s="14" t="s">
        <v>49</v>
      </c>
      <c r="M193" s="140"/>
    </row>
    <row r="194">
      <c r="A194" s="14" t="s">
        <v>427</v>
      </c>
      <c r="B194" s="14">
        <v>10.0</v>
      </c>
      <c r="C194" s="77" t="s">
        <v>2323</v>
      </c>
      <c r="D194" s="77" t="s">
        <v>4699</v>
      </c>
      <c r="E194" s="14" t="s">
        <v>49</v>
      </c>
      <c r="M194" s="140"/>
    </row>
    <row r="195">
      <c r="A195" s="14" t="s">
        <v>427</v>
      </c>
      <c r="B195" s="14">
        <v>11.0</v>
      </c>
      <c r="C195" s="77" t="s">
        <v>325</v>
      </c>
      <c r="D195" s="77" t="s">
        <v>271</v>
      </c>
      <c r="E195" s="14" t="s">
        <v>49</v>
      </c>
      <c r="M195" s="140"/>
    </row>
    <row r="196">
      <c r="A196" s="14" t="s">
        <v>427</v>
      </c>
      <c r="B196" s="14">
        <v>12.0</v>
      </c>
      <c r="C196" s="77" t="s">
        <v>157</v>
      </c>
      <c r="D196" s="77" t="s">
        <v>4700</v>
      </c>
      <c r="E196" s="14" t="s">
        <v>53</v>
      </c>
      <c r="M196" s="140"/>
    </row>
    <row r="197">
      <c r="A197" s="14" t="s">
        <v>427</v>
      </c>
      <c r="B197" s="14">
        <v>13.0</v>
      </c>
      <c r="C197" s="77" t="s">
        <v>526</v>
      </c>
      <c r="D197" s="77" t="s">
        <v>1254</v>
      </c>
      <c r="E197" s="14" t="s">
        <v>53</v>
      </c>
      <c r="M197" s="140"/>
    </row>
    <row r="198">
      <c r="A198" s="14" t="s">
        <v>427</v>
      </c>
      <c r="B198" s="14">
        <v>14.0</v>
      </c>
      <c r="C198" s="77" t="s">
        <v>3317</v>
      </c>
      <c r="D198" s="77" t="s">
        <v>4701</v>
      </c>
      <c r="E198" s="14" t="s">
        <v>49</v>
      </c>
      <c r="M198" s="140"/>
    </row>
    <row r="199">
      <c r="A199" s="14" t="s">
        <v>427</v>
      </c>
      <c r="B199" s="14">
        <v>15.0</v>
      </c>
      <c r="C199" s="77" t="s">
        <v>278</v>
      </c>
      <c r="D199" s="77" t="s">
        <v>4702</v>
      </c>
      <c r="E199" s="14" t="s">
        <v>53</v>
      </c>
      <c r="M199" s="140"/>
    </row>
    <row r="200">
      <c r="A200" s="14" t="s">
        <v>427</v>
      </c>
      <c r="B200" s="14">
        <v>16.0</v>
      </c>
      <c r="C200" s="77" t="s">
        <v>69</v>
      </c>
      <c r="D200" s="77" t="s">
        <v>4703</v>
      </c>
      <c r="E200" s="14" t="s">
        <v>53</v>
      </c>
      <c r="M200" s="140"/>
    </row>
    <row r="201">
      <c r="A201" s="14" t="s">
        <v>427</v>
      </c>
      <c r="B201" s="14">
        <v>17.0</v>
      </c>
      <c r="C201" s="77" t="s">
        <v>4706</v>
      </c>
      <c r="D201" s="77" t="s">
        <v>4708</v>
      </c>
      <c r="E201" s="14" t="s">
        <v>49</v>
      </c>
      <c r="M201" s="140"/>
    </row>
    <row r="202">
      <c r="A202" s="14" t="s">
        <v>427</v>
      </c>
      <c r="B202" s="14">
        <v>18.0</v>
      </c>
      <c r="C202" s="77" t="s">
        <v>4709</v>
      </c>
      <c r="D202" s="77" t="s">
        <v>4278</v>
      </c>
      <c r="E202" s="14" t="s">
        <v>53</v>
      </c>
      <c r="M202" s="140"/>
    </row>
    <row r="203">
      <c r="A203" s="70"/>
      <c r="B203" s="70"/>
      <c r="C203" s="71"/>
      <c r="D203" s="71"/>
      <c r="E203" s="70"/>
      <c r="F203" s="70"/>
      <c r="G203" s="70"/>
      <c r="H203" s="70"/>
      <c r="I203" s="70"/>
      <c r="J203" s="70"/>
      <c r="K203" s="70"/>
      <c r="L203" s="70"/>
      <c r="M203" s="128"/>
      <c r="N203" s="70"/>
      <c r="O203" s="70"/>
      <c r="P203" s="70"/>
      <c r="Q203" s="70"/>
      <c r="R203" s="70"/>
      <c r="S203" s="70"/>
      <c r="T203" s="70"/>
      <c r="U203" s="70"/>
      <c r="V203" s="70"/>
      <c r="W203" s="70"/>
      <c r="X203" s="70"/>
      <c r="Y203" s="70"/>
      <c r="Z203" s="70"/>
      <c r="AA203" s="70"/>
      <c r="AB203" s="70"/>
      <c r="AC203" s="70"/>
      <c r="AD203" s="70"/>
    </row>
    <row r="204">
      <c r="A204" s="14" t="s">
        <v>430</v>
      </c>
      <c r="B204" s="14" t="s">
        <v>431</v>
      </c>
      <c r="C204" s="77" t="s">
        <v>2373</v>
      </c>
      <c r="D204" s="77" t="s">
        <v>4710</v>
      </c>
      <c r="E204" s="14" t="s">
        <v>49</v>
      </c>
      <c r="M204" s="140"/>
    </row>
    <row r="205">
      <c r="A205" s="14" t="s">
        <v>430</v>
      </c>
      <c r="B205" s="14" t="s">
        <v>434</v>
      </c>
      <c r="C205" s="77" t="s">
        <v>4711</v>
      </c>
      <c r="D205" s="77" t="s">
        <v>4712</v>
      </c>
      <c r="E205" s="14" t="s">
        <v>49</v>
      </c>
      <c r="M205" s="140"/>
    </row>
    <row r="206">
      <c r="A206" s="70"/>
      <c r="B206" s="70"/>
      <c r="C206" s="71"/>
      <c r="D206" s="71"/>
      <c r="E206" s="70"/>
      <c r="F206" s="70"/>
      <c r="G206" s="70"/>
      <c r="H206" s="70"/>
      <c r="I206" s="70"/>
      <c r="J206" s="70"/>
      <c r="K206" s="70"/>
      <c r="L206" s="70"/>
      <c r="M206" s="128"/>
      <c r="N206" s="70"/>
      <c r="O206" s="70"/>
      <c r="P206" s="70"/>
      <c r="Q206" s="70"/>
      <c r="R206" s="70"/>
      <c r="S206" s="70"/>
      <c r="T206" s="70"/>
      <c r="U206" s="70"/>
      <c r="V206" s="70"/>
      <c r="W206" s="70"/>
      <c r="X206" s="70"/>
      <c r="Y206" s="70"/>
      <c r="Z206" s="70"/>
      <c r="AA206" s="70"/>
      <c r="AB206" s="70"/>
      <c r="AC206" s="70"/>
      <c r="AD206" s="70"/>
    </row>
    <row r="207">
      <c r="A207" s="14" t="s">
        <v>438</v>
      </c>
      <c r="C207" s="77" t="s">
        <v>4527</v>
      </c>
      <c r="D207" s="77" t="s">
        <v>4528</v>
      </c>
      <c r="E207" s="14" t="s">
        <v>49</v>
      </c>
      <c r="M207" s="140"/>
    </row>
    <row r="208">
      <c r="A208" s="70"/>
      <c r="B208" s="70"/>
      <c r="C208" s="71"/>
      <c r="D208" s="71"/>
      <c r="E208" s="70"/>
      <c r="F208" s="70"/>
      <c r="G208" s="70"/>
      <c r="H208" s="70"/>
      <c r="I208" s="70"/>
      <c r="J208" s="70"/>
      <c r="K208" s="70"/>
      <c r="L208" s="70"/>
      <c r="M208" s="128"/>
      <c r="N208" s="70"/>
      <c r="O208" s="70"/>
      <c r="P208" s="70"/>
      <c r="Q208" s="70"/>
      <c r="R208" s="70"/>
      <c r="S208" s="70"/>
      <c r="T208" s="70"/>
      <c r="U208" s="70"/>
      <c r="V208" s="70"/>
      <c r="W208" s="70"/>
      <c r="X208" s="70"/>
      <c r="Y208" s="70"/>
      <c r="Z208" s="70"/>
      <c r="AA208" s="70"/>
      <c r="AB208" s="70"/>
      <c r="AC208" s="70"/>
      <c r="AD208" s="70"/>
    </row>
    <row r="209">
      <c r="C209" s="139"/>
      <c r="D209" s="139"/>
      <c r="M209" s="140"/>
    </row>
    <row r="210">
      <c r="C210" s="139"/>
      <c r="D210" s="139"/>
      <c r="M210" s="140"/>
    </row>
    <row r="211">
      <c r="C211" s="139"/>
      <c r="D211" s="139"/>
      <c r="M211" s="140"/>
    </row>
    <row r="212">
      <c r="C212" s="139"/>
      <c r="D212" s="139"/>
      <c r="M212" s="140"/>
    </row>
    <row r="213">
      <c r="C213" s="139"/>
      <c r="D213" s="139"/>
      <c r="M213" s="140"/>
    </row>
    <row r="214">
      <c r="C214" s="139"/>
      <c r="D214" s="139"/>
      <c r="M214" s="140"/>
    </row>
    <row r="215">
      <c r="C215" s="139"/>
      <c r="D215" s="139"/>
      <c r="M215" s="140"/>
    </row>
    <row r="216">
      <c r="C216" s="139"/>
      <c r="D216" s="139"/>
      <c r="M216" s="140"/>
    </row>
    <row r="217">
      <c r="C217" s="139"/>
      <c r="D217" s="139"/>
      <c r="M217" s="140"/>
    </row>
    <row r="218">
      <c r="C218" s="139"/>
      <c r="D218" s="139"/>
      <c r="M218" s="140"/>
    </row>
    <row r="219">
      <c r="C219" s="139"/>
      <c r="D219" s="139"/>
      <c r="M219" s="140"/>
    </row>
    <row r="220">
      <c r="C220" s="139"/>
      <c r="D220" s="139"/>
      <c r="M220" s="140"/>
    </row>
    <row r="221">
      <c r="C221" s="139"/>
      <c r="D221" s="139"/>
      <c r="M221" s="140"/>
    </row>
    <row r="222">
      <c r="C222" s="139"/>
      <c r="D222" s="139"/>
      <c r="M222" s="140"/>
    </row>
    <row r="223">
      <c r="C223" s="139"/>
      <c r="D223" s="139"/>
      <c r="M223" s="140"/>
    </row>
    <row r="224">
      <c r="C224" s="139"/>
      <c r="D224" s="139"/>
      <c r="M224" s="140"/>
    </row>
    <row r="225">
      <c r="C225" s="139"/>
      <c r="D225" s="139"/>
      <c r="M225" s="140"/>
    </row>
    <row r="226">
      <c r="C226" s="139"/>
      <c r="D226" s="139"/>
      <c r="M226" s="140"/>
    </row>
    <row r="227">
      <c r="C227" s="139"/>
      <c r="D227" s="139"/>
      <c r="M227" s="140"/>
    </row>
    <row r="228">
      <c r="C228" s="139"/>
      <c r="D228" s="139"/>
      <c r="M228" s="140"/>
    </row>
    <row r="229">
      <c r="C229" s="139"/>
      <c r="D229" s="139"/>
      <c r="M229" s="140"/>
    </row>
    <row r="230">
      <c r="C230" s="139"/>
      <c r="D230" s="139"/>
      <c r="M230" s="140"/>
    </row>
    <row r="231">
      <c r="C231" s="139"/>
      <c r="D231" s="139"/>
      <c r="M231" s="140"/>
    </row>
    <row r="232">
      <c r="C232" s="139"/>
      <c r="D232" s="139"/>
      <c r="M232" s="140"/>
    </row>
    <row r="233">
      <c r="C233" s="139"/>
      <c r="D233" s="139"/>
      <c r="M233" s="140"/>
    </row>
    <row r="234">
      <c r="C234" s="139"/>
      <c r="D234" s="139"/>
      <c r="M234" s="140"/>
    </row>
    <row r="235">
      <c r="C235" s="139"/>
      <c r="D235" s="139"/>
      <c r="M235" s="140"/>
    </row>
    <row r="236">
      <c r="C236" s="139"/>
      <c r="D236" s="139"/>
      <c r="M236" s="140"/>
    </row>
    <row r="237">
      <c r="C237" s="139"/>
      <c r="D237" s="139"/>
      <c r="M237" s="140"/>
    </row>
    <row r="238">
      <c r="C238" s="139"/>
      <c r="D238" s="139"/>
      <c r="M238" s="140"/>
    </row>
    <row r="239">
      <c r="C239" s="139"/>
      <c r="D239" s="139"/>
      <c r="M239" s="140"/>
    </row>
    <row r="240">
      <c r="C240" s="139"/>
      <c r="D240" s="139"/>
      <c r="M240" s="140"/>
    </row>
    <row r="241">
      <c r="C241" s="139"/>
      <c r="D241" s="139"/>
      <c r="M241" s="140"/>
    </row>
    <row r="242">
      <c r="C242" s="139"/>
      <c r="D242" s="139"/>
      <c r="M242" s="140"/>
    </row>
    <row r="243">
      <c r="C243" s="139"/>
      <c r="D243" s="139"/>
      <c r="M243" s="140"/>
    </row>
    <row r="244">
      <c r="C244" s="139"/>
      <c r="D244" s="139"/>
      <c r="M244" s="140"/>
    </row>
    <row r="245">
      <c r="C245" s="139"/>
      <c r="D245" s="139"/>
      <c r="M245" s="140"/>
    </row>
    <row r="246">
      <c r="C246" s="139"/>
      <c r="D246" s="139"/>
      <c r="M246" s="140"/>
    </row>
    <row r="247">
      <c r="C247" s="139"/>
      <c r="D247" s="139"/>
      <c r="M247" s="140"/>
    </row>
    <row r="248">
      <c r="C248" s="139"/>
      <c r="D248" s="139"/>
      <c r="M248" s="140"/>
    </row>
    <row r="249">
      <c r="C249" s="139"/>
      <c r="D249" s="139"/>
      <c r="M249" s="140"/>
    </row>
    <row r="250">
      <c r="C250" s="139"/>
      <c r="D250" s="139"/>
      <c r="M250" s="140"/>
    </row>
    <row r="251">
      <c r="C251" s="139"/>
      <c r="D251" s="139"/>
      <c r="M251" s="140"/>
    </row>
    <row r="252">
      <c r="C252" s="139"/>
      <c r="D252" s="139"/>
      <c r="M252" s="140"/>
    </row>
    <row r="253">
      <c r="C253" s="139"/>
      <c r="D253" s="139"/>
      <c r="M253" s="140"/>
    </row>
    <row r="254">
      <c r="C254" s="139"/>
      <c r="D254" s="139"/>
      <c r="M254" s="140"/>
    </row>
    <row r="255">
      <c r="C255" s="139"/>
      <c r="D255" s="139"/>
      <c r="M255" s="140"/>
    </row>
    <row r="256">
      <c r="C256" s="139"/>
      <c r="D256" s="139"/>
      <c r="M256" s="140"/>
    </row>
    <row r="257">
      <c r="C257" s="139"/>
      <c r="D257" s="139"/>
      <c r="M257" s="140"/>
    </row>
    <row r="258">
      <c r="C258" s="139"/>
      <c r="D258" s="139"/>
      <c r="M258" s="140"/>
    </row>
    <row r="259">
      <c r="C259" s="139"/>
      <c r="D259" s="139"/>
      <c r="M259" s="140"/>
    </row>
    <row r="260">
      <c r="C260" s="139"/>
      <c r="D260" s="139"/>
      <c r="M260" s="140"/>
    </row>
    <row r="261">
      <c r="C261" s="139"/>
      <c r="D261" s="139"/>
      <c r="M261" s="140"/>
    </row>
    <row r="262">
      <c r="C262" s="139"/>
      <c r="D262" s="139"/>
      <c r="M262" s="140"/>
    </row>
    <row r="263">
      <c r="C263" s="139"/>
      <c r="D263" s="139"/>
      <c r="M263" s="140"/>
    </row>
    <row r="264">
      <c r="C264" s="139"/>
      <c r="D264" s="139"/>
      <c r="M264" s="140"/>
    </row>
    <row r="265">
      <c r="C265" s="139"/>
      <c r="D265" s="139"/>
      <c r="M265" s="140"/>
    </row>
    <row r="266">
      <c r="C266" s="139"/>
      <c r="D266" s="139"/>
      <c r="M266" s="140"/>
    </row>
    <row r="267">
      <c r="C267" s="139"/>
      <c r="D267" s="139"/>
      <c r="M267" s="140"/>
    </row>
    <row r="268">
      <c r="C268" s="139"/>
      <c r="D268" s="139"/>
      <c r="M268" s="140"/>
    </row>
    <row r="269">
      <c r="C269" s="139"/>
      <c r="D269" s="139"/>
      <c r="M269" s="140"/>
    </row>
    <row r="270">
      <c r="C270" s="139"/>
      <c r="D270" s="139"/>
      <c r="M270" s="140"/>
    </row>
    <row r="271">
      <c r="C271" s="139"/>
      <c r="D271" s="139"/>
      <c r="M271" s="140"/>
    </row>
    <row r="272">
      <c r="C272" s="139"/>
      <c r="D272" s="139"/>
      <c r="M272" s="140"/>
    </row>
    <row r="273">
      <c r="C273" s="139"/>
      <c r="D273" s="139"/>
      <c r="M273" s="140"/>
    </row>
    <row r="274">
      <c r="C274" s="139"/>
      <c r="D274" s="139"/>
      <c r="M274" s="140"/>
    </row>
    <row r="275">
      <c r="C275" s="139"/>
      <c r="D275" s="139"/>
      <c r="M275" s="140"/>
    </row>
    <row r="276">
      <c r="C276" s="139"/>
      <c r="D276" s="139"/>
      <c r="M276" s="140"/>
    </row>
    <row r="277">
      <c r="C277" s="139"/>
      <c r="D277" s="139"/>
      <c r="M277" s="140"/>
    </row>
    <row r="278">
      <c r="C278" s="139"/>
      <c r="D278" s="139"/>
      <c r="M278" s="140"/>
    </row>
    <row r="279">
      <c r="C279" s="139"/>
      <c r="D279" s="139"/>
      <c r="M279" s="140"/>
    </row>
    <row r="280">
      <c r="C280" s="139"/>
      <c r="D280" s="139"/>
      <c r="M280" s="140"/>
    </row>
    <row r="281">
      <c r="C281" s="139"/>
      <c r="D281" s="139"/>
      <c r="M281" s="140"/>
    </row>
    <row r="282">
      <c r="C282" s="139"/>
      <c r="D282" s="139"/>
      <c r="M282" s="140"/>
    </row>
    <row r="283">
      <c r="C283" s="139"/>
      <c r="D283" s="139"/>
      <c r="M283" s="140"/>
    </row>
    <row r="284">
      <c r="C284" s="139"/>
      <c r="D284" s="139"/>
      <c r="M284" s="140"/>
    </row>
    <row r="285">
      <c r="C285" s="139"/>
      <c r="D285" s="139"/>
      <c r="M285" s="140"/>
    </row>
    <row r="286">
      <c r="C286" s="139"/>
      <c r="D286" s="139"/>
      <c r="M286" s="140"/>
    </row>
    <row r="287">
      <c r="C287" s="139"/>
      <c r="D287" s="139"/>
      <c r="M287" s="140"/>
    </row>
    <row r="288">
      <c r="C288" s="139"/>
      <c r="D288" s="139"/>
      <c r="M288" s="140"/>
    </row>
    <row r="289">
      <c r="C289" s="139"/>
      <c r="D289" s="139"/>
      <c r="M289" s="140"/>
    </row>
    <row r="290">
      <c r="C290" s="139"/>
      <c r="D290" s="139"/>
      <c r="M290" s="140"/>
    </row>
    <row r="291">
      <c r="C291" s="139"/>
      <c r="D291" s="139"/>
      <c r="M291" s="140"/>
    </row>
    <row r="292">
      <c r="C292" s="139"/>
      <c r="D292" s="139"/>
      <c r="M292" s="140"/>
    </row>
    <row r="293">
      <c r="C293" s="139"/>
      <c r="D293" s="139"/>
      <c r="M293" s="140"/>
    </row>
    <row r="294">
      <c r="C294" s="139"/>
      <c r="D294" s="139"/>
      <c r="M294" s="140"/>
    </row>
    <row r="295">
      <c r="C295" s="139"/>
      <c r="D295" s="139"/>
      <c r="M295" s="140"/>
    </row>
    <row r="296">
      <c r="C296" s="139"/>
      <c r="D296" s="139"/>
      <c r="M296" s="140"/>
    </row>
    <row r="297">
      <c r="C297" s="139"/>
      <c r="D297" s="139"/>
      <c r="M297" s="140"/>
    </row>
    <row r="298">
      <c r="C298" s="139"/>
      <c r="D298" s="139"/>
      <c r="M298" s="140"/>
    </row>
    <row r="299">
      <c r="C299" s="139"/>
      <c r="D299" s="139"/>
      <c r="M299" s="140"/>
    </row>
    <row r="300">
      <c r="C300" s="139"/>
      <c r="D300" s="139"/>
      <c r="M300" s="140"/>
    </row>
    <row r="301">
      <c r="C301" s="139"/>
      <c r="D301" s="139"/>
      <c r="M301" s="140"/>
    </row>
    <row r="302">
      <c r="C302" s="139"/>
      <c r="D302" s="139"/>
      <c r="M302" s="140"/>
    </row>
    <row r="303">
      <c r="C303" s="139"/>
      <c r="D303" s="139"/>
      <c r="M303" s="140"/>
    </row>
    <row r="304">
      <c r="C304" s="139"/>
      <c r="D304" s="139"/>
      <c r="M304" s="140"/>
    </row>
    <row r="305">
      <c r="C305" s="139"/>
      <c r="D305" s="139"/>
      <c r="M305" s="140"/>
    </row>
    <row r="306">
      <c r="C306" s="139"/>
      <c r="D306" s="139"/>
      <c r="M306" s="140"/>
    </row>
    <row r="307">
      <c r="C307" s="139"/>
      <c r="D307" s="139"/>
      <c r="M307" s="140"/>
    </row>
    <row r="308">
      <c r="C308" s="139"/>
      <c r="D308" s="139"/>
      <c r="M308" s="140"/>
    </row>
    <row r="309">
      <c r="C309" s="139"/>
      <c r="D309" s="139"/>
      <c r="M309" s="140"/>
    </row>
    <row r="310">
      <c r="C310" s="139"/>
      <c r="D310" s="139"/>
      <c r="M310" s="140"/>
    </row>
    <row r="311">
      <c r="C311" s="139"/>
      <c r="D311" s="139"/>
      <c r="M311" s="140"/>
    </row>
    <row r="312">
      <c r="C312" s="139"/>
      <c r="D312" s="139"/>
      <c r="M312" s="140"/>
    </row>
    <row r="313">
      <c r="C313" s="139"/>
      <c r="D313" s="139"/>
      <c r="M313" s="140"/>
    </row>
    <row r="314">
      <c r="C314" s="139"/>
      <c r="D314" s="139"/>
      <c r="M314" s="140"/>
    </row>
    <row r="315">
      <c r="C315" s="139"/>
      <c r="D315" s="139"/>
      <c r="M315" s="140"/>
    </row>
    <row r="316">
      <c r="C316" s="139"/>
      <c r="D316" s="139"/>
      <c r="M316" s="140"/>
    </row>
    <row r="317">
      <c r="C317" s="139"/>
      <c r="D317" s="139"/>
      <c r="M317" s="140"/>
    </row>
    <row r="318">
      <c r="C318" s="139"/>
      <c r="D318" s="139"/>
      <c r="M318" s="140"/>
    </row>
    <row r="319">
      <c r="C319" s="139"/>
      <c r="D319" s="139"/>
      <c r="M319" s="140"/>
    </row>
    <row r="320">
      <c r="C320" s="139"/>
      <c r="D320" s="139"/>
      <c r="M320" s="140"/>
    </row>
    <row r="321">
      <c r="C321" s="139"/>
      <c r="D321" s="139"/>
      <c r="M321" s="140"/>
    </row>
    <row r="322">
      <c r="C322" s="139"/>
      <c r="D322" s="139"/>
      <c r="M322" s="140"/>
    </row>
    <row r="323">
      <c r="C323" s="139"/>
      <c r="D323" s="139"/>
      <c r="M323" s="140"/>
    </row>
    <row r="324">
      <c r="C324" s="139"/>
      <c r="D324" s="139"/>
      <c r="M324" s="140"/>
    </row>
    <row r="325">
      <c r="C325" s="139"/>
      <c r="D325" s="139"/>
      <c r="M325" s="140"/>
    </row>
    <row r="326">
      <c r="C326" s="139"/>
      <c r="D326" s="139"/>
      <c r="M326" s="140"/>
    </row>
    <row r="327">
      <c r="C327" s="139"/>
      <c r="D327" s="139"/>
      <c r="M327" s="140"/>
    </row>
    <row r="328">
      <c r="C328" s="139"/>
      <c r="D328" s="139"/>
      <c r="M328" s="140"/>
    </row>
    <row r="329">
      <c r="C329" s="139"/>
      <c r="D329" s="139"/>
      <c r="M329" s="140"/>
    </row>
    <row r="330">
      <c r="C330" s="139"/>
      <c r="D330" s="139"/>
      <c r="M330" s="140"/>
    </row>
    <row r="331">
      <c r="C331" s="139"/>
      <c r="D331" s="139"/>
      <c r="M331" s="140"/>
    </row>
    <row r="332">
      <c r="C332" s="139"/>
      <c r="D332" s="139"/>
      <c r="M332" s="140"/>
    </row>
    <row r="333">
      <c r="C333" s="139"/>
      <c r="D333" s="139"/>
      <c r="M333" s="140"/>
    </row>
    <row r="334">
      <c r="C334" s="139"/>
      <c r="D334" s="139"/>
      <c r="M334" s="140"/>
    </row>
    <row r="335">
      <c r="C335" s="139"/>
      <c r="D335" s="139"/>
      <c r="M335" s="140"/>
    </row>
    <row r="336">
      <c r="C336" s="139"/>
      <c r="D336" s="139"/>
      <c r="M336" s="140"/>
    </row>
    <row r="337">
      <c r="C337" s="139"/>
      <c r="D337" s="139"/>
      <c r="M337" s="140"/>
    </row>
    <row r="338">
      <c r="C338" s="139"/>
      <c r="D338" s="139"/>
      <c r="M338" s="140"/>
    </row>
    <row r="339">
      <c r="C339" s="139"/>
      <c r="D339" s="139"/>
      <c r="M339" s="140"/>
    </row>
    <row r="340">
      <c r="C340" s="139"/>
      <c r="D340" s="139"/>
      <c r="M340" s="140"/>
    </row>
    <row r="341">
      <c r="C341" s="139"/>
      <c r="D341" s="139"/>
      <c r="M341" s="140"/>
    </row>
    <row r="342">
      <c r="C342" s="139"/>
      <c r="D342" s="139"/>
      <c r="M342" s="140"/>
    </row>
    <row r="343">
      <c r="C343" s="139"/>
      <c r="D343" s="139"/>
      <c r="M343" s="140"/>
    </row>
    <row r="344">
      <c r="C344" s="139"/>
      <c r="D344" s="139"/>
      <c r="M344" s="140"/>
    </row>
    <row r="345">
      <c r="C345" s="139"/>
      <c r="D345" s="139"/>
      <c r="M345" s="140"/>
    </row>
    <row r="346">
      <c r="C346" s="139"/>
      <c r="D346" s="139"/>
      <c r="M346" s="140"/>
    </row>
    <row r="347">
      <c r="C347" s="139"/>
      <c r="D347" s="139"/>
      <c r="M347" s="140"/>
    </row>
    <row r="348">
      <c r="C348" s="139"/>
      <c r="D348" s="139"/>
      <c r="M348" s="140"/>
    </row>
    <row r="349">
      <c r="C349" s="139"/>
      <c r="D349" s="139"/>
      <c r="M349" s="140"/>
    </row>
    <row r="350">
      <c r="C350" s="139"/>
      <c r="D350" s="139"/>
      <c r="M350" s="140"/>
    </row>
    <row r="351">
      <c r="C351" s="139"/>
      <c r="D351" s="139"/>
      <c r="M351" s="140"/>
    </row>
    <row r="352">
      <c r="C352" s="139"/>
      <c r="D352" s="139"/>
      <c r="M352" s="140"/>
    </row>
    <row r="353">
      <c r="C353" s="139"/>
      <c r="D353" s="139"/>
      <c r="M353" s="140"/>
    </row>
    <row r="354">
      <c r="C354" s="139"/>
      <c r="D354" s="139"/>
      <c r="M354" s="140"/>
    </row>
    <row r="355">
      <c r="C355" s="139"/>
      <c r="D355" s="139"/>
      <c r="M355" s="140"/>
    </row>
    <row r="356">
      <c r="C356" s="139"/>
      <c r="D356" s="139"/>
      <c r="M356" s="140"/>
    </row>
    <row r="357">
      <c r="C357" s="139"/>
      <c r="D357" s="139"/>
      <c r="M357" s="140"/>
    </row>
    <row r="358">
      <c r="C358" s="139"/>
      <c r="D358" s="139"/>
      <c r="M358" s="140"/>
    </row>
    <row r="359">
      <c r="C359" s="139"/>
      <c r="D359" s="139"/>
      <c r="M359" s="140"/>
    </row>
    <row r="360">
      <c r="C360" s="139"/>
      <c r="D360" s="139"/>
      <c r="M360" s="140"/>
    </row>
    <row r="361">
      <c r="C361" s="139"/>
      <c r="D361" s="139"/>
      <c r="M361" s="140"/>
    </row>
    <row r="362">
      <c r="C362" s="139"/>
      <c r="D362" s="139"/>
      <c r="M362" s="140"/>
    </row>
    <row r="363">
      <c r="C363" s="139"/>
      <c r="D363" s="139"/>
      <c r="M363" s="140"/>
    </row>
    <row r="364">
      <c r="C364" s="139"/>
      <c r="D364" s="139"/>
      <c r="M364" s="140"/>
    </row>
    <row r="365">
      <c r="C365" s="139"/>
      <c r="D365" s="139"/>
      <c r="M365" s="140"/>
    </row>
    <row r="366">
      <c r="C366" s="139"/>
      <c r="D366" s="139"/>
      <c r="M366" s="140"/>
    </row>
    <row r="367">
      <c r="C367" s="139"/>
      <c r="D367" s="139"/>
      <c r="M367" s="140"/>
    </row>
    <row r="368">
      <c r="C368" s="139"/>
      <c r="D368" s="139"/>
      <c r="M368" s="140"/>
    </row>
    <row r="369">
      <c r="C369" s="139"/>
      <c r="D369" s="139"/>
      <c r="M369" s="140"/>
    </row>
    <row r="370">
      <c r="C370" s="139"/>
      <c r="D370" s="139"/>
      <c r="M370" s="140"/>
    </row>
    <row r="371">
      <c r="C371" s="139"/>
      <c r="D371" s="139"/>
      <c r="M371" s="140"/>
    </row>
    <row r="372">
      <c r="C372" s="139"/>
      <c r="D372" s="139"/>
      <c r="M372" s="140"/>
    </row>
    <row r="373">
      <c r="C373" s="139"/>
      <c r="D373" s="139"/>
      <c r="M373" s="140"/>
    </row>
    <row r="374">
      <c r="C374" s="139"/>
      <c r="D374" s="139"/>
      <c r="M374" s="140"/>
    </row>
    <row r="375">
      <c r="C375" s="139"/>
      <c r="D375" s="139"/>
      <c r="M375" s="140"/>
    </row>
    <row r="376">
      <c r="C376" s="139"/>
      <c r="D376" s="139"/>
      <c r="M376" s="140"/>
    </row>
    <row r="377">
      <c r="C377" s="139"/>
      <c r="D377" s="139"/>
      <c r="M377" s="140"/>
    </row>
    <row r="378">
      <c r="C378" s="139"/>
      <c r="D378" s="139"/>
      <c r="M378" s="140"/>
    </row>
    <row r="379">
      <c r="C379" s="139"/>
      <c r="D379" s="139"/>
      <c r="M379" s="140"/>
    </row>
    <row r="380">
      <c r="C380" s="139"/>
      <c r="D380" s="139"/>
      <c r="M380" s="140"/>
    </row>
    <row r="381">
      <c r="C381" s="139"/>
      <c r="D381" s="139"/>
      <c r="M381" s="140"/>
    </row>
    <row r="382">
      <c r="C382" s="139"/>
      <c r="D382" s="139"/>
      <c r="M382" s="140"/>
    </row>
    <row r="383">
      <c r="C383" s="139"/>
      <c r="D383" s="139"/>
      <c r="M383" s="140"/>
    </row>
    <row r="384">
      <c r="C384" s="139"/>
      <c r="D384" s="139"/>
      <c r="M384" s="140"/>
    </row>
    <row r="385">
      <c r="C385" s="139"/>
      <c r="D385" s="139"/>
      <c r="M385" s="140"/>
    </row>
    <row r="386">
      <c r="C386" s="139"/>
      <c r="D386" s="139"/>
      <c r="M386" s="140"/>
    </row>
    <row r="387">
      <c r="C387" s="139"/>
      <c r="D387" s="139"/>
      <c r="M387" s="140"/>
    </row>
    <row r="388">
      <c r="C388" s="139"/>
      <c r="D388" s="139"/>
      <c r="M388" s="140"/>
    </row>
    <row r="389">
      <c r="C389" s="139"/>
      <c r="D389" s="139"/>
      <c r="M389" s="140"/>
    </row>
    <row r="390">
      <c r="C390" s="139"/>
      <c r="D390" s="139"/>
      <c r="M390" s="140"/>
    </row>
    <row r="391">
      <c r="C391" s="139"/>
      <c r="D391" s="139"/>
      <c r="M391" s="140"/>
    </row>
    <row r="392">
      <c r="C392" s="139"/>
      <c r="D392" s="139"/>
      <c r="M392" s="140"/>
    </row>
    <row r="393">
      <c r="C393" s="139"/>
      <c r="D393" s="139"/>
      <c r="M393" s="140"/>
    </row>
    <row r="394">
      <c r="C394" s="139"/>
      <c r="D394" s="139"/>
      <c r="M394" s="140"/>
    </row>
    <row r="395">
      <c r="C395" s="139"/>
      <c r="D395" s="139"/>
      <c r="M395" s="140"/>
    </row>
    <row r="396">
      <c r="C396" s="139"/>
      <c r="D396" s="139"/>
      <c r="M396" s="140"/>
    </row>
    <row r="397">
      <c r="C397" s="139"/>
      <c r="D397" s="139"/>
      <c r="M397" s="140"/>
    </row>
    <row r="398">
      <c r="C398" s="139"/>
      <c r="D398" s="139"/>
      <c r="M398" s="140"/>
    </row>
    <row r="399">
      <c r="C399" s="139"/>
      <c r="D399" s="139"/>
      <c r="M399" s="140"/>
    </row>
    <row r="400">
      <c r="C400" s="139"/>
      <c r="D400" s="139"/>
      <c r="M400" s="140"/>
    </row>
    <row r="401">
      <c r="C401" s="139"/>
      <c r="D401" s="139"/>
      <c r="M401" s="140"/>
    </row>
    <row r="402">
      <c r="C402" s="139"/>
      <c r="D402" s="139"/>
      <c r="M402" s="140"/>
    </row>
    <row r="403">
      <c r="C403" s="139"/>
      <c r="D403" s="139"/>
      <c r="M403" s="140"/>
    </row>
    <row r="404">
      <c r="C404" s="139"/>
      <c r="D404" s="139"/>
      <c r="M404" s="140"/>
    </row>
    <row r="405">
      <c r="C405" s="139"/>
      <c r="D405" s="139"/>
      <c r="M405" s="140"/>
    </row>
    <row r="406">
      <c r="C406" s="139"/>
      <c r="D406" s="139"/>
      <c r="M406" s="140"/>
    </row>
    <row r="407">
      <c r="C407" s="139"/>
      <c r="D407" s="139"/>
      <c r="M407" s="140"/>
    </row>
    <row r="408">
      <c r="C408" s="139"/>
      <c r="D408" s="139"/>
      <c r="M408" s="140"/>
    </row>
    <row r="409">
      <c r="C409" s="139"/>
      <c r="D409" s="139"/>
      <c r="M409" s="140"/>
    </row>
    <row r="410">
      <c r="C410" s="139"/>
      <c r="D410" s="139"/>
      <c r="M410" s="140"/>
    </row>
    <row r="411">
      <c r="C411" s="139"/>
      <c r="D411" s="139"/>
      <c r="M411" s="140"/>
    </row>
    <row r="412">
      <c r="C412" s="139"/>
      <c r="D412" s="139"/>
      <c r="M412" s="140"/>
    </row>
    <row r="413">
      <c r="C413" s="139"/>
      <c r="D413" s="139"/>
      <c r="M413" s="140"/>
    </row>
    <row r="414">
      <c r="C414" s="139"/>
      <c r="D414" s="139"/>
      <c r="M414" s="140"/>
    </row>
    <row r="415">
      <c r="C415" s="139"/>
      <c r="D415" s="139"/>
      <c r="M415" s="140"/>
    </row>
    <row r="416">
      <c r="C416" s="139"/>
      <c r="D416" s="139"/>
      <c r="M416" s="140"/>
    </row>
    <row r="417">
      <c r="C417" s="139"/>
      <c r="D417" s="139"/>
      <c r="M417" s="140"/>
    </row>
    <row r="418">
      <c r="C418" s="139"/>
      <c r="D418" s="139"/>
      <c r="M418" s="140"/>
    </row>
    <row r="419">
      <c r="C419" s="139"/>
      <c r="D419" s="139"/>
      <c r="M419" s="140"/>
    </row>
    <row r="420">
      <c r="C420" s="139"/>
      <c r="D420" s="139"/>
      <c r="M420" s="140"/>
    </row>
    <row r="421">
      <c r="C421" s="139"/>
      <c r="D421" s="139"/>
      <c r="M421" s="140"/>
    </row>
    <row r="422">
      <c r="C422" s="139"/>
      <c r="D422" s="139"/>
      <c r="M422" s="140"/>
    </row>
    <row r="423">
      <c r="C423" s="139"/>
      <c r="D423" s="139"/>
      <c r="M423" s="140"/>
    </row>
    <row r="424">
      <c r="C424" s="139"/>
      <c r="D424" s="139"/>
      <c r="M424" s="140"/>
    </row>
    <row r="425">
      <c r="C425" s="139"/>
      <c r="D425" s="139"/>
      <c r="M425" s="140"/>
    </row>
    <row r="426">
      <c r="C426" s="139"/>
      <c r="D426" s="139"/>
      <c r="M426" s="140"/>
    </row>
    <row r="427">
      <c r="C427" s="139"/>
      <c r="D427" s="139"/>
      <c r="M427" s="140"/>
    </row>
    <row r="428">
      <c r="C428" s="139"/>
      <c r="D428" s="139"/>
      <c r="M428" s="140"/>
    </row>
    <row r="429">
      <c r="C429" s="139"/>
      <c r="D429" s="139"/>
      <c r="M429" s="140"/>
    </row>
    <row r="430">
      <c r="C430" s="139"/>
      <c r="D430" s="139"/>
      <c r="M430" s="140"/>
    </row>
    <row r="431">
      <c r="C431" s="139"/>
      <c r="D431" s="139"/>
      <c r="M431" s="140"/>
    </row>
    <row r="432">
      <c r="C432" s="139"/>
      <c r="D432" s="139"/>
      <c r="M432" s="140"/>
    </row>
    <row r="433">
      <c r="C433" s="139"/>
      <c r="D433" s="139"/>
      <c r="M433" s="140"/>
    </row>
    <row r="434">
      <c r="C434" s="139"/>
      <c r="D434" s="139"/>
      <c r="M434" s="140"/>
    </row>
    <row r="435">
      <c r="C435" s="139"/>
      <c r="D435" s="139"/>
      <c r="M435" s="140"/>
    </row>
    <row r="436">
      <c r="C436" s="139"/>
      <c r="D436" s="139"/>
      <c r="M436" s="140"/>
    </row>
    <row r="437">
      <c r="C437" s="139"/>
      <c r="D437" s="139"/>
      <c r="M437" s="140"/>
    </row>
    <row r="438">
      <c r="C438" s="139"/>
      <c r="D438" s="139"/>
      <c r="M438" s="140"/>
    </row>
    <row r="439">
      <c r="C439" s="139"/>
      <c r="D439" s="139"/>
      <c r="M439" s="140"/>
    </row>
    <row r="440">
      <c r="C440" s="139"/>
      <c r="D440" s="139"/>
      <c r="M440" s="140"/>
    </row>
    <row r="441">
      <c r="C441" s="139"/>
      <c r="D441" s="139"/>
      <c r="M441" s="140"/>
    </row>
    <row r="442">
      <c r="C442" s="139"/>
      <c r="D442" s="139"/>
      <c r="M442" s="140"/>
    </row>
    <row r="443">
      <c r="C443" s="139"/>
      <c r="D443" s="139"/>
      <c r="M443" s="140"/>
    </row>
    <row r="444">
      <c r="C444" s="139"/>
      <c r="D444" s="139"/>
      <c r="M444" s="140"/>
    </row>
    <row r="445">
      <c r="C445" s="139"/>
      <c r="D445" s="139"/>
      <c r="M445" s="140"/>
    </row>
    <row r="446">
      <c r="C446" s="139"/>
      <c r="D446" s="139"/>
      <c r="M446" s="140"/>
    </row>
    <row r="447">
      <c r="C447" s="139"/>
      <c r="D447" s="139"/>
      <c r="M447" s="140"/>
    </row>
    <row r="448">
      <c r="C448" s="139"/>
      <c r="D448" s="139"/>
      <c r="M448" s="140"/>
    </row>
    <row r="449">
      <c r="C449" s="139"/>
      <c r="D449" s="139"/>
      <c r="M449" s="140"/>
    </row>
    <row r="450">
      <c r="C450" s="139"/>
      <c r="D450" s="139"/>
      <c r="M450" s="140"/>
    </row>
    <row r="451">
      <c r="C451" s="139"/>
      <c r="D451" s="139"/>
      <c r="M451" s="140"/>
    </row>
    <row r="452">
      <c r="C452" s="139"/>
      <c r="D452" s="139"/>
      <c r="M452" s="140"/>
    </row>
    <row r="453">
      <c r="C453" s="139"/>
      <c r="D453" s="139"/>
      <c r="M453" s="140"/>
    </row>
    <row r="454">
      <c r="C454" s="139"/>
      <c r="D454" s="139"/>
      <c r="M454" s="140"/>
    </row>
    <row r="455">
      <c r="C455" s="139"/>
      <c r="D455" s="139"/>
      <c r="M455" s="140"/>
    </row>
    <row r="456">
      <c r="C456" s="139"/>
      <c r="D456" s="139"/>
      <c r="M456" s="140"/>
    </row>
    <row r="457">
      <c r="C457" s="139"/>
      <c r="D457" s="139"/>
      <c r="M457" s="140"/>
    </row>
    <row r="458">
      <c r="C458" s="139"/>
      <c r="D458" s="139"/>
      <c r="M458" s="140"/>
    </row>
    <row r="459">
      <c r="C459" s="139"/>
      <c r="D459" s="139"/>
      <c r="M459" s="140"/>
    </row>
    <row r="460">
      <c r="C460" s="139"/>
      <c r="D460" s="139"/>
      <c r="M460" s="140"/>
    </row>
    <row r="461">
      <c r="C461" s="139"/>
      <c r="D461" s="139"/>
      <c r="M461" s="140"/>
    </row>
    <row r="462">
      <c r="C462" s="139"/>
      <c r="D462" s="139"/>
      <c r="M462" s="140"/>
    </row>
    <row r="463">
      <c r="C463" s="139"/>
      <c r="D463" s="139"/>
      <c r="M463" s="140"/>
    </row>
    <row r="464">
      <c r="C464" s="139"/>
      <c r="D464" s="139"/>
      <c r="M464" s="140"/>
    </row>
    <row r="465">
      <c r="C465" s="139"/>
      <c r="D465" s="139"/>
      <c r="M465" s="140"/>
    </row>
    <row r="466">
      <c r="C466" s="139"/>
      <c r="D466" s="139"/>
      <c r="M466" s="140"/>
    </row>
    <row r="467">
      <c r="C467" s="139"/>
      <c r="D467" s="139"/>
      <c r="M467" s="140"/>
    </row>
    <row r="468">
      <c r="C468" s="139"/>
      <c r="D468" s="139"/>
      <c r="M468" s="140"/>
    </row>
    <row r="469">
      <c r="C469" s="139"/>
      <c r="D469" s="139"/>
      <c r="M469" s="140"/>
    </row>
    <row r="470">
      <c r="C470" s="139"/>
      <c r="D470" s="139"/>
      <c r="M470" s="140"/>
    </row>
    <row r="471">
      <c r="C471" s="139"/>
      <c r="D471" s="139"/>
      <c r="M471" s="140"/>
    </row>
    <row r="472">
      <c r="C472" s="139"/>
      <c r="D472" s="139"/>
      <c r="M472" s="140"/>
    </row>
    <row r="473">
      <c r="C473" s="139"/>
      <c r="D473" s="139"/>
      <c r="M473" s="140"/>
    </row>
    <row r="474">
      <c r="C474" s="139"/>
      <c r="D474" s="139"/>
      <c r="M474" s="140"/>
    </row>
    <row r="475">
      <c r="C475" s="139"/>
      <c r="D475" s="139"/>
      <c r="M475" s="140"/>
    </row>
    <row r="476">
      <c r="C476" s="139"/>
      <c r="D476" s="139"/>
      <c r="M476" s="140"/>
    </row>
    <row r="477">
      <c r="C477" s="139"/>
      <c r="D477" s="139"/>
      <c r="M477" s="140"/>
    </row>
    <row r="478">
      <c r="C478" s="139"/>
      <c r="D478" s="139"/>
      <c r="M478" s="140"/>
    </row>
    <row r="479">
      <c r="C479" s="139"/>
      <c r="D479" s="139"/>
      <c r="M479" s="140"/>
    </row>
    <row r="480">
      <c r="C480" s="139"/>
      <c r="D480" s="139"/>
      <c r="M480" s="140"/>
    </row>
    <row r="481">
      <c r="C481" s="139"/>
      <c r="D481" s="139"/>
      <c r="M481" s="140"/>
    </row>
    <row r="482">
      <c r="C482" s="139"/>
      <c r="D482" s="139"/>
      <c r="M482" s="140"/>
    </row>
    <row r="483">
      <c r="C483" s="139"/>
      <c r="D483" s="139"/>
      <c r="M483" s="140"/>
    </row>
    <row r="484">
      <c r="C484" s="139"/>
      <c r="D484" s="139"/>
      <c r="M484" s="140"/>
    </row>
    <row r="485">
      <c r="C485" s="139"/>
      <c r="D485" s="139"/>
      <c r="M485" s="140"/>
    </row>
    <row r="486">
      <c r="C486" s="139"/>
      <c r="D486" s="139"/>
      <c r="M486" s="140"/>
    </row>
    <row r="487">
      <c r="C487" s="139"/>
      <c r="D487" s="139"/>
      <c r="M487" s="140"/>
    </row>
    <row r="488">
      <c r="C488" s="139"/>
      <c r="D488" s="139"/>
      <c r="M488" s="140"/>
    </row>
    <row r="489">
      <c r="C489" s="139"/>
      <c r="D489" s="139"/>
      <c r="M489" s="140"/>
    </row>
    <row r="490">
      <c r="C490" s="139"/>
      <c r="D490" s="139"/>
      <c r="M490" s="140"/>
    </row>
    <row r="491">
      <c r="C491" s="139"/>
      <c r="D491" s="139"/>
      <c r="M491" s="140"/>
    </row>
    <row r="492">
      <c r="C492" s="139"/>
      <c r="D492" s="139"/>
      <c r="M492" s="140"/>
    </row>
    <row r="493">
      <c r="C493" s="139"/>
      <c r="D493" s="139"/>
      <c r="M493" s="140"/>
    </row>
    <row r="494">
      <c r="C494" s="139"/>
      <c r="D494" s="139"/>
      <c r="M494" s="140"/>
    </row>
    <row r="495">
      <c r="C495" s="139"/>
      <c r="D495" s="139"/>
      <c r="M495" s="140"/>
    </row>
    <row r="496">
      <c r="C496" s="139"/>
      <c r="D496" s="139"/>
      <c r="M496" s="140"/>
    </row>
    <row r="497">
      <c r="C497" s="139"/>
      <c r="D497" s="139"/>
      <c r="M497" s="140"/>
    </row>
    <row r="498">
      <c r="C498" s="139"/>
      <c r="D498" s="139"/>
      <c r="M498" s="140"/>
    </row>
    <row r="499">
      <c r="C499" s="139"/>
      <c r="D499" s="139"/>
      <c r="M499" s="140"/>
    </row>
    <row r="500">
      <c r="C500" s="139"/>
      <c r="D500" s="139"/>
      <c r="M500" s="140"/>
    </row>
    <row r="501">
      <c r="C501" s="139"/>
      <c r="D501" s="139"/>
      <c r="M501" s="140"/>
    </row>
    <row r="502">
      <c r="C502" s="139"/>
      <c r="D502" s="139"/>
      <c r="M502" s="140"/>
    </row>
    <row r="503">
      <c r="C503" s="139"/>
      <c r="D503" s="139"/>
      <c r="M503" s="140"/>
    </row>
    <row r="504">
      <c r="C504" s="139"/>
      <c r="D504" s="139"/>
      <c r="M504" s="140"/>
    </row>
    <row r="505">
      <c r="C505" s="139"/>
      <c r="D505" s="139"/>
      <c r="M505" s="140"/>
    </row>
    <row r="506">
      <c r="C506" s="139"/>
      <c r="D506" s="139"/>
      <c r="M506" s="140"/>
    </row>
    <row r="507">
      <c r="C507" s="139"/>
      <c r="D507" s="139"/>
      <c r="M507" s="140"/>
    </row>
    <row r="508">
      <c r="C508" s="139"/>
      <c r="D508" s="139"/>
      <c r="M508" s="140"/>
    </row>
    <row r="509">
      <c r="C509" s="139"/>
      <c r="D509" s="139"/>
      <c r="M509" s="140"/>
    </row>
    <row r="510">
      <c r="C510" s="139"/>
      <c r="D510" s="139"/>
      <c r="M510" s="140"/>
    </row>
    <row r="511">
      <c r="C511" s="139"/>
      <c r="D511" s="139"/>
      <c r="M511" s="140"/>
    </row>
    <row r="512">
      <c r="C512" s="139"/>
      <c r="D512" s="139"/>
      <c r="M512" s="140"/>
    </row>
    <row r="513">
      <c r="C513" s="139"/>
      <c r="D513" s="139"/>
      <c r="M513" s="140"/>
    </row>
    <row r="514">
      <c r="C514" s="139"/>
      <c r="D514" s="139"/>
      <c r="M514" s="140"/>
    </row>
    <row r="515">
      <c r="C515" s="139"/>
      <c r="D515" s="139"/>
      <c r="M515" s="140"/>
    </row>
    <row r="516">
      <c r="C516" s="139"/>
      <c r="D516" s="139"/>
      <c r="M516" s="140"/>
    </row>
    <row r="517">
      <c r="C517" s="139"/>
      <c r="D517" s="139"/>
      <c r="M517" s="140"/>
    </row>
    <row r="518">
      <c r="C518" s="139"/>
      <c r="D518" s="139"/>
      <c r="M518" s="140"/>
    </row>
    <row r="519">
      <c r="C519" s="139"/>
      <c r="D519" s="139"/>
      <c r="M519" s="140"/>
    </row>
    <row r="520">
      <c r="C520" s="139"/>
      <c r="D520" s="139"/>
      <c r="M520" s="140"/>
    </row>
    <row r="521">
      <c r="C521" s="139"/>
      <c r="D521" s="139"/>
      <c r="M521" s="140"/>
    </row>
    <row r="522">
      <c r="C522" s="139"/>
      <c r="D522" s="139"/>
      <c r="M522" s="140"/>
    </row>
    <row r="523">
      <c r="C523" s="139"/>
      <c r="D523" s="139"/>
      <c r="M523" s="140"/>
    </row>
    <row r="524">
      <c r="C524" s="139"/>
      <c r="D524" s="139"/>
      <c r="M524" s="140"/>
    </row>
    <row r="525">
      <c r="C525" s="139"/>
      <c r="D525" s="139"/>
      <c r="M525" s="140"/>
    </row>
    <row r="526">
      <c r="C526" s="139"/>
      <c r="D526" s="139"/>
      <c r="M526" s="140"/>
    </row>
    <row r="527">
      <c r="C527" s="139"/>
      <c r="D527" s="139"/>
      <c r="M527" s="140"/>
    </row>
    <row r="528">
      <c r="C528" s="139"/>
      <c r="D528" s="139"/>
      <c r="M528" s="140"/>
    </row>
    <row r="529">
      <c r="C529" s="139"/>
      <c r="D529" s="139"/>
      <c r="M529" s="140"/>
    </row>
    <row r="530">
      <c r="C530" s="139"/>
      <c r="D530" s="139"/>
      <c r="M530" s="140"/>
    </row>
    <row r="531">
      <c r="C531" s="139"/>
      <c r="D531" s="139"/>
      <c r="M531" s="140"/>
    </row>
    <row r="532">
      <c r="C532" s="139"/>
      <c r="D532" s="139"/>
      <c r="M532" s="140"/>
    </row>
    <row r="533">
      <c r="C533" s="139"/>
      <c r="D533" s="139"/>
      <c r="M533" s="140"/>
    </row>
    <row r="534">
      <c r="C534" s="139"/>
      <c r="D534" s="139"/>
      <c r="M534" s="140"/>
    </row>
    <row r="535">
      <c r="C535" s="139"/>
      <c r="D535" s="139"/>
      <c r="M535" s="140"/>
    </row>
    <row r="536">
      <c r="C536" s="139"/>
      <c r="D536" s="139"/>
      <c r="M536" s="140"/>
    </row>
    <row r="537">
      <c r="C537" s="139"/>
      <c r="D537" s="139"/>
      <c r="M537" s="140"/>
    </row>
    <row r="538">
      <c r="C538" s="139"/>
      <c r="D538" s="139"/>
      <c r="M538" s="140"/>
    </row>
    <row r="539">
      <c r="C539" s="139"/>
      <c r="D539" s="139"/>
      <c r="M539" s="140"/>
    </row>
    <row r="540">
      <c r="C540" s="139"/>
      <c r="D540" s="139"/>
      <c r="M540" s="140"/>
    </row>
    <row r="541">
      <c r="C541" s="139"/>
      <c r="D541" s="139"/>
      <c r="M541" s="140"/>
    </row>
    <row r="542">
      <c r="C542" s="139"/>
      <c r="D542" s="139"/>
      <c r="M542" s="140"/>
    </row>
    <row r="543">
      <c r="C543" s="139"/>
      <c r="D543" s="139"/>
      <c r="M543" s="140"/>
    </row>
    <row r="544">
      <c r="C544" s="139"/>
      <c r="D544" s="139"/>
      <c r="M544" s="140"/>
    </row>
    <row r="545">
      <c r="C545" s="139"/>
      <c r="D545" s="139"/>
      <c r="M545" s="140"/>
    </row>
    <row r="546">
      <c r="C546" s="139"/>
      <c r="D546" s="139"/>
      <c r="M546" s="140"/>
    </row>
    <row r="547">
      <c r="C547" s="139"/>
      <c r="D547" s="139"/>
      <c r="M547" s="140"/>
    </row>
    <row r="548">
      <c r="C548" s="139"/>
      <c r="D548" s="139"/>
      <c r="M548" s="140"/>
    </row>
    <row r="549">
      <c r="C549" s="139"/>
      <c r="D549" s="139"/>
      <c r="M549" s="140"/>
    </row>
    <row r="550">
      <c r="C550" s="139"/>
      <c r="D550" s="139"/>
      <c r="M550" s="140"/>
    </row>
    <row r="551">
      <c r="C551" s="139"/>
      <c r="D551" s="139"/>
      <c r="M551" s="140"/>
    </row>
    <row r="552">
      <c r="C552" s="139"/>
      <c r="D552" s="139"/>
      <c r="M552" s="140"/>
    </row>
    <row r="553">
      <c r="C553" s="139"/>
      <c r="D553" s="139"/>
      <c r="M553" s="140"/>
    </row>
    <row r="554">
      <c r="C554" s="139"/>
      <c r="D554" s="139"/>
      <c r="M554" s="140"/>
    </row>
    <row r="555">
      <c r="C555" s="139"/>
      <c r="D555" s="139"/>
      <c r="M555" s="140"/>
    </row>
    <row r="556">
      <c r="C556" s="139"/>
      <c r="D556" s="139"/>
      <c r="M556" s="140"/>
    </row>
    <row r="557">
      <c r="C557" s="139"/>
      <c r="D557" s="139"/>
      <c r="M557" s="140"/>
    </row>
    <row r="558">
      <c r="C558" s="139"/>
      <c r="D558" s="139"/>
      <c r="M558" s="140"/>
    </row>
    <row r="559">
      <c r="C559" s="139"/>
      <c r="D559" s="139"/>
      <c r="M559" s="140"/>
    </row>
    <row r="560">
      <c r="C560" s="139"/>
      <c r="D560" s="139"/>
      <c r="M560" s="140"/>
    </row>
    <row r="561">
      <c r="C561" s="139"/>
      <c r="D561" s="139"/>
      <c r="M561" s="140"/>
    </row>
    <row r="562">
      <c r="C562" s="139"/>
      <c r="D562" s="139"/>
      <c r="M562" s="140"/>
    </row>
    <row r="563">
      <c r="C563" s="139"/>
      <c r="D563" s="139"/>
      <c r="M563" s="140"/>
    </row>
    <row r="564">
      <c r="C564" s="139"/>
      <c r="D564" s="139"/>
      <c r="M564" s="140"/>
    </row>
    <row r="565">
      <c r="C565" s="139"/>
      <c r="D565" s="139"/>
      <c r="M565" s="140"/>
    </row>
    <row r="566">
      <c r="C566" s="139"/>
      <c r="D566" s="139"/>
      <c r="M566" s="140"/>
    </row>
    <row r="567">
      <c r="C567" s="139"/>
      <c r="D567" s="139"/>
      <c r="M567" s="140"/>
    </row>
    <row r="568">
      <c r="C568" s="139"/>
      <c r="D568" s="139"/>
      <c r="M568" s="140"/>
    </row>
    <row r="569">
      <c r="C569" s="139"/>
      <c r="D569" s="139"/>
      <c r="M569" s="140"/>
    </row>
    <row r="570">
      <c r="C570" s="139"/>
      <c r="D570" s="139"/>
      <c r="M570" s="140"/>
    </row>
    <row r="571">
      <c r="C571" s="139"/>
      <c r="D571" s="139"/>
      <c r="M571" s="140"/>
    </row>
    <row r="572">
      <c r="C572" s="139"/>
      <c r="D572" s="139"/>
      <c r="M572" s="140"/>
    </row>
    <row r="573">
      <c r="C573" s="139"/>
      <c r="D573" s="139"/>
      <c r="M573" s="140"/>
    </row>
    <row r="574">
      <c r="C574" s="139"/>
      <c r="D574" s="139"/>
      <c r="M574" s="140"/>
    </row>
    <row r="575">
      <c r="C575" s="139"/>
      <c r="D575" s="139"/>
      <c r="M575" s="140"/>
    </row>
    <row r="576">
      <c r="C576" s="139"/>
      <c r="D576" s="139"/>
      <c r="M576" s="140"/>
    </row>
    <row r="577">
      <c r="C577" s="139"/>
      <c r="D577" s="139"/>
      <c r="M577" s="140"/>
    </row>
    <row r="578">
      <c r="C578" s="139"/>
      <c r="D578" s="139"/>
      <c r="M578" s="140"/>
    </row>
    <row r="579">
      <c r="C579" s="139"/>
      <c r="D579" s="139"/>
      <c r="M579" s="140"/>
    </row>
    <row r="580">
      <c r="C580" s="139"/>
      <c r="D580" s="139"/>
      <c r="M580" s="140"/>
    </row>
    <row r="581">
      <c r="C581" s="139"/>
      <c r="D581" s="139"/>
      <c r="M581" s="140"/>
    </row>
    <row r="582">
      <c r="C582" s="139"/>
      <c r="D582" s="139"/>
      <c r="M582" s="140"/>
    </row>
    <row r="583">
      <c r="C583" s="139"/>
      <c r="D583" s="139"/>
      <c r="M583" s="140"/>
    </row>
    <row r="584">
      <c r="C584" s="139"/>
      <c r="D584" s="139"/>
      <c r="M584" s="140"/>
    </row>
    <row r="585">
      <c r="C585" s="139"/>
      <c r="D585" s="139"/>
      <c r="M585" s="140"/>
    </row>
    <row r="586">
      <c r="C586" s="139"/>
      <c r="D586" s="139"/>
      <c r="M586" s="140"/>
    </row>
    <row r="587">
      <c r="C587" s="139"/>
      <c r="D587" s="139"/>
      <c r="M587" s="140"/>
    </row>
    <row r="588">
      <c r="C588" s="139"/>
      <c r="D588" s="139"/>
      <c r="M588" s="140"/>
    </row>
    <row r="589">
      <c r="C589" s="139"/>
      <c r="D589" s="139"/>
      <c r="M589" s="140"/>
    </row>
    <row r="590">
      <c r="C590" s="139"/>
      <c r="D590" s="139"/>
      <c r="M590" s="140"/>
    </row>
    <row r="591">
      <c r="C591" s="139"/>
      <c r="D591" s="139"/>
      <c r="M591" s="140"/>
    </row>
    <row r="592">
      <c r="C592" s="139"/>
      <c r="D592" s="139"/>
      <c r="M592" s="140"/>
    </row>
    <row r="593">
      <c r="C593" s="139"/>
      <c r="D593" s="139"/>
      <c r="M593" s="140"/>
    </row>
    <row r="594">
      <c r="C594" s="139"/>
      <c r="D594" s="139"/>
      <c r="M594" s="140"/>
    </row>
    <row r="595">
      <c r="C595" s="139"/>
      <c r="D595" s="139"/>
      <c r="M595" s="140"/>
    </row>
    <row r="596">
      <c r="C596" s="139"/>
      <c r="D596" s="139"/>
      <c r="M596" s="140"/>
    </row>
    <row r="597">
      <c r="C597" s="139"/>
      <c r="D597" s="139"/>
      <c r="M597" s="140"/>
    </row>
    <row r="598">
      <c r="C598" s="139"/>
      <c r="D598" s="139"/>
      <c r="M598" s="140"/>
    </row>
    <row r="599">
      <c r="C599" s="139"/>
      <c r="D599" s="139"/>
      <c r="M599" s="140"/>
    </row>
    <row r="600">
      <c r="C600" s="139"/>
      <c r="D600" s="139"/>
      <c r="M600" s="140"/>
    </row>
    <row r="601">
      <c r="C601" s="139"/>
      <c r="D601" s="139"/>
      <c r="M601" s="140"/>
    </row>
    <row r="602">
      <c r="C602" s="139"/>
      <c r="D602" s="139"/>
      <c r="M602" s="140"/>
    </row>
    <row r="603">
      <c r="C603" s="139"/>
      <c r="D603" s="139"/>
      <c r="M603" s="140"/>
    </row>
    <row r="604">
      <c r="C604" s="139"/>
      <c r="D604" s="139"/>
      <c r="M604" s="140"/>
    </row>
    <row r="605">
      <c r="C605" s="139"/>
      <c r="D605" s="139"/>
      <c r="M605" s="140"/>
    </row>
    <row r="606">
      <c r="C606" s="139"/>
      <c r="D606" s="139"/>
      <c r="M606" s="140"/>
    </row>
    <row r="607">
      <c r="C607" s="139"/>
      <c r="D607" s="139"/>
      <c r="M607" s="140"/>
    </row>
    <row r="608">
      <c r="C608" s="139"/>
      <c r="D608" s="139"/>
      <c r="M608" s="140"/>
    </row>
    <row r="609">
      <c r="C609" s="139"/>
      <c r="D609" s="139"/>
      <c r="M609" s="140"/>
    </row>
    <row r="610">
      <c r="C610" s="139"/>
      <c r="D610" s="139"/>
      <c r="M610" s="140"/>
    </row>
    <row r="611">
      <c r="C611" s="139"/>
      <c r="D611" s="139"/>
      <c r="M611" s="140"/>
    </row>
    <row r="612">
      <c r="C612" s="139"/>
      <c r="D612" s="139"/>
      <c r="M612" s="140"/>
    </row>
    <row r="613">
      <c r="C613" s="139"/>
      <c r="D613" s="139"/>
      <c r="M613" s="140"/>
    </row>
    <row r="614">
      <c r="C614" s="139"/>
      <c r="D614" s="139"/>
      <c r="M614" s="140"/>
    </row>
    <row r="615">
      <c r="C615" s="139"/>
      <c r="D615" s="139"/>
      <c r="M615" s="140"/>
    </row>
    <row r="616">
      <c r="C616" s="139"/>
      <c r="D616" s="139"/>
      <c r="M616" s="140"/>
    </row>
    <row r="617">
      <c r="C617" s="139"/>
      <c r="D617" s="139"/>
      <c r="M617" s="140"/>
    </row>
    <row r="618">
      <c r="C618" s="139"/>
      <c r="D618" s="139"/>
      <c r="M618" s="140"/>
    </row>
    <row r="619">
      <c r="C619" s="139"/>
      <c r="D619" s="139"/>
      <c r="M619" s="140"/>
    </row>
    <row r="620">
      <c r="C620" s="139"/>
      <c r="D620" s="139"/>
      <c r="M620" s="140"/>
    </row>
    <row r="621">
      <c r="C621" s="139"/>
      <c r="D621" s="139"/>
      <c r="M621" s="140"/>
    </row>
    <row r="622">
      <c r="C622" s="139"/>
      <c r="D622" s="139"/>
      <c r="M622" s="140"/>
    </row>
    <row r="623">
      <c r="C623" s="139"/>
      <c r="D623" s="139"/>
      <c r="M623" s="140"/>
    </row>
    <row r="624">
      <c r="C624" s="139"/>
      <c r="D624" s="139"/>
      <c r="M624" s="140"/>
    </row>
    <row r="625">
      <c r="C625" s="139"/>
      <c r="D625" s="139"/>
      <c r="M625" s="140"/>
    </row>
    <row r="626">
      <c r="C626" s="139"/>
      <c r="D626" s="139"/>
      <c r="M626" s="140"/>
    </row>
    <row r="627">
      <c r="C627" s="139"/>
      <c r="D627" s="139"/>
      <c r="M627" s="140"/>
    </row>
    <row r="628">
      <c r="C628" s="139"/>
      <c r="D628" s="139"/>
      <c r="M628" s="140"/>
    </row>
    <row r="629">
      <c r="C629" s="139"/>
      <c r="D629" s="139"/>
      <c r="M629" s="140"/>
    </row>
    <row r="630">
      <c r="C630" s="139"/>
      <c r="D630" s="139"/>
      <c r="M630" s="140"/>
    </row>
    <row r="631">
      <c r="C631" s="139"/>
      <c r="D631" s="139"/>
      <c r="M631" s="140"/>
    </row>
    <row r="632">
      <c r="C632" s="139"/>
      <c r="D632" s="139"/>
      <c r="M632" s="140"/>
    </row>
    <row r="633">
      <c r="C633" s="139"/>
      <c r="D633" s="139"/>
      <c r="M633" s="140"/>
    </row>
    <row r="634">
      <c r="C634" s="139"/>
      <c r="D634" s="139"/>
      <c r="M634" s="140"/>
    </row>
    <row r="635">
      <c r="C635" s="139"/>
      <c r="D635" s="139"/>
      <c r="M635" s="140"/>
    </row>
    <row r="636">
      <c r="C636" s="139"/>
      <c r="D636" s="139"/>
      <c r="M636" s="140"/>
    </row>
    <row r="637">
      <c r="C637" s="139"/>
      <c r="D637" s="139"/>
      <c r="M637" s="140"/>
    </row>
    <row r="638">
      <c r="C638" s="139"/>
      <c r="D638" s="139"/>
      <c r="M638" s="140"/>
    </row>
    <row r="639">
      <c r="C639" s="139"/>
      <c r="D639" s="139"/>
      <c r="M639" s="140"/>
    </row>
    <row r="640">
      <c r="C640" s="139"/>
      <c r="D640" s="139"/>
      <c r="M640" s="140"/>
    </row>
    <row r="641">
      <c r="C641" s="139"/>
      <c r="D641" s="139"/>
      <c r="M641" s="140"/>
    </row>
    <row r="642">
      <c r="C642" s="139"/>
      <c r="D642" s="139"/>
      <c r="M642" s="140"/>
    </row>
    <row r="643">
      <c r="C643" s="139"/>
      <c r="D643" s="139"/>
      <c r="M643" s="140"/>
    </row>
    <row r="644">
      <c r="C644" s="139"/>
      <c r="D644" s="139"/>
      <c r="M644" s="140"/>
    </row>
    <row r="645">
      <c r="C645" s="139"/>
      <c r="D645" s="139"/>
      <c r="M645" s="140"/>
    </row>
    <row r="646">
      <c r="C646" s="139"/>
      <c r="D646" s="139"/>
      <c r="M646" s="140"/>
    </row>
    <row r="647">
      <c r="C647" s="139"/>
      <c r="D647" s="139"/>
      <c r="M647" s="140"/>
    </row>
    <row r="648">
      <c r="C648" s="139"/>
      <c r="D648" s="139"/>
      <c r="M648" s="140"/>
    </row>
    <row r="649">
      <c r="C649" s="139"/>
      <c r="D649" s="139"/>
      <c r="M649" s="140"/>
    </row>
    <row r="650">
      <c r="C650" s="139"/>
      <c r="D650" s="139"/>
      <c r="M650" s="140"/>
    </row>
    <row r="651">
      <c r="C651" s="139"/>
      <c r="D651" s="139"/>
      <c r="M651" s="140"/>
    </row>
    <row r="652">
      <c r="C652" s="139"/>
      <c r="D652" s="139"/>
      <c r="M652" s="140"/>
    </row>
    <row r="653">
      <c r="C653" s="139"/>
      <c r="D653" s="139"/>
      <c r="M653" s="140"/>
    </row>
    <row r="654">
      <c r="C654" s="139"/>
      <c r="D654" s="139"/>
      <c r="M654" s="140"/>
    </row>
    <row r="655">
      <c r="C655" s="139"/>
      <c r="D655" s="139"/>
      <c r="M655" s="140"/>
    </row>
    <row r="656">
      <c r="C656" s="139"/>
      <c r="D656" s="139"/>
      <c r="M656" s="140"/>
    </row>
    <row r="657">
      <c r="C657" s="139"/>
      <c r="D657" s="139"/>
      <c r="M657" s="140"/>
    </row>
    <row r="658">
      <c r="C658" s="139"/>
      <c r="D658" s="139"/>
      <c r="M658" s="140"/>
    </row>
    <row r="659">
      <c r="C659" s="139"/>
      <c r="D659" s="139"/>
      <c r="M659" s="140"/>
    </row>
    <row r="660">
      <c r="C660" s="139"/>
      <c r="D660" s="139"/>
      <c r="M660" s="140"/>
    </row>
    <row r="661">
      <c r="C661" s="139"/>
      <c r="D661" s="139"/>
      <c r="M661" s="140"/>
    </row>
    <row r="662">
      <c r="C662" s="139"/>
      <c r="D662" s="139"/>
      <c r="M662" s="140"/>
    </row>
    <row r="663">
      <c r="C663" s="139"/>
      <c r="D663" s="139"/>
      <c r="M663" s="140"/>
    </row>
    <row r="664">
      <c r="C664" s="139"/>
      <c r="D664" s="139"/>
      <c r="M664" s="140"/>
    </row>
    <row r="665">
      <c r="C665" s="139"/>
      <c r="D665" s="139"/>
      <c r="M665" s="140"/>
    </row>
    <row r="666">
      <c r="C666" s="139"/>
      <c r="D666" s="139"/>
      <c r="M666" s="140"/>
    </row>
    <row r="667">
      <c r="C667" s="139"/>
      <c r="D667" s="139"/>
      <c r="M667" s="140"/>
    </row>
    <row r="668">
      <c r="C668" s="139"/>
      <c r="D668" s="139"/>
      <c r="M668" s="140"/>
    </row>
    <row r="669">
      <c r="C669" s="139"/>
      <c r="D669" s="139"/>
      <c r="M669" s="140"/>
    </row>
    <row r="670">
      <c r="C670" s="139"/>
      <c r="D670" s="139"/>
      <c r="M670" s="140"/>
    </row>
    <row r="671">
      <c r="C671" s="139"/>
      <c r="D671" s="139"/>
      <c r="M671" s="140"/>
    </row>
    <row r="672">
      <c r="C672" s="139"/>
      <c r="D672" s="139"/>
      <c r="M672" s="140"/>
    </row>
    <row r="673">
      <c r="C673" s="139"/>
      <c r="D673" s="139"/>
      <c r="M673" s="140"/>
    </row>
    <row r="674">
      <c r="C674" s="139"/>
      <c r="D674" s="139"/>
      <c r="M674" s="140"/>
    </row>
    <row r="675">
      <c r="C675" s="139"/>
      <c r="D675" s="139"/>
      <c r="M675" s="140"/>
    </row>
    <row r="676">
      <c r="C676" s="139"/>
      <c r="D676" s="139"/>
      <c r="M676" s="140"/>
    </row>
    <row r="677">
      <c r="C677" s="139"/>
      <c r="D677" s="139"/>
      <c r="M677" s="140"/>
    </row>
    <row r="678">
      <c r="C678" s="139"/>
      <c r="D678" s="139"/>
      <c r="M678" s="140"/>
    </row>
    <row r="679">
      <c r="C679" s="139"/>
      <c r="D679" s="139"/>
      <c r="M679" s="140"/>
    </row>
    <row r="680">
      <c r="C680" s="139"/>
      <c r="D680" s="139"/>
      <c r="M680" s="140"/>
    </row>
    <row r="681">
      <c r="C681" s="139"/>
      <c r="D681" s="139"/>
      <c r="M681" s="140"/>
    </row>
    <row r="682">
      <c r="C682" s="139"/>
      <c r="D682" s="139"/>
      <c r="M682" s="140"/>
    </row>
    <row r="683">
      <c r="C683" s="139"/>
      <c r="D683" s="139"/>
      <c r="M683" s="140"/>
    </row>
    <row r="684">
      <c r="C684" s="139"/>
      <c r="D684" s="139"/>
      <c r="M684" s="140"/>
    </row>
    <row r="685">
      <c r="C685" s="139"/>
      <c r="D685" s="139"/>
      <c r="M685" s="140"/>
    </row>
    <row r="686">
      <c r="C686" s="139"/>
      <c r="D686" s="139"/>
      <c r="M686" s="140"/>
    </row>
    <row r="687">
      <c r="C687" s="139"/>
      <c r="D687" s="139"/>
      <c r="M687" s="140"/>
    </row>
    <row r="688">
      <c r="C688" s="139"/>
      <c r="D688" s="139"/>
      <c r="M688" s="140"/>
    </row>
    <row r="689">
      <c r="C689" s="139"/>
      <c r="D689" s="139"/>
      <c r="M689" s="140"/>
    </row>
    <row r="690">
      <c r="C690" s="139"/>
      <c r="D690" s="139"/>
      <c r="M690" s="140"/>
    </row>
    <row r="691">
      <c r="C691" s="139"/>
      <c r="D691" s="139"/>
      <c r="M691" s="140"/>
    </row>
    <row r="692">
      <c r="C692" s="139"/>
      <c r="D692" s="139"/>
      <c r="M692" s="140"/>
    </row>
    <row r="693">
      <c r="C693" s="139"/>
      <c r="D693" s="139"/>
      <c r="M693" s="140"/>
    </row>
    <row r="694">
      <c r="C694" s="139"/>
      <c r="D694" s="139"/>
      <c r="M694" s="140"/>
    </row>
    <row r="695">
      <c r="C695" s="139"/>
      <c r="D695" s="139"/>
      <c r="M695" s="140"/>
    </row>
    <row r="696">
      <c r="C696" s="139"/>
      <c r="D696" s="139"/>
      <c r="M696" s="140"/>
    </row>
    <row r="697">
      <c r="C697" s="139"/>
      <c r="D697" s="139"/>
      <c r="M697" s="140"/>
    </row>
    <row r="698">
      <c r="C698" s="139"/>
      <c r="D698" s="139"/>
      <c r="M698" s="140"/>
    </row>
    <row r="699">
      <c r="C699" s="139"/>
      <c r="D699" s="139"/>
      <c r="M699" s="140"/>
    </row>
    <row r="700">
      <c r="C700" s="139"/>
      <c r="D700" s="139"/>
      <c r="M700" s="140"/>
    </row>
    <row r="701">
      <c r="C701" s="139"/>
      <c r="D701" s="139"/>
      <c r="M701" s="140"/>
    </row>
    <row r="702">
      <c r="C702" s="139"/>
      <c r="D702" s="139"/>
      <c r="M702" s="140"/>
    </row>
    <row r="703">
      <c r="C703" s="139"/>
      <c r="D703" s="139"/>
      <c r="M703" s="140"/>
    </row>
    <row r="704">
      <c r="C704" s="139"/>
      <c r="D704" s="139"/>
      <c r="M704" s="140"/>
    </row>
    <row r="705">
      <c r="C705" s="139"/>
      <c r="D705" s="139"/>
      <c r="M705" s="140"/>
    </row>
    <row r="706">
      <c r="C706" s="139"/>
      <c r="D706" s="139"/>
      <c r="M706" s="140"/>
    </row>
    <row r="707">
      <c r="C707" s="139"/>
      <c r="D707" s="139"/>
      <c r="M707" s="140"/>
    </row>
    <row r="708">
      <c r="C708" s="139"/>
      <c r="D708" s="139"/>
      <c r="M708" s="140"/>
    </row>
    <row r="709">
      <c r="C709" s="139"/>
      <c r="D709" s="139"/>
      <c r="M709" s="140"/>
    </row>
    <row r="710">
      <c r="C710" s="139"/>
      <c r="D710" s="139"/>
      <c r="M710" s="140"/>
    </row>
    <row r="711">
      <c r="C711" s="139"/>
      <c r="D711" s="139"/>
      <c r="M711" s="140"/>
    </row>
    <row r="712">
      <c r="C712" s="139"/>
      <c r="D712" s="139"/>
      <c r="M712" s="140"/>
    </row>
    <row r="713">
      <c r="C713" s="139"/>
      <c r="D713" s="139"/>
      <c r="M713" s="140"/>
    </row>
    <row r="714">
      <c r="C714" s="139"/>
      <c r="D714" s="139"/>
      <c r="M714" s="140"/>
    </row>
    <row r="715">
      <c r="C715" s="139"/>
      <c r="D715" s="139"/>
      <c r="M715" s="140"/>
    </row>
    <row r="716">
      <c r="C716" s="139"/>
      <c r="D716" s="139"/>
      <c r="M716" s="140"/>
    </row>
    <row r="717">
      <c r="C717" s="139"/>
      <c r="D717" s="139"/>
      <c r="M717" s="140"/>
    </row>
    <row r="718">
      <c r="C718" s="139"/>
      <c r="D718" s="139"/>
      <c r="M718" s="140"/>
    </row>
    <row r="719">
      <c r="C719" s="139"/>
      <c r="D719" s="139"/>
      <c r="M719" s="140"/>
    </row>
    <row r="720">
      <c r="C720" s="139"/>
      <c r="D720" s="139"/>
      <c r="M720" s="140"/>
    </row>
    <row r="721">
      <c r="C721" s="139"/>
      <c r="D721" s="139"/>
      <c r="M721" s="140"/>
    </row>
    <row r="722">
      <c r="C722" s="139"/>
      <c r="D722" s="139"/>
      <c r="M722" s="140"/>
    </row>
    <row r="723">
      <c r="C723" s="139"/>
      <c r="D723" s="139"/>
      <c r="M723" s="140"/>
    </row>
    <row r="724">
      <c r="C724" s="139"/>
      <c r="D724" s="139"/>
      <c r="M724" s="140"/>
    </row>
    <row r="725">
      <c r="C725" s="139"/>
      <c r="D725" s="139"/>
      <c r="M725" s="140"/>
    </row>
    <row r="726">
      <c r="C726" s="139"/>
      <c r="D726" s="139"/>
      <c r="M726" s="140"/>
    </row>
    <row r="727">
      <c r="C727" s="139"/>
      <c r="D727" s="139"/>
      <c r="M727" s="140"/>
    </row>
    <row r="728">
      <c r="C728" s="139"/>
      <c r="D728" s="139"/>
      <c r="M728" s="140"/>
    </row>
    <row r="729">
      <c r="C729" s="139"/>
      <c r="D729" s="139"/>
      <c r="M729" s="140"/>
    </row>
    <row r="730">
      <c r="C730" s="139"/>
      <c r="D730" s="139"/>
      <c r="M730" s="140"/>
    </row>
    <row r="731">
      <c r="C731" s="139"/>
      <c r="D731" s="139"/>
      <c r="M731" s="140"/>
    </row>
    <row r="732">
      <c r="C732" s="139"/>
      <c r="D732" s="139"/>
      <c r="M732" s="140"/>
    </row>
    <row r="733">
      <c r="C733" s="139"/>
      <c r="D733" s="139"/>
      <c r="M733" s="140"/>
    </row>
    <row r="734">
      <c r="C734" s="139"/>
      <c r="D734" s="139"/>
      <c r="M734" s="140"/>
    </row>
    <row r="735">
      <c r="C735" s="139"/>
      <c r="D735" s="139"/>
      <c r="M735" s="140"/>
    </row>
    <row r="736">
      <c r="C736" s="139"/>
      <c r="D736" s="139"/>
      <c r="M736" s="140"/>
    </row>
    <row r="737">
      <c r="C737" s="139"/>
      <c r="D737" s="139"/>
      <c r="M737" s="140"/>
    </row>
    <row r="738">
      <c r="C738" s="139"/>
      <c r="D738" s="139"/>
      <c r="M738" s="140"/>
    </row>
    <row r="739">
      <c r="C739" s="139"/>
      <c r="D739" s="139"/>
      <c r="M739" s="140"/>
    </row>
    <row r="740">
      <c r="C740" s="139"/>
      <c r="D740" s="139"/>
      <c r="M740" s="140"/>
    </row>
    <row r="741">
      <c r="C741" s="139"/>
      <c r="D741" s="139"/>
      <c r="M741" s="140"/>
    </row>
    <row r="742">
      <c r="C742" s="139"/>
      <c r="D742" s="139"/>
      <c r="M742" s="140"/>
    </row>
    <row r="743">
      <c r="C743" s="139"/>
      <c r="D743" s="139"/>
      <c r="M743" s="140"/>
    </row>
    <row r="744">
      <c r="C744" s="139"/>
      <c r="D744" s="139"/>
      <c r="M744" s="140"/>
    </row>
    <row r="745">
      <c r="C745" s="139"/>
      <c r="D745" s="139"/>
      <c r="M745" s="140"/>
    </row>
    <row r="746">
      <c r="C746" s="139"/>
      <c r="D746" s="139"/>
      <c r="M746" s="140"/>
    </row>
    <row r="747">
      <c r="C747" s="139"/>
      <c r="D747" s="139"/>
      <c r="M747" s="140"/>
    </row>
    <row r="748">
      <c r="C748" s="139"/>
      <c r="D748" s="139"/>
      <c r="M748" s="140"/>
    </row>
    <row r="749">
      <c r="C749" s="139"/>
      <c r="D749" s="139"/>
      <c r="M749" s="140"/>
    </row>
    <row r="750">
      <c r="C750" s="139"/>
      <c r="D750" s="139"/>
      <c r="M750" s="140"/>
    </row>
    <row r="751">
      <c r="C751" s="139"/>
      <c r="D751" s="139"/>
      <c r="M751" s="140"/>
    </row>
    <row r="752">
      <c r="C752" s="139"/>
      <c r="D752" s="139"/>
      <c r="M752" s="140"/>
    </row>
    <row r="753">
      <c r="C753" s="139"/>
      <c r="D753" s="139"/>
      <c r="M753" s="140"/>
    </row>
    <row r="754">
      <c r="C754" s="139"/>
      <c r="D754" s="139"/>
      <c r="M754" s="140"/>
    </row>
    <row r="755">
      <c r="C755" s="139"/>
      <c r="D755" s="139"/>
      <c r="M755" s="140"/>
    </row>
    <row r="756">
      <c r="C756" s="139"/>
      <c r="D756" s="139"/>
      <c r="M756" s="140"/>
    </row>
    <row r="757">
      <c r="C757" s="139"/>
      <c r="D757" s="139"/>
      <c r="M757" s="140"/>
    </row>
    <row r="758">
      <c r="C758" s="139"/>
      <c r="D758" s="139"/>
      <c r="M758" s="140"/>
    </row>
    <row r="759">
      <c r="C759" s="139"/>
      <c r="D759" s="139"/>
      <c r="M759" s="140"/>
    </row>
    <row r="760">
      <c r="C760" s="139"/>
      <c r="D760" s="139"/>
      <c r="M760" s="140"/>
    </row>
    <row r="761">
      <c r="C761" s="139"/>
      <c r="D761" s="139"/>
      <c r="M761" s="140"/>
    </row>
    <row r="762">
      <c r="C762" s="139"/>
      <c r="D762" s="139"/>
      <c r="M762" s="140"/>
    </row>
    <row r="763">
      <c r="C763" s="139"/>
      <c r="D763" s="139"/>
      <c r="M763" s="140"/>
    </row>
    <row r="764">
      <c r="C764" s="139"/>
      <c r="D764" s="139"/>
      <c r="M764" s="140"/>
    </row>
    <row r="765">
      <c r="C765" s="139"/>
      <c r="D765" s="139"/>
      <c r="M765" s="140"/>
    </row>
    <row r="766">
      <c r="C766" s="139"/>
      <c r="D766" s="139"/>
      <c r="M766" s="140"/>
    </row>
    <row r="767">
      <c r="C767" s="139"/>
      <c r="D767" s="139"/>
      <c r="M767" s="140"/>
    </row>
    <row r="768">
      <c r="C768" s="139"/>
      <c r="D768" s="139"/>
      <c r="M768" s="140"/>
    </row>
    <row r="769">
      <c r="C769" s="139"/>
      <c r="D769" s="139"/>
      <c r="M769" s="140"/>
    </row>
    <row r="770">
      <c r="C770" s="139"/>
      <c r="D770" s="139"/>
      <c r="M770" s="140"/>
    </row>
    <row r="771">
      <c r="C771" s="139"/>
      <c r="D771" s="139"/>
      <c r="M771" s="140"/>
    </row>
    <row r="772">
      <c r="C772" s="139"/>
      <c r="D772" s="139"/>
      <c r="M772" s="140"/>
    </row>
    <row r="773">
      <c r="C773" s="139"/>
      <c r="D773" s="139"/>
      <c r="M773" s="140"/>
    </row>
    <row r="774">
      <c r="C774" s="139"/>
      <c r="D774" s="139"/>
      <c r="M774" s="140"/>
    </row>
    <row r="775">
      <c r="C775" s="139"/>
      <c r="D775" s="139"/>
      <c r="M775" s="140"/>
    </row>
    <row r="776">
      <c r="C776" s="139"/>
      <c r="D776" s="139"/>
      <c r="M776" s="140"/>
    </row>
    <row r="777">
      <c r="C777" s="139"/>
      <c r="D777" s="139"/>
      <c r="M777" s="140"/>
    </row>
    <row r="778">
      <c r="C778" s="139"/>
      <c r="D778" s="139"/>
      <c r="M778" s="140"/>
    </row>
    <row r="779">
      <c r="C779" s="139"/>
      <c r="D779" s="139"/>
      <c r="M779" s="140"/>
    </row>
    <row r="780">
      <c r="C780" s="139"/>
      <c r="D780" s="139"/>
      <c r="M780" s="140"/>
    </row>
    <row r="781">
      <c r="C781" s="139"/>
      <c r="D781" s="139"/>
      <c r="M781" s="140"/>
    </row>
    <row r="782">
      <c r="C782" s="139"/>
      <c r="D782" s="139"/>
      <c r="M782" s="140"/>
    </row>
    <row r="783">
      <c r="C783" s="139"/>
      <c r="D783" s="139"/>
      <c r="M783" s="140"/>
    </row>
    <row r="784">
      <c r="C784" s="139"/>
      <c r="D784" s="139"/>
      <c r="M784" s="140"/>
    </row>
    <row r="785">
      <c r="C785" s="139"/>
      <c r="D785" s="139"/>
      <c r="M785" s="140"/>
    </row>
    <row r="786">
      <c r="C786" s="139"/>
      <c r="D786" s="139"/>
      <c r="M786" s="140"/>
    </row>
    <row r="787">
      <c r="C787" s="139"/>
      <c r="D787" s="139"/>
      <c r="M787" s="140"/>
    </row>
    <row r="788">
      <c r="C788" s="139"/>
      <c r="D788" s="139"/>
      <c r="M788" s="140"/>
    </row>
    <row r="789">
      <c r="C789" s="139"/>
      <c r="D789" s="139"/>
      <c r="M789" s="140"/>
    </row>
    <row r="790">
      <c r="C790" s="139"/>
      <c r="D790" s="139"/>
      <c r="M790" s="140"/>
    </row>
    <row r="791">
      <c r="C791" s="139"/>
      <c r="D791" s="139"/>
      <c r="M791" s="140"/>
    </row>
    <row r="792">
      <c r="C792" s="139"/>
      <c r="D792" s="139"/>
      <c r="M792" s="140"/>
    </row>
    <row r="793">
      <c r="C793" s="139"/>
      <c r="D793" s="139"/>
      <c r="M793" s="140"/>
    </row>
    <row r="794">
      <c r="C794" s="139"/>
      <c r="D794" s="139"/>
      <c r="M794" s="140"/>
    </row>
    <row r="795">
      <c r="C795" s="139"/>
      <c r="D795" s="139"/>
      <c r="M795" s="140"/>
    </row>
    <row r="796">
      <c r="C796" s="139"/>
      <c r="D796" s="139"/>
      <c r="M796" s="140"/>
    </row>
    <row r="797">
      <c r="C797" s="139"/>
      <c r="D797" s="139"/>
      <c r="M797" s="140"/>
    </row>
    <row r="798">
      <c r="C798" s="139"/>
      <c r="D798" s="139"/>
      <c r="M798" s="140"/>
    </row>
    <row r="799">
      <c r="C799" s="139"/>
      <c r="D799" s="139"/>
      <c r="M799" s="140"/>
    </row>
    <row r="800">
      <c r="C800" s="139"/>
      <c r="D800" s="139"/>
      <c r="M800" s="140"/>
    </row>
    <row r="801">
      <c r="C801" s="139"/>
      <c r="D801" s="139"/>
      <c r="M801" s="140"/>
    </row>
    <row r="802">
      <c r="C802" s="139"/>
      <c r="D802" s="139"/>
      <c r="M802" s="140"/>
    </row>
    <row r="803">
      <c r="C803" s="139"/>
      <c r="D803" s="139"/>
      <c r="M803" s="140"/>
    </row>
    <row r="804">
      <c r="C804" s="139"/>
      <c r="D804" s="139"/>
      <c r="M804" s="140"/>
    </row>
    <row r="805">
      <c r="C805" s="139"/>
      <c r="D805" s="139"/>
      <c r="M805" s="140"/>
    </row>
    <row r="806">
      <c r="C806" s="139"/>
      <c r="D806" s="139"/>
      <c r="M806" s="140"/>
    </row>
    <row r="807">
      <c r="C807" s="139"/>
      <c r="D807" s="139"/>
      <c r="M807" s="140"/>
    </row>
    <row r="808">
      <c r="C808" s="139"/>
      <c r="D808" s="139"/>
      <c r="M808" s="140"/>
    </row>
    <row r="809">
      <c r="C809" s="139"/>
      <c r="D809" s="139"/>
      <c r="M809" s="140"/>
    </row>
    <row r="810">
      <c r="C810" s="139"/>
      <c r="D810" s="139"/>
      <c r="M810" s="140"/>
    </row>
    <row r="811">
      <c r="C811" s="139"/>
      <c r="D811" s="139"/>
      <c r="M811" s="140"/>
    </row>
    <row r="812">
      <c r="C812" s="139"/>
      <c r="D812" s="139"/>
      <c r="M812" s="140"/>
    </row>
    <row r="813">
      <c r="C813" s="139"/>
      <c r="D813" s="139"/>
      <c r="M813" s="140"/>
    </row>
    <row r="814">
      <c r="C814" s="139"/>
      <c r="D814" s="139"/>
      <c r="M814" s="140"/>
    </row>
    <row r="815">
      <c r="C815" s="139"/>
      <c r="D815" s="139"/>
      <c r="M815" s="140"/>
    </row>
    <row r="816">
      <c r="C816" s="139"/>
      <c r="D816" s="139"/>
      <c r="M816" s="140"/>
    </row>
    <row r="817">
      <c r="C817" s="139"/>
      <c r="D817" s="139"/>
      <c r="M817" s="140"/>
    </row>
    <row r="818">
      <c r="C818" s="139"/>
      <c r="D818" s="139"/>
      <c r="M818" s="140"/>
    </row>
    <row r="819">
      <c r="C819" s="139"/>
      <c r="D819" s="139"/>
      <c r="M819" s="140"/>
    </row>
    <row r="820">
      <c r="C820" s="139"/>
      <c r="D820" s="139"/>
      <c r="M820" s="140"/>
    </row>
    <row r="821">
      <c r="C821" s="139"/>
      <c r="D821" s="139"/>
      <c r="M821" s="140"/>
    </row>
    <row r="822">
      <c r="C822" s="139"/>
      <c r="D822" s="139"/>
      <c r="M822" s="140"/>
    </row>
    <row r="823">
      <c r="C823" s="139"/>
      <c r="D823" s="139"/>
      <c r="M823" s="140"/>
    </row>
    <row r="824">
      <c r="C824" s="139"/>
      <c r="D824" s="139"/>
      <c r="M824" s="140"/>
    </row>
    <row r="825">
      <c r="C825" s="139"/>
      <c r="D825" s="139"/>
      <c r="M825" s="140"/>
    </row>
    <row r="826">
      <c r="C826" s="139"/>
      <c r="D826" s="139"/>
      <c r="M826" s="140"/>
    </row>
    <row r="827">
      <c r="C827" s="139"/>
      <c r="D827" s="139"/>
      <c r="M827" s="140"/>
    </row>
    <row r="828">
      <c r="C828" s="139"/>
      <c r="D828" s="139"/>
      <c r="M828" s="140"/>
    </row>
    <row r="829">
      <c r="C829" s="139"/>
      <c r="D829" s="139"/>
      <c r="M829" s="140"/>
    </row>
    <row r="830">
      <c r="C830" s="139"/>
      <c r="D830" s="139"/>
      <c r="M830" s="140"/>
    </row>
    <row r="831">
      <c r="C831" s="139"/>
      <c r="D831" s="139"/>
      <c r="M831" s="140"/>
    </row>
    <row r="832">
      <c r="C832" s="139"/>
      <c r="D832" s="139"/>
      <c r="M832" s="140"/>
    </row>
    <row r="833">
      <c r="C833" s="139"/>
      <c r="D833" s="139"/>
      <c r="M833" s="140"/>
    </row>
    <row r="834">
      <c r="C834" s="139"/>
      <c r="D834" s="139"/>
      <c r="M834" s="140"/>
    </row>
    <row r="835">
      <c r="C835" s="139"/>
      <c r="D835" s="139"/>
      <c r="M835" s="140"/>
    </row>
    <row r="836">
      <c r="C836" s="139"/>
      <c r="D836" s="139"/>
      <c r="M836" s="140"/>
    </row>
    <row r="837">
      <c r="C837" s="139"/>
      <c r="D837" s="139"/>
      <c r="M837" s="140"/>
    </row>
    <row r="838">
      <c r="C838" s="139"/>
      <c r="D838" s="139"/>
      <c r="M838" s="140"/>
    </row>
    <row r="839">
      <c r="C839" s="139"/>
      <c r="D839" s="139"/>
      <c r="M839" s="140"/>
    </row>
    <row r="840">
      <c r="C840" s="139"/>
      <c r="D840" s="139"/>
      <c r="M840" s="140"/>
    </row>
    <row r="841">
      <c r="C841" s="139"/>
      <c r="D841" s="139"/>
      <c r="M841" s="140"/>
    </row>
    <row r="842">
      <c r="C842" s="139"/>
      <c r="D842" s="139"/>
      <c r="M842" s="140"/>
    </row>
    <row r="843">
      <c r="C843" s="139"/>
      <c r="D843" s="139"/>
      <c r="M843" s="140"/>
    </row>
    <row r="844">
      <c r="C844" s="139"/>
      <c r="D844" s="139"/>
      <c r="M844" s="140"/>
    </row>
    <row r="845">
      <c r="C845" s="139"/>
      <c r="D845" s="139"/>
      <c r="M845" s="140"/>
    </row>
    <row r="846">
      <c r="C846" s="139"/>
      <c r="D846" s="139"/>
      <c r="M846" s="140"/>
    </row>
    <row r="847">
      <c r="C847" s="139"/>
      <c r="D847" s="139"/>
      <c r="M847" s="140"/>
    </row>
    <row r="848">
      <c r="C848" s="139"/>
      <c r="D848" s="139"/>
      <c r="M848" s="140"/>
    </row>
    <row r="849">
      <c r="C849" s="139"/>
      <c r="D849" s="139"/>
      <c r="M849" s="140"/>
    </row>
    <row r="850">
      <c r="C850" s="139"/>
      <c r="D850" s="139"/>
      <c r="M850" s="140"/>
    </row>
    <row r="851">
      <c r="C851" s="139"/>
      <c r="D851" s="139"/>
      <c r="M851" s="140"/>
    </row>
    <row r="852">
      <c r="C852" s="139"/>
      <c r="D852" s="139"/>
      <c r="M852" s="140"/>
    </row>
    <row r="853">
      <c r="C853" s="139"/>
      <c r="D853" s="139"/>
      <c r="M853" s="140"/>
    </row>
    <row r="854">
      <c r="C854" s="139"/>
      <c r="D854" s="139"/>
      <c r="M854" s="140"/>
    </row>
    <row r="855">
      <c r="C855" s="139"/>
      <c r="D855" s="139"/>
      <c r="M855" s="140"/>
    </row>
    <row r="856">
      <c r="C856" s="139"/>
      <c r="D856" s="139"/>
      <c r="M856" s="140"/>
    </row>
    <row r="857">
      <c r="C857" s="139"/>
      <c r="D857" s="139"/>
      <c r="M857" s="140"/>
    </row>
    <row r="858">
      <c r="C858" s="139"/>
      <c r="D858" s="139"/>
      <c r="M858" s="140"/>
    </row>
    <row r="859">
      <c r="C859" s="139"/>
      <c r="D859" s="139"/>
      <c r="M859" s="140"/>
    </row>
    <row r="860">
      <c r="C860" s="139"/>
      <c r="D860" s="139"/>
      <c r="M860" s="140"/>
    </row>
    <row r="861">
      <c r="C861" s="139"/>
      <c r="D861" s="139"/>
      <c r="M861" s="140"/>
    </row>
    <row r="862">
      <c r="C862" s="139"/>
      <c r="D862" s="139"/>
      <c r="M862" s="140"/>
    </row>
    <row r="863">
      <c r="C863" s="139"/>
      <c r="D863" s="139"/>
      <c r="M863" s="140"/>
    </row>
    <row r="864">
      <c r="C864" s="139"/>
      <c r="D864" s="139"/>
      <c r="M864" s="140"/>
    </row>
    <row r="865">
      <c r="C865" s="139"/>
      <c r="D865" s="139"/>
      <c r="M865" s="140"/>
    </row>
    <row r="866">
      <c r="C866" s="139"/>
      <c r="D866" s="139"/>
      <c r="M866" s="140"/>
    </row>
    <row r="867">
      <c r="C867" s="139"/>
      <c r="D867" s="139"/>
      <c r="M867" s="140"/>
    </row>
    <row r="868">
      <c r="C868" s="139"/>
      <c r="D868" s="139"/>
      <c r="M868" s="140"/>
    </row>
    <row r="869">
      <c r="C869" s="139"/>
      <c r="D869" s="139"/>
      <c r="M869" s="140"/>
    </row>
    <row r="870">
      <c r="C870" s="139"/>
      <c r="D870" s="139"/>
      <c r="M870" s="140"/>
    </row>
    <row r="871">
      <c r="C871" s="139"/>
      <c r="D871" s="139"/>
      <c r="M871" s="140"/>
    </row>
    <row r="872">
      <c r="C872" s="139"/>
      <c r="D872" s="139"/>
      <c r="M872" s="140"/>
    </row>
    <row r="873">
      <c r="C873" s="139"/>
      <c r="D873" s="139"/>
      <c r="M873" s="140"/>
    </row>
    <row r="874">
      <c r="C874" s="139"/>
      <c r="D874" s="139"/>
      <c r="M874" s="140"/>
    </row>
    <row r="875">
      <c r="C875" s="139"/>
      <c r="D875" s="139"/>
      <c r="M875" s="140"/>
    </row>
    <row r="876">
      <c r="C876" s="139"/>
      <c r="D876" s="139"/>
      <c r="M876" s="140"/>
    </row>
    <row r="877">
      <c r="C877" s="139"/>
      <c r="D877" s="139"/>
      <c r="M877" s="140"/>
    </row>
    <row r="878">
      <c r="C878" s="139"/>
      <c r="D878" s="139"/>
      <c r="M878" s="140"/>
    </row>
    <row r="879">
      <c r="C879" s="139"/>
      <c r="D879" s="139"/>
      <c r="M879" s="140"/>
    </row>
    <row r="880">
      <c r="C880" s="139"/>
      <c r="D880" s="139"/>
      <c r="M880" s="140"/>
    </row>
    <row r="881">
      <c r="C881" s="139"/>
      <c r="D881" s="139"/>
      <c r="M881" s="140"/>
    </row>
    <row r="882">
      <c r="C882" s="139"/>
      <c r="D882" s="139"/>
      <c r="M882" s="140"/>
    </row>
    <row r="883">
      <c r="C883" s="139"/>
      <c r="D883" s="139"/>
      <c r="M883" s="140"/>
    </row>
    <row r="884">
      <c r="C884" s="139"/>
      <c r="D884" s="139"/>
      <c r="M884" s="140"/>
    </row>
    <row r="885">
      <c r="C885" s="139"/>
      <c r="D885" s="139"/>
      <c r="M885" s="140"/>
    </row>
    <row r="886">
      <c r="C886" s="139"/>
      <c r="D886" s="139"/>
      <c r="M886" s="140"/>
    </row>
    <row r="887">
      <c r="C887" s="139"/>
      <c r="D887" s="139"/>
      <c r="M887" s="140"/>
    </row>
    <row r="888">
      <c r="C888" s="139"/>
      <c r="D888" s="139"/>
      <c r="M888" s="140"/>
    </row>
    <row r="889">
      <c r="C889" s="139"/>
      <c r="D889" s="139"/>
      <c r="M889" s="140"/>
    </row>
    <row r="890">
      <c r="C890" s="139"/>
      <c r="D890" s="139"/>
      <c r="M890" s="140"/>
    </row>
    <row r="891">
      <c r="C891" s="139"/>
      <c r="D891" s="139"/>
      <c r="M891" s="140"/>
    </row>
    <row r="892">
      <c r="C892" s="139"/>
      <c r="D892" s="139"/>
      <c r="M892" s="140"/>
    </row>
    <row r="893">
      <c r="C893" s="139"/>
      <c r="D893" s="139"/>
      <c r="M893" s="140"/>
    </row>
    <row r="894">
      <c r="C894" s="139"/>
      <c r="D894" s="139"/>
      <c r="M894" s="140"/>
    </row>
    <row r="895">
      <c r="C895" s="139"/>
      <c r="D895" s="139"/>
      <c r="M895" s="140"/>
    </row>
    <row r="896">
      <c r="C896" s="139"/>
      <c r="D896" s="139"/>
      <c r="M896" s="140"/>
    </row>
    <row r="897">
      <c r="C897" s="139"/>
      <c r="D897" s="139"/>
      <c r="M897" s="140"/>
    </row>
    <row r="898">
      <c r="C898" s="139"/>
      <c r="D898" s="139"/>
      <c r="M898" s="140"/>
    </row>
    <row r="899">
      <c r="C899" s="139"/>
      <c r="D899" s="139"/>
      <c r="M899" s="140"/>
    </row>
    <row r="900">
      <c r="C900" s="139"/>
      <c r="D900" s="139"/>
      <c r="M900" s="140"/>
    </row>
    <row r="901">
      <c r="C901" s="139"/>
      <c r="D901" s="139"/>
      <c r="M901" s="140"/>
    </row>
    <row r="902">
      <c r="C902" s="139"/>
      <c r="D902" s="139"/>
      <c r="M902" s="140"/>
    </row>
    <row r="903">
      <c r="C903" s="139"/>
      <c r="D903" s="139"/>
      <c r="M903" s="140"/>
    </row>
    <row r="904">
      <c r="C904" s="139"/>
      <c r="D904" s="139"/>
      <c r="M904" s="140"/>
    </row>
    <row r="905">
      <c r="C905" s="139"/>
      <c r="D905" s="139"/>
      <c r="M905" s="140"/>
    </row>
    <row r="906">
      <c r="C906" s="139"/>
      <c r="D906" s="139"/>
      <c r="M906" s="140"/>
    </row>
    <row r="907">
      <c r="C907" s="139"/>
      <c r="D907" s="139"/>
      <c r="M907" s="140"/>
    </row>
    <row r="908">
      <c r="C908" s="139"/>
      <c r="D908" s="139"/>
      <c r="M908" s="140"/>
    </row>
    <row r="909">
      <c r="C909" s="139"/>
      <c r="D909" s="139"/>
      <c r="M909" s="140"/>
    </row>
    <row r="910">
      <c r="C910" s="139"/>
      <c r="D910" s="139"/>
      <c r="M910" s="140"/>
    </row>
    <row r="911">
      <c r="C911" s="139"/>
      <c r="D911" s="139"/>
      <c r="M911" s="140"/>
    </row>
    <row r="912">
      <c r="C912" s="139"/>
      <c r="D912" s="139"/>
      <c r="M912" s="140"/>
    </row>
    <row r="913">
      <c r="C913" s="139"/>
      <c r="D913" s="139"/>
      <c r="M913" s="140"/>
    </row>
    <row r="914">
      <c r="C914" s="139"/>
      <c r="D914" s="139"/>
      <c r="M914" s="140"/>
    </row>
    <row r="915">
      <c r="C915" s="139"/>
      <c r="D915" s="139"/>
      <c r="M915" s="140"/>
    </row>
    <row r="916">
      <c r="C916" s="139"/>
      <c r="D916" s="139"/>
      <c r="M916" s="140"/>
    </row>
    <row r="917">
      <c r="C917" s="139"/>
      <c r="D917" s="139"/>
      <c r="M917" s="140"/>
    </row>
    <row r="918">
      <c r="C918" s="139"/>
      <c r="D918" s="139"/>
      <c r="M918" s="140"/>
    </row>
    <row r="919">
      <c r="C919" s="139"/>
      <c r="D919" s="139"/>
      <c r="M919" s="140"/>
    </row>
    <row r="920">
      <c r="C920" s="139"/>
      <c r="D920" s="139"/>
      <c r="M920" s="140"/>
    </row>
    <row r="921">
      <c r="C921" s="139"/>
      <c r="D921" s="139"/>
      <c r="M921" s="140"/>
    </row>
    <row r="922">
      <c r="C922" s="139"/>
      <c r="D922" s="139"/>
      <c r="M922" s="140"/>
    </row>
    <row r="923">
      <c r="C923" s="139"/>
      <c r="D923" s="139"/>
      <c r="M923" s="140"/>
    </row>
    <row r="924">
      <c r="C924" s="139"/>
      <c r="D924" s="139"/>
      <c r="M924" s="140"/>
    </row>
    <row r="925">
      <c r="C925" s="139"/>
      <c r="D925" s="139"/>
      <c r="M925" s="140"/>
    </row>
    <row r="926">
      <c r="C926" s="139"/>
      <c r="D926" s="139"/>
      <c r="M926" s="140"/>
    </row>
    <row r="927">
      <c r="C927" s="139"/>
      <c r="D927" s="139"/>
      <c r="M927" s="140"/>
    </row>
    <row r="928">
      <c r="C928" s="139"/>
      <c r="D928" s="139"/>
      <c r="M928" s="140"/>
    </row>
    <row r="929">
      <c r="C929" s="139"/>
      <c r="D929" s="139"/>
      <c r="M929" s="140"/>
    </row>
    <row r="930">
      <c r="C930" s="139"/>
      <c r="D930" s="139"/>
      <c r="M930" s="140"/>
    </row>
    <row r="931">
      <c r="C931" s="139"/>
      <c r="D931" s="139"/>
      <c r="M931" s="140"/>
    </row>
    <row r="932">
      <c r="C932" s="139"/>
      <c r="D932" s="139"/>
      <c r="M932" s="140"/>
    </row>
    <row r="933">
      <c r="C933" s="139"/>
      <c r="D933" s="139"/>
      <c r="M933" s="140"/>
    </row>
    <row r="934">
      <c r="C934" s="139"/>
      <c r="D934" s="139"/>
      <c r="M934" s="140"/>
    </row>
    <row r="935">
      <c r="C935" s="139"/>
      <c r="D935" s="139"/>
      <c r="M935" s="140"/>
    </row>
    <row r="936">
      <c r="C936" s="139"/>
      <c r="D936" s="139"/>
      <c r="M936" s="140"/>
    </row>
    <row r="937">
      <c r="C937" s="139"/>
      <c r="D937" s="139"/>
      <c r="M937" s="140"/>
    </row>
    <row r="938">
      <c r="C938" s="139"/>
      <c r="D938" s="139"/>
      <c r="M938" s="140"/>
    </row>
    <row r="939">
      <c r="C939" s="139"/>
      <c r="D939" s="139"/>
      <c r="M939" s="140"/>
    </row>
    <row r="940">
      <c r="C940" s="139"/>
      <c r="D940" s="139"/>
      <c r="M940" s="140"/>
    </row>
    <row r="941">
      <c r="C941" s="139"/>
      <c r="D941" s="139"/>
      <c r="M941" s="140"/>
    </row>
    <row r="942">
      <c r="C942" s="139"/>
      <c r="D942" s="139"/>
      <c r="M942" s="140"/>
    </row>
    <row r="943">
      <c r="C943" s="139"/>
      <c r="D943" s="139"/>
      <c r="M943" s="140"/>
    </row>
    <row r="944">
      <c r="C944" s="139"/>
      <c r="D944" s="139"/>
      <c r="M944" s="140"/>
    </row>
    <row r="945">
      <c r="C945" s="139"/>
      <c r="D945" s="139"/>
      <c r="M945" s="140"/>
    </row>
    <row r="946">
      <c r="C946" s="139"/>
      <c r="D946" s="139"/>
      <c r="M946" s="140"/>
    </row>
    <row r="947">
      <c r="C947" s="139"/>
      <c r="D947" s="139"/>
      <c r="M947" s="140"/>
    </row>
    <row r="948">
      <c r="C948" s="139"/>
      <c r="D948" s="139"/>
      <c r="M948" s="140"/>
    </row>
    <row r="949">
      <c r="C949" s="139"/>
      <c r="D949" s="139"/>
      <c r="M949" s="140"/>
    </row>
    <row r="950">
      <c r="C950" s="139"/>
      <c r="D950" s="139"/>
      <c r="M950" s="140"/>
    </row>
    <row r="951">
      <c r="C951" s="139"/>
      <c r="D951" s="139"/>
      <c r="M951" s="140"/>
    </row>
    <row r="952">
      <c r="C952" s="139"/>
      <c r="D952" s="139"/>
      <c r="M952" s="140"/>
    </row>
    <row r="953">
      <c r="C953" s="139"/>
      <c r="D953" s="139"/>
      <c r="M953" s="140"/>
    </row>
    <row r="954">
      <c r="C954" s="139"/>
      <c r="D954" s="139"/>
      <c r="M954" s="140"/>
    </row>
    <row r="955">
      <c r="C955" s="139"/>
      <c r="D955" s="139"/>
      <c r="M955" s="140"/>
    </row>
    <row r="956">
      <c r="C956" s="139"/>
      <c r="D956" s="139"/>
      <c r="M956" s="140"/>
    </row>
    <row r="957">
      <c r="C957" s="139"/>
      <c r="D957" s="139"/>
      <c r="M957" s="140"/>
    </row>
    <row r="958">
      <c r="C958" s="139"/>
      <c r="D958" s="139"/>
      <c r="M958" s="140"/>
    </row>
    <row r="959">
      <c r="C959" s="139"/>
      <c r="D959" s="139"/>
      <c r="M959" s="140"/>
    </row>
    <row r="960">
      <c r="C960" s="139"/>
      <c r="D960" s="139"/>
      <c r="M960" s="140"/>
    </row>
    <row r="961">
      <c r="C961" s="139"/>
      <c r="D961" s="139"/>
      <c r="M961" s="140"/>
    </row>
    <row r="962">
      <c r="C962" s="139"/>
      <c r="D962" s="139"/>
      <c r="M962" s="140"/>
    </row>
    <row r="963">
      <c r="C963" s="139"/>
      <c r="D963" s="139"/>
      <c r="M963" s="140"/>
    </row>
    <row r="964">
      <c r="C964" s="139"/>
      <c r="D964" s="139"/>
      <c r="M964" s="140"/>
    </row>
    <row r="965">
      <c r="C965" s="139"/>
      <c r="D965" s="139"/>
      <c r="M965" s="140"/>
    </row>
    <row r="966">
      <c r="C966" s="139"/>
      <c r="D966" s="139"/>
      <c r="M966" s="140"/>
    </row>
    <row r="967">
      <c r="C967" s="139"/>
      <c r="D967" s="139"/>
      <c r="M967" s="140"/>
    </row>
    <row r="968">
      <c r="C968" s="139"/>
      <c r="D968" s="139"/>
      <c r="M968" s="140"/>
    </row>
    <row r="969">
      <c r="C969" s="139"/>
      <c r="D969" s="139"/>
      <c r="M969" s="140"/>
    </row>
    <row r="970">
      <c r="C970" s="139"/>
      <c r="D970" s="139"/>
      <c r="M970" s="140"/>
    </row>
    <row r="971">
      <c r="C971" s="139"/>
      <c r="D971" s="139"/>
      <c r="M971" s="140"/>
    </row>
    <row r="972">
      <c r="C972" s="139"/>
      <c r="D972" s="139"/>
      <c r="M972" s="140"/>
    </row>
    <row r="973">
      <c r="C973" s="139"/>
      <c r="D973" s="139"/>
      <c r="M973" s="140"/>
    </row>
    <row r="974">
      <c r="C974" s="139"/>
      <c r="D974" s="139"/>
      <c r="M974" s="140"/>
    </row>
    <row r="975">
      <c r="C975" s="139"/>
      <c r="D975" s="139"/>
      <c r="M975" s="140"/>
    </row>
    <row r="976">
      <c r="C976" s="139"/>
      <c r="D976" s="139"/>
      <c r="M976" s="140"/>
    </row>
    <row r="977">
      <c r="C977" s="139"/>
      <c r="D977" s="139"/>
      <c r="M977" s="140"/>
    </row>
    <row r="978">
      <c r="C978" s="139"/>
      <c r="D978" s="139"/>
      <c r="M978" s="140"/>
    </row>
    <row r="979">
      <c r="C979" s="139"/>
      <c r="D979" s="139"/>
      <c r="M979" s="140"/>
    </row>
    <row r="980">
      <c r="C980" s="139"/>
      <c r="D980" s="139"/>
      <c r="M980" s="140"/>
    </row>
    <row r="981">
      <c r="C981" s="139"/>
      <c r="D981" s="139"/>
      <c r="M981" s="140"/>
    </row>
    <row r="982">
      <c r="C982" s="139"/>
      <c r="D982" s="139"/>
      <c r="M982" s="140"/>
    </row>
    <row r="983">
      <c r="C983" s="139"/>
      <c r="D983" s="139"/>
      <c r="M983" s="140"/>
    </row>
    <row r="984">
      <c r="C984" s="139"/>
      <c r="D984" s="139"/>
      <c r="M984" s="140"/>
    </row>
    <row r="985">
      <c r="C985" s="139"/>
      <c r="D985" s="139"/>
      <c r="M985" s="140"/>
    </row>
    <row r="986">
      <c r="C986" s="139"/>
      <c r="D986" s="139"/>
      <c r="M986" s="140"/>
    </row>
    <row r="987">
      <c r="C987" s="139"/>
      <c r="D987" s="139"/>
      <c r="M987" s="140"/>
    </row>
    <row r="988">
      <c r="C988" s="139"/>
      <c r="D988" s="139"/>
      <c r="M988" s="140"/>
    </row>
    <row r="989">
      <c r="C989" s="139"/>
      <c r="D989" s="139"/>
      <c r="M989" s="140"/>
    </row>
    <row r="990">
      <c r="C990" s="139"/>
      <c r="D990" s="139"/>
      <c r="M990" s="140"/>
    </row>
    <row r="991">
      <c r="C991" s="139"/>
      <c r="D991" s="139"/>
      <c r="M991" s="140"/>
    </row>
    <row r="992">
      <c r="C992" s="139"/>
      <c r="D992" s="139"/>
      <c r="M992" s="140"/>
    </row>
    <row r="993">
      <c r="C993" s="139"/>
      <c r="D993" s="139"/>
      <c r="M993" s="140"/>
    </row>
    <row r="994">
      <c r="C994" s="139"/>
      <c r="D994" s="139"/>
      <c r="M994" s="140"/>
    </row>
    <row r="995">
      <c r="C995" s="139"/>
      <c r="D995" s="139"/>
      <c r="M995" s="140"/>
    </row>
    <row r="996">
      <c r="C996" s="139"/>
      <c r="D996" s="139"/>
      <c r="M996" s="140"/>
    </row>
    <row r="997">
      <c r="C997" s="139"/>
      <c r="D997" s="139"/>
      <c r="M997" s="140"/>
    </row>
    <row r="998">
      <c r="C998" s="139"/>
      <c r="D998" s="139"/>
      <c r="M998" s="140"/>
    </row>
    <row r="999">
      <c r="C999" s="139"/>
      <c r="D999" s="139"/>
      <c r="M999" s="140"/>
    </row>
    <row r="1000">
      <c r="C1000" s="139"/>
      <c r="D1000" s="139"/>
      <c r="M1000" s="140"/>
    </row>
    <row r="1001">
      <c r="C1001" s="139"/>
      <c r="D1001" s="139"/>
      <c r="M1001" s="140"/>
    </row>
    <row r="1002">
      <c r="C1002" s="139"/>
      <c r="D1002" s="139"/>
      <c r="M1002" s="140"/>
    </row>
    <row r="1003">
      <c r="C1003" s="139"/>
      <c r="D1003" s="139"/>
      <c r="M1003" s="140"/>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C4"/>
    <hyperlink r:id="rId2" ref="C5"/>
    <hyperlink r:id="rId3" ref="C9"/>
    <hyperlink r:id="rId4" ref="C10"/>
    <hyperlink r:id="rId5" ref="C11"/>
    <hyperlink r:id="rId6" ref="C12"/>
    <hyperlink r:id="rId7" ref="C14"/>
    <hyperlink r:id="rId8" ref="C15"/>
    <hyperlink r:id="rId9" ref="C16"/>
    <hyperlink r:id="rId10" ref="C17"/>
    <hyperlink r:id="rId11" ref="C18"/>
    <hyperlink r:id="rId12" ref="C19"/>
    <hyperlink r:id="rId13" ref="C21"/>
    <hyperlink r:id="rId14" ref="C22"/>
    <hyperlink r:id="rId15" ref="C23"/>
    <hyperlink r:id="rId16" ref="C24"/>
    <hyperlink r:id="rId17" ref="C25"/>
    <hyperlink r:id="rId18" ref="C26"/>
    <hyperlink r:id="rId19" ref="C27"/>
    <hyperlink r:id="rId20" ref="C29"/>
    <hyperlink r:id="rId21" ref="C30"/>
    <hyperlink r:id="rId22" ref="C31"/>
    <hyperlink r:id="rId23" ref="C32"/>
    <hyperlink r:id="rId24" ref="C33"/>
    <hyperlink r:id="rId25" ref="C34"/>
    <hyperlink r:id="rId26" ref="C35"/>
    <hyperlink r:id="rId27" ref="C36"/>
    <hyperlink r:id="rId28" ref="C37"/>
    <hyperlink r:id="rId29" ref="C38"/>
    <hyperlink r:id="rId30" ref="C39"/>
    <hyperlink r:id="rId31" ref="C40"/>
    <hyperlink r:id="rId32" ref="C42"/>
    <hyperlink r:id="rId33" ref="C43"/>
    <hyperlink r:id="rId34" ref="C44"/>
    <hyperlink r:id="rId35" ref="C46"/>
    <hyperlink r:id="rId36" ref="C47"/>
    <hyperlink r:id="rId37" ref="C48"/>
    <hyperlink r:id="rId38" ref="C49"/>
    <hyperlink r:id="rId39" ref="C50"/>
    <hyperlink r:id="rId40" ref="C53"/>
    <hyperlink r:id="rId41" ref="C54"/>
    <hyperlink r:id="rId42" ref="C55"/>
    <hyperlink r:id="rId43" ref="C57"/>
    <hyperlink r:id="rId44" ref="C58"/>
    <hyperlink r:id="rId45" ref="C59"/>
    <hyperlink r:id="rId46" ref="C60"/>
    <hyperlink r:id="rId47" ref="C63"/>
    <hyperlink r:id="rId48" ref="C65"/>
    <hyperlink r:id="rId49" ref="C66"/>
    <hyperlink r:id="rId50" ref="C69"/>
    <hyperlink r:id="rId51" ref="C71"/>
    <hyperlink r:id="rId52" ref="C72"/>
    <hyperlink r:id="rId53" ref="C73"/>
    <hyperlink r:id="rId54" ref="C74"/>
    <hyperlink r:id="rId55" ref="C75"/>
    <hyperlink r:id="rId56" ref="C76"/>
    <hyperlink r:id="rId57" ref="C77"/>
    <hyperlink r:id="rId58" ref="C78"/>
    <hyperlink r:id="rId59" ref="C80"/>
    <hyperlink r:id="rId60" ref="C81"/>
    <hyperlink r:id="rId61" ref="C82"/>
    <hyperlink r:id="rId62" ref="C83"/>
    <hyperlink r:id="rId63" ref="C84"/>
    <hyperlink r:id="rId64" ref="C85"/>
    <hyperlink r:id="rId65" ref="C86"/>
    <hyperlink r:id="rId66" ref="C87"/>
    <hyperlink r:id="rId67" ref="C88"/>
    <hyperlink r:id="rId68" ref="C89"/>
    <hyperlink r:id="rId69" ref="C90"/>
    <hyperlink r:id="rId70" ref="C91"/>
    <hyperlink r:id="rId71" ref="C93"/>
    <hyperlink r:id="rId72" ref="C94"/>
    <hyperlink r:id="rId73" ref="C96"/>
    <hyperlink r:id="rId74" ref="C97"/>
    <hyperlink r:id="rId75" ref="C98"/>
    <hyperlink r:id="rId76" ref="C99"/>
    <hyperlink r:id="rId77" ref="C100"/>
    <hyperlink r:id="rId78" ref="C101"/>
    <hyperlink r:id="rId79" ref="C103"/>
    <hyperlink r:id="rId80" ref="C105"/>
    <hyperlink r:id="rId81" ref="C106"/>
    <hyperlink r:id="rId82" ref="C107"/>
    <hyperlink r:id="rId83" ref="C108"/>
    <hyperlink r:id="rId84" ref="C109"/>
    <hyperlink r:id="rId85" ref="C111"/>
    <hyperlink r:id="rId86" ref="C114"/>
    <hyperlink r:id="rId87" ref="C115"/>
    <hyperlink r:id="rId88" ref="C116"/>
    <hyperlink r:id="rId89" ref="C117"/>
    <hyperlink r:id="rId90" ref="C118"/>
    <hyperlink r:id="rId91" ref="C119"/>
    <hyperlink r:id="rId92" ref="C120"/>
    <hyperlink r:id="rId93" ref="C123"/>
    <hyperlink r:id="rId94" ref="C124"/>
    <hyperlink r:id="rId95" ref="C125"/>
    <hyperlink r:id="rId96" ref="C126"/>
    <hyperlink r:id="rId97" ref="C127"/>
    <hyperlink r:id="rId98" ref="C128"/>
    <hyperlink r:id="rId99" ref="C129"/>
    <hyperlink r:id="rId100" ref="C132"/>
    <hyperlink r:id="rId101" ref="C133"/>
    <hyperlink r:id="rId102" ref="C134"/>
    <hyperlink r:id="rId103" ref="C135"/>
    <hyperlink r:id="rId104" ref="C136"/>
    <hyperlink r:id="rId105" ref="C137"/>
    <hyperlink r:id="rId106" ref="C138"/>
    <hyperlink r:id="rId107" ref="C139"/>
    <hyperlink r:id="rId108" ref="C140"/>
    <hyperlink r:id="rId109" ref="C141"/>
    <hyperlink r:id="rId110" ref="C142"/>
    <hyperlink r:id="rId111" ref="C143"/>
    <hyperlink r:id="rId112" ref="C144"/>
    <hyperlink r:id="rId113" ref="C145"/>
    <hyperlink r:id="rId114" ref="C146"/>
    <hyperlink r:id="rId115" ref="C147"/>
    <hyperlink r:id="rId116" ref="C148"/>
    <hyperlink r:id="rId117" ref="C150"/>
    <hyperlink r:id="rId118" ref="C151"/>
    <hyperlink r:id="rId119" ref="C152"/>
    <hyperlink r:id="rId120" ref="C153"/>
    <hyperlink r:id="rId121" ref="C154"/>
    <hyperlink r:id="rId122" ref="C155"/>
    <hyperlink r:id="rId123" ref="C156"/>
    <hyperlink r:id="rId124" ref="C157"/>
    <hyperlink r:id="rId125" ref="C158"/>
    <hyperlink r:id="rId126" ref="C159"/>
    <hyperlink r:id="rId127" ref="C160"/>
    <hyperlink r:id="rId128" ref="C161"/>
    <hyperlink r:id="rId129" ref="C162"/>
    <hyperlink r:id="rId130" ref="C163"/>
    <hyperlink r:id="rId131" ref="C164"/>
    <hyperlink r:id="rId132" ref="C165"/>
    <hyperlink r:id="rId133" ref="C166"/>
    <hyperlink r:id="rId134" ref="C168"/>
    <hyperlink r:id="rId135" ref="C169"/>
    <hyperlink r:id="rId136" ref="C170"/>
    <hyperlink r:id="rId137" ref="C171"/>
    <hyperlink r:id="rId138" ref="C173"/>
    <hyperlink r:id="rId139" ref="C174"/>
    <hyperlink r:id="rId140" ref="C175"/>
    <hyperlink r:id="rId141" ref="C177"/>
    <hyperlink r:id="rId142" ref="C180"/>
    <hyperlink r:id="rId143" ref="C181"/>
  </hyperlinks>
  <drawing r:id="rId144"/>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outlineLevelRow="1"/>
  <cols>
    <col customWidth="1" min="3" max="3" width="13.14"/>
    <col customWidth="1" min="5" max="5" width="11.29"/>
  </cols>
  <sheetData>
    <row r="1" ht="15.0" customHeight="1" outlineLevel="1">
      <c r="A1" s="1" t="s">
        <v>4596</v>
      </c>
      <c r="B1" s="2" t="s">
        <v>1</v>
      </c>
      <c r="C1" s="2" t="s">
        <v>2</v>
      </c>
      <c r="D1" s="2" t="s">
        <v>2</v>
      </c>
      <c r="E1" s="3"/>
      <c r="F1" s="365" t="s">
        <v>1577</v>
      </c>
      <c r="G1" s="30" t="s">
        <v>4</v>
      </c>
      <c r="H1" s="30" t="s">
        <v>5</v>
      </c>
      <c r="I1" s="30" t="s">
        <v>6</v>
      </c>
      <c r="J1" s="30" t="s">
        <v>7</v>
      </c>
      <c r="K1" s="1" t="s">
        <v>8</v>
      </c>
      <c r="L1" s="7" t="s">
        <v>9</v>
      </c>
      <c r="N1" s="10" t="s">
        <v>14</v>
      </c>
      <c r="P1" s="167"/>
      <c r="Q1" s="167"/>
      <c r="R1" s="30"/>
      <c r="S1" s="20"/>
      <c r="T1" s="20"/>
      <c r="U1" s="20"/>
      <c r="V1" s="20"/>
      <c r="W1" s="20"/>
      <c r="X1" s="20"/>
      <c r="Y1" s="20"/>
      <c r="Z1" s="20"/>
      <c r="AA1" s="20"/>
      <c r="AB1" s="20"/>
      <c r="AC1" s="20"/>
      <c r="AD1" s="20"/>
    </row>
    <row r="2" ht="16.5" customHeight="1" outlineLevel="1">
      <c r="A2" s="21" t="s">
        <v>786</v>
      </c>
      <c r="B2" s="23"/>
      <c r="C2" s="366" t="s">
        <v>4599</v>
      </c>
      <c r="D2" s="325"/>
      <c r="E2" s="3"/>
      <c r="F2" s="367">
        <v>43401.0</v>
      </c>
      <c r="G2" s="168">
        <v>43475.0</v>
      </c>
      <c r="H2" s="21">
        <f>G2-TODAY()</f>
        <v>-260</v>
      </c>
      <c r="I2" s="168">
        <v>43468.0</v>
      </c>
      <c r="J2" s="168">
        <v>43584.0</v>
      </c>
      <c r="K2" s="23">
        <v>43444.0</v>
      </c>
      <c r="L2" s="26">
        <f>CountIFS($E:$E,"=Dem",$A:$A,"=House")</f>
        <v>31</v>
      </c>
      <c r="M2" s="28">
        <f>CountIFS($E:$E,"=Rep",$A:$A,"=House")</f>
        <v>69</v>
      </c>
      <c r="N2" s="26">
        <f>CountIFS($E:$E,"=Dem",$A:$A,"=Senate")</f>
        <v>10</v>
      </c>
      <c r="O2" s="28">
        <f>CountIFS($E:$E,"=Rep",$A:$A,"=Senate")</f>
        <v>40</v>
      </c>
      <c r="P2" s="167"/>
      <c r="Q2" s="167"/>
      <c r="R2" s="30"/>
      <c r="S2" s="20"/>
      <c r="T2" s="20"/>
      <c r="U2" s="20"/>
      <c r="V2" s="20"/>
      <c r="W2" s="20"/>
      <c r="X2" s="20"/>
      <c r="Y2" s="20"/>
      <c r="Z2" s="20"/>
      <c r="AA2" s="20"/>
      <c r="AB2" s="20"/>
      <c r="AC2" s="20"/>
      <c r="AD2" s="20"/>
    </row>
    <row r="3">
      <c r="A3" s="30" t="s">
        <v>29</v>
      </c>
      <c r="B3" s="30" t="s">
        <v>30</v>
      </c>
      <c r="C3" s="2" t="s">
        <v>31</v>
      </c>
      <c r="D3" s="2" t="s">
        <v>32</v>
      </c>
      <c r="E3" s="3" t="s">
        <v>33</v>
      </c>
      <c r="F3" s="1" t="s">
        <v>10</v>
      </c>
      <c r="G3" s="1" t="s">
        <v>34</v>
      </c>
      <c r="H3" s="1" t="s">
        <v>34</v>
      </c>
      <c r="I3" s="1" t="s">
        <v>34</v>
      </c>
      <c r="J3" s="1" t="s">
        <v>34</v>
      </c>
      <c r="K3" s="1" t="s">
        <v>35</v>
      </c>
      <c r="L3" s="19" t="s">
        <v>36</v>
      </c>
      <c r="M3" s="19" t="s">
        <v>37</v>
      </c>
      <c r="N3" s="19" t="s">
        <v>38</v>
      </c>
      <c r="O3" s="17" t="s">
        <v>39</v>
      </c>
      <c r="P3" s="11" t="s">
        <v>40</v>
      </c>
      <c r="Q3" s="11" t="s">
        <v>41</v>
      </c>
      <c r="R3" s="17" t="s">
        <v>42</v>
      </c>
      <c r="S3" s="20"/>
      <c r="T3" s="20"/>
      <c r="U3" s="20"/>
      <c r="V3" s="20"/>
      <c r="W3" s="20"/>
      <c r="X3" s="20"/>
      <c r="Y3" s="20"/>
      <c r="Z3" s="20"/>
      <c r="AA3" s="20"/>
      <c r="AB3" s="20"/>
      <c r="AC3" s="20"/>
      <c r="AD3" s="20"/>
    </row>
    <row r="4">
      <c r="A4" s="14" t="s">
        <v>44</v>
      </c>
      <c r="B4" s="31">
        <v>1.0</v>
      </c>
      <c r="C4" s="35" t="s">
        <v>3902</v>
      </c>
      <c r="D4" s="35" t="s">
        <v>567</v>
      </c>
      <c r="E4" s="36" t="s">
        <v>49</v>
      </c>
      <c r="F4" s="347"/>
      <c r="G4" s="122"/>
      <c r="H4" s="123"/>
      <c r="M4" s="14" t="str">
        <f t="shared" ref="M4:M103" si="1">concatenate("h",B4,"@iga.in.gov")</f>
        <v>h1@iga.in.gov</v>
      </c>
    </row>
    <row r="5">
      <c r="A5" s="14" t="s">
        <v>44</v>
      </c>
      <c r="B5" s="31">
        <v>2.0</v>
      </c>
      <c r="C5" s="74" t="s">
        <v>2725</v>
      </c>
      <c r="D5" s="74" t="s">
        <v>4608</v>
      </c>
      <c r="E5" s="36" t="s">
        <v>49</v>
      </c>
      <c r="F5" s="347"/>
      <c r="G5" s="118"/>
      <c r="H5" s="119"/>
      <c r="M5" s="14" t="str">
        <f t="shared" si="1"/>
        <v>h2@iga.in.gov</v>
      </c>
    </row>
    <row r="6">
      <c r="A6" s="14" t="s">
        <v>44</v>
      </c>
      <c r="B6" s="31">
        <v>3.0</v>
      </c>
      <c r="C6" s="35" t="s">
        <v>4611</v>
      </c>
      <c r="D6" s="35" t="s">
        <v>620</v>
      </c>
      <c r="E6" s="36" t="s">
        <v>49</v>
      </c>
      <c r="F6" s="347"/>
      <c r="G6" s="118"/>
      <c r="H6" s="119"/>
      <c r="M6" s="14" t="str">
        <f t="shared" si="1"/>
        <v>h3@iga.in.gov</v>
      </c>
    </row>
    <row r="7">
      <c r="A7" s="14" t="s">
        <v>44</v>
      </c>
      <c r="B7" s="31">
        <v>4.0</v>
      </c>
      <c r="C7" s="35" t="s">
        <v>4612</v>
      </c>
      <c r="D7" s="35" t="s">
        <v>4614</v>
      </c>
      <c r="E7" s="51" t="s">
        <v>53</v>
      </c>
      <c r="F7" s="347"/>
      <c r="G7" s="122"/>
      <c r="H7" s="119"/>
      <c r="M7" s="14" t="str">
        <f t="shared" si="1"/>
        <v>h4@iga.in.gov</v>
      </c>
    </row>
    <row r="8">
      <c r="A8" s="14" t="s">
        <v>44</v>
      </c>
      <c r="B8" s="31">
        <v>5.0</v>
      </c>
      <c r="C8" s="35" t="s">
        <v>3296</v>
      </c>
      <c r="D8" s="35" t="s">
        <v>4615</v>
      </c>
      <c r="E8" s="51" t="s">
        <v>53</v>
      </c>
      <c r="F8" s="347"/>
      <c r="G8" s="122"/>
      <c r="H8" s="123"/>
      <c r="M8" s="14" t="str">
        <f t="shared" si="1"/>
        <v>h5@iga.in.gov</v>
      </c>
    </row>
    <row r="9">
      <c r="A9" s="14" t="s">
        <v>44</v>
      </c>
      <c r="B9" s="31">
        <v>6.0</v>
      </c>
      <c r="C9" s="35" t="s">
        <v>1914</v>
      </c>
      <c r="D9" s="35" t="s">
        <v>4616</v>
      </c>
      <c r="E9" s="36" t="s">
        <v>49</v>
      </c>
      <c r="F9" s="347" t="s">
        <v>781</v>
      </c>
      <c r="G9" s="118"/>
      <c r="H9" s="119"/>
      <c r="M9" s="14" t="str">
        <f t="shared" si="1"/>
        <v>h6@iga.in.gov</v>
      </c>
    </row>
    <row r="10">
      <c r="A10" s="14" t="s">
        <v>44</v>
      </c>
      <c r="B10" s="31">
        <v>7.0</v>
      </c>
      <c r="C10" s="74" t="s">
        <v>3163</v>
      </c>
      <c r="D10" s="74" t="s">
        <v>2136</v>
      </c>
      <c r="E10" s="51" t="s">
        <v>53</v>
      </c>
      <c r="F10" s="347"/>
      <c r="G10" s="122"/>
      <c r="H10" s="123"/>
      <c r="M10" s="14" t="str">
        <f t="shared" si="1"/>
        <v>h7@iga.in.gov</v>
      </c>
    </row>
    <row r="11">
      <c r="A11" s="14" t="s">
        <v>44</v>
      </c>
      <c r="B11" s="31">
        <v>8.0</v>
      </c>
      <c r="C11" s="35" t="s">
        <v>2780</v>
      </c>
      <c r="D11" s="35" t="s">
        <v>4619</v>
      </c>
      <c r="E11" s="36" t="s">
        <v>49</v>
      </c>
      <c r="F11" s="347" t="s">
        <v>781</v>
      </c>
      <c r="G11" s="118"/>
      <c r="H11" s="119"/>
      <c r="M11" s="14" t="str">
        <f t="shared" si="1"/>
        <v>h8@iga.in.gov</v>
      </c>
    </row>
    <row r="12">
      <c r="A12" s="14" t="s">
        <v>44</v>
      </c>
      <c r="B12" s="31">
        <v>9.0</v>
      </c>
      <c r="C12" s="35" t="s">
        <v>2249</v>
      </c>
      <c r="D12" s="35" t="s">
        <v>4620</v>
      </c>
      <c r="E12" s="36" t="s">
        <v>49</v>
      </c>
      <c r="F12" s="347"/>
      <c r="G12" s="122"/>
      <c r="H12" s="123"/>
      <c r="M12" s="14" t="str">
        <f t="shared" si="1"/>
        <v>h9@iga.in.gov</v>
      </c>
    </row>
    <row r="13">
      <c r="A13" s="14" t="s">
        <v>44</v>
      </c>
      <c r="B13" s="31">
        <v>10.0</v>
      </c>
      <c r="C13" s="35" t="s">
        <v>1287</v>
      </c>
      <c r="D13" s="35" t="s">
        <v>4624</v>
      </c>
      <c r="E13" s="36" t="s">
        <v>49</v>
      </c>
      <c r="F13" s="347"/>
      <c r="G13" s="118"/>
      <c r="H13" s="119"/>
      <c r="M13" s="14" t="str">
        <f t="shared" si="1"/>
        <v>h10@iga.in.gov</v>
      </c>
    </row>
    <row r="14">
      <c r="A14" s="14" t="s">
        <v>44</v>
      </c>
      <c r="B14" s="31">
        <v>11.0</v>
      </c>
      <c r="C14" s="35" t="s">
        <v>2490</v>
      </c>
      <c r="D14" s="35" t="s">
        <v>4628</v>
      </c>
      <c r="E14" s="51" t="s">
        <v>53</v>
      </c>
      <c r="F14" s="347"/>
      <c r="G14" s="122"/>
      <c r="H14" s="123"/>
      <c r="M14" s="14" t="str">
        <f t="shared" si="1"/>
        <v>h11@iga.in.gov</v>
      </c>
    </row>
    <row r="15">
      <c r="A15" s="14" t="s">
        <v>44</v>
      </c>
      <c r="B15" s="31">
        <v>12.0</v>
      </c>
      <c r="C15" s="35" t="s">
        <v>4629</v>
      </c>
      <c r="D15" s="35" t="s">
        <v>4632</v>
      </c>
      <c r="E15" s="36" t="s">
        <v>49</v>
      </c>
      <c r="F15" s="347" t="s">
        <v>2029</v>
      </c>
      <c r="G15" s="118"/>
      <c r="H15" s="119"/>
      <c r="M15" s="14" t="str">
        <f t="shared" si="1"/>
        <v>h12@iga.in.gov</v>
      </c>
    </row>
    <row r="16">
      <c r="A16" s="14" t="s">
        <v>44</v>
      </c>
      <c r="B16" s="31">
        <v>13.0</v>
      </c>
      <c r="C16" s="35" t="s">
        <v>1863</v>
      </c>
      <c r="D16" s="35" t="s">
        <v>4636</v>
      </c>
      <c r="E16" s="51" t="s">
        <v>53</v>
      </c>
      <c r="F16" s="347"/>
      <c r="G16" s="122"/>
      <c r="H16" s="123"/>
      <c r="M16" s="14" t="str">
        <f t="shared" si="1"/>
        <v>h13@iga.in.gov</v>
      </c>
    </row>
    <row r="17">
      <c r="A17" s="14" t="s">
        <v>44</v>
      </c>
      <c r="B17" s="31">
        <v>14.0</v>
      </c>
      <c r="C17" s="35" t="s">
        <v>3659</v>
      </c>
      <c r="D17" s="35" t="s">
        <v>1451</v>
      </c>
      <c r="E17" s="36" t="s">
        <v>49</v>
      </c>
      <c r="F17" s="347"/>
      <c r="G17" s="118"/>
      <c r="H17" s="119"/>
      <c r="M17" s="14" t="str">
        <f t="shared" si="1"/>
        <v>h14@iga.in.gov</v>
      </c>
    </row>
    <row r="18">
      <c r="A18" s="14" t="s">
        <v>44</v>
      </c>
      <c r="B18" s="31">
        <v>15.0</v>
      </c>
      <c r="C18" s="35" t="s">
        <v>4641</v>
      </c>
      <c r="D18" s="35" t="s">
        <v>4642</v>
      </c>
      <c r="E18" s="51" t="s">
        <v>53</v>
      </c>
      <c r="F18" s="347"/>
      <c r="G18" s="122"/>
      <c r="H18" s="123"/>
      <c r="M18" s="14" t="str">
        <f t="shared" si="1"/>
        <v>h15@iga.in.gov</v>
      </c>
    </row>
    <row r="19">
      <c r="A19" s="14" t="s">
        <v>44</v>
      </c>
      <c r="B19" s="31">
        <v>16.0</v>
      </c>
      <c r="C19" s="35" t="s">
        <v>1312</v>
      </c>
      <c r="D19" s="35" t="s">
        <v>4644</v>
      </c>
      <c r="E19" s="51" t="s">
        <v>53</v>
      </c>
      <c r="F19" s="347"/>
      <c r="G19" s="122"/>
      <c r="H19" s="123"/>
      <c r="M19" s="14" t="str">
        <f t="shared" si="1"/>
        <v>h16@iga.in.gov</v>
      </c>
    </row>
    <row r="20">
      <c r="A20" s="14" t="s">
        <v>44</v>
      </c>
      <c r="B20" s="31">
        <v>17.0</v>
      </c>
      <c r="C20" s="74" t="s">
        <v>792</v>
      </c>
      <c r="D20" s="74" t="s">
        <v>1581</v>
      </c>
      <c r="E20" s="51" t="s">
        <v>53</v>
      </c>
      <c r="F20" s="347"/>
      <c r="G20" s="122"/>
      <c r="H20" s="123"/>
      <c r="M20" s="14" t="str">
        <f t="shared" si="1"/>
        <v>h17@iga.in.gov</v>
      </c>
    </row>
    <row r="21">
      <c r="A21" s="14" t="s">
        <v>44</v>
      </c>
      <c r="B21" s="31">
        <v>18.0</v>
      </c>
      <c r="C21" s="35" t="s">
        <v>108</v>
      </c>
      <c r="D21" s="35" t="s">
        <v>4648</v>
      </c>
      <c r="E21" s="51" t="s">
        <v>53</v>
      </c>
      <c r="F21" s="347"/>
      <c r="G21" s="122"/>
      <c r="H21" s="123"/>
      <c r="M21" s="14" t="str">
        <f t="shared" si="1"/>
        <v>h18@iga.in.gov</v>
      </c>
    </row>
    <row r="22">
      <c r="A22" s="14" t="s">
        <v>44</v>
      </c>
      <c r="B22" s="31">
        <v>19.0</v>
      </c>
      <c r="C22" s="74" t="s">
        <v>432</v>
      </c>
      <c r="D22" s="74" t="s">
        <v>1494</v>
      </c>
      <c r="E22" s="36" t="s">
        <v>49</v>
      </c>
      <c r="F22" s="347"/>
      <c r="G22" s="122"/>
      <c r="H22" s="123"/>
      <c r="M22" s="14" t="str">
        <f t="shared" si="1"/>
        <v>h19@iga.in.gov</v>
      </c>
    </row>
    <row r="23">
      <c r="A23" s="14" t="s">
        <v>44</v>
      </c>
      <c r="B23" s="31">
        <v>20.0</v>
      </c>
      <c r="C23" s="74" t="s">
        <v>476</v>
      </c>
      <c r="D23" s="74" t="s">
        <v>4649</v>
      </c>
      <c r="E23" s="51" t="s">
        <v>53</v>
      </c>
      <c r="F23" s="347"/>
      <c r="G23" s="122"/>
      <c r="H23" s="123"/>
      <c r="M23" s="14" t="str">
        <f t="shared" si="1"/>
        <v>h20@iga.in.gov</v>
      </c>
    </row>
    <row r="24">
      <c r="A24" s="14" t="s">
        <v>44</v>
      </c>
      <c r="B24" s="31">
        <v>21.0</v>
      </c>
      <c r="C24" s="35" t="s">
        <v>2507</v>
      </c>
      <c r="D24" s="35" t="s">
        <v>4656</v>
      </c>
      <c r="E24" s="51" t="s">
        <v>53</v>
      </c>
      <c r="F24" s="347"/>
      <c r="G24" s="122"/>
      <c r="H24" s="123"/>
      <c r="M24" s="14" t="str">
        <f t="shared" si="1"/>
        <v>h21@iga.in.gov</v>
      </c>
    </row>
    <row r="25">
      <c r="A25" s="14" t="s">
        <v>44</v>
      </c>
      <c r="B25" s="31">
        <v>22.0</v>
      </c>
      <c r="C25" s="74" t="s">
        <v>4657</v>
      </c>
      <c r="D25" s="74" t="s">
        <v>4658</v>
      </c>
      <c r="E25" s="51" t="s">
        <v>53</v>
      </c>
      <c r="F25" s="347"/>
      <c r="G25" s="118"/>
      <c r="H25" s="119"/>
      <c r="M25" s="14" t="str">
        <f t="shared" si="1"/>
        <v>h22@iga.in.gov</v>
      </c>
    </row>
    <row r="26">
      <c r="A26" s="14" t="s">
        <v>44</v>
      </c>
      <c r="B26" s="31">
        <v>23.0</v>
      </c>
      <c r="C26" s="35" t="s">
        <v>4659</v>
      </c>
      <c r="D26" s="35" t="s">
        <v>4660</v>
      </c>
      <c r="E26" s="51" t="s">
        <v>53</v>
      </c>
      <c r="F26" s="347"/>
      <c r="G26" s="122"/>
      <c r="H26" s="123"/>
      <c r="L26" s="368" t="s">
        <v>4663</v>
      </c>
      <c r="M26" s="14" t="str">
        <f t="shared" si="1"/>
        <v>h23@iga.in.gov</v>
      </c>
    </row>
    <row r="27">
      <c r="A27" s="14" t="s">
        <v>44</v>
      </c>
      <c r="B27" s="31">
        <v>24.0</v>
      </c>
      <c r="C27" s="35" t="s">
        <v>3404</v>
      </c>
      <c r="D27" s="35" t="s">
        <v>4670</v>
      </c>
      <c r="E27" s="51" t="s">
        <v>53</v>
      </c>
      <c r="F27" s="347"/>
      <c r="G27" s="122"/>
      <c r="H27" s="123"/>
      <c r="M27" s="14" t="str">
        <f t="shared" si="1"/>
        <v>h24@iga.in.gov</v>
      </c>
    </row>
    <row r="28">
      <c r="A28" s="14" t="s">
        <v>44</v>
      </c>
      <c r="B28" s="31">
        <v>25.0</v>
      </c>
      <c r="C28" s="35" t="s">
        <v>428</v>
      </c>
      <c r="D28" s="35" t="s">
        <v>4679</v>
      </c>
      <c r="E28" s="51" t="s">
        <v>53</v>
      </c>
      <c r="F28" s="347"/>
      <c r="G28" s="122"/>
      <c r="H28" s="227" t="s">
        <v>4680</v>
      </c>
      <c r="M28" s="14" t="str">
        <f t="shared" si="1"/>
        <v>h25@iga.in.gov</v>
      </c>
    </row>
    <row r="29">
      <c r="A29" s="14" t="s">
        <v>44</v>
      </c>
      <c r="B29" s="31">
        <v>26.0</v>
      </c>
      <c r="C29" s="74" t="s">
        <v>173</v>
      </c>
      <c r="D29" s="74" t="s">
        <v>530</v>
      </c>
      <c r="E29" s="36" t="s">
        <v>49</v>
      </c>
      <c r="F29" s="347"/>
      <c r="G29" s="122"/>
      <c r="H29" s="123"/>
      <c r="M29" s="14" t="str">
        <f t="shared" si="1"/>
        <v>h26@iga.in.gov</v>
      </c>
    </row>
    <row r="30">
      <c r="A30" s="14" t="s">
        <v>44</v>
      </c>
      <c r="B30" s="31">
        <v>27.0</v>
      </c>
      <c r="C30" s="35" t="s">
        <v>3432</v>
      </c>
      <c r="D30" s="35" t="s">
        <v>4687</v>
      </c>
      <c r="E30" s="36" t="s">
        <v>49</v>
      </c>
      <c r="F30" s="347"/>
      <c r="G30" s="118"/>
      <c r="H30" s="119"/>
      <c r="M30" s="14" t="str">
        <f t="shared" si="1"/>
        <v>h27@iga.in.gov</v>
      </c>
    </row>
    <row r="31">
      <c r="A31" s="14" t="s">
        <v>44</v>
      </c>
      <c r="B31" s="31">
        <v>28.0</v>
      </c>
      <c r="C31" s="35" t="s">
        <v>683</v>
      </c>
      <c r="D31" s="35" t="s">
        <v>59</v>
      </c>
      <c r="E31" s="51" t="s">
        <v>53</v>
      </c>
      <c r="F31" s="347"/>
      <c r="G31" s="122"/>
      <c r="H31" s="123"/>
      <c r="M31" s="14" t="str">
        <f t="shared" si="1"/>
        <v>h28@iga.in.gov</v>
      </c>
    </row>
    <row r="32">
      <c r="A32" s="14" t="s">
        <v>44</v>
      </c>
      <c r="B32" s="31">
        <v>29.0</v>
      </c>
      <c r="C32" s="35" t="s">
        <v>177</v>
      </c>
      <c r="D32" s="35" t="s">
        <v>4704</v>
      </c>
      <c r="E32" s="51" t="s">
        <v>53</v>
      </c>
      <c r="F32" s="347"/>
      <c r="G32" s="122"/>
      <c r="H32" s="227" t="s">
        <v>4705</v>
      </c>
      <c r="L32" s="368" t="s">
        <v>4707</v>
      </c>
      <c r="M32" s="14" t="str">
        <f t="shared" si="1"/>
        <v>h29@iga.in.gov</v>
      </c>
    </row>
    <row r="33">
      <c r="A33" s="14" t="s">
        <v>44</v>
      </c>
      <c r="B33" s="31">
        <v>30.0</v>
      </c>
      <c r="C33" s="35" t="s">
        <v>2490</v>
      </c>
      <c r="D33" s="35" t="s">
        <v>4713</v>
      </c>
      <c r="E33" s="51" t="s">
        <v>53</v>
      </c>
      <c r="F33" s="226" t="s">
        <v>751</v>
      </c>
      <c r="G33" s="118"/>
      <c r="H33" s="119"/>
      <c r="M33" s="14" t="str">
        <f t="shared" si="1"/>
        <v>h30@iga.in.gov</v>
      </c>
    </row>
    <row r="34">
      <c r="A34" s="14" t="s">
        <v>44</v>
      </c>
      <c r="B34" s="31">
        <v>31.0</v>
      </c>
      <c r="C34" s="74" t="s">
        <v>971</v>
      </c>
      <c r="D34" s="74" t="s">
        <v>4715</v>
      </c>
      <c r="E34" s="51" t="s">
        <v>53</v>
      </c>
      <c r="F34" s="347"/>
      <c r="G34" s="122"/>
      <c r="H34" s="123"/>
      <c r="M34" s="14" t="str">
        <f t="shared" si="1"/>
        <v>h31@iga.in.gov</v>
      </c>
    </row>
    <row r="35">
      <c r="A35" s="14" t="s">
        <v>44</v>
      </c>
      <c r="B35" s="31">
        <v>32.0</v>
      </c>
      <c r="C35" s="74" t="s">
        <v>980</v>
      </c>
      <c r="D35" s="74" t="s">
        <v>731</v>
      </c>
      <c r="E35" s="51" t="s">
        <v>53</v>
      </c>
      <c r="F35" s="347"/>
      <c r="G35" s="122"/>
      <c r="H35" s="123"/>
      <c r="M35" s="14" t="str">
        <f t="shared" si="1"/>
        <v>h32@iga.in.gov</v>
      </c>
    </row>
    <row r="36">
      <c r="A36" s="14" t="s">
        <v>44</v>
      </c>
      <c r="B36" s="31">
        <v>33.0</v>
      </c>
      <c r="C36" s="74" t="s">
        <v>278</v>
      </c>
      <c r="D36" s="74" t="s">
        <v>523</v>
      </c>
      <c r="E36" s="51" t="s">
        <v>53</v>
      </c>
      <c r="F36" s="347"/>
      <c r="G36" s="122"/>
      <c r="H36" s="123"/>
      <c r="M36" s="14" t="str">
        <f t="shared" si="1"/>
        <v>h33@iga.in.gov</v>
      </c>
    </row>
    <row r="37">
      <c r="A37" s="14" t="s">
        <v>44</v>
      </c>
      <c r="B37" s="31">
        <v>34.0</v>
      </c>
      <c r="C37" s="35" t="s">
        <v>4426</v>
      </c>
      <c r="D37" s="35" t="s">
        <v>4717</v>
      </c>
      <c r="E37" s="36" t="s">
        <v>49</v>
      </c>
      <c r="F37" s="347"/>
      <c r="G37" s="118"/>
      <c r="H37" s="119"/>
      <c r="M37" s="14" t="str">
        <f t="shared" si="1"/>
        <v>h34@iga.in.gov</v>
      </c>
    </row>
    <row r="38">
      <c r="A38" s="14" t="s">
        <v>44</v>
      </c>
      <c r="B38" s="31">
        <v>35.0</v>
      </c>
      <c r="C38" s="74" t="s">
        <v>4719</v>
      </c>
      <c r="D38" s="74" t="s">
        <v>3221</v>
      </c>
      <c r="E38" s="36" t="s">
        <v>49</v>
      </c>
      <c r="F38" s="347"/>
      <c r="G38" s="122"/>
      <c r="H38" s="123"/>
      <c r="M38" s="14" t="str">
        <f t="shared" si="1"/>
        <v>h35@iga.in.gov</v>
      </c>
    </row>
    <row r="39">
      <c r="A39" s="14" t="s">
        <v>44</v>
      </c>
      <c r="B39" s="31">
        <v>36.0</v>
      </c>
      <c r="C39" s="35" t="s">
        <v>134</v>
      </c>
      <c r="D39" s="35" t="s">
        <v>1763</v>
      </c>
      <c r="E39" s="36" t="s">
        <v>49</v>
      </c>
      <c r="F39" s="347"/>
      <c r="G39" s="122"/>
      <c r="H39" s="123"/>
      <c r="M39" s="14" t="str">
        <f t="shared" si="1"/>
        <v>h36@iga.in.gov</v>
      </c>
    </row>
    <row r="40">
      <c r="A40" s="14" t="s">
        <v>44</v>
      </c>
      <c r="B40" s="31">
        <v>37.0</v>
      </c>
      <c r="C40" s="74" t="s">
        <v>1974</v>
      </c>
      <c r="D40" s="74" t="s">
        <v>4140</v>
      </c>
      <c r="E40" s="51" t="s">
        <v>53</v>
      </c>
      <c r="F40" s="347"/>
      <c r="G40" s="122"/>
      <c r="H40" s="123"/>
      <c r="M40" s="14" t="str">
        <f t="shared" si="1"/>
        <v>h37@iga.in.gov</v>
      </c>
    </row>
    <row r="41">
      <c r="A41" s="14" t="s">
        <v>44</v>
      </c>
      <c r="B41" s="31">
        <v>38.0</v>
      </c>
      <c r="C41" s="35" t="s">
        <v>1439</v>
      </c>
      <c r="D41" s="35" t="s">
        <v>4721</v>
      </c>
      <c r="E41" s="51" t="s">
        <v>53</v>
      </c>
      <c r="F41" s="347"/>
      <c r="G41" s="122"/>
      <c r="H41" s="123"/>
      <c r="M41" s="14" t="str">
        <f t="shared" si="1"/>
        <v>h38@iga.in.gov</v>
      </c>
    </row>
    <row r="42">
      <c r="A42" s="14" t="s">
        <v>44</v>
      </c>
      <c r="B42" s="31">
        <v>39.0</v>
      </c>
      <c r="C42" s="35" t="s">
        <v>2105</v>
      </c>
      <c r="D42" s="35" t="s">
        <v>4723</v>
      </c>
      <c r="E42" s="51" t="s">
        <v>53</v>
      </c>
      <c r="F42" s="347" t="s">
        <v>781</v>
      </c>
      <c r="G42" s="122"/>
      <c r="H42" s="123"/>
      <c r="M42" s="14" t="str">
        <f t="shared" si="1"/>
        <v>h39@iga.in.gov</v>
      </c>
    </row>
    <row r="43">
      <c r="A43" s="14" t="s">
        <v>44</v>
      </c>
      <c r="B43" s="31">
        <v>40.0</v>
      </c>
      <c r="C43" s="74" t="s">
        <v>997</v>
      </c>
      <c r="D43" s="74" t="s">
        <v>4724</v>
      </c>
      <c r="E43" s="51" t="s">
        <v>53</v>
      </c>
      <c r="F43" s="226" t="s">
        <v>4725</v>
      </c>
      <c r="G43" s="122" t="s">
        <v>781</v>
      </c>
      <c r="H43" s="123"/>
      <c r="M43" s="14" t="str">
        <f t="shared" si="1"/>
        <v>h40@iga.in.gov</v>
      </c>
    </row>
    <row r="44">
      <c r="A44" s="14" t="s">
        <v>44</v>
      </c>
      <c r="B44" s="31">
        <v>41.0</v>
      </c>
      <c r="C44" s="35" t="s">
        <v>225</v>
      </c>
      <c r="D44" s="35" t="s">
        <v>447</v>
      </c>
      <c r="E44" s="51" t="s">
        <v>53</v>
      </c>
      <c r="F44" s="347"/>
      <c r="G44" s="122"/>
      <c r="H44" s="123"/>
      <c r="M44" s="14" t="str">
        <f t="shared" si="1"/>
        <v>h41@iga.in.gov</v>
      </c>
    </row>
    <row r="45">
      <c r="A45" s="14" t="s">
        <v>44</v>
      </c>
      <c r="B45" s="31">
        <v>42.0</v>
      </c>
      <c r="C45" s="74" t="s">
        <v>551</v>
      </c>
      <c r="D45" s="74" t="s">
        <v>4239</v>
      </c>
      <c r="E45" s="51" t="s">
        <v>53</v>
      </c>
      <c r="F45" s="347"/>
      <c r="G45" s="122"/>
      <c r="H45" s="123"/>
      <c r="M45" s="14" t="str">
        <f t="shared" si="1"/>
        <v>h42@iga.in.gov</v>
      </c>
    </row>
    <row r="46">
      <c r="A46" s="14" t="s">
        <v>44</v>
      </c>
      <c r="B46" s="31">
        <v>43.0</v>
      </c>
      <c r="C46" s="35" t="s">
        <v>4695</v>
      </c>
      <c r="D46" s="35" t="s">
        <v>4728</v>
      </c>
      <c r="E46" s="36" t="s">
        <v>49</v>
      </c>
      <c r="F46" s="347"/>
      <c r="G46" s="122"/>
      <c r="H46" s="123"/>
      <c r="M46" s="14" t="str">
        <f t="shared" si="1"/>
        <v>h43@iga.in.gov</v>
      </c>
    </row>
    <row r="47">
      <c r="A47" s="14" t="s">
        <v>44</v>
      </c>
      <c r="B47" s="31">
        <v>44.0</v>
      </c>
      <c r="C47" s="35" t="s">
        <v>4729</v>
      </c>
      <c r="D47" s="35" t="s">
        <v>4730</v>
      </c>
      <c r="E47" s="51" t="s">
        <v>53</v>
      </c>
      <c r="F47" s="347"/>
      <c r="G47" s="122"/>
      <c r="H47" s="123"/>
      <c r="M47" s="14" t="str">
        <f t="shared" si="1"/>
        <v>h44@iga.in.gov</v>
      </c>
    </row>
    <row r="48">
      <c r="A48" s="14" t="s">
        <v>44</v>
      </c>
      <c r="B48" s="31">
        <v>45.0</v>
      </c>
      <c r="C48" s="35" t="s">
        <v>1193</v>
      </c>
      <c r="D48" s="35" t="s">
        <v>4731</v>
      </c>
      <c r="E48" s="51" t="s">
        <v>53</v>
      </c>
      <c r="F48" s="347"/>
      <c r="G48" s="122"/>
      <c r="H48" s="123"/>
      <c r="M48" s="14" t="str">
        <f t="shared" si="1"/>
        <v>h45@iga.in.gov</v>
      </c>
    </row>
    <row r="49">
      <c r="A49" s="14" t="s">
        <v>44</v>
      </c>
      <c r="B49" s="31">
        <v>46.0</v>
      </c>
      <c r="C49" s="35" t="s">
        <v>419</v>
      </c>
      <c r="D49" s="35" t="s">
        <v>4733</v>
      </c>
      <c r="E49" s="51" t="s">
        <v>53</v>
      </c>
      <c r="F49" s="226" t="s">
        <v>1188</v>
      </c>
      <c r="G49" s="122"/>
      <c r="H49" s="123"/>
      <c r="M49" s="14" t="str">
        <f t="shared" si="1"/>
        <v>h46@iga.in.gov</v>
      </c>
    </row>
    <row r="50">
      <c r="A50" s="14" t="s">
        <v>44</v>
      </c>
      <c r="B50" s="31">
        <v>47.0</v>
      </c>
      <c r="C50" s="74" t="s">
        <v>278</v>
      </c>
      <c r="D50" s="74" t="s">
        <v>429</v>
      </c>
      <c r="E50" s="51" t="s">
        <v>53</v>
      </c>
      <c r="F50" s="347" t="s">
        <v>781</v>
      </c>
      <c r="G50" s="122"/>
      <c r="H50" s="123"/>
      <c r="M50" s="14" t="str">
        <f t="shared" si="1"/>
        <v>h47@iga.in.gov</v>
      </c>
    </row>
    <row r="51">
      <c r="A51" s="14" t="s">
        <v>44</v>
      </c>
      <c r="B51" s="31">
        <v>48.0</v>
      </c>
      <c r="C51" s="35" t="s">
        <v>1312</v>
      </c>
      <c r="D51" s="35" t="s">
        <v>1501</v>
      </c>
      <c r="E51" s="51" t="s">
        <v>53</v>
      </c>
      <c r="F51" s="347"/>
      <c r="G51" s="122"/>
      <c r="H51" s="123"/>
      <c r="M51" s="14" t="str">
        <f t="shared" si="1"/>
        <v>h48@iga.in.gov</v>
      </c>
    </row>
    <row r="52">
      <c r="A52" s="14" t="s">
        <v>44</v>
      </c>
      <c r="B52" s="31">
        <v>49.0</v>
      </c>
      <c r="C52" s="74" t="s">
        <v>3882</v>
      </c>
      <c r="D52" s="74" t="s">
        <v>4735</v>
      </c>
      <c r="E52" s="51" t="s">
        <v>53</v>
      </c>
      <c r="F52" s="347"/>
      <c r="G52" s="118"/>
      <c r="H52" s="119"/>
      <c r="M52" s="14" t="str">
        <f t="shared" si="1"/>
        <v>h49@iga.in.gov</v>
      </c>
    </row>
    <row r="53">
      <c r="A53" s="14" t="s">
        <v>44</v>
      </c>
      <c r="B53" s="31">
        <v>50.0</v>
      </c>
      <c r="C53" s="35" t="s">
        <v>239</v>
      </c>
      <c r="D53" s="35" t="s">
        <v>4737</v>
      </c>
      <c r="E53" s="51" t="s">
        <v>53</v>
      </c>
      <c r="F53" s="347" t="s">
        <v>781</v>
      </c>
      <c r="G53" s="122"/>
      <c r="H53" s="123"/>
      <c r="M53" s="14" t="str">
        <f t="shared" si="1"/>
        <v>h50@iga.in.gov</v>
      </c>
    </row>
    <row r="54">
      <c r="A54" s="14" t="s">
        <v>44</v>
      </c>
      <c r="B54" s="31">
        <v>51.0</v>
      </c>
      <c r="C54" s="74" t="s">
        <v>2194</v>
      </c>
      <c r="D54" s="74" t="s">
        <v>4738</v>
      </c>
      <c r="E54" s="51" t="s">
        <v>53</v>
      </c>
      <c r="F54" s="347"/>
      <c r="G54" s="122"/>
      <c r="H54" s="123"/>
      <c r="M54" s="14" t="str">
        <f t="shared" si="1"/>
        <v>h51@iga.in.gov</v>
      </c>
    </row>
    <row r="55">
      <c r="A55" s="14" t="s">
        <v>44</v>
      </c>
      <c r="B55" s="31">
        <v>52.0</v>
      </c>
      <c r="C55" s="74" t="s">
        <v>195</v>
      </c>
      <c r="D55" s="74" t="s">
        <v>4739</v>
      </c>
      <c r="E55" s="51" t="s">
        <v>53</v>
      </c>
      <c r="F55" s="347"/>
      <c r="G55" s="122"/>
      <c r="H55" s="123"/>
      <c r="M55" s="14" t="str">
        <f t="shared" si="1"/>
        <v>h52@iga.in.gov</v>
      </c>
    </row>
    <row r="56">
      <c r="A56" s="14" t="s">
        <v>44</v>
      </c>
      <c r="B56" s="31">
        <v>53.0</v>
      </c>
      <c r="C56" s="35" t="s">
        <v>419</v>
      </c>
      <c r="D56" s="35" t="s">
        <v>4741</v>
      </c>
      <c r="E56" s="51" t="s">
        <v>53</v>
      </c>
      <c r="F56" s="347"/>
      <c r="G56" s="122"/>
      <c r="H56" s="123"/>
      <c r="M56" s="14" t="str">
        <f t="shared" si="1"/>
        <v>h53@iga.in.gov</v>
      </c>
    </row>
    <row r="57">
      <c r="A57" s="14" t="s">
        <v>44</v>
      </c>
      <c r="B57" s="31">
        <v>54.0</v>
      </c>
      <c r="C57" s="35" t="s">
        <v>561</v>
      </c>
      <c r="D57" s="35" t="s">
        <v>4742</v>
      </c>
      <c r="E57" s="51" t="s">
        <v>53</v>
      </c>
      <c r="F57" s="347"/>
      <c r="G57" s="118"/>
      <c r="H57" s="119"/>
      <c r="M57" s="14" t="str">
        <f t="shared" si="1"/>
        <v>h54@iga.in.gov</v>
      </c>
    </row>
    <row r="58">
      <c r="A58" s="14" t="s">
        <v>44</v>
      </c>
      <c r="B58" s="31">
        <v>55.0</v>
      </c>
      <c r="C58" s="35" t="s">
        <v>1561</v>
      </c>
      <c r="D58" s="35" t="s">
        <v>4743</v>
      </c>
      <c r="E58" s="51" t="s">
        <v>53</v>
      </c>
      <c r="F58" s="347"/>
      <c r="G58" s="122"/>
      <c r="H58" s="123"/>
      <c r="M58" s="14" t="str">
        <f t="shared" si="1"/>
        <v>h55@iga.in.gov</v>
      </c>
    </row>
    <row r="59">
      <c r="A59" s="14" t="s">
        <v>44</v>
      </c>
      <c r="B59" s="31">
        <v>56.0</v>
      </c>
      <c r="C59" s="74" t="s">
        <v>2241</v>
      </c>
      <c r="D59" s="74" t="s">
        <v>4745</v>
      </c>
      <c r="E59" s="51" t="s">
        <v>53</v>
      </c>
      <c r="F59" s="347"/>
      <c r="G59" s="122"/>
      <c r="H59" s="123"/>
      <c r="M59" s="14" t="str">
        <f t="shared" si="1"/>
        <v>h56@iga.in.gov</v>
      </c>
    </row>
    <row r="60">
      <c r="A60" s="14" t="s">
        <v>44</v>
      </c>
      <c r="B60" s="31">
        <v>57.0</v>
      </c>
      <c r="C60" s="35" t="s">
        <v>1276</v>
      </c>
      <c r="D60" s="35" t="s">
        <v>4746</v>
      </c>
      <c r="E60" s="51" t="s">
        <v>53</v>
      </c>
      <c r="F60" s="347"/>
      <c r="G60" s="118"/>
      <c r="H60" s="119"/>
      <c r="M60" s="14" t="str">
        <f t="shared" si="1"/>
        <v>h57@iga.in.gov</v>
      </c>
    </row>
    <row r="61">
      <c r="A61" s="14" t="s">
        <v>44</v>
      </c>
      <c r="B61" s="31">
        <v>58.0</v>
      </c>
      <c r="C61" s="35" t="s">
        <v>4747</v>
      </c>
      <c r="D61" s="35" t="s">
        <v>2945</v>
      </c>
      <c r="E61" s="51" t="s">
        <v>53</v>
      </c>
      <c r="F61" s="347" t="s">
        <v>781</v>
      </c>
      <c r="G61" s="122"/>
      <c r="H61" s="123"/>
      <c r="M61" s="14" t="str">
        <f t="shared" si="1"/>
        <v>h58@iga.in.gov</v>
      </c>
    </row>
    <row r="62">
      <c r="A62" s="14" t="s">
        <v>44</v>
      </c>
      <c r="B62" s="31">
        <v>59.0</v>
      </c>
      <c r="C62" s="35" t="s">
        <v>2780</v>
      </c>
      <c r="D62" s="35" t="s">
        <v>4749</v>
      </c>
      <c r="E62" s="51" t="s">
        <v>53</v>
      </c>
      <c r="F62" s="347"/>
      <c r="G62" s="122"/>
      <c r="H62" s="123"/>
      <c r="M62" s="14" t="str">
        <f t="shared" si="1"/>
        <v>h59@iga.in.gov</v>
      </c>
    </row>
    <row r="63">
      <c r="A63" s="14" t="s">
        <v>44</v>
      </c>
      <c r="B63" s="31">
        <v>60.0</v>
      </c>
      <c r="C63" s="74" t="s">
        <v>4750</v>
      </c>
      <c r="D63" s="74" t="s">
        <v>3240</v>
      </c>
      <c r="E63" s="51" t="s">
        <v>53</v>
      </c>
      <c r="F63" s="347"/>
      <c r="G63" s="122"/>
      <c r="H63" s="123"/>
      <c r="M63" s="14" t="str">
        <f t="shared" si="1"/>
        <v>h60@iga.in.gov</v>
      </c>
    </row>
    <row r="64">
      <c r="A64" s="14" t="s">
        <v>44</v>
      </c>
      <c r="B64" s="31">
        <v>61.0</v>
      </c>
      <c r="C64" s="35" t="s">
        <v>163</v>
      </c>
      <c r="D64" s="35" t="s">
        <v>4752</v>
      </c>
      <c r="E64" s="36" t="s">
        <v>49</v>
      </c>
      <c r="F64" s="347"/>
      <c r="G64" s="118"/>
      <c r="H64" s="119"/>
      <c r="M64" s="14" t="str">
        <f t="shared" si="1"/>
        <v>h61@iga.in.gov</v>
      </c>
    </row>
    <row r="65">
      <c r="A65" s="14" t="s">
        <v>44</v>
      </c>
      <c r="B65" s="31">
        <v>62.0</v>
      </c>
      <c r="C65" s="74" t="s">
        <v>683</v>
      </c>
      <c r="D65" s="74" t="s">
        <v>4753</v>
      </c>
      <c r="E65" s="51" t="s">
        <v>53</v>
      </c>
      <c r="F65" s="347"/>
      <c r="G65" s="122"/>
      <c r="H65" s="123"/>
      <c r="M65" s="14" t="str">
        <f t="shared" si="1"/>
        <v>h62@iga.in.gov</v>
      </c>
    </row>
    <row r="66">
      <c r="A66" s="14" t="s">
        <v>44</v>
      </c>
      <c r="B66" s="31">
        <v>63.0</v>
      </c>
      <c r="C66" s="74" t="s">
        <v>756</v>
      </c>
      <c r="D66" s="74" t="s">
        <v>4754</v>
      </c>
      <c r="E66" s="51" t="s">
        <v>53</v>
      </c>
      <c r="F66" s="347"/>
      <c r="G66" s="122"/>
      <c r="H66" s="123"/>
      <c r="M66" s="14" t="str">
        <f t="shared" si="1"/>
        <v>h63@iga.in.gov</v>
      </c>
    </row>
    <row r="67">
      <c r="A67" s="14" t="s">
        <v>44</v>
      </c>
      <c r="B67" s="31">
        <v>64.0</v>
      </c>
      <c r="C67" s="35" t="s">
        <v>163</v>
      </c>
      <c r="D67" s="35" t="s">
        <v>4756</v>
      </c>
      <c r="E67" s="51" t="s">
        <v>53</v>
      </c>
      <c r="F67" s="347"/>
      <c r="G67" s="118"/>
      <c r="H67" s="119"/>
      <c r="M67" s="14" t="str">
        <f t="shared" si="1"/>
        <v>h64@iga.in.gov</v>
      </c>
    </row>
    <row r="68">
      <c r="A68" s="14" t="s">
        <v>44</v>
      </c>
      <c r="B68" s="31">
        <v>65.0</v>
      </c>
      <c r="C68" s="74" t="s">
        <v>575</v>
      </c>
      <c r="D68" s="74" t="s">
        <v>4758</v>
      </c>
      <c r="E68" s="51" t="s">
        <v>53</v>
      </c>
      <c r="F68" s="347" t="s">
        <v>781</v>
      </c>
      <c r="G68" s="122"/>
      <c r="H68" s="123"/>
      <c r="M68" s="14" t="str">
        <f t="shared" si="1"/>
        <v>h65@iga.in.gov</v>
      </c>
    </row>
    <row r="69">
      <c r="A69" s="14" t="s">
        <v>44</v>
      </c>
      <c r="B69" s="31">
        <v>66.0</v>
      </c>
      <c r="C69" s="35" t="s">
        <v>1990</v>
      </c>
      <c r="D69" s="35" t="s">
        <v>4762</v>
      </c>
      <c r="E69" s="36" t="s">
        <v>49</v>
      </c>
      <c r="F69" s="303"/>
      <c r="G69" s="122"/>
      <c r="H69" s="123"/>
      <c r="M69" s="14" t="str">
        <f t="shared" si="1"/>
        <v>h66@iga.in.gov</v>
      </c>
    </row>
    <row r="70">
      <c r="A70" s="14" t="s">
        <v>44</v>
      </c>
      <c r="B70" s="31">
        <v>67.0</v>
      </c>
      <c r="C70" s="74" t="s">
        <v>412</v>
      </c>
      <c r="D70" s="74" t="s">
        <v>3772</v>
      </c>
      <c r="E70" s="51" t="s">
        <v>53</v>
      </c>
      <c r="F70" s="347"/>
      <c r="G70" s="122"/>
      <c r="H70" s="123"/>
      <c r="M70" s="14" t="str">
        <f t="shared" si="1"/>
        <v>h67@iga.in.gov</v>
      </c>
    </row>
    <row r="71">
      <c r="A71" s="14" t="s">
        <v>44</v>
      </c>
      <c r="B71" s="31">
        <v>68.0</v>
      </c>
      <c r="C71" s="74" t="s">
        <v>412</v>
      </c>
      <c r="D71" s="74" t="s">
        <v>4764</v>
      </c>
      <c r="E71" s="51" t="s">
        <v>53</v>
      </c>
      <c r="F71" s="347"/>
      <c r="G71" s="122"/>
      <c r="H71" s="123"/>
      <c r="M71" s="14" t="str">
        <f t="shared" si="1"/>
        <v>h68@iga.in.gov</v>
      </c>
    </row>
    <row r="72">
      <c r="A72" s="14" t="s">
        <v>44</v>
      </c>
      <c r="B72" s="31">
        <v>69.0</v>
      </c>
      <c r="C72" s="74" t="s">
        <v>476</v>
      </c>
      <c r="D72" s="74" t="s">
        <v>4549</v>
      </c>
      <c r="E72" s="51" t="s">
        <v>53</v>
      </c>
      <c r="F72" s="347"/>
      <c r="G72" s="122"/>
      <c r="H72" s="123"/>
      <c r="M72" s="14" t="str">
        <f t="shared" si="1"/>
        <v>h69@iga.in.gov</v>
      </c>
    </row>
    <row r="73">
      <c r="A73" s="14" t="s">
        <v>44</v>
      </c>
      <c r="B73" s="31">
        <v>70.0</v>
      </c>
      <c r="C73" s="74" t="s">
        <v>1153</v>
      </c>
      <c r="D73" s="74" t="s">
        <v>4765</v>
      </c>
      <c r="E73" s="51" t="s">
        <v>53</v>
      </c>
      <c r="F73" s="347" t="s">
        <v>781</v>
      </c>
      <c r="G73" s="122"/>
      <c r="H73" s="123"/>
      <c r="M73" s="14" t="str">
        <f t="shared" si="1"/>
        <v>h70@iga.in.gov</v>
      </c>
    </row>
    <row r="74">
      <c r="A74" s="14" t="s">
        <v>44</v>
      </c>
      <c r="B74" s="31">
        <v>71.0</v>
      </c>
      <c r="C74" s="35" t="s">
        <v>4118</v>
      </c>
      <c r="D74" s="35" t="s">
        <v>3789</v>
      </c>
      <c r="E74" s="36" t="s">
        <v>49</v>
      </c>
      <c r="F74" s="347"/>
      <c r="G74" s="122"/>
      <c r="H74" s="123"/>
      <c r="M74" s="14" t="str">
        <f t="shared" si="1"/>
        <v>h71@iga.in.gov</v>
      </c>
    </row>
    <row r="75">
      <c r="A75" s="14" t="s">
        <v>44</v>
      </c>
      <c r="B75" s="31">
        <v>72.0</v>
      </c>
      <c r="C75" s="35" t="s">
        <v>2705</v>
      </c>
      <c r="D75" s="35" t="s">
        <v>4770</v>
      </c>
      <c r="E75" s="51" t="s">
        <v>53</v>
      </c>
      <c r="F75" s="347"/>
      <c r="G75" s="122"/>
      <c r="H75" s="123"/>
      <c r="M75" s="14" t="str">
        <f t="shared" si="1"/>
        <v>h72@iga.in.gov</v>
      </c>
    </row>
    <row r="76">
      <c r="A76" s="14" t="s">
        <v>44</v>
      </c>
      <c r="B76" s="31">
        <v>73.0</v>
      </c>
      <c r="C76" s="74" t="s">
        <v>55</v>
      </c>
      <c r="D76" s="74" t="s">
        <v>4773</v>
      </c>
      <c r="E76" s="51" t="s">
        <v>53</v>
      </c>
      <c r="F76" s="347"/>
      <c r="G76" s="118"/>
      <c r="H76" s="119"/>
      <c r="M76" s="14" t="str">
        <f t="shared" si="1"/>
        <v>h73@iga.in.gov</v>
      </c>
    </row>
    <row r="77">
      <c r="A77" s="14" t="s">
        <v>44</v>
      </c>
      <c r="B77" s="31">
        <v>74.0</v>
      </c>
      <c r="C77" s="74" t="s">
        <v>1505</v>
      </c>
      <c r="D77" s="74" t="s">
        <v>4775</v>
      </c>
      <c r="E77" s="51" t="s">
        <v>53</v>
      </c>
      <c r="F77" s="347"/>
      <c r="G77" s="122"/>
      <c r="H77" s="123"/>
      <c r="M77" s="14" t="str">
        <f t="shared" si="1"/>
        <v>h74@iga.in.gov</v>
      </c>
    </row>
    <row r="78">
      <c r="A78" s="14" t="s">
        <v>44</v>
      </c>
      <c r="B78" s="31">
        <v>75.0</v>
      </c>
      <c r="C78" s="35" t="s">
        <v>393</v>
      </c>
      <c r="D78" s="35" t="s">
        <v>4776</v>
      </c>
      <c r="E78" s="51" t="s">
        <v>53</v>
      </c>
      <c r="F78" s="347"/>
      <c r="G78" s="122"/>
      <c r="H78" s="123"/>
      <c r="M78" s="14" t="str">
        <f t="shared" si="1"/>
        <v>h75@iga.in.gov</v>
      </c>
    </row>
    <row r="79">
      <c r="A79" s="14" t="s">
        <v>44</v>
      </c>
      <c r="B79" s="31">
        <v>76.0</v>
      </c>
      <c r="C79" s="35" t="s">
        <v>1725</v>
      </c>
      <c r="D79" s="35" t="s">
        <v>4777</v>
      </c>
      <c r="E79" s="51" t="s">
        <v>53</v>
      </c>
      <c r="F79" s="347" t="s">
        <v>781</v>
      </c>
      <c r="G79" s="122"/>
      <c r="H79" s="123"/>
      <c r="M79" s="14" t="str">
        <f t="shared" si="1"/>
        <v>h76@iga.in.gov</v>
      </c>
    </row>
    <row r="80">
      <c r="A80" s="14" t="s">
        <v>44</v>
      </c>
      <c r="B80" s="31">
        <v>77.0</v>
      </c>
      <c r="C80" s="74" t="s">
        <v>2780</v>
      </c>
      <c r="D80" s="74" t="s">
        <v>4778</v>
      </c>
      <c r="E80" s="36" t="s">
        <v>49</v>
      </c>
      <c r="F80" s="347" t="s">
        <v>781</v>
      </c>
      <c r="G80" s="118"/>
      <c r="H80" s="119"/>
      <c r="M80" s="14" t="str">
        <f t="shared" si="1"/>
        <v>h77@iga.in.gov</v>
      </c>
    </row>
    <row r="81">
      <c r="A81" s="14" t="s">
        <v>44</v>
      </c>
      <c r="B81" s="31">
        <v>78.0</v>
      </c>
      <c r="C81" s="74" t="s">
        <v>4779</v>
      </c>
      <c r="D81" s="74" t="s">
        <v>435</v>
      </c>
      <c r="E81" s="51" t="s">
        <v>53</v>
      </c>
      <c r="F81" s="347"/>
      <c r="G81" s="118"/>
      <c r="H81" s="119"/>
      <c r="M81" s="14" t="str">
        <f t="shared" si="1"/>
        <v>h78@iga.in.gov</v>
      </c>
    </row>
    <row r="82">
      <c r="A82" s="14" t="s">
        <v>44</v>
      </c>
      <c r="B82" s="31">
        <v>79.0</v>
      </c>
      <c r="C82" s="74" t="s">
        <v>896</v>
      </c>
      <c r="D82" s="74" t="s">
        <v>4780</v>
      </c>
      <c r="E82" s="51" t="s">
        <v>53</v>
      </c>
      <c r="F82" s="226" t="s">
        <v>4781</v>
      </c>
      <c r="G82" s="118"/>
      <c r="H82" s="119"/>
      <c r="L82" s="368" t="s">
        <v>4782</v>
      </c>
      <c r="M82" s="14" t="str">
        <f t="shared" si="1"/>
        <v>h79@iga.in.gov</v>
      </c>
    </row>
    <row r="83">
      <c r="A83" s="14" t="s">
        <v>44</v>
      </c>
      <c r="B83" s="31">
        <v>80.0</v>
      </c>
      <c r="C83" s="35" t="s">
        <v>1483</v>
      </c>
      <c r="D83" s="35" t="s">
        <v>4783</v>
      </c>
      <c r="E83" s="36" t="s">
        <v>49</v>
      </c>
      <c r="F83" s="347" t="s">
        <v>498</v>
      </c>
      <c r="G83" s="118"/>
      <c r="H83" s="119"/>
      <c r="M83" s="14" t="str">
        <f t="shared" si="1"/>
        <v>h80@iga.in.gov</v>
      </c>
    </row>
    <row r="84">
      <c r="A84" s="14" t="s">
        <v>44</v>
      </c>
      <c r="B84" s="31">
        <v>81.0</v>
      </c>
      <c r="C84" s="74" t="s">
        <v>456</v>
      </c>
      <c r="D84" s="74" t="s">
        <v>4784</v>
      </c>
      <c r="E84" s="51" t="s">
        <v>53</v>
      </c>
      <c r="F84" s="347"/>
      <c r="G84" s="122"/>
      <c r="H84" s="123"/>
      <c r="M84" s="14" t="str">
        <f t="shared" si="1"/>
        <v>h81@iga.in.gov</v>
      </c>
    </row>
    <row r="85">
      <c r="A85" s="14" t="s">
        <v>44</v>
      </c>
      <c r="B85" s="31">
        <v>82.0</v>
      </c>
      <c r="C85" s="74" t="s">
        <v>108</v>
      </c>
      <c r="D85" s="74" t="s">
        <v>4785</v>
      </c>
      <c r="E85" s="51" t="s">
        <v>53</v>
      </c>
      <c r="F85" s="347"/>
      <c r="G85" s="122"/>
      <c r="H85" s="123"/>
      <c r="M85" s="14" t="str">
        <f t="shared" si="1"/>
        <v>h82@iga.in.gov</v>
      </c>
    </row>
    <row r="86">
      <c r="A86" s="14" t="s">
        <v>44</v>
      </c>
      <c r="B86" s="31">
        <v>83.0</v>
      </c>
      <c r="C86" s="74" t="s">
        <v>575</v>
      </c>
      <c r="D86" s="74" t="s">
        <v>2320</v>
      </c>
      <c r="E86" s="51" t="s">
        <v>53</v>
      </c>
      <c r="F86" s="347"/>
      <c r="G86" s="118"/>
      <c r="H86" s="119"/>
      <c r="M86" s="14" t="str">
        <f t="shared" si="1"/>
        <v>h83@iga.in.gov</v>
      </c>
    </row>
    <row r="87">
      <c r="A87" s="14" t="s">
        <v>44</v>
      </c>
      <c r="B87" s="31">
        <v>84.0</v>
      </c>
      <c r="C87" s="74" t="s">
        <v>419</v>
      </c>
      <c r="D87" s="74" t="s">
        <v>617</v>
      </c>
      <c r="E87" s="51" t="s">
        <v>53</v>
      </c>
      <c r="F87" s="347"/>
      <c r="G87" s="122"/>
      <c r="H87" s="123"/>
      <c r="M87" s="14" t="str">
        <f t="shared" si="1"/>
        <v>h84@iga.in.gov</v>
      </c>
    </row>
    <row r="88">
      <c r="A88" s="14" t="s">
        <v>44</v>
      </c>
      <c r="B88" s="31">
        <v>85.0</v>
      </c>
      <c r="C88" s="74" t="s">
        <v>76</v>
      </c>
      <c r="D88" s="74" t="s">
        <v>4786</v>
      </c>
      <c r="E88" s="51" t="s">
        <v>53</v>
      </c>
      <c r="F88" s="347"/>
      <c r="G88" s="122"/>
      <c r="H88" s="123"/>
      <c r="M88" s="14" t="str">
        <f t="shared" si="1"/>
        <v>h85@iga.in.gov</v>
      </c>
    </row>
    <row r="89">
      <c r="A89" s="14" t="s">
        <v>44</v>
      </c>
      <c r="B89" s="31">
        <v>86.0</v>
      </c>
      <c r="C89" s="35" t="s">
        <v>2705</v>
      </c>
      <c r="D89" s="35" t="s">
        <v>4787</v>
      </c>
      <c r="E89" s="36" t="s">
        <v>49</v>
      </c>
      <c r="F89" s="347" t="s">
        <v>781</v>
      </c>
      <c r="G89" s="118"/>
      <c r="H89" s="119"/>
      <c r="M89" s="14" t="str">
        <f t="shared" si="1"/>
        <v>h86@iga.in.gov</v>
      </c>
    </row>
    <row r="90">
      <c r="A90" s="14" t="s">
        <v>44</v>
      </c>
      <c r="B90" s="31">
        <v>87.0</v>
      </c>
      <c r="C90" s="74" t="s">
        <v>4788</v>
      </c>
      <c r="D90" s="74" t="s">
        <v>4789</v>
      </c>
      <c r="E90" s="36" t="s">
        <v>49</v>
      </c>
      <c r="F90" s="347"/>
      <c r="G90" s="122"/>
      <c r="H90" s="123"/>
      <c r="M90" s="14" t="str">
        <f t="shared" si="1"/>
        <v>h87@iga.in.gov</v>
      </c>
    </row>
    <row r="91">
      <c r="A91" s="14" t="s">
        <v>44</v>
      </c>
      <c r="B91" s="31">
        <v>88.0</v>
      </c>
      <c r="C91" s="35" t="s">
        <v>1331</v>
      </c>
      <c r="D91" s="35" t="s">
        <v>4790</v>
      </c>
      <c r="E91" s="51" t="s">
        <v>53</v>
      </c>
      <c r="F91" s="226" t="s">
        <v>254</v>
      </c>
      <c r="G91" s="122"/>
      <c r="H91" s="123"/>
      <c r="L91" s="14" t="s">
        <v>4791</v>
      </c>
      <c r="M91" s="14" t="str">
        <f t="shared" si="1"/>
        <v>h88@iga.in.gov</v>
      </c>
    </row>
    <row r="92">
      <c r="A92" s="14" t="s">
        <v>44</v>
      </c>
      <c r="B92" s="31">
        <v>89.0</v>
      </c>
      <c r="C92" s="35" t="s">
        <v>1561</v>
      </c>
      <c r="D92" s="35" t="s">
        <v>4792</v>
      </c>
      <c r="E92" s="51" t="s">
        <v>53</v>
      </c>
      <c r="F92" s="347"/>
      <c r="G92" s="122"/>
      <c r="H92" s="123"/>
      <c r="M92" s="14" t="str">
        <f t="shared" si="1"/>
        <v>h89@iga.in.gov</v>
      </c>
    </row>
    <row r="93">
      <c r="A93" s="14" t="s">
        <v>44</v>
      </c>
      <c r="B93" s="31">
        <v>90.0</v>
      </c>
      <c r="C93" s="35" t="s">
        <v>157</v>
      </c>
      <c r="D93" s="35" t="s">
        <v>4793</v>
      </c>
      <c r="E93" s="51" t="s">
        <v>53</v>
      </c>
      <c r="F93" s="347"/>
      <c r="G93" s="122"/>
      <c r="H93" s="123"/>
      <c r="M93" s="14" t="str">
        <f t="shared" si="1"/>
        <v>h90@iga.in.gov</v>
      </c>
    </row>
    <row r="94">
      <c r="A94" s="14" t="s">
        <v>44</v>
      </c>
      <c r="B94" s="31">
        <v>91.0</v>
      </c>
      <c r="C94" s="35" t="s">
        <v>1134</v>
      </c>
      <c r="D94" s="35" t="s">
        <v>4794</v>
      </c>
      <c r="E94" s="51" t="s">
        <v>53</v>
      </c>
      <c r="F94" s="347"/>
      <c r="G94" s="122"/>
      <c r="H94" s="123"/>
      <c r="M94" s="14" t="str">
        <f t="shared" si="1"/>
        <v>h91@iga.in.gov</v>
      </c>
    </row>
    <row r="95">
      <c r="A95" s="14" t="s">
        <v>44</v>
      </c>
      <c r="B95" s="31">
        <v>92.0</v>
      </c>
      <c r="C95" s="35" t="s">
        <v>4795</v>
      </c>
      <c r="D95" s="35" t="s">
        <v>4796</v>
      </c>
      <c r="E95" s="36" t="s">
        <v>49</v>
      </c>
      <c r="F95" s="347"/>
      <c r="G95" s="118"/>
      <c r="H95" s="119"/>
      <c r="M95" s="14" t="str">
        <f t="shared" si="1"/>
        <v>h92@iga.in.gov</v>
      </c>
    </row>
    <row r="96">
      <c r="A96" s="14" t="s">
        <v>44</v>
      </c>
      <c r="B96" s="31">
        <v>93.0</v>
      </c>
      <c r="C96" s="35" t="s">
        <v>108</v>
      </c>
      <c r="D96" s="35" t="s">
        <v>4797</v>
      </c>
      <c r="E96" s="51" t="s">
        <v>53</v>
      </c>
      <c r="F96" s="347"/>
      <c r="G96" s="122"/>
      <c r="H96" s="123"/>
      <c r="M96" s="14" t="str">
        <f t="shared" si="1"/>
        <v>h93@iga.in.gov</v>
      </c>
    </row>
    <row r="97">
      <c r="A97" s="14" t="s">
        <v>44</v>
      </c>
      <c r="B97" s="31">
        <v>94.0</v>
      </c>
      <c r="C97" s="35" t="s">
        <v>4798</v>
      </c>
      <c r="D97" s="35" t="s">
        <v>4799</v>
      </c>
      <c r="E97" s="36" t="s">
        <v>49</v>
      </c>
      <c r="F97" s="347" t="s">
        <v>3469</v>
      </c>
      <c r="G97" s="118"/>
      <c r="H97" s="119"/>
      <c r="M97" s="14" t="str">
        <f t="shared" si="1"/>
        <v>h94@iga.in.gov</v>
      </c>
    </row>
    <row r="98">
      <c r="A98" s="14" t="s">
        <v>44</v>
      </c>
      <c r="B98" s="31">
        <v>95.0</v>
      </c>
      <c r="C98" s="35" t="s">
        <v>278</v>
      </c>
      <c r="D98" s="35" t="s">
        <v>4800</v>
      </c>
      <c r="E98" s="36" t="s">
        <v>49</v>
      </c>
      <c r="F98" s="303"/>
      <c r="G98" s="118"/>
      <c r="H98" s="119"/>
      <c r="M98" s="14" t="str">
        <f t="shared" si="1"/>
        <v>h95@iga.in.gov</v>
      </c>
    </row>
    <row r="99">
      <c r="A99" s="14" t="s">
        <v>44</v>
      </c>
      <c r="B99" s="31">
        <v>96.0</v>
      </c>
      <c r="C99" s="35" t="s">
        <v>997</v>
      </c>
      <c r="D99" s="35" t="s">
        <v>2653</v>
      </c>
      <c r="E99" s="36" t="s">
        <v>49</v>
      </c>
      <c r="F99" s="347"/>
      <c r="G99" s="118"/>
      <c r="H99" s="119"/>
      <c r="M99" s="14" t="str">
        <f t="shared" si="1"/>
        <v>h96@iga.in.gov</v>
      </c>
    </row>
    <row r="100">
      <c r="A100" s="14" t="s">
        <v>44</v>
      </c>
      <c r="B100" s="31">
        <v>97.0</v>
      </c>
      <c r="C100" s="35" t="s">
        <v>786</v>
      </c>
      <c r="D100" s="35" t="s">
        <v>4801</v>
      </c>
      <c r="E100" s="36" t="s">
        <v>49</v>
      </c>
      <c r="F100" s="347" t="s">
        <v>4802</v>
      </c>
      <c r="G100" s="118"/>
      <c r="H100" s="119"/>
      <c r="M100" s="14" t="str">
        <f t="shared" si="1"/>
        <v>h97@iga.in.gov</v>
      </c>
    </row>
    <row r="101">
      <c r="A101" s="14" t="s">
        <v>44</v>
      </c>
      <c r="B101" s="31">
        <v>98.0</v>
      </c>
      <c r="C101" s="74" t="s">
        <v>1651</v>
      </c>
      <c r="D101" s="74" t="s">
        <v>4803</v>
      </c>
      <c r="E101" s="36" t="s">
        <v>49</v>
      </c>
      <c r="F101" s="347"/>
      <c r="G101" s="118"/>
      <c r="H101" s="119"/>
      <c r="M101" s="14" t="str">
        <f t="shared" si="1"/>
        <v>h98@iga.in.gov</v>
      </c>
    </row>
    <row r="102">
      <c r="A102" s="14" t="s">
        <v>44</v>
      </c>
      <c r="B102" s="31">
        <v>99.0</v>
      </c>
      <c r="C102" s="35" t="s">
        <v>4804</v>
      </c>
      <c r="D102" s="35" t="s">
        <v>4805</v>
      </c>
      <c r="E102" s="36" t="s">
        <v>49</v>
      </c>
      <c r="F102" s="347"/>
      <c r="G102" s="118"/>
      <c r="H102" s="119"/>
      <c r="M102" s="14" t="str">
        <f t="shared" si="1"/>
        <v>h99@iga.in.gov</v>
      </c>
    </row>
    <row r="103">
      <c r="A103" s="14" t="s">
        <v>44</v>
      </c>
      <c r="B103" s="31">
        <v>100.0</v>
      </c>
      <c r="C103" s="35" t="s">
        <v>239</v>
      </c>
      <c r="D103" s="35" t="s">
        <v>4806</v>
      </c>
      <c r="E103" s="36" t="s">
        <v>49</v>
      </c>
      <c r="F103" s="347"/>
      <c r="G103" s="118"/>
      <c r="H103" s="138"/>
      <c r="M103" s="14" t="str">
        <f t="shared" si="1"/>
        <v>h100@iga.in.gov</v>
      </c>
    </row>
    <row r="104">
      <c r="A104" s="70"/>
      <c r="B104" s="70"/>
      <c r="C104" s="71"/>
      <c r="D104" s="71"/>
      <c r="E104" s="70"/>
      <c r="F104" s="345"/>
      <c r="G104" s="70"/>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row>
    <row r="105">
      <c r="A105" s="14" t="s">
        <v>286</v>
      </c>
      <c r="B105" s="45">
        <v>1.0</v>
      </c>
      <c r="C105" s="35" t="s">
        <v>1000</v>
      </c>
      <c r="D105" s="35" t="s">
        <v>4809</v>
      </c>
      <c r="E105" s="36" t="s">
        <v>49</v>
      </c>
      <c r="F105" s="382"/>
      <c r="G105" s="31"/>
      <c r="M105" s="14" t="str">
        <f t="shared" ref="M105:M154" si="2">concatenate("s",B105,"@iga.in.gov")</f>
        <v>s1@iga.in.gov</v>
      </c>
    </row>
    <row r="106">
      <c r="A106" s="14" t="s">
        <v>286</v>
      </c>
      <c r="B106" s="31">
        <v>2.0</v>
      </c>
      <c r="C106" s="35" t="s">
        <v>4810</v>
      </c>
      <c r="D106" s="35" t="s">
        <v>3202</v>
      </c>
      <c r="E106" s="36" t="s">
        <v>49</v>
      </c>
      <c r="F106" s="382"/>
      <c r="G106" s="31"/>
      <c r="M106" s="14" t="str">
        <f t="shared" si="2"/>
        <v>s2@iga.in.gov</v>
      </c>
    </row>
    <row r="107">
      <c r="A107" s="14" t="s">
        <v>286</v>
      </c>
      <c r="B107" s="31">
        <v>3.0</v>
      </c>
      <c r="C107" s="35" t="s">
        <v>1237</v>
      </c>
      <c r="D107" s="35" t="s">
        <v>1944</v>
      </c>
      <c r="E107" s="36" t="s">
        <v>49</v>
      </c>
      <c r="F107" s="382"/>
      <c r="G107" s="31"/>
      <c r="M107" s="14" t="str">
        <f t="shared" si="2"/>
        <v>s3@iga.in.gov</v>
      </c>
    </row>
    <row r="108">
      <c r="A108" s="14" t="s">
        <v>286</v>
      </c>
      <c r="B108" s="31">
        <v>4.0</v>
      </c>
      <c r="C108" s="35" t="s">
        <v>1153</v>
      </c>
      <c r="D108" s="35" t="s">
        <v>4811</v>
      </c>
      <c r="E108" s="36" t="s">
        <v>49</v>
      </c>
      <c r="F108" s="382"/>
      <c r="G108" s="31"/>
      <c r="M108" s="14" t="str">
        <f t="shared" si="2"/>
        <v>s4@iga.in.gov</v>
      </c>
    </row>
    <row r="109">
      <c r="A109" s="14" t="s">
        <v>286</v>
      </c>
      <c r="B109" s="31">
        <v>5.0</v>
      </c>
      <c r="C109" s="35" t="s">
        <v>636</v>
      </c>
      <c r="D109" s="35" t="s">
        <v>4814</v>
      </c>
      <c r="E109" s="51" t="s">
        <v>53</v>
      </c>
      <c r="F109" s="382"/>
      <c r="G109" s="31"/>
      <c r="M109" s="14" t="str">
        <f t="shared" si="2"/>
        <v>s5@iga.in.gov</v>
      </c>
    </row>
    <row r="110">
      <c r="A110" s="14" t="s">
        <v>286</v>
      </c>
      <c r="B110" s="31">
        <v>6.0</v>
      </c>
      <c r="C110" s="35" t="s">
        <v>1291</v>
      </c>
      <c r="D110" s="35" t="s">
        <v>4816</v>
      </c>
      <c r="E110" s="51" t="s">
        <v>53</v>
      </c>
      <c r="F110" s="382"/>
      <c r="G110" s="31"/>
      <c r="M110" s="14" t="str">
        <f t="shared" si="2"/>
        <v>s6@iga.in.gov</v>
      </c>
    </row>
    <row r="111">
      <c r="A111" s="14" t="s">
        <v>286</v>
      </c>
      <c r="B111" s="31">
        <v>7.0</v>
      </c>
      <c r="C111" s="35" t="s">
        <v>1331</v>
      </c>
      <c r="D111" s="35" t="s">
        <v>3043</v>
      </c>
      <c r="E111" s="51" t="s">
        <v>53</v>
      </c>
      <c r="F111" s="382"/>
      <c r="G111" s="31"/>
      <c r="M111" s="14" t="str">
        <f t="shared" si="2"/>
        <v>s7@iga.in.gov</v>
      </c>
    </row>
    <row r="112">
      <c r="A112" s="14" t="s">
        <v>286</v>
      </c>
      <c r="B112" s="31">
        <v>8.0</v>
      </c>
      <c r="C112" s="35" t="s">
        <v>157</v>
      </c>
      <c r="D112" s="35" t="s">
        <v>4817</v>
      </c>
      <c r="E112" s="51" t="s">
        <v>53</v>
      </c>
      <c r="F112" s="382"/>
      <c r="G112" s="31"/>
      <c r="M112" s="14" t="str">
        <f t="shared" si="2"/>
        <v>s8@iga.in.gov</v>
      </c>
    </row>
    <row r="113">
      <c r="A113" s="14" t="s">
        <v>286</v>
      </c>
      <c r="B113" s="31">
        <v>9.0</v>
      </c>
      <c r="C113" s="35" t="s">
        <v>2780</v>
      </c>
      <c r="D113" s="35" t="s">
        <v>4820</v>
      </c>
      <c r="E113" s="51" t="s">
        <v>53</v>
      </c>
      <c r="F113" s="382"/>
      <c r="G113" s="31"/>
      <c r="M113" s="14" t="str">
        <f t="shared" si="2"/>
        <v>s9@iga.in.gov</v>
      </c>
    </row>
    <row r="114">
      <c r="A114" s="14" t="s">
        <v>286</v>
      </c>
      <c r="B114" s="31">
        <v>10.0</v>
      </c>
      <c r="C114" s="35" t="s">
        <v>108</v>
      </c>
      <c r="D114" s="35" t="s">
        <v>4822</v>
      </c>
      <c r="E114" s="36" t="s">
        <v>49</v>
      </c>
      <c r="F114" s="382"/>
      <c r="G114" s="31"/>
      <c r="M114" s="14" t="str">
        <f t="shared" si="2"/>
        <v>s10@iga.in.gov</v>
      </c>
    </row>
    <row r="115">
      <c r="A115" s="14" t="s">
        <v>286</v>
      </c>
      <c r="B115" s="31">
        <v>11.0</v>
      </c>
      <c r="C115" s="38" t="s">
        <v>978</v>
      </c>
      <c r="D115" s="38" t="s">
        <v>494</v>
      </c>
      <c r="E115" s="51" t="s">
        <v>53</v>
      </c>
      <c r="F115" s="388" t="s">
        <v>4823</v>
      </c>
      <c r="G115" s="31"/>
      <c r="M115" s="14" t="str">
        <f t="shared" si="2"/>
        <v>s11@iga.in.gov</v>
      </c>
    </row>
    <row r="116">
      <c r="A116" s="14" t="s">
        <v>286</v>
      </c>
      <c r="B116" s="31">
        <v>12.0</v>
      </c>
      <c r="C116" s="35" t="s">
        <v>1288</v>
      </c>
      <c r="D116" s="35" t="s">
        <v>4825</v>
      </c>
      <c r="E116" s="51" t="s">
        <v>53</v>
      </c>
      <c r="F116" s="382"/>
      <c r="G116" s="31"/>
      <c r="M116" s="14" t="str">
        <f t="shared" si="2"/>
        <v>s12@iga.in.gov</v>
      </c>
    </row>
    <row r="117">
      <c r="A117" s="14" t="s">
        <v>286</v>
      </c>
      <c r="B117" s="31">
        <v>13.0</v>
      </c>
      <c r="C117" s="35" t="s">
        <v>4426</v>
      </c>
      <c r="D117" s="35" t="s">
        <v>4828</v>
      </c>
      <c r="E117" s="51" t="s">
        <v>53</v>
      </c>
      <c r="F117" s="382"/>
      <c r="G117" s="31"/>
      <c r="M117" s="14" t="str">
        <f t="shared" si="2"/>
        <v>s13@iga.in.gov</v>
      </c>
    </row>
    <row r="118">
      <c r="A118" s="14" t="s">
        <v>286</v>
      </c>
      <c r="B118" s="31">
        <v>14.0</v>
      </c>
      <c r="C118" s="35" t="s">
        <v>2194</v>
      </c>
      <c r="D118" s="35" t="s">
        <v>4832</v>
      </c>
      <c r="E118" s="51" t="s">
        <v>53</v>
      </c>
      <c r="F118" s="382"/>
      <c r="G118" s="31"/>
      <c r="M118" s="14" t="str">
        <f t="shared" si="2"/>
        <v>s14@iga.in.gov</v>
      </c>
    </row>
    <row r="119">
      <c r="A119" s="14" t="s">
        <v>286</v>
      </c>
      <c r="B119" s="31">
        <v>15.0</v>
      </c>
      <c r="C119" s="35" t="s">
        <v>2680</v>
      </c>
      <c r="D119" s="35" t="s">
        <v>447</v>
      </c>
      <c r="E119" s="51" t="s">
        <v>53</v>
      </c>
      <c r="F119" s="382"/>
      <c r="G119" s="31"/>
      <c r="M119" s="14" t="str">
        <f t="shared" si="2"/>
        <v>s15@iga.in.gov</v>
      </c>
    </row>
    <row r="120">
      <c r="A120" s="14" t="s">
        <v>286</v>
      </c>
      <c r="B120" s="31">
        <v>16.0</v>
      </c>
      <c r="C120" s="35" t="s">
        <v>108</v>
      </c>
      <c r="D120" s="35" t="s">
        <v>4836</v>
      </c>
      <c r="E120" s="51" t="s">
        <v>53</v>
      </c>
      <c r="F120" s="382"/>
      <c r="G120" s="31"/>
      <c r="J120" s="14" t="s">
        <v>2875</v>
      </c>
      <c r="M120" s="14" t="str">
        <f t="shared" si="2"/>
        <v>s16@iga.in.gov</v>
      </c>
    </row>
    <row r="121">
      <c r="A121" s="14" t="s">
        <v>286</v>
      </c>
      <c r="B121" s="31">
        <v>17.0</v>
      </c>
      <c r="C121" s="35" t="s">
        <v>109</v>
      </c>
      <c r="D121" s="35" t="s">
        <v>4839</v>
      </c>
      <c r="E121" s="51" t="s">
        <v>53</v>
      </c>
      <c r="F121" s="382"/>
      <c r="G121" s="31"/>
      <c r="M121" s="14" t="str">
        <f t="shared" si="2"/>
        <v>s17@iga.in.gov</v>
      </c>
    </row>
    <row r="122">
      <c r="A122" s="14" t="s">
        <v>286</v>
      </c>
      <c r="B122" s="31">
        <v>18.0</v>
      </c>
      <c r="C122" s="35" t="s">
        <v>179</v>
      </c>
      <c r="D122" s="35" t="s">
        <v>4842</v>
      </c>
      <c r="E122" s="51" t="s">
        <v>53</v>
      </c>
      <c r="F122" s="388" t="s">
        <v>4843</v>
      </c>
      <c r="G122" s="31"/>
      <c r="M122" s="14" t="str">
        <f t="shared" si="2"/>
        <v>s18@iga.in.gov</v>
      </c>
    </row>
    <row r="123">
      <c r="A123" s="14" t="s">
        <v>286</v>
      </c>
      <c r="B123" s="31">
        <v>19.0</v>
      </c>
      <c r="C123" s="35" t="s">
        <v>807</v>
      </c>
      <c r="D123" s="35" t="s">
        <v>4844</v>
      </c>
      <c r="E123" s="51" t="s">
        <v>53</v>
      </c>
      <c r="F123" s="382"/>
      <c r="G123" s="31"/>
      <c r="M123" s="14" t="str">
        <f t="shared" si="2"/>
        <v>s19@iga.in.gov</v>
      </c>
    </row>
    <row r="124">
      <c r="A124" s="14" t="s">
        <v>286</v>
      </c>
      <c r="B124" s="31">
        <v>20.0</v>
      </c>
      <c r="C124" s="35" t="s">
        <v>1214</v>
      </c>
      <c r="D124" s="35" t="s">
        <v>4845</v>
      </c>
      <c r="E124" s="51" t="s">
        <v>53</v>
      </c>
      <c r="F124" s="382"/>
      <c r="G124" s="31"/>
      <c r="M124" s="14" t="str">
        <f t="shared" si="2"/>
        <v>s20@iga.in.gov</v>
      </c>
    </row>
    <row r="125">
      <c r="A125" s="14" t="s">
        <v>286</v>
      </c>
      <c r="B125" s="31">
        <v>21.0</v>
      </c>
      <c r="C125" s="35" t="s">
        <v>930</v>
      </c>
      <c r="D125" s="35" t="s">
        <v>2031</v>
      </c>
      <c r="E125" s="51" t="s">
        <v>53</v>
      </c>
      <c r="F125" s="382"/>
      <c r="G125" s="31"/>
      <c r="M125" s="14" t="str">
        <f t="shared" si="2"/>
        <v>s21@iga.in.gov</v>
      </c>
    </row>
    <row r="126">
      <c r="A126" s="14" t="s">
        <v>286</v>
      </c>
      <c r="B126" s="31">
        <v>22.0</v>
      </c>
      <c r="C126" s="35" t="s">
        <v>4848</v>
      </c>
      <c r="D126" s="35" t="s">
        <v>4849</v>
      </c>
      <c r="E126" s="51" t="s">
        <v>53</v>
      </c>
      <c r="F126" s="382"/>
      <c r="G126" s="31"/>
      <c r="M126" s="14" t="str">
        <f t="shared" si="2"/>
        <v>s22@iga.in.gov</v>
      </c>
    </row>
    <row r="127">
      <c r="A127" s="14" t="s">
        <v>286</v>
      </c>
      <c r="B127" s="31">
        <v>23.0</v>
      </c>
      <c r="C127" s="35" t="s">
        <v>1483</v>
      </c>
      <c r="D127" s="35" t="s">
        <v>4853</v>
      </c>
      <c r="E127" s="51" t="s">
        <v>53</v>
      </c>
      <c r="F127" s="382"/>
      <c r="G127" s="31"/>
      <c r="M127" s="14" t="str">
        <f t="shared" si="2"/>
        <v>s23@iga.in.gov</v>
      </c>
    </row>
    <row r="128">
      <c r="A128" s="14" t="s">
        <v>286</v>
      </c>
      <c r="B128" s="31">
        <v>24.0</v>
      </c>
      <c r="C128" s="35" t="s">
        <v>278</v>
      </c>
      <c r="D128" s="35" t="s">
        <v>3806</v>
      </c>
      <c r="E128" s="51" t="s">
        <v>53</v>
      </c>
      <c r="F128" s="382"/>
      <c r="G128" s="31"/>
      <c r="M128" s="14" t="str">
        <f t="shared" si="2"/>
        <v>s24@iga.in.gov</v>
      </c>
    </row>
    <row r="129">
      <c r="A129" s="14" t="s">
        <v>286</v>
      </c>
      <c r="B129" s="31">
        <v>25.0</v>
      </c>
      <c r="C129" s="35" t="s">
        <v>2507</v>
      </c>
      <c r="D129" s="35" t="s">
        <v>4854</v>
      </c>
      <c r="E129" s="36" t="s">
        <v>49</v>
      </c>
      <c r="F129" s="382"/>
      <c r="G129" s="31"/>
      <c r="J129" s="14" t="s">
        <v>4855</v>
      </c>
      <c r="M129" s="14" t="str">
        <f t="shared" si="2"/>
        <v>s25@iga.in.gov</v>
      </c>
    </row>
    <row r="130">
      <c r="A130" s="14" t="s">
        <v>286</v>
      </c>
      <c r="B130" s="31">
        <v>26.0</v>
      </c>
      <c r="C130" s="38" t="s">
        <v>157</v>
      </c>
      <c r="D130" s="38" t="s">
        <v>4856</v>
      </c>
      <c r="E130" s="51" t="s">
        <v>53</v>
      </c>
      <c r="F130" s="382"/>
      <c r="G130" s="31"/>
      <c r="M130" s="14" t="str">
        <f t="shared" si="2"/>
        <v>s26@iga.in.gov</v>
      </c>
    </row>
    <row r="131">
      <c r="A131" s="14" t="s">
        <v>286</v>
      </c>
      <c r="B131" s="31">
        <v>27.0</v>
      </c>
      <c r="C131" s="35" t="s">
        <v>683</v>
      </c>
      <c r="D131" s="35" t="s">
        <v>4857</v>
      </c>
      <c r="E131" s="51" t="s">
        <v>53</v>
      </c>
      <c r="F131" s="382"/>
      <c r="G131" s="31"/>
      <c r="M131" s="14" t="str">
        <f t="shared" si="2"/>
        <v>s27@iga.in.gov</v>
      </c>
    </row>
    <row r="132">
      <c r="A132" s="14" t="s">
        <v>286</v>
      </c>
      <c r="B132" s="31">
        <v>28.0</v>
      </c>
      <c r="C132" s="35" t="s">
        <v>2490</v>
      </c>
      <c r="D132" s="35" t="s">
        <v>4860</v>
      </c>
      <c r="E132" s="51" t="s">
        <v>53</v>
      </c>
      <c r="F132" s="382"/>
      <c r="G132" s="31"/>
      <c r="I132" s="395" t="s">
        <v>4861</v>
      </c>
      <c r="M132" s="14" t="str">
        <f t="shared" si="2"/>
        <v>s28@iga.in.gov</v>
      </c>
    </row>
    <row r="133">
      <c r="A133" s="14" t="s">
        <v>286</v>
      </c>
      <c r="B133" s="31">
        <v>29.0</v>
      </c>
      <c r="C133" s="38" t="s">
        <v>1267</v>
      </c>
      <c r="D133" s="38" t="s">
        <v>4018</v>
      </c>
      <c r="E133" s="36" t="s">
        <v>49</v>
      </c>
      <c r="F133" s="382"/>
      <c r="G133" s="31"/>
      <c r="M133" s="14" t="str">
        <f t="shared" si="2"/>
        <v>s29@iga.in.gov</v>
      </c>
    </row>
    <row r="134">
      <c r="A134" s="14" t="s">
        <v>286</v>
      </c>
      <c r="B134" s="31">
        <v>30.0</v>
      </c>
      <c r="C134" s="35" t="s">
        <v>278</v>
      </c>
      <c r="D134" s="35" t="s">
        <v>4869</v>
      </c>
      <c r="E134" s="51" t="s">
        <v>53</v>
      </c>
      <c r="F134" s="382"/>
      <c r="G134" s="31"/>
      <c r="M134" s="14" t="str">
        <f t="shared" si="2"/>
        <v>s30@iga.in.gov</v>
      </c>
    </row>
    <row r="135">
      <c r="A135" s="14" t="s">
        <v>286</v>
      </c>
      <c r="B135" s="31">
        <v>31.0</v>
      </c>
      <c r="C135" s="35" t="s">
        <v>930</v>
      </c>
      <c r="D135" s="35" t="s">
        <v>4875</v>
      </c>
      <c r="E135" s="51" t="s">
        <v>53</v>
      </c>
      <c r="F135" s="382"/>
      <c r="G135" s="31"/>
      <c r="M135" s="14" t="str">
        <f t="shared" si="2"/>
        <v>s31@iga.in.gov</v>
      </c>
    </row>
    <row r="136">
      <c r="A136" s="14" t="s">
        <v>286</v>
      </c>
      <c r="B136" s="31">
        <v>32.0</v>
      </c>
      <c r="C136" s="35" t="s">
        <v>1107</v>
      </c>
      <c r="D136" s="35" t="s">
        <v>4879</v>
      </c>
      <c r="E136" s="51" t="s">
        <v>53</v>
      </c>
      <c r="F136" s="382"/>
      <c r="G136" s="31"/>
      <c r="M136" s="14" t="str">
        <f t="shared" si="2"/>
        <v>s32@iga.in.gov</v>
      </c>
    </row>
    <row r="137">
      <c r="A137" s="14" t="s">
        <v>286</v>
      </c>
      <c r="B137" s="31">
        <v>33.0</v>
      </c>
      <c r="C137" s="35" t="s">
        <v>997</v>
      </c>
      <c r="D137" s="35" t="s">
        <v>4255</v>
      </c>
      <c r="E137" s="36" t="s">
        <v>49</v>
      </c>
      <c r="F137" s="382"/>
      <c r="G137" s="31"/>
      <c r="M137" s="14" t="str">
        <f t="shared" si="2"/>
        <v>s33@iga.in.gov</v>
      </c>
    </row>
    <row r="138">
      <c r="A138" s="14" t="s">
        <v>286</v>
      </c>
      <c r="B138" s="31">
        <v>34.0</v>
      </c>
      <c r="C138" s="35" t="s">
        <v>837</v>
      </c>
      <c r="D138" s="35" t="s">
        <v>1808</v>
      </c>
      <c r="E138" s="36" t="s">
        <v>49</v>
      </c>
      <c r="F138" s="382"/>
      <c r="G138" s="31"/>
      <c r="M138" s="14" t="str">
        <f t="shared" si="2"/>
        <v>s34@iga.in.gov</v>
      </c>
    </row>
    <row r="139">
      <c r="A139" s="14" t="s">
        <v>286</v>
      </c>
      <c r="B139" s="31">
        <v>35.0</v>
      </c>
      <c r="C139" s="35" t="s">
        <v>2490</v>
      </c>
      <c r="D139" s="35" t="s">
        <v>429</v>
      </c>
      <c r="E139" s="51" t="s">
        <v>53</v>
      </c>
      <c r="F139" s="397" t="s">
        <v>517</v>
      </c>
      <c r="G139" s="31"/>
      <c r="M139" s="14" t="str">
        <f t="shared" si="2"/>
        <v>s35@iga.in.gov</v>
      </c>
    </row>
    <row r="140">
      <c r="A140" s="14" t="s">
        <v>286</v>
      </c>
      <c r="B140" s="31">
        <v>36.0</v>
      </c>
      <c r="C140" s="35" t="s">
        <v>792</v>
      </c>
      <c r="D140" s="35" t="s">
        <v>4896</v>
      </c>
      <c r="E140" s="51" t="s">
        <v>53</v>
      </c>
      <c r="F140" s="382"/>
      <c r="G140" s="31"/>
      <c r="M140" s="14" t="str">
        <f t="shared" si="2"/>
        <v>s36@iga.in.gov</v>
      </c>
    </row>
    <row r="141">
      <c r="A141" s="14" t="s">
        <v>286</v>
      </c>
      <c r="B141" s="31">
        <v>37.0</v>
      </c>
      <c r="C141" s="35" t="s">
        <v>4898</v>
      </c>
      <c r="D141" s="35" t="s">
        <v>4900</v>
      </c>
      <c r="E141" s="51" t="s">
        <v>53</v>
      </c>
      <c r="F141" s="388" t="s">
        <v>877</v>
      </c>
      <c r="G141" s="31"/>
      <c r="J141" s="14" t="s">
        <v>176</v>
      </c>
      <c r="M141" s="14" t="str">
        <f t="shared" si="2"/>
        <v>s37@iga.in.gov</v>
      </c>
    </row>
    <row r="142">
      <c r="A142" s="14" t="s">
        <v>286</v>
      </c>
      <c r="B142" s="31">
        <v>38.0</v>
      </c>
      <c r="C142" s="35" t="s">
        <v>1387</v>
      </c>
      <c r="D142" s="35" t="s">
        <v>4018</v>
      </c>
      <c r="E142" s="51" t="s">
        <v>53</v>
      </c>
      <c r="F142" s="382"/>
      <c r="G142" s="31"/>
      <c r="M142" s="14" t="str">
        <f t="shared" si="2"/>
        <v>s38@iga.in.gov</v>
      </c>
    </row>
    <row r="143">
      <c r="A143" s="14" t="s">
        <v>286</v>
      </c>
      <c r="B143" s="31">
        <v>39.0</v>
      </c>
      <c r="C143" s="35" t="s">
        <v>2302</v>
      </c>
      <c r="D143" s="35" t="s">
        <v>4904</v>
      </c>
      <c r="E143" s="51" t="s">
        <v>53</v>
      </c>
      <c r="F143" s="382"/>
      <c r="G143" s="31"/>
      <c r="M143" s="14" t="str">
        <f t="shared" si="2"/>
        <v>s39@iga.in.gov</v>
      </c>
    </row>
    <row r="144">
      <c r="A144" s="14" t="s">
        <v>286</v>
      </c>
      <c r="B144" s="31">
        <v>40.0</v>
      </c>
      <c r="C144" s="35" t="s">
        <v>91</v>
      </c>
      <c r="D144" s="35" t="s">
        <v>4909</v>
      </c>
      <c r="E144" s="36" t="s">
        <v>49</v>
      </c>
      <c r="F144" s="382"/>
      <c r="G144" s="31"/>
      <c r="M144" s="14" t="str">
        <f t="shared" si="2"/>
        <v>s40@iga.in.gov</v>
      </c>
    </row>
    <row r="145">
      <c r="A145" s="14" t="s">
        <v>286</v>
      </c>
      <c r="B145" s="31">
        <v>41.0</v>
      </c>
      <c r="C145" s="35" t="s">
        <v>997</v>
      </c>
      <c r="D145" s="35" t="s">
        <v>1275</v>
      </c>
      <c r="E145" s="51" t="s">
        <v>53</v>
      </c>
      <c r="F145" s="382"/>
      <c r="G145" s="31"/>
      <c r="M145" s="14" t="str">
        <f t="shared" si="2"/>
        <v>s41@iga.in.gov</v>
      </c>
    </row>
    <row r="146">
      <c r="A146" s="14" t="s">
        <v>286</v>
      </c>
      <c r="B146" s="31">
        <v>42.0</v>
      </c>
      <c r="C146" s="35" t="s">
        <v>837</v>
      </c>
      <c r="D146" s="35" t="s">
        <v>4917</v>
      </c>
      <c r="E146" s="51" t="s">
        <v>53</v>
      </c>
      <c r="F146" s="382"/>
      <c r="G146" s="31"/>
      <c r="M146" s="14" t="str">
        <f t="shared" si="2"/>
        <v>s42@iga.in.gov</v>
      </c>
    </row>
    <row r="147">
      <c r="A147" s="14" t="s">
        <v>286</v>
      </c>
      <c r="B147" s="31">
        <v>43.0</v>
      </c>
      <c r="C147" s="35" t="s">
        <v>767</v>
      </c>
      <c r="D147" s="35" t="s">
        <v>4922</v>
      </c>
      <c r="E147" s="51" t="s">
        <v>53</v>
      </c>
      <c r="F147" s="382"/>
      <c r="G147" s="31"/>
      <c r="M147" s="14" t="str">
        <f t="shared" si="2"/>
        <v>s43@iga.in.gov</v>
      </c>
    </row>
    <row r="148">
      <c r="A148" s="14" t="s">
        <v>286</v>
      </c>
      <c r="B148" s="31">
        <v>44.0</v>
      </c>
      <c r="C148" s="35" t="s">
        <v>2302</v>
      </c>
      <c r="D148" s="35" t="s">
        <v>4924</v>
      </c>
      <c r="E148" s="51" t="s">
        <v>53</v>
      </c>
      <c r="F148" s="382"/>
      <c r="G148" s="31"/>
      <c r="M148" s="14" t="str">
        <f t="shared" si="2"/>
        <v>s44@iga.in.gov</v>
      </c>
    </row>
    <row r="149">
      <c r="A149" s="14" t="s">
        <v>286</v>
      </c>
      <c r="B149" s="31">
        <v>45.0</v>
      </c>
      <c r="C149" s="38" t="s">
        <v>173</v>
      </c>
      <c r="D149" s="38" t="s">
        <v>4925</v>
      </c>
      <c r="E149" s="51" t="s">
        <v>53</v>
      </c>
      <c r="F149" s="382"/>
      <c r="G149" s="31"/>
      <c r="M149" s="14" t="str">
        <f t="shared" si="2"/>
        <v>s45@iga.in.gov</v>
      </c>
    </row>
    <row r="150">
      <c r="A150" s="14" t="s">
        <v>286</v>
      </c>
      <c r="B150" s="31">
        <v>46.0</v>
      </c>
      <c r="C150" s="35" t="s">
        <v>1813</v>
      </c>
      <c r="D150" s="35" t="s">
        <v>4929</v>
      </c>
      <c r="E150" s="51" t="s">
        <v>53</v>
      </c>
      <c r="F150" s="382"/>
      <c r="G150" s="31"/>
      <c r="M150" s="14" t="str">
        <f t="shared" si="2"/>
        <v>s46@iga.in.gov</v>
      </c>
    </row>
    <row r="151">
      <c r="A151" s="14" t="s">
        <v>286</v>
      </c>
      <c r="B151" s="31">
        <v>47.0</v>
      </c>
      <c r="C151" s="35" t="s">
        <v>2994</v>
      </c>
      <c r="D151" s="35" t="s">
        <v>4934</v>
      </c>
      <c r="E151" s="51" t="s">
        <v>53</v>
      </c>
      <c r="F151" s="382"/>
      <c r="G151" s="31"/>
      <c r="M151" s="14" t="str">
        <f t="shared" si="2"/>
        <v>s47@iga.in.gov</v>
      </c>
    </row>
    <row r="152">
      <c r="A152" s="14" t="s">
        <v>286</v>
      </c>
      <c r="B152" s="31">
        <v>48.0</v>
      </c>
      <c r="C152" s="35" t="s">
        <v>91</v>
      </c>
      <c r="D152" s="35" t="s">
        <v>4936</v>
      </c>
      <c r="E152" s="51" t="s">
        <v>53</v>
      </c>
      <c r="F152" s="382"/>
      <c r="G152" s="31"/>
      <c r="M152" s="14" t="str">
        <f t="shared" si="2"/>
        <v>s48@iga.in.gov</v>
      </c>
    </row>
    <row r="153">
      <c r="A153" s="14" t="s">
        <v>286</v>
      </c>
      <c r="B153" s="31">
        <v>49.0</v>
      </c>
      <c r="C153" s="35" t="s">
        <v>476</v>
      </c>
      <c r="D153" s="35" t="s">
        <v>4941</v>
      </c>
      <c r="E153" s="51" t="s">
        <v>53</v>
      </c>
      <c r="F153" s="382"/>
      <c r="G153" s="31"/>
      <c r="M153" s="14" t="str">
        <f t="shared" si="2"/>
        <v>s49@iga.in.gov</v>
      </c>
    </row>
    <row r="154">
      <c r="A154" s="14" t="s">
        <v>286</v>
      </c>
      <c r="B154" s="31">
        <v>50.0</v>
      </c>
      <c r="C154" s="35" t="s">
        <v>4942</v>
      </c>
      <c r="D154" s="35" t="s">
        <v>1715</v>
      </c>
      <c r="E154" s="51" t="s">
        <v>53</v>
      </c>
      <c r="F154" s="382"/>
      <c r="G154" s="31"/>
      <c r="M154" s="14" t="str">
        <f t="shared" si="2"/>
        <v>s50@iga.in.gov</v>
      </c>
    </row>
    <row r="155">
      <c r="A155" s="70"/>
      <c r="B155" s="70"/>
      <c r="C155" s="71"/>
      <c r="D155" s="71"/>
      <c r="E155" s="70"/>
      <c r="F155" s="345"/>
      <c r="G155" s="70"/>
      <c r="H155" s="70"/>
      <c r="I155" s="70"/>
      <c r="J155" s="70"/>
      <c r="K155" s="70"/>
      <c r="L155" s="70"/>
      <c r="M155" s="70"/>
      <c r="N155" s="70"/>
      <c r="O155" s="70"/>
      <c r="P155" s="70"/>
      <c r="Q155" s="70"/>
      <c r="R155" s="70"/>
      <c r="S155" s="70"/>
      <c r="T155" s="70"/>
      <c r="U155" s="70"/>
      <c r="V155" s="70"/>
      <c r="W155" s="70"/>
      <c r="X155" s="70"/>
      <c r="Y155" s="70"/>
      <c r="Z155" s="70"/>
      <c r="AA155" s="70"/>
      <c r="AB155" s="70"/>
      <c r="AC155" s="70"/>
      <c r="AD155" s="70"/>
    </row>
    <row r="156">
      <c r="A156" s="14" t="s">
        <v>421</v>
      </c>
      <c r="C156" s="77" t="s">
        <v>2302</v>
      </c>
      <c r="D156" s="77" t="s">
        <v>986</v>
      </c>
      <c r="F156" s="303"/>
    </row>
    <row r="157">
      <c r="A157" s="70"/>
      <c r="B157" s="70"/>
      <c r="C157" s="71"/>
      <c r="D157" s="71"/>
      <c r="E157" s="70"/>
      <c r="F157" s="345"/>
      <c r="G157" s="70"/>
      <c r="H157" s="70"/>
      <c r="I157" s="70"/>
      <c r="J157" s="70"/>
      <c r="K157" s="70"/>
      <c r="L157" s="70"/>
      <c r="M157" s="70"/>
      <c r="N157" s="70"/>
      <c r="O157" s="70"/>
      <c r="P157" s="70"/>
      <c r="Q157" s="70"/>
      <c r="R157" s="70"/>
      <c r="S157" s="70"/>
      <c r="T157" s="70"/>
      <c r="U157" s="70"/>
      <c r="V157" s="70"/>
      <c r="W157" s="70"/>
      <c r="X157" s="70"/>
      <c r="Y157" s="70"/>
      <c r="Z157" s="70"/>
      <c r="AA157" s="70"/>
      <c r="AB157" s="70"/>
      <c r="AC157" s="70"/>
      <c r="AD157" s="70"/>
    </row>
    <row r="158">
      <c r="A158" s="14" t="s">
        <v>427</v>
      </c>
      <c r="B158" s="14">
        <v>1.0</v>
      </c>
      <c r="C158" s="77" t="s">
        <v>367</v>
      </c>
      <c r="D158" s="77" t="s">
        <v>4945</v>
      </c>
      <c r="F158" s="303"/>
    </row>
    <row r="159">
      <c r="A159" s="14" t="s">
        <v>427</v>
      </c>
      <c r="B159" s="14">
        <v>2.0</v>
      </c>
      <c r="C159" s="77" t="s">
        <v>2300</v>
      </c>
      <c r="D159" s="77" t="s">
        <v>4946</v>
      </c>
      <c r="F159" s="303"/>
    </row>
    <row r="160">
      <c r="A160" s="14" t="s">
        <v>427</v>
      </c>
      <c r="B160" s="14">
        <v>3.0</v>
      </c>
      <c r="C160" s="77" t="s">
        <v>476</v>
      </c>
      <c r="D160" s="77" t="s">
        <v>4947</v>
      </c>
      <c r="F160" s="303"/>
    </row>
    <row r="161">
      <c r="A161" s="14" t="s">
        <v>427</v>
      </c>
      <c r="B161" s="14">
        <v>4.0</v>
      </c>
      <c r="C161" s="77" t="s">
        <v>476</v>
      </c>
      <c r="D161" s="77" t="s">
        <v>4730</v>
      </c>
      <c r="F161" s="303"/>
    </row>
    <row r="162">
      <c r="A162" s="14" t="s">
        <v>427</v>
      </c>
      <c r="B162" s="14">
        <v>5.0</v>
      </c>
      <c r="C162" s="77" t="s">
        <v>1446</v>
      </c>
      <c r="D162" s="77" t="s">
        <v>1141</v>
      </c>
      <c r="F162" s="303"/>
    </row>
    <row r="163">
      <c r="A163" s="14" t="s">
        <v>427</v>
      </c>
      <c r="B163" s="14">
        <v>6.0</v>
      </c>
      <c r="C163" s="77" t="s">
        <v>997</v>
      </c>
      <c r="D163" s="77" t="s">
        <v>4948</v>
      </c>
      <c r="F163" s="303"/>
    </row>
    <row r="164">
      <c r="A164" s="14" t="s">
        <v>427</v>
      </c>
      <c r="B164" s="14">
        <v>7.0</v>
      </c>
      <c r="C164" s="77" t="s">
        <v>2734</v>
      </c>
      <c r="D164" s="77" t="s">
        <v>3357</v>
      </c>
      <c r="F164" s="303"/>
    </row>
    <row r="165">
      <c r="A165" s="14" t="s">
        <v>427</v>
      </c>
      <c r="B165" s="14">
        <v>8.0</v>
      </c>
      <c r="C165" s="77" t="s">
        <v>839</v>
      </c>
      <c r="D165" s="77" t="s">
        <v>4951</v>
      </c>
      <c r="F165" s="303"/>
    </row>
    <row r="166">
      <c r="A166" s="14" t="s">
        <v>427</v>
      </c>
      <c r="B166" s="14">
        <v>9.0</v>
      </c>
      <c r="C166" s="77" t="s">
        <v>2940</v>
      </c>
      <c r="D166" s="77" t="s">
        <v>4952</v>
      </c>
      <c r="F166" s="303"/>
    </row>
    <row r="167">
      <c r="A167" s="70"/>
      <c r="B167" s="70"/>
      <c r="C167" s="71"/>
      <c r="D167" s="71"/>
      <c r="E167" s="70"/>
      <c r="F167" s="345"/>
      <c r="G167" s="70"/>
      <c r="H167" s="70"/>
      <c r="I167" s="70"/>
      <c r="J167" s="70"/>
      <c r="K167" s="70"/>
      <c r="L167" s="70"/>
      <c r="M167" s="70"/>
      <c r="N167" s="70"/>
      <c r="O167" s="70"/>
      <c r="P167" s="70"/>
      <c r="Q167" s="70"/>
      <c r="R167" s="70"/>
      <c r="S167" s="70"/>
      <c r="T167" s="70"/>
      <c r="U167" s="70"/>
      <c r="V167" s="70"/>
      <c r="W167" s="70"/>
      <c r="X167" s="70"/>
      <c r="Y167" s="70"/>
      <c r="Z167" s="70"/>
      <c r="AA167" s="70"/>
      <c r="AB167" s="70"/>
      <c r="AC167" s="70"/>
      <c r="AD167" s="70"/>
    </row>
    <row r="168">
      <c r="A168" s="14" t="s">
        <v>430</v>
      </c>
      <c r="B168" s="14" t="s">
        <v>431</v>
      </c>
      <c r="C168" s="77" t="s">
        <v>1974</v>
      </c>
      <c r="D168" s="77" t="s">
        <v>429</v>
      </c>
      <c r="F168" s="303"/>
    </row>
    <row r="169">
      <c r="A169" s="14" t="s">
        <v>430</v>
      </c>
      <c r="B169" s="14" t="s">
        <v>434</v>
      </c>
      <c r="C169" s="77" t="s">
        <v>157</v>
      </c>
      <c r="D169" s="77" t="s">
        <v>4954</v>
      </c>
      <c r="F169" s="303"/>
    </row>
    <row r="170">
      <c r="A170" s="70"/>
      <c r="B170" s="70"/>
      <c r="C170" s="71"/>
      <c r="D170" s="71"/>
      <c r="E170" s="70"/>
      <c r="F170" s="345"/>
      <c r="G170" s="70"/>
      <c r="H170" s="70"/>
      <c r="I170" s="70"/>
      <c r="J170" s="70"/>
      <c r="K170" s="70"/>
      <c r="L170" s="70"/>
      <c r="M170" s="70"/>
      <c r="N170" s="70"/>
      <c r="O170" s="70"/>
      <c r="P170" s="70"/>
      <c r="Q170" s="70"/>
      <c r="R170" s="70"/>
      <c r="S170" s="70"/>
      <c r="T170" s="70"/>
      <c r="U170" s="70"/>
      <c r="V170" s="70"/>
      <c r="W170" s="70"/>
      <c r="X170" s="70"/>
      <c r="Y170" s="70"/>
      <c r="Z170" s="70"/>
      <c r="AA170" s="70"/>
      <c r="AB170" s="70"/>
      <c r="AC170" s="70"/>
      <c r="AD170" s="70"/>
    </row>
    <row r="171">
      <c r="A171" s="14" t="s">
        <v>438</v>
      </c>
      <c r="C171" s="77" t="s">
        <v>4099</v>
      </c>
      <c r="D171" s="77" t="s">
        <v>485</v>
      </c>
      <c r="F171" s="303"/>
    </row>
    <row r="172">
      <c r="A172" s="70"/>
      <c r="B172" s="70"/>
      <c r="C172" s="71"/>
      <c r="D172" s="71"/>
      <c r="E172" s="70"/>
      <c r="F172" s="345"/>
      <c r="G172" s="70"/>
      <c r="H172" s="70"/>
      <c r="I172" s="70"/>
      <c r="J172" s="70"/>
      <c r="K172" s="70"/>
      <c r="L172" s="70"/>
      <c r="M172" s="70"/>
      <c r="N172" s="70"/>
      <c r="O172" s="70"/>
      <c r="P172" s="70"/>
      <c r="Q172" s="70"/>
      <c r="R172" s="70"/>
      <c r="S172" s="70"/>
      <c r="T172" s="70"/>
      <c r="U172" s="70"/>
      <c r="V172" s="70"/>
      <c r="W172" s="70"/>
      <c r="X172" s="70"/>
      <c r="Y172" s="70"/>
      <c r="Z172" s="70"/>
      <c r="AA172" s="70"/>
      <c r="AB172" s="70"/>
      <c r="AC172" s="70"/>
      <c r="AD172" s="70"/>
    </row>
    <row r="173">
      <c r="C173" s="139"/>
      <c r="D173" s="139"/>
      <c r="F173" s="303"/>
    </row>
    <row r="174">
      <c r="C174" s="139"/>
      <c r="D174" s="139"/>
      <c r="F174" s="303"/>
    </row>
    <row r="175">
      <c r="C175" s="139"/>
      <c r="D175" s="139"/>
      <c r="F175" s="303"/>
    </row>
    <row r="176">
      <c r="C176" s="139"/>
      <c r="D176" s="139"/>
      <c r="F176" s="303"/>
    </row>
    <row r="177">
      <c r="C177" s="139"/>
      <c r="D177" s="139"/>
      <c r="F177" s="303"/>
    </row>
    <row r="178">
      <c r="C178" s="139"/>
      <c r="D178" s="139"/>
      <c r="F178" s="303"/>
    </row>
    <row r="179">
      <c r="C179" s="139"/>
      <c r="D179" s="139"/>
      <c r="F179" s="303"/>
    </row>
    <row r="180">
      <c r="C180" s="139"/>
      <c r="D180" s="139"/>
      <c r="F180" s="303"/>
    </row>
    <row r="181">
      <c r="C181" s="139"/>
      <c r="D181" s="139"/>
      <c r="F181" s="303"/>
    </row>
    <row r="182">
      <c r="C182" s="139"/>
      <c r="D182" s="139"/>
      <c r="F182" s="303"/>
    </row>
    <row r="183">
      <c r="C183" s="139"/>
      <c r="D183" s="139"/>
      <c r="F183" s="303"/>
    </row>
    <row r="184">
      <c r="C184" s="139"/>
      <c r="D184" s="139"/>
      <c r="F184" s="303"/>
    </row>
    <row r="185">
      <c r="C185" s="139"/>
      <c r="D185" s="139"/>
      <c r="F185" s="303"/>
    </row>
    <row r="186">
      <c r="C186" s="139"/>
      <c r="D186" s="139"/>
      <c r="F186" s="303"/>
    </row>
    <row r="187">
      <c r="C187" s="139"/>
      <c r="D187" s="139"/>
      <c r="F187" s="303"/>
    </row>
    <row r="188">
      <c r="C188" s="139"/>
      <c r="D188" s="139"/>
      <c r="F188" s="303"/>
    </row>
    <row r="189">
      <c r="C189" s="139"/>
      <c r="D189" s="139"/>
      <c r="F189" s="303"/>
    </row>
    <row r="190">
      <c r="C190" s="139"/>
      <c r="D190" s="139"/>
      <c r="F190" s="303"/>
    </row>
    <row r="191">
      <c r="C191" s="139"/>
      <c r="D191" s="139"/>
      <c r="F191" s="303"/>
    </row>
    <row r="192">
      <c r="C192" s="139"/>
      <c r="D192" s="139"/>
      <c r="F192" s="303"/>
    </row>
    <row r="193">
      <c r="C193" s="139"/>
      <c r="D193" s="139"/>
      <c r="F193" s="303"/>
    </row>
    <row r="194">
      <c r="C194" s="139"/>
      <c r="D194" s="139"/>
      <c r="F194" s="303"/>
    </row>
    <row r="195">
      <c r="C195" s="139"/>
      <c r="D195" s="139"/>
      <c r="F195" s="303"/>
    </row>
    <row r="196">
      <c r="C196" s="139"/>
      <c r="D196" s="139"/>
      <c r="F196" s="303"/>
    </row>
    <row r="197">
      <c r="C197" s="139"/>
      <c r="D197" s="139"/>
      <c r="F197" s="303"/>
    </row>
    <row r="198">
      <c r="C198" s="139"/>
      <c r="D198" s="139"/>
      <c r="F198" s="303"/>
    </row>
    <row r="199">
      <c r="C199" s="139"/>
      <c r="D199" s="139"/>
      <c r="F199" s="303"/>
    </row>
    <row r="200">
      <c r="C200" s="139"/>
      <c r="D200" s="139"/>
      <c r="F200" s="303"/>
    </row>
    <row r="201">
      <c r="C201" s="139"/>
      <c r="D201" s="139"/>
      <c r="F201" s="303"/>
    </row>
    <row r="202">
      <c r="C202" s="139"/>
      <c r="D202" s="139"/>
      <c r="F202" s="303"/>
    </row>
    <row r="203">
      <c r="C203" s="139"/>
      <c r="D203" s="139"/>
      <c r="F203" s="303"/>
    </row>
    <row r="204">
      <c r="C204" s="139"/>
      <c r="D204" s="139"/>
      <c r="F204" s="303"/>
    </row>
    <row r="205">
      <c r="C205" s="139"/>
      <c r="D205" s="139"/>
      <c r="F205" s="303"/>
    </row>
    <row r="206">
      <c r="C206" s="139"/>
      <c r="D206" s="139"/>
      <c r="F206" s="303"/>
    </row>
    <row r="207">
      <c r="C207" s="139"/>
      <c r="D207" s="139"/>
      <c r="F207" s="303"/>
    </row>
    <row r="208">
      <c r="C208" s="139"/>
      <c r="D208" s="139"/>
      <c r="F208" s="303"/>
    </row>
    <row r="209">
      <c r="C209" s="139"/>
      <c r="D209" s="139"/>
      <c r="F209" s="303"/>
    </row>
    <row r="210">
      <c r="C210" s="139"/>
      <c r="D210" s="139"/>
      <c r="F210" s="303"/>
    </row>
    <row r="211">
      <c r="C211" s="139"/>
      <c r="D211" s="139"/>
      <c r="F211" s="303"/>
    </row>
    <row r="212">
      <c r="C212" s="139"/>
      <c r="D212" s="139"/>
      <c r="F212" s="303"/>
    </row>
    <row r="213">
      <c r="C213" s="139"/>
      <c r="D213" s="139"/>
      <c r="F213" s="303"/>
    </row>
    <row r="214">
      <c r="C214" s="139"/>
      <c r="D214" s="139"/>
      <c r="F214" s="303"/>
    </row>
    <row r="215">
      <c r="C215" s="139"/>
      <c r="D215" s="139"/>
      <c r="F215" s="303"/>
    </row>
    <row r="216">
      <c r="C216" s="139"/>
      <c r="D216" s="139"/>
      <c r="F216" s="303"/>
    </row>
    <row r="217">
      <c r="C217" s="139"/>
      <c r="D217" s="139"/>
      <c r="F217" s="303"/>
    </row>
    <row r="218">
      <c r="C218" s="139"/>
      <c r="D218" s="139"/>
      <c r="F218" s="303"/>
    </row>
    <row r="219">
      <c r="C219" s="139"/>
      <c r="D219" s="139"/>
      <c r="F219" s="303"/>
    </row>
    <row r="220">
      <c r="C220" s="139"/>
      <c r="D220" s="139"/>
      <c r="F220" s="303"/>
    </row>
    <row r="221">
      <c r="C221" s="139"/>
      <c r="D221" s="139"/>
      <c r="F221" s="303"/>
    </row>
    <row r="222">
      <c r="C222" s="139"/>
      <c r="D222" s="139"/>
      <c r="F222" s="303"/>
    </row>
    <row r="223">
      <c r="C223" s="139"/>
      <c r="D223" s="139"/>
      <c r="F223" s="303"/>
    </row>
    <row r="224">
      <c r="C224" s="139"/>
      <c r="D224" s="139"/>
      <c r="F224" s="303"/>
    </row>
    <row r="225">
      <c r="C225" s="139"/>
      <c r="D225" s="139"/>
      <c r="F225" s="303"/>
    </row>
    <row r="226">
      <c r="C226" s="139"/>
      <c r="D226" s="139"/>
      <c r="F226" s="303"/>
    </row>
    <row r="227">
      <c r="C227" s="139"/>
      <c r="D227" s="139"/>
      <c r="F227" s="303"/>
    </row>
    <row r="228">
      <c r="C228" s="139"/>
      <c r="D228" s="139"/>
      <c r="F228" s="303"/>
    </row>
    <row r="229">
      <c r="C229" s="139"/>
      <c r="D229" s="139"/>
      <c r="F229" s="303"/>
    </row>
    <row r="230">
      <c r="C230" s="139"/>
      <c r="D230" s="139"/>
      <c r="F230" s="303"/>
    </row>
    <row r="231">
      <c r="C231" s="139"/>
      <c r="D231" s="139"/>
      <c r="F231" s="303"/>
    </row>
    <row r="232">
      <c r="C232" s="139"/>
      <c r="D232" s="139"/>
      <c r="F232" s="303"/>
    </row>
    <row r="233">
      <c r="C233" s="139"/>
      <c r="D233" s="139"/>
      <c r="F233" s="303"/>
    </row>
    <row r="234">
      <c r="C234" s="139"/>
      <c r="D234" s="139"/>
      <c r="F234" s="303"/>
    </row>
    <row r="235">
      <c r="C235" s="139"/>
      <c r="D235" s="139"/>
      <c r="F235" s="303"/>
    </row>
    <row r="236">
      <c r="C236" s="139"/>
      <c r="D236" s="139"/>
      <c r="F236" s="303"/>
    </row>
    <row r="237">
      <c r="C237" s="139"/>
      <c r="D237" s="139"/>
      <c r="F237" s="303"/>
    </row>
    <row r="238">
      <c r="C238" s="139"/>
      <c r="D238" s="139"/>
      <c r="F238" s="303"/>
    </row>
    <row r="239">
      <c r="C239" s="139"/>
      <c r="D239" s="139"/>
      <c r="F239" s="303"/>
    </row>
    <row r="240">
      <c r="C240" s="139"/>
      <c r="D240" s="139"/>
      <c r="F240" s="303"/>
    </row>
    <row r="241">
      <c r="C241" s="139"/>
      <c r="D241" s="139"/>
      <c r="F241" s="303"/>
    </row>
    <row r="242">
      <c r="C242" s="139"/>
      <c r="D242" s="139"/>
      <c r="F242" s="303"/>
    </row>
    <row r="243">
      <c r="C243" s="139"/>
      <c r="D243" s="139"/>
      <c r="F243" s="303"/>
    </row>
    <row r="244">
      <c r="C244" s="139"/>
      <c r="D244" s="139"/>
      <c r="F244" s="303"/>
    </row>
    <row r="245">
      <c r="C245" s="139"/>
      <c r="D245" s="139"/>
      <c r="F245" s="303"/>
    </row>
    <row r="246">
      <c r="C246" s="139"/>
      <c r="D246" s="139"/>
      <c r="F246" s="303"/>
    </row>
    <row r="247">
      <c r="C247" s="139"/>
      <c r="D247" s="139"/>
      <c r="F247" s="303"/>
    </row>
    <row r="248">
      <c r="C248" s="139"/>
      <c r="D248" s="139"/>
      <c r="F248" s="303"/>
    </row>
    <row r="249">
      <c r="C249" s="139"/>
      <c r="D249" s="139"/>
      <c r="F249" s="303"/>
    </row>
    <row r="250">
      <c r="C250" s="139"/>
      <c r="D250" s="139"/>
      <c r="F250" s="303"/>
    </row>
    <row r="251">
      <c r="C251" s="139"/>
      <c r="D251" s="139"/>
      <c r="F251" s="303"/>
    </row>
    <row r="252">
      <c r="C252" s="139"/>
      <c r="D252" s="139"/>
      <c r="F252" s="303"/>
    </row>
    <row r="253">
      <c r="C253" s="139"/>
      <c r="D253" s="139"/>
      <c r="F253" s="303"/>
    </row>
    <row r="254">
      <c r="C254" s="139"/>
      <c r="D254" s="139"/>
      <c r="F254" s="303"/>
    </row>
    <row r="255">
      <c r="C255" s="139"/>
      <c r="D255" s="139"/>
      <c r="F255" s="303"/>
    </row>
    <row r="256">
      <c r="C256" s="139"/>
      <c r="D256" s="139"/>
      <c r="F256" s="303"/>
    </row>
    <row r="257">
      <c r="C257" s="139"/>
      <c r="D257" s="139"/>
      <c r="F257" s="303"/>
    </row>
    <row r="258">
      <c r="C258" s="139"/>
      <c r="D258" s="139"/>
      <c r="F258" s="303"/>
    </row>
    <row r="259">
      <c r="C259" s="139"/>
      <c r="D259" s="139"/>
      <c r="F259" s="303"/>
    </row>
    <row r="260">
      <c r="C260" s="139"/>
      <c r="D260" s="139"/>
      <c r="F260" s="303"/>
    </row>
    <row r="261">
      <c r="C261" s="139"/>
      <c r="D261" s="139"/>
      <c r="F261" s="303"/>
    </row>
    <row r="262">
      <c r="C262" s="139"/>
      <c r="D262" s="139"/>
      <c r="F262" s="303"/>
    </row>
    <row r="263">
      <c r="C263" s="139"/>
      <c r="D263" s="139"/>
      <c r="F263" s="303"/>
    </row>
    <row r="264">
      <c r="C264" s="139"/>
      <c r="D264" s="139"/>
      <c r="F264" s="303"/>
    </row>
    <row r="265">
      <c r="C265" s="139"/>
      <c r="D265" s="139"/>
      <c r="F265" s="303"/>
    </row>
    <row r="266">
      <c r="C266" s="139"/>
      <c r="D266" s="139"/>
      <c r="F266" s="303"/>
    </row>
    <row r="267">
      <c r="C267" s="139"/>
      <c r="D267" s="139"/>
      <c r="F267" s="303"/>
    </row>
    <row r="268">
      <c r="C268" s="139"/>
      <c r="D268" s="139"/>
      <c r="F268" s="303"/>
    </row>
    <row r="269">
      <c r="C269" s="139"/>
      <c r="D269" s="139"/>
      <c r="F269" s="303"/>
    </row>
    <row r="270">
      <c r="C270" s="139"/>
      <c r="D270" s="139"/>
      <c r="F270" s="303"/>
    </row>
    <row r="271">
      <c r="C271" s="139"/>
      <c r="D271" s="139"/>
      <c r="F271" s="303"/>
    </row>
    <row r="272">
      <c r="C272" s="139"/>
      <c r="D272" s="139"/>
      <c r="F272" s="303"/>
    </row>
    <row r="273">
      <c r="C273" s="139"/>
      <c r="D273" s="139"/>
      <c r="F273" s="303"/>
    </row>
    <row r="274">
      <c r="C274" s="139"/>
      <c r="D274" s="139"/>
      <c r="F274" s="303"/>
    </row>
    <row r="275">
      <c r="C275" s="139"/>
      <c r="D275" s="139"/>
      <c r="F275" s="303"/>
    </row>
    <row r="276">
      <c r="C276" s="139"/>
      <c r="D276" s="139"/>
      <c r="F276" s="303"/>
    </row>
    <row r="277">
      <c r="C277" s="139"/>
      <c r="D277" s="139"/>
      <c r="F277" s="303"/>
    </row>
    <row r="278">
      <c r="C278" s="139"/>
      <c r="D278" s="139"/>
      <c r="F278" s="303"/>
    </row>
    <row r="279">
      <c r="C279" s="139"/>
      <c r="D279" s="139"/>
      <c r="F279" s="303"/>
    </row>
    <row r="280">
      <c r="C280" s="139"/>
      <c r="D280" s="139"/>
      <c r="F280" s="303"/>
    </row>
    <row r="281">
      <c r="C281" s="139"/>
      <c r="D281" s="139"/>
      <c r="F281" s="303"/>
    </row>
    <row r="282">
      <c r="C282" s="139"/>
      <c r="D282" s="139"/>
      <c r="F282" s="303"/>
    </row>
    <row r="283">
      <c r="C283" s="139"/>
      <c r="D283" s="139"/>
      <c r="F283" s="303"/>
    </row>
    <row r="284">
      <c r="C284" s="139"/>
      <c r="D284" s="139"/>
      <c r="F284" s="303"/>
    </row>
    <row r="285">
      <c r="C285" s="139"/>
      <c r="D285" s="139"/>
      <c r="F285" s="303"/>
    </row>
    <row r="286">
      <c r="C286" s="139"/>
      <c r="D286" s="139"/>
      <c r="F286" s="303"/>
    </row>
    <row r="287">
      <c r="C287" s="139"/>
      <c r="D287" s="139"/>
      <c r="F287" s="303"/>
    </row>
    <row r="288">
      <c r="C288" s="139"/>
      <c r="D288" s="139"/>
      <c r="F288" s="303"/>
    </row>
    <row r="289">
      <c r="C289" s="139"/>
      <c r="D289" s="139"/>
      <c r="F289" s="303"/>
    </row>
    <row r="290">
      <c r="C290" s="139"/>
      <c r="D290" s="139"/>
      <c r="F290" s="303"/>
    </row>
    <row r="291">
      <c r="C291" s="139"/>
      <c r="D291" s="139"/>
      <c r="F291" s="303"/>
    </row>
    <row r="292">
      <c r="C292" s="139"/>
      <c r="D292" s="139"/>
      <c r="F292" s="303"/>
    </row>
    <row r="293">
      <c r="C293" s="139"/>
      <c r="D293" s="139"/>
      <c r="F293" s="303"/>
    </row>
    <row r="294">
      <c r="C294" s="139"/>
      <c r="D294" s="139"/>
      <c r="F294" s="303"/>
    </row>
    <row r="295">
      <c r="C295" s="139"/>
      <c r="D295" s="139"/>
      <c r="F295" s="303"/>
    </row>
    <row r="296">
      <c r="C296" s="139"/>
      <c r="D296" s="139"/>
      <c r="F296" s="303"/>
    </row>
    <row r="297">
      <c r="C297" s="139"/>
      <c r="D297" s="139"/>
      <c r="F297" s="303"/>
    </row>
    <row r="298">
      <c r="C298" s="139"/>
      <c r="D298" s="139"/>
      <c r="F298" s="303"/>
    </row>
    <row r="299">
      <c r="C299" s="139"/>
      <c r="D299" s="139"/>
      <c r="F299" s="303"/>
    </row>
    <row r="300">
      <c r="C300" s="139"/>
      <c r="D300" s="139"/>
      <c r="F300" s="303"/>
    </row>
    <row r="301">
      <c r="C301" s="139"/>
      <c r="D301" s="139"/>
      <c r="F301" s="303"/>
    </row>
    <row r="302">
      <c r="C302" s="139"/>
      <c r="D302" s="139"/>
      <c r="F302" s="303"/>
    </row>
    <row r="303">
      <c r="C303" s="139"/>
      <c r="D303" s="139"/>
      <c r="F303" s="303"/>
    </row>
    <row r="304">
      <c r="C304" s="139"/>
      <c r="D304" s="139"/>
      <c r="F304" s="303"/>
    </row>
    <row r="305">
      <c r="C305" s="139"/>
      <c r="D305" s="139"/>
      <c r="F305" s="303"/>
    </row>
    <row r="306">
      <c r="C306" s="139"/>
      <c r="D306" s="139"/>
      <c r="F306" s="303"/>
    </row>
    <row r="307">
      <c r="C307" s="139"/>
      <c r="D307" s="139"/>
      <c r="F307" s="303"/>
    </row>
    <row r="308">
      <c r="C308" s="139"/>
      <c r="D308" s="139"/>
      <c r="F308" s="303"/>
    </row>
    <row r="309">
      <c r="C309" s="139"/>
      <c r="D309" s="139"/>
      <c r="F309" s="303"/>
    </row>
    <row r="310">
      <c r="C310" s="139"/>
      <c r="D310" s="139"/>
      <c r="F310" s="303"/>
    </row>
    <row r="311">
      <c r="C311" s="139"/>
      <c r="D311" s="139"/>
      <c r="F311" s="303"/>
    </row>
    <row r="312">
      <c r="C312" s="139"/>
      <c r="D312" s="139"/>
      <c r="F312" s="303"/>
    </row>
    <row r="313">
      <c r="C313" s="139"/>
      <c r="D313" s="139"/>
      <c r="F313" s="303"/>
    </row>
    <row r="314">
      <c r="C314" s="139"/>
      <c r="D314" s="139"/>
      <c r="F314" s="303"/>
    </row>
    <row r="315">
      <c r="C315" s="139"/>
      <c r="D315" s="139"/>
      <c r="F315" s="303"/>
    </row>
    <row r="316">
      <c r="C316" s="139"/>
      <c r="D316" s="139"/>
      <c r="F316" s="303"/>
    </row>
    <row r="317">
      <c r="C317" s="139"/>
      <c r="D317" s="139"/>
      <c r="F317" s="303"/>
    </row>
    <row r="318">
      <c r="C318" s="139"/>
      <c r="D318" s="139"/>
      <c r="F318" s="303"/>
    </row>
    <row r="319">
      <c r="C319" s="139"/>
      <c r="D319" s="139"/>
      <c r="F319" s="303"/>
    </row>
    <row r="320">
      <c r="C320" s="139"/>
      <c r="D320" s="139"/>
      <c r="F320" s="303"/>
    </row>
    <row r="321">
      <c r="C321" s="139"/>
      <c r="D321" s="139"/>
      <c r="F321" s="303"/>
    </row>
    <row r="322">
      <c r="C322" s="139"/>
      <c r="D322" s="139"/>
      <c r="F322" s="303"/>
    </row>
    <row r="323">
      <c r="C323" s="139"/>
      <c r="D323" s="139"/>
      <c r="F323" s="303"/>
    </row>
    <row r="324">
      <c r="C324" s="139"/>
      <c r="D324" s="139"/>
      <c r="F324" s="303"/>
    </row>
    <row r="325">
      <c r="C325" s="139"/>
      <c r="D325" s="139"/>
      <c r="F325" s="303"/>
    </row>
    <row r="326">
      <c r="C326" s="139"/>
      <c r="D326" s="139"/>
      <c r="F326" s="303"/>
    </row>
    <row r="327">
      <c r="C327" s="139"/>
      <c r="D327" s="139"/>
      <c r="F327" s="303"/>
    </row>
    <row r="328">
      <c r="C328" s="139"/>
      <c r="D328" s="139"/>
      <c r="F328" s="303"/>
    </row>
    <row r="329">
      <c r="C329" s="139"/>
      <c r="D329" s="139"/>
      <c r="F329" s="303"/>
    </row>
    <row r="330">
      <c r="C330" s="139"/>
      <c r="D330" s="139"/>
      <c r="F330" s="303"/>
    </row>
    <row r="331">
      <c r="C331" s="139"/>
      <c r="D331" s="139"/>
      <c r="F331" s="303"/>
    </row>
    <row r="332">
      <c r="C332" s="139"/>
      <c r="D332" s="139"/>
      <c r="F332" s="303"/>
    </row>
    <row r="333">
      <c r="C333" s="139"/>
      <c r="D333" s="139"/>
      <c r="F333" s="303"/>
    </row>
    <row r="334">
      <c r="C334" s="139"/>
      <c r="D334" s="139"/>
      <c r="F334" s="303"/>
    </row>
    <row r="335">
      <c r="C335" s="139"/>
      <c r="D335" s="139"/>
      <c r="F335" s="303"/>
    </row>
    <row r="336">
      <c r="C336" s="139"/>
      <c r="D336" s="139"/>
      <c r="F336" s="303"/>
    </row>
    <row r="337">
      <c r="C337" s="139"/>
      <c r="D337" s="139"/>
      <c r="F337" s="303"/>
    </row>
    <row r="338">
      <c r="C338" s="139"/>
      <c r="D338" s="139"/>
      <c r="F338" s="303"/>
    </row>
    <row r="339">
      <c r="C339" s="139"/>
      <c r="D339" s="139"/>
      <c r="F339" s="303"/>
    </row>
    <row r="340">
      <c r="C340" s="139"/>
      <c r="D340" s="139"/>
      <c r="F340" s="303"/>
    </row>
    <row r="341">
      <c r="C341" s="139"/>
      <c r="D341" s="139"/>
      <c r="F341" s="303"/>
    </row>
    <row r="342">
      <c r="C342" s="139"/>
      <c r="D342" s="139"/>
      <c r="F342" s="303"/>
    </row>
    <row r="343">
      <c r="C343" s="139"/>
      <c r="D343" s="139"/>
      <c r="F343" s="303"/>
    </row>
    <row r="344">
      <c r="C344" s="139"/>
      <c r="D344" s="139"/>
      <c r="F344" s="303"/>
    </row>
    <row r="345">
      <c r="C345" s="139"/>
      <c r="D345" s="139"/>
      <c r="F345" s="303"/>
    </row>
    <row r="346">
      <c r="C346" s="139"/>
      <c r="D346" s="139"/>
      <c r="F346" s="303"/>
    </row>
    <row r="347">
      <c r="C347" s="139"/>
      <c r="D347" s="139"/>
      <c r="F347" s="303"/>
    </row>
    <row r="348">
      <c r="C348" s="139"/>
      <c r="D348" s="139"/>
      <c r="F348" s="303"/>
    </row>
    <row r="349">
      <c r="C349" s="139"/>
      <c r="D349" s="139"/>
      <c r="F349" s="303"/>
    </row>
    <row r="350">
      <c r="C350" s="139"/>
      <c r="D350" s="139"/>
      <c r="F350" s="303"/>
    </row>
    <row r="351">
      <c r="C351" s="139"/>
      <c r="D351" s="139"/>
      <c r="F351" s="303"/>
    </row>
    <row r="352">
      <c r="C352" s="139"/>
      <c r="D352" s="139"/>
      <c r="F352" s="303"/>
    </row>
    <row r="353">
      <c r="C353" s="139"/>
      <c r="D353" s="139"/>
      <c r="F353" s="303"/>
    </row>
    <row r="354">
      <c r="C354" s="139"/>
      <c r="D354" s="139"/>
      <c r="F354" s="303"/>
    </row>
    <row r="355">
      <c r="C355" s="139"/>
      <c r="D355" s="139"/>
      <c r="F355" s="303"/>
    </row>
    <row r="356">
      <c r="C356" s="139"/>
      <c r="D356" s="139"/>
      <c r="F356" s="303"/>
    </row>
    <row r="357">
      <c r="C357" s="139"/>
      <c r="D357" s="139"/>
      <c r="F357" s="303"/>
    </row>
    <row r="358">
      <c r="C358" s="139"/>
      <c r="D358" s="139"/>
      <c r="F358" s="303"/>
    </row>
    <row r="359">
      <c r="C359" s="139"/>
      <c r="D359" s="139"/>
      <c r="F359" s="303"/>
    </row>
    <row r="360">
      <c r="C360" s="139"/>
      <c r="D360" s="139"/>
      <c r="F360" s="303"/>
    </row>
    <row r="361">
      <c r="C361" s="139"/>
      <c r="D361" s="139"/>
      <c r="F361" s="303"/>
    </row>
    <row r="362">
      <c r="C362" s="139"/>
      <c r="D362" s="139"/>
      <c r="F362" s="303"/>
    </row>
    <row r="363">
      <c r="C363" s="139"/>
      <c r="D363" s="139"/>
      <c r="F363" s="303"/>
    </row>
    <row r="364">
      <c r="C364" s="139"/>
      <c r="D364" s="139"/>
      <c r="F364" s="303"/>
    </row>
    <row r="365">
      <c r="C365" s="139"/>
      <c r="D365" s="139"/>
      <c r="F365" s="303"/>
    </row>
    <row r="366">
      <c r="C366" s="139"/>
      <c r="D366" s="139"/>
      <c r="F366" s="303"/>
    </row>
    <row r="367">
      <c r="C367" s="139"/>
      <c r="D367" s="139"/>
      <c r="F367" s="303"/>
    </row>
    <row r="368">
      <c r="C368" s="139"/>
      <c r="D368" s="139"/>
      <c r="F368" s="303"/>
    </row>
    <row r="369">
      <c r="C369" s="139"/>
      <c r="D369" s="139"/>
      <c r="F369" s="303"/>
    </row>
    <row r="370">
      <c r="C370" s="139"/>
      <c r="D370" s="139"/>
      <c r="F370" s="303"/>
    </row>
    <row r="371">
      <c r="C371" s="139"/>
      <c r="D371" s="139"/>
      <c r="F371" s="303"/>
    </row>
    <row r="372">
      <c r="C372" s="139"/>
      <c r="D372" s="139"/>
      <c r="F372" s="303"/>
    </row>
    <row r="373">
      <c r="C373" s="139"/>
      <c r="D373" s="139"/>
      <c r="F373" s="303"/>
    </row>
    <row r="374">
      <c r="C374" s="139"/>
      <c r="D374" s="139"/>
      <c r="F374" s="303"/>
    </row>
    <row r="375">
      <c r="C375" s="139"/>
      <c r="D375" s="139"/>
      <c r="F375" s="303"/>
    </row>
    <row r="376">
      <c r="C376" s="139"/>
      <c r="D376" s="139"/>
      <c r="F376" s="303"/>
    </row>
    <row r="377">
      <c r="C377" s="139"/>
      <c r="D377" s="139"/>
      <c r="F377" s="303"/>
    </row>
    <row r="378">
      <c r="C378" s="139"/>
      <c r="D378" s="139"/>
      <c r="F378" s="303"/>
    </row>
    <row r="379">
      <c r="C379" s="139"/>
      <c r="D379" s="139"/>
      <c r="F379" s="303"/>
    </row>
    <row r="380">
      <c r="C380" s="139"/>
      <c r="D380" s="139"/>
      <c r="F380" s="303"/>
    </row>
    <row r="381">
      <c r="C381" s="139"/>
      <c r="D381" s="139"/>
      <c r="F381" s="303"/>
    </row>
    <row r="382">
      <c r="C382" s="139"/>
      <c r="D382" s="139"/>
      <c r="F382" s="303"/>
    </row>
    <row r="383">
      <c r="C383" s="139"/>
      <c r="D383" s="139"/>
      <c r="F383" s="303"/>
    </row>
    <row r="384">
      <c r="C384" s="139"/>
      <c r="D384" s="139"/>
      <c r="F384" s="303"/>
    </row>
    <row r="385">
      <c r="C385" s="139"/>
      <c r="D385" s="139"/>
      <c r="F385" s="303"/>
    </row>
    <row r="386">
      <c r="C386" s="139"/>
      <c r="D386" s="139"/>
      <c r="F386" s="303"/>
    </row>
    <row r="387">
      <c r="C387" s="139"/>
      <c r="D387" s="139"/>
      <c r="F387" s="303"/>
    </row>
    <row r="388">
      <c r="C388" s="139"/>
      <c r="D388" s="139"/>
      <c r="F388" s="303"/>
    </row>
    <row r="389">
      <c r="C389" s="139"/>
      <c r="D389" s="139"/>
      <c r="F389" s="303"/>
    </row>
    <row r="390">
      <c r="C390" s="139"/>
      <c r="D390" s="139"/>
      <c r="F390" s="303"/>
    </row>
    <row r="391">
      <c r="C391" s="139"/>
      <c r="D391" s="139"/>
      <c r="F391" s="303"/>
    </row>
    <row r="392">
      <c r="C392" s="139"/>
      <c r="D392" s="139"/>
      <c r="F392" s="303"/>
    </row>
    <row r="393">
      <c r="C393" s="139"/>
      <c r="D393" s="139"/>
      <c r="F393" s="303"/>
    </row>
    <row r="394">
      <c r="C394" s="139"/>
      <c r="D394" s="139"/>
      <c r="F394" s="303"/>
    </row>
    <row r="395">
      <c r="C395" s="139"/>
      <c r="D395" s="139"/>
      <c r="F395" s="303"/>
    </row>
    <row r="396">
      <c r="C396" s="139"/>
      <c r="D396" s="139"/>
      <c r="F396" s="303"/>
    </row>
    <row r="397">
      <c r="C397" s="139"/>
      <c r="D397" s="139"/>
      <c r="F397" s="303"/>
    </row>
    <row r="398">
      <c r="C398" s="139"/>
      <c r="D398" s="139"/>
      <c r="F398" s="303"/>
    </row>
    <row r="399">
      <c r="C399" s="139"/>
      <c r="D399" s="139"/>
      <c r="F399" s="303"/>
    </row>
    <row r="400">
      <c r="C400" s="139"/>
      <c r="D400" s="139"/>
      <c r="F400" s="303"/>
    </row>
    <row r="401">
      <c r="C401" s="139"/>
      <c r="D401" s="139"/>
      <c r="F401" s="303"/>
    </row>
    <row r="402">
      <c r="C402" s="139"/>
      <c r="D402" s="139"/>
      <c r="F402" s="303"/>
    </row>
    <row r="403">
      <c r="C403" s="139"/>
      <c r="D403" s="139"/>
      <c r="F403" s="303"/>
    </row>
    <row r="404">
      <c r="C404" s="139"/>
      <c r="D404" s="139"/>
      <c r="F404" s="303"/>
    </row>
    <row r="405">
      <c r="C405" s="139"/>
      <c r="D405" s="139"/>
      <c r="F405" s="303"/>
    </row>
    <row r="406">
      <c r="C406" s="139"/>
      <c r="D406" s="139"/>
      <c r="F406" s="303"/>
    </row>
    <row r="407">
      <c r="C407" s="139"/>
      <c r="D407" s="139"/>
      <c r="F407" s="303"/>
    </row>
    <row r="408">
      <c r="C408" s="139"/>
      <c r="D408" s="139"/>
      <c r="F408" s="303"/>
    </row>
    <row r="409">
      <c r="C409" s="139"/>
      <c r="D409" s="139"/>
      <c r="F409" s="303"/>
    </row>
    <row r="410">
      <c r="C410" s="139"/>
      <c r="D410" s="139"/>
      <c r="F410" s="303"/>
    </row>
    <row r="411">
      <c r="C411" s="139"/>
      <c r="D411" s="139"/>
      <c r="F411" s="303"/>
    </row>
    <row r="412">
      <c r="C412" s="139"/>
      <c r="D412" s="139"/>
      <c r="F412" s="303"/>
    </row>
    <row r="413">
      <c r="C413" s="139"/>
      <c r="D413" s="139"/>
      <c r="F413" s="303"/>
    </row>
    <row r="414">
      <c r="C414" s="139"/>
      <c r="D414" s="139"/>
      <c r="F414" s="303"/>
    </row>
    <row r="415">
      <c r="C415" s="139"/>
      <c r="D415" s="139"/>
      <c r="F415" s="303"/>
    </row>
    <row r="416">
      <c r="C416" s="139"/>
      <c r="D416" s="139"/>
      <c r="F416" s="303"/>
    </row>
    <row r="417">
      <c r="C417" s="139"/>
      <c r="D417" s="139"/>
      <c r="F417" s="303"/>
    </row>
    <row r="418">
      <c r="C418" s="139"/>
      <c r="D418" s="139"/>
      <c r="F418" s="303"/>
    </row>
    <row r="419">
      <c r="C419" s="139"/>
      <c r="D419" s="139"/>
      <c r="F419" s="303"/>
    </row>
    <row r="420">
      <c r="C420" s="139"/>
      <c r="D420" s="139"/>
      <c r="F420" s="303"/>
    </row>
    <row r="421">
      <c r="C421" s="139"/>
      <c r="D421" s="139"/>
      <c r="F421" s="303"/>
    </row>
    <row r="422">
      <c r="C422" s="139"/>
      <c r="D422" s="139"/>
      <c r="F422" s="303"/>
    </row>
    <row r="423">
      <c r="C423" s="139"/>
      <c r="D423" s="139"/>
      <c r="F423" s="303"/>
    </row>
    <row r="424">
      <c r="C424" s="139"/>
      <c r="D424" s="139"/>
      <c r="F424" s="303"/>
    </row>
    <row r="425">
      <c r="C425" s="139"/>
      <c r="D425" s="139"/>
      <c r="F425" s="303"/>
    </row>
    <row r="426">
      <c r="C426" s="139"/>
      <c r="D426" s="139"/>
      <c r="F426" s="303"/>
    </row>
    <row r="427">
      <c r="C427" s="139"/>
      <c r="D427" s="139"/>
      <c r="F427" s="303"/>
    </row>
    <row r="428">
      <c r="C428" s="139"/>
      <c r="D428" s="139"/>
      <c r="F428" s="303"/>
    </row>
    <row r="429">
      <c r="C429" s="139"/>
      <c r="D429" s="139"/>
      <c r="F429" s="303"/>
    </row>
    <row r="430">
      <c r="C430" s="139"/>
      <c r="D430" s="139"/>
      <c r="F430" s="303"/>
    </row>
    <row r="431">
      <c r="C431" s="139"/>
      <c r="D431" s="139"/>
      <c r="F431" s="303"/>
    </row>
    <row r="432">
      <c r="C432" s="139"/>
      <c r="D432" s="139"/>
      <c r="F432" s="303"/>
    </row>
    <row r="433">
      <c r="C433" s="139"/>
      <c r="D433" s="139"/>
      <c r="F433" s="303"/>
    </row>
    <row r="434">
      <c r="C434" s="139"/>
      <c r="D434" s="139"/>
      <c r="F434" s="303"/>
    </row>
    <row r="435">
      <c r="C435" s="139"/>
      <c r="D435" s="139"/>
      <c r="F435" s="303"/>
    </row>
    <row r="436">
      <c r="C436" s="139"/>
      <c r="D436" s="139"/>
      <c r="F436" s="303"/>
    </row>
    <row r="437">
      <c r="C437" s="139"/>
      <c r="D437" s="139"/>
      <c r="F437" s="303"/>
    </row>
    <row r="438">
      <c r="C438" s="139"/>
      <c r="D438" s="139"/>
      <c r="F438" s="303"/>
    </row>
    <row r="439">
      <c r="C439" s="139"/>
      <c r="D439" s="139"/>
      <c r="F439" s="303"/>
    </row>
    <row r="440">
      <c r="C440" s="139"/>
      <c r="D440" s="139"/>
      <c r="F440" s="303"/>
    </row>
    <row r="441">
      <c r="C441" s="139"/>
      <c r="D441" s="139"/>
      <c r="F441" s="303"/>
    </row>
    <row r="442">
      <c r="C442" s="139"/>
      <c r="D442" s="139"/>
      <c r="F442" s="303"/>
    </row>
    <row r="443">
      <c r="C443" s="139"/>
      <c r="D443" s="139"/>
      <c r="F443" s="303"/>
    </row>
    <row r="444">
      <c r="C444" s="139"/>
      <c r="D444" s="139"/>
      <c r="F444" s="303"/>
    </row>
    <row r="445">
      <c r="C445" s="139"/>
      <c r="D445" s="139"/>
      <c r="F445" s="303"/>
    </row>
    <row r="446">
      <c r="C446" s="139"/>
      <c r="D446" s="139"/>
      <c r="F446" s="303"/>
    </row>
    <row r="447">
      <c r="C447" s="139"/>
      <c r="D447" s="139"/>
      <c r="F447" s="303"/>
    </row>
    <row r="448">
      <c r="C448" s="139"/>
      <c r="D448" s="139"/>
      <c r="F448" s="303"/>
    </row>
    <row r="449">
      <c r="C449" s="139"/>
      <c r="D449" s="139"/>
      <c r="F449" s="303"/>
    </row>
    <row r="450">
      <c r="C450" s="139"/>
      <c r="D450" s="139"/>
      <c r="F450" s="303"/>
    </row>
    <row r="451">
      <c r="C451" s="139"/>
      <c r="D451" s="139"/>
      <c r="F451" s="303"/>
    </row>
    <row r="452">
      <c r="C452" s="139"/>
      <c r="D452" s="139"/>
      <c r="F452" s="303"/>
    </row>
    <row r="453">
      <c r="C453" s="139"/>
      <c r="D453" s="139"/>
      <c r="F453" s="303"/>
    </row>
    <row r="454">
      <c r="C454" s="139"/>
      <c r="D454" s="139"/>
      <c r="F454" s="303"/>
    </row>
    <row r="455">
      <c r="C455" s="139"/>
      <c r="D455" s="139"/>
      <c r="F455" s="303"/>
    </row>
    <row r="456">
      <c r="C456" s="139"/>
      <c r="D456" s="139"/>
      <c r="F456" s="303"/>
    </row>
    <row r="457">
      <c r="C457" s="139"/>
      <c r="D457" s="139"/>
      <c r="F457" s="303"/>
    </row>
    <row r="458">
      <c r="C458" s="139"/>
      <c r="D458" s="139"/>
      <c r="F458" s="303"/>
    </row>
    <row r="459">
      <c r="C459" s="139"/>
      <c r="D459" s="139"/>
      <c r="F459" s="303"/>
    </row>
    <row r="460">
      <c r="C460" s="139"/>
      <c r="D460" s="139"/>
      <c r="F460" s="303"/>
    </row>
    <row r="461">
      <c r="C461" s="139"/>
      <c r="D461" s="139"/>
      <c r="F461" s="303"/>
    </row>
    <row r="462">
      <c r="C462" s="139"/>
      <c r="D462" s="139"/>
      <c r="F462" s="303"/>
    </row>
    <row r="463">
      <c r="C463" s="139"/>
      <c r="D463" s="139"/>
      <c r="F463" s="303"/>
    </row>
    <row r="464">
      <c r="C464" s="139"/>
      <c r="D464" s="139"/>
      <c r="F464" s="303"/>
    </row>
    <row r="465">
      <c r="C465" s="139"/>
      <c r="D465" s="139"/>
      <c r="F465" s="303"/>
    </row>
    <row r="466">
      <c r="C466" s="139"/>
      <c r="D466" s="139"/>
      <c r="F466" s="303"/>
    </row>
    <row r="467">
      <c r="C467" s="139"/>
      <c r="D467" s="139"/>
      <c r="F467" s="303"/>
    </row>
    <row r="468">
      <c r="C468" s="139"/>
      <c r="D468" s="139"/>
      <c r="F468" s="303"/>
    </row>
    <row r="469">
      <c r="C469" s="139"/>
      <c r="D469" s="139"/>
      <c r="F469" s="303"/>
    </row>
    <row r="470">
      <c r="C470" s="139"/>
      <c r="D470" s="139"/>
      <c r="F470" s="303"/>
    </row>
    <row r="471">
      <c r="C471" s="139"/>
      <c r="D471" s="139"/>
      <c r="F471" s="303"/>
    </row>
    <row r="472">
      <c r="C472" s="139"/>
      <c r="D472" s="139"/>
      <c r="F472" s="303"/>
    </row>
    <row r="473">
      <c r="C473" s="139"/>
      <c r="D473" s="139"/>
      <c r="F473" s="303"/>
    </row>
    <row r="474">
      <c r="C474" s="139"/>
      <c r="D474" s="139"/>
      <c r="F474" s="303"/>
    </row>
    <row r="475">
      <c r="C475" s="139"/>
      <c r="D475" s="139"/>
      <c r="F475" s="303"/>
    </row>
    <row r="476">
      <c r="C476" s="139"/>
      <c r="D476" s="139"/>
      <c r="F476" s="303"/>
    </row>
    <row r="477">
      <c r="C477" s="139"/>
      <c r="D477" s="139"/>
      <c r="F477" s="303"/>
    </row>
    <row r="478">
      <c r="C478" s="139"/>
      <c r="D478" s="139"/>
      <c r="F478" s="303"/>
    </row>
    <row r="479">
      <c r="C479" s="139"/>
      <c r="D479" s="139"/>
      <c r="F479" s="303"/>
    </row>
    <row r="480">
      <c r="C480" s="139"/>
      <c r="D480" s="139"/>
      <c r="F480" s="303"/>
    </row>
    <row r="481">
      <c r="C481" s="139"/>
      <c r="D481" s="139"/>
      <c r="F481" s="303"/>
    </row>
    <row r="482">
      <c r="C482" s="139"/>
      <c r="D482" s="139"/>
      <c r="F482" s="303"/>
    </row>
    <row r="483">
      <c r="C483" s="139"/>
      <c r="D483" s="139"/>
      <c r="F483" s="303"/>
    </row>
    <row r="484">
      <c r="C484" s="139"/>
      <c r="D484" s="139"/>
      <c r="F484" s="303"/>
    </row>
    <row r="485">
      <c r="C485" s="139"/>
      <c r="D485" s="139"/>
      <c r="F485" s="303"/>
    </row>
    <row r="486">
      <c r="C486" s="139"/>
      <c r="D486" s="139"/>
      <c r="F486" s="303"/>
    </row>
    <row r="487">
      <c r="C487" s="139"/>
      <c r="D487" s="139"/>
      <c r="F487" s="303"/>
    </row>
    <row r="488">
      <c r="C488" s="139"/>
      <c r="D488" s="139"/>
      <c r="F488" s="303"/>
    </row>
    <row r="489">
      <c r="C489" s="139"/>
      <c r="D489" s="139"/>
      <c r="F489" s="303"/>
    </row>
    <row r="490">
      <c r="C490" s="139"/>
      <c r="D490" s="139"/>
      <c r="F490" s="303"/>
    </row>
    <row r="491">
      <c r="C491" s="139"/>
      <c r="D491" s="139"/>
      <c r="F491" s="303"/>
    </row>
    <row r="492">
      <c r="C492" s="139"/>
      <c r="D492" s="139"/>
      <c r="F492" s="303"/>
    </row>
    <row r="493">
      <c r="C493" s="139"/>
      <c r="D493" s="139"/>
      <c r="F493" s="303"/>
    </row>
    <row r="494">
      <c r="C494" s="139"/>
      <c r="D494" s="139"/>
      <c r="F494" s="303"/>
    </row>
    <row r="495">
      <c r="C495" s="139"/>
      <c r="D495" s="139"/>
      <c r="F495" s="303"/>
    </row>
    <row r="496">
      <c r="C496" s="139"/>
      <c r="D496" s="139"/>
      <c r="F496" s="303"/>
    </row>
    <row r="497">
      <c r="C497" s="139"/>
      <c r="D497" s="139"/>
      <c r="F497" s="303"/>
    </row>
    <row r="498">
      <c r="C498" s="139"/>
      <c r="D498" s="139"/>
      <c r="F498" s="303"/>
    </row>
    <row r="499">
      <c r="C499" s="139"/>
      <c r="D499" s="139"/>
      <c r="F499" s="303"/>
    </row>
    <row r="500">
      <c r="C500" s="139"/>
      <c r="D500" s="139"/>
      <c r="F500" s="303"/>
    </row>
    <row r="501">
      <c r="C501" s="139"/>
      <c r="D501" s="139"/>
      <c r="F501" s="303"/>
    </row>
    <row r="502">
      <c r="C502" s="139"/>
      <c r="D502" s="139"/>
      <c r="F502" s="303"/>
    </row>
    <row r="503">
      <c r="C503" s="139"/>
      <c r="D503" s="139"/>
      <c r="F503" s="303"/>
    </row>
    <row r="504">
      <c r="C504" s="139"/>
      <c r="D504" s="139"/>
      <c r="F504" s="303"/>
    </row>
    <row r="505">
      <c r="C505" s="139"/>
      <c r="D505" s="139"/>
      <c r="F505" s="303"/>
    </row>
    <row r="506">
      <c r="C506" s="139"/>
      <c r="D506" s="139"/>
      <c r="F506" s="303"/>
    </row>
    <row r="507">
      <c r="C507" s="139"/>
      <c r="D507" s="139"/>
      <c r="F507" s="303"/>
    </row>
    <row r="508">
      <c r="C508" s="139"/>
      <c r="D508" s="139"/>
      <c r="F508" s="303"/>
    </row>
    <row r="509">
      <c r="C509" s="139"/>
      <c r="D509" s="139"/>
      <c r="F509" s="303"/>
    </row>
    <row r="510">
      <c r="C510" s="139"/>
      <c r="D510" s="139"/>
      <c r="F510" s="303"/>
    </row>
    <row r="511">
      <c r="C511" s="139"/>
      <c r="D511" s="139"/>
      <c r="F511" s="303"/>
    </row>
    <row r="512">
      <c r="C512" s="139"/>
      <c r="D512" s="139"/>
      <c r="F512" s="303"/>
    </row>
    <row r="513">
      <c r="C513" s="139"/>
      <c r="D513" s="139"/>
      <c r="F513" s="303"/>
    </row>
    <row r="514">
      <c r="C514" s="139"/>
      <c r="D514" s="139"/>
      <c r="F514" s="303"/>
    </row>
    <row r="515">
      <c r="C515" s="139"/>
      <c r="D515" s="139"/>
      <c r="F515" s="303"/>
    </row>
    <row r="516">
      <c r="C516" s="139"/>
      <c r="D516" s="139"/>
      <c r="F516" s="303"/>
    </row>
    <row r="517">
      <c r="C517" s="139"/>
      <c r="D517" s="139"/>
      <c r="F517" s="303"/>
    </row>
    <row r="518">
      <c r="C518" s="139"/>
      <c r="D518" s="139"/>
      <c r="F518" s="303"/>
    </row>
    <row r="519">
      <c r="C519" s="139"/>
      <c r="D519" s="139"/>
      <c r="F519" s="303"/>
    </row>
    <row r="520">
      <c r="C520" s="139"/>
      <c r="D520" s="139"/>
      <c r="F520" s="303"/>
    </row>
    <row r="521">
      <c r="C521" s="139"/>
      <c r="D521" s="139"/>
      <c r="F521" s="303"/>
    </row>
    <row r="522">
      <c r="C522" s="139"/>
      <c r="D522" s="139"/>
      <c r="F522" s="303"/>
    </row>
    <row r="523">
      <c r="C523" s="139"/>
      <c r="D523" s="139"/>
      <c r="F523" s="303"/>
    </row>
    <row r="524">
      <c r="C524" s="139"/>
      <c r="D524" s="139"/>
      <c r="F524" s="303"/>
    </row>
    <row r="525">
      <c r="C525" s="139"/>
      <c r="D525" s="139"/>
      <c r="F525" s="303"/>
    </row>
    <row r="526">
      <c r="C526" s="139"/>
      <c r="D526" s="139"/>
      <c r="F526" s="303"/>
    </row>
    <row r="527">
      <c r="C527" s="139"/>
      <c r="D527" s="139"/>
      <c r="F527" s="303"/>
    </row>
    <row r="528">
      <c r="C528" s="139"/>
      <c r="D528" s="139"/>
      <c r="F528" s="303"/>
    </row>
    <row r="529">
      <c r="C529" s="139"/>
      <c r="D529" s="139"/>
      <c r="F529" s="303"/>
    </row>
    <row r="530">
      <c r="C530" s="139"/>
      <c r="D530" s="139"/>
      <c r="F530" s="303"/>
    </row>
    <row r="531">
      <c r="C531" s="139"/>
      <c r="D531" s="139"/>
      <c r="F531" s="303"/>
    </row>
    <row r="532">
      <c r="C532" s="139"/>
      <c r="D532" s="139"/>
      <c r="F532" s="303"/>
    </row>
    <row r="533">
      <c r="C533" s="139"/>
      <c r="D533" s="139"/>
      <c r="F533" s="303"/>
    </row>
    <row r="534">
      <c r="C534" s="139"/>
      <c r="D534" s="139"/>
      <c r="F534" s="303"/>
    </row>
    <row r="535">
      <c r="C535" s="139"/>
      <c r="D535" s="139"/>
      <c r="F535" s="303"/>
    </row>
    <row r="536">
      <c r="C536" s="139"/>
      <c r="D536" s="139"/>
      <c r="F536" s="303"/>
    </row>
    <row r="537">
      <c r="C537" s="139"/>
      <c r="D537" s="139"/>
      <c r="F537" s="303"/>
    </row>
    <row r="538">
      <c r="C538" s="139"/>
      <c r="D538" s="139"/>
      <c r="F538" s="303"/>
    </row>
    <row r="539">
      <c r="C539" s="139"/>
      <c r="D539" s="139"/>
      <c r="F539" s="303"/>
    </row>
    <row r="540">
      <c r="C540" s="139"/>
      <c r="D540" s="139"/>
      <c r="F540" s="303"/>
    </row>
    <row r="541">
      <c r="C541" s="139"/>
      <c r="D541" s="139"/>
      <c r="F541" s="303"/>
    </row>
    <row r="542">
      <c r="C542" s="139"/>
      <c r="D542" s="139"/>
      <c r="F542" s="303"/>
    </row>
    <row r="543">
      <c r="C543" s="139"/>
      <c r="D543" s="139"/>
      <c r="F543" s="303"/>
    </row>
    <row r="544">
      <c r="C544" s="139"/>
      <c r="D544" s="139"/>
      <c r="F544" s="303"/>
    </row>
    <row r="545">
      <c r="C545" s="139"/>
      <c r="D545" s="139"/>
      <c r="F545" s="303"/>
    </row>
    <row r="546">
      <c r="C546" s="139"/>
      <c r="D546" s="139"/>
      <c r="F546" s="303"/>
    </row>
    <row r="547">
      <c r="C547" s="139"/>
      <c r="D547" s="139"/>
      <c r="F547" s="303"/>
    </row>
    <row r="548">
      <c r="C548" s="139"/>
      <c r="D548" s="139"/>
      <c r="F548" s="303"/>
    </row>
    <row r="549">
      <c r="C549" s="139"/>
      <c r="D549" s="139"/>
      <c r="F549" s="303"/>
    </row>
    <row r="550">
      <c r="C550" s="139"/>
      <c r="D550" s="139"/>
      <c r="F550" s="303"/>
    </row>
    <row r="551">
      <c r="C551" s="139"/>
      <c r="D551" s="139"/>
      <c r="F551" s="303"/>
    </row>
    <row r="552">
      <c r="C552" s="139"/>
      <c r="D552" s="139"/>
      <c r="F552" s="303"/>
    </row>
    <row r="553">
      <c r="C553" s="139"/>
      <c r="D553" s="139"/>
      <c r="F553" s="303"/>
    </row>
    <row r="554">
      <c r="C554" s="139"/>
      <c r="D554" s="139"/>
      <c r="F554" s="303"/>
    </row>
    <row r="555">
      <c r="C555" s="139"/>
      <c r="D555" s="139"/>
      <c r="F555" s="303"/>
    </row>
    <row r="556">
      <c r="C556" s="139"/>
      <c r="D556" s="139"/>
      <c r="F556" s="303"/>
    </row>
    <row r="557">
      <c r="C557" s="139"/>
      <c r="D557" s="139"/>
      <c r="F557" s="303"/>
    </row>
    <row r="558">
      <c r="C558" s="139"/>
      <c r="D558" s="139"/>
      <c r="F558" s="303"/>
    </row>
    <row r="559">
      <c r="C559" s="139"/>
      <c r="D559" s="139"/>
      <c r="F559" s="303"/>
    </row>
    <row r="560">
      <c r="C560" s="139"/>
      <c r="D560" s="139"/>
      <c r="F560" s="303"/>
    </row>
    <row r="561">
      <c r="C561" s="139"/>
      <c r="D561" s="139"/>
      <c r="F561" s="303"/>
    </row>
    <row r="562">
      <c r="C562" s="139"/>
      <c r="D562" s="139"/>
      <c r="F562" s="303"/>
    </row>
    <row r="563">
      <c r="C563" s="139"/>
      <c r="D563" s="139"/>
      <c r="F563" s="303"/>
    </row>
    <row r="564">
      <c r="C564" s="139"/>
      <c r="D564" s="139"/>
      <c r="F564" s="303"/>
    </row>
    <row r="565">
      <c r="C565" s="139"/>
      <c r="D565" s="139"/>
      <c r="F565" s="303"/>
    </row>
    <row r="566">
      <c r="C566" s="139"/>
      <c r="D566" s="139"/>
      <c r="F566" s="303"/>
    </row>
    <row r="567">
      <c r="C567" s="139"/>
      <c r="D567" s="139"/>
      <c r="F567" s="303"/>
    </row>
    <row r="568">
      <c r="C568" s="139"/>
      <c r="D568" s="139"/>
      <c r="F568" s="303"/>
    </row>
    <row r="569">
      <c r="C569" s="139"/>
      <c r="D569" s="139"/>
      <c r="F569" s="303"/>
    </row>
    <row r="570">
      <c r="C570" s="139"/>
      <c r="D570" s="139"/>
      <c r="F570" s="303"/>
    </row>
    <row r="571">
      <c r="C571" s="139"/>
      <c r="D571" s="139"/>
      <c r="F571" s="303"/>
    </row>
    <row r="572">
      <c r="C572" s="139"/>
      <c r="D572" s="139"/>
      <c r="F572" s="303"/>
    </row>
    <row r="573">
      <c r="C573" s="139"/>
      <c r="D573" s="139"/>
      <c r="F573" s="303"/>
    </row>
    <row r="574">
      <c r="C574" s="139"/>
      <c r="D574" s="139"/>
      <c r="F574" s="303"/>
    </row>
    <row r="575">
      <c r="C575" s="139"/>
      <c r="D575" s="139"/>
      <c r="F575" s="303"/>
    </row>
    <row r="576">
      <c r="C576" s="139"/>
      <c r="D576" s="139"/>
      <c r="F576" s="303"/>
    </row>
    <row r="577">
      <c r="C577" s="139"/>
      <c r="D577" s="139"/>
      <c r="F577" s="303"/>
    </row>
    <row r="578">
      <c r="C578" s="139"/>
      <c r="D578" s="139"/>
      <c r="F578" s="303"/>
    </row>
    <row r="579">
      <c r="C579" s="139"/>
      <c r="D579" s="139"/>
      <c r="F579" s="303"/>
    </row>
    <row r="580">
      <c r="C580" s="139"/>
      <c r="D580" s="139"/>
      <c r="F580" s="303"/>
    </row>
    <row r="581">
      <c r="C581" s="139"/>
      <c r="D581" s="139"/>
      <c r="F581" s="303"/>
    </row>
    <row r="582">
      <c r="C582" s="139"/>
      <c r="D582" s="139"/>
      <c r="F582" s="303"/>
    </row>
    <row r="583">
      <c r="C583" s="139"/>
      <c r="D583" s="139"/>
      <c r="F583" s="303"/>
    </row>
    <row r="584">
      <c r="C584" s="139"/>
      <c r="D584" s="139"/>
      <c r="F584" s="303"/>
    </row>
    <row r="585">
      <c r="C585" s="139"/>
      <c r="D585" s="139"/>
      <c r="F585" s="303"/>
    </row>
    <row r="586">
      <c r="C586" s="139"/>
      <c r="D586" s="139"/>
      <c r="F586" s="303"/>
    </row>
    <row r="587">
      <c r="C587" s="139"/>
      <c r="D587" s="139"/>
      <c r="F587" s="303"/>
    </row>
    <row r="588">
      <c r="C588" s="139"/>
      <c r="D588" s="139"/>
      <c r="F588" s="303"/>
    </row>
    <row r="589">
      <c r="C589" s="139"/>
      <c r="D589" s="139"/>
      <c r="F589" s="303"/>
    </row>
    <row r="590">
      <c r="C590" s="139"/>
      <c r="D590" s="139"/>
      <c r="F590" s="303"/>
    </row>
    <row r="591">
      <c r="C591" s="139"/>
      <c r="D591" s="139"/>
      <c r="F591" s="303"/>
    </row>
    <row r="592">
      <c r="C592" s="139"/>
      <c r="D592" s="139"/>
      <c r="F592" s="303"/>
    </row>
    <row r="593">
      <c r="C593" s="139"/>
      <c r="D593" s="139"/>
      <c r="F593" s="303"/>
    </row>
    <row r="594">
      <c r="C594" s="139"/>
      <c r="D594" s="139"/>
      <c r="F594" s="303"/>
    </row>
    <row r="595">
      <c r="C595" s="139"/>
      <c r="D595" s="139"/>
      <c r="F595" s="303"/>
    </row>
    <row r="596">
      <c r="C596" s="139"/>
      <c r="D596" s="139"/>
      <c r="F596" s="303"/>
    </row>
    <row r="597">
      <c r="C597" s="139"/>
      <c r="D597" s="139"/>
      <c r="F597" s="303"/>
    </row>
    <row r="598">
      <c r="C598" s="139"/>
      <c r="D598" s="139"/>
      <c r="F598" s="303"/>
    </row>
    <row r="599">
      <c r="C599" s="139"/>
      <c r="D599" s="139"/>
      <c r="F599" s="303"/>
    </row>
    <row r="600">
      <c r="C600" s="139"/>
      <c r="D600" s="139"/>
      <c r="F600" s="303"/>
    </row>
    <row r="601">
      <c r="C601" s="139"/>
      <c r="D601" s="139"/>
      <c r="F601" s="303"/>
    </row>
    <row r="602">
      <c r="C602" s="139"/>
      <c r="D602" s="139"/>
      <c r="F602" s="303"/>
    </row>
    <row r="603">
      <c r="C603" s="139"/>
      <c r="D603" s="139"/>
      <c r="F603" s="303"/>
    </row>
    <row r="604">
      <c r="C604" s="139"/>
      <c r="D604" s="139"/>
      <c r="F604" s="303"/>
    </row>
    <row r="605">
      <c r="C605" s="139"/>
      <c r="D605" s="139"/>
      <c r="F605" s="303"/>
    </row>
    <row r="606">
      <c r="C606" s="139"/>
      <c r="D606" s="139"/>
      <c r="F606" s="303"/>
    </row>
    <row r="607">
      <c r="C607" s="139"/>
      <c r="D607" s="139"/>
      <c r="F607" s="303"/>
    </row>
    <row r="608">
      <c r="C608" s="139"/>
      <c r="D608" s="139"/>
      <c r="F608" s="303"/>
    </row>
    <row r="609">
      <c r="C609" s="139"/>
      <c r="D609" s="139"/>
      <c r="F609" s="303"/>
    </row>
    <row r="610">
      <c r="C610" s="139"/>
      <c r="D610" s="139"/>
      <c r="F610" s="303"/>
    </row>
    <row r="611">
      <c r="C611" s="139"/>
      <c r="D611" s="139"/>
      <c r="F611" s="303"/>
    </row>
    <row r="612">
      <c r="C612" s="139"/>
      <c r="D612" s="139"/>
      <c r="F612" s="303"/>
    </row>
    <row r="613">
      <c r="C613" s="139"/>
      <c r="D613" s="139"/>
      <c r="F613" s="303"/>
    </row>
    <row r="614">
      <c r="C614" s="139"/>
      <c r="D614" s="139"/>
      <c r="F614" s="303"/>
    </row>
    <row r="615">
      <c r="C615" s="139"/>
      <c r="D615" s="139"/>
      <c r="F615" s="303"/>
    </row>
    <row r="616">
      <c r="C616" s="139"/>
      <c r="D616" s="139"/>
      <c r="F616" s="303"/>
    </row>
    <row r="617">
      <c r="C617" s="139"/>
      <c r="D617" s="139"/>
      <c r="F617" s="303"/>
    </row>
    <row r="618">
      <c r="C618" s="139"/>
      <c r="D618" s="139"/>
      <c r="F618" s="303"/>
    </row>
    <row r="619">
      <c r="C619" s="139"/>
      <c r="D619" s="139"/>
      <c r="F619" s="303"/>
    </row>
    <row r="620">
      <c r="C620" s="139"/>
      <c r="D620" s="139"/>
      <c r="F620" s="303"/>
    </row>
    <row r="621">
      <c r="C621" s="139"/>
      <c r="D621" s="139"/>
      <c r="F621" s="303"/>
    </row>
    <row r="622">
      <c r="C622" s="139"/>
      <c r="D622" s="139"/>
      <c r="F622" s="303"/>
    </row>
    <row r="623">
      <c r="C623" s="139"/>
      <c r="D623" s="139"/>
      <c r="F623" s="303"/>
    </row>
    <row r="624">
      <c r="C624" s="139"/>
      <c r="D624" s="139"/>
      <c r="F624" s="303"/>
    </row>
    <row r="625">
      <c r="C625" s="139"/>
      <c r="D625" s="139"/>
      <c r="F625" s="303"/>
    </row>
    <row r="626">
      <c r="C626" s="139"/>
      <c r="D626" s="139"/>
      <c r="F626" s="303"/>
    </row>
    <row r="627">
      <c r="C627" s="139"/>
      <c r="D627" s="139"/>
      <c r="F627" s="303"/>
    </row>
    <row r="628">
      <c r="C628" s="139"/>
      <c r="D628" s="139"/>
      <c r="F628" s="303"/>
    </row>
    <row r="629">
      <c r="C629" s="139"/>
      <c r="D629" s="139"/>
      <c r="F629" s="303"/>
    </row>
    <row r="630">
      <c r="C630" s="139"/>
      <c r="D630" s="139"/>
      <c r="F630" s="303"/>
    </row>
    <row r="631">
      <c r="C631" s="139"/>
      <c r="D631" s="139"/>
      <c r="F631" s="303"/>
    </row>
    <row r="632">
      <c r="C632" s="139"/>
      <c r="D632" s="139"/>
      <c r="F632" s="303"/>
    </row>
    <row r="633">
      <c r="C633" s="139"/>
      <c r="D633" s="139"/>
      <c r="F633" s="303"/>
    </row>
    <row r="634">
      <c r="C634" s="139"/>
      <c r="D634" s="139"/>
      <c r="F634" s="303"/>
    </row>
    <row r="635">
      <c r="C635" s="139"/>
      <c r="D635" s="139"/>
      <c r="F635" s="303"/>
    </row>
    <row r="636">
      <c r="C636" s="139"/>
      <c r="D636" s="139"/>
      <c r="F636" s="303"/>
    </row>
    <row r="637">
      <c r="C637" s="139"/>
      <c r="D637" s="139"/>
      <c r="F637" s="303"/>
    </row>
    <row r="638">
      <c r="C638" s="139"/>
      <c r="D638" s="139"/>
      <c r="F638" s="303"/>
    </row>
    <row r="639">
      <c r="C639" s="139"/>
      <c r="D639" s="139"/>
      <c r="F639" s="303"/>
    </row>
    <row r="640">
      <c r="C640" s="139"/>
      <c r="D640" s="139"/>
      <c r="F640" s="303"/>
    </row>
    <row r="641">
      <c r="C641" s="139"/>
      <c r="D641" s="139"/>
      <c r="F641" s="303"/>
    </row>
    <row r="642">
      <c r="C642" s="139"/>
      <c r="D642" s="139"/>
      <c r="F642" s="303"/>
    </row>
    <row r="643">
      <c r="C643" s="139"/>
      <c r="D643" s="139"/>
      <c r="F643" s="303"/>
    </row>
    <row r="644">
      <c r="C644" s="139"/>
      <c r="D644" s="139"/>
      <c r="F644" s="303"/>
    </row>
    <row r="645">
      <c r="C645" s="139"/>
      <c r="D645" s="139"/>
      <c r="F645" s="303"/>
    </row>
    <row r="646">
      <c r="C646" s="139"/>
      <c r="D646" s="139"/>
      <c r="F646" s="303"/>
    </row>
    <row r="647">
      <c r="C647" s="139"/>
      <c r="D647" s="139"/>
      <c r="F647" s="303"/>
    </row>
    <row r="648">
      <c r="C648" s="139"/>
      <c r="D648" s="139"/>
      <c r="F648" s="303"/>
    </row>
    <row r="649">
      <c r="C649" s="139"/>
      <c r="D649" s="139"/>
      <c r="F649" s="303"/>
    </row>
    <row r="650">
      <c r="C650" s="139"/>
      <c r="D650" s="139"/>
      <c r="F650" s="303"/>
    </row>
    <row r="651">
      <c r="C651" s="139"/>
      <c r="D651" s="139"/>
      <c r="F651" s="303"/>
    </row>
    <row r="652">
      <c r="C652" s="139"/>
      <c r="D652" s="139"/>
      <c r="F652" s="303"/>
    </row>
    <row r="653">
      <c r="C653" s="139"/>
      <c r="D653" s="139"/>
      <c r="F653" s="303"/>
    </row>
    <row r="654">
      <c r="C654" s="139"/>
      <c r="D654" s="139"/>
      <c r="F654" s="303"/>
    </row>
    <row r="655">
      <c r="C655" s="139"/>
      <c r="D655" s="139"/>
      <c r="F655" s="303"/>
    </row>
    <row r="656">
      <c r="C656" s="139"/>
      <c r="D656" s="139"/>
      <c r="F656" s="303"/>
    </row>
    <row r="657">
      <c r="C657" s="139"/>
      <c r="D657" s="139"/>
      <c r="F657" s="303"/>
    </row>
    <row r="658">
      <c r="C658" s="139"/>
      <c r="D658" s="139"/>
      <c r="F658" s="303"/>
    </row>
    <row r="659">
      <c r="C659" s="139"/>
      <c r="D659" s="139"/>
      <c r="F659" s="303"/>
    </row>
    <row r="660">
      <c r="C660" s="139"/>
      <c r="D660" s="139"/>
      <c r="F660" s="303"/>
    </row>
    <row r="661">
      <c r="C661" s="139"/>
      <c r="D661" s="139"/>
      <c r="F661" s="303"/>
    </row>
    <row r="662">
      <c r="C662" s="139"/>
      <c r="D662" s="139"/>
      <c r="F662" s="303"/>
    </row>
    <row r="663">
      <c r="C663" s="139"/>
      <c r="D663" s="139"/>
      <c r="F663" s="303"/>
    </row>
    <row r="664">
      <c r="C664" s="139"/>
      <c r="D664" s="139"/>
      <c r="F664" s="303"/>
    </row>
    <row r="665">
      <c r="C665" s="139"/>
      <c r="D665" s="139"/>
      <c r="F665" s="303"/>
    </row>
    <row r="666">
      <c r="C666" s="139"/>
      <c r="D666" s="139"/>
      <c r="F666" s="303"/>
    </row>
    <row r="667">
      <c r="C667" s="139"/>
      <c r="D667" s="139"/>
      <c r="F667" s="303"/>
    </row>
    <row r="668">
      <c r="C668" s="139"/>
      <c r="D668" s="139"/>
      <c r="F668" s="303"/>
    </row>
    <row r="669">
      <c r="C669" s="139"/>
      <c r="D669" s="139"/>
      <c r="F669" s="303"/>
    </row>
    <row r="670">
      <c r="C670" s="139"/>
      <c r="D670" s="139"/>
      <c r="F670" s="303"/>
    </row>
    <row r="671">
      <c r="C671" s="139"/>
      <c r="D671" s="139"/>
      <c r="F671" s="303"/>
    </row>
    <row r="672">
      <c r="C672" s="139"/>
      <c r="D672" s="139"/>
      <c r="F672" s="303"/>
    </row>
    <row r="673">
      <c r="C673" s="139"/>
      <c r="D673" s="139"/>
      <c r="F673" s="303"/>
    </row>
    <row r="674">
      <c r="C674" s="139"/>
      <c r="D674" s="139"/>
      <c r="F674" s="303"/>
    </row>
    <row r="675">
      <c r="C675" s="139"/>
      <c r="D675" s="139"/>
      <c r="F675" s="303"/>
    </row>
    <row r="676">
      <c r="C676" s="139"/>
      <c r="D676" s="139"/>
      <c r="F676" s="303"/>
    </row>
    <row r="677">
      <c r="C677" s="139"/>
      <c r="D677" s="139"/>
      <c r="F677" s="303"/>
    </row>
    <row r="678">
      <c r="C678" s="139"/>
      <c r="D678" s="139"/>
      <c r="F678" s="303"/>
    </row>
    <row r="679">
      <c r="C679" s="139"/>
      <c r="D679" s="139"/>
      <c r="F679" s="303"/>
    </row>
    <row r="680">
      <c r="C680" s="139"/>
      <c r="D680" s="139"/>
      <c r="F680" s="303"/>
    </row>
    <row r="681">
      <c r="C681" s="139"/>
      <c r="D681" s="139"/>
      <c r="F681" s="303"/>
    </row>
    <row r="682">
      <c r="C682" s="139"/>
      <c r="D682" s="139"/>
      <c r="F682" s="303"/>
    </row>
    <row r="683">
      <c r="C683" s="139"/>
      <c r="D683" s="139"/>
      <c r="F683" s="303"/>
    </row>
    <row r="684">
      <c r="C684" s="139"/>
      <c r="D684" s="139"/>
      <c r="F684" s="303"/>
    </row>
    <row r="685">
      <c r="C685" s="139"/>
      <c r="D685" s="139"/>
      <c r="F685" s="303"/>
    </row>
    <row r="686">
      <c r="C686" s="139"/>
      <c r="D686" s="139"/>
      <c r="F686" s="303"/>
    </row>
    <row r="687">
      <c r="C687" s="139"/>
      <c r="D687" s="139"/>
      <c r="F687" s="303"/>
    </row>
    <row r="688">
      <c r="C688" s="139"/>
      <c r="D688" s="139"/>
      <c r="F688" s="303"/>
    </row>
    <row r="689">
      <c r="C689" s="139"/>
      <c r="D689" s="139"/>
      <c r="F689" s="303"/>
    </row>
    <row r="690">
      <c r="C690" s="139"/>
      <c r="D690" s="139"/>
      <c r="F690" s="303"/>
    </row>
    <row r="691">
      <c r="C691" s="139"/>
      <c r="D691" s="139"/>
      <c r="F691" s="303"/>
    </row>
    <row r="692">
      <c r="C692" s="139"/>
      <c r="D692" s="139"/>
      <c r="F692" s="303"/>
    </row>
    <row r="693">
      <c r="C693" s="139"/>
      <c r="D693" s="139"/>
      <c r="F693" s="303"/>
    </row>
    <row r="694">
      <c r="C694" s="139"/>
      <c r="D694" s="139"/>
      <c r="F694" s="303"/>
    </row>
    <row r="695">
      <c r="C695" s="139"/>
      <c r="D695" s="139"/>
      <c r="F695" s="303"/>
    </row>
    <row r="696">
      <c r="C696" s="139"/>
      <c r="D696" s="139"/>
      <c r="F696" s="303"/>
    </row>
    <row r="697">
      <c r="C697" s="139"/>
      <c r="D697" s="139"/>
      <c r="F697" s="303"/>
    </row>
    <row r="698">
      <c r="C698" s="139"/>
      <c r="D698" s="139"/>
      <c r="F698" s="303"/>
    </row>
    <row r="699">
      <c r="C699" s="139"/>
      <c r="D699" s="139"/>
      <c r="F699" s="303"/>
    </row>
    <row r="700">
      <c r="C700" s="139"/>
      <c r="D700" s="139"/>
      <c r="F700" s="303"/>
    </row>
    <row r="701">
      <c r="C701" s="139"/>
      <c r="D701" s="139"/>
      <c r="F701" s="303"/>
    </row>
    <row r="702">
      <c r="C702" s="139"/>
      <c r="D702" s="139"/>
      <c r="F702" s="303"/>
    </row>
    <row r="703">
      <c r="C703" s="139"/>
      <c r="D703" s="139"/>
      <c r="F703" s="303"/>
    </row>
    <row r="704">
      <c r="C704" s="139"/>
      <c r="D704" s="139"/>
      <c r="F704" s="303"/>
    </row>
    <row r="705">
      <c r="C705" s="139"/>
      <c r="D705" s="139"/>
      <c r="F705" s="303"/>
    </row>
    <row r="706">
      <c r="C706" s="139"/>
      <c r="D706" s="139"/>
      <c r="F706" s="303"/>
    </row>
    <row r="707">
      <c r="C707" s="139"/>
      <c r="D707" s="139"/>
      <c r="F707" s="303"/>
    </row>
    <row r="708">
      <c r="C708" s="139"/>
      <c r="D708" s="139"/>
      <c r="F708" s="303"/>
    </row>
    <row r="709">
      <c r="C709" s="139"/>
      <c r="D709" s="139"/>
      <c r="F709" s="303"/>
    </row>
    <row r="710">
      <c r="C710" s="139"/>
      <c r="D710" s="139"/>
      <c r="F710" s="303"/>
    </row>
    <row r="711">
      <c r="C711" s="139"/>
      <c r="D711" s="139"/>
      <c r="F711" s="303"/>
    </row>
    <row r="712">
      <c r="C712" s="139"/>
      <c r="D712" s="139"/>
      <c r="F712" s="303"/>
    </row>
    <row r="713">
      <c r="C713" s="139"/>
      <c r="D713" s="139"/>
      <c r="F713" s="303"/>
    </row>
    <row r="714">
      <c r="C714" s="139"/>
      <c r="D714" s="139"/>
      <c r="F714" s="303"/>
    </row>
    <row r="715">
      <c r="C715" s="139"/>
      <c r="D715" s="139"/>
      <c r="F715" s="303"/>
    </row>
    <row r="716">
      <c r="C716" s="139"/>
      <c r="D716" s="139"/>
      <c r="F716" s="303"/>
    </row>
    <row r="717">
      <c r="C717" s="139"/>
      <c r="D717" s="139"/>
      <c r="F717" s="303"/>
    </row>
    <row r="718">
      <c r="C718" s="139"/>
      <c r="D718" s="139"/>
      <c r="F718" s="303"/>
    </row>
    <row r="719">
      <c r="C719" s="139"/>
      <c r="D719" s="139"/>
      <c r="F719" s="303"/>
    </row>
    <row r="720">
      <c r="C720" s="139"/>
      <c r="D720" s="139"/>
      <c r="F720" s="303"/>
    </row>
    <row r="721">
      <c r="C721" s="139"/>
      <c r="D721" s="139"/>
      <c r="F721" s="303"/>
    </row>
    <row r="722">
      <c r="C722" s="139"/>
      <c r="D722" s="139"/>
      <c r="F722" s="303"/>
    </row>
    <row r="723">
      <c r="C723" s="139"/>
      <c r="D723" s="139"/>
      <c r="F723" s="303"/>
    </row>
    <row r="724">
      <c r="C724" s="139"/>
      <c r="D724" s="139"/>
      <c r="F724" s="303"/>
    </row>
    <row r="725">
      <c r="C725" s="139"/>
      <c r="D725" s="139"/>
      <c r="F725" s="303"/>
    </row>
    <row r="726">
      <c r="C726" s="139"/>
      <c r="D726" s="139"/>
      <c r="F726" s="303"/>
    </row>
    <row r="727">
      <c r="C727" s="139"/>
      <c r="D727" s="139"/>
      <c r="F727" s="303"/>
    </row>
    <row r="728">
      <c r="C728" s="139"/>
      <c r="D728" s="139"/>
      <c r="F728" s="303"/>
    </row>
    <row r="729">
      <c r="C729" s="139"/>
      <c r="D729" s="139"/>
      <c r="F729" s="303"/>
    </row>
    <row r="730">
      <c r="C730" s="139"/>
      <c r="D730" s="139"/>
      <c r="F730" s="303"/>
    </row>
    <row r="731">
      <c r="C731" s="139"/>
      <c r="D731" s="139"/>
      <c r="F731" s="303"/>
    </row>
    <row r="732">
      <c r="C732" s="139"/>
      <c r="D732" s="139"/>
      <c r="F732" s="303"/>
    </row>
    <row r="733">
      <c r="C733" s="139"/>
      <c r="D733" s="139"/>
      <c r="F733" s="303"/>
    </row>
    <row r="734">
      <c r="C734" s="139"/>
      <c r="D734" s="139"/>
      <c r="F734" s="303"/>
    </row>
    <row r="735">
      <c r="C735" s="139"/>
      <c r="D735" s="139"/>
      <c r="F735" s="303"/>
    </row>
    <row r="736">
      <c r="C736" s="139"/>
      <c r="D736" s="139"/>
      <c r="F736" s="303"/>
    </row>
    <row r="737">
      <c r="C737" s="139"/>
      <c r="D737" s="139"/>
      <c r="F737" s="303"/>
    </row>
    <row r="738">
      <c r="C738" s="139"/>
      <c r="D738" s="139"/>
      <c r="F738" s="303"/>
    </row>
    <row r="739">
      <c r="C739" s="139"/>
      <c r="D739" s="139"/>
      <c r="F739" s="303"/>
    </row>
    <row r="740">
      <c r="C740" s="139"/>
      <c r="D740" s="139"/>
      <c r="F740" s="303"/>
    </row>
    <row r="741">
      <c r="C741" s="139"/>
      <c r="D741" s="139"/>
      <c r="F741" s="303"/>
    </row>
    <row r="742">
      <c r="C742" s="139"/>
      <c r="D742" s="139"/>
      <c r="F742" s="303"/>
    </row>
    <row r="743">
      <c r="C743" s="139"/>
      <c r="D743" s="139"/>
      <c r="F743" s="303"/>
    </row>
    <row r="744">
      <c r="C744" s="139"/>
      <c r="D744" s="139"/>
      <c r="F744" s="303"/>
    </row>
    <row r="745">
      <c r="C745" s="139"/>
      <c r="D745" s="139"/>
      <c r="F745" s="303"/>
    </row>
    <row r="746">
      <c r="C746" s="139"/>
      <c r="D746" s="139"/>
      <c r="F746" s="303"/>
    </row>
    <row r="747">
      <c r="C747" s="139"/>
      <c r="D747" s="139"/>
      <c r="F747" s="303"/>
    </row>
    <row r="748">
      <c r="C748" s="139"/>
      <c r="D748" s="139"/>
      <c r="F748" s="303"/>
    </row>
    <row r="749">
      <c r="C749" s="139"/>
      <c r="D749" s="139"/>
      <c r="F749" s="303"/>
    </row>
    <row r="750">
      <c r="C750" s="139"/>
      <c r="D750" s="139"/>
      <c r="F750" s="303"/>
    </row>
    <row r="751">
      <c r="C751" s="139"/>
      <c r="D751" s="139"/>
      <c r="F751" s="303"/>
    </row>
    <row r="752">
      <c r="C752" s="139"/>
      <c r="D752" s="139"/>
      <c r="F752" s="303"/>
    </row>
    <row r="753">
      <c r="C753" s="139"/>
      <c r="D753" s="139"/>
      <c r="F753" s="303"/>
    </row>
    <row r="754">
      <c r="C754" s="139"/>
      <c r="D754" s="139"/>
      <c r="F754" s="303"/>
    </row>
    <row r="755">
      <c r="C755" s="139"/>
      <c r="D755" s="139"/>
      <c r="F755" s="303"/>
    </row>
    <row r="756">
      <c r="C756" s="139"/>
      <c r="D756" s="139"/>
      <c r="F756" s="303"/>
    </row>
    <row r="757">
      <c r="C757" s="139"/>
      <c r="D757" s="139"/>
      <c r="F757" s="303"/>
    </row>
    <row r="758">
      <c r="C758" s="139"/>
      <c r="D758" s="139"/>
      <c r="F758" s="303"/>
    </row>
    <row r="759">
      <c r="C759" s="139"/>
      <c r="D759" s="139"/>
      <c r="F759" s="303"/>
    </row>
    <row r="760">
      <c r="C760" s="139"/>
      <c r="D760" s="139"/>
      <c r="F760" s="303"/>
    </row>
    <row r="761">
      <c r="C761" s="139"/>
      <c r="D761" s="139"/>
      <c r="F761" s="303"/>
    </row>
    <row r="762">
      <c r="C762" s="139"/>
      <c r="D762" s="139"/>
      <c r="F762" s="303"/>
    </row>
    <row r="763">
      <c r="C763" s="139"/>
      <c r="D763" s="139"/>
      <c r="F763" s="303"/>
    </row>
    <row r="764">
      <c r="C764" s="139"/>
      <c r="D764" s="139"/>
      <c r="F764" s="303"/>
    </row>
    <row r="765">
      <c r="C765" s="139"/>
      <c r="D765" s="139"/>
      <c r="F765" s="303"/>
    </row>
    <row r="766">
      <c r="C766" s="139"/>
      <c r="D766" s="139"/>
      <c r="F766" s="303"/>
    </row>
    <row r="767">
      <c r="C767" s="139"/>
      <c r="D767" s="139"/>
      <c r="F767" s="303"/>
    </row>
    <row r="768">
      <c r="C768" s="139"/>
      <c r="D768" s="139"/>
      <c r="F768" s="303"/>
    </row>
    <row r="769">
      <c r="C769" s="139"/>
      <c r="D769" s="139"/>
      <c r="F769" s="303"/>
    </row>
    <row r="770">
      <c r="C770" s="139"/>
      <c r="D770" s="139"/>
      <c r="F770" s="303"/>
    </row>
    <row r="771">
      <c r="C771" s="139"/>
      <c r="D771" s="139"/>
      <c r="F771" s="303"/>
    </row>
    <row r="772">
      <c r="C772" s="139"/>
      <c r="D772" s="139"/>
      <c r="F772" s="303"/>
    </row>
    <row r="773">
      <c r="C773" s="139"/>
      <c r="D773" s="139"/>
      <c r="F773" s="303"/>
    </row>
    <row r="774">
      <c r="C774" s="139"/>
      <c r="D774" s="139"/>
      <c r="F774" s="303"/>
    </row>
    <row r="775">
      <c r="C775" s="139"/>
      <c r="D775" s="139"/>
      <c r="F775" s="303"/>
    </row>
    <row r="776">
      <c r="C776" s="139"/>
      <c r="D776" s="139"/>
      <c r="F776" s="303"/>
    </row>
    <row r="777">
      <c r="C777" s="139"/>
      <c r="D777" s="139"/>
      <c r="F777" s="303"/>
    </row>
    <row r="778">
      <c r="C778" s="139"/>
      <c r="D778" s="139"/>
      <c r="F778" s="303"/>
    </row>
    <row r="779">
      <c r="C779" s="139"/>
      <c r="D779" s="139"/>
      <c r="F779" s="303"/>
    </row>
    <row r="780">
      <c r="C780" s="139"/>
      <c r="D780" s="139"/>
      <c r="F780" s="303"/>
    </row>
    <row r="781">
      <c r="C781" s="139"/>
      <c r="D781" s="139"/>
      <c r="F781" s="303"/>
    </row>
    <row r="782">
      <c r="C782" s="139"/>
      <c r="D782" s="139"/>
      <c r="F782" s="303"/>
    </row>
    <row r="783">
      <c r="C783" s="139"/>
      <c r="D783" s="139"/>
      <c r="F783" s="303"/>
    </row>
    <row r="784">
      <c r="C784" s="139"/>
      <c r="D784" s="139"/>
      <c r="F784" s="303"/>
    </row>
    <row r="785">
      <c r="C785" s="139"/>
      <c r="D785" s="139"/>
      <c r="F785" s="303"/>
    </row>
    <row r="786">
      <c r="C786" s="139"/>
      <c r="D786" s="139"/>
      <c r="F786" s="303"/>
    </row>
    <row r="787">
      <c r="C787" s="139"/>
      <c r="D787" s="139"/>
      <c r="F787" s="303"/>
    </row>
    <row r="788">
      <c r="C788" s="139"/>
      <c r="D788" s="139"/>
      <c r="F788" s="303"/>
    </row>
    <row r="789">
      <c r="C789" s="139"/>
      <c r="D789" s="139"/>
      <c r="F789" s="303"/>
    </row>
    <row r="790">
      <c r="C790" s="139"/>
      <c r="D790" s="139"/>
      <c r="F790" s="303"/>
    </row>
    <row r="791">
      <c r="C791" s="139"/>
      <c r="D791" s="139"/>
      <c r="F791" s="303"/>
    </row>
    <row r="792">
      <c r="C792" s="139"/>
      <c r="D792" s="139"/>
      <c r="F792" s="303"/>
    </row>
    <row r="793">
      <c r="C793" s="139"/>
      <c r="D793" s="139"/>
      <c r="F793" s="303"/>
    </row>
    <row r="794">
      <c r="C794" s="139"/>
      <c r="D794" s="139"/>
      <c r="F794" s="303"/>
    </row>
    <row r="795">
      <c r="C795" s="139"/>
      <c r="D795" s="139"/>
      <c r="F795" s="303"/>
    </row>
    <row r="796">
      <c r="C796" s="139"/>
      <c r="D796" s="139"/>
      <c r="F796" s="303"/>
    </row>
    <row r="797">
      <c r="C797" s="139"/>
      <c r="D797" s="139"/>
      <c r="F797" s="303"/>
    </row>
    <row r="798">
      <c r="C798" s="139"/>
      <c r="D798" s="139"/>
      <c r="F798" s="303"/>
    </row>
    <row r="799">
      <c r="C799" s="139"/>
      <c r="D799" s="139"/>
      <c r="F799" s="303"/>
    </row>
    <row r="800">
      <c r="C800" s="139"/>
      <c r="D800" s="139"/>
      <c r="F800" s="303"/>
    </row>
    <row r="801">
      <c r="C801" s="139"/>
      <c r="D801" s="139"/>
      <c r="F801" s="303"/>
    </row>
    <row r="802">
      <c r="C802" s="139"/>
      <c r="D802" s="139"/>
      <c r="F802" s="303"/>
    </row>
    <row r="803">
      <c r="C803" s="139"/>
      <c r="D803" s="139"/>
      <c r="F803" s="303"/>
    </row>
    <row r="804">
      <c r="C804" s="139"/>
      <c r="D804" s="139"/>
      <c r="F804" s="303"/>
    </row>
    <row r="805">
      <c r="C805" s="139"/>
      <c r="D805" s="139"/>
      <c r="F805" s="303"/>
    </row>
    <row r="806">
      <c r="C806" s="139"/>
      <c r="D806" s="139"/>
      <c r="F806" s="303"/>
    </row>
    <row r="807">
      <c r="C807" s="139"/>
      <c r="D807" s="139"/>
      <c r="F807" s="303"/>
    </row>
    <row r="808">
      <c r="C808" s="139"/>
      <c r="D808" s="139"/>
      <c r="F808" s="303"/>
    </row>
    <row r="809">
      <c r="C809" s="139"/>
      <c r="D809" s="139"/>
      <c r="F809" s="303"/>
    </row>
    <row r="810">
      <c r="C810" s="139"/>
      <c r="D810" s="139"/>
      <c r="F810" s="303"/>
    </row>
    <row r="811">
      <c r="C811" s="139"/>
      <c r="D811" s="139"/>
      <c r="F811" s="303"/>
    </row>
    <row r="812">
      <c r="C812" s="139"/>
      <c r="D812" s="139"/>
      <c r="F812" s="303"/>
    </row>
    <row r="813">
      <c r="C813" s="139"/>
      <c r="D813" s="139"/>
      <c r="F813" s="303"/>
    </row>
    <row r="814">
      <c r="C814" s="139"/>
      <c r="D814" s="139"/>
      <c r="F814" s="303"/>
    </row>
    <row r="815">
      <c r="C815" s="139"/>
      <c r="D815" s="139"/>
      <c r="F815" s="303"/>
    </row>
    <row r="816">
      <c r="C816" s="139"/>
      <c r="D816" s="139"/>
      <c r="F816" s="303"/>
    </row>
    <row r="817">
      <c r="C817" s="139"/>
      <c r="D817" s="139"/>
      <c r="F817" s="303"/>
    </row>
    <row r="818">
      <c r="C818" s="139"/>
      <c r="D818" s="139"/>
      <c r="F818" s="303"/>
    </row>
    <row r="819">
      <c r="C819" s="139"/>
      <c r="D819" s="139"/>
      <c r="F819" s="303"/>
    </row>
    <row r="820">
      <c r="C820" s="139"/>
      <c r="D820" s="139"/>
      <c r="F820" s="303"/>
    </row>
    <row r="821">
      <c r="C821" s="139"/>
      <c r="D821" s="139"/>
      <c r="F821" s="303"/>
    </row>
    <row r="822">
      <c r="C822" s="139"/>
      <c r="D822" s="139"/>
      <c r="F822" s="303"/>
    </row>
    <row r="823">
      <c r="C823" s="139"/>
      <c r="D823" s="139"/>
      <c r="F823" s="303"/>
    </row>
    <row r="824">
      <c r="C824" s="139"/>
      <c r="D824" s="139"/>
      <c r="F824" s="303"/>
    </row>
    <row r="825">
      <c r="C825" s="139"/>
      <c r="D825" s="139"/>
      <c r="F825" s="303"/>
    </row>
    <row r="826">
      <c r="C826" s="139"/>
      <c r="D826" s="139"/>
      <c r="F826" s="303"/>
    </row>
    <row r="827">
      <c r="C827" s="139"/>
      <c r="D827" s="139"/>
      <c r="F827" s="303"/>
    </row>
    <row r="828">
      <c r="C828" s="139"/>
      <c r="D828" s="139"/>
      <c r="F828" s="303"/>
    </row>
    <row r="829">
      <c r="C829" s="139"/>
      <c r="D829" s="139"/>
      <c r="F829" s="303"/>
    </row>
    <row r="830">
      <c r="C830" s="139"/>
      <c r="D830" s="139"/>
      <c r="F830" s="303"/>
    </row>
    <row r="831">
      <c r="C831" s="139"/>
      <c r="D831" s="139"/>
      <c r="F831" s="303"/>
    </row>
    <row r="832">
      <c r="C832" s="139"/>
      <c r="D832" s="139"/>
      <c r="F832" s="303"/>
    </row>
    <row r="833">
      <c r="C833" s="139"/>
      <c r="D833" s="139"/>
      <c r="F833" s="303"/>
    </row>
    <row r="834">
      <c r="C834" s="139"/>
      <c r="D834" s="139"/>
      <c r="F834" s="303"/>
    </row>
    <row r="835">
      <c r="C835" s="139"/>
      <c r="D835" s="139"/>
      <c r="F835" s="303"/>
    </row>
    <row r="836">
      <c r="C836" s="139"/>
      <c r="D836" s="139"/>
      <c r="F836" s="303"/>
    </row>
    <row r="837">
      <c r="C837" s="139"/>
      <c r="D837" s="139"/>
      <c r="F837" s="303"/>
    </row>
    <row r="838">
      <c r="C838" s="139"/>
      <c r="D838" s="139"/>
      <c r="F838" s="303"/>
    </row>
    <row r="839">
      <c r="C839" s="139"/>
      <c r="D839" s="139"/>
      <c r="F839" s="303"/>
    </row>
    <row r="840">
      <c r="C840" s="139"/>
      <c r="D840" s="139"/>
      <c r="F840" s="303"/>
    </row>
    <row r="841">
      <c r="C841" s="139"/>
      <c r="D841" s="139"/>
      <c r="F841" s="303"/>
    </row>
    <row r="842">
      <c r="C842" s="139"/>
      <c r="D842" s="139"/>
      <c r="F842" s="303"/>
    </row>
    <row r="843">
      <c r="C843" s="139"/>
      <c r="D843" s="139"/>
      <c r="F843" s="303"/>
    </row>
    <row r="844">
      <c r="C844" s="139"/>
      <c r="D844" s="139"/>
      <c r="F844" s="303"/>
    </row>
    <row r="845">
      <c r="C845" s="139"/>
      <c r="D845" s="139"/>
      <c r="F845" s="303"/>
    </row>
    <row r="846">
      <c r="C846" s="139"/>
      <c r="D846" s="139"/>
      <c r="F846" s="303"/>
    </row>
    <row r="847">
      <c r="C847" s="139"/>
      <c r="D847" s="139"/>
      <c r="F847" s="303"/>
    </row>
    <row r="848">
      <c r="C848" s="139"/>
      <c r="D848" s="139"/>
      <c r="F848" s="303"/>
    </row>
    <row r="849">
      <c r="C849" s="139"/>
      <c r="D849" s="139"/>
      <c r="F849" s="303"/>
    </row>
    <row r="850">
      <c r="C850" s="139"/>
      <c r="D850" s="139"/>
      <c r="F850" s="303"/>
    </row>
    <row r="851">
      <c r="C851" s="139"/>
      <c r="D851" s="139"/>
      <c r="F851" s="303"/>
    </row>
    <row r="852">
      <c r="C852" s="139"/>
      <c r="D852" s="139"/>
      <c r="F852" s="303"/>
    </row>
    <row r="853">
      <c r="C853" s="139"/>
      <c r="D853" s="139"/>
      <c r="F853" s="303"/>
    </row>
    <row r="854">
      <c r="C854" s="139"/>
      <c r="D854" s="139"/>
      <c r="F854" s="303"/>
    </row>
    <row r="855">
      <c r="C855" s="139"/>
      <c r="D855" s="139"/>
      <c r="F855" s="303"/>
    </row>
    <row r="856">
      <c r="C856" s="139"/>
      <c r="D856" s="139"/>
      <c r="F856" s="303"/>
    </row>
    <row r="857">
      <c r="C857" s="139"/>
      <c r="D857" s="139"/>
      <c r="F857" s="303"/>
    </row>
    <row r="858">
      <c r="C858" s="139"/>
      <c r="D858" s="139"/>
      <c r="F858" s="303"/>
    </row>
    <row r="859">
      <c r="C859" s="139"/>
      <c r="D859" s="139"/>
      <c r="F859" s="303"/>
    </row>
    <row r="860">
      <c r="C860" s="139"/>
      <c r="D860" s="139"/>
      <c r="F860" s="303"/>
    </row>
    <row r="861">
      <c r="C861" s="139"/>
      <c r="D861" s="139"/>
      <c r="F861" s="303"/>
    </row>
    <row r="862">
      <c r="C862" s="139"/>
      <c r="D862" s="139"/>
      <c r="F862" s="303"/>
    </row>
    <row r="863">
      <c r="C863" s="139"/>
      <c r="D863" s="139"/>
      <c r="F863" s="303"/>
    </row>
    <row r="864">
      <c r="C864" s="139"/>
      <c r="D864" s="139"/>
      <c r="F864" s="303"/>
    </row>
    <row r="865">
      <c r="C865" s="139"/>
      <c r="D865" s="139"/>
      <c r="F865" s="303"/>
    </row>
    <row r="866">
      <c r="C866" s="139"/>
      <c r="D866" s="139"/>
      <c r="F866" s="303"/>
    </row>
    <row r="867">
      <c r="C867" s="139"/>
      <c r="D867" s="139"/>
      <c r="F867" s="303"/>
    </row>
    <row r="868">
      <c r="C868" s="139"/>
      <c r="D868" s="139"/>
      <c r="F868" s="303"/>
    </row>
    <row r="869">
      <c r="C869" s="139"/>
      <c r="D869" s="139"/>
      <c r="F869" s="303"/>
    </row>
    <row r="870">
      <c r="C870" s="139"/>
      <c r="D870" s="139"/>
      <c r="F870" s="303"/>
    </row>
    <row r="871">
      <c r="C871" s="139"/>
      <c r="D871" s="139"/>
      <c r="F871" s="303"/>
    </row>
    <row r="872">
      <c r="C872" s="139"/>
      <c r="D872" s="139"/>
      <c r="F872" s="303"/>
    </row>
    <row r="873">
      <c r="C873" s="139"/>
      <c r="D873" s="139"/>
      <c r="F873" s="303"/>
    </row>
    <row r="874">
      <c r="C874" s="139"/>
      <c r="D874" s="139"/>
      <c r="F874" s="303"/>
    </row>
    <row r="875">
      <c r="C875" s="139"/>
      <c r="D875" s="139"/>
      <c r="F875" s="303"/>
    </row>
    <row r="876">
      <c r="C876" s="139"/>
      <c r="D876" s="139"/>
      <c r="F876" s="303"/>
    </row>
    <row r="877">
      <c r="C877" s="139"/>
      <c r="D877" s="139"/>
      <c r="F877" s="303"/>
    </row>
    <row r="878">
      <c r="C878" s="139"/>
      <c r="D878" s="139"/>
      <c r="F878" s="303"/>
    </row>
    <row r="879">
      <c r="C879" s="139"/>
      <c r="D879" s="139"/>
      <c r="F879" s="303"/>
    </row>
    <row r="880">
      <c r="C880" s="139"/>
      <c r="D880" s="139"/>
      <c r="F880" s="303"/>
    </row>
    <row r="881">
      <c r="C881" s="139"/>
      <c r="D881" s="139"/>
      <c r="F881" s="303"/>
    </row>
    <row r="882">
      <c r="C882" s="139"/>
      <c r="D882" s="139"/>
      <c r="F882" s="303"/>
    </row>
    <row r="883">
      <c r="C883" s="139"/>
      <c r="D883" s="139"/>
      <c r="F883" s="303"/>
    </row>
    <row r="884">
      <c r="C884" s="139"/>
      <c r="D884" s="139"/>
      <c r="F884" s="303"/>
    </row>
    <row r="885">
      <c r="C885" s="139"/>
      <c r="D885" s="139"/>
      <c r="F885" s="303"/>
    </row>
    <row r="886">
      <c r="C886" s="139"/>
      <c r="D886" s="139"/>
      <c r="F886" s="303"/>
    </row>
    <row r="887">
      <c r="C887" s="139"/>
      <c r="D887" s="139"/>
      <c r="F887" s="303"/>
    </row>
    <row r="888">
      <c r="C888" s="139"/>
      <c r="D888" s="139"/>
      <c r="F888" s="303"/>
    </row>
    <row r="889">
      <c r="C889" s="139"/>
      <c r="D889" s="139"/>
      <c r="F889" s="303"/>
    </row>
    <row r="890">
      <c r="C890" s="139"/>
      <c r="D890" s="139"/>
      <c r="F890" s="303"/>
    </row>
    <row r="891">
      <c r="C891" s="139"/>
      <c r="D891" s="139"/>
      <c r="F891" s="303"/>
    </row>
    <row r="892">
      <c r="C892" s="139"/>
      <c r="D892" s="139"/>
      <c r="F892" s="303"/>
    </row>
    <row r="893">
      <c r="C893" s="139"/>
      <c r="D893" s="139"/>
      <c r="F893" s="303"/>
    </row>
    <row r="894">
      <c r="C894" s="139"/>
      <c r="D894" s="139"/>
      <c r="F894" s="303"/>
    </row>
    <row r="895">
      <c r="C895" s="139"/>
      <c r="D895" s="139"/>
      <c r="F895" s="303"/>
    </row>
    <row r="896">
      <c r="C896" s="139"/>
      <c r="D896" s="139"/>
      <c r="F896" s="303"/>
    </row>
    <row r="897">
      <c r="C897" s="139"/>
      <c r="D897" s="139"/>
      <c r="F897" s="303"/>
    </row>
    <row r="898">
      <c r="C898" s="139"/>
      <c r="D898" s="139"/>
      <c r="F898" s="303"/>
    </row>
    <row r="899">
      <c r="C899" s="139"/>
      <c r="D899" s="139"/>
      <c r="F899" s="303"/>
    </row>
    <row r="900">
      <c r="C900" s="139"/>
      <c r="D900" s="139"/>
      <c r="F900" s="303"/>
    </row>
    <row r="901">
      <c r="C901" s="139"/>
      <c r="D901" s="139"/>
      <c r="F901" s="303"/>
    </row>
    <row r="902">
      <c r="C902" s="139"/>
      <c r="D902" s="139"/>
      <c r="F902" s="303"/>
    </row>
    <row r="903">
      <c r="C903" s="139"/>
      <c r="D903" s="139"/>
      <c r="F903" s="303"/>
    </row>
    <row r="904">
      <c r="C904" s="139"/>
      <c r="D904" s="139"/>
      <c r="F904" s="303"/>
    </row>
    <row r="905">
      <c r="C905" s="139"/>
      <c r="D905" s="139"/>
      <c r="F905" s="303"/>
    </row>
    <row r="906">
      <c r="C906" s="139"/>
      <c r="D906" s="139"/>
      <c r="F906" s="303"/>
    </row>
    <row r="907">
      <c r="C907" s="139"/>
      <c r="D907" s="139"/>
      <c r="F907" s="303"/>
    </row>
    <row r="908">
      <c r="C908" s="139"/>
      <c r="D908" s="139"/>
      <c r="F908" s="303"/>
    </row>
    <row r="909">
      <c r="C909" s="139"/>
      <c r="D909" s="139"/>
      <c r="F909" s="303"/>
    </row>
    <row r="910">
      <c r="C910" s="139"/>
      <c r="D910" s="139"/>
      <c r="F910" s="303"/>
    </row>
    <row r="911">
      <c r="C911" s="139"/>
      <c r="D911" s="139"/>
      <c r="F911" s="303"/>
    </row>
    <row r="912">
      <c r="C912" s="139"/>
      <c r="D912" s="139"/>
      <c r="F912" s="303"/>
    </row>
    <row r="913">
      <c r="C913" s="139"/>
      <c r="D913" s="139"/>
      <c r="F913" s="303"/>
    </row>
    <row r="914">
      <c r="C914" s="139"/>
      <c r="D914" s="139"/>
      <c r="F914" s="303"/>
    </row>
    <row r="915">
      <c r="C915" s="139"/>
      <c r="D915" s="139"/>
      <c r="F915" s="303"/>
    </row>
    <row r="916">
      <c r="C916" s="139"/>
      <c r="D916" s="139"/>
      <c r="F916" s="303"/>
    </row>
    <row r="917">
      <c r="C917" s="139"/>
      <c r="D917" s="139"/>
      <c r="F917" s="303"/>
    </row>
    <row r="918">
      <c r="C918" s="139"/>
      <c r="D918" s="139"/>
      <c r="F918" s="303"/>
    </row>
    <row r="919">
      <c r="C919" s="139"/>
      <c r="D919" s="139"/>
      <c r="F919" s="303"/>
    </row>
    <row r="920">
      <c r="C920" s="139"/>
      <c r="D920" s="139"/>
      <c r="F920" s="303"/>
    </row>
    <row r="921">
      <c r="C921" s="139"/>
      <c r="D921" s="139"/>
      <c r="F921" s="303"/>
    </row>
    <row r="922">
      <c r="C922" s="139"/>
      <c r="D922" s="139"/>
      <c r="F922" s="303"/>
    </row>
    <row r="923">
      <c r="C923" s="139"/>
      <c r="D923" s="139"/>
      <c r="F923" s="303"/>
    </row>
    <row r="924">
      <c r="C924" s="139"/>
      <c r="D924" s="139"/>
      <c r="F924" s="303"/>
    </row>
    <row r="925">
      <c r="C925" s="139"/>
      <c r="D925" s="139"/>
      <c r="F925" s="303"/>
    </row>
    <row r="926">
      <c r="C926" s="139"/>
      <c r="D926" s="139"/>
      <c r="F926" s="303"/>
    </row>
    <row r="927">
      <c r="C927" s="139"/>
      <c r="D927" s="139"/>
      <c r="F927" s="303"/>
    </row>
    <row r="928">
      <c r="C928" s="139"/>
      <c r="D928" s="139"/>
      <c r="F928" s="303"/>
    </row>
    <row r="929">
      <c r="C929" s="139"/>
      <c r="D929" s="139"/>
      <c r="F929" s="303"/>
    </row>
    <row r="930">
      <c r="C930" s="139"/>
      <c r="D930" s="139"/>
      <c r="F930" s="303"/>
    </row>
    <row r="931">
      <c r="C931" s="139"/>
      <c r="D931" s="139"/>
      <c r="F931" s="303"/>
    </row>
    <row r="932">
      <c r="C932" s="139"/>
      <c r="D932" s="139"/>
      <c r="F932" s="303"/>
    </row>
    <row r="933">
      <c r="C933" s="139"/>
      <c r="D933" s="139"/>
      <c r="F933" s="303"/>
    </row>
    <row r="934">
      <c r="C934" s="139"/>
      <c r="D934" s="139"/>
      <c r="F934" s="303"/>
    </row>
    <row r="935">
      <c r="C935" s="139"/>
      <c r="D935" s="139"/>
      <c r="F935" s="303"/>
    </row>
    <row r="936">
      <c r="C936" s="139"/>
      <c r="D936" s="139"/>
      <c r="F936" s="303"/>
    </row>
    <row r="937">
      <c r="C937" s="139"/>
      <c r="D937" s="139"/>
      <c r="F937" s="303"/>
    </row>
    <row r="938">
      <c r="C938" s="139"/>
      <c r="D938" s="139"/>
      <c r="F938" s="303"/>
    </row>
    <row r="939">
      <c r="C939" s="139"/>
      <c r="D939" s="139"/>
      <c r="F939" s="303"/>
    </row>
    <row r="940">
      <c r="C940" s="139"/>
      <c r="D940" s="139"/>
      <c r="F940" s="303"/>
    </row>
    <row r="941">
      <c r="C941" s="139"/>
      <c r="D941" s="139"/>
      <c r="F941" s="303"/>
    </row>
    <row r="942">
      <c r="C942" s="139"/>
      <c r="D942" s="139"/>
      <c r="F942" s="303"/>
    </row>
    <row r="943">
      <c r="C943" s="139"/>
      <c r="D943" s="139"/>
      <c r="F943" s="303"/>
    </row>
    <row r="944">
      <c r="C944" s="139"/>
      <c r="D944" s="139"/>
      <c r="F944" s="303"/>
    </row>
    <row r="945">
      <c r="C945" s="139"/>
      <c r="D945" s="139"/>
      <c r="F945" s="303"/>
    </row>
    <row r="946">
      <c r="C946" s="139"/>
      <c r="D946" s="139"/>
      <c r="F946" s="303"/>
    </row>
    <row r="947">
      <c r="C947" s="139"/>
      <c r="D947" s="139"/>
      <c r="F947" s="303"/>
    </row>
    <row r="948">
      <c r="C948" s="139"/>
      <c r="D948" s="139"/>
      <c r="F948" s="303"/>
    </row>
    <row r="949">
      <c r="C949" s="139"/>
      <c r="D949" s="139"/>
      <c r="F949" s="303"/>
    </row>
    <row r="950">
      <c r="C950" s="139"/>
      <c r="D950" s="139"/>
      <c r="F950" s="303"/>
    </row>
    <row r="951">
      <c r="C951" s="139"/>
      <c r="D951" s="139"/>
      <c r="F951" s="303"/>
    </row>
    <row r="952">
      <c r="C952" s="139"/>
      <c r="D952" s="139"/>
      <c r="F952" s="303"/>
    </row>
    <row r="953">
      <c r="C953" s="139"/>
      <c r="D953" s="139"/>
      <c r="F953" s="303"/>
    </row>
    <row r="954">
      <c r="C954" s="139"/>
      <c r="D954" s="139"/>
      <c r="F954" s="303"/>
    </row>
    <row r="955">
      <c r="C955" s="139"/>
      <c r="D955" s="139"/>
      <c r="F955" s="303"/>
    </row>
    <row r="956">
      <c r="C956" s="139"/>
      <c r="D956" s="139"/>
      <c r="F956" s="303"/>
    </row>
    <row r="957">
      <c r="C957" s="139"/>
      <c r="D957" s="139"/>
      <c r="F957" s="303"/>
    </row>
    <row r="958">
      <c r="C958" s="139"/>
      <c r="D958" s="139"/>
      <c r="F958" s="303"/>
    </row>
    <row r="959">
      <c r="C959" s="139"/>
      <c r="D959" s="139"/>
      <c r="F959" s="303"/>
    </row>
    <row r="960">
      <c r="C960" s="139"/>
      <c r="D960" s="139"/>
      <c r="F960" s="303"/>
    </row>
    <row r="961">
      <c r="C961" s="139"/>
      <c r="D961" s="139"/>
      <c r="F961" s="303"/>
    </row>
    <row r="962">
      <c r="C962" s="139"/>
      <c r="D962" s="139"/>
      <c r="F962" s="303"/>
    </row>
    <row r="963">
      <c r="C963" s="139"/>
      <c r="D963" s="139"/>
      <c r="F963" s="303"/>
    </row>
    <row r="964">
      <c r="C964" s="139"/>
      <c r="D964" s="139"/>
      <c r="F964" s="303"/>
    </row>
    <row r="965">
      <c r="C965" s="139"/>
      <c r="D965" s="139"/>
      <c r="F965" s="303"/>
    </row>
    <row r="966">
      <c r="C966" s="139"/>
      <c r="D966" s="139"/>
      <c r="F966" s="303"/>
    </row>
    <row r="967">
      <c r="C967" s="139"/>
      <c r="D967" s="139"/>
      <c r="F967" s="303"/>
    </row>
    <row r="968">
      <c r="C968" s="139"/>
      <c r="D968" s="139"/>
      <c r="F968" s="303"/>
    </row>
    <row r="969">
      <c r="C969" s="139"/>
      <c r="D969" s="139"/>
      <c r="F969" s="303"/>
    </row>
    <row r="970">
      <c r="C970" s="139"/>
      <c r="D970" s="139"/>
      <c r="F970" s="303"/>
    </row>
    <row r="971">
      <c r="C971" s="139"/>
      <c r="D971" s="139"/>
      <c r="F971" s="303"/>
    </row>
    <row r="972">
      <c r="C972" s="139"/>
      <c r="D972" s="139"/>
      <c r="F972" s="303"/>
    </row>
    <row r="973">
      <c r="C973" s="139"/>
      <c r="D973" s="139"/>
      <c r="F973" s="303"/>
    </row>
    <row r="974">
      <c r="C974" s="139"/>
      <c r="D974" s="139"/>
      <c r="F974" s="303"/>
    </row>
    <row r="975">
      <c r="C975" s="139"/>
      <c r="D975" s="139"/>
      <c r="F975" s="303"/>
    </row>
    <row r="976">
      <c r="C976" s="139"/>
      <c r="D976" s="139"/>
      <c r="F976" s="303"/>
    </row>
    <row r="977">
      <c r="C977" s="139"/>
      <c r="D977" s="139"/>
      <c r="F977" s="303"/>
    </row>
    <row r="978">
      <c r="C978" s="139"/>
      <c r="D978" s="139"/>
      <c r="F978" s="303"/>
    </row>
    <row r="979">
      <c r="C979" s="139"/>
      <c r="D979" s="139"/>
      <c r="F979" s="303"/>
    </row>
    <row r="980">
      <c r="C980" s="139"/>
      <c r="D980" s="139"/>
      <c r="F980" s="303"/>
    </row>
    <row r="981">
      <c r="C981" s="139"/>
      <c r="D981" s="139"/>
      <c r="F981" s="303"/>
    </row>
    <row r="982">
      <c r="C982" s="139"/>
      <c r="D982" s="139"/>
      <c r="F982" s="303"/>
    </row>
    <row r="983">
      <c r="C983" s="139"/>
      <c r="D983" s="139"/>
      <c r="F983" s="303"/>
    </row>
    <row r="984">
      <c r="C984" s="139"/>
      <c r="D984" s="139"/>
      <c r="F984" s="303"/>
    </row>
    <row r="985">
      <c r="C985" s="139"/>
      <c r="D985" s="139"/>
      <c r="F985" s="303"/>
    </row>
    <row r="986">
      <c r="C986" s="139"/>
      <c r="D986" s="139"/>
      <c r="F986" s="303"/>
    </row>
    <row r="987">
      <c r="C987" s="139"/>
      <c r="D987" s="139"/>
      <c r="F987" s="303"/>
    </row>
    <row r="988">
      <c r="C988" s="139"/>
      <c r="D988" s="139"/>
      <c r="F988" s="303"/>
    </row>
    <row r="989">
      <c r="C989" s="139"/>
      <c r="D989" s="139"/>
      <c r="F989" s="303"/>
    </row>
    <row r="990">
      <c r="C990" s="139"/>
      <c r="D990" s="139"/>
      <c r="F990" s="303"/>
    </row>
    <row r="991">
      <c r="C991" s="139"/>
      <c r="D991" s="139"/>
      <c r="F991" s="303"/>
    </row>
    <row r="992">
      <c r="C992" s="139"/>
      <c r="D992" s="139"/>
      <c r="F992" s="303"/>
    </row>
    <row r="993">
      <c r="C993" s="139"/>
      <c r="D993" s="139"/>
      <c r="F993" s="303"/>
    </row>
    <row r="994">
      <c r="C994" s="139"/>
      <c r="D994" s="139"/>
      <c r="F994" s="303"/>
    </row>
    <row r="995">
      <c r="C995" s="139"/>
      <c r="D995" s="139"/>
      <c r="F995" s="303"/>
    </row>
    <row r="996">
      <c r="C996" s="139"/>
      <c r="D996" s="139"/>
      <c r="F996" s="303"/>
    </row>
    <row r="997">
      <c r="C997" s="139"/>
      <c r="D997" s="139"/>
      <c r="F997" s="303"/>
    </row>
    <row r="998">
      <c r="C998" s="139"/>
      <c r="D998" s="139"/>
      <c r="F998" s="303"/>
    </row>
    <row r="999">
      <c r="C999" s="139"/>
      <c r="D999" s="139"/>
      <c r="F999" s="303"/>
    </row>
    <row r="1000">
      <c r="C1000" s="139"/>
      <c r="D1000" s="139"/>
      <c r="F1000" s="303"/>
    </row>
    <row r="1001">
      <c r="C1001" s="139"/>
      <c r="D1001" s="139"/>
      <c r="F1001" s="303"/>
    </row>
    <row r="1002">
      <c r="C1002" s="139"/>
      <c r="D1002" s="139"/>
      <c r="F1002" s="303"/>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C7"/>
    <hyperlink r:id="rId2" ref="C11"/>
    <hyperlink r:id="rId3" ref="C13"/>
    <hyperlink r:id="rId4" ref="C14"/>
    <hyperlink r:id="rId5" ref="C15"/>
    <hyperlink r:id="rId6" ref="C16"/>
    <hyperlink r:id="rId7" ref="C17"/>
    <hyperlink r:id="rId8" ref="C18"/>
    <hyperlink r:id="rId9" ref="C19"/>
    <hyperlink r:id="rId10" ref="C21"/>
    <hyperlink r:id="rId11" ref="C24"/>
    <hyperlink r:id="rId12" ref="C27"/>
    <hyperlink r:id="rId13" ref="C28"/>
    <hyperlink r:id="rId14" ref="C30"/>
    <hyperlink r:id="rId15" ref="C31"/>
    <hyperlink r:id="rId16" ref="C33"/>
    <hyperlink r:id="rId17" ref="C37"/>
    <hyperlink r:id="rId18" ref="C39"/>
    <hyperlink r:id="rId19" ref="C41"/>
    <hyperlink r:id="rId20" ref="C42"/>
    <hyperlink r:id="rId21" ref="C44"/>
    <hyperlink r:id="rId22" ref="C48"/>
    <hyperlink r:id="rId23" ref="C49"/>
    <hyperlink r:id="rId24" ref="C51"/>
    <hyperlink r:id="rId25" ref="C53"/>
    <hyperlink r:id="rId26" ref="C56"/>
    <hyperlink r:id="rId27" ref="C57"/>
    <hyperlink r:id="rId28" ref="C58"/>
    <hyperlink r:id="rId29" ref="C60"/>
    <hyperlink r:id="rId30" ref="C61"/>
    <hyperlink r:id="rId31" ref="C64"/>
    <hyperlink r:id="rId32" ref="C69"/>
    <hyperlink r:id="rId33" ref="C75"/>
    <hyperlink r:id="rId34" ref="C78"/>
    <hyperlink r:id="rId35" ref="C79"/>
    <hyperlink r:id="rId36" ref="C83"/>
    <hyperlink r:id="rId37" ref="C89"/>
    <hyperlink r:id="rId38" ref="C91"/>
    <hyperlink r:id="rId39" ref="C92"/>
    <hyperlink r:id="rId40" ref="C93"/>
    <hyperlink r:id="rId41" ref="C94"/>
    <hyperlink r:id="rId42" ref="C95"/>
    <hyperlink r:id="rId43" ref="C96"/>
    <hyperlink r:id="rId44" ref="C97"/>
    <hyperlink r:id="rId45" ref="C98"/>
    <hyperlink r:id="rId46" ref="C99"/>
    <hyperlink r:id="rId47" ref="C100"/>
    <hyperlink r:id="rId48" ref="C102"/>
    <hyperlink r:id="rId49" ref="C103"/>
    <hyperlink r:id="rId50" ref="B105"/>
    <hyperlink r:id="rId51" ref="C105"/>
    <hyperlink r:id="rId52" ref="C106"/>
    <hyperlink r:id="rId53" ref="C108"/>
    <hyperlink r:id="rId54" ref="C109"/>
    <hyperlink r:id="rId55" ref="C110"/>
    <hyperlink r:id="rId56" ref="C113"/>
    <hyperlink r:id="rId57" ref="C114"/>
    <hyperlink r:id="rId58" ref="C117"/>
    <hyperlink r:id="rId59" ref="C118"/>
    <hyperlink r:id="rId60" ref="C119"/>
    <hyperlink r:id="rId61" ref="C120"/>
    <hyperlink r:id="rId62" ref="C122"/>
    <hyperlink r:id="rId63" ref="C123"/>
    <hyperlink r:id="rId64" ref="C125"/>
    <hyperlink r:id="rId65" ref="C126"/>
    <hyperlink r:id="rId66" ref="C127"/>
    <hyperlink r:id="rId67" ref="C129"/>
    <hyperlink r:id="rId68" ref="C132"/>
    <hyperlink r:id="rId69" ref="I132"/>
    <hyperlink r:id="rId70" ref="C134"/>
    <hyperlink r:id="rId71" ref="C135"/>
    <hyperlink r:id="rId72" ref="C136"/>
    <hyperlink r:id="rId73" ref="C137"/>
    <hyperlink r:id="rId74" ref="C138"/>
    <hyperlink r:id="rId75" ref="C140"/>
    <hyperlink r:id="rId76" ref="C141"/>
    <hyperlink r:id="rId77" ref="C142"/>
    <hyperlink r:id="rId78" ref="C144"/>
    <hyperlink r:id="rId79" ref="C145"/>
    <hyperlink r:id="rId80" ref="C146"/>
    <hyperlink r:id="rId81" ref="C147"/>
    <hyperlink r:id="rId82" ref="C148"/>
    <hyperlink r:id="rId83" ref="C150"/>
    <hyperlink r:id="rId84" ref="C151"/>
    <hyperlink r:id="rId85" ref="C152"/>
    <hyperlink r:id="rId86" ref="C153"/>
    <hyperlink r:id="rId87" ref="C154"/>
  </hyperlinks>
  <drawing r:id="rId88"/>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1" max="1" width="9.43"/>
    <col customWidth="1" min="2" max="2" width="5.14"/>
    <col customWidth="1" min="5" max="5" width="11.71"/>
    <col customWidth="1" min="13" max="13" width="41.29"/>
  </cols>
  <sheetData>
    <row r="1" ht="15.0" customHeight="1" outlineLevel="1">
      <c r="A1" s="1" t="s">
        <v>0</v>
      </c>
      <c r="B1" s="378" t="s">
        <v>1</v>
      </c>
      <c r="C1" s="378" t="s">
        <v>2</v>
      </c>
      <c r="D1" s="378"/>
      <c r="E1" s="379"/>
      <c r="F1" s="30" t="s">
        <v>1577</v>
      </c>
      <c r="G1" s="30" t="s">
        <v>4</v>
      </c>
      <c r="H1" s="30" t="s">
        <v>5</v>
      </c>
      <c r="I1" s="30" t="s">
        <v>6</v>
      </c>
      <c r="J1" s="30" t="s">
        <v>7</v>
      </c>
      <c r="K1" s="1" t="s">
        <v>8</v>
      </c>
      <c r="L1" s="7" t="s">
        <v>9</v>
      </c>
      <c r="N1" s="10" t="s">
        <v>14</v>
      </c>
      <c r="P1" s="167"/>
      <c r="Q1" s="167"/>
      <c r="R1" s="30"/>
      <c r="S1" s="20"/>
      <c r="T1" s="20"/>
      <c r="U1" s="20"/>
      <c r="V1" s="20"/>
      <c r="W1" s="20"/>
      <c r="X1" s="20"/>
      <c r="Y1" s="20"/>
      <c r="Z1" s="20"/>
      <c r="AA1" s="20"/>
      <c r="AB1" s="20"/>
      <c r="AC1" s="20"/>
      <c r="AD1" s="20"/>
    </row>
    <row r="2" ht="16.5" customHeight="1" outlineLevel="1">
      <c r="A2" s="21" t="s">
        <v>492</v>
      </c>
      <c r="B2" s="380" t="s">
        <v>4807</v>
      </c>
      <c r="C2" s="380" t="s">
        <v>4808</v>
      </c>
      <c r="D2" s="381"/>
      <c r="E2" s="379"/>
      <c r="F2" s="168">
        <v>43800.0</v>
      </c>
      <c r="G2" s="168">
        <v>43511.0</v>
      </c>
      <c r="H2" s="21">
        <f>G2-TODAY()</f>
        <v>-224</v>
      </c>
      <c r="I2" s="168">
        <v>43479.0</v>
      </c>
      <c r="J2" s="168">
        <v>43588.0</v>
      </c>
      <c r="K2" s="23"/>
      <c r="L2" s="26">
        <f>CountIFS($E:$E,"=Dem",$A:$A,"=House")</f>
        <v>46</v>
      </c>
      <c r="M2" s="335">
        <f>CountIFS($E:$E,"=Rep",$A:$A,"=House")</f>
        <v>54</v>
      </c>
      <c r="N2" s="26">
        <f>CountIFS($E:$E,"=Dem",$A:$A,"=Senate")</f>
        <v>19</v>
      </c>
      <c r="O2" s="28">
        <f>CountIFS($E:$E,"=Rep",$A:$A,"=Senate")</f>
        <v>31</v>
      </c>
      <c r="P2" s="167"/>
      <c r="Q2" s="167"/>
      <c r="R2" s="30"/>
      <c r="S2" s="20"/>
      <c r="T2" s="20"/>
      <c r="U2" s="20"/>
      <c r="V2" s="20"/>
      <c r="W2" s="20"/>
      <c r="X2" s="20"/>
      <c r="Y2" s="20"/>
      <c r="Z2" s="20"/>
      <c r="AA2" s="20"/>
      <c r="AB2" s="20"/>
      <c r="AC2" s="20"/>
      <c r="AD2" s="20"/>
    </row>
    <row r="3">
      <c r="A3" s="30" t="s">
        <v>29</v>
      </c>
      <c r="B3" s="378" t="s">
        <v>30</v>
      </c>
      <c r="C3" s="378" t="s">
        <v>799</v>
      </c>
      <c r="D3" s="378" t="s">
        <v>800</v>
      </c>
      <c r="E3" s="383" t="s">
        <v>33</v>
      </c>
      <c r="F3" s="1" t="s">
        <v>10</v>
      </c>
      <c r="G3" s="1" t="s">
        <v>34</v>
      </c>
      <c r="H3" s="1" t="s">
        <v>34</v>
      </c>
      <c r="I3" s="1" t="s">
        <v>34</v>
      </c>
      <c r="J3" s="1" t="s">
        <v>34</v>
      </c>
      <c r="K3" s="1" t="s">
        <v>35</v>
      </c>
      <c r="L3" s="19" t="s">
        <v>36</v>
      </c>
      <c r="M3" s="11" t="s">
        <v>37</v>
      </c>
      <c r="N3" s="19" t="s">
        <v>38</v>
      </c>
      <c r="O3" s="17" t="s">
        <v>39</v>
      </c>
      <c r="P3" s="11" t="s">
        <v>40</v>
      </c>
      <c r="Q3" s="11" t="s">
        <v>41</v>
      </c>
      <c r="R3" s="17" t="s">
        <v>42</v>
      </c>
      <c r="S3" s="20"/>
      <c r="T3" s="20"/>
      <c r="U3" s="20"/>
      <c r="V3" s="20"/>
      <c r="W3" s="20"/>
      <c r="X3" s="20"/>
      <c r="Y3" s="20"/>
      <c r="Z3" s="20"/>
      <c r="AA3" s="20"/>
      <c r="AB3" s="20"/>
      <c r="AC3" s="20"/>
      <c r="AD3" s="20"/>
    </row>
    <row r="4">
      <c r="A4" s="14" t="s">
        <v>44</v>
      </c>
      <c r="B4" s="264">
        <v>1.0</v>
      </c>
      <c r="C4" s="264" t="s">
        <v>278</v>
      </c>
      <c r="D4" s="264" t="s">
        <v>4812</v>
      </c>
      <c r="E4" s="384" t="s">
        <v>53</v>
      </c>
      <c r="F4" s="14" t="s">
        <v>1188</v>
      </c>
      <c r="M4" s="385" t="s">
        <v>4813</v>
      </c>
    </row>
    <row r="5">
      <c r="A5" s="14" t="s">
        <v>44</v>
      </c>
      <c r="B5" s="264">
        <v>2.0</v>
      </c>
      <c r="C5" s="264" t="s">
        <v>1687</v>
      </c>
      <c r="D5" s="264" t="s">
        <v>706</v>
      </c>
      <c r="E5" s="384" t="s">
        <v>53</v>
      </c>
      <c r="M5" s="386" t="s">
        <v>4815</v>
      </c>
    </row>
    <row r="6">
      <c r="A6" s="14" t="s">
        <v>44</v>
      </c>
      <c r="B6" s="264">
        <v>3.0</v>
      </c>
      <c r="C6" s="264" t="s">
        <v>552</v>
      </c>
      <c r="D6" s="264" t="s">
        <v>4818</v>
      </c>
      <c r="E6" s="384" t="s">
        <v>53</v>
      </c>
      <c r="M6" s="387" t="s">
        <v>4819</v>
      </c>
    </row>
    <row r="7">
      <c r="A7" s="14" t="s">
        <v>44</v>
      </c>
      <c r="B7" s="264">
        <v>4.0</v>
      </c>
      <c r="C7" s="264" t="s">
        <v>4821</v>
      </c>
      <c r="D7" s="264" t="s">
        <v>474</v>
      </c>
      <c r="E7" s="384" t="s">
        <v>53</v>
      </c>
      <c r="M7" s="389" t="s">
        <v>4824</v>
      </c>
    </row>
    <row r="8">
      <c r="A8" s="14" t="s">
        <v>44</v>
      </c>
      <c r="B8" s="264">
        <v>5.0</v>
      </c>
      <c r="C8" s="264" t="s">
        <v>561</v>
      </c>
      <c r="D8" s="264" t="s">
        <v>4826</v>
      </c>
      <c r="E8" s="384" t="s">
        <v>53</v>
      </c>
      <c r="M8" s="390" t="s">
        <v>4827</v>
      </c>
    </row>
    <row r="9">
      <c r="A9" s="14" t="s">
        <v>44</v>
      </c>
      <c r="B9" s="264">
        <v>6.0</v>
      </c>
      <c r="C9" s="264" t="s">
        <v>4829</v>
      </c>
      <c r="D9" s="264" t="s">
        <v>4830</v>
      </c>
      <c r="E9" s="384" t="s">
        <v>53</v>
      </c>
      <c r="M9" s="389" t="s">
        <v>4831</v>
      </c>
    </row>
    <row r="10">
      <c r="A10" s="14" t="s">
        <v>44</v>
      </c>
      <c r="B10" s="264">
        <v>7.0</v>
      </c>
      <c r="C10" s="264" t="s">
        <v>4833</v>
      </c>
      <c r="D10" s="264" t="s">
        <v>4834</v>
      </c>
      <c r="E10" s="384" t="s">
        <v>53</v>
      </c>
      <c r="M10" s="387" t="s">
        <v>4835</v>
      </c>
    </row>
    <row r="11">
      <c r="A11" s="14" t="s">
        <v>44</v>
      </c>
      <c r="B11" s="264">
        <v>8.0</v>
      </c>
      <c r="C11" s="264" t="s">
        <v>1990</v>
      </c>
      <c r="D11" s="264" t="s">
        <v>4837</v>
      </c>
      <c r="E11" s="384" t="s">
        <v>53</v>
      </c>
      <c r="M11" s="389" t="s">
        <v>4838</v>
      </c>
    </row>
    <row r="12">
      <c r="A12" s="14" t="s">
        <v>44</v>
      </c>
      <c r="B12" s="264">
        <v>9.0</v>
      </c>
      <c r="C12" s="264" t="s">
        <v>1375</v>
      </c>
      <c r="D12" s="264" t="s">
        <v>4840</v>
      </c>
      <c r="E12" s="384" t="s">
        <v>53</v>
      </c>
      <c r="M12" s="391" t="s">
        <v>4841</v>
      </c>
    </row>
    <row r="13">
      <c r="A13" s="14" t="s">
        <v>44</v>
      </c>
      <c r="B13" s="264">
        <v>10.0</v>
      </c>
      <c r="C13" s="264" t="s">
        <v>157</v>
      </c>
      <c r="D13" s="264" t="s">
        <v>4846</v>
      </c>
      <c r="E13" s="384" t="s">
        <v>53</v>
      </c>
      <c r="M13" s="392" t="s">
        <v>4847</v>
      </c>
    </row>
    <row r="14">
      <c r="A14" s="14" t="s">
        <v>44</v>
      </c>
      <c r="B14" s="264">
        <v>11.0</v>
      </c>
      <c r="C14" s="264" t="s">
        <v>199</v>
      </c>
      <c r="D14" s="264" t="s">
        <v>4851</v>
      </c>
      <c r="E14" s="384" t="s">
        <v>53</v>
      </c>
      <c r="M14" s="387" t="s">
        <v>4852</v>
      </c>
    </row>
    <row r="15">
      <c r="A15" s="14" t="s">
        <v>44</v>
      </c>
      <c r="B15" s="264">
        <v>12.0</v>
      </c>
      <c r="C15" s="264" t="s">
        <v>1331</v>
      </c>
      <c r="D15" s="264" t="s">
        <v>4858</v>
      </c>
      <c r="E15" s="384" t="s">
        <v>53</v>
      </c>
      <c r="M15" s="389" t="s">
        <v>4859</v>
      </c>
    </row>
    <row r="16">
      <c r="A16" s="14" t="s">
        <v>44</v>
      </c>
      <c r="B16" s="264">
        <v>13.0</v>
      </c>
      <c r="C16" s="264" t="s">
        <v>173</v>
      </c>
      <c r="D16" s="264" t="s">
        <v>293</v>
      </c>
      <c r="E16" s="394" t="s">
        <v>49</v>
      </c>
      <c r="M16" s="387" t="s">
        <v>4865</v>
      </c>
    </row>
    <row r="17">
      <c r="A17" s="14" t="s">
        <v>44</v>
      </c>
      <c r="B17" s="264">
        <v>14.0</v>
      </c>
      <c r="C17" s="264" t="s">
        <v>2507</v>
      </c>
      <c r="D17" s="264" t="s">
        <v>4867</v>
      </c>
      <c r="E17" s="394" t="s">
        <v>49</v>
      </c>
      <c r="M17" s="392" t="s">
        <v>4868</v>
      </c>
    </row>
    <row r="18">
      <c r="A18" s="14" t="s">
        <v>44</v>
      </c>
      <c r="B18" s="264">
        <v>15.0</v>
      </c>
      <c r="C18" s="264" t="s">
        <v>2746</v>
      </c>
      <c r="D18" s="264" t="s">
        <v>4873</v>
      </c>
      <c r="E18" s="394" t="s">
        <v>49</v>
      </c>
      <c r="M18" s="387" t="s">
        <v>4874</v>
      </c>
    </row>
    <row r="19">
      <c r="A19" s="14" t="s">
        <v>44</v>
      </c>
      <c r="B19" s="264">
        <v>16.0</v>
      </c>
      <c r="C19" s="264" t="s">
        <v>514</v>
      </c>
      <c r="D19" s="264" t="s">
        <v>4881</v>
      </c>
      <c r="E19" s="384" t="s">
        <v>53</v>
      </c>
      <c r="M19" s="392" t="s">
        <v>4882</v>
      </c>
    </row>
    <row r="20">
      <c r="A20" s="14" t="s">
        <v>44</v>
      </c>
      <c r="B20" s="264">
        <v>17.0</v>
      </c>
      <c r="C20" s="264" t="s">
        <v>163</v>
      </c>
      <c r="D20" s="264" t="s">
        <v>4889</v>
      </c>
      <c r="E20" s="384" t="s">
        <v>53</v>
      </c>
      <c r="F20" s="14" t="s">
        <v>3057</v>
      </c>
      <c r="M20" s="387" t="s">
        <v>4891</v>
      </c>
    </row>
    <row r="21">
      <c r="A21" s="14" t="s">
        <v>44</v>
      </c>
      <c r="B21" s="264">
        <v>18.0</v>
      </c>
      <c r="C21" s="264" t="s">
        <v>1897</v>
      </c>
      <c r="D21" s="264" t="s">
        <v>3339</v>
      </c>
      <c r="E21" s="384" t="s">
        <v>53</v>
      </c>
      <c r="M21" s="389" t="s">
        <v>4895</v>
      </c>
    </row>
    <row r="22">
      <c r="A22" s="14" t="s">
        <v>44</v>
      </c>
      <c r="B22" s="264">
        <v>19.0</v>
      </c>
      <c r="C22" s="264" t="s">
        <v>173</v>
      </c>
      <c r="D22" s="264" t="s">
        <v>4901</v>
      </c>
      <c r="E22" s="384" t="s">
        <v>53</v>
      </c>
      <c r="F22" s="14" t="s">
        <v>176</v>
      </c>
      <c r="M22" s="391" t="s">
        <v>4902</v>
      </c>
    </row>
    <row r="23">
      <c r="A23" s="14" t="s">
        <v>44</v>
      </c>
      <c r="B23" s="264">
        <v>20.0</v>
      </c>
      <c r="C23" s="264" t="s">
        <v>2250</v>
      </c>
      <c r="D23" s="264" t="s">
        <v>4905</v>
      </c>
      <c r="E23" s="384" t="s">
        <v>53</v>
      </c>
      <c r="M23" s="391" t="s">
        <v>4906</v>
      </c>
    </row>
    <row r="24">
      <c r="A24" s="14" t="s">
        <v>44</v>
      </c>
      <c r="B24" s="264">
        <v>21.0</v>
      </c>
      <c r="C24" s="264" t="s">
        <v>338</v>
      </c>
      <c r="D24" s="264" t="s">
        <v>89</v>
      </c>
      <c r="E24" s="384" t="s">
        <v>53</v>
      </c>
      <c r="M24" s="387" t="s">
        <v>4912</v>
      </c>
    </row>
    <row r="25">
      <c r="A25" s="14" t="s">
        <v>44</v>
      </c>
      <c r="B25" s="264">
        <v>22.0</v>
      </c>
      <c r="C25" s="264" t="s">
        <v>1387</v>
      </c>
      <c r="D25" s="264" t="s">
        <v>4920</v>
      </c>
      <c r="E25" s="384" t="s">
        <v>53</v>
      </c>
      <c r="M25" s="389" t="s">
        <v>4921</v>
      </c>
    </row>
    <row r="26">
      <c r="A26" s="14" t="s">
        <v>44</v>
      </c>
      <c r="B26" s="264">
        <v>23.0</v>
      </c>
      <c r="C26" s="264" t="s">
        <v>108</v>
      </c>
      <c r="D26" s="264" t="s">
        <v>4926</v>
      </c>
      <c r="E26" s="384" t="s">
        <v>53</v>
      </c>
      <c r="M26" s="387" t="s">
        <v>4927</v>
      </c>
    </row>
    <row r="27">
      <c r="A27" s="14" t="s">
        <v>44</v>
      </c>
      <c r="B27" s="264">
        <v>24.0</v>
      </c>
      <c r="C27" s="264" t="s">
        <v>4931</v>
      </c>
      <c r="D27" s="264" t="s">
        <v>4932</v>
      </c>
      <c r="E27" s="384" t="s">
        <v>53</v>
      </c>
      <c r="M27" s="389" t="s">
        <v>4933</v>
      </c>
    </row>
    <row r="28">
      <c r="A28" s="14" t="s">
        <v>44</v>
      </c>
      <c r="B28" s="264">
        <v>25.0</v>
      </c>
      <c r="C28" s="264" t="s">
        <v>1513</v>
      </c>
      <c r="D28" s="264" t="s">
        <v>4939</v>
      </c>
      <c r="E28" s="384" t="s">
        <v>53</v>
      </c>
      <c r="M28" s="387" t="s">
        <v>4940</v>
      </c>
    </row>
    <row r="29">
      <c r="A29" s="14" t="s">
        <v>44</v>
      </c>
      <c r="B29" s="264">
        <v>26.0</v>
      </c>
      <c r="C29" s="264" t="s">
        <v>45</v>
      </c>
      <c r="D29" s="264" t="s">
        <v>4953</v>
      </c>
      <c r="E29" s="394" t="s">
        <v>49</v>
      </c>
      <c r="M29" s="389" t="s">
        <v>4955</v>
      </c>
    </row>
    <row r="30">
      <c r="A30" s="14" t="s">
        <v>44</v>
      </c>
      <c r="B30" s="264">
        <v>27.0</v>
      </c>
      <c r="C30" s="264" t="s">
        <v>28</v>
      </c>
      <c r="D30" s="264" t="s">
        <v>4961</v>
      </c>
      <c r="E30" s="384" t="s">
        <v>53</v>
      </c>
      <c r="M30" s="387" t="s">
        <v>4962</v>
      </c>
    </row>
    <row r="31">
      <c r="A31" s="14" t="s">
        <v>44</v>
      </c>
      <c r="B31" s="264">
        <v>28.0</v>
      </c>
      <c r="C31" s="264" t="s">
        <v>1387</v>
      </c>
      <c r="D31" s="264" t="s">
        <v>4967</v>
      </c>
      <c r="E31" s="384" t="s">
        <v>53</v>
      </c>
      <c r="M31" s="391" t="s">
        <v>4968</v>
      </c>
    </row>
    <row r="32">
      <c r="A32" s="14" t="s">
        <v>44</v>
      </c>
      <c r="B32" s="264">
        <v>29.0</v>
      </c>
      <c r="C32" s="264" t="s">
        <v>4969</v>
      </c>
      <c r="D32" s="264" t="s">
        <v>4972</v>
      </c>
      <c r="E32" s="394" t="s">
        <v>49</v>
      </c>
      <c r="F32" s="14" t="s">
        <v>4973</v>
      </c>
      <c r="M32" s="398" t="s">
        <v>4974</v>
      </c>
    </row>
    <row r="33">
      <c r="A33" s="14" t="s">
        <v>44</v>
      </c>
      <c r="B33" s="264">
        <v>30.0</v>
      </c>
      <c r="C33" s="264" t="s">
        <v>1331</v>
      </c>
      <c r="D33" s="264" t="s">
        <v>4979</v>
      </c>
      <c r="E33" s="384" t="s">
        <v>53</v>
      </c>
      <c r="M33" s="391" t="s">
        <v>4980</v>
      </c>
    </row>
    <row r="34">
      <c r="A34" s="14" t="s">
        <v>44</v>
      </c>
      <c r="B34" s="264">
        <v>31.0</v>
      </c>
      <c r="C34" s="264" t="s">
        <v>1291</v>
      </c>
      <c r="D34" s="264" t="s">
        <v>413</v>
      </c>
      <c r="E34" s="394" t="s">
        <v>49</v>
      </c>
      <c r="M34" s="387" t="s">
        <v>4984</v>
      </c>
    </row>
    <row r="35">
      <c r="A35" s="14" t="s">
        <v>44</v>
      </c>
      <c r="B35" s="264">
        <v>32.0</v>
      </c>
      <c r="C35" s="264" t="s">
        <v>2779</v>
      </c>
      <c r="D35" s="264" t="s">
        <v>4991</v>
      </c>
      <c r="E35" s="394" t="s">
        <v>49</v>
      </c>
      <c r="M35" s="389" t="s">
        <v>4992</v>
      </c>
    </row>
    <row r="36">
      <c r="A36" s="14" t="s">
        <v>44</v>
      </c>
      <c r="B36" s="264">
        <v>33.0</v>
      </c>
      <c r="C36" s="264" t="s">
        <v>1331</v>
      </c>
      <c r="D36" s="264" t="s">
        <v>4840</v>
      </c>
      <c r="E36" s="394" t="s">
        <v>49</v>
      </c>
      <c r="F36" s="14" t="s">
        <v>4973</v>
      </c>
      <c r="M36" s="387" t="s">
        <v>5002</v>
      </c>
    </row>
    <row r="37">
      <c r="A37" s="14" t="s">
        <v>44</v>
      </c>
      <c r="B37" s="264">
        <v>34.0</v>
      </c>
      <c r="C37" s="264" t="s">
        <v>1193</v>
      </c>
      <c r="D37" s="264" t="s">
        <v>2354</v>
      </c>
      <c r="E37" s="394" t="s">
        <v>49</v>
      </c>
      <c r="M37" s="389" t="s">
        <v>5007</v>
      </c>
    </row>
    <row r="38">
      <c r="A38" s="14" t="s">
        <v>44</v>
      </c>
      <c r="B38" s="264">
        <v>35.0</v>
      </c>
      <c r="C38" s="264" t="s">
        <v>5011</v>
      </c>
      <c r="D38" s="264" t="s">
        <v>5013</v>
      </c>
      <c r="E38" s="394" t="s">
        <v>49</v>
      </c>
      <c r="M38" s="387" t="s">
        <v>5014</v>
      </c>
    </row>
    <row r="39">
      <c r="A39" s="14" t="s">
        <v>44</v>
      </c>
      <c r="B39" s="264">
        <v>36.0</v>
      </c>
      <c r="C39" s="264" t="s">
        <v>5016</v>
      </c>
      <c r="D39" s="264" t="s">
        <v>3961</v>
      </c>
      <c r="E39" s="394" t="s">
        <v>49</v>
      </c>
      <c r="M39" s="389" t="s">
        <v>5019</v>
      </c>
    </row>
    <row r="40">
      <c r="A40" s="14" t="s">
        <v>44</v>
      </c>
      <c r="B40" s="264">
        <v>37.0</v>
      </c>
      <c r="C40" s="264" t="s">
        <v>278</v>
      </c>
      <c r="D40" s="264" t="s">
        <v>5024</v>
      </c>
      <c r="E40" s="384" t="s">
        <v>53</v>
      </c>
      <c r="M40" s="387" t="s">
        <v>5025</v>
      </c>
    </row>
    <row r="41">
      <c r="A41" s="14" t="s">
        <v>44</v>
      </c>
      <c r="B41" s="264">
        <v>38.0</v>
      </c>
      <c r="C41" s="264" t="s">
        <v>1255</v>
      </c>
      <c r="D41" s="264" t="s">
        <v>5030</v>
      </c>
      <c r="E41" s="394" t="s">
        <v>49</v>
      </c>
      <c r="M41" s="391" t="s">
        <v>5031</v>
      </c>
    </row>
    <row r="42">
      <c r="A42" s="14" t="s">
        <v>44</v>
      </c>
      <c r="B42" s="264">
        <v>39.0</v>
      </c>
      <c r="C42" s="264" t="s">
        <v>5034</v>
      </c>
      <c r="D42" s="264" t="s">
        <v>5035</v>
      </c>
      <c r="E42" s="394" t="s">
        <v>49</v>
      </c>
      <c r="M42" s="401" t="s">
        <v>5036</v>
      </c>
    </row>
    <row r="43">
      <c r="A43" s="14" t="s">
        <v>44</v>
      </c>
      <c r="B43" s="264">
        <v>40.0</v>
      </c>
      <c r="C43" s="264" t="s">
        <v>278</v>
      </c>
      <c r="D43" s="264" t="s">
        <v>5041</v>
      </c>
      <c r="E43" s="394" t="s">
        <v>49</v>
      </c>
      <c r="F43" s="14" t="s">
        <v>4973</v>
      </c>
      <c r="M43" s="389" t="s">
        <v>5042</v>
      </c>
    </row>
    <row r="44">
      <c r="A44" s="14" t="s">
        <v>44</v>
      </c>
      <c r="B44" s="264">
        <v>41.0</v>
      </c>
      <c r="C44" s="264" t="s">
        <v>5047</v>
      </c>
      <c r="D44" s="264" t="s">
        <v>5050</v>
      </c>
      <c r="E44" s="394" t="s">
        <v>49</v>
      </c>
      <c r="F44" s="14" t="s">
        <v>2004</v>
      </c>
      <c r="M44" s="402" t="s">
        <v>5051</v>
      </c>
    </row>
    <row r="45">
      <c r="A45" s="14" t="s">
        <v>44</v>
      </c>
      <c r="B45" s="264">
        <v>42.0</v>
      </c>
      <c r="C45" s="264" t="s">
        <v>3074</v>
      </c>
      <c r="D45" s="264" t="s">
        <v>5057</v>
      </c>
      <c r="E45" s="394" t="s">
        <v>49</v>
      </c>
      <c r="L45" s="140"/>
      <c r="M45" s="391" t="s">
        <v>5058</v>
      </c>
    </row>
    <row r="46">
      <c r="A46" s="14" t="s">
        <v>44</v>
      </c>
      <c r="B46" s="264">
        <v>43.0</v>
      </c>
      <c r="C46" s="264" t="s">
        <v>191</v>
      </c>
      <c r="D46" s="264" t="s">
        <v>5062</v>
      </c>
      <c r="E46" s="394" t="s">
        <v>49</v>
      </c>
      <c r="L46" s="140"/>
      <c r="M46" s="391" t="s">
        <v>5063</v>
      </c>
    </row>
    <row r="47">
      <c r="A47" s="14" t="s">
        <v>44</v>
      </c>
      <c r="B47" s="264">
        <v>44.0</v>
      </c>
      <c r="C47" s="264" t="s">
        <v>5066</v>
      </c>
      <c r="D47" s="264" t="s">
        <v>5067</v>
      </c>
      <c r="E47" s="394" t="s">
        <v>49</v>
      </c>
      <c r="L47" s="140"/>
      <c r="M47" s="385" t="s">
        <v>5068</v>
      </c>
    </row>
    <row r="48">
      <c r="A48" s="14" t="s">
        <v>44</v>
      </c>
      <c r="B48" s="264">
        <v>45.0</v>
      </c>
      <c r="C48" s="264" t="s">
        <v>2842</v>
      </c>
      <c r="D48" s="264" t="s">
        <v>5072</v>
      </c>
      <c r="E48" s="394" t="s">
        <v>49</v>
      </c>
      <c r="L48" s="140"/>
      <c r="M48" s="387" t="s">
        <v>5073</v>
      </c>
    </row>
    <row r="49">
      <c r="A49" s="14" t="s">
        <v>44</v>
      </c>
      <c r="B49" s="264">
        <v>46.0</v>
      </c>
      <c r="C49" s="264" t="s">
        <v>432</v>
      </c>
      <c r="D49" s="264" t="s">
        <v>5079</v>
      </c>
      <c r="E49" s="394" t="s">
        <v>49</v>
      </c>
      <c r="L49" s="140"/>
      <c r="M49" s="389" t="s">
        <v>5080</v>
      </c>
    </row>
    <row r="50">
      <c r="A50" s="14" t="s">
        <v>44</v>
      </c>
      <c r="B50" s="264">
        <v>47.0</v>
      </c>
      <c r="C50" s="264" t="s">
        <v>1483</v>
      </c>
      <c r="D50" s="264" t="s">
        <v>59</v>
      </c>
      <c r="E50" s="384" t="s">
        <v>53</v>
      </c>
      <c r="L50" s="140"/>
      <c r="M50" s="391" t="s">
        <v>5084</v>
      </c>
    </row>
    <row r="51">
      <c r="A51" s="14" t="s">
        <v>44</v>
      </c>
      <c r="B51" s="264">
        <v>48.0</v>
      </c>
      <c r="C51" s="264" t="s">
        <v>1134</v>
      </c>
      <c r="D51" s="264" t="s">
        <v>4776</v>
      </c>
      <c r="E51" s="384" t="s">
        <v>53</v>
      </c>
      <c r="L51" s="140"/>
      <c r="M51" s="389" t="s">
        <v>5087</v>
      </c>
    </row>
    <row r="52">
      <c r="A52" s="14" t="s">
        <v>44</v>
      </c>
      <c r="B52" s="264">
        <v>49.0</v>
      </c>
      <c r="C52" s="264" t="s">
        <v>76</v>
      </c>
      <c r="D52" s="264" t="s">
        <v>5096</v>
      </c>
      <c r="E52" s="384" t="s">
        <v>53</v>
      </c>
      <c r="L52" s="140"/>
      <c r="M52" s="387" t="s">
        <v>5097</v>
      </c>
    </row>
    <row r="53">
      <c r="A53" s="14" t="s">
        <v>44</v>
      </c>
      <c r="B53" s="264">
        <v>50.0</v>
      </c>
      <c r="C53" s="264" t="s">
        <v>2570</v>
      </c>
      <c r="D53" s="264" t="s">
        <v>5102</v>
      </c>
      <c r="E53" s="384" t="s">
        <v>53</v>
      </c>
      <c r="L53" s="140"/>
      <c r="M53" s="389" t="s">
        <v>5103</v>
      </c>
    </row>
    <row r="54">
      <c r="A54" s="14" t="s">
        <v>44</v>
      </c>
      <c r="B54" s="264">
        <v>51.0</v>
      </c>
      <c r="C54" s="264" t="s">
        <v>2443</v>
      </c>
      <c r="D54" s="264" t="s">
        <v>5109</v>
      </c>
      <c r="E54" s="384" t="s">
        <v>53</v>
      </c>
      <c r="H54" s="403"/>
      <c r="I54" s="390"/>
      <c r="J54" s="405"/>
      <c r="K54" s="403"/>
      <c r="L54" s="401"/>
      <c r="M54" s="387" t="s">
        <v>5115</v>
      </c>
    </row>
    <row r="55">
      <c r="A55" s="14" t="s">
        <v>44</v>
      </c>
      <c r="B55" s="264">
        <v>52.0</v>
      </c>
      <c r="C55" s="264" t="s">
        <v>1974</v>
      </c>
      <c r="D55" s="264" t="s">
        <v>5124</v>
      </c>
      <c r="E55" s="394" t="s">
        <v>49</v>
      </c>
      <c r="F55" s="14" t="s">
        <v>498</v>
      </c>
      <c r="H55" s="410"/>
      <c r="I55" s="391"/>
      <c r="J55" s="411"/>
      <c r="K55" s="410"/>
      <c r="L55" s="412"/>
      <c r="M55" s="389" t="s">
        <v>5128</v>
      </c>
    </row>
    <row r="56">
      <c r="A56" s="14" t="s">
        <v>44</v>
      </c>
      <c r="B56" s="264">
        <v>53.0</v>
      </c>
      <c r="C56" s="264" t="s">
        <v>1863</v>
      </c>
      <c r="D56" s="264" t="s">
        <v>5134</v>
      </c>
      <c r="E56" s="394" t="s">
        <v>49</v>
      </c>
      <c r="F56" s="14" t="s">
        <v>4973</v>
      </c>
      <c r="H56" s="403"/>
      <c r="I56" s="390"/>
      <c r="J56" s="405"/>
      <c r="K56" s="403"/>
      <c r="L56" s="401"/>
      <c r="M56" s="387" t="s">
        <v>5137</v>
      </c>
    </row>
    <row r="57">
      <c r="A57" s="14" t="s">
        <v>44</v>
      </c>
      <c r="B57" s="264">
        <v>54.0</v>
      </c>
      <c r="C57" s="264" t="s">
        <v>978</v>
      </c>
      <c r="D57" s="264" t="s">
        <v>5147</v>
      </c>
      <c r="E57" s="384" t="s">
        <v>53</v>
      </c>
      <c r="F57" s="14" t="s">
        <v>254</v>
      </c>
      <c r="H57" s="410"/>
      <c r="I57" s="391"/>
      <c r="J57" s="411"/>
      <c r="K57" s="410"/>
      <c r="L57" s="412"/>
      <c r="M57" s="389" t="s">
        <v>5148</v>
      </c>
    </row>
    <row r="58">
      <c r="A58" s="14" t="s">
        <v>44</v>
      </c>
      <c r="B58" s="264">
        <v>55.0</v>
      </c>
      <c r="C58" s="264" t="s">
        <v>2490</v>
      </c>
      <c r="D58" s="264" t="s">
        <v>5159</v>
      </c>
      <c r="E58" s="384" t="s">
        <v>53</v>
      </c>
      <c r="H58" s="403"/>
      <c r="I58" s="390"/>
      <c r="J58" s="405"/>
      <c r="K58" s="403"/>
      <c r="L58" s="401"/>
      <c r="M58" s="387" t="s">
        <v>5160</v>
      </c>
    </row>
    <row r="59">
      <c r="A59" s="14" t="s">
        <v>44</v>
      </c>
      <c r="B59" s="264">
        <v>56.0</v>
      </c>
      <c r="C59" s="264" t="s">
        <v>2560</v>
      </c>
      <c r="D59" s="264" t="s">
        <v>5163</v>
      </c>
      <c r="E59" s="384" t="s">
        <v>53</v>
      </c>
      <c r="H59" s="410"/>
      <c r="I59" s="391"/>
      <c r="J59" s="411"/>
      <c r="K59" s="410"/>
      <c r="L59" s="412"/>
      <c r="M59" s="391" t="s">
        <v>5164</v>
      </c>
    </row>
    <row r="60">
      <c r="A60" s="14" t="s">
        <v>44</v>
      </c>
      <c r="B60" s="264">
        <v>57.0</v>
      </c>
      <c r="C60" s="264" t="s">
        <v>1891</v>
      </c>
      <c r="D60" s="264" t="s">
        <v>5172</v>
      </c>
      <c r="E60" s="384" t="s">
        <v>53</v>
      </c>
      <c r="H60" s="403"/>
      <c r="I60" s="390"/>
      <c r="J60" s="405"/>
      <c r="K60" s="403"/>
      <c r="L60" s="401"/>
      <c r="M60" s="387" t="s">
        <v>5173</v>
      </c>
    </row>
    <row r="61">
      <c r="A61" s="14" t="s">
        <v>44</v>
      </c>
      <c r="B61" s="264">
        <v>58.0</v>
      </c>
      <c r="C61" s="264" t="s">
        <v>109</v>
      </c>
      <c r="D61" s="264" t="s">
        <v>2054</v>
      </c>
      <c r="E61" s="384" t="s">
        <v>53</v>
      </c>
      <c r="H61" s="410"/>
      <c r="I61" s="391"/>
      <c r="J61" s="411"/>
      <c r="K61" s="410"/>
      <c r="L61" s="412"/>
      <c r="M61" s="389" t="s">
        <v>5183</v>
      </c>
    </row>
    <row r="62">
      <c r="A62" s="14" t="s">
        <v>44</v>
      </c>
      <c r="B62" s="264">
        <v>59.0</v>
      </c>
      <c r="C62" s="264" t="s">
        <v>419</v>
      </c>
      <c r="D62" s="264" t="s">
        <v>5194</v>
      </c>
      <c r="E62" s="394" t="s">
        <v>49</v>
      </c>
      <c r="H62" s="403"/>
      <c r="I62" s="390"/>
      <c r="J62" s="405"/>
      <c r="K62" s="403"/>
      <c r="L62" s="401"/>
      <c r="M62" s="387" t="s">
        <v>5195</v>
      </c>
    </row>
    <row r="63">
      <c r="A63" s="14" t="s">
        <v>44</v>
      </c>
      <c r="B63" s="264">
        <v>60.0</v>
      </c>
      <c r="C63" s="264" t="s">
        <v>76</v>
      </c>
      <c r="D63" s="264" t="s">
        <v>793</v>
      </c>
      <c r="E63" s="394" t="s">
        <v>49</v>
      </c>
      <c r="H63" s="410"/>
      <c r="I63" s="391"/>
      <c r="J63" s="411"/>
      <c r="K63" s="410"/>
      <c r="L63" s="412"/>
      <c r="M63" s="391" t="s">
        <v>5202</v>
      </c>
    </row>
    <row r="64">
      <c r="A64" s="14" t="s">
        <v>44</v>
      </c>
      <c r="B64" s="264">
        <v>61.0</v>
      </c>
      <c r="C64" s="264" t="s">
        <v>5208</v>
      </c>
      <c r="D64" s="264" t="s">
        <v>5211</v>
      </c>
      <c r="E64" s="394" t="s">
        <v>49</v>
      </c>
      <c r="H64" s="403"/>
      <c r="I64" s="390"/>
      <c r="J64" s="405"/>
      <c r="K64" s="403"/>
      <c r="L64" s="401"/>
      <c r="M64" s="387" t="s">
        <v>5212</v>
      </c>
    </row>
    <row r="65">
      <c r="A65" s="14" t="s">
        <v>44</v>
      </c>
      <c r="B65" s="264">
        <v>62.0</v>
      </c>
      <c r="C65" s="264" t="s">
        <v>5216</v>
      </c>
      <c r="D65" s="264" t="s">
        <v>1451</v>
      </c>
      <c r="E65" s="394" t="s">
        <v>49</v>
      </c>
      <c r="H65" s="410"/>
      <c r="I65" s="391"/>
      <c r="J65" s="411"/>
      <c r="K65" s="410"/>
      <c r="L65" s="412"/>
      <c r="M65" s="389" t="s">
        <v>5220</v>
      </c>
    </row>
    <row r="66">
      <c r="A66" s="14" t="s">
        <v>44</v>
      </c>
      <c r="B66" s="264">
        <v>63.0</v>
      </c>
      <c r="C66" s="264" t="s">
        <v>5229</v>
      </c>
      <c r="D66" s="264" t="s">
        <v>5232</v>
      </c>
      <c r="E66" s="384" t="s">
        <v>53</v>
      </c>
      <c r="H66" s="403"/>
      <c r="I66" s="390"/>
      <c r="J66" s="405"/>
      <c r="K66" s="403"/>
      <c r="L66" s="401"/>
      <c r="M66" s="387" t="s">
        <v>5235</v>
      </c>
    </row>
    <row r="67">
      <c r="A67" s="14" t="s">
        <v>44</v>
      </c>
      <c r="B67" s="264">
        <v>64.0</v>
      </c>
      <c r="C67" s="264" t="s">
        <v>1193</v>
      </c>
      <c r="D67" s="264" t="s">
        <v>5248</v>
      </c>
      <c r="E67" s="394" t="s">
        <v>49</v>
      </c>
      <c r="H67" s="410"/>
      <c r="I67" s="391"/>
      <c r="J67" s="411"/>
      <c r="K67" s="410"/>
      <c r="L67" s="412"/>
      <c r="M67" s="389" t="s">
        <v>5249</v>
      </c>
    </row>
    <row r="68">
      <c r="A68" s="14" t="s">
        <v>44</v>
      </c>
      <c r="B68" s="264">
        <v>65.0</v>
      </c>
      <c r="C68" s="264" t="s">
        <v>2680</v>
      </c>
      <c r="D68" s="264" t="s">
        <v>2763</v>
      </c>
      <c r="E68" s="394" t="s">
        <v>49</v>
      </c>
      <c r="H68" s="403"/>
      <c r="I68" s="390"/>
      <c r="J68" s="405"/>
      <c r="K68" s="403"/>
      <c r="L68" s="401"/>
      <c r="M68" s="387" t="s">
        <v>5257</v>
      </c>
    </row>
    <row r="69">
      <c r="A69" s="14" t="s">
        <v>44</v>
      </c>
      <c r="B69" s="264">
        <v>66.0</v>
      </c>
      <c r="C69" s="264" t="s">
        <v>2989</v>
      </c>
      <c r="D69" s="264" t="s">
        <v>5266</v>
      </c>
      <c r="E69" s="394" t="s">
        <v>49</v>
      </c>
      <c r="H69" s="410"/>
      <c r="I69" s="391"/>
      <c r="J69" s="411"/>
      <c r="K69" s="410"/>
      <c r="L69" s="412"/>
      <c r="M69" s="389" t="s">
        <v>5267</v>
      </c>
    </row>
    <row r="70">
      <c r="A70" s="14" t="s">
        <v>44</v>
      </c>
      <c r="B70" s="264">
        <v>67.0</v>
      </c>
      <c r="C70" s="264" t="s">
        <v>3414</v>
      </c>
      <c r="D70" s="264" t="s">
        <v>5273</v>
      </c>
      <c r="E70" s="384" t="s">
        <v>53</v>
      </c>
      <c r="H70" s="403"/>
      <c r="I70" s="390"/>
      <c r="J70" s="405"/>
      <c r="K70" s="403"/>
      <c r="L70" s="401"/>
      <c r="M70" s="387" t="s">
        <v>5274</v>
      </c>
    </row>
    <row r="71">
      <c r="A71" s="14" t="s">
        <v>44</v>
      </c>
      <c r="B71" s="264">
        <v>68.0</v>
      </c>
      <c r="C71" s="264" t="s">
        <v>5283</v>
      </c>
      <c r="D71" s="264" t="s">
        <v>5284</v>
      </c>
      <c r="E71" s="394" t="s">
        <v>49</v>
      </c>
      <c r="H71" s="410"/>
      <c r="I71" s="391"/>
      <c r="J71" s="411"/>
      <c r="K71" s="410"/>
      <c r="L71" s="412"/>
      <c r="M71" s="391" t="s">
        <v>5285</v>
      </c>
    </row>
    <row r="72">
      <c r="A72" s="14" t="s">
        <v>44</v>
      </c>
      <c r="B72" s="264">
        <v>69.0</v>
      </c>
      <c r="C72" s="264" t="s">
        <v>772</v>
      </c>
      <c r="D72" s="264" t="s">
        <v>5293</v>
      </c>
      <c r="E72" s="394" t="s">
        <v>49</v>
      </c>
      <c r="H72" s="403"/>
      <c r="I72" s="390"/>
      <c r="J72" s="405"/>
      <c r="K72" s="403"/>
      <c r="L72" s="401"/>
      <c r="M72" s="391"/>
    </row>
    <row r="73">
      <c r="A73" s="14" t="s">
        <v>44</v>
      </c>
      <c r="B73" s="264">
        <v>70.0</v>
      </c>
      <c r="C73" s="264" t="s">
        <v>273</v>
      </c>
      <c r="D73" s="264" t="s">
        <v>5299</v>
      </c>
      <c r="E73" s="394" t="s">
        <v>49</v>
      </c>
      <c r="H73" s="410"/>
      <c r="I73" s="391"/>
      <c r="J73" s="411"/>
      <c r="K73" s="410"/>
      <c r="L73" s="412"/>
      <c r="M73" s="391" t="s">
        <v>5300</v>
      </c>
    </row>
    <row r="74">
      <c r="A74" s="14" t="s">
        <v>44</v>
      </c>
      <c r="B74" s="264">
        <v>71.0</v>
      </c>
      <c r="C74" s="264" t="s">
        <v>91</v>
      </c>
      <c r="D74" s="264" t="s">
        <v>1451</v>
      </c>
      <c r="E74" s="394" t="s">
        <v>49</v>
      </c>
      <c r="H74" s="403"/>
      <c r="I74" s="390"/>
      <c r="J74" s="405"/>
      <c r="K74" s="403"/>
      <c r="L74" s="401"/>
      <c r="M74" s="391" t="s">
        <v>5305</v>
      </c>
    </row>
    <row r="75">
      <c r="A75" s="14" t="s">
        <v>44</v>
      </c>
      <c r="B75" s="264">
        <v>72.0</v>
      </c>
      <c r="C75" s="264" t="s">
        <v>4340</v>
      </c>
      <c r="D75" s="264" t="s">
        <v>5307</v>
      </c>
      <c r="E75" s="384" t="s">
        <v>53</v>
      </c>
      <c r="H75" s="410"/>
      <c r="I75" s="391"/>
      <c r="J75" s="411"/>
      <c r="K75" s="410"/>
      <c r="L75" s="412"/>
      <c r="M75" s="387" t="s">
        <v>5308</v>
      </c>
    </row>
    <row r="76">
      <c r="A76" s="14" t="s">
        <v>44</v>
      </c>
      <c r="B76" s="264">
        <v>73.0</v>
      </c>
      <c r="C76" s="264" t="s">
        <v>1019</v>
      </c>
      <c r="D76" s="264" t="s">
        <v>5320</v>
      </c>
      <c r="E76" s="384" t="s">
        <v>53</v>
      </c>
      <c r="H76" s="403"/>
      <c r="I76" s="390"/>
      <c r="J76" s="405"/>
      <c r="K76" s="403"/>
      <c r="L76" s="401"/>
      <c r="M76" s="389" t="s">
        <v>5322</v>
      </c>
    </row>
    <row r="77">
      <c r="A77" s="14" t="s">
        <v>44</v>
      </c>
      <c r="B77" s="264">
        <v>74.0</v>
      </c>
      <c r="C77" s="264" t="s">
        <v>108</v>
      </c>
      <c r="D77" s="264" t="s">
        <v>5334</v>
      </c>
      <c r="E77" s="394" t="s">
        <v>49</v>
      </c>
      <c r="H77" s="410"/>
      <c r="I77" s="391"/>
      <c r="J77" s="411"/>
      <c r="K77" s="410"/>
      <c r="L77" s="412"/>
      <c r="M77" s="387" t="s">
        <v>5337</v>
      </c>
    </row>
    <row r="78">
      <c r="A78" s="14" t="s">
        <v>44</v>
      </c>
      <c r="B78" s="264">
        <v>75.0</v>
      </c>
      <c r="C78" s="264" t="s">
        <v>561</v>
      </c>
      <c r="D78" s="264" t="s">
        <v>5350</v>
      </c>
      <c r="E78" s="384" t="s">
        <v>53</v>
      </c>
      <c r="H78" s="403"/>
      <c r="I78" s="390"/>
      <c r="J78" s="405"/>
      <c r="K78" s="403"/>
      <c r="L78" s="401"/>
      <c r="M78" s="391" t="s">
        <v>5351</v>
      </c>
    </row>
    <row r="79">
      <c r="A79" s="14" t="s">
        <v>44</v>
      </c>
      <c r="B79" s="264">
        <v>76.0</v>
      </c>
      <c r="C79" s="264" t="s">
        <v>108</v>
      </c>
      <c r="D79" s="264" t="s">
        <v>5363</v>
      </c>
      <c r="E79" s="384" t="s">
        <v>53</v>
      </c>
      <c r="H79" s="410"/>
      <c r="I79" s="391"/>
      <c r="J79" s="411"/>
      <c r="K79" s="410"/>
      <c r="L79" s="412"/>
      <c r="M79" s="387" t="s">
        <v>5364</v>
      </c>
    </row>
    <row r="80">
      <c r="A80" s="14" t="s">
        <v>44</v>
      </c>
      <c r="B80" s="264">
        <v>77.0</v>
      </c>
      <c r="C80" s="264" t="s">
        <v>2969</v>
      </c>
      <c r="D80" s="264" t="s">
        <v>2027</v>
      </c>
      <c r="E80" s="394" t="s">
        <v>49</v>
      </c>
      <c r="H80" s="403"/>
      <c r="I80" s="390"/>
      <c r="J80" s="405"/>
      <c r="K80" s="403"/>
      <c r="L80" s="401"/>
      <c r="M80" s="389" t="s">
        <v>5372</v>
      </c>
    </row>
    <row r="81">
      <c r="A81" s="14" t="s">
        <v>44</v>
      </c>
      <c r="B81" s="264">
        <v>78.0</v>
      </c>
      <c r="C81" s="264" t="s">
        <v>5376</v>
      </c>
      <c r="D81" s="264" t="s">
        <v>5381</v>
      </c>
      <c r="E81" s="384" t="s">
        <v>53</v>
      </c>
      <c r="H81" s="410"/>
      <c r="I81" s="391"/>
      <c r="J81" s="411"/>
      <c r="K81" s="410"/>
      <c r="L81" s="412"/>
      <c r="M81" s="387" t="s">
        <v>5382</v>
      </c>
    </row>
    <row r="82">
      <c r="A82" s="14" t="s">
        <v>44</v>
      </c>
      <c r="B82" s="264">
        <v>79.0</v>
      </c>
      <c r="C82" s="264" t="s">
        <v>5389</v>
      </c>
      <c r="D82" s="264" t="s">
        <v>5390</v>
      </c>
      <c r="E82" s="384" t="s">
        <v>53</v>
      </c>
      <c r="H82" s="403"/>
      <c r="I82" s="390"/>
      <c r="J82" s="405"/>
      <c r="K82" s="403"/>
      <c r="L82" s="401"/>
      <c r="M82" s="391" t="s">
        <v>5392</v>
      </c>
    </row>
    <row r="83">
      <c r="A83" s="14" t="s">
        <v>44</v>
      </c>
      <c r="B83" s="264">
        <v>80.0</v>
      </c>
      <c r="C83" s="264" t="s">
        <v>2202</v>
      </c>
      <c r="D83" s="264" t="s">
        <v>5397</v>
      </c>
      <c r="E83" s="384" t="s">
        <v>53</v>
      </c>
      <c r="H83" s="410"/>
      <c r="I83" s="391"/>
      <c r="J83" s="411"/>
      <c r="K83" s="410"/>
      <c r="L83" s="412"/>
      <c r="M83" s="391" t="s">
        <v>5398</v>
      </c>
    </row>
    <row r="84">
      <c r="A84" s="14" t="s">
        <v>44</v>
      </c>
      <c r="B84" s="264">
        <v>81.0</v>
      </c>
      <c r="C84" s="264" t="s">
        <v>514</v>
      </c>
      <c r="D84" s="264" t="s">
        <v>4856</v>
      </c>
      <c r="E84" s="394" t="s">
        <v>49</v>
      </c>
      <c r="H84" s="403"/>
      <c r="I84" s="390"/>
      <c r="J84" s="405"/>
      <c r="K84" s="403"/>
      <c r="L84" s="401"/>
      <c r="M84" s="389" t="s">
        <v>5400</v>
      </c>
    </row>
    <row r="85">
      <c r="A85" s="14" t="s">
        <v>44</v>
      </c>
      <c r="B85" s="264">
        <v>82.0</v>
      </c>
      <c r="C85" s="264" t="s">
        <v>683</v>
      </c>
      <c r="D85" s="264" t="s">
        <v>5407</v>
      </c>
      <c r="E85" s="384" t="s">
        <v>53</v>
      </c>
      <c r="H85" s="410"/>
      <c r="I85" s="391"/>
      <c r="J85" s="411"/>
      <c r="K85" s="410"/>
      <c r="L85" s="412"/>
      <c r="M85" s="391" t="s">
        <v>5408</v>
      </c>
    </row>
    <row r="86">
      <c r="A86" s="14" t="s">
        <v>44</v>
      </c>
      <c r="B86" s="264">
        <v>83.0</v>
      </c>
      <c r="C86" s="264" t="s">
        <v>683</v>
      </c>
      <c r="D86" s="264" t="s">
        <v>5412</v>
      </c>
      <c r="E86" s="394" t="s">
        <v>49</v>
      </c>
      <c r="H86" s="403"/>
      <c r="I86" s="390"/>
      <c r="J86" s="405"/>
      <c r="K86" s="403"/>
      <c r="L86" s="401"/>
      <c r="M86" s="389" t="s">
        <v>5413</v>
      </c>
    </row>
    <row r="87">
      <c r="A87" s="14" t="s">
        <v>44</v>
      </c>
      <c r="B87" s="264">
        <v>84.0</v>
      </c>
      <c r="C87" s="264" t="s">
        <v>622</v>
      </c>
      <c r="D87" s="264" t="s">
        <v>2206</v>
      </c>
      <c r="E87" s="384" t="s">
        <v>53</v>
      </c>
      <c r="H87" s="410"/>
      <c r="I87" s="391"/>
      <c r="J87" s="411"/>
      <c r="K87" s="410"/>
      <c r="L87" s="412"/>
      <c r="M87" s="391" t="s">
        <v>5419</v>
      </c>
    </row>
    <row r="88">
      <c r="A88" s="14" t="s">
        <v>44</v>
      </c>
      <c r="B88" s="264">
        <v>85.0</v>
      </c>
      <c r="C88" s="264" t="s">
        <v>2408</v>
      </c>
      <c r="D88" s="264" t="s">
        <v>5424</v>
      </c>
      <c r="E88" s="394" t="s">
        <v>49</v>
      </c>
      <c r="H88" s="403"/>
      <c r="I88" s="390"/>
      <c r="J88" s="405"/>
      <c r="K88" s="403"/>
      <c r="L88" s="401"/>
      <c r="M88" s="389" t="s">
        <v>5428</v>
      </c>
    </row>
    <row r="89">
      <c r="A89" s="14" t="s">
        <v>44</v>
      </c>
      <c r="B89" s="264">
        <v>86.0</v>
      </c>
      <c r="C89" s="264" t="s">
        <v>514</v>
      </c>
      <c r="D89" s="264" t="s">
        <v>5434</v>
      </c>
      <c r="E89" s="394" t="s">
        <v>49</v>
      </c>
      <c r="H89" s="410"/>
      <c r="I89" s="391"/>
      <c r="J89" s="411"/>
      <c r="K89" s="410"/>
      <c r="L89" s="412"/>
      <c r="M89" s="387" t="s">
        <v>5438</v>
      </c>
    </row>
    <row r="90">
      <c r="A90" s="14" t="s">
        <v>44</v>
      </c>
      <c r="B90" s="264">
        <v>87.0</v>
      </c>
      <c r="C90" s="264" t="s">
        <v>2194</v>
      </c>
      <c r="D90" s="264" t="s">
        <v>5445</v>
      </c>
      <c r="E90" s="394" t="s">
        <v>49</v>
      </c>
      <c r="H90" s="403"/>
      <c r="I90" s="390"/>
      <c r="J90" s="405"/>
      <c r="K90" s="403"/>
      <c r="L90" s="401"/>
      <c r="M90" s="389" t="s">
        <v>5450</v>
      </c>
    </row>
    <row r="91">
      <c r="A91" s="14" t="s">
        <v>44</v>
      </c>
      <c r="B91" s="264">
        <v>88.0</v>
      </c>
      <c r="C91" s="264" t="s">
        <v>108</v>
      </c>
      <c r="D91" s="264" t="s">
        <v>1244</v>
      </c>
      <c r="E91" s="384" t="s">
        <v>53</v>
      </c>
      <c r="H91" s="410"/>
      <c r="I91" s="391"/>
      <c r="J91" s="411"/>
      <c r="K91" s="410"/>
      <c r="L91" s="412"/>
      <c r="M91" s="387" t="s">
        <v>5462</v>
      </c>
    </row>
    <row r="92">
      <c r="A92" s="14" t="s">
        <v>44</v>
      </c>
      <c r="B92" s="264">
        <v>89.0</v>
      </c>
      <c r="C92" s="264" t="s">
        <v>1798</v>
      </c>
      <c r="D92" s="264" t="s">
        <v>5468</v>
      </c>
      <c r="E92" s="394" t="s">
        <v>49</v>
      </c>
      <c r="H92" s="403"/>
      <c r="I92" s="390"/>
      <c r="J92" s="405"/>
      <c r="K92" s="403"/>
      <c r="L92" s="401"/>
      <c r="M92" s="389" t="s">
        <v>5469</v>
      </c>
    </row>
    <row r="93">
      <c r="A93" s="14" t="s">
        <v>44</v>
      </c>
      <c r="B93" s="264">
        <v>90.0</v>
      </c>
      <c r="C93" s="264" t="s">
        <v>1561</v>
      </c>
      <c r="D93" s="264" t="s">
        <v>5476</v>
      </c>
      <c r="E93" s="394" t="s">
        <v>49</v>
      </c>
      <c r="H93" s="410"/>
      <c r="I93" s="391"/>
      <c r="J93" s="411"/>
      <c r="K93" s="410"/>
      <c r="L93" s="412"/>
      <c r="M93" s="387" t="s">
        <v>5477</v>
      </c>
    </row>
    <row r="94">
      <c r="A94" s="14" t="s">
        <v>44</v>
      </c>
      <c r="B94" s="264">
        <v>91.0</v>
      </c>
      <c r="C94" s="264" t="s">
        <v>199</v>
      </c>
      <c r="D94" s="264" t="s">
        <v>5484</v>
      </c>
      <c r="E94" s="384" t="s">
        <v>53</v>
      </c>
      <c r="H94" s="403"/>
      <c r="I94" s="390"/>
      <c r="J94" s="405"/>
      <c r="K94" s="403"/>
      <c r="L94" s="401"/>
      <c r="M94" s="389" t="s">
        <v>5485</v>
      </c>
    </row>
    <row r="95">
      <c r="A95" s="14" t="s">
        <v>44</v>
      </c>
      <c r="B95" s="264">
        <v>92.0</v>
      </c>
      <c r="C95" s="264" t="s">
        <v>5489</v>
      </c>
      <c r="D95" s="264" t="s">
        <v>5493</v>
      </c>
      <c r="E95" s="384" t="s">
        <v>53</v>
      </c>
      <c r="H95" s="410"/>
      <c r="I95" s="391"/>
      <c r="J95" s="411"/>
      <c r="K95" s="410"/>
      <c r="L95" s="412"/>
      <c r="M95" s="387" t="s">
        <v>5494</v>
      </c>
    </row>
    <row r="96">
      <c r="A96" s="14" t="s">
        <v>44</v>
      </c>
      <c r="B96" s="264">
        <v>93.0</v>
      </c>
      <c r="C96" s="264" t="s">
        <v>5498</v>
      </c>
      <c r="D96" s="264" t="s">
        <v>5502</v>
      </c>
      <c r="E96" s="394" t="s">
        <v>49</v>
      </c>
      <c r="H96" s="403"/>
      <c r="I96" s="390"/>
      <c r="J96" s="405"/>
      <c r="K96" s="403"/>
      <c r="L96" s="401"/>
      <c r="M96" s="389" t="s">
        <v>5503</v>
      </c>
    </row>
    <row r="97">
      <c r="A97" s="14" t="s">
        <v>44</v>
      </c>
      <c r="B97" s="264">
        <v>94.0</v>
      </c>
      <c r="C97" s="264" t="s">
        <v>199</v>
      </c>
      <c r="D97" s="264" t="s">
        <v>5510</v>
      </c>
      <c r="E97" s="384" t="s">
        <v>53</v>
      </c>
      <c r="H97" s="410"/>
      <c r="I97" s="391"/>
      <c r="J97" s="411"/>
      <c r="K97" s="410"/>
      <c r="L97" s="412"/>
      <c r="M97" s="387" t="s">
        <v>5511</v>
      </c>
    </row>
    <row r="98">
      <c r="A98" s="14" t="s">
        <v>44</v>
      </c>
      <c r="B98" s="264">
        <v>95.0</v>
      </c>
      <c r="C98" s="264" t="s">
        <v>4971</v>
      </c>
      <c r="D98" s="264" t="s">
        <v>5517</v>
      </c>
      <c r="E98" s="384" t="s">
        <v>53</v>
      </c>
      <c r="H98" s="403"/>
      <c r="I98" s="390"/>
      <c r="J98" s="405"/>
      <c r="K98" s="403"/>
      <c r="L98" s="401"/>
      <c r="M98" s="389" t="s">
        <v>5518</v>
      </c>
    </row>
    <row r="99">
      <c r="A99" s="14" t="s">
        <v>44</v>
      </c>
      <c r="B99" s="264">
        <v>96.0</v>
      </c>
      <c r="C99" s="264" t="s">
        <v>629</v>
      </c>
      <c r="D99" s="264" t="s">
        <v>5524</v>
      </c>
      <c r="E99" s="384" t="s">
        <v>53</v>
      </c>
      <c r="H99" s="410"/>
      <c r="I99" s="391"/>
      <c r="J99" s="411"/>
      <c r="K99" s="410"/>
      <c r="L99" s="412"/>
      <c r="M99" s="387" t="s">
        <v>5525</v>
      </c>
    </row>
    <row r="100">
      <c r="A100" s="14" t="s">
        <v>44</v>
      </c>
      <c r="B100" s="264">
        <v>97.0</v>
      </c>
      <c r="C100" s="264" t="s">
        <v>5532</v>
      </c>
      <c r="D100" s="264" t="s">
        <v>5533</v>
      </c>
      <c r="E100" s="384" t="s">
        <v>53</v>
      </c>
      <c r="H100" s="403"/>
      <c r="I100" s="390"/>
      <c r="J100" s="405"/>
      <c r="K100" s="403"/>
      <c r="L100" s="401"/>
      <c r="M100" s="389" t="s">
        <v>5534</v>
      </c>
    </row>
    <row r="101">
      <c r="A101" s="14" t="s">
        <v>44</v>
      </c>
      <c r="B101" s="264">
        <v>98.0</v>
      </c>
      <c r="C101" s="264" t="s">
        <v>514</v>
      </c>
      <c r="D101" s="264" t="s">
        <v>5542</v>
      </c>
      <c r="E101" s="394" t="s">
        <v>49</v>
      </c>
      <c r="H101" s="410"/>
      <c r="I101" s="391"/>
      <c r="J101" s="411"/>
      <c r="K101" s="410"/>
      <c r="L101" s="412"/>
      <c r="M101" s="391"/>
    </row>
    <row r="102">
      <c r="A102" s="14" t="s">
        <v>44</v>
      </c>
      <c r="B102" s="264">
        <v>99.0</v>
      </c>
      <c r="C102" s="264" t="s">
        <v>4339</v>
      </c>
      <c r="D102" s="264" t="s">
        <v>930</v>
      </c>
      <c r="E102" s="394" t="s">
        <v>49</v>
      </c>
      <c r="H102" s="403"/>
      <c r="I102" s="390"/>
      <c r="J102" s="405"/>
      <c r="K102" s="403"/>
      <c r="L102" s="401"/>
      <c r="M102" s="391" t="s">
        <v>5544</v>
      </c>
    </row>
    <row r="103">
      <c r="A103" s="14" t="s">
        <v>44</v>
      </c>
      <c r="B103" s="264">
        <v>100.0</v>
      </c>
      <c r="C103" s="264" t="s">
        <v>1287</v>
      </c>
      <c r="D103" s="264" t="s">
        <v>5545</v>
      </c>
      <c r="E103" s="394" t="s">
        <v>49</v>
      </c>
      <c r="L103" s="140"/>
      <c r="M103" s="387" t="s">
        <v>5546</v>
      </c>
    </row>
    <row r="104">
      <c r="A104" s="70"/>
      <c r="B104" s="353"/>
      <c r="C104" s="353"/>
      <c r="D104" s="353"/>
      <c r="E104" s="427"/>
      <c r="F104" s="70"/>
      <c r="G104" s="70"/>
      <c r="H104" s="70"/>
      <c r="I104" s="70"/>
      <c r="J104" s="70"/>
      <c r="K104" s="70"/>
      <c r="L104" s="128"/>
      <c r="M104" s="128"/>
      <c r="N104" s="70"/>
      <c r="O104" s="70"/>
      <c r="P104" s="70"/>
      <c r="Q104" s="70"/>
      <c r="R104" s="70"/>
      <c r="S104" s="70"/>
      <c r="T104" s="70"/>
      <c r="U104" s="70"/>
      <c r="V104" s="70"/>
      <c r="W104" s="70"/>
      <c r="X104" s="70"/>
      <c r="Y104" s="70"/>
      <c r="Z104" s="70"/>
      <c r="AA104" s="70"/>
      <c r="AB104" s="70"/>
      <c r="AC104" s="70"/>
      <c r="AD104" s="70"/>
    </row>
    <row r="105">
      <c r="A105" s="14" t="s">
        <v>286</v>
      </c>
      <c r="B105" s="264">
        <v>1.0</v>
      </c>
      <c r="C105" s="264" t="s">
        <v>5547</v>
      </c>
      <c r="D105" s="264" t="s">
        <v>5548</v>
      </c>
      <c r="E105" s="384" t="s">
        <v>53</v>
      </c>
      <c r="H105" s="403"/>
      <c r="I105" s="390"/>
      <c r="J105" s="405"/>
      <c r="K105" s="403"/>
      <c r="L105" s="401"/>
      <c r="M105" s="391" t="s">
        <v>5549</v>
      </c>
    </row>
    <row r="106">
      <c r="A106" s="14" t="s">
        <v>286</v>
      </c>
      <c r="B106" s="264">
        <v>2.0</v>
      </c>
      <c r="C106" s="264" t="s">
        <v>412</v>
      </c>
      <c r="D106" s="264" t="s">
        <v>5550</v>
      </c>
      <c r="E106" s="384" t="s">
        <v>53</v>
      </c>
      <c r="F106" s="14" t="s">
        <v>5551</v>
      </c>
      <c r="H106" s="410"/>
      <c r="I106" s="391"/>
      <c r="J106" s="411"/>
      <c r="K106" s="410"/>
      <c r="L106" s="412"/>
      <c r="M106" s="389" t="s">
        <v>5552</v>
      </c>
    </row>
    <row r="107">
      <c r="A107" s="14" t="s">
        <v>286</v>
      </c>
      <c r="B107" s="264">
        <v>3.0</v>
      </c>
      <c r="C107" s="428" t="s">
        <v>476</v>
      </c>
      <c r="D107" s="428" t="s">
        <v>5083</v>
      </c>
      <c r="E107" s="384" t="s">
        <v>53</v>
      </c>
      <c r="H107" s="403"/>
      <c r="I107" s="390"/>
      <c r="J107" s="405"/>
      <c r="K107" s="403"/>
      <c r="L107" s="401"/>
      <c r="M107" s="387" t="s">
        <v>5553</v>
      </c>
    </row>
    <row r="108">
      <c r="A108" s="14" t="s">
        <v>286</v>
      </c>
      <c r="B108" s="264">
        <v>4.0</v>
      </c>
      <c r="C108" s="264" t="s">
        <v>2194</v>
      </c>
      <c r="D108" s="264" t="s">
        <v>5554</v>
      </c>
      <c r="E108" s="384" t="s">
        <v>53</v>
      </c>
      <c r="H108" s="410"/>
      <c r="I108" s="391"/>
      <c r="J108" s="411"/>
      <c r="K108" s="410"/>
      <c r="L108" s="412"/>
      <c r="M108" s="389" t="s">
        <v>5555</v>
      </c>
    </row>
    <row r="109">
      <c r="A109" s="14" t="s">
        <v>286</v>
      </c>
      <c r="B109" s="264">
        <v>5.0</v>
      </c>
      <c r="C109" s="428" t="s">
        <v>225</v>
      </c>
      <c r="D109" s="428" t="s">
        <v>5556</v>
      </c>
      <c r="E109" s="384" t="s">
        <v>53</v>
      </c>
      <c r="H109" s="403"/>
      <c r="I109" s="390"/>
      <c r="J109" s="405"/>
      <c r="K109" s="403"/>
      <c r="L109" s="401"/>
      <c r="M109" s="387" t="s">
        <v>5557</v>
      </c>
    </row>
    <row r="110">
      <c r="A110" s="14" t="s">
        <v>286</v>
      </c>
      <c r="B110" s="264">
        <v>6.0</v>
      </c>
      <c r="C110" s="264" t="s">
        <v>91</v>
      </c>
      <c r="D110" s="264" t="s">
        <v>5558</v>
      </c>
      <c r="E110" s="384" t="s">
        <v>53</v>
      </c>
      <c r="H110" s="410"/>
      <c r="I110" s="391"/>
      <c r="J110" s="411"/>
      <c r="K110" s="410"/>
      <c r="L110" s="412"/>
      <c r="M110" s="389" t="s">
        <v>5559</v>
      </c>
    </row>
    <row r="111">
      <c r="A111" s="14" t="s">
        <v>286</v>
      </c>
      <c r="B111" s="264">
        <v>7.0</v>
      </c>
      <c r="C111" s="428" t="s">
        <v>2300</v>
      </c>
      <c r="D111" s="428" t="s">
        <v>1451</v>
      </c>
      <c r="E111" s="394" t="s">
        <v>49</v>
      </c>
      <c r="H111" s="403"/>
      <c r="I111" s="390"/>
      <c r="J111" s="405"/>
      <c r="K111" s="403"/>
      <c r="L111" s="401"/>
      <c r="M111" s="391" t="s">
        <v>5560</v>
      </c>
    </row>
    <row r="112">
      <c r="A112" s="14" t="s">
        <v>286</v>
      </c>
      <c r="B112" s="264">
        <v>8.0</v>
      </c>
      <c r="C112" s="264" t="s">
        <v>239</v>
      </c>
      <c r="D112" s="264" t="s">
        <v>5561</v>
      </c>
      <c r="E112" s="384" t="s">
        <v>53</v>
      </c>
      <c r="H112" s="410"/>
      <c r="I112" s="391"/>
      <c r="J112" s="411"/>
      <c r="K112" s="410"/>
      <c r="L112" s="412"/>
      <c r="M112" s="389" t="s">
        <v>5562</v>
      </c>
    </row>
    <row r="113">
      <c r="A113" s="14" t="s">
        <v>286</v>
      </c>
      <c r="B113" s="264">
        <v>9.0</v>
      </c>
      <c r="C113" s="264" t="s">
        <v>1231</v>
      </c>
      <c r="D113" s="264" t="s">
        <v>3399</v>
      </c>
      <c r="E113" s="384" t="s">
        <v>53</v>
      </c>
      <c r="H113" s="403"/>
      <c r="I113" s="390"/>
      <c r="J113" s="405"/>
      <c r="K113" s="403"/>
      <c r="L113" s="401"/>
      <c r="M113" s="387" t="s">
        <v>5563</v>
      </c>
    </row>
    <row r="114">
      <c r="A114" s="14" t="s">
        <v>286</v>
      </c>
      <c r="B114" s="264">
        <v>10.0</v>
      </c>
      <c r="C114" s="264" t="s">
        <v>3828</v>
      </c>
      <c r="D114" s="264" t="s">
        <v>5564</v>
      </c>
      <c r="E114" s="384" t="s">
        <v>53</v>
      </c>
      <c r="F114" s="14" t="s">
        <v>5551</v>
      </c>
      <c r="H114" s="410"/>
      <c r="I114" s="391"/>
      <c r="J114" s="411"/>
      <c r="K114" s="410"/>
      <c r="L114" s="412"/>
      <c r="M114" s="389" t="s">
        <v>5565</v>
      </c>
    </row>
    <row r="115">
      <c r="A115" s="14" t="s">
        <v>286</v>
      </c>
      <c r="B115" s="264">
        <v>11.0</v>
      </c>
      <c r="C115" s="428" t="s">
        <v>338</v>
      </c>
      <c r="D115" s="428" t="s">
        <v>5407</v>
      </c>
      <c r="E115" s="384" t="s">
        <v>53</v>
      </c>
      <c r="H115" s="403"/>
      <c r="I115" s="390"/>
      <c r="J115" s="405"/>
      <c r="K115" s="403"/>
      <c r="L115" s="401"/>
      <c r="M115" s="387" t="s">
        <v>5566</v>
      </c>
    </row>
    <row r="116">
      <c r="A116" s="14" t="s">
        <v>286</v>
      </c>
      <c r="B116" s="264">
        <v>12.0</v>
      </c>
      <c r="C116" s="264" t="s">
        <v>91</v>
      </c>
      <c r="D116" s="264" t="s">
        <v>352</v>
      </c>
      <c r="E116" s="384" t="s">
        <v>53</v>
      </c>
      <c r="H116" s="410"/>
      <c r="I116" s="391"/>
      <c r="J116" s="411"/>
      <c r="K116" s="410"/>
      <c r="L116" s="412"/>
      <c r="M116" s="389" t="s">
        <v>5567</v>
      </c>
    </row>
    <row r="117">
      <c r="A117" s="14" t="s">
        <v>286</v>
      </c>
      <c r="B117" s="264">
        <v>13.0</v>
      </c>
      <c r="C117" s="428" t="s">
        <v>5321</v>
      </c>
      <c r="D117" s="428" t="s">
        <v>463</v>
      </c>
      <c r="E117" s="384" t="s">
        <v>53</v>
      </c>
      <c r="H117" s="403"/>
      <c r="I117" s="390"/>
      <c r="J117" s="405"/>
      <c r="K117" s="403"/>
      <c r="L117" s="401"/>
      <c r="M117" s="387" t="s">
        <v>5568</v>
      </c>
    </row>
    <row r="118">
      <c r="A118" s="14" t="s">
        <v>286</v>
      </c>
      <c r="B118" s="264">
        <v>14.0</v>
      </c>
      <c r="C118" s="264" t="s">
        <v>2969</v>
      </c>
      <c r="D118" s="264" t="s">
        <v>5569</v>
      </c>
      <c r="E118" s="384" t="s">
        <v>53</v>
      </c>
      <c r="F118" s="14" t="s">
        <v>1188</v>
      </c>
      <c r="H118" s="410"/>
      <c r="I118" s="391"/>
      <c r="J118" s="411"/>
      <c r="K118" s="410"/>
      <c r="L118" s="412"/>
      <c r="M118" s="389" t="s">
        <v>5570</v>
      </c>
    </row>
    <row r="119">
      <c r="A119" s="14" t="s">
        <v>286</v>
      </c>
      <c r="B119" s="264">
        <v>15.0</v>
      </c>
      <c r="C119" s="428" t="s">
        <v>5547</v>
      </c>
      <c r="D119" s="428" t="s">
        <v>5571</v>
      </c>
      <c r="E119" s="384" t="s">
        <v>53</v>
      </c>
      <c r="H119" s="403"/>
      <c r="I119" s="390"/>
      <c r="J119" s="405"/>
      <c r="K119" s="403"/>
      <c r="L119" s="401"/>
      <c r="M119" s="391" t="s">
        <v>5572</v>
      </c>
    </row>
    <row r="120">
      <c r="A120" s="14" t="s">
        <v>286</v>
      </c>
      <c r="B120" s="264">
        <v>16.0</v>
      </c>
      <c r="C120" s="264" t="s">
        <v>5573</v>
      </c>
      <c r="D120" s="264" t="s">
        <v>5574</v>
      </c>
      <c r="E120" s="394" t="s">
        <v>49</v>
      </c>
      <c r="H120" s="410"/>
      <c r="I120" s="391"/>
      <c r="J120" s="411"/>
      <c r="K120" s="410"/>
      <c r="L120" s="412"/>
      <c r="M120" s="389" t="s">
        <v>5575</v>
      </c>
    </row>
    <row r="121">
      <c r="A121" s="14" t="s">
        <v>286</v>
      </c>
      <c r="B121" s="264">
        <v>17.0</v>
      </c>
      <c r="C121" s="264" t="s">
        <v>980</v>
      </c>
      <c r="D121" s="264" t="s">
        <v>5576</v>
      </c>
      <c r="E121" s="394" t="s">
        <v>49</v>
      </c>
      <c r="H121" s="403"/>
      <c r="I121" s="390"/>
      <c r="J121" s="405"/>
      <c r="K121" s="403"/>
      <c r="L121" s="401"/>
      <c r="M121" s="387" t="s">
        <v>5577</v>
      </c>
    </row>
    <row r="122">
      <c r="A122" s="14" t="s">
        <v>286</v>
      </c>
      <c r="B122" s="264">
        <v>18.0</v>
      </c>
      <c r="C122" s="264" t="s">
        <v>1930</v>
      </c>
      <c r="D122" s="264" t="s">
        <v>819</v>
      </c>
      <c r="E122" s="394" t="s">
        <v>49</v>
      </c>
      <c r="F122" s="14" t="s">
        <v>498</v>
      </c>
      <c r="H122" s="410"/>
      <c r="I122" s="391"/>
      <c r="J122" s="411"/>
      <c r="K122" s="410"/>
      <c r="L122" s="412"/>
      <c r="M122" s="389" t="s">
        <v>5578</v>
      </c>
    </row>
    <row r="123">
      <c r="A123" s="14" t="s">
        <v>286</v>
      </c>
      <c r="B123" s="264">
        <v>19.0</v>
      </c>
      <c r="C123" s="428" t="s">
        <v>792</v>
      </c>
      <c r="D123" s="428" t="s">
        <v>5585</v>
      </c>
      <c r="E123" s="384" t="s">
        <v>53</v>
      </c>
      <c r="F123" s="14" t="s">
        <v>176</v>
      </c>
      <c r="H123" s="403"/>
      <c r="I123" s="390"/>
      <c r="J123" s="405"/>
      <c r="K123" s="403"/>
      <c r="L123" s="401"/>
      <c r="M123" s="387" t="s">
        <v>5586</v>
      </c>
    </row>
    <row r="124">
      <c r="A124" s="14" t="s">
        <v>286</v>
      </c>
      <c r="B124" s="264">
        <v>20.0</v>
      </c>
      <c r="C124" s="264" t="s">
        <v>2323</v>
      </c>
      <c r="D124" s="264" t="s">
        <v>5593</v>
      </c>
      <c r="E124" s="384" t="s">
        <v>53</v>
      </c>
      <c r="H124" s="410"/>
      <c r="I124" s="391"/>
      <c r="J124" s="411"/>
      <c r="K124" s="410"/>
      <c r="L124" s="412"/>
      <c r="M124" s="389" t="s">
        <v>5594</v>
      </c>
    </row>
    <row r="125">
      <c r="A125" s="14" t="s">
        <v>286</v>
      </c>
      <c r="B125" s="264">
        <v>21.0</v>
      </c>
      <c r="C125" s="428" t="s">
        <v>5601</v>
      </c>
      <c r="D125" s="428" t="s">
        <v>5602</v>
      </c>
      <c r="E125" s="394" t="s">
        <v>49</v>
      </c>
      <c r="H125" s="403"/>
      <c r="I125" s="390"/>
      <c r="J125" s="405"/>
      <c r="K125" s="403"/>
      <c r="L125" s="401"/>
      <c r="M125" s="391" t="s">
        <v>5603</v>
      </c>
    </row>
    <row r="126">
      <c r="A126" s="14" t="s">
        <v>286</v>
      </c>
      <c r="B126" s="264">
        <v>22.0</v>
      </c>
      <c r="C126" s="264" t="s">
        <v>1287</v>
      </c>
      <c r="D126" s="264" t="s">
        <v>4699</v>
      </c>
      <c r="E126" s="384" t="s">
        <v>53</v>
      </c>
      <c r="F126" s="14" t="s">
        <v>291</v>
      </c>
      <c r="H126" s="410"/>
      <c r="I126" s="391"/>
      <c r="J126" s="411"/>
      <c r="K126" s="410"/>
      <c r="L126" s="412"/>
      <c r="M126" s="389" t="s">
        <v>5612</v>
      </c>
    </row>
    <row r="127">
      <c r="A127" s="14" t="s">
        <v>286</v>
      </c>
      <c r="B127" s="264">
        <v>23.0</v>
      </c>
      <c r="C127" s="428" t="s">
        <v>5620</v>
      </c>
      <c r="D127" s="428" t="s">
        <v>5621</v>
      </c>
      <c r="E127" s="394" t="s">
        <v>49</v>
      </c>
      <c r="F127" s="14" t="s">
        <v>4973</v>
      </c>
      <c r="H127" s="403"/>
      <c r="I127" s="390"/>
      <c r="J127" s="405"/>
      <c r="K127" s="403"/>
      <c r="L127" s="401"/>
      <c r="M127" s="387" t="s">
        <v>5623</v>
      </c>
    </row>
    <row r="128">
      <c r="A128" s="14" t="s">
        <v>286</v>
      </c>
      <c r="B128" s="264">
        <v>24.0</v>
      </c>
      <c r="C128" s="264" t="s">
        <v>2105</v>
      </c>
      <c r="D128" s="264" t="s">
        <v>5644</v>
      </c>
      <c r="E128" s="384" t="s">
        <v>53</v>
      </c>
      <c r="F128" s="14" t="s">
        <v>5645</v>
      </c>
      <c r="H128" s="410"/>
      <c r="I128" s="391"/>
      <c r="J128" s="411"/>
      <c r="K128" s="410"/>
      <c r="L128" s="412"/>
      <c r="M128" s="389" t="s">
        <v>5646</v>
      </c>
    </row>
    <row r="129">
      <c r="A129" s="14" t="s">
        <v>286</v>
      </c>
      <c r="B129" s="264">
        <v>25.0</v>
      </c>
      <c r="C129" s="428" t="s">
        <v>3358</v>
      </c>
      <c r="D129" s="428" t="s">
        <v>5661</v>
      </c>
      <c r="E129" s="384" t="s">
        <v>53</v>
      </c>
      <c r="H129" s="403"/>
      <c r="I129" s="390"/>
      <c r="J129" s="405"/>
      <c r="K129" s="403"/>
      <c r="L129" s="401"/>
      <c r="M129" s="387" t="s">
        <v>5662</v>
      </c>
    </row>
    <row r="130">
      <c r="A130" s="14" t="s">
        <v>286</v>
      </c>
      <c r="B130" s="264">
        <v>26.0</v>
      </c>
      <c r="C130" s="264" t="s">
        <v>5671</v>
      </c>
      <c r="D130" s="264" t="s">
        <v>447</v>
      </c>
      <c r="E130" s="384" t="s">
        <v>53</v>
      </c>
      <c r="F130" s="14" t="s">
        <v>5551</v>
      </c>
      <c r="H130" s="410"/>
      <c r="I130" s="391"/>
      <c r="J130" s="411"/>
      <c r="K130" s="410"/>
      <c r="L130" s="412"/>
      <c r="M130" s="389" t="s">
        <v>5677</v>
      </c>
    </row>
    <row r="131">
      <c r="A131" s="14" t="s">
        <v>286</v>
      </c>
      <c r="B131" s="264">
        <v>27.0</v>
      </c>
      <c r="C131" s="428" t="s">
        <v>5684</v>
      </c>
      <c r="D131" s="428" t="s">
        <v>5685</v>
      </c>
      <c r="E131" s="394" t="s">
        <v>49</v>
      </c>
      <c r="F131" s="14" t="s">
        <v>2004</v>
      </c>
      <c r="H131" s="403"/>
      <c r="I131" s="390"/>
      <c r="J131" s="405"/>
      <c r="K131" s="403"/>
      <c r="L131" s="401"/>
      <c r="M131" s="387" t="s">
        <v>5689</v>
      </c>
    </row>
    <row r="132">
      <c r="A132" s="14" t="s">
        <v>286</v>
      </c>
      <c r="B132" s="264">
        <v>28.0</v>
      </c>
      <c r="C132" s="264" t="s">
        <v>2490</v>
      </c>
      <c r="D132" s="264" t="s">
        <v>5704</v>
      </c>
      <c r="E132" s="384" t="s">
        <v>53</v>
      </c>
      <c r="H132" s="410"/>
      <c r="I132" s="391"/>
      <c r="J132" s="411"/>
      <c r="K132" s="410"/>
      <c r="L132" s="412"/>
      <c r="M132" s="389" t="s">
        <v>5705</v>
      </c>
    </row>
    <row r="133">
      <c r="A133" s="14" t="s">
        <v>286</v>
      </c>
      <c r="B133" s="264">
        <v>29.0</v>
      </c>
      <c r="C133" s="428" t="s">
        <v>5714</v>
      </c>
      <c r="D133" s="428" t="s">
        <v>5715</v>
      </c>
      <c r="E133" s="384" t="s">
        <v>53</v>
      </c>
      <c r="H133" s="403"/>
      <c r="I133" s="390"/>
      <c r="J133" s="405"/>
      <c r="K133" s="403"/>
      <c r="L133" s="401"/>
      <c r="M133" s="390" t="s">
        <v>5718</v>
      </c>
    </row>
    <row r="134">
      <c r="A134" s="14" t="s">
        <v>286</v>
      </c>
      <c r="B134" s="264">
        <v>30.0</v>
      </c>
      <c r="C134" s="264" t="s">
        <v>683</v>
      </c>
      <c r="D134" s="264" t="s">
        <v>2391</v>
      </c>
      <c r="E134" s="394" t="s">
        <v>49</v>
      </c>
      <c r="H134" s="410"/>
      <c r="I134" s="391"/>
      <c r="J134" s="411"/>
      <c r="K134" s="410"/>
      <c r="L134" s="412"/>
      <c r="M134" s="389" t="s">
        <v>5730</v>
      </c>
    </row>
    <row r="135">
      <c r="A135" s="14" t="s">
        <v>286</v>
      </c>
      <c r="B135" s="264">
        <v>31.0</v>
      </c>
      <c r="C135" s="264" t="s">
        <v>1058</v>
      </c>
      <c r="D135" s="264" t="s">
        <v>5742</v>
      </c>
      <c r="E135" s="394" t="s">
        <v>49</v>
      </c>
      <c r="H135" s="403"/>
      <c r="I135" s="390"/>
      <c r="J135" s="405"/>
      <c r="K135" s="403"/>
      <c r="L135" s="401"/>
      <c r="M135" s="387" t="s">
        <v>5744</v>
      </c>
    </row>
    <row r="136">
      <c r="A136" s="14" t="s">
        <v>286</v>
      </c>
      <c r="B136" s="264">
        <v>32.0</v>
      </c>
      <c r="C136" s="264" t="s">
        <v>373</v>
      </c>
      <c r="D136" s="264" t="s">
        <v>118</v>
      </c>
      <c r="E136" s="384" t="s">
        <v>53</v>
      </c>
      <c r="H136" s="410"/>
      <c r="I136" s="391"/>
      <c r="J136" s="411"/>
      <c r="K136" s="410"/>
      <c r="L136" s="412"/>
      <c r="M136" s="389" t="s">
        <v>5755</v>
      </c>
    </row>
    <row r="137">
      <c r="A137" s="14" t="s">
        <v>286</v>
      </c>
      <c r="B137" s="264">
        <v>33.0</v>
      </c>
      <c r="C137" s="428" t="s">
        <v>325</v>
      </c>
      <c r="D137" s="428" t="s">
        <v>5742</v>
      </c>
      <c r="E137" s="394" t="s">
        <v>49</v>
      </c>
      <c r="F137" s="14" t="s">
        <v>4973</v>
      </c>
      <c r="H137" s="403"/>
      <c r="I137" s="390"/>
      <c r="J137" s="405"/>
      <c r="K137" s="403"/>
      <c r="L137" s="401"/>
      <c r="M137" s="390" t="s">
        <v>5744</v>
      </c>
    </row>
    <row r="138">
      <c r="A138" s="14" t="s">
        <v>286</v>
      </c>
      <c r="B138" s="264">
        <v>34.0</v>
      </c>
      <c r="C138" s="264" t="s">
        <v>2680</v>
      </c>
      <c r="D138" s="264" t="s">
        <v>1523</v>
      </c>
      <c r="E138" s="394" t="s">
        <v>49</v>
      </c>
      <c r="F138" s="14" t="s">
        <v>4973</v>
      </c>
      <c r="H138" s="410"/>
      <c r="I138" s="391"/>
      <c r="J138" s="411"/>
      <c r="K138" s="410"/>
      <c r="L138" s="412"/>
      <c r="M138" s="389" t="s">
        <v>5771</v>
      </c>
    </row>
    <row r="139">
      <c r="A139" s="14" t="s">
        <v>286</v>
      </c>
      <c r="B139" s="264">
        <v>35.0</v>
      </c>
      <c r="C139" s="264" t="s">
        <v>5781</v>
      </c>
      <c r="D139" s="264" t="s">
        <v>4897</v>
      </c>
      <c r="E139" s="394" t="s">
        <v>49</v>
      </c>
      <c r="H139" s="403"/>
      <c r="I139" s="390"/>
      <c r="J139" s="405"/>
      <c r="K139" s="403"/>
      <c r="L139" s="401"/>
      <c r="M139" s="387" t="s">
        <v>5785</v>
      </c>
    </row>
    <row r="140">
      <c r="A140" s="14" t="s">
        <v>286</v>
      </c>
      <c r="B140" s="264">
        <v>36.0</v>
      </c>
      <c r="C140" s="264" t="s">
        <v>683</v>
      </c>
      <c r="D140" s="264" t="s">
        <v>5808</v>
      </c>
      <c r="E140" s="384" t="s">
        <v>53</v>
      </c>
      <c r="H140" s="410"/>
      <c r="I140" s="391"/>
      <c r="J140" s="411"/>
      <c r="K140" s="410"/>
      <c r="L140" s="412"/>
      <c r="M140" s="389" t="s">
        <v>5810</v>
      </c>
    </row>
    <row r="141">
      <c r="A141" s="14" t="s">
        <v>286</v>
      </c>
      <c r="B141" s="264">
        <v>37.0</v>
      </c>
      <c r="C141" s="428" t="s">
        <v>5547</v>
      </c>
      <c r="D141" s="428" t="s">
        <v>5821</v>
      </c>
      <c r="E141" s="394" t="s">
        <v>49</v>
      </c>
      <c r="H141" s="403"/>
      <c r="I141" s="390"/>
      <c r="J141" s="405"/>
      <c r="K141" s="403"/>
      <c r="L141" s="401"/>
      <c r="M141" s="391" t="s">
        <v>5822</v>
      </c>
    </row>
    <row r="142">
      <c r="A142" s="14" t="s">
        <v>286</v>
      </c>
      <c r="B142" s="264">
        <v>38.0</v>
      </c>
      <c r="C142" s="264" t="s">
        <v>225</v>
      </c>
      <c r="D142" s="264" t="s">
        <v>5834</v>
      </c>
      <c r="E142" s="384" t="s">
        <v>53</v>
      </c>
      <c r="H142" s="410"/>
      <c r="I142" s="391"/>
      <c r="J142" s="411"/>
      <c r="K142" s="410"/>
      <c r="L142" s="412"/>
      <c r="M142" s="389" t="s">
        <v>5836</v>
      </c>
    </row>
    <row r="143">
      <c r="A143" s="14" t="s">
        <v>286</v>
      </c>
      <c r="B143" s="264">
        <v>39.0</v>
      </c>
      <c r="C143" s="428" t="s">
        <v>971</v>
      </c>
      <c r="D143" s="428" t="s">
        <v>5851</v>
      </c>
      <c r="E143" s="394" t="s">
        <v>49</v>
      </c>
      <c r="H143" s="403"/>
      <c r="I143" s="390"/>
      <c r="J143" s="405"/>
      <c r="K143" s="403"/>
      <c r="L143" s="401"/>
      <c r="M143" s="387" t="s">
        <v>5853</v>
      </c>
    </row>
    <row r="144">
      <c r="A144" s="14" t="s">
        <v>286</v>
      </c>
      <c r="B144" s="264">
        <v>40.0</v>
      </c>
      <c r="C144" s="264" t="s">
        <v>1049</v>
      </c>
      <c r="D144" s="264" t="s">
        <v>5871</v>
      </c>
      <c r="E144" s="384" t="s">
        <v>53</v>
      </c>
      <c r="H144" s="410"/>
      <c r="I144" s="391"/>
      <c r="J144" s="411"/>
      <c r="K144" s="410"/>
      <c r="L144" s="412"/>
      <c r="M144" s="389" t="s">
        <v>5873</v>
      </c>
    </row>
    <row r="145">
      <c r="A145" s="14" t="s">
        <v>286</v>
      </c>
      <c r="B145" s="264">
        <v>41.0</v>
      </c>
      <c r="C145" s="428" t="s">
        <v>5889</v>
      </c>
      <c r="D145" s="428" t="s">
        <v>5890</v>
      </c>
      <c r="E145" s="384" t="s">
        <v>53</v>
      </c>
      <c r="H145" s="403"/>
      <c r="I145" s="390"/>
      <c r="J145" s="405"/>
      <c r="K145" s="403"/>
      <c r="L145" s="401"/>
      <c r="M145" s="390"/>
    </row>
    <row r="146">
      <c r="A146" s="14" t="s">
        <v>286</v>
      </c>
      <c r="B146" s="264">
        <v>42.0</v>
      </c>
      <c r="C146" s="264" t="s">
        <v>345</v>
      </c>
      <c r="D146" s="264" t="s">
        <v>4255</v>
      </c>
      <c r="E146" s="394" t="s">
        <v>49</v>
      </c>
      <c r="F146" s="14" t="s">
        <v>4973</v>
      </c>
      <c r="H146" s="410"/>
      <c r="I146" s="391"/>
      <c r="J146" s="411"/>
      <c r="K146" s="410"/>
      <c r="L146" s="412"/>
      <c r="M146" s="389" t="s">
        <v>5906</v>
      </c>
    </row>
    <row r="147">
      <c r="A147" s="14" t="s">
        <v>286</v>
      </c>
      <c r="B147" s="264">
        <v>43.0</v>
      </c>
      <c r="C147" s="428" t="s">
        <v>622</v>
      </c>
      <c r="D147" s="428" t="s">
        <v>5918</v>
      </c>
      <c r="E147" s="394" t="s">
        <v>49</v>
      </c>
      <c r="F147" s="14" t="s">
        <v>4973</v>
      </c>
      <c r="H147" s="403"/>
      <c r="I147" s="390"/>
      <c r="J147" s="405"/>
      <c r="K147" s="403"/>
      <c r="L147" s="401"/>
      <c r="M147" s="387" t="s">
        <v>5919</v>
      </c>
    </row>
    <row r="148">
      <c r="A148" s="14" t="s">
        <v>286</v>
      </c>
      <c r="B148" s="264">
        <v>44.0</v>
      </c>
      <c r="C148" s="264" t="s">
        <v>561</v>
      </c>
      <c r="D148" s="264" t="s">
        <v>4028</v>
      </c>
      <c r="E148" s="384" t="s">
        <v>53</v>
      </c>
      <c r="H148" s="410"/>
      <c r="I148" s="391"/>
      <c r="J148" s="411"/>
      <c r="K148" s="410"/>
      <c r="L148" s="412"/>
      <c r="M148" s="389" t="s">
        <v>5926</v>
      </c>
    </row>
    <row r="149">
      <c r="A149" s="14" t="s">
        <v>286</v>
      </c>
      <c r="B149" s="264">
        <v>45.0</v>
      </c>
      <c r="C149" s="264" t="s">
        <v>476</v>
      </c>
      <c r="D149" s="264" t="s">
        <v>5932</v>
      </c>
      <c r="E149" s="394" t="s">
        <v>49</v>
      </c>
      <c r="H149" s="403"/>
      <c r="I149" s="390"/>
      <c r="J149" s="405"/>
      <c r="K149" s="403"/>
      <c r="L149" s="401"/>
      <c r="M149" s="387" t="s">
        <v>5933</v>
      </c>
    </row>
    <row r="150">
      <c r="A150" s="14" t="s">
        <v>286</v>
      </c>
      <c r="B150" s="264">
        <v>46.0</v>
      </c>
      <c r="C150" s="264" t="s">
        <v>91</v>
      </c>
      <c r="D150" s="264" t="s">
        <v>2309</v>
      </c>
      <c r="E150" s="384" t="s">
        <v>53</v>
      </c>
      <c r="H150" s="410"/>
      <c r="I150" s="391"/>
      <c r="J150" s="411"/>
      <c r="K150" s="410"/>
      <c r="L150" s="412"/>
      <c r="M150" s="389" t="s">
        <v>5946</v>
      </c>
    </row>
    <row r="151">
      <c r="A151" s="14" t="s">
        <v>286</v>
      </c>
      <c r="B151" s="264">
        <v>47.0</v>
      </c>
      <c r="C151" s="428" t="s">
        <v>1133</v>
      </c>
      <c r="D151" s="428" t="s">
        <v>1451</v>
      </c>
      <c r="E151" s="384" t="s">
        <v>53</v>
      </c>
      <c r="H151" s="403"/>
      <c r="I151" s="390"/>
      <c r="J151" s="405"/>
      <c r="K151" s="403"/>
      <c r="L151" s="401"/>
      <c r="M151" s="387" t="s">
        <v>5958</v>
      </c>
    </row>
    <row r="152">
      <c r="A152" s="14" t="s">
        <v>286</v>
      </c>
      <c r="B152" s="264">
        <v>48.0</v>
      </c>
      <c r="C152" s="264" t="s">
        <v>239</v>
      </c>
      <c r="D152" s="264" t="s">
        <v>5517</v>
      </c>
      <c r="E152" s="384" t="s">
        <v>53</v>
      </c>
      <c r="F152" s="14" t="s">
        <v>5551</v>
      </c>
      <c r="H152" s="410"/>
      <c r="I152" s="391"/>
      <c r="J152" s="411"/>
      <c r="K152" s="410"/>
      <c r="L152" s="412"/>
      <c r="M152" s="389" t="s">
        <v>5964</v>
      </c>
    </row>
    <row r="153">
      <c r="A153" s="14" t="s">
        <v>286</v>
      </c>
      <c r="B153" s="264">
        <v>49.0</v>
      </c>
      <c r="C153" s="428" t="s">
        <v>173</v>
      </c>
      <c r="D153" s="428" t="s">
        <v>5970</v>
      </c>
      <c r="E153" s="394" t="s">
        <v>49</v>
      </c>
      <c r="H153" s="403"/>
      <c r="I153" s="390"/>
      <c r="J153" s="405"/>
      <c r="K153" s="403"/>
      <c r="L153" s="401"/>
      <c r="M153" s="391" t="s">
        <v>5971</v>
      </c>
    </row>
    <row r="154">
      <c r="A154" s="14" t="s">
        <v>286</v>
      </c>
      <c r="B154" s="264">
        <v>50.0</v>
      </c>
      <c r="C154" s="264" t="s">
        <v>3657</v>
      </c>
      <c r="D154" s="264" t="s">
        <v>5976</v>
      </c>
      <c r="E154" s="394" t="s">
        <v>49</v>
      </c>
      <c r="F154" s="14" t="s">
        <v>4973</v>
      </c>
      <c r="H154" s="410"/>
      <c r="I154" s="391"/>
      <c r="J154" s="411"/>
      <c r="K154" s="410"/>
      <c r="L154" s="412"/>
      <c r="M154" s="389" t="s">
        <v>5977</v>
      </c>
    </row>
    <row r="155">
      <c r="A155" s="70"/>
      <c r="B155" s="353"/>
      <c r="C155" s="353"/>
      <c r="D155" s="353"/>
      <c r="E155" s="427"/>
      <c r="F155" s="70"/>
      <c r="G155" s="70"/>
      <c r="H155" s="70"/>
      <c r="I155" s="70"/>
      <c r="J155" s="70"/>
      <c r="K155" s="70"/>
      <c r="L155" s="70"/>
      <c r="M155" s="128"/>
      <c r="N155" s="70"/>
      <c r="O155" s="70"/>
      <c r="P155" s="70"/>
      <c r="Q155" s="70"/>
      <c r="R155" s="70"/>
      <c r="S155" s="70"/>
      <c r="T155" s="70"/>
      <c r="U155" s="70"/>
      <c r="V155" s="70"/>
      <c r="W155" s="70"/>
      <c r="X155" s="70"/>
      <c r="Y155" s="70"/>
      <c r="Z155" s="70"/>
      <c r="AA155" s="70"/>
      <c r="AB155" s="70"/>
      <c r="AC155" s="70"/>
      <c r="AD155" s="70"/>
    </row>
    <row r="156">
      <c r="A156" s="14" t="s">
        <v>421</v>
      </c>
      <c r="B156" s="377"/>
      <c r="C156" s="374" t="s">
        <v>1973</v>
      </c>
      <c r="D156" s="374" t="s">
        <v>306</v>
      </c>
      <c r="E156" s="473" t="s">
        <v>53</v>
      </c>
      <c r="M156" s="140"/>
    </row>
    <row r="157">
      <c r="A157" s="70"/>
      <c r="B157" s="371"/>
      <c r="C157" s="371"/>
      <c r="D157" s="371"/>
      <c r="E157" s="474"/>
      <c r="F157" s="70"/>
      <c r="G157" s="70"/>
      <c r="H157" s="70"/>
      <c r="I157" s="70"/>
      <c r="J157" s="70"/>
      <c r="K157" s="70"/>
      <c r="L157" s="70"/>
      <c r="M157" s="128"/>
      <c r="N157" s="70"/>
      <c r="O157" s="70"/>
      <c r="P157" s="70"/>
      <c r="Q157" s="70"/>
      <c r="R157" s="70"/>
      <c r="S157" s="70"/>
      <c r="T157" s="70"/>
      <c r="U157" s="70"/>
      <c r="V157" s="70"/>
      <c r="W157" s="70"/>
      <c r="X157" s="70"/>
      <c r="Y157" s="70"/>
      <c r="Z157" s="70"/>
      <c r="AA157" s="70"/>
      <c r="AB157" s="70"/>
      <c r="AC157" s="70"/>
      <c r="AD157" s="70"/>
    </row>
    <row r="158">
      <c r="A158" s="14" t="s">
        <v>427</v>
      </c>
      <c r="B158" s="374">
        <v>1.0</v>
      </c>
      <c r="C158" s="374" t="s">
        <v>4109</v>
      </c>
      <c r="D158" s="374" t="s">
        <v>5983</v>
      </c>
      <c r="E158" s="473" t="s">
        <v>49</v>
      </c>
      <c r="M158" s="140"/>
    </row>
    <row r="159">
      <c r="A159" s="14" t="s">
        <v>427</v>
      </c>
      <c r="B159" s="374">
        <v>2.0</v>
      </c>
      <c r="C159" s="374" t="s">
        <v>76</v>
      </c>
      <c r="D159" s="374" t="s">
        <v>5984</v>
      </c>
      <c r="E159" s="473" t="s">
        <v>49</v>
      </c>
      <c r="M159" s="140"/>
    </row>
    <row r="160">
      <c r="A160" s="14" t="s">
        <v>427</v>
      </c>
      <c r="B160" s="374">
        <v>3.0</v>
      </c>
      <c r="C160" s="374" t="s">
        <v>1561</v>
      </c>
      <c r="D160" s="374" t="s">
        <v>5985</v>
      </c>
      <c r="E160" s="473" t="s">
        <v>49</v>
      </c>
      <c r="M160" s="140"/>
    </row>
    <row r="161">
      <c r="A161" s="14" t="s">
        <v>427</v>
      </c>
      <c r="B161" s="374">
        <v>4.0</v>
      </c>
      <c r="C161" s="374" t="s">
        <v>55</v>
      </c>
      <c r="D161" s="374" t="s">
        <v>5219</v>
      </c>
      <c r="E161" s="473" t="s">
        <v>53</v>
      </c>
      <c r="M161" s="140"/>
    </row>
    <row r="162">
      <c r="A162" s="70"/>
      <c r="B162" s="371"/>
      <c r="C162" s="371"/>
      <c r="D162" s="371"/>
      <c r="E162" s="474"/>
      <c r="F162" s="70"/>
      <c r="G162" s="70"/>
      <c r="H162" s="70"/>
      <c r="I162" s="70"/>
      <c r="J162" s="70"/>
      <c r="K162" s="70"/>
      <c r="L162" s="70"/>
      <c r="M162" s="128"/>
      <c r="N162" s="70"/>
      <c r="O162" s="70"/>
      <c r="P162" s="70"/>
      <c r="Q162" s="70"/>
      <c r="R162" s="70"/>
      <c r="S162" s="70"/>
      <c r="T162" s="70"/>
      <c r="U162" s="70"/>
      <c r="V162" s="70"/>
      <c r="W162" s="70"/>
      <c r="X162" s="70"/>
      <c r="Y162" s="70"/>
      <c r="Z162" s="70"/>
      <c r="AA162" s="70"/>
      <c r="AB162" s="70"/>
      <c r="AC162" s="70"/>
      <c r="AD162" s="70"/>
    </row>
    <row r="163">
      <c r="A163" s="14" t="s">
        <v>430</v>
      </c>
      <c r="B163" s="374" t="s">
        <v>431</v>
      </c>
      <c r="C163" s="374" t="s">
        <v>5197</v>
      </c>
      <c r="D163" s="374" t="s">
        <v>5989</v>
      </c>
      <c r="E163" s="473" t="s">
        <v>53</v>
      </c>
      <c r="M163" s="140"/>
    </row>
    <row r="164">
      <c r="A164" s="14" t="s">
        <v>430</v>
      </c>
      <c r="B164" s="374" t="s">
        <v>434</v>
      </c>
      <c r="C164" s="374" t="s">
        <v>177</v>
      </c>
      <c r="D164" s="374" t="s">
        <v>5102</v>
      </c>
      <c r="E164" s="473" t="s">
        <v>53</v>
      </c>
      <c r="M164" s="140"/>
    </row>
    <row r="165">
      <c r="A165" s="70"/>
      <c r="B165" s="371"/>
      <c r="C165" s="371"/>
      <c r="D165" s="371"/>
      <c r="E165" s="474"/>
      <c r="F165" s="70"/>
      <c r="G165" s="70"/>
      <c r="H165" s="70"/>
      <c r="I165" s="70"/>
      <c r="J165" s="70"/>
      <c r="K165" s="70"/>
      <c r="L165" s="70"/>
      <c r="M165" s="128"/>
      <c r="N165" s="70"/>
      <c r="O165" s="70"/>
      <c r="P165" s="70"/>
      <c r="Q165" s="70"/>
      <c r="R165" s="70"/>
      <c r="S165" s="70"/>
      <c r="T165" s="70"/>
      <c r="U165" s="70"/>
      <c r="V165" s="70"/>
      <c r="W165" s="70"/>
      <c r="X165" s="70"/>
      <c r="Y165" s="70"/>
      <c r="Z165" s="70"/>
      <c r="AA165" s="70"/>
      <c r="AB165" s="70"/>
      <c r="AC165" s="70"/>
      <c r="AD165" s="70"/>
    </row>
    <row r="166">
      <c r="A166" s="14" t="s">
        <v>438</v>
      </c>
      <c r="B166" s="377"/>
      <c r="C166" s="374" t="s">
        <v>561</v>
      </c>
      <c r="D166" s="374" t="s">
        <v>1501</v>
      </c>
      <c r="E166" s="473" t="s">
        <v>49</v>
      </c>
      <c r="M166" s="140"/>
    </row>
    <row r="167">
      <c r="A167" s="70"/>
      <c r="B167" s="371"/>
      <c r="C167" s="371"/>
      <c r="D167" s="371"/>
      <c r="E167" s="474"/>
      <c r="F167" s="70"/>
      <c r="G167" s="70"/>
      <c r="H167" s="70"/>
      <c r="I167" s="70"/>
      <c r="J167" s="70"/>
      <c r="K167" s="70"/>
      <c r="L167" s="70"/>
      <c r="M167" s="128"/>
      <c r="N167" s="70"/>
      <c r="O167" s="70"/>
      <c r="P167" s="70"/>
      <c r="Q167" s="70"/>
      <c r="R167" s="70"/>
      <c r="S167" s="70"/>
      <c r="T167" s="70"/>
      <c r="U167" s="70"/>
      <c r="V167" s="70"/>
      <c r="W167" s="70"/>
      <c r="X167" s="70"/>
      <c r="Y167" s="70"/>
      <c r="Z167" s="70"/>
      <c r="AA167" s="70"/>
      <c r="AB167" s="70"/>
      <c r="AC167" s="70"/>
      <c r="AD167" s="70"/>
    </row>
    <row r="168">
      <c r="B168" s="377"/>
      <c r="C168" s="377"/>
      <c r="D168" s="377"/>
      <c r="E168" s="476"/>
      <c r="M168" s="140"/>
    </row>
    <row r="169">
      <c r="B169" s="377"/>
      <c r="C169" s="377"/>
      <c r="D169" s="377"/>
      <c r="E169" s="476"/>
      <c r="M169" s="140"/>
    </row>
    <row r="170">
      <c r="B170" s="377"/>
      <c r="C170" s="377"/>
      <c r="D170" s="377"/>
      <c r="E170" s="476"/>
      <c r="M170" s="140"/>
    </row>
    <row r="171">
      <c r="B171" s="377"/>
      <c r="C171" s="377"/>
      <c r="D171" s="377"/>
      <c r="E171" s="476"/>
      <c r="M171" s="140"/>
    </row>
    <row r="172">
      <c r="B172" s="377"/>
      <c r="C172" s="377"/>
      <c r="D172" s="377"/>
      <c r="E172" s="476"/>
      <c r="M172" s="140"/>
    </row>
    <row r="173">
      <c r="B173" s="377"/>
      <c r="C173" s="377"/>
      <c r="D173" s="377"/>
      <c r="E173" s="476"/>
      <c r="M173" s="140"/>
    </row>
    <row r="174">
      <c r="B174" s="377"/>
      <c r="C174" s="377"/>
      <c r="D174" s="377"/>
      <c r="E174" s="476"/>
      <c r="M174" s="140"/>
    </row>
    <row r="175">
      <c r="B175" s="377"/>
      <c r="C175" s="377"/>
      <c r="D175" s="377"/>
      <c r="E175" s="476"/>
      <c r="M175" s="140"/>
    </row>
    <row r="176">
      <c r="B176" s="377"/>
      <c r="C176" s="377"/>
      <c r="D176" s="377"/>
      <c r="E176" s="476"/>
      <c r="M176" s="140"/>
    </row>
    <row r="177">
      <c r="B177" s="377"/>
      <c r="C177" s="377"/>
      <c r="D177" s="377"/>
      <c r="E177" s="476"/>
      <c r="M177" s="140"/>
    </row>
    <row r="178">
      <c r="B178" s="377"/>
      <c r="C178" s="377"/>
      <c r="D178" s="377"/>
      <c r="E178" s="476"/>
      <c r="M178" s="140"/>
    </row>
    <row r="179">
      <c r="B179" s="377"/>
      <c r="C179" s="377"/>
      <c r="D179" s="377"/>
      <c r="E179" s="476"/>
      <c r="M179" s="140"/>
    </row>
    <row r="180">
      <c r="B180" s="377"/>
      <c r="C180" s="377"/>
      <c r="D180" s="377"/>
      <c r="E180" s="476"/>
      <c r="M180" s="140"/>
    </row>
    <row r="181">
      <c r="B181" s="377"/>
      <c r="C181" s="377"/>
      <c r="D181" s="377"/>
      <c r="E181" s="476"/>
      <c r="M181" s="140"/>
    </row>
    <row r="182">
      <c r="B182" s="377"/>
      <c r="C182" s="377"/>
      <c r="D182" s="377"/>
      <c r="E182" s="476"/>
      <c r="M182" s="140"/>
    </row>
    <row r="183">
      <c r="B183" s="377"/>
      <c r="C183" s="377"/>
      <c r="D183" s="377"/>
      <c r="E183" s="476"/>
      <c r="M183" s="140"/>
    </row>
    <row r="184">
      <c r="B184" s="377"/>
      <c r="C184" s="377"/>
      <c r="D184" s="377"/>
      <c r="E184" s="476"/>
      <c r="M184" s="140"/>
    </row>
    <row r="185">
      <c r="B185" s="377"/>
      <c r="C185" s="377"/>
      <c r="D185" s="377"/>
      <c r="E185" s="476"/>
      <c r="M185" s="140"/>
    </row>
    <row r="186">
      <c r="B186" s="377"/>
      <c r="C186" s="377"/>
      <c r="D186" s="377"/>
      <c r="E186" s="476"/>
      <c r="M186" s="140"/>
    </row>
    <row r="187">
      <c r="B187" s="377"/>
      <c r="C187" s="377"/>
      <c r="D187" s="377"/>
      <c r="E187" s="476"/>
      <c r="M187" s="140"/>
    </row>
    <row r="188">
      <c r="B188" s="377"/>
      <c r="C188" s="377"/>
      <c r="D188" s="377"/>
      <c r="E188" s="476"/>
      <c r="M188" s="140"/>
    </row>
    <row r="189">
      <c r="B189" s="377"/>
      <c r="C189" s="377"/>
      <c r="D189" s="377"/>
      <c r="E189" s="476"/>
      <c r="M189" s="140"/>
    </row>
    <row r="190">
      <c r="B190" s="377"/>
      <c r="C190" s="377"/>
      <c r="D190" s="377"/>
      <c r="E190" s="476"/>
      <c r="M190" s="140"/>
    </row>
    <row r="191">
      <c r="B191" s="377"/>
      <c r="C191" s="377"/>
      <c r="D191" s="377"/>
      <c r="E191" s="476"/>
      <c r="M191" s="140"/>
    </row>
    <row r="192">
      <c r="B192" s="377"/>
      <c r="C192" s="377"/>
      <c r="D192" s="377"/>
      <c r="E192" s="476"/>
      <c r="M192" s="140"/>
    </row>
    <row r="193">
      <c r="B193" s="377"/>
      <c r="C193" s="377"/>
      <c r="D193" s="377"/>
      <c r="E193" s="476"/>
      <c r="M193" s="140"/>
    </row>
    <row r="194">
      <c r="B194" s="377"/>
      <c r="C194" s="377"/>
      <c r="D194" s="377"/>
      <c r="E194" s="476"/>
      <c r="M194" s="140"/>
    </row>
    <row r="195">
      <c r="B195" s="377"/>
      <c r="C195" s="377"/>
      <c r="D195" s="377"/>
      <c r="E195" s="476"/>
      <c r="M195" s="140"/>
    </row>
    <row r="196">
      <c r="B196" s="377"/>
      <c r="C196" s="377"/>
      <c r="D196" s="377"/>
      <c r="E196" s="476"/>
      <c r="M196" s="140"/>
    </row>
    <row r="197">
      <c r="B197" s="377"/>
      <c r="C197" s="377"/>
      <c r="D197" s="377"/>
      <c r="E197" s="476"/>
      <c r="M197" s="140"/>
    </row>
    <row r="198">
      <c r="B198" s="377"/>
      <c r="C198" s="377"/>
      <c r="D198" s="377"/>
      <c r="E198" s="476"/>
      <c r="M198" s="140"/>
    </row>
    <row r="199">
      <c r="B199" s="377"/>
      <c r="C199" s="377"/>
      <c r="D199" s="377"/>
      <c r="E199" s="476"/>
      <c r="M199" s="140"/>
    </row>
    <row r="200">
      <c r="B200" s="377"/>
      <c r="C200" s="377"/>
      <c r="D200" s="377"/>
      <c r="E200" s="476"/>
      <c r="M200" s="140"/>
    </row>
    <row r="201">
      <c r="B201" s="377"/>
      <c r="C201" s="377"/>
      <c r="D201" s="377"/>
      <c r="E201" s="476"/>
      <c r="M201" s="140"/>
    </row>
    <row r="202">
      <c r="B202" s="377"/>
      <c r="C202" s="377"/>
      <c r="D202" s="377"/>
      <c r="E202" s="476"/>
      <c r="M202" s="140"/>
    </row>
    <row r="203">
      <c r="B203" s="377"/>
      <c r="C203" s="377"/>
      <c r="D203" s="377"/>
      <c r="E203" s="476"/>
      <c r="M203" s="140"/>
    </row>
    <row r="204">
      <c r="B204" s="377"/>
      <c r="C204" s="377"/>
      <c r="D204" s="377"/>
      <c r="E204" s="476"/>
      <c r="M204" s="140"/>
    </row>
    <row r="205">
      <c r="B205" s="377"/>
      <c r="C205" s="377"/>
      <c r="D205" s="377"/>
      <c r="E205" s="476"/>
      <c r="M205" s="140"/>
    </row>
    <row r="206">
      <c r="B206" s="377"/>
      <c r="C206" s="377"/>
      <c r="D206" s="377"/>
      <c r="E206" s="476"/>
      <c r="M206" s="140"/>
    </row>
    <row r="207">
      <c r="B207" s="377"/>
      <c r="C207" s="377"/>
      <c r="D207" s="377"/>
      <c r="E207" s="476"/>
      <c r="M207" s="140"/>
    </row>
    <row r="208">
      <c r="B208" s="377"/>
      <c r="C208" s="377"/>
      <c r="D208" s="377"/>
      <c r="E208" s="476"/>
      <c r="M208" s="140"/>
    </row>
    <row r="209">
      <c r="B209" s="377"/>
      <c r="C209" s="377"/>
      <c r="D209" s="377"/>
      <c r="E209" s="476"/>
      <c r="M209" s="140"/>
    </row>
    <row r="210">
      <c r="B210" s="377"/>
      <c r="C210" s="377"/>
      <c r="D210" s="377"/>
      <c r="E210" s="476"/>
      <c r="M210" s="140"/>
    </row>
    <row r="211">
      <c r="B211" s="377"/>
      <c r="C211" s="377"/>
      <c r="D211" s="377"/>
      <c r="E211" s="476"/>
      <c r="M211" s="140"/>
    </row>
    <row r="212">
      <c r="B212" s="377"/>
      <c r="C212" s="377"/>
      <c r="D212" s="377"/>
      <c r="E212" s="476"/>
      <c r="M212" s="140"/>
    </row>
    <row r="213">
      <c r="B213" s="377"/>
      <c r="C213" s="377"/>
      <c r="D213" s="377"/>
      <c r="E213" s="476"/>
      <c r="M213" s="140"/>
    </row>
    <row r="214">
      <c r="B214" s="377"/>
      <c r="C214" s="377"/>
      <c r="D214" s="377"/>
      <c r="E214" s="476"/>
      <c r="M214" s="140"/>
    </row>
    <row r="215">
      <c r="B215" s="377"/>
      <c r="C215" s="377"/>
      <c r="D215" s="377"/>
      <c r="E215" s="476"/>
      <c r="M215" s="140"/>
    </row>
    <row r="216">
      <c r="B216" s="377"/>
      <c r="C216" s="377"/>
      <c r="D216" s="377"/>
      <c r="E216" s="476"/>
      <c r="M216" s="140"/>
    </row>
    <row r="217">
      <c r="B217" s="377"/>
      <c r="C217" s="377"/>
      <c r="D217" s="377"/>
      <c r="E217" s="476"/>
      <c r="M217" s="140"/>
    </row>
    <row r="218">
      <c r="B218" s="377"/>
      <c r="C218" s="377"/>
      <c r="D218" s="377"/>
      <c r="E218" s="476"/>
      <c r="M218" s="140"/>
    </row>
    <row r="219">
      <c r="B219" s="377"/>
      <c r="C219" s="377"/>
      <c r="D219" s="377"/>
      <c r="E219" s="476"/>
      <c r="M219" s="140"/>
    </row>
    <row r="220">
      <c r="B220" s="377"/>
      <c r="C220" s="377"/>
      <c r="D220" s="377"/>
      <c r="E220" s="476"/>
      <c r="M220" s="140"/>
    </row>
    <row r="221">
      <c r="B221" s="377"/>
      <c r="C221" s="377"/>
      <c r="D221" s="377"/>
      <c r="E221" s="476"/>
      <c r="M221" s="140"/>
    </row>
    <row r="222">
      <c r="B222" s="377"/>
      <c r="C222" s="377"/>
      <c r="D222" s="377"/>
      <c r="E222" s="476"/>
      <c r="M222" s="140"/>
    </row>
    <row r="223">
      <c r="B223" s="377"/>
      <c r="C223" s="377"/>
      <c r="D223" s="377"/>
      <c r="E223" s="476"/>
      <c r="M223" s="140"/>
    </row>
    <row r="224">
      <c r="B224" s="377"/>
      <c r="C224" s="377"/>
      <c r="D224" s="377"/>
      <c r="E224" s="476"/>
      <c r="M224" s="140"/>
    </row>
    <row r="225">
      <c r="B225" s="377"/>
      <c r="C225" s="377"/>
      <c r="D225" s="377"/>
      <c r="E225" s="476"/>
      <c r="M225" s="140"/>
    </row>
    <row r="226">
      <c r="B226" s="377"/>
      <c r="C226" s="377"/>
      <c r="D226" s="377"/>
      <c r="E226" s="476"/>
      <c r="M226" s="140"/>
    </row>
    <row r="227">
      <c r="B227" s="377"/>
      <c r="C227" s="377"/>
      <c r="D227" s="377"/>
      <c r="E227" s="476"/>
      <c r="M227" s="140"/>
    </row>
    <row r="228">
      <c r="B228" s="377"/>
      <c r="C228" s="377"/>
      <c r="D228" s="377"/>
      <c r="E228" s="476"/>
      <c r="M228" s="140"/>
    </row>
    <row r="229">
      <c r="B229" s="377"/>
      <c r="C229" s="377"/>
      <c r="D229" s="377"/>
      <c r="E229" s="476"/>
      <c r="M229" s="140"/>
    </row>
    <row r="230">
      <c r="B230" s="377"/>
      <c r="C230" s="377"/>
      <c r="D230" s="377"/>
      <c r="E230" s="476"/>
      <c r="M230" s="140"/>
    </row>
    <row r="231">
      <c r="B231" s="377"/>
      <c r="C231" s="377"/>
      <c r="D231" s="377"/>
      <c r="E231" s="476"/>
      <c r="M231" s="140"/>
    </row>
    <row r="232">
      <c r="B232" s="377"/>
      <c r="C232" s="377"/>
      <c r="D232" s="377"/>
      <c r="E232" s="476"/>
      <c r="M232" s="140"/>
    </row>
    <row r="233">
      <c r="B233" s="377"/>
      <c r="C233" s="377"/>
      <c r="D233" s="377"/>
      <c r="E233" s="476"/>
      <c r="M233" s="140"/>
    </row>
    <row r="234">
      <c r="B234" s="377"/>
      <c r="C234" s="377"/>
      <c r="D234" s="377"/>
      <c r="E234" s="476"/>
      <c r="M234" s="140"/>
    </row>
    <row r="235">
      <c r="B235" s="377"/>
      <c r="C235" s="377"/>
      <c r="D235" s="377"/>
      <c r="E235" s="476"/>
      <c r="M235" s="140"/>
    </row>
    <row r="236">
      <c r="B236" s="377"/>
      <c r="C236" s="377"/>
      <c r="D236" s="377"/>
      <c r="E236" s="476"/>
      <c r="M236" s="140"/>
    </row>
    <row r="237">
      <c r="B237" s="377"/>
      <c r="C237" s="377"/>
      <c r="D237" s="377"/>
      <c r="E237" s="476"/>
      <c r="M237" s="140"/>
    </row>
    <row r="238">
      <c r="B238" s="377"/>
      <c r="C238" s="377"/>
      <c r="D238" s="377"/>
      <c r="E238" s="476"/>
      <c r="M238" s="140"/>
    </row>
    <row r="239">
      <c r="B239" s="377"/>
      <c r="C239" s="377"/>
      <c r="D239" s="377"/>
      <c r="E239" s="476"/>
      <c r="M239" s="140"/>
    </row>
    <row r="240">
      <c r="B240" s="377"/>
      <c r="C240" s="377"/>
      <c r="D240" s="377"/>
      <c r="E240" s="476"/>
      <c r="M240" s="140"/>
    </row>
    <row r="241">
      <c r="B241" s="377"/>
      <c r="C241" s="377"/>
      <c r="D241" s="377"/>
      <c r="E241" s="476"/>
      <c r="M241" s="140"/>
    </row>
    <row r="242">
      <c r="B242" s="377"/>
      <c r="C242" s="377"/>
      <c r="D242" s="377"/>
      <c r="E242" s="476"/>
      <c r="M242" s="140"/>
    </row>
    <row r="243">
      <c r="B243" s="377"/>
      <c r="C243" s="377"/>
      <c r="D243" s="377"/>
      <c r="E243" s="476"/>
      <c r="M243" s="140"/>
    </row>
    <row r="244">
      <c r="B244" s="377"/>
      <c r="C244" s="377"/>
      <c r="D244" s="377"/>
      <c r="E244" s="476"/>
      <c r="M244" s="140"/>
    </row>
    <row r="245">
      <c r="B245" s="377"/>
      <c r="C245" s="377"/>
      <c r="D245" s="377"/>
      <c r="E245" s="476"/>
      <c r="M245" s="140"/>
    </row>
    <row r="246">
      <c r="B246" s="377"/>
      <c r="C246" s="377"/>
      <c r="D246" s="377"/>
      <c r="E246" s="476"/>
      <c r="M246" s="140"/>
    </row>
    <row r="247">
      <c r="B247" s="377"/>
      <c r="C247" s="377"/>
      <c r="D247" s="377"/>
      <c r="E247" s="476"/>
      <c r="M247" s="140"/>
    </row>
    <row r="248">
      <c r="B248" s="377"/>
      <c r="C248" s="377"/>
      <c r="D248" s="377"/>
      <c r="E248" s="476"/>
      <c r="M248" s="140"/>
    </row>
    <row r="249">
      <c r="B249" s="377"/>
      <c r="C249" s="377"/>
      <c r="D249" s="377"/>
      <c r="E249" s="476"/>
      <c r="M249" s="140"/>
    </row>
    <row r="250">
      <c r="B250" s="377"/>
      <c r="C250" s="377"/>
      <c r="D250" s="377"/>
      <c r="E250" s="476"/>
      <c r="M250" s="140"/>
    </row>
    <row r="251">
      <c r="B251" s="377"/>
      <c r="C251" s="377"/>
      <c r="D251" s="377"/>
      <c r="E251" s="476"/>
      <c r="M251" s="140"/>
    </row>
    <row r="252">
      <c r="B252" s="377"/>
      <c r="C252" s="377"/>
      <c r="D252" s="377"/>
      <c r="E252" s="476"/>
      <c r="M252" s="140"/>
    </row>
    <row r="253">
      <c r="B253" s="377"/>
      <c r="C253" s="377"/>
      <c r="D253" s="377"/>
      <c r="E253" s="476"/>
      <c r="M253" s="140"/>
    </row>
    <row r="254">
      <c r="B254" s="377"/>
      <c r="C254" s="377"/>
      <c r="D254" s="377"/>
      <c r="E254" s="476"/>
      <c r="M254" s="140"/>
    </row>
    <row r="255">
      <c r="B255" s="377"/>
      <c r="C255" s="377"/>
      <c r="D255" s="377"/>
      <c r="E255" s="476"/>
      <c r="M255" s="140"/>
    </row>
    <row r="256">
      <c r="B256" s="377"/>
      <c r="C256" s="377"/>
      <c r="D256" s="377"/>
      <c r="E256" s="476"/>
      <c r="M256" s="140"/>
    </row>
    <row r="257">
      <c r="B257" s="377"/>
      <c r="C257" s="377"/>
      <c r="D257" s="377"/>
      <c r="E257" s="476"/>
      <c r="M257" s="140"/>
    </row>
    <row r="258">
      <c r="B258" s="377"/>
      <c r="C258" s="377"/>
      <c r="D258" s="377"/>
      <c r="E258" s="476"/>
      <c r="M258" s="140"/>
    </row>
    <row r="259">
      <c r="B259" s="377"/>
      <c r="C259" s="377"/>
      <c r="D259" s="377"/>
      <c r="E259" s="476"/>
      <c r="M259" s="140"/>
    </row>
    <row r="260">
      <c r="B260" s="377"/>
      <c r="C260" s="377"/>
      <c r="D260" s="377"/>
      <c r="E260" s="476"/>
      <c r="M260" s="140"/>
    </row>
    <row r="261">
      <c r="B261" s="377"/>
      <c r="C261" s="377"/>
      <c r="D261" s="377"/>
      <c r="E261" s="476"/>
      <c r="M261" s="140"/>
    </row>
    <row r="262">
      <c r="B262" s="377"/>
      <c r="C262" s="377"/>
      <c r="D262" s="377"/>
      <c r="E262" s="476"/>
      <c r="M262" s="140"/>
    </row>
    <row r="263">
      <c r="B263" s="377"/>
      <c r="C263" s="377"/>
      <c r="D263" s="377"/>
      <c r="E263" s="476"/>
      <c r="M263" s="140"/>
    </row>
    <row r="264">
      <c r="B264" s="377"/>
      <c r="C264" s="377"/>
      <c r="D264" s="377"/>
      <c r="E264" s="476"/>
      <c r="M264" s="140"/>
    </row>
    <row r="265">
      <c r="B265" s="377"/>
      <c r="C265" s="377"/>
      <c r="D265" s="377"/>
      <c r="E265" s="476"/>
      <c r="M265" s="140"/>
    </row>
    <row r="266">
      <c r="B266" s="377"/>
      <c r="C266" s="377"/>
      <c r="D266" s="377"/>
      <c r="E266" s="476"/>
      <c r="M266" s="140"/>
    </row>
    <row r="267">
      <c r="B267" s="377"/>
      <c r="C267" s="377"/>
      <c r="D267" s="377"/>
      <c r="E267" s="476"/>
      <c r="M267" s="140"/>
    </row>
    <row r="268">
      <c r="B268" s="377"/>
      <c r="C268" s="377"/>
      <c r="D268" s="377"/>
      <c r="E268" s="476"/>
      <c r="M268" s="140"/>
    </row>
    <row r="269">
      <c r="B269" s="377"/>
      <c r="C269" s="377"/>
      <c r="D269" s="377"/>
      <c r="E269" s="476"/>
      <c r="M269" s="140"/>
    </row>
    <row r="270">
      <c r="B270" s="377"/>
      <c r="C270" s="377"/>
      <c r="D270" s="377"/>
      <c r="E270" s="476"/>
      <c r="M270" s="140"/>
    </row>
    <row r="271">
      <c r="B271" s="377"/>
      <c r="C271" s="377"/>
      <c r="D271" s="377"/>
      <c r="E271" s="476"/>
      <c r="M271" s="140"/>
    </row>
    <row r="272">
      <c r="B272" s="377"/>
      <c r="C272" s="377"/>
      <c r="D272" s="377"/>
      <c r="E272" s="476"/>
      <c r="M272" s="140"/>
    </row>
    <row r="273">
      <c r="B273" s="377"/>
      <c r="C273" s="377"/>
      <c r="D273" s="377"/>
      <c r="E273" s="476"/>
      <c r="M273" s="140"/>
    </row>
    <row r="274">
      <c r="B274" s="377"/>
      <c r="C274" s="377"/>
      <c r="D274" s="377"/>
      <c r="E274" s="476"/>
      <c r="M274" s="140"/>
    </row>
    <row r="275">
      <c r="B275" s="377"/>
      <c r="C275" s="377"/>
      <c r="D275" s="377"/>
      <c r="E275" s="476"/>
      <c r="M275" s="140"/>
    </row>
    <row r="276">
      <c r="B276" s="377"/>
      <c r="C276" s="377"/>
      <c r="D276" s="377"/>
      <c r="E276" s="476"/>
      <c r="M276" s="140"/>
    </row>
    <row r="277">
      <c r="B277" s="377"/>
      <c r="C277" s="377"/>
      <c r="D277" s="377"/>
      <c r="E277" s="476"/>
      <c r="M277" s="140"/>
    </row>
    <row r="278">
      <c r="B278" s="377"/>
      <c r="C278" s="377"/>
      <c r="D278" s="377"/>
      <c r="E278" s="476"/>
      <c r="M278" s="140"/>
    </row>
    <row r="279">
      <c r="B279" s="377"/>
      <c r="C279" s="377"/>
      <c r="D279" s="377"/>
      <c r="E279" s="476"/>
      <c r="M279" s="140"/>
    </row>
    <row r="280">
      <c r="B280" s="377"/>
      <c r="C280" s="377"/>
      <c r="D280" s="377"/>
      <c r="E280" s="476"/>
      <c r="M280" s="140"/>
    </row>
    <row r="281">
      <c r="B281" s="377"/>
      <c r="C281" s="377"/>
      <c r="D281" s="377"/>
      <c r="E281" s="476"/>
      <c r="M281" s="140"/>
    </row>
    <row r="282">
      <c r="B282" s="377"/>
      <c r="C282" s="377"/>
      <c r="D282" s="377"/>
      <c r="E282" s="476"/>
      <c r="M282" s="140"/>
    </row>
    <row r="283">
      <c r="B283" s="377"/>
      <c r="C283" s="377"/>
      <c r="D283" s="377"/>
      <c r="E283" s="476"/>
      <c r="M283" s="140"/>
    </row>
    <row r="284">
      <c r="B284" s="377"/>
      <c r="C284" s="377"/>
      <c r="D284" s="377"/>
      <c r="E284" s="476"/>
      <c r="M284" s="140"/>
    </row>
    <row r="285">
      <c r="B285" s="377"/>
      <c r="C285" s="377"/>
      <c r="D285" s="377"/>
      <c r="E285" s="476"/>
      <c r="M285" s="140"/>
    </row>
    <row r="286">
      <c r="B286" s="377"/>
      <c r="C286" s="377"/>
      <c r="D286" s="377"/>
      <c r="E286" s="476"/>
      <c r="M286" s="140"/>
    </row>
    <row r="287">
      <c r="B287" s="377"/>
      <c r="C287" s="377"/>
      <c r="D287" s="377"/>
      <c r="E287" s="476"/>
      <c r="M287" s="140"/>
    </row>
    <row r="288">
      <c r="B288" s="377"/>
      <c r="C288" s="377"/>
      <c r="D288" s="377"/>
      <c r="E288" s="476"/>
      <c r="M288" s="140"/>
    </row>
    <row r="289">
      <c r="B289" s="377"/>
      <c r="C289" s="377"/>
      <c r="D289" s="377"/>
      <c r="E289" s="476"/>
      <c r="M289" s="140"/>
    </row>
    <row r="290">
      <c r="B290" s="377"/>
      <c r="C290" s="377"/>
      <c r="D290" s="377"/>
      <c r="E290" s="476"/>
      <c r="M290" s="140"/>
    </row>
    <row r="291">
      <c r="B291" s="377"/>
      <c r="C291" s="377"/>
      <c r="D291" s="377"/>
      <c r="E291" s="476"/>
      <c r="M291" s="140"/>
    </row>
    <row r="292">
      <c r="B292" s="377"/>
      <c r="C292" s="377"/>
      <c r="D292" s="377"/>
      <c r="E292" s="476"/>
      <c r="M292" s="140"/>
    </row>
    <row r="293">
      <c r="B293" s="377"/>
      <c r="C293" s="377"/>
      <c r="D293" s="377"/>
      <c r="E293" s="476"/>
      <c r="M293" s="140"/>
    </row>
    <row r="294">
      <c r="B294" s="377"/>
      <c r="C294" s="377"/>
      <c r="D294" s="377"/>
      <c r="E294" s="476"/>
      <c r="M294" s="140"/>
    </row>
    <row r="295">
      <c r="B295" s="377"/>
      <c r="C295" s="377"/>
      <c r="D295" s="377"/>
      <c r="E295" s="476"/>
      <c r="M295" s="140"/>
    </row>
    <row r="296">
      <c r="B296" s="377"/>
      <c r="C296" s="377"/>
      <c r="D296" s="377"/>
      <c r="E296" s="476"/>
      <c r="M296" s="140"/>
    </row>
    <row r="297">
      <c r="B297" s="377"/>
      <c r="C297" s="377"/>
      <c r="D297" s="377"/>
      <c r="E297" s="476"/>
      <c r="M297" s="140"/>
    </row>
    <row r="298">
      <c r="B298" s="377"/>
      <c r="C298" s="377"/>
      <c r="D298" s="377"/>
      <c r="E298" s="476"/>
      <c r="M298" s="140"/>
    </row>
    <row r="299">
      <c r="B299" s="377"/>
      <c r="C299" s="377"/>
      <c r="D299" s="377"/>
      <c r="E299" s="476"/>
      <c r="M299" s="140"/>
    </row>
    <row r="300">
      <c r="B300" s="377"/>
      <c r="C300" s="377"/>
      <c r="D300" s="377"/>
      <c r="E300" s="476"/>
      <c r="M300" s="140"/>
    </row>
    <row r="301">
      <c r="B301" s="377"/>
      <c r="C301" s="377"/>
      <c r="D301" s="377"/>
      <c r="E301" s="476"/>
      <c r="M301" s="140"/>
    </row>
    <row r="302">
      <c r="B302" s="377"/>
      <c r="C302" s="377"/>
      <c r="D302" s="377"/>
      <c r="E302" s="476"/>
      <c r="M302" s="140"/>
    </row>
    <row r="303">
      <c r="B303" s="377"/>
      <c r="C303" s="377"/>
      <c r="D303" s="377"/>
      <c r="E303" s="476"/>
      <c r="M303" s="140"/>
    </row>
    <row r="304">
      <c r="B304" s="377"/>
      <c r="C304" s="377"/>
      <c r="D304" s="377"/>
      <c r="E304" s="476"/>
      <c r="M304" s="140"/>
    </row>
    <row r="305">
      <c r="B305" s="377"/>
      <c r="C305" s="377"/>
      <c r="D305" s="377"/>
      <c r="E305" s="476"/>
      <c r="M305" s="140"/>
    </row>
    <row r="306">
      <c r="B306" s="377"/>
      <c r="C306" s="377"/>
      <c r="D306" s="377"/>
      <c r="E306" s="476"/>
      <c r="M306" s="140"/>
    </row>
    <row r="307">
      <c r="B307" s="377"/>
      <c r="C307" s="377"/>
      <c r="D307" s="377"/>
      <c r="E307" s="476"/>
      <c r="M307" s="140"/>
    </row>
    <row r="308">
      <c r="B308" s="377"/>
      <c r="C308" s="377"/>
      <c r="D308" s="377"/>
      <c r="E308" s="476"/>
      <c r="M308" s="140"/>
    </row>
    <row r="309">
      <c r="B309" s="377"/>
      <c r="C309" s="377"/>
      <c r="D309" s="377"/>
      <c r="E309" s="476"/>
      <c r="M309" s="140"/>
    </row>
    <row r="310">
      <c r="B310" s="377"/>
      <c r="C310" s="377"/>
      <c r="D310" s="377"/>
      <c r="E310" s="476"/>
      <c r="M310" s="140"/>
    </row>
    <row r="311">
      <c r="B311" s="377"/>
      <c r="C311" s="377"/>
      <c r="D311" s="377"/>
      <c r="E311" s="476"/>
      <c r="M311" s="140"/>
    </row>
    <row r="312">
      <c r="B312" s="377"/>
      <c r="C312" s="377"/>
      <c r="D312" s="377"/>
      <c r="E312" s="476"/>
      <c r="M312" s="140"/>
    </row>
    <row r="313">
      <c r="B313" s="377"/>
      <c r="C313" s="377"/>
      <c r="D313" s="377"/>
      <c r="E313" s="476"/>
      <c r="M313" s="140"/>
    </row>
    <row r="314">
      <c r="B314" s="377"/>
      <c r="C314" s="377"/>
      <c r="D314" s="377"/>
      <c r="E314" s="476"/>
      <c r="M314" s="140"/>
    </row>
    <row r="315">
      <c r="B315" s="377"/>
      <c r="C315" s="377"/>
      <c r="D315" s="377"/>
      <c r="E315" s="476"/>
      <c r="M315" s="140"/>
    </row>
    <row r="316">
      <c r="B316" s="377"/>
      <c r="C316" s="377"/>
      <c r="D316" s="377"/>
      <c r="E316" s="476"/>
      <c r="M316" s="140"/>
    </row>
    <row r="317">
      <c r="B317" s="377"/>
      <c r="C317" s="377"/>
      <c r="D317" s="377"/>
      <c r="E317" s="476"/>
      <c r="M317" s="140"/>
    </row>
    <row r="318">
      <c r="B318" s="377"/>
      <c r="C318" s="377"/>
      <c r="D318" s="377"/>
      <c r="E318" s="476"/>
      <c r="M318" s="140"/>
    </row>
    <row r="319">
      <c r="B319" s="377"/>
      <c r="C319" s="377"/>
      <c r="D319" s="377"/>
      <c r="E319" s="476"/>
      <c r="M319" s="140"/>
    </row>
    <row r="320">
      <c r="B320" s="377"/>
      <c r="C320" s="377"/>
      <c r="D320" s="377"/>
      <c r="E320" s="476"/>
      <c r="M320" s="140"/>
    </row>
    <row r="321">
      <c r="B321" s="377"/>
      <c r="C321" s="377"/>
      <c r="D321" s="377"/>
      <c r="E321" s="476"/>
      <c r="M321" s="140"/>
    </row>
    <row r="322">
      <c r="B322" s="377"/>
      <c r="C322" s="377"/>
      <c r="D322" s="377"/>
      <c r="E322" s="476"/>
      <c r="M322" s="140"/>
    </row>
    <row r="323">
      <c r="B323" s="377"/>
      <c r="C323" s="377"/>
      <c r="D323" s="377"/>
      <c r="E323" s="476"/>
      <c r="M323" s="140"/>
    </row>
    <row r="324">
      <c r="B324" s="377"/>
      <c r="C324" s="377"/>
      <c r="D324" s="377"/>
      <c r="E324" s="476"/>
      <c r="M324" s="140"/>
    </row>
    <row r="325">
      <c r="B325" s="377"/>
      <c r="C325" s="377"/>
      <c r="D325" s="377"/>
      <c r="E325" s="476"/>
      <c r="M325" s="140"/>
    </row>
    <row r="326">
      <c r="B326" s="377"/>
      <c r="C326" s="377"/>
      <c r="D326" s="377"/>
      <c r="E326" s="476"/>
      <c r="M326" s="140"/>
    </row>
    <row r="327">
      <c r="B327" s="377"/>
      <c r="C327" s="377"/>
      <c r="D327" s="377"/>
      <c r="E327" s="476"/>
      <c r="M327" s="140"/>
    </row>
    <row r="328">
      <c r="B328" s="377"/>
      <c r="C328" s="377"/>
      <c r="D328" s="377"/>
      <c r="E328" s="476"/>
      <c r="M328" s="140"/>
    </row>
    <row r="329">
      <c r="B329" s="377"/>
      <c r="C329" s="377"/>
      <c r="D329" s="377"/>
      <c r="E329" s="476"/>
      <c r="M329" s="140"/>
    </row>
    <row r="330">
      <c r="B330" s="377"/>
      <c r="C330" s="377"/>
      <c r="D330" s="377"/>
      <c r="E330" s="476"/>
      <c r="M330" s="140"/>
    </row>
    <row r="331">
      <c r="B331" s="377"/>
      <c r="C331" s="377"/>
      <c r="D331" s="377"/>
      <c r="E331" s="476"/>
      <c r="M331" s="140"/>
    </row>
    <row r="332">
      <c r="B332" s="377"/>
      <c r="C332" s="377"/>
      <c r="D332" s="377"/>
      <c r="E332" s="476"/>
      <c r="M332" s="140"/>
    </row>
    <row r="333">
      <c r="B333" s="377"/>
      <c r="C333" s="377"/>
      <c r="D333" s="377"/>
      <c r="E333" s="476"/>
      <c r="M333" s="140"/>
    </row>
    <row r="334">
      <c r="B334" s="377"/>
      <c r="C334" s="377"/>
      <c r="D334" s="377"/>
      <c r="E334" s="476"/>
      <c r="M334" s="140"/>
    </row>
    <row r="335">
      <c r="B335" s="377"/>
      <c r="C335" s="377"/>
      <c r="D335" s="377"/>
      <c r="E335" s="476"/>
      <c r="M335" s="140"/>
    </row>
    <row r="336">
      <c r="B336" s="377"/>
      <c r="C336" s="377"/>
      <c r="D336" s="377"/>
      <c r="E336" s="476"/>
      <c r="M336" s="140"/>
    </row>
    <row r="337">
      <c r="B337" s="377"/>
      <c r="C337" s="377"/>
      <c r="D337" s="377"/>
      <c r="E337" s="476"/>
      <c r="M337" s="140"/>
    </row>
    <row r="338">
      <c r="B338" s="377"/>
      <c r="C338" s="377"/>
      <c r="D338" s="377"/>
      <c r="E338" s="476"/>
      <c r="M338" s="140"/>
    </row>
    <row r="339">
      <c r="B339" s="377"/>
      <c r="C339" s="377"/>
      <c r="D339" s="377"/>
      <c r="E339" s="476"/>
      <c r="M339" s="140"/>
    </row>
    <row r="340">
      <c r="B340" s="377"/>
      <c r="C340" s="377"/>
      <c r="D340" s="377"/>
      <c r="E340" s="476"/>
      <c r="M340" s="140"/>
    </row>
    <row r="341">
      <c r="B341" s="377"/>
      <c r="C341" s="377"/>
      <c r="D341" s="377"/>
      <c r="E341" s="476"/>
      <c r="M341" s="140"/>
    </row>
    <row r="342">
      <c r="B342" s="377"/>
      <c r="C342" s="377"/>
      <c r="D342" s="377"/>
      <c r="E342" s="476"/>
      <c r="M342" s="140"/>
    </row>
    <row r="343">
      <c r="B343" s="377"/>
      <c r="C343" s="377"/>
      <c r="D343" s="377"/>
      <c r="E343" s="476"/>
      <c r="M343" s="140"/>
    </row>
    <row r="344">
      <c r="B344" s="377"/>
      <c r="C344" s="377"/>
      <c r="D344" s="377"/>
      <c r="E344" s="476"/>
      <c r="M344" s="140"/>
    </row>
    <row r="345">
      <c r="B345" s="377"/>
      <c r="C345" s="377"/>
      <c r="D345" s="377"/>
      <c r="E345" s="476"/>
      <c r="M345" s="140"/>
    </row>
    <row r="346">
      <c r="B346" s="377"/>
      <c r="C346" s="377"/>
      <c r="D346" s="377"/>
      <c r="E346" s="476"/>
      <c r="M346" s="140"/>
    </row>
    <row r="347">
      <c r="B347" s="377"/>
      <c r="C347" s="377"/>
      <c r="D347" s="377"/>
      <c r="E347" s="476"/>
      <c r="M347" s="140"/>
    </row>
    <row r="348">
      <c r="B348" s="377"/>
      <c r="C348" s="377"/>
      <c r="D348" s="377"/>
      <c r="E348" s="476"/>
      <c r="M348" s="140"/>
    </row>
    <row r="349">
      <c r="B349" s="377"/>
      <c r="C349" s="377"/>
      <c r="D349" s="377"/>
      <c r="E349" s="476"/>
      <c r="M349" s="140"/>
    </row>
    <row r="350">
      <c r="B350" s="377"/>
      <c r="C350" s="377"/>
      <c r="D350" s="377"/>
      <c r="E350" s="476"/>
      <c r="M350" s="140"/>
    </row>
    <row r="351">
      <c r="B351" s="377"/>
      <c r="C351" s="377"/>
      <c r="D351" s="377"/>
      <c r="E351" s="476"/>
      <c r="M351" s="140"/>
    </row>
    <row r="352">
      <c r="B352" s="377"/>
      <c r="C352" s="377"/>
      <c r="D352" s="377"/>
      <c r="E352" s="476"/>
      <c r="M352" s="140"/>
    </row>
    <row r="353">
      <c r="B353" s="377"/>
      <c r="C353" s="377"/>
      <c r="D353" s="377"/>
      <c r="E353" s="476"/>
      <c r="M353" s="140"/>
    </row>
    <row r="354">
      <c r="B354" s="377"/>
      <c r="C354" s="377"/>
      <c r="D354" s="377"/>
      <c r="E354" s="476"/>
      <c r="M354" s="140"/>
    </row>
    <row r="355">
      <c r="B355" s="377"/>
      <c r="C355" s="377"/>
      <c r="D355" s="377"/>
      <c r="E355" s="476"/>
      <c r="M355" s="140"/>
    </row>
    <row r="356">
      <c r="B356" s="377"/>
      <c r="C356" s="377"/>
      <c r="D356" s="377"/>
      <c r="E356" s="476"/>
      <c r="M356" s="140"/>
    </row>
    <row r="357">
      <c r="B357" s="377"/>
      <c r="C357" s="377"/>
      <c r="D357" s="377"/>
      <c r="E357" s="476"/>
      <c r="M357" s="140"/>
    </row>
    <row r="358">
      <c r="B358" s="377"/>
      <c r="C358" s="377"/>
      <c r="D358" s="377"/>
      <c r="E358" s="476"/>
      <c r="M358" s="140"/>
    </row>
    <row r="359">
      <c r="B359" s="377"/>
      <c r="C359" s="377"/>
      <c r="D359" s="377"/>
      <c r="E359" s="476"/>
      <c r="M359" s="140"/>
    </row>
    <row r="360">
      <c r="B360" s="377"/>
      <c r="C360" s="377"/>
      <c r="D360" s="377"/>
      <c r="E360" s="476"/>
      <c r="M360" s="140"/>
    </row>
    <row r="361">
      <c r="B361" s="377"/>
      <c r="C361" s="377"/>
      <c r="D361" s="377"/>
      <c r="E361" s="476"/>
      <c r="M361" s="140"/>
    </row>
    <row r="362">
      <c r="B362" s="377"/>
      <c r="C362" s="377"/>
      <c r="D362" s="377"/>
      <c r="E362" s="476"/>
      <c r="M362" s="140"/>
    </row>
    <row r="363">
      <c r="B363" s="377"/>
      <c r="C363" s="377"/>
      <c r="D363" s="377"/>
      <c r="E363" s="476"/>
      <c r="M363" s="140"/>
    </row>
    <row r="364">
      <c r="B364" s="377"/>
      <c r="C364" s="377"/>
      <c r="D364" s="377"/>
      <c r="E364" s="476"/>
      <c r="M364" s="140"/>
    </row>
    <row r="365">
      <c r="B365" s="377"/>
      <c r="C365" s="377"/>
      <c r="D365" s="377"/>
      <c r="E365" s="476"/>
      <c r="M365" s="140"/>
    </row>
    <row r="366">
      <c r="B366" s="377"/>
      <c r="C366" s="377"/>
      <c r="D366" s="377"/>
      <c r="E366" s="476"/>
      <c r="M366" s="140"/>
    </row>
    <row r="367">
      <c r="B367" s="377"/>
      <c r="C367" s="377"/>
      <c r="D367" s="377"/>
      <c r="E367" s="476"/>
      <c r="M367" s="140"/>
    </row>
    <row r="368">
      <c r="B368" s="377"/>
      <c r="C368" s="377"/>
      <c r="D368" s="377"/>
      <c r="E368" s="476"/>
      <c r="M368" s="140"/>
    </row>
    <row r="369">
      <c r="B369" s="377"/>
      <c r="C369" s="377"/>
      <c r="D369" s="377"/>
      <c r="E369" s="476"/>
      <c r="M369" s="140"/>
    </row>
    <row r="370">
      <c r="B370" s="377"/>
      <c r="C370" s="377"/>
      <c r="D370" s="377"/>
      <c r="E370" s="476"/>
      <c r="M370" s="140"/>
    </row>
    <row r="371">
      <c r="B371" s="377"/>
      <c r="C371" s="377"/>
      <c r="D371" s="377"/>
      <c r="E371" s="476"/>
      <c r="M371" s="140"/>
    </row>
    <row r="372">
      <c r="B372" s="377"/>
      <c r="C372" s="377"/>
      <c r="D372" s="377"/>
      <c r="E372" s="476"/>
      <c r="M372" s="140"/>
    </row>
    <row r="373">
      <c r="B373" s="377"/>
      <c r="C373" s="377"/>
      <c r="D373" s="377"/>
      <c r="E373" s="476"/>
      <c r="M373" s="140"/>
    </row>
    <row r="374">
      <c r="B374" s="377"/>
      <c r="C374" s="377"/>
      <c r="D374" s="377"/>
      <c r="E374" s="476"/>
      <c r="M374" s="140"/>
    </row>
    <row r="375">
      <c r="B375" s="377"/>
      <c r="C375" s="377"/>
      <c r="D375" s="377"/>
      <c r="E375" s="476"/>
      <c r="M375" s="140"/>
    </row>
    <row r="376">
      <c r="B376" s="377"/>
      <c r="C376" s="377"/>
      <c r="D376" s="377"/>
      <c r="E376" s="476"/>
      <c r="M376" s="140"/>
    </row>
    <row r="377">
      <c r="B377" s="377"/>
      <c r="C377" s="377"/>
      <c r="D377" s="377"/>
      <c r="E377" s="476"/>
      <c r="M377" s="140"/>
    </row>
    <row r="378">
      <c r="B378" s="377"/>
      <c r="C378" s="377"/>
      <c r="D378" s="377"/>
      <c r="E378" s="476"/>
      <c r="M378" s="140"/>
    </row>
    <row r="379">
      <c r="B379" s="377"/>
      <c r="C379" s="377"/>
      <c r="D379" s="377"/>
      <c r="E379" s="476"/>
      <c r="M379" s="140"/>
    </row>
    <row r="380">
      <c r="B380" s="377"/>
      <c r="C380" s="377"/>
      <c r="D380" s="377"/>
      <c r="E380" s="476"/>
      <c r="M380" s="140"/>
    </row>
    <row r="381">
      <c r="B381" s="377"/>
      <c r="C381" s="377"/>
      <c r="D381" s="377"/>
      <c r="E381" s="476"/>
      <c r="M381" s="140"/>
    </row>
    <row r="382">
      <c r="B382" s="377"/>
      <c r="C382" s="377"/>
      <c r="D382" s="377"/>
      <c r="E382" s="476"/>
      <c r="M382" s="140"/>
    </row>
    <row r="383">
      <c r="B383" s="377"/>
      <c r="C383" s="377"/>
      <c r="D383" s="377"/>
      <c r="E383" s="476"/>
      <c r="M383" s="140"/>
    </row>
    <row r="384">
      <c r="B384" s="377"/>
      <c r="C384" s="377"/>
      <c r="D384" s="377"/>
      <c r="E384" s="476"/>
      <c r="M384" s="140"/>
    </row>
    <row r="385">
      <c r="B385" s="377"/>
      <c r="C385" s="377"/>
      <c r="D385" s="377"/>
      <c r="E385" s="476"/>
      <c r="M385" s="140"/>
    </row>
    <row r="386">
      <c r="B386" s="377"/>
      <c r="C386" s="377"/>
      <c r="D386" s="377"/>
      <c r="E386" s="476"/>
      <c r="M386" s="140"/>
    </row>
    <row r="387">
      <c r="B387" s="377"/>
      <c r="C387" s="377"/>
      <c r="D387" s="377"/>
      <c r="E387" s="476"/>
      <c r="M387" s="140"/>
    </row>
    <row r="388">
      <c r="B388" s="377"/>
      <c r="C388" s="377"/>
      <c r="D388" s="377"/>
      <c r="E388" s="476"/>
      <c r="M388" s="140"/>
    </row>
    <row r="389">
      <c r="B389" s="377"/>
      <c r="C389" s="377"/>
      <c r="D389" s="377"/>
      <c r="E389" s="476"/>
      <c r="M389" s="140"/>
    </row>
    <row r="390">
      <c r="B390" s="377"/>
      <c r="C390" s="377"/>
      <c r="D390" s="377"/>
      <c r="E390" s="476"/>
      <c r="M390" s="140"/>
    </row>
    <row r="391">
      <c r="B391" s="377"/>
      <c r="C391" s="377"/>
      <c r="D391" s="377"/>
      <c r="E391" s="476"/>
      <c r="M391" s="140"/>
    </row>
    <row r="392">
      <c r="B392" s="377"/>
      <c r="C392" s="377"/>
      <c r="D392" s="377"/>
      <c r="E392" s="476"/>
      <c r="M392" s="140"/>
    </row>
    <row r="393">
      <c r="B393" s="377"/>
      <c r="C393" s="377"/>
      <c r="D393" s="377"/>
      <c r="E393" s="476"/>
      <c r="M393" s="140"/>
    </row>
    <row r="394">
      <c r="B394" s="377"/>
      <c r="C394" s="377"/>
      <c r="D394" s="377"/>
      <c r="E394" s="476"/>
      <c r="M394" s="140"/>
    </row>
    <row r="395">
      <c r="B395" s="377"/>
      <c r="C395" s="377"/>
      <c r="D395" s="377"/>
      <c r="E395" s="476"/>
      <c r="M395" s="140"/>
    </row>
    <row r="396">
      <c r="B396" s="377"/>
      <c r="C396" s="377"/>
      <c r="D396" s="377"/>
      <c r="E396" s="476"/>
      <c r="M396" s="140"/>
    </row>
    <row r="397">
      <c r="B397" s="377"/>
      <c r="C397" s="377"/>
      <c r="D397" s="377"/>
      <c r="E397" s="476"/>
      <c r="M397" s="140"/>
    </row>
    <row r="398">
      <c r="B398" s="377"/>
      <c r="C398" s="377"/>
      <c r="D398" s="377"/>
      <c r="E398" s="476"/>
      <c r="M398" s="140"/>
    </row>
    <row r="399">
      <c r="B399" s="377"/>
      <c r="C399" s="377"/>
      <c r="D399" s="377"/>
      <c r="E399" s="476"/>
      <c r="M399" s="140"/>
    </row>
    <row r="400">
      <c r="B400" s="377"/>
      <c r="C400" s="377"/>
      <c r="D400" s="377"/>
      <c r="E400" s="476"/>
      <c r="M400" s="140"/>
    </row>
    <row r="401">
      <c r="B401" s="377"/>
      <c r="C401" s="377"/>
      <c r="D401" s="377"/>
      <c r="E401" s="476"/>
      <c r="M401" s="140"/>
    </row>
    <row r="402">
      <c r="B402" s="377"/>
      <c r="C402" s="377"/>
      <c r="D402" s="377"/>
      <c r="E402" s="476"/>
      <c r="M402" s="140"/>
    </row>
    <row r="403">
      <c r="B403" s="377"/>
      <c r="C403" s="377"/>
      <c r="D403" s="377"/>
      <c r="E403" s="476"/>
      <c r="M403" s="140"/>
    </row>
    <row r="404">
      <c r="B404" s="377"/>
      <c r="C404" s="377"/>
      <c r="D404" s="377"/>
      <c r="E404" s="476"/>
      <c r="M404" s="140"/>
    </row>
    <row r="405">
      <c r="B405" s="377"/>
      <c r="C405" s="377"/>
      <c r="D405" s="377"/>
      <c r="E405" s="476"/>
      <c r="M405" s="140"/>
    </row>
    <row r="406">
      <c r="B406" s="377"/>
      <c r="C406" s="377"/>
      <c r="D406" s="377"/>
      <c r="E406" s="476"/>
      <c r="M406" s="140"/>
    </row>
    <row r="407">
      <c r="B407" s="377"/>
      <c r="C407" s="377"/>
      <c r="D407" s="377"/>
      <c r="E407" s="476"/>
      <c r="M407" s="140"/>
    </row>
    <row r="408">
      <c r="B408" s="377"/>
      <c r="C408" s="377"/>
      <c r="D408" s="377"/>
      <c r="E408" s="476"/>
      <c r="M408" s="140"/>
    </row>
    <row r="409">
      <c r="B409" s="377"/>
      <c r="C409" s="377"/>
      <c r="D409" s="377"/>
      <c r="E409" s="476"/>
      <c r="M409" s="140"/>
    </row>
    <row r="410">
      <c r="B410" s="377"/>
      <c r="C410" s="377"/>
      <c r="D410" s="377"/>
      <c r="E410" s="476"/>
      <c r="M410" s="140"/>
    </row>
    <row r="411">
      <c r="B411" s="377"/>
      <c r="C411" s="377"/>
      <c r="D411" s="377"/>
      <c r="E411" s="476"/>
      <c r="M411" s="140"/>
    </row>
    <row r="412">
      <c r="B412" s="377"/>
      <c r="C412" s="377"/>
      <c r="D412" s="377"/>
      <c r="E412" s="476"/>
      <c r="M412" s="140"/>
    </row>
    <row r="413">
      <c r="B413" s="377"/>
      <c r="C413" s="377"/>
      <c r="D413" s="377"/>
      <c r="E413" s="476"/>
      <c r="M413" s="140"/>
    </row>
    <row r="414">
      <c r="B414" s="377"/>
      <c r="C414" s="377"/>
      <c r="D414" s="377"/>
      <c r="E414" s="476"/>
      <c r="M414" s="140"/>
    </row>
    <row r="415">
      <c r="B415" s="377"/>
      <c r="C415" s="377"/>
      <c r="D415" s="377"/>
      <c r="E415" s="476"/>
      <c r="M415" s="140"/>
    </row>
    <row r="416">
      <c r="B416" s="377"/>
      <c r="C416" s="377"/>
      <c r="D416" s="377"/>
      <c r="E416" s="476"/>
      <c r="M416" s="140"/>
    </row>
    <row r="417">
      <c r="B417" s="377"/>
      <c r="C417" s="377"/>
      <c r="D417" s="377"/>
      <c r="E417" s="476"/>
      <c r="M417" s="140"/>
    </row>
    <row r="418">
      <c r="B418" s="377"/>
      <c r="C418" s="377"/>
      <c r="D418" s="377"/>
      <c r="E418" s="476"/>
      <c r="M418" s="140"/>
    </row>
    <row r="419">
      <c r="B419" s="377"/>
      <c r="C419" s="377"/>
      <c r="D419" s="377"/>
      <c r="E419" s="476"/>
      <c r="M419" s="140"/>
    </row>
    <row r="420">
      <c r="B420" s="377"/>
      <c r="C420" s="377"/>
      <c r="D420" s="377"/>
      <c r="E420" s="476"/>
      <c r="M420" s="140"/>
    </row>
    <row r="421">
      <c r="B421" s="377"/>
      <c r="C421" s="377"/>
      <c r="D421" s="377"/>
      <c r="E421" s="476"/>
      <c r="M421" s="140"/>
    </row>
    <row r="422">
      <c r="B422" s="377"/>
      <c r="C422" s="377"/>
      <c r="D422" s="377"/>
      <c r="E422" s="476"/>
      <c r="M422" s="140"/>
    </row>
    <row r="423">
      <c r="B423" s="377"/>
      <c r="C423" s="377"/>
      <c r="D423" s="377"/>
      <c r="E423" s="476"/>
      <c r="M423" s="140"/>
    </row>
    <row r="424">
      <c r="B424" s="377"/>
      <c r="C424" s="377"/>
      <c r="D424" s="377"/>
      <c r="E424" s="476"/>
      <c r="M424" s="140"/>
    </row>
    <row r="425">
      <c r="B425" s="377"/>
      <c r="C425" s="377"/>
      <c r="D425" s="377"/>
      <c r="E425" s="476"/>
      <c r="M425" s="140"/>
    </row>
    <row r="426">
      <c r="B426" s="377"/>
      <c r="C426" s="377"/>
      <c r="D426" s="377"/>
      <c r="E426" s="476"/>
      <c r="M426" s="140"/>
    </row>
    <row r="427">
      <c r="B427" s="377"/>
      <c r="C427" s="377"/>
      <c r="D427" s="377"/>
      <c r="E427" s="476"/>
      <c r="M427" s="140"/>
    </row>
    <row r="428">
      <c r="B428" s="377"/>
      <c r="C428" s="377"/>
      <c r="D428" s="377"/>
      <c r="E428" s="476"/>
      <c r="M428" s="140"/>
    </row>
    <row r="429">
      <c r="B429" s="377"/>
      <c r="C429" s="377"/>
      <c r="D429" s="377"/>
      <c r="E429" s="476"/>
      <c r="M429" s="140"/>
    </row>
    <row r="430">
      <c r="B430" s="377"/>
      <c r="C430" s="377"/>
      <c r="D430" s="377"/>
      <c r="E430" s="476"/>
      <c r="M430" s="140"/>
    </row>
    <row r="431">
      <c r="B431" s="377"/>
      <c r="C431" s="377"/>
      <c r="D431" s="377"/>
      <c r="E431" s="476"/>
      <c r="M431" s="140"/>
    </row>
    <row r="432">
      <c r="B432" s="377"/>
      <c r="C432" s="377"/>
      <c r="D432" s="377"/>
      <c r="E432" s="476"/>
      <c r="M432" s="140"/>
    </row>
    <row r="433">
      <c r="B433" s="377"/>
      <c r="C433" s="377"/>
      <c r="D433" s="377"/>
      <c r="E433" s="476"/>
      <c r="M433" s="140"/>
    </row>
    <row r="434">
      <c r="B434" s="377"/>
      <c r="C434" s="377"/>
      <c r="D434" s="377"/>
      <c r="E434" s="476"/>
      <c r="M434" s="140"/>
    </row>
    <row r="435">
      <c r="B435" s="377"/>
      <c r="C435" s="377"/>
      <c r="D435" s="377"/>
      <c r="E435" s="476"/>
      <c r="M435" s="140"/>
    </row>
    <row r="436">
      <c r="B436" s="377"/>
      <c r="C436" s="377"/>
      <c r="D436" s="377"/>
      <c r="E436" s="476"/>
      <c r="M436" s="140"/>
    </row>
    <row r="437">
      <c r="B437" s="377"/>
      <c r="C437" s="377"/>
      <c r="D437" s="377"/>
      <c r="E437" s="476"/>
      <c r="M437" s="140"/>
    </row>
    <row r="438">
      <c r="B438" s="377"/>
      <c r="C438" s="377"/>
      <c r="D438" s="377"/>
      <c r="E438" s="476"/>
      <c r="M438" s="140"/>
    </row>
    <row r="439">
      <c r="B439" s="377"/>
      <c r="C439" s="377"/>
      <c r="D439" s="377"/>
      <c r="E439" s="476"/>
      <c r="M439" s="140"/>
    </row>
    <row r="440">
      <c r="B440" s="377"/>
      <c r="C440" s="377"/>
      <c r="D440" s="377"/>
      <c r="E440" s="476"/>
      <c r="M440" s="140"/>
    </row>
    <row r="441">
      <c r="B441" s="377"/>
      <c r="C441" s="377"/>
      <c r="D441" s="377"/>
      <c r="E441" s="476"/>
      <c r="M441" s="140"/>
    </row>
    <row r="442">
      <c r="B442" s="377"/>
      <c r="C442" s="377"/>
      <c r="D442" s="377"/>
      <c r="E442" s="476"/>
      <c r="M442" s="140"/>
    </row>
    <row r="443">
      <c r="B443" s="377"/>
      <c r="C443" s="377"/>
      <c r="D443" s="377"/>
      <c r="E443" s="476"/>
      <c r="M443" s="140"/>
    </row>
    <row r="444">
      <c r="B444" s="377"/>
      <c r="C444" s="377"/>
      <c r="D444" s="377"/>
      <c r="E444" s="476"/>
      <c r="M444" s="140"/>
    </row>
    <row r="445">
      <c r="B445" s="377"/>
      <c r="C445" s="377"/>
      <c r="D445" s="377"/>
      <c r="E445" s="476"/>
      <c r="M445" s="140"/>
    </row>
    <row r="446">
      <c r="B446" s="377"/>
      <c r="C446" s="377"/>
      <c r="D446" s="377"/>
      <c r="E446" s="476"/>
      <c r="M446" s="140"/>
    </row>
    <row r="447">
      <c r="B447" s="377"/>
      <c r="C447" s="377"/>
      <c r="D447" s="377"/>
      <c r="E447" s="476"/>
      <c r="M447" s="140"/>
    </row>
    <row r="448">
      <c r="B448" s="377"/>
      <c r="C448" s="377"/>
      <c r="D448" s="377"/>
      <c r="E448" s="476"/>
      <c r="M448" s="140"/>
    </row>
    <row r="449">
      <c r="B449" s="377"/>
      <c r="C449" s="377"/>
      <c r="D449" s="377"/>
      <c r="E449" s="476"/>
      <c r="M449" s="140"/>
    </row>
    <row r="450">
      <c r="B450" s="377"/>
      <c r="C450" s="377"/>
      <c r="D450" s="377"/>
      <c r="E450" s="476"/>
      <c r="M450" s="140"/>
    </row>
    <row r="451">
      <c r="B451" s="377"/>
      <c r="C451" s="377"/>
      <c r="D451" s="377"/>
      <c r="E451" s="476"/>
      <c r="M451" s="140"/>
    </row>
    <row r="452">
      <c r="B452" s="377"/>
      <c r="C452" s="377"/>
      <c r="D452" s="377"/>
      <c r="E452" s="476"/>
      <c r="M452" s="140"/>
    </row>
    <row r="453">
      <c r="B453" s="377"/>
      <c r="C453" s="377"/>
      <c r="D453" s="377"/>
      <c r="E453" s="476"/>
      <c r="M453" s="140"/>
    </row>
    <row r="454">
      <c r="B454" s="377"/>
      <c r="C454" s="377"/>
      <c r="D454" s="377"/>
      <c r="E454" s="476"/>
      <c r="M454" s="140"/>
    </row>
    <row r="455">
      <c r="B455" s="377"/>
      <c r="C455" s="377"/>
      <c r="D455" s="377"/>
      <c r="E455" s="476"/>
      <c r="M455" s="140"/>
    </row>
    <row r="456">
      <c r="B456" s="377"/>
      <c r="C456" s="377"/>
      <c r="D456" s="377"/>
      <c r="E456" s="476"/>
      <c r="M456" s="140"/>
    </row>
    <row r="457">
      <c r="B457" s="377"/>
      <c r="C457" s="377"/>
      <c r="D457" s="377"/>
      <c r="E457" s="476"/>
      <c r="M457" s="140"/>
    </row>
    <row r="458">
      <c r="B458" s="377"/>
      <c r="C458" s="377"/>
      <c r="D458" s="377"/>
      <c r="E458" s="476"/>
      <c r="M458" s="140"/>
    </row>
    <row r="459">
      <c r="B459" s="377"/>
      <c r="C459" s="377"/>
      <c r="D459" s="377"/>
      <c r="E459" s="476"/>
      <c r="M459" s="140"/>
    </row>
    <row r="460">
      <c r="B460" s="377"/>
      <c r="C460" s="377"/>
      <c r="D460" s="377"/>
      <c r="E460" s="476"/>
      <c r="M460" s="140"/>
    </row>
    <row r="461">
      <c r="B461" s="377"/>
      <c r="C461" s="377"/>
      <c r="D461" s="377"/>
      <c r="E461" s="476"/>
      <c r="M461" s="140"/>
    </row>
    <row r="462">
      <c r="B462" s="377"/>
      <c r="C462" s="377"/>
      <c r="D462" s="377"/>
      <c r="E462" s="476"/>
      <c r="M462" s="140"/>
    </row>
    <row r="463">
      <c r="B463" s="377"/>
      <c r="C463" s="377"/>
      <c r="D463" s="377"/>
      <c r="E463" s="476"/>
      <c r="M463" s="140"/>
    </row>
    <row r="464">
      <c r="B464" s="377"/>
      <c r="C464" s="377"/>
      <c r="D464" s="377"/>
      <c r="E464" s="476"/>
      <c r="M464" s="140"/>
    </row>
    <row r="465">
      <c r="B465" s="377"/>
      <c r="C465" s="377"/>
      <c r="D465" s="377"/>
      <c r="E465" s="476"/>
      <c r="M465" s="140"/>
    </row>
    <row r="466">
      <c r="B466" s="377"/>
      <c r="C466" s="377"/>
      <c r="D466" s="377"/>
      <c r="E466" s="476"/>
      <c r="M466" s="140"/>
    </row>
    <row r="467">
      <c r="B467" s="377"/>
      <c r="C467" s="377"/>
      <c r="D467" s="377"/>
      <c r="E467" s="476"/>
      <c r="M467" s="140"/>
    </row>
    <row r="468">
      <c r="B468" s="377"/>
      <c r="C468" s="377"/>
      <c r="D468" s="377"/>
      <c r="E468" s="476"/>
      <c r="M468" s="140"/>
    </row>
    <row r="469">
      <c r="B469" s="377"/>
      <c r="C469" s="377"/>
      <c r="D469" s="377"/>
      <c r="E469" s="476"/>
      <c r="M469" s="140"/>
    </row>
    <row r="470">
      <c r="B470" s="377"/>
      <c r="C470" s="377"/>
      <c r="D470" s="377"/>
      <c r="E470" s="476"/>
      <c r="M470" s="140"/>
    </row>
    <row r="471">
      <c r="B471" s="377"/>
      <c r="C471" s="377"/>
      <c r="D471" s="377"/>
      <c r="E471" s="476"/>
      <c r="M471" s="140"/>
    </row>
    <row r="472">
      <c r="B472" s="377"/>
      <c r="C472" s="377"/>
      <c r="D472" s="377"/>
      <c r="E472" s="476"/>
      <c r="M472" s="140"/>
    </row>
    <row r="473">
      <c r="B473" s="377"/>
      <c r="C473" s="377"/>
      <c r="D473" s="377"/>
      <c r="E473" s="476"/>
      <c r="M473" s="140"/>
    </row>
    <row r="474">
      <c r="B474" s="377"/>
      <c r="C474" s="377"/>
      <c r="D474" s="377"/>
      <c r="E474" s="476"/>
      <c r="M474" s="140"/>
    </row>
    <row r="475">
      <c r="B475" s="377"/>
      <c r="C475" s="377"/>
      <c r="D475" s="377"/>
      <c r="E475" s="476"/>
      <c r="M475" s="140"/>
    </row>
    <row r="476">
      <c r="B476" s="377"/>
      <c r="C476" s="377"/>
      <c r="D476" s="377"/>
      <c r="E476" s="476"/>
      <c r="M476" s="140"/>
    </row>
    <row r="477">
      <c r="B477" s="377"/>
      <c r="C477" s="377"/>
      <c r="D477" s="377"/>
      <c r="E477" s="476"/>
      <c r="M477" s="140"/>
    </row>
    <row r="478">
      <c r="B478" s="377"/>
      <c r="C478" s="377"/>
      <c r="D478" s="377"/>
      <c r="E478" s="476"/>
      <c r="M478" s="140"/>
    </row>
    <row r="479">
      <c r="B479" s="377"/>
      <c r="C479" s="377"/>
      <c r="D479" s="377"/>
      <c r="E479" s="476"/>
      <c r="M479" s="140"/>
    </row>
    <row r="480">
      <c r="B480" s="377"/>
      <c r="C480" s="377"/>
      <c r="D480" s="377"/>
      <c r="E480" s="476"/>
      <c r="M480" s="140"/>
    </row>
    <row r="481">
      <c r="B481" s="377"/>
      <c r="C481" s="377"/>
      <c r="D481" s="377"/>
      <c r="E481" s="476"/>
      <c r="M481" s="140"/>
    </row>
    <row r="482">
      <c r="B482" s="377"/>
      <c r="C482" s="377"/>
      <c r="D482" s="377"/>
      <c r="E482" s="476"/>
      <c r="M482" s="140"/>
    </row>
    <row r="483">
      <c r="B483" s="377"/>
      <c r="C483" s="377"/>
      <c r="D483" s="377"/>
      <c r="E483" s="476"/>
      <c r="M483" s="140"/>
    </row>
    <row r="484">
      <c r="B484" s="377"/>
      <c r="C484" s="377"/>
      <c r="D484" s="377"/>
      <c r="E484" s="476"/>
      <c r="M484" s="140"/>
    </row>
    <row r="485">
      <c r="B485" s="377"/>
      <c r="C485" s="377"/>
      <c r="D485" s="377"/>
      <c r="E485" s="476"/>
      <c r="M485" s="140"/>
    </row>
    <row r="486">
      <c r="B486" s="377"/>
      <c r="C486" s="377"/>
      <c r="D486" s="377"/>
      <c r="E486" s="476"/>
      <c r="M486" s="140"/>
    </row>
    <row r="487">
      <c r="B487" s="377"/>
      <c r="C487" s="377"/>
      <c r="D487" s="377"/>
      <c r="E487" s="476"/>
      <c r="M487" s="140"/>
    </row>
    <row r="488">
      <c r="B488" s="377"/>
      <c r="C488" s="377"/>
      <c r="D488" s="377"/>
      <c r="E488" s="476"/>
      <c r="M488" s="140"/>
    </row>
    <row r="489">
      <c r="B489" s="377"/>
      <c r="C489" s="377"/>
      <c r="D489" s="377"/>
      <c r="E489" s="476"/>
      <c r="M489" s="140"/>
    </row>
    <row r="490">
      <c r="B490" s="377"/>
      <c r="C490" s="377"/>
      <c r="D490" s="377"/>
      <c r="E490" s="476"/>
      <c r="M490" s="140"/>
    </row>
    <row r="491">
      <c r="B491" s="377"/>
      <c r="C491" s="377"/>
      <c r="D491" s="377"/>
      <c r="E491" s="476"/>
      <c r="M491" s="140"/>
    </row>
    <row r="492">
      <c r="B492" s="377"/>
      <c r="C492" s="377"/>
      <c r="D492" s="377"/>
      <c r="E492" s="476"/>
      <c r="M492" s="140"/>
    </row>
    <row r="493">
      <c r="B493" s="377"/>
      <c r="C493" s="377"/>
      <c r="D493" s="377"/>
      <c r="E493" s="476"/>
      <c r="M493" s="140"/>
    </row>
    <row r="494">
      <c r="B494" s="377"/>
      <c r="C494" s="377"/>
      <c r="D494" s="377"/>
      <c r="E494" s="476"/>
      <c r="M494" s="140"/>
    </row>
    <row r="495">
      <c r="B495" s="377"/>
      <c r="C495" s="377"/>
      <c r="D495" s="377"/>
      <c r="E495" s="476"/>
      <c r="M495" s="140"/>
    </row>
    <row r="496">
      <c r="B496" s="377"/>
      <c r="C496" s="377"/>
      <c r="D496" s="377"/>
      <c r="E496" s="476"/>
      <c r="M496" s="140"/>
    </row>
    <row r="497">
      <c r="B497" s="377"/>
      <c r="C497" s="377"/>
      <c r="D497" s="377"/>
      <c r="E497" s="476"/>
      <c r="M497" s="140"/>
    </row>
    <row r="498">
      <c r="B498" s="377"/>
      <c r="C498" s="377"/>
      <c r="D498" s="377"/>
      <c r="E498" s="476"/>
      <c r="M498" s="140"/>
    </row>
    <row r="499">
      <c r="B499" s="377"/>
      <c r="C499" s="377"/>
      <c r="D499" s="377"/>
      <c r="E499" s="476"/>
      <c r="M499" s="140"/>
    </row>
    <row r="500">
      <c r="B500" s="377"/>
      <c r="C500" s="377"/>
      <c r="D500" s="377"/>
      <c r="E500" s="476"/>
      <c r="M500" s="140"/>
    </row>
    <row r="501">
      <c r="B501" s="377"/>
      <c r="C501" s="377"/>
      <c r="D501" s="377"/>
      <c r="E501" s="476"/>
      <c r="M501" s="140"/>
    </row>
    <row r="502">
      <c r="B502" s="377"/>
      <c r="C502" s="377"/>
      <c r="D502" s="377"/>
      <c r="E502" s="476"/>
      <c r="M502" s="140"/>
    </row>
    <row r="503">
      <c r="B503" s="377"/>
      <c r="C503" s="377"/>
      <c r="D503" s="377"/>
      <c r="E503" s="476"/>
      <c r="M503" s="140"/>
    </row>
    <row r="504">
      <c r="B504" s="377"/>
      <c r="C504" s="377"/>
      <c r="D504" s="377"/>
      <c r="E504" s="476"/>
      <c r="M504" s="140"/>
    </row>
    <row r="505">
      <c r="B505" s="377"/>
      <c r="C505" s="377"/>
      <c r="D505" s="377"/>
      <c r="E505" s="476"/>
      <c r="M505" s="140"/>
    </row>
    <row r="506">
      <c r="B506" s="377"/>
      <c r="C506" s="377"/>
      <c r="D506" s="377"/>
      <c r="E506" s="476"/>
      <c r="M506" s="140"/>
    </row>
    <row r="507">
      <c r="B507" s="377"/>
      <c r="C507" s="377"/>
      <c r="D507" s="377"/>
      <c r="E507" s="476"/>
      <c r="M507" s="140"/>
    </row>
    <row r="508">
      <c r="B508" s="377"/>
      <c r="C508" s="377"/>
      <c r="D508" s="377"/>
      <c r="E508" s="476"/>
      <c r="M508" s="140"/>
    </row>
    <row r="509">
      <c r="B509" s="377"/>
      <c r="C509" s="377"/>
      <c r="D509" s="377"/>
      <c r="E509" s="476"/>
      <c r="M509" s="140"/>
    </row>
    <row r="510">
      <c r="B510" s="377"/>
      <c r="C510" s="377"/>
      <c r="D510" s="377"/>
      <c r="E510" s="476"/>
      <c r="M510" s="140"/>
    </row>
    <row r="511">
      <c r="B511" s="377"/>
      <c r="C511" s="377"/>
      <c r="D511" s="377"/>
      <c r="E511" s="476"/>
      <c r="M511" s="140"/>
    </row>
    <row r="512">
      <c r="B512" s="377"/>
      <c r="C512" s="377"/>
      <c r="D512" s="377"/>
      <c r="E512" s="476"/>
      <c r="M512" s="140"/>
    </row>
    <row r="513">
      <c r="B513" s="377"/>
      <c r="C513" s="377"/>
      <c r="D513" s="377"/>
      <c r="E513" s="476"/>
      <c r="M513" s="140"/>
    </row>
    <row r="514">
      <c r="B514" s="377"/>
      <c r="C514" s="377"/>
      <c r="D514" s="377"/>
      <c r="E514" s="476"/>
      <c r="M514" s="140"/>
    </row>
    <row r="515">
      <c r="B515" s="377"/>
      <c r="C515" s="377"/>
      <c r="D515" s="377"/>
      <c r="E515" s="476"/>
      <c r="M515" s="140"/>
    </row>
    <row r="516">
      <c r="B516" s="377"/>
      <c r="C516" s="377"/>
      <c r="D516" s="377"/>
      <c r="E516" s="476"/>
      <c r="M516" s="140"/>
    </row>
    <row r="517">
      <c r="B517" s="377"/>
      <c r="C517" s="377"/>
      <c r="D517" s="377"/>
      <c r="E517" s="476"/>
      <c r="M517" s="140"/>
    </row>
    <row r="518">
      <c r="B518" s="377"/>
      <c r="C518" s="377"/>
      <c r="D518" s="377"/>
      <c r="E518" s="476"/>
      <c r="M518" s="140"/>
    </row>
    <row r="519">
      <c r="B519" s="377"/>
      <c r="C519" s="377"/>
      <c r="D519" s="377"/>
      <c r="E519" s="476"/>
      <c r="M519" s="140"/>
    </row>
    <row r="520">
      <c r="B520" s="377"/>
      <c r="C520" s="377"/>
      <c r="D520" s="377"/>
      <c r="E520" s="476"/>
      <c r="M520" s="140"/>
    </row>
    <row r="521">
      <c r="B521" s="377"/>
      <c r="C521" s="377"/>
      <c r="D521" s="377"/>
      <c r="E521" s="476"/>
      <c r="M521" s="140"/>
    </row>
    <row r="522">
      <c r="B522" s="377"/>
      <c r="C522" s="377"/>
      <c r="D522" s="377"/>
      <c r="E522" s="476"/>
      <c r="M522" s="140"/>
    </row>
    <row r="523">
      <c r="B523" s="377"/>
      <c r="C523" s="377"/>
      <c r="D523" s="377"/>
      <c r="E523" s="476"/>
      <c r="M523" s="140"/>
    </row>
    <row r="524">
      <c r="B524" s="377"/>
      <c r="C524" s="377"/>
      <c r="D524" s="377"/>
      <c r="E524" s="476"/>
      <c r="M524" s="140"/>
    </row>
    <row r="525">
      <c r="B525" s="377"/>
      <c r="C525" s="377"/>
      <c r="D525" s="377"/>
      <c r="E525" s="476"/>
      <c r="M525" s="140"/>
    </row>
    <row r="526">
      <c r="B526" s="377"/>
      <c r="C526" s="377"/>
      <c r="D526" s="377"/>
      <c r="E526" s="476"/>
      <c r="M526" s="140"/>
    </row>
    <row r="527">
      <c r="B527" s="377"/>
      <c r="C527" s="377"/>
      <c r="D527" s="377"/>
      <c r="E527" s="476"/>
      <c r="M527" s="140"/>
    </row>
    <row r="528">
      <c r="B528" s="377"/>
      <c r="C528" s="377"/>
      <c r="D528" s="377"/>
      <c r="E528" s="476"/>
      <c r="M528" s="140"/>
    </row>
    <row r="529">
      <c r="B529" s="377"/>
      <c r="C529" s="377"/>
      <c r="D529" s="377"/>
      <c r="E529" s="476"/>
      <c r="M529" s="140"/>
    </row>
    <row r="530">
      <c r="B530" s="377"/>
      <c r="C530" s="377"/>
      <c r="D530" s="377"/>
      <c r="E530" s="476"/>
      <c r="M530" s="140"/>
    </row>
    <row r="531">
      <c r="B531" s="377"/>
      <c r="C531" s="377"/>
      <c r="D531" s="377"/>
      <c r="E531" s="476"/>
      <c r="M531" s="140"/>
    </row>
    <row r="532">
      <c r="B532" s="377"/>
      <c r="C532" s="377"/>
      <c r="D532" s="377"/>
      <c r="E532" s="476"/>
      <c r="M532" s="140"/>
    </row>
    <row r="533">
      <c r="B533" s="377"/>
      <c r="C533" s="377"/>
      <c r="D533" s="377"/>
      <c r="E533" s="476"/>
      <c r="M533" s="140"/>
    </row>
    <row r="534">
      <c r="B534" s="377"/>
      <c r="C534" s="377"/>
      <c r="D534" s="377"/>
      <c r="E534" s="476"/>
      <c r="M534" s="140"/>
    </row>
    <row r="535">
      <c r="B535" s="377"/>
      <c r="C535" s="377"/>
      <c r="D535" s="377"/>
      <c r="E535" s="476"/>
      <c r="M535" s="140"/>
    </row>
    <row r="536">
      <c r="B536" s="377"/>
      <c r="C536" s="377"/>
      <c r="D536" s="377"/>
      <c r="E536" s="476"/>
      <c r="M536" s="140"/>
    </row>
    <row r="537">
      <c r="B537" s="377"/>
      <c r="C537" s="377"/>
      <c r="D537" s="377"/>
      <c r="E537" s="476"/>
      <c r="M537" s="140"/>
    </row>
    <row r="538">
      <c r="B538" s="377"/>
      <c r="C538" s="377"/>
      <c r="D538" s="377"/>
      <c r="E538" s="476"/>
      <c r="M538" s="140"/>
    </row>
    <row r="539">
      <c r="B539" s="377"/>
      <c r="C539" s="377"/>
      <c r="D539" s="377"/>
      <c r="E539" s="476"/>
      <c r="M539" s="140"/>
    </row>
    <row r="540">
      <c r="B540" s="377"/>
      <c r="C540" s="377"/>
      <c r="D540" s="377"/>
      <c r="E540" s="476"/>
      <c r="M540" s="140"/>
    </row>
    <row r="541">
      <c r="B541" s="377"/>
      <c r="C541" s="377"/>
      <c r="D541" s="377"/>
      <c r="E541" s="476"/>
      <c r="M541" s="140"/>
    </row>
    <row r="542">
      <c r="B542" s="377"/>
      <c r="C542" s="377"/>
      <c r="D542" s="377"/>
      <c r="E542" s="476"/>
      <c r="M542" s="140"/>
    </row>
    <row r="543">
      <c r="B543" s="377"/>
      <c r="C543" s="377"/>
      <c r="D543" s="377"/>
      <c r="E543" s="476"/>
      <c r="M543" s="140"/>
    </row>
    <row r="544">
      <c r="B544" s="377"/>
      <c r="C544" s="377"/>
      <c r="D544" s="377"/>
      <c r="E544" s="476"/>
      <c r="M544" s="140"/>
    </row>
    <row r="545">
      <c r="B545" s="377"/>
      <c r="C545" s="377"/>
      <c r="D545" s="377"/>
      <c r="E545" s="476"/>
      <c r="M545" s="140"/>
    </row>
    <row r="546">
      <c r="B546" s="377"/>
      <c r="C546" s="377"/>
      <c r="D546" s="377"/>
      <c r="E546" s="476"/>
      <c r="M546" s="140"/>
    </row>
    <row r="547">
      <c r="B547" s="377"/>
      <c r="C547" s="377"/>
      <c r="D547" s="377"/>
      <c r="E547" s="476"/>
      <c r="M547" s="140"/>
    </row>
    <row r="548">
      <c r="B548" s="377"/>
      <c r="C548" s="377"/>
      <c r="D548" s="377"/>
      <c r="E548" s="476"/>
      <c r="M548" s="140"/>
    </row>
    <row r="549">
      <c r="B549" s="377"/>
      <c r="C549" s="377"/>
      <c r="D549" s="377"/>
      <c r="E549" s="476"/>
      <c r="M549" s="140"/>
    </row>
    <row r="550">
      <c r="B550" s="377"/>
      <c r="C550" s="377"/>
      <c r="D550" s="377"/>
      <c r="E550" s="476"/>
      <c r="M550" s="140"/>
    </row>
    <row r="551">
      <c r="B551" s="377"/>
      <c r="C551" s="377"/>
      <c r="D551" s="377"/>
      <c r="E551" s="476"/>
      <c r="M551" s="140"/>
    </row>
    <row r="552">
      <c r="B552" s="377"/>
      <c r="C552" s="377"/>
      <c r="D552" s="377"/>
      <c r="E552" s="476"/>
      <c r="M552" s="140"/>
    </row>
    <row r="553">
      <c r="B553" s="377"/>
      <c r="C553" s="377"/>
      <c r="D553" s="377"/>
      <c r="E553" s="476"/>
      <c r="M553" s="140"/>
    </row>
    <row r="554">
      <c r="B554" s="377"/>
      <c r="C554" s="377"/>
      <c r="D554" s="377"/>
      <c r="E554" s="476"/>
      <c r="M554" s="140"/>
    </row>
    <row r="555">
      <c r="B555" s="377"/>
      <c r="C555" s="377"/>
      <c r="D555" s="377"/>
      <c r="E555" s="476"/>
      <c r="M555" s="140"/>
    </row>
    <row r="556">
      <c r="B556" s="377"/>
      <c r="C556" s="377"/>
      <c r="D556" s="377"/>
      <c r="E556" s="476"/>
      <c r="M556" s="140"/>
    </row>
    <row r="557">
      <c r="B557" s="377"/>
      <c r="C557" s="377"/>
      <c r="D557" s="377"/>
      <c r="E557" s="476"/>
      <c r="M557" s="140"/>
    </row>
    <row r="558">
      <c r="B558" s="377"/>
      <c r="C558" s="377"/>
      <c r="D558" s="377"/>
      <c r="E558" s="476"/>
      <c r="M558" s="140"/>
    </row>
    <row r="559">
      <c r="B559" s="377"/>
      <c r="C559" s="377"/>
      <c r="D559" s="377"/>
      <c r="E559" s="476"/>
      <c r="M559" s="140"/>
    </row>
    <row r="560">
      <c r="B560" s="377"/>
      <c r="C560" s="377"/>
      <c r="D560" s="377"/>
      <c r="E560" s="476"/>
      <c r="M560" s="140"/>
    </row>
    <row r="561">
      <c r="B561" s="377"/>
      <c r="C561" s="377"/>
      <c r="D561" s="377"/>
      <c r="E561" s="476"/>
      <c r="M561" s="140"/>
    </row>
    <row r="562">
      <c r="B562" s="377"/>
      <c r="C562" s="377"/>
      <c r="D562" s="377"/>
      <c r="E562" s="476"/>
      <c r="M562" s="140"/>
    </row>
    <row r="563">
      <c r="B563" s="377"/>
      <c r="C563" s="377"/>
      <c r="D563" s="377"/>
      <c r="E563" s="476"/>
      <c r="M563" s="140"/>
    </row>
    <row r="564">
      <c r="B564" s="377"/>
      <c r="C564" s="377"/>
      <c r="D564" s="377"/>
      <c r="E564" s="476"/>
      <c r="M564" s="140"/>
    </row>
    <row r="565">
      <c r="B565" s="377"/>
      <c r="C565" s="377"/>
      <c r="D565" s="377"/>
      <c r="E565" s="476"/>
      <c r="M565" s="140"/>
    </row>
    <row r="566">
      <c r="B566" s="377"/>
      <c r="C566" s="377"/>
      <c r="D566" s="377"/>
      <c r="E566" s="476"/>
      <c r="M566" s="140"/>
    </row>
    <row r="567">
      <c r="B567" s="377"/>
      <c r="C567" s="377"/>
      <c r="D567" s="377"/>
      <c r="E567" s="476"/>
      <c r="M567" s="140"/>
    </row>
    <row r="568">
      <c r="B568" s="377"/>
      <c r="C568" s="377"/>
      <c r="D568" s="377"/>
      <c r="E568" s="476"/>
      <c r="M568" s="140"/>
    </row>
    <row r="569">
      <c r="B569" s="377"/>
      <c r="C569" s="377"/>
      <c r="D569" s="377"/>
      <c r="E569" s="476"/>
      <c r="M569" s="140"/>
    </row>
    <row r="570">
      <c r="B570" s="377"/>
      <c r="C570" s="377"/>
      <c r="D570" s="377"/>
      <c r="E570" s="476"/>
      <c r="M570" s="140"/>
    </row>
    <row r="571">
      <c r="B571" s="377"/>
      <c r="C571" s="377"/>
      <c r="D571" s="377"/>
      <c r="E571" s="476"/>
      <c r="M571" s="140"/>
    </row>
    <row r="572">
      <c r="B572" s="377"/>
      <c r="C572" s="377"/>
      <c r="D572" s="377"/>
      <c r="E572" s="476"/>
      <c r="M572" s="140"/>
    </row>
    <row r="573">
      <c r="B573" s="377"/>
      <c r="C573" s="377"/>
      <c r="D573" s="377"/>
      <c r="E573" s="476"/>
      <c r="M573" s="140"/>
    </row>
    <row r="574">
      <c r="B574" s="377"/>
      <c r="C574" s="377"/>
      <c r="D574" s="377"/>
      <c r="E574" s="476"/>
      <c r="M574" s="140"/>
    </row>
    <row r="575">
      <c r="B575" s="377"/>
      <c r="C575" s="377"/>
      <c r="D575" s="377"/>
      <c r="E575" s="476"/>
      <c r="M575" s="140"/>
    </row>
    <row r="576">
      <c r="B576" s="377"/>
      <c r="C576" s="377"/>
      <c r="D576" s="377"/>
      <c r="E576" s="476"/>
      <c r="M576" s="140"/>
    </row>
    <row r="577">
      <c r="B577" s="377"/>
      <c r="C577" s="377"/>
      <c r="D577" s="377"/>
      <c r="E577" s="476"/>
      <c r="M577" s="140"/>
    </row>
    <row r="578">
      <c r="B578" s="377"/>
      <c r="C578" s="377"/>
      <c r="D578" s="377"/>
      <c r="E578" s="476"/>
      <c r="M578" s="140"/>
    </row>
    <row r="579">
      <c r="B579" s="377"/>
      <c r="C579" s="377"/>
      <c r="D579" s="377"/>
      <c r="E579" s="476"/>
      <c r="M579" s="140"/>
    </row>
    <row r="580">
      <c r="B580" s="377"/>
      <c r="C580" s="377"/>
      <c r="D580" s="377"/>
      <c r="E580" s="476"/>
      <c r="M580" s="140"/>
    </row>
    <row r="581">
      <c r="B581" s="377"/>
      <c r="C581" s="377"/>
      <c r="D581" s="377"/>
      <c r="E581" s="476"/>
      <c r="M581" s="140"/>
    </row>
    <row r="582">
      <c r="B582" s="377"/>
      <c r="C582" s="377"/>
      <c r="D582" s="377"/>
      <c r="E582" s="476"/>
      <c r="M582" s="140"/>
    </row>
    <row r="583">
      <c r="B583" s="377"/>
      <c r="C583" s="377"/>
      <c r="D583" s="377"/>
      <c r="E583" s="476"/>
      <c r="M583" s="140"/>
    </row>
    <row r="584">
      <c r="B584" s="377"/>
      <c r="C584" s="377"/>
      <c r="D584" s="377"/>
      <c r="E584" s="476"/>
      <c r="M584" s="140"/>
    </row>
    <row r="585">
      <c r="B585" s="377"/>
      <c r="C585" s="377"/>
      <c r="D585" s="377"/>
      <c r="E585" s="476"/>
      <c r="M585" s="140"/>
    </row>
    <row r="586">
      <c r="B586" s="377"/>
      <c r="C586" s="377"/>
      <c r="D586" s="377"/>
      <c r="E586" s="476"/>
      <c r="M586" s="140"/>
    </row>
    <row r="587">
      <c r="B587" s="377"/>
      <c r="C587" s="377"/>
      <c r="D587" s="377"/>
      <c r="E587" s="476"/>
      <c r="M587" s="140"/>
    </row>
    <row r="588">
      <c r="B588" s="377"/>
      <c r="C588" s="377"/>
      <c r="D588" s="377"/>
      <c r="E588" s="476"/>
      <c r="M588" s="140"/>
    </row>
    <row r="589">
      <c r="B589" s="377"/>
      <c r="C589" s="377"/>
      <c r="D589" s="377"/>
      <c r="E589" s="476"/>
      <c r="M589" s="140"/>
    </row>
    <row r="590">
      <c r="B590" s="377"/>
      <c r="C590" s="377"/>
      <c r="D590" s="377"/>
      <c r="E590" s="476"/>
      <c r="M590" s="140"/>
    </row>
    <row r="591">
      <c r="B591" s="377"/>
      <c r="C591" s="377"/>
      <c r="D591" s="377"/>
      <c r="E591" s="476"/>
      <c r="M591" s="140"/>
    </row>
    <row r="592">
      <c r="B592" s="377"/>
      <c r="C592" s="377"/>
      <c r="D592" s="377"/>
      <c r="E592" s="476"/>
      <c r="M592" s="140"/>
    </row>
    <row r="593">
      <c r="B593" s="377"/>
      <c r="C593" s="377"/>
      <c r="D593" s="377"/>
      <c r="E593" s="476"/>
      <c r="M593" s="140"/>
    </row>
    <row r="594">
      <c r="B594" s="377"/>
      <c r="C594" s="377"/>
      <c r="D594" s="377"/>
      <c r="E594" s="476"/>
      <c r="M594" s="140"/>
    </row>
    <row r="595">
      <c r="B595" s="377"/>
      <c r="C595" s="377"/>
      <c r="D595" s="377"/>
      <c r="E595" s="476"/>
      <c r="M595" s="140"/>
    </row>
    <row r="596">
      <c r="B596" s="377"/>
      <c r="C596" s="377"/>
      <c r="D596" s="377"/>
      <c r="E596" s="476"/>
      <c r="M596" s="140"/>
    </row>
    <row r="597">
      <c r="B597" s="377"/>
      <c r="C597" s="377"/>
      <c r="D597" s="377"/>
      <c r="E597" s="476"/>
      <c r="M597" s="140"/>
    </row>
    <row r="598">
      <c r="B598" s="377"/>
      <c r="C598" s="377"/>
      <c r="D598" s="377"/>
      <c r="E598" s="476"/>
      <c r="M598" s="140"/>
    </row>
    <row r="599">
      <c r="B599" s="377"/>
      <c r="C599" s="377"/>
      <c r="D599" s="377"/>
      <c r="E599" s="476"/>
      <c r="M599" s="140"/>
    </row>
    <row r="600">
      <c r="B600" s="377"/>
      <c r="C600" s="377"/>
      <c r="D600" s="377"/>
      <c r="E600" s="476"/>
      <c r="M600" s="140"/>
    </row>
    <row r="601">
      <c r="B601" s="377"/>
      <c r="C601" s="377"/>
      <c r="D601" s="377"/>
      <c r="E601" s="476"/>
      <c r="M601" s="140"/>
    </row>
    <row r="602">
      <c r="B602" s="377"/>
      <c r="C602" s="377"/>
      <c r="D602" s="377"/>
      <c r="E602" s="476"/>
      <c r="M602" s="140"/>
    </row>
    <row r="603">
      <c r="B603" s="377"/>
      <c r="C603" s="377"/>
      <c r="D603" s="377"/>
      <c r="E603" s="476"/>
      <c r="M603" s="140"/>
    </row>
    <row r="604">
      <c r="B604" s="377"/>
      <c r="C604" s="377"/>
      <c r="D604" s="377"/>
      <c r="E604" s="476"/>
      <c r="M604" s="140"/>
    </row>
    <row r="605">
      <c r="B605" s="377"/>
      <c r="C605" s="377"/>
      <c r="D605" s="377"/>
      <c r="E605" s="476"/>
      <c r="M605" s="140"/>
    </row>
    <row r="606">
      <c r="B606" s="377"/>
      <c r="C606" s="377"/>
      <c r="D606" s="377"/>
      <c r="E606" s="476"/>
      <c r="M606" s="140"/>
    </row>
    <row r="607">
      <c r="B607" s="377"/>
      <c r="C607" s="377"/>
      <c r="D607" s="377"/>
      <c r="E607" s="476"/>
      <c r="M607" s="140"/>
    </row>
    <row r="608">
      <c r="B608" s="377"/>
      <c r="C608" s="377"/>
      <c r="D608" s="377"/>
      <c r="E608" s="476"/>
      <c r="M608" s="140"/>
    </row>
    <row r="609">
      <c r="B609" s="377"/>
      <c r="C609" s="377"/>
      <c r="D609" s="377"/>
      <c r="E609" s="476"/>
      <c r="M609" s="140"/>
    </row>
    <row r="610">
      <c r="B610" s="377"/>
      <c r="C610" s="377"/>
      <c r="D610" s="377"/>
      <c r="E610" s="476"/>
      <c r="M610" s="140"/>
    </row>
    <row r="611">
      <c r="B611" s="377"/>
      <c r="C611" s="377"/>
      <c r="D611" s="377"/>
      <c r="E611" s="476"/>
      <c r="M611" s="140"/>
    </row>
    <row r="612">
      <c r="B612" s="377"/>
      <c r="C612" s="377"/>
      <c r="D612" s="377"/>
      <c r="E612" s="476"/>
      <c r="M612" s="140"/>
    </row>
    <row r="613">
      <c r="B613" s="377"/>
      <c r="C613" s="377"/>
      <c r="D613" s="377"/>
      <c r="E613" s="476"/>
      <c r="M613" s="140"/>
    </row>
    <row r="614">
      <c r="B614" s="377"/>
      <c r="C614" s="377"/>
      <c r="D614" s="377"/>
      <c r="E614" s="476"/>
      <c r="M614" s="140"/>
    </row>
    <row r="615">
      <c r="B615" s="377"/>
      <c r="C615" s="377"/>
      <c r="D615" s="377"/>
      <c r="E615" s="476"/>
      <c r="M615" s="140"/>
    </row>
    <row r="616">
      <c r="B616" s="377"/>
      <c r="C616" s="377"/>
      <c r="D616" s="377"/>
      <c r="E616" s="476"/>
      <c r="M616" s="140"/>
    </row>
    <row r="617">
      <c r="B617" s="377"/>
      <c r="C617" s="377"/>
      <c r="D617" s="377"/>
      <c r="E617" s="476"/>
      <c r="M617" s="140"/>
    </row>
    <row r="618">
      <c r="B618" s="377"/>
      <c r="C618" s="377"/>
      <c r="D618" s="377"/>
      <c r="E618" s="476"/>
      <c r="M618" s="140"/>
    </row>
    <row r="619">
      <c r="B619" s="377"/>
      <c r="C619" s="377"/>
      <c r="D619" s="377"/>
      <c r="E619" s="476"/>
      <c r="M619" s="140"/>
    </row>
    <row r="620">
      <c r="B620" s="377"/>
      <c r="C620" s="377"/>
      <c r="D620" s="377"/>
      <c r="E620" s="476"/>
      <c r="M620" s="140"/>
    </row>
    <row r="621">
      <c r="B621" s="377"/>
      <c r="C621" s="377"/>
      <c r="D621" s="377"/>
      <c r="E621" s="476"/>
      <c r="M621" s="140"/>
    </row>
    <row r="622">
      <c r="B622" s="377"/>
      <c r="C622" s="377"/>
      <c r="D622" s="377"/>
      <c r="E622" s="476"/>
      <c r="M622" s="140"/>
    </row>
    <row r="623">
      <c r="B623" s="377"/>
      <c r="C623" s="377"/>
      <c r="D623" s="377"/>
      <c r="E623" s="476"/>
      <c r="M623" s="140"/>
    </row>
    <row r="624">
      <c r="B624" s="377"/>
      <c r="C624" s="377"/>
      <c r="D624" s="377"/>
      <c r="E624" s="476"/>
      <c r="M624" s="140"/>
    </row>
    <row r="625">
      <c r="B625" s="377"/>
      <c r="C625" s="377"/>
      <c r="D625" s="377"/>
      <c r="E625" s="476"/>
      <c r="M625" s="140"/>
    </row>
    <row r="626">
      <c r="B626" s="377"/>
      <c r="C626" s="377"/>
      <c r="D626" s="377"/>
      <c r="E626" s="476"/>
      <c r="M626" s="140"/>
    </row>
    <row r="627">
      <c r="B627" s="377"/>
      <c r="C627" s="377"/>
      <c r="D627" s="377"/>
      <c r="E627" s="476"/>
      <c r="M627" s="140"/>
    </row>
    <row r="628">
      <c r="B628" s="377"/>
      <c r="C628" s="377"/>
      <c r="D628" s="377"/>
      <c r="E628" s="476"/>
      <c r="M628" s="140"/>
    </row>
    <row r="629">
      <c r="B629" s="377"/>
      <c r="C629" s="377"/>
      <c r="D629" s="377"/>
      <c r="E629" s="476"/>
      <c r="M629" s="140"/>
    </row>
    <row r="630">
      <c r="B630" s="377"/>
      <c r="C630" s="377"/>
      <c r="D630" s="377"/>
      <c r="E630" s="476"/>
      <c r="M630" s="140"/>
    </row>
    <row r="631">
      <c r="B631" s="377"/>
      <c r="C631" s="377"/>
      <c r="D631" s="377"/>
      <c r="E631" s="476"/>
      <c r="M631" s="140"/>
    </row>
    <row r="632">
      <c r="B632" s="377"/>
      <c r="C632" s="377"/>
      <c r="D632" s="377"/>
      <c r="E632" s="476"/>
      <c r="M632" s="140"/>
    </row>
    <row r="633">
      <c r="B633" s="377"/>
      <c r="C633" s="377"/>
      <c r="D633" s="377"/>
      <c r="E633" s="476"/>
      <c r="M633" s="140"/>
    </row>
    <row r="634">
      <c r="B634" s="377"/>
      <c r="C634" s="377"/>
      <c r="D634" s="377"/>
      <c r="E634" s="476"/>
      <c r="M634" s="140"/>
    </row>
    <row r="635">
      <c r="B635" s="377"/>
      <c r="C635" s="377"/>
      <c r="D635" s="377"/>
      <c r="E635" s="476"/>
      <c r="M635" s="140"/>
    </row>
    <row r="636">
      <c r="B636" s="377"/>
      <c r="C636" s="377"/>
      <c r="D636" s="377"/>
      <c r="E636" s="476"/>
      <c r="M636" s="140"/>
    </row>
    <row r="637">
      <c r="B637" s="377"/>
      <c r="C637" s="377"/>
      <c r="D637" s="377"/>
      <c r="E637" s="476"/>
      <c r="M637" s="140"/>
    </row>
    <row r="638">
      <c r="B638" s="377"/>
      <c r="C638" s="377"/>
      <c r="D638" s="377"/>
      <c r="E638" s="476"/>
      <c r="M638" s="140"/>
    </row>
    <row r="639">
      <c r="B639" s="377"/>
      <c r="C639" s="377"/>
      <c r="D639" s="377"/>
      <c r="E639" s="476"/>
      <c r="M639" s="140"/>
    </row>
    <row r="640">
      <c r="B640" s="377"/>
      <c r="C640" s="377"/>
      <c r="D640" s="377"/>
      <c r="E640" s="476"/>
      <c r="M640" s="140"/>
    </row>
    <row r="641">
      <c r="B641" s="377"/>
      <c r="C641" s="377"/>
      <c r="D641" s="377"/>
      <c r="E641" s="476"/>
      <c r="M641" s="140"/>
    </row>
    <row r="642">
      <c r="B642" s="377"/>
      <c r="C642" s="377"/>
      <c r="D642" s="377"/>
      <c r="E642" s="476"/>
      <c r="M642" s="140"/>
    </row>
    <row r="643">
      <c r="B643" s="377"/>
      <c r="C643" s="377"/>
      <c r="D643" s="377"/>
      <c r="E643" s="476"/>
      <c r="M643" s="140"/>
    </row>
    <row r="644">
      <c r="B644" s="377"/>
      <c r="C644" s="377"/>
      <c r="D644" s="377"/>
      <c r="E644" s="476"/>
      <c r="M644" s="140"/>
    </row>
    <row r="645">
      <c r="B645" s="377"/>
      <c r="C645" s="377"/>
      <c r="D645" s="377"/>
      <c r="E645" s="476"/>
      <c r="M645" s="140"/>
    </row>
    <row r="646">
      <c r="B646" s="377"/>
      <c r="C646" s="377"/>
      <c r="D646" s="377"/>
      <c r="E646" s="476"/>
      <c r="M646" s="140"/>
    </row>
    <row r="647">
      <c r="B647" s="377"/>
      <c r="C647" s="377"/>
      <c r="D647" s="377"/>
      <c r="E647" s="476"/>
      <c r="M647" s="140"/>
    </row>
    <row r="648">
      <c r="B648" s="377"/>
      <c r="C648" s="377"/>
      <c r="D648" s="377"/>
      <c r="E648" s="476"/>
      <c r="M648" s="140"/>
    </row>
    <row r="649">
      <c r="B649" s="377"/>
      <c r="C649" s="377"/>
      <c r="D649" s="377"/>
      <c r="E649" s="476"/>
      <c r="M649" s="140"/>
    </row>
    <row r="650">
      <c r="B650" s="377"/>
      <c r="C650" s="377"/>
      <c r="D650" s="377"/>
      <c r="E650" s="476"/>
      <c r="M650" s="140"/>
    </row>
    <row r="651">
      <c r="B651" s="377"/>
      <c r="C651" s="377"/>
      <c r="D651" s="377"/>
      <c r="E651" s="476"/>
      <c r="M651" s="140"/>
    </row>
    <row r="652">
      <c r="B652" s="377"/>
      <c r="C652" s="377"/>
      <c r="D652" s="377"/>
      <c r="E652" s="476"/>
      <c r="M652" s="140"/>
    </row>
    <row r="653">
      <c r="B653" s="377"/>
      <c r="C653" s="377"/>
      <c r="D653" s="377"/>
      <c r="E653" s="476"/>
      <c r="M653" s="140"/>
    </row>
    <row r="654">
      <c r="B654" s="377"/>
      <c r="C654" s="377"/>
      <c r="D654" s="377"/>
      <c r="E654" s="476"/>
      <c r="M654" s="140"/>
    </row>
    <row r="655">
      <c r="B655" s="377"/>
      <c r="C655" s="377"/>
      <c r="D655" s="377"/>
      <c r="E655" s="476"/>
      <c r="M655" s="140"/>
    </row>
    <row r="656">
      <c r="B656" s="377"/>
      <c r="C656" s="377"/>
      <c r="D656" s="377"/>
      <c r="E656" s="476"/>
      <c r="M656" s="140"/>
    </row>
    <row r="657">
      <c r="B657" s="377"/>
      <c r="C657" s="377"/>
      <c r="D657" s="377"/>
      <c r="E657" s="476"/>
      <c r="M657" s="140"/>
    </row>
    <row r="658">
      <c r="B658" s="377"/>
      <c r="C658" s="377"/>
      <c r="D658" s="377"/>
      <c r="E658" s="476"/>
      <c r="M658" s="140"/>
    </row>
    <row r="659">
      <c r="B659" s="377"/>
      <c r="C659" s="377"/>
      <c r="D659" s="377"/>
      <c r="E659" s="476"/>
      <c r="M659" s="140"/>
    </row>
    <row r="660">
      <c r="B660" s="377"/>
      <c r="C660" s="377"/>
      <c r="D660" s="377"/>
      <c r="E660" s="476"/>
      <c r="M660" s="140"/>
    </row>
    <row r="661">
      <c r="B661" s="377"/>
      <c r="C661" s="377"/>
      <c r="D661" s="377"/>
      <c r="E661" s="476"/>
      <c r="M661" s="140"/>
    </row>
    <row r="662">
      <c r="B662" s="377"/>
      <c r="C662" s="377"/>
      <c r="D662" s="377"/>
      <c r="E662" s="476"/>
      <c r="M662" s="140"/>
    </row>
    <row r="663">
      <c r="B663" s="377"/>
      <c r="C663" s="377"/>
      <c r="D663" s="377"/>
      <c r="E663" s="476"/>
      <c r="M663" s="140"/>
    </row>
    <row r="664">
      <c r="B664" s="377"/>
      <c r="C664" s="377"/>
      <c r="D664" s="377"/>
      <c r="E664" s="476"/>
      <c r="M664" s="140"/>
    </row>
    <row r="665">
      <c r="B665" s="377"/>
      <c r="C665" s="377"/>
      <c r="D665" s="377"/>
      <c r="E665" s="476"/>
      <c r="M665" s="140"/>
    </row>
    <row r="666">
      <c r="B666" s="377"/>
      <c r="C666" s="377"/>
      <c r="D666" s="377"/>
      <c r="E666" s="476"/>
      <c r="M666" s="140"/>
    </row>
    <row r="667">
      <c r="B667" s="377"/>
      <c r="C667" s="377"/>
      <c r="D667" s="377"/>
      <c r="E667" s="476"/>
      <c r="M667" s="140"/>
    </row>
    <row r="668">
      <c r="B668" s="377"/>
      <c r="C668" s="377"/>
      <c r="D668" s="377"/>
      <c r="E668" s="476"/>
      <c r="M668" s="140"/>
    </row>
    <row r="669">
      <c r="B669" s="377"/>
      <c r="C669" s="377"/>
      <c r="D669" s="377"/>
      <c r="E669" s="476"/>
      <c r="M669" s="140"/>
    </row>
    <row r="670">
      <c r="B670" s="377"/>
      <c r="C670" s="377"/>
      <c r="D670" s="377"/>
      <c r="E670" s="476"/>
      <c r="M670" s="140"/>
    </row>
    <row r="671">
      <c r="B671" s="377"/>
      <c r="C671" s="377"/>
      <c r="D671" s="377"/>
      <c r="E671" s="476"/>
      <c r="M671" s="140"/>
    </row>
    <row r="672">
      <c r="B672" s="377"/>
      <c r="C672" s="377"/>
      <c r="D672" s="377"/>
      <c r="E672" s="476"/>
      <c r="M672" s="140"/>
    </row>
    <row r="673">
      <c r="B673" s="377"/>
      <c r="C673" s="377"/>
      <c r="D673" s="377"/>
      <c r="E673" s="476"/>
      <c r="M673" s="140"/>
    </row>
    <row r="674">
      <c r="B674" s="377"/>
      <c r="C674" s="377"/>
      <c r="D674" s="377"/>
      <c r="E674" s="476"/>
      <c r="M674" s="140"/>
    </row>
    <row r="675">
      <c r="B675" s="377"/>
      <c r="C675" s="377"/>
      <c r="D675" s="377"/>
      <c r="E675" s="476"/>
      <c r="M675" s="140"/>
    </row>
    <row r="676">
      <c r="B676" s="377"/>
      <c r="C676" s="377"/>
      <c r="D676" s="377"/>
      <c r="E676" s="476"/>
      <c r="M676" s="140"/>
    </row>
    <row r="677">
      <c r="B677" s="377"/>
      <c r="C677" s="377"/>
      <c r="D677" s="377"/>
      <c r="E677" s="476"/>
      <c r="M677" s="140"/>
    </row>
    <row r="678">
      <c r="B678" s="377"/>
      <c r="C678" s="377"/>
      <c r="D678" s="377"/>
      <c r="E678" s="476"/>
      <c r="M678" s="140"/>
    </row>
    <row r="679">
      <c r="B679" s="377"/>
      <c r="C679" s="377"/>
      <c r="D679" s="377"/>
      <c r="E679" s="476"/>
      <c r="M679" s="140"/>
    </row>
    <row r="680">
      <c r="B680" s="377"/>
      <c r="C680" s="377"/>
      <c r="D680" s="377"/>
      <c r="E680" s="476"/>
      <c r="M680" s="140"/>
    </row>
    <row r="681">
      <c r="B681" s="377"/>
      <c r="C681" s="377"/>
      <c r="D681" s="377"/>
      <c r="E681" s="476"/>
      <c r="M681" s="140"/>
    </row>
    <row r="682">
      <c r="B682" s="377"/>
      <c r="C682" s="377"/>
      <c r="D682" s="377"/>
      <c r="E682" s="476"/>
      <c r="M682" s="140"/>
    </row>
    <row r="683">
      <c r="B683" s="377"/>
      <c r="C683" s="377"/>
      <c r="D683" s="377"/>
      <c r="E683" s="476"/>
      <c r="M683" s="140"/>
    </row>
    <row r="684">
      <c r="B684" s="377"/>
      <c r="C684" s="377"/>
      <c r="D684" s="377"/>
      <c r="E684" s="476"/>
      <c r="M684" s="140"/>
    </row>
    <row r="685">
      <c r="B685" s="377"/>
      <c r="C685" s="377"/>
      <c r="D685" s="377"/>
      <c r="E685" s="476"/>
      <c r="M685" s="140"/>
    </row>
    <row r="686">
      <c r="B686" s="377"/>
      <c r="C686" s="377"/>
      <c r="D686" s="377"/>
      <c r="E686" s="476"/>
      <c r="M686" s="140"/>
    </row>
    <row r="687">
      <c r="B687" s="377"/>
      <c r="C687" s="377"/>
      <c r="D687" s="377"/>
      <c r="E687" s="476"/>
      <c r="M687" s="140"/>
    </row>
    <row r="688">
      <c r="B688" s="377"/>
      <c r="C688" s="377"/>
      <c r="D688" s="377"/>
      <c r="E688" s="476"/>
      <c r="M688" s="140"/>
    </row>
    <row r="689">
      <c r="B689" s="377"/>
      <c r="C689" s="377"/>
      <c r="D689" s="377"/>
      <c r="E689" s="476"/>
      <c r="M689" s="140"/>
    </row>
    <row r="690">
      <c r="B690" s="377"/>
      <c r="C690" s="377"/>
      <c r="D690" s="377"/>
      <c r="E690" s="476"/>
      <c r="M690" s="140"/>
    </row>
    <row r="691">
      <c r="B691" s="377"/>
      <c r="C691" s="377"/>
      <c r="D691" s="377"/>
      <c r="E691" s="476"/>
      <c r="M691" s="140"/>
    </row>
    <row r="692">
      <c r="B692" s="377"/>
      <c r="C692" s="377"/>
      <c r="D692" s="377"/>
      <c r="E692" s="476"/>
      <c r="M692" s="140"/>
    </row>
    <row r="693">
      <c r="B693" s="377"/>
      <c r="C693" s="377"/>
      <c r="D693" s="377"/>
      <c r="E693" s="476"/>
      <c r="M693" s="140"/>
    </row>
    <row r="694">
      <c r="B694" s="377"/>
      <c r="C694" s="377"/>
      <c r="D694" s="377"/>
      <c r="E694" s="476"/>
      <c r="M694" s="140"/>
    </row>
    <row r="695">
      <c r="B695" s="377"/>
      <c r="C695" s="377"/>
      <c r="D695" s="377"/>
      <c r="E695" s="476"/>
      <c r="M695" s="140"/>
    </row>
    <row r="696">
      <c r="B696" s="377"/>
      <c r="C696" s="377"/>
      <c r="D696" s="377"/>
      <c r="E696" s="476"/>
      <c r="M696" s="140"/>
    </row>
    <row r="697">
      <c r="B697" s="377"/>
      <c r="C697" s="377"/>
      <c r="D697" s="377"/>
      <c r="E697" s="476"/>
      <c r="M697" s="140"/>
    </row>
    <row r="698">
      <c r="B698" s="377"/>
      <c r="C698" s="377"/>
      <c r="D698" s="377"/>
      <c r="E698" s="476"/>
      <c r="M698" s="140"/>
    </row>
    <row r="699">
      <c r="B699" s="377"/>
      <c r="C699" s="377"/>
      <c r="D699" s="377"/>
      <c r="E699" s="476"/>
      <c r="M699" s="140"/>
    </row>
    <row r="700">
      <c r="B700" s="377"/>
      <c r="C700" s="377"/>
      <c r="D700" s="377"/>
      <c r="E700" s="476"/>
      <c r="M700" s="140"/>
    </row>
    <row r="701">
      <c r="B701" s="377"/>
      <c r="C701" s="377"/>
      <c r="D701" s="377"/>
      <c r="E701" s="476"/>
      <c r="M701" s="140"/>
    </row>
    <row r="702">
      <c r="B702" s="377"/>
      <c r="C702" s="377"/>
      <c r="D702" s="377"/>
      <c r="E702" s="476"/>
      <c r="M702" s="140"/>
    </row>
    <row r="703">
      <c r="B703" s="377"/>
      <c r="C703" s="377"/>
      <c r="D703" s="377"/>
      <c r="E703" s="476"/>
      <c r="M703" s="140"/>
    </row>
    <row r="704">
      <c r="B704" s="377"/>
      <c r="C704" s="377"/>
      <c r="D704" s="377"/>
      <c r="E704" s="476"/>
      <c r="M704" s="140"/>
    </row>
    <row r="705">
      <c r="B705" s="377"/>
      <c r="C705" s="377"/>
      <c r="D705" s="377"/>
      <c r="E705" s="476"/>
      <c r="M705" s="140"/>
    </row>
    <row r="706">
      <c r="B706" s="377"/>
      <c r="C706" s="377"/>
      <c r="D706" s="377"/>
      <c r="E706" s="476"/>
      <c r="M706" s="140"/>
    </row>
    <row r="707">
      <c r="B707" s="377"/>
      <c r="C707" s="377"/>
      <c r="D707" s="377"/>
      <c r="E707" s="476"/>
      <c r="M707" s="140"/>
    </row>
    <row r="708">
      <c r="B708" s="377"/>
      <c r="C708" s="377"/>
      <c r="D708" s="377"/>
      <c r="E708" s="476"/>
      <c r="M708" s="140"/>
    </row>
    <row r="709">
      <c r="B709" s="377"/>
      <c r="C709" s="377"/>
      <c r="D709" s="377"/>
      <c r="E709" s="476"/>
      <c r="M709" s="140"/>
    </row>
    <row r="710">
      <c r="B710" s="377"/>
      <c r="C710" s="377"/>
      <c r="D710" s="377"/>
      <c r="E710" s="476"/>
      <c r="M710" s="140"/>
    </row>
    <row r="711">
      <c r="B711" s="377"/>
      <c r="C711" s="377"/>
      <c r="D711" s="377"/>
      <c r="E711" s="476"/>
      <c r="M711" s="140"/>
    </row>
    <row r="712">
      <c r="B712" s="377"/>
      <c r="C712" s="377"/>
      <c r="D712" s="377"/>
      <c r="E712" s="476"/>
      <c r="M712" s="140"/>
    </row>
    <row r="713">
      <c r="B713" s="377"/>
      <c r="C713" s="377"/>
      <c r="D713" s="377"/>
      <c r="E713" s="476"/>
      <c r="M713" s="140"/>
    </row>
    <row r="714">
      <c r="B714" s="377"/>
      <c r="C714" s="377"/>
      <c r="D714" s="377"/>
      <c r="E714" s="476"/>
      <c r="M714" s="140"/>
    </row>
    <row r="715">
      <c r="B715" s="377"/>
      <c r="C715" s="377"/>
      <c r="D715" s="377"/>
      <c r="E715" s="476"/>
      <c r="M715" s="140"/>
    </row>
    <row r="716">
      <c r="B716" s="377"/>
      <c r="C716" s="377"/>
      <c r="D716" s="377"/>
      <c r="E716" s="476"/>
      <c r="M716" s="140"/>
    </row>
    <row r="717">
      <c r="B717" s="377"/>
      <c r="C717" s="377"/>
      <c r="D717" s="377"/>
      <c r="E717" s="476"/>
      <c r="M717" s="140"/>
    </row>
    <row r="718">
      <c r="B718" s="377"/>
      <c r="C718" s="377"/>
      <c r="D718" s="377"/>
      <c r="E718" s="476"/>
      <c r="M718" s="140"/>
    </row>
    <row r="719">
      <c r="B719" s="377"/>
      <c r="C719" s="377"/>
      <c r="D719" s="377"/>
      <c r="E719" s="476"/>
      <c r="M719" s="140"/>
    </row>
    <row r="720">
      <c r="B720" s="377"/>
      <c r="C720" s="377"/>
      <c r="D720" s="377"/>
      <c r="E720" s="476"/>
      <c r="M720" s="140"/>
    </row>
    <row r="721">
      <c r="B721" s="377"/>
      <c r="C721" s="377"/>
      <c r="D721" s="377"/>
      <c r="E721" s="476"/>
      <c r="M721" s="140"/>
    </row>
    <row r="722">
      <c r="B722" s="377"/>
      <c r="C722" s="377"/>
      <c r="D722" s="377"/>
      <c r="E722" s="476"/>
      <c r="M722" s="140"/>
    </row>
    <row r="723">
      <c r="B723" s="377"/>
      <c r="C723" s="377"/>
      <c r="D723" s="377"/>
      <c r="E723" s="476"/>
      <c r="M723" s="140"/>
    </row>
    <row r="724">
      <c r="B724" s="377"/>
      <c r="C724" s="377"/>
      <c r="D724" s="377"/>
      <c r="E724" s="476"/>
      <c r="M724" s="140"/>
    </row>
    <row r="725">
      <c r="B725" s="377"/>
      <c r="C725" s="377"/>
      <c r="D725" s="377"/>
      <c r="E725" s="476"/>
      <c r="M725" s="140"/>
    </row>
    <row r="726">
      <c r="B726" s="377"/>
      <c r="C726" s="377"/>
      <c r="D726" s="377"/>
      <c r="E726" s="476"/>
      <c r="M726" s="140"/>
    </row>
    <row r="727">
      <c r="B727" s="377"/>
      <c r="C727" s="377"/>
      <c r="D727" s="377"/>
      <c r="E727" s="476"/>
      <c r="M727" s="140"/>
    </row>
    <row r="728">
      <c r="B728" s="377"/>
      <c r="C728" s="377"/>
      <c r="D728" s="377"/>
      <c r="E728" s="476"/>
      <c r="M728" s="140"/>
    </row>
    <row r="729">
      <c r="B729" s="377"/>
      <c r="C729" s="377"/>
      <c r="D729" s="377"/>
      <c r="E729" s="476"/>
      <c r="M729" s="140"/>
    </row>
    <row r="730">
      <c r="B730" s="377"/>
      <c r="C730" s="377"/>
      <c r="D730" s="377"/>
      <c r="E730" s="476"/>
      <c r="M730" s="140"/>
    </row>
    <row r="731">
      <c r="B731" s="377"/>
      <c r="C731" s="377"/>
      <c r="D731" s="377"/>
      <c r="E731" s="476"/>
      <c r="M731" s="140"/>
    </row>
    <row r="732">
      <c r="B732" s="377"/>
      <c r="C732" s="377"/>
      <c r="D732" s="377"/>
      <c r="E732" s="476"/>
      <c r="M732" s="140"/>
    </row>
    <row r="733">
      <c r="B733" s="377"/>
      <c r="C733" s="377"/>
      <c r="D733" s="377"/>
      <c r="E733" s="476"/>
      <c r="M733" s="140"/>
    </row>
    <row r="734">
      <c r="B734" s="377"/>
      <c r="C734" s="377"/>
      <c r="D734" s="377"/>
      <c r="E734" s="476"/>
      <c r="M734" s="140"/>
    </row>
    <row r="735">
      <c r="B735" s="377"/>
      <c r="C735" s="377"/>
      <c r="D735" s="377"/>
      <c r="E735" s="476"/>
      <c r="M735" s="140"/>
    </row>
    <row r="736">
      <c r="B736" s="377"/>
      <c r="C736" s="377"/>
      <c r="D736" s="377"/>
      <c r="E736" s="476"/>
      <c r="M736" s="140"/>
    </row>
    <row r="737">
      <c r="B737" s="377"/>
      <c r="C737" s="377"/>
      <c r="D737" s="377"/>
      <c r="E737" s="476"/>
      <c r="M737" s="140"/>
    </row>
    <row r="738">
      <c r="B738" s="377"/>
      <c r="C738" s="377"/>
      <c r="D738" s="377"/>
      <c r="E738" s="476"/>
      <c r="M738" s="140"/>
    </row>
    <row r="739">
      <c r="B739" s="377"/>
      <c r="C739" s="377"/>
      <c r="D739" s="377"/>
      <c r="E739" s="476"/>
      <c r="M739" s="140"/>
    </row>
    <row r="740">
      <c r="B740" s="377"/>
      <c r="C740" s="377"/>
      <c r="D740" s="377"/>
      <c r="E740" s="476"/>
      <c r="M740" s="140"/>
    </row>
    <row r="741">
      <c r="B741" s="377"/>
      <c r="C741" s="377"/>
      <c r="D741" s="377"/>
      <c r="E741" s="476"/>
      <c r="M741" s="140"/>
    </row>
    <row r="742">
      <c r="B742" s="377"/>
      <c r="C742" s="377"/>
      <c r="D742" s="377"/>
      <c r="E742" s="476"/>
      <c r="M742" s="140"/>
    </row>
    <row r="743">
      <c r="B743" s="377"/>
      <c r="C743" s="377"/>
      <c r="D743" s="377"/>
      <c r="E743" s="476"/>
      <c r="M743" s="140"/>
    </row>
    <row r="744">
      <c r="B744" s="377"/>
      <c r="C744" s="377"/>
      <c r="D744" s="377"/>
      <c r="E744" s="476"/>
      <c r="M744" s="140"/>
    </row>
    <row r="745">
      <c r="B745" s="377"/>
      <c r="C745" s="377"/>
      <c r="D745" s="377"/>
      <c r="E745" s="476"/>
      <c r="M745" s="140"/>
    </row>
    <row r="746">
      <c r="B746" s="377"/>
      <c r="C746" s="377"/>
      <c r="D746" s="377"/>
      <c r="E746" s="476"/>
      <c r="M746" s="140"/>
    </row>
    <row r="747">
      <c r="B747" s="377"/>
      <c r="C747" s="377"/>
      <c r="D747" s="377"/>
      <c r="E747" s="476"/>
      <c r="M747" s="140"/>
    </row>
    <row r="748">
      <c r="B748" s="377"/>
      <c r="C748" s="377"/>
      <c r="D748" s="377"/>
      <c r="E748" s="476"/>
      <c r="M748" s="140"/>
    </row>
    <row r="749">
      <c r="B749" s="377"/>
      <c r="C749" s="377"/>
      <c r="D749" s="377"/>
      <c r="E749" s="476"/>
      <c r="M749" s="140"/>
    </row>
    <row r="750">
      <c r="B750" s="377"/>
      <c r="C750" s="377"/>
      <c r="D750" s="377"/>
      <c r="E750" s="476"/>
      <c r="M750" s="140"/>
    </row>
    <row r="751">
      <c r="B751" s="377"/>
      <c r="C751" s="377"/>
      <c r="D751" s="377"/>
      <c r="E751" s="476"/>
      <c r="M751" s="140"/>
    </row>
    <row r="752">
      <c r="B752" s="377"/>
      <c r="C752" s="377"/>
      <c r="D752" s="377"/>
      <c r="E752" s="476"/>
      <c r="M752" s="140"/>
    </row>
    <row r="753">
      <c r="B753" s="377"/>
      <c r="C753" s="377"/>
      <c r="D753" s="377"/>
      <c r="E753" s="476"/>
      <c r="M753" s="140"/>
    </row>
    <row r="754">
      <c r="B754" s="377"/>
      <c r="C754" s="377"/>
      <c r="D754" s="377"/>
      <c r="E754" s="476"/>
      <c r="M754" s="140"/>
    </row>
    <row r="755">
      <c r="B755" s="377"/>
      <c r="C755" s="377"/>
      <c r="D755" s="377"/>
      <c r="E755" s="476"/>
      <c r="M755" s="140"/>
    </row>
    <row r="756">
      <c r="B756" s="377"/>
      <c r="C756" s="377"/>
      <c r="D756" s="377"/>
      <c r="E756" s="476"/>
      <c r="M756" s="140"/>
    </row>
    <row r="757">
      <c r="B757" s="377"/>
      <c r="C757" s="377"/>
      <c r="D757" s="377"/>
      <c r="E757" s="476"/>
      <c r="M757" s="140"/>
    </row>
    <row r="758">
      <c r="B758" s="377"/>
      <c r="C758" s="377"/>
      <c r="D758" s="377"/>
      <c r="E758" s="476"/>
      <c r="M758" s="140"/>
    </row>
    <row r="759">
      <c r="B759" s="377"/>
      <c r="C759" s="377"/>
      <c r="D759" s="377"/>
      <c r="E759" s="476"/>
      <c r="M759" s="140"/>
    </row>
    <row r="760">
      <c r="B760" s="377"/>
      <c r="C760" s="377"/>
      <c r="D760" s="377"/>
      <c r="E760" s="476"/>
      <c r="M760" s="140"/>
    </row>
    <row r="761">
      <c r="B761" s="377"/>
      <c r="C761" s="377"/>
      <c r="D761" s="377"/>
      <c r="E761" s="476"/>
      <c r="M761" s="140"/>
    </row>
    <row r="762">
      <c r="B762" s="377"/>
      <c r="C762" s="377"/>
      <c r="D762" s="377"/>
      <c r="E762" s="476"/>
      <c r="M762" s="140"/>
    </row>
    <row r="763">
      <c r="B763" s="377"/>
      <c r="C763" s="377"/>
      <c r="D763" s="377"/>
      <c r="E763" s="476"/>
      <c r="M763" s="140"/>
    </row>
    <row r="764">
      <c r="B764" s="377"/>
      <c r="C764" s="377"/>
      <c r="D764" s="377"/>
      <c r="E764" s="476"/>
      <c r="M764" s="140"/>
    </row>
    <row r="765">
      <c r="B765" s="377"/>
      <c r="C765" s="377"/>
      <c r="D765" s="377"/>
      <c r="E765" s="476"/>
      <c r="M765" s="140"/>
    </row>
    <row r="766">
      <c r="B766" s="377"/>
      <c r="C766" s="377"/>
      <c r="D766" s="377"/>
      <c r="E766" s="476"/>
      <c r="M766" s="140"/>
    </row>
    <row r="767">
      <c r="B767" s="377"/>
      <c r="C767" s="377"/>
      <c r="D767" s="377"/>
      <c r="E767" s="476"/>
      <c r="M767" s="140"/>
    </row>
    <row r="768">
      <c r="B768" s="377"/>
      <c r="C768" s="377"/>
      <c r="D768" s="377"/>
      <c r="E768" s="476"/>
      <c r="M768" s="140"/>
    </row>
    <row r="769">
      <c r="B769" s="377"/>
      <c r="C769" s="377"/>
      <c r="D769" s="377"/>
      <c r="E769" s="476"/>
      <c r="M769" s="140"/>
    </row>
    <row r="770">
      <c r="B770" s="377"/>
      <c r="C770" s="377"/>
      <c r="D770" s="377"/>
      <c r="E770" s="476"/>
      <c r="M770" s="140"/>
    </row>
    <row r="771">
      <c r="B771" s="377"/>
      <c r="C771" s="377"/>
      <c r="D771" s="377"/>
      <c r="E771" s="476"/>
      <c r="M771" s="140"/>
    </row>
    <row r="772">
      <c r="B772" s="377"/>
      <c r="C772" s="377"/>
      <c r="D772" s="377"/>
      <c r="E772" s="476"/>
      <c r="M772" s="140"/>
    </row>
    <row r="773">
      <c r="B773" s="377"/>
      <c r="C773" s="377"/>
      <c r="D773" s="377"/>
      <c r="E773" s="476"/>
      <c r="M773" s="140"/>
    </row>
    <row r="774">
      <c r="B774" s="377"/>
      <c r="C774" s="377"/>
      <c r="D774" s="377"/>
      <c r="E774" s="476"/>
      <c r="M774" s="140"/>
    </row>
    <row r="775">
      <c r="B775" s="377"/>
      <c r="C775" s="377"/>
      <c r="D775" s="377"/>
      <c r="E775" s="476"/>
      <c r="M775" s="140"/>
    </row>
    <row r="776">
      <c r="B776" s="377"/>
      <c r="C776" s="377"/>
      <c r="D776" s="377"/>
      <c r="E776" s="476"/>
      <c r="M776" s="140"/>
    </row>
    <row r="777">
      <c r="B777" s="377"/>
      <c r="C777" s="377"/>
      <c r="D777" s="377"/>
      <c r="E777" s="476"/>
      <c r="M777" s="140"/>
    </row>
    <row r="778">
      <c r="B778" s="377"/>
      <c r="C778" s="377"/>
      <c r="D778" s="377"/>
      <c r="E778" s="476"/>
      <c r="M778" s="140"/>
    </row>
    <row r="779">
      <c r="B779" s="377"/>
      <c r="C779" s="377"/>
      <c r="D779" s="377"/>
      <c r="E779" s="476"/>
      <c r="M779" s="140"/>
    </row>
    <row r="780">
      <c r="B780" s="377"/>
      <c r="C780" s="377"/>
      <c r="D780" s="377"/>
      <c r="E780" s="476"/>
      <c r="M780" s="140"/>
    </row>
    <row r="781">
      <c r="B781" s="377"/>
      <c r="C781" s="377"/>
      <c r="D781" s="377"/>
      <c r="E781" s="476"/>
      <c r="M781" s="140"/>
    </row>
    <row r="782">
      <c r="B782" s="377"/>
      <c r="C782" s="377"/>
      <c r="D782" s="377"/>
      <c r="E782" s="476"/>
      <c r="M782" s="140"/>
    </row>
    <row r="783">
      <c r="B783" s="377"/>
      <c r="C783" s="377"/>
      <c r="D783" s="377"/>
      <c r="E783" s="476"/>
      <c r="M783" s="140"/>
    </row>
    <row r="784">
      <c r="B784" s="377"/>
      <c r="C784" s="377"/>
      <c r="D784" s="377"/>
      <c r="E784" s="476"/>
      <c r="M784" s="140"/>
    </row>
    <row r="785">
      <c r="B785" s="377"/>
      <c r="C785" s="377"/>
      <c r="D785" s="377"/>
      <c r="E785" s="476"/>
      <c r="M785" s="140"/>
    </row>
    <row r="786">
      <c r="B786" s="377"/>
      <c r="C786" s="377"/>
      <c r="D786" s="377"/>
      <c r="E786" s="476"/>
      <c r="M786" s="140"/>
    </row>
    <row r="787">
      <c r="B787" s="377"/>
      <c r="C787" s="377"/>
      <c r="D787" s="377"/>
      <c r="E787" s="476"/>
      <c r="M787" s="140"/>
    </row>
    <row r="788">
      <c r="B788" s="377"/>
      <c r="C788" s="377"/>
      <c r="D788" s="377"/>
      <c r="E788" s="476"/>
      <c r="M788" s="140"/>
    </row>
    <row r="789">
      <c r="B789" s="377"/>
      <c r="C789" s="377"/>
      <c r="D789" s="377"/>
      <c r="E789" s="476"/>
      <c r="M789" s="140"/>
    </row>
    <row r="790">
      <c r="B790" s="377"/>
      <c r="C790" s="377"/>
      <c r="D790" s="377"/>
      <c r="E790" s="476"/>
      <c r="M790" s="140"/>
    </row>
    <row r="791">
      <c r="B791" s="377"/>
      <c r="C791" s="377"/>
      <c r="D791" s="377"/>
      <c r="E791" s="476"/>
      <c r="M791" s="140"/>
    </row>
    <row r="792">
      <c r="B792" s="377"/>
      <c r="C792" s="377"/>
      <c r="D792" s="377"/>
      <c r="E792" s="476"/>
      <c r="M792" s="140"/>
    </row>
    <row r="793">
      <c r="B793" s="377"/>
      <c r="C793" s="377"/>
      <c r="D793" s="377"/>
      <c r="E793" s="476"/>
      <c r="M793" s="140"/>
    </row>
    <row r="794">
      <c r="B794" s="377"/>
      <c r="C794" s="377"/>
      <c r="D794" s="377"/>
      <c r="E794" s="476"/>
      <c r="M794" s="140"/>
    </row>
    <row r="795">
      <c r="B795" s="377"/>
      <c r="C795" s="377"/>
      <c r="D795" s="377"/>
      <c r="E795" s="476"/>
      <c r="M795" s="140"/>
    </row>
    <row r="796">
      <c r="B796" s="377"/>
      <c r="C796" s="377"/>
      <c r="D796" s="377"/>
      <c r="E796" s="476"/>
      <c r="M796" s="140"/>
    </row>
    <row r="797">
      <c r="B797" s="377"/>
      <c r="C797" s="377"/>
      <c r="D797" s="377"/>
      <c r="E797" s="476"/>
      <c r="M797" s="140"/>
    </row>
    <row r="798">
      <c r="B798" s="377"/>
      <c r="C798" s="377"/>
      <c r="D798" s="377"/>
      <c r="E798" s="476"/>
      <c r="M798" s="140"/>
    </row>
    <row r="799">
      <c r="B799" s="377"/>
      <c r="C799" s="377"/>
      <c r="D799" s="377"/>
      <c r="E799" s="476"/>
      <c r="M799" s="140"/>
    </row>
    <row r="800">
      <c r="B800" s="377"/>
      <c r="C800" s="377"/>
      <c r="D800" s="377"/>
      <c r="E800" s="476"/>
      <c r="M800" s="140"/>
    </row>
    <row r="801">
      <c r="B801" s="377"/>
      <c r="C801" s="377"/>
      <c r="D801" s="377"/>
      <c r="E801" s="476"/>
      <c r="M801" s="140"/>
    </row>
    <row r="802">
      <c r="B802" s="377"/>
      <c r="C802" s="377"/>
      <c r="D802" s="377"/>
      <c r="E802" s="476"/>
      <c r="M802" s="140"/>
    </row>
    <row r="803">
      <c r="B803" s="377"/>
      <c r="C803" s="377"/>
      <c r="D803" s="377"/>
      <c r="E803" s="476"/>
      <c r="M803" s="140"/>
    </row>
    <row r="804">
      <c r="B804" s="377"/>
      <c r="C804" s="377"/>
      <c r="D804" s="377"/>
      <c r="E804" s="476"/>
      <c r="M804" s="140"/>
    </row>
    <row r="805">
      <c r="B805" s="377"/>
      <c r="C805" s="377"/>
      <c r="D805" s="377"/>
      <c r="E805" s="476"/>
      <c r="M805" s="140"/>
    </row>
    <row r="806">
      <c r="B806" s="377"/>
      <c r="C806" s="377"/>
      <c r="D806" s="377"/>
      <c r="E806" s="476"/>
      <c r="M806" s="140"/>
    </row>
    <row r="807">
      <c r="B807" s="377"/>
      <c r="C807" s="377"/>
      <c r="D807" s="377"/>
      <c r="E807" s="476"/>
      <c r="M807" s="140"/>
    </row>
    <row r="808">
      <c r="B808" s="377"/>
      <c r="C808" s="377"/>
      <c r="D808" s="377"/>
      <c r="E808" s="476"/>
      <c r="M808" s="140"/>
    </row>
    <row r="809">
      <c r="B809" s="377"/>
      <c r="C809" s="377"/>
      <c r="D809" s="377"/>
      <c r="E809" s="476"/>
      <c r="M809" s="140"/>
    </row>
    <row r="810">
      <c r="B810" s="377"/>
      <c r="C810" s="377"/>
      <c r="D810" s="377"/>
      <c r="E810" s="476"/>
      <c r="M810" s="140"/>
    </row>
    <row r="811">
      <c r="B811" s="377"/>
      <c r="C811" s="377"/>
      <c r="D811" s="377"/>
      <c r="E811" s="476"/>
      <c r="M811" s="140"/>
    </row>
    <row r="812">
      <c r="B812" s="377"/>
      <c r="C812" s="377"/>
      <c r="D812" s="377"/>
      <c r="E812" s="476"/>
      <c r="M812" s="140"/>
    </row>
    <row r="813">
      <c r="B813" s="377"/>
      <c r="C813" s="377"/>
      <c r="D813" s="377"/>
      <c r="E813" s="476"/>
      <c r="M813" s="140"/>
    </row>
    <row r="814">
      <c r="B814" s="377"/>
      <c r="C814" s="377"/>
      <c r="D814" s="377"/>
      <c r="E814" s="476"/>
      <c r="M814" s="140"/>
    </row>
    <row r="815">
      <c r="B815" s="377"/>
      <c r="C815" s="377"/>
      <c r="D815" s="377"/>
      <c r="E815" s="476"/>
      <c r="M815" s="140"/>
    </row>
    <row r="816">
      <c r="B816" s="377"/>
      <c r="C816" s="377"/>
      <c r="D816" s="377"/>
      <c r="E816" s="476"/>
      <c r="M816" s="140"/>
    </row>
    <row r="817">
      <c r="B817" s="377"/>
      <c r="C817" s="377"/>
      <c r="D817" s="377"/>
      <c r="E817" s="476"/>
      <c r="M817" s="140"/>
    </row>
    <row r="818">
      <c r="B818" s="377"/>
      <c r="C818" s="377"/>
      <c r="D818" s="377"/>
      <c r="E818" s="476"/>
      <c r="M818" s="140"/>
    </row>
    <row r="819">
      <c r="B819" s="377"/>
      <c r="C819" s="377"/>
      <c r="D819" s="377"/>
      <c r="E819" s="476"/>
      <c r="M819" s="140"/>
    </row>
    <row r="820">
      <c r="B820" s="377"/>
      <c r="C820" s="377"/>
      <c r="D820" s="377"/>
      <c r="E820" s="476"/>
      <c r="M820" s="140"/>
    </row>
    <row r="821">
      <c r="B821" s="377"/>
      <c r="C821" s="377"/>
      <c r="D821" s="377"/>
      <c r="E821" s="476"/>
      <c r="M821" s="140"/>
    </row>
    <row r="822">
      <c r="B822" s="377"/>
      <c r="C822" s="377"/>
      <c r="D822" s="377"/>
      <c r="E822" s="476"/>
      <c r="M822" s="140"/>
    </row>
    <row r="823">
      <c r="B823" s="377"/>
      <c r="C823" s="377"/>
      <c r="D823" s="377"/>
      <c r="E823" s="476"/>
      <c r="M823" s="140"/>
    </row>
    <row r="824">
      <c r="B824" s="377"/>
      <c r="C824" s="377"/>
      <c r="D824" s="377"/>
      <c r="E824" s="476"/>
      <c r="M824" s="140"/>
    </row>
    <row r="825">
      <c r="B825" s="377"/>
      <c r="C825" s="377"/>
      <c r="D825" s="377"/>
      <c r="E825" s="476"/>
      <c r="M825" s="140"/>
    </row>
    <row r="826">
      <c r="B826" s="377"/>
      <c r="C826" s="377"/>
      <c r="D826" s="377"/>
      <c r="E826" s="476"/>
      <c r="M826" s="140"/>
    </row>
    <row r="827">
      <c r="B827" s="377"/>
      <c r="C827" s="377"/>
      <c r="D827" s="377"/>
      <c r="E827" s="476"/>
      <c r="M827" s="140"/>
    </row>
    <row r="828">
      <c r="B828" s="377"/>
      <c r="C828" s="377"/>
      <c r="D828" s="377"/>
      <c r="E828" s="476"/>
      <c r="M828" s="140"/>
    </row>
    <row r="829">
      <c r="B829" s="377"/>
      <c r="C829" s="377"/>
      <c r="D829" s="377"/>
      <c r="E829" s="476"/>
      <c r="M829" s="140"/>
    </row>
    <row r="830">
      <c r="B830" s="377"/>
      <c r="C830" s="377"/>
      <c r="D830" s="377"/>
      <c r="E830" s="476"/>
      <c r="M830" s="140"/>
    </row>
    <row r="831">
      <c r="B831" s="377"/>
      <c r="C831" s="377"/>
      <c r="D831" s="377"/>
      <c r="E831" s="476"/>
      <c r="M831" s="140"/>
    </row>
    <row r="832">
      <c r="B832" s="377"/>
      <c r="C832" s="377"/>
      <c r="D832" s="377"/>
      <c r="E832" s="476"/>
      <c r="M832" s="140"/>
    </row>
    <row r="833">
      <c r="B833" s="377"/>
      <c r="C833" s="377"/>
      <c r="D833" s="377"/>
      <c r="E833" s="476"/>
      <c r="M833" s="140"/>
    </row>
    <row r="834">
      <c r="B834" s="377"/>
      <c r="C834" s="377"/>
      <c r="D834" s="377"/>
      <c r="E834" s="476"/>
      <c r="M834" s="140"/>
    </row>
    <row r="835">
      <c r="B835" s="377"/>
      <c r="C835" s="377"/>
      <c r="D835" s="377"/>
      <c r="E835" s="476"/>
      <c r="M835" s="140"/>
    </row>
    <row r="836">
      <c r="B836" s="377"/>
      <c r="C836" s="377"/>
      <c r="D836" s="377"/>
      <c r="E836" s="476"/>
      <c r="M836" s="140"/>
    </row>
    <row r="837">
      <c r="B837" s="377"/>
      <c r="C837" s="377"/>
      <c r="D837" s="377"/>
      <c r="E837" s="476"/>
      <c r="M837" s="140"/>
    </row>
    <row r="838">
      <c r="B838" s="377"/>
      <c r="C838" s="377"/>
      <c r="D838" s="377"/>
      <c r="E838" s="476"/>
      <c r="M838" s="140"/>
    </row>
    <row r="839">
      <c r="B839" s="377"/>
      <c r="C839" s="377"/>
      <c r="D839" s="377"/>
      <c r="E839" s="476"/>
      <c r="M839" s="140"/>
    </row>
    <row r="840">
      <c r="B840" s="377"/>
      <c r="C840" s="377"/>
      <c r="D840" s="377"/>
      <c r="E840" s="476"/>
      <c r="M840" s="140"/>
    </row>
    <row r="841">
      <c r="B841" s="377"/>
      <c r="C841" s="377"/>
      <c r="D841" s="377"/>
      <c r="E841" s="476"/>
      <c r="M841" s="140"/>
    </row>
    <row r="842">
      <c r="B842" s="377"/>
      <c r="C842" s="377"/>
      <c r="D842" s="377"/>
      <c r="E842" s="476"/>
      <c r="M842" s="140"/>
    </row>
    <row r="843">
      <c r="B843" s="377"/>
      <c r="C843" s="377"/>
      <c r="D843" s="377"/>
      <c r="E843" s="476"/>
      <c r="M843" s="140"/>
    </row>
    <row r="844">
      <c r="B844" s="377"/>
      <c r="C844" s="377"/>
      <c r="D844" s="377"/>
      <c r="E844" s="476"/>
      <c r="M844" s="140"/>
    </row>
    <row r="845">
      <c r="B845" s="377"/>
      <c r="C845" s="377"/>
      <c r="D845" s="377"/>
      <c r="E845" s="476"/>
      <c r="M845" s="140"/>
    </row>
    <row r="846">
      <c r="B846" s="377"/>
      <c r="C846" s="377"/>
      <c r="D846" s="377"/>
      <c r="E846" s="476"/>
      <c r="M846" s="140"/>
    </row>
    <row r="847">
      <c r="B847" s="377"/>
      <c r="C847" s="377"/>
      <c r="D847" s="377"/>
      <c r="E847" s="476"/>
      <c r="M847" s="140"/>
    </row>
    <row r="848">
      <c r="B848" s="377"/>
      <c r="C848" s="377"/>
      <c r="D848" s="377"/>
      <c r="E848" s="476"/>
      <c r="M848" s="140"/>
    </row>
    <row r="849">
      <c r="B849" s="377"/>
      <c r="C849" s="377"/>
      <c r="D849" s="377"/>
      <c r="E849" s="476"/>
      <c r="M849" s="140"/>
    </row>
    <row r="850">
      <c r="B850" s="377"/>
      <c r="C850" s="377"/>
      <c r="D850" s="377"/>
      <c r="E850" s="476"/>
      <c r="M850" s="140"/>
    </row>
    <row r="851">
      <c r="B851" s="377"/>
      <c r="C851" s="377"/>
      <c r="D851" s="377"/>
      <c r="E851" s="476"/>
      <c r="M851" s="140"/>
    </row>
    <row r="852">
      <c r="B852" s="377"/>
      <c r="C852" s="377"/>
      <c r="D852" s="377"/>
      <c r="E852" s="476"/>
      <c r="M852" s="140"/>
    </row>
    <row r="853">
      <c r="B853" s="377"/>
      <c r="C853" s="377"/>
      <c r="D853" s="377"/>
      <c r="E853" s="476"/>
      <c r="M853" s="140"/>
    </row>
    <row r="854">
      <c r="B854" s="377"/>
      <c r="C854" s="377"/>
      <c r="D854" s="377"/>
      <c r="E854" s="476"/>
      <c r="M854" s="140"/>
    </row>
    <row r="855">
      <c r="B855" s="377"/>
      <c r="C855" s="377"/>
      <c r="D855" s="377"/>
      <c r="E855" s="476"/>
      <c r="M855" s="140"/>
    </row>
    <row r="856">
      <c r="B856" s="377"/>
      <c r="C856" s="377"/>
      <c r="D856" s="377"/>
      <c r="E856" s="476"/>
      <c r="M856" s="140"/>
    </row>
    <row r="857">
      <c r="B857" s="377"/>
      <c r="C857" s="377"/>
      <c r="D857" s="377"/>
      <c r="E857" s="476"/>
      <c r="M857" s="140"/>
    </row>
    <row r="858">
      <c r="B858" s="377"/>
      <c r="C858" s="377"/>
      <c r="D858" s="377"/>
      <c r="E858" s="476"/>
      <c r="M858" s="140"/>
    </row>
    <row r="859">
      <c r="B859" s="377"/>
      <c r="C859" s="377"/>
      <c r="D859" s="377"/>
      <c r="E859" s="476"/>
      <c r="M859" s="140"/>
    </row>
    <row r="860">
      <c r="B860" s="377"/>
      <c r="C860" s="377"/>
      <c r="D860" s="377"/>
      <c r="E860" s="476"/>
      <c r="M860" s="140"/>
    </row>
    <row r="861">
      <c r="B861" s="377"/>
      <c r="C861" s="377"/>
      <c r="D861" s="377"/>
      <c r="E861" s="476"/>
      <c r="M861" s="140"/>
    </row>
    <row r="862">
      <c r="B862" s="377"/>
      <c r="C862" s="377"/>
      <c r="D862" s="377"/>
      <c r="E862" s="476"/>
      <c r="M862" s="140"/>
    </row>
    <row r="863">
      <c r="B863" s="377"/>
      <c r="C863" s="377"/>
      <c r="D863" s="377"/>
      <c r="E863" s="476"/>
      <c r="M863" s="140"/>
    </row>
    <row r="864">
      <c r="B864" s="377"/>
      <c r="C864" s="377"/>
      <c r="D864" s="377"/>
      <c r="E864" s="476"/>
      <c r="M864" s="140"/>
    </row>
    <row r="865">
      <c r="B865" s="377"/>
      <c r="C865" s="377"/>
      <c r="D865" s="377"/>
      <c r="E865" s="476"/>
      <c r="M865" s="140"/>
    </row>
    <row r="866">
      <c r="B866" s="377"/>
      <c r="C866" s="377"/>
      <c r="D866" s="377"/>
      <c r="E866" s="476"/>
      <c r="M866" s="140"/>
    </row>
    <row r="867">
      <c r="B867" s="377"/>
      <c r="C867" s="377"/>
      <c r="D867" s="377"/>
      <c r="E867" s="476"/>
      <c r="M867" s="140"/>
    </row>
    <row r="868">
      <c r="B868" s="377"/>
      <c r="C868" s="377"/>
      <c r="D868" s="377"/>
      <c r="E868" s="476"/>
      <c r="M868" s="140"/>
    </row>
    <row r="869">
      <c r="B869" s="377"/>
      <c r="C869" s="377"/>
      <c r="D869" s="377"/>
      <c r="E869" s="476"/>
      <c r="M869" s="140"/>
    </row>
    <row r="870">
      <c r="B870" s="377"/>
      <c r="C870" s="377"/>
      <c r="D870" s="377"/>
      <c r="E870" s="476"/>
      <c r="M870" s="140"/>
    </row>
    <row r="871">
      <c r="B871" s="377"/>
      <c r="C871" s="377"/>
      <c r="D871" s="377"/>
      <c r="E871" s="476"/>
      <c r="M871" s="140"/>
    </row>
    <row r="872">
      <c r="B872" s="377"/>
      <c r="C872" s="377"/>
      <c r="D872" s="377"/>
      <c r="E872" s="476"/>
      <c r="M872" s="140"/>
    </row>
    <row r="873">
      <c r="B873" s="377"/>
      <c r="C873" s="377"/>
      <c r="D873" s="377"/>
      <c r="E873" s="476"/>
      <c r="M873" s="140"/>
    </row>
    <row r="874">
      <c r="B874" s="377"/>
      <c r="C874" s="377"/>
      <c r="D874" s="377"/>
      <c r="E874" s="476"/>
      <c r="M874" s="140"/>
    </row>
    <row r="875">
      <c r="B875" s="377"/>
      <c r="C875" s="377"/>
      <c r="D875" s="377"/>
      <c r="E875" s="476"/>
      <c r="M875" s="140"/>
    </row>
    <row r="876">
      <c r="B876" s="377"/>
      <c r="C876" s="377"/>
      <c r="D876" s="377"/>
      <c r="E876" s="476"/>
      <c r="M876" s="140"/>
    </row>
    <row r="877">
      <c r="B877" s="377"/>
      <c r="C877" s="377"/>
      <c r="D877" s="377"/>
      <c r="E877" s="476"/>
      <c r="M877" s="140"/>
    </row>
    <row r="878">
      <c r="B878" s="377"/>
      <c r="C878" s="377"/>
      <c r="D878" s="377"/>
      <c r="E878" s="476"/>
      <c r="M878" s="140"/>
    </row>
    <row r="879">
      <c r="B879" s="377"/>
      <c r="C879" s="377"/>
      <c r="D879" s="377"/>
      <c r="E879" s="476"/>
      <c r="M879" s="140"/>
    </row>
    <row r="880">
      <c r="B880" s="377"/>
      <c r="C880" s="377"/>
      <c r="D880" s="377"/>
      <c r="E880" s="476"/>
      <c r="M880" s="140"/>
    </row>
    <row r="881">
      <c r="B881" s="377"/>
      <c r="C881" s="377"/>
      <c r="D881" s="377"/>
      <c r="E881" s="476"/>
      <c r="M881" s="140"/>
    </row>
    <row r="882">
      <c r="B882" s="377"/>
      <c r="C882" s="377"/>
      <c r="D882" s="377"/>
      <c r="E882" s="476"/>
      <c r="M882" s="140"/>
    </row>
    <row r="883">
      <c r="B883" s="377"/>
      <c r="C883" s="377"/>
      <c r="D883" s="377"/>
      <c r="E883" s="476"/>
      <c r="M883" s="140"/>
    </row>
    <row r="884">
      <c r="B884" s="377"/>
      <c r="C884" s="377"/>
      <c r="D884" s="377"/>
      <c r="E884" s="476"/>
      <c r="M884" s="140"/>
    </row>
    <row r="885">
      <c r="B885" s="377"/>
      <c r="C885" s="377"/>
      <c r="D885" s="377"/>
      <c r="E885" s="476"/>
      <c r="M885" s="140"/>
    </row>
    <row r="886">
      <c r="B886" s="377"/>
      <c r="C886" s="377"/>
      <c r="D886" s="377"/>
      <c r="E886" s="476"/>
      <c r="M886" s="140"/>
    </row>
    <row r="887">
      <c r="B887" s="377"/>
      <c r="C887" s="377"/>
      <c r="D887" s="377"/>
      <c r="E887" s="476"/>
      <c r="M887" s="140"/>
    </row>
    <row r="888">
      <c r="B888" s="377"/>
      <c r="C888" s="377"/>
      <c r="D888" s="377"/>
      <c r="E888" s="476"/>
      <c r="M888" s="140"/>
    </row>
    <row r="889">
      <c r="B889" s="377"/>
      <c r="C889" s="377"/>
      <c r="D889" s="377"/>
      <c r="E889" s="476"/>
      <c r="M889" s="140"/>
    </row>
    <row r="890">
      <c r="B890" s="377"/>
      <c r="C890" s="377"/>
      <c r="D890" s="377"/>
      <c r="E890" s="476"/>
      <c r="M890" s="140"/>
    </row>
    <row r="891">
      <c r="B891" s="377"/>
      <c r="C891" s="377"/>
      <c r="D891" s="377"/>
      <c r="E891" s="476"/>
      <c r="M891" s="140"/>
    </row>
    <row r="892">
      <c r="B892" s="377"/>
      <c r="C892" s="377"/>
      <c r="D892" s="377"/>
      <c r="E892" s="476"/>
      <c r="M892" s="140"/>
    </row>
    <row r="893">
      <c r="B893" s="377"/>
      <c r="C893" s="377"/>
      <c r="D893" s="377"/>
      <c r="E893" s="476"/>
      <c r="M893" s="140"/>
    </row>
    <row r="894">
      <c r="B894" s="377"/>
      <c r="C894" s="377"/>
      <c r="D894" s="377"/>
      <c r="E894" s="476"/>
      <c r="M894" s="140"/>
    </row>
    <row r="895">
      <c r="B895" s="377"/>
      <c r="C895" s="377"/>
      <c r="D895" s="377"/>
      <c r="E895" s="476"/>
      <c r="M895" s="140"/>
    </row>
    <row r="896">
      <c r="B896" s="377"/>
      <c r="C896" s="377"/>
      <c r="D896" s="377"/>
      <c r="E896" s="476"/>
      <c r="M896" s="140"/>
    </row>
    <row r="897">
      <c r="B897" s="377"/>
      <c r="C897" s="377"/>
      <c r="D897" s="377"/>
      <c r="E897" s="476"/>
      <c r="M897" s="140"/>
    </row>
    <row r="898">
      <c r="B898" s="377"/>
      <c r="C898" s="377"/>
      <c r="D898" s="377"/>
      <c r="E898" s="476"/>
      <c r="M898" s="140"/>
    </row>
    <row r="899">
      <c r="B899" s="377"/>
      <c r="C899" s="377"/>
      <c r="D899" s="377"/>
      <c r="E899" s="476"/>
      <c r="M899" s="140"/>
    </row>
    <row r="900">
      <c r="B900" s="377"/>
      <c r="C900" s="377"/>
      <c r="D900" s="377"/>
      <c r="E900" s="476"/>
      <c r="M900" s="140"/>
    </row>
    <row r="901">
      <c r="B901" s="377"/>
      <c r="C901" s="377"/>
      <c r="D901" s="377"/>
      <c r="E901" s="476"/>
      <c r="M901" s="140"/>
    </row>
    <row r="902">
      <c r="B902" s="377"/>
      <c r="C902" s="377"/>
      <c r="D902" s="377"/>
      <c r="E902" s="476"/>
      <c r="M902" s="140"/>
    </row>
    <row r="903">
      <c r="B903" s="377"/>
      <c r="C903" s="377"/>
      <c r="D903" s="377"/>
      <c r="E903" s="476"/>
      <c r="M903" s="140"/>
    </row>
    <row r="904">
      <c r="B904" s="377"/>
      <c r="C904" s="377"/>
      <c r="D904" s="377"/>
      <c r="E904" s="476"/>
      <c r="M904" s="140"/>
    </row>
    <row r="905">
      <c r="B905" s="377"/>
      <c r="C905" s="377"/>
      <c r="D905" s="377"/>
      <c r="E905" s="476"/>
      <c r="M905" s="140"/>
    </row>
    <row r="906">
      <c r="B906" s="377"/>
      <c r="C906" s="377"/>
      <c r="D906" s="377"/>
      <c r="E906" s="476"/>
      <c r="M906" s="140"/>
    </row>
    <row r="907">
      <c r="B907" s="377"/>
      <c r="C907" s="377"/>
      <c r="D907" s="377"/>
      <c r="E907" s="476"/>
      <c r="M907" s="140"/>
    </row>
    <row r="908">
      <c r="B908" s="377"/>
      <c r="C908" s="377"/>
      <c r="D908" s="377"/>
      <c r="E908" s="476"/>
      <c r="M908" s="140"/>
    </row>
    <row r="909">
      <c r="B909" s="377"/>
      <c r="C909" s="377"/>
      <c r="D909" s="377"/>
      <c r="E909" s="476"/>
      <c r="M909" s="140"/>
    </row>
    <row r="910">
      <c r="B910" s="377"/>
      <c r="C910" s="377"/>
      <c r="D910" s="377"/>
      <c r="E910" s="476"/>
      <c r="M910" s="140"/>
    </row>
    <row r="911">
      <c r="B911" s="377"/>
      <c r="C911" s="377"/>
      <c r="D911" s="377"/>
      <c r="E911" s="476"/>
      <c r="M911" s="140"/>
    </row>
    <row r="912">
      <c r="B912" s="377"/>
      <c r="C912" s="377"/>
      <c r="D912" s="377"/>
      <c r="E912" s="476"/>
      <c r="M912" s="140"/>
    </row>
    <row r="913">
      <c r="B913" s="377"/>
      <c r="C913" s="377"/>
      <c r="D913" s="377"/>
      <c r="E913" s="476"/>
      <c r="M913" s="140"/>
    </row>
    <row r="914">
      <c r="B914" s="377"/>
      <c r="C914" s="377"/>
      <c r="D914" s="377"/>
      <c r="E914" s="476"/>
      <c r="M914" s="140"/>
    </row>
    <row r="915">
      <c r="B915" s="377"/>
      <c r="C915" s="377"/>
      <c r="D915" s="377"/>
      <c r="E915" s="476"/>
      <c r="M915" s="140"/>
    </row>
    <row r="916">
      <c r="B916" s="377"/>
      <c r="C916" s="377"/>
      <c r="D916" s="377"/>
      <c r="E916" s="476"/>
      <c r="M916" s="140"/>
    </row>
    <row r="917">
      <c r="B917" s="377"/>
      <c r="C917" s="377"/>
      <c r="D917" s="377"/>
      <c r="E917" s="476"/>
      <c r="M917" s="140"/>
    </row>
    <row r="918">
      <c r="B918" s="377"/>
      <c r="C918" s="377"/>
      <c r="D918" s="377"/>
      <c r="E918" s="476"/>
      <c r="M918" s="140"/>
    </row>
    <row r="919">
      <c r="B919" s="377"/>
      <c r="C919" s="377"/>
      <c r="D919" s="377"/>
      <c r="E919" s="476"/>
      <c r="M919" s="140"/>
    </row>
    <row r="920">
      <c r="B920" s="377"/>
      <c r="C920" s="377"/>
      <c r="D920" s="377"/>
      <c r="E920" s="476"/>
      <c r="M920" s="140"/>
    </row>
    <row r="921">
      <c r="B921" s="377"/>
      <c r="C921" s="377"/>
      <c r="D921" s="377"/>
      <c r="E921" s="476"/>
      <c r="M921" s="140"/>
    </row>
    <row r="922">
      <c r="B922" s="377"/>
      <c r="C922" s="377"/>
      <c r="D922" s="377"/>
      <c r="E922" s="476"/>
      <c r="M922" s="140"/>
    </row>
    <row r="923">
      <c r="B923" s="377"/>
      <c r="C923" s="377"/>
      <c r="D923" s="377"/>
      <c r="E923" s="476"/>
      <c r="M923" s="140"/>
    </row>
    <row r="924">
      <c r="B924" s="377"/>
      <c r="C924" s="377"/>
      <c r="D924" s="377"/>
      <c r="E924" s="476"/>
      <c r="M924" s="140"/>
    </row>
    <row r="925">
      <c r="B925" s="377"/>
      <c r="C925" s="377"/>
      <c r="D925" s="377"/>
      <c r="E925" s="476"/>
      <c r="M925" s="140"/>
    </row>
    <row r="926">
      <c r="B926" s="377"/>
      <c r="C926" s="377"/>
      <c r="D926" s="377"/>
      <c r="E926" s="476"/>
      <c r="M926" s="140"/>
    </row>
    <row r="927">
      <c r="B927" s="377"/>
      <c r="C927" s="377"/>
      <c r="D927" s="377"/>
      <c r="E927" s="476"/>
      <c r="M927" s="140"/>
    </row>
    <row r="928">
      <c r="B928" s="377"/>
      <c r="C928" s="377"/>
      <c r="D928" s="377"/>
      <c r="E928" s="476"/>
      <c r="M928" s="140"/>
    </row>
    <row r="929">
      <c r="B929" s="377"/>
      <c r="C929" s="377"/>
      <c r="D929" s="377"/>
      <c r="E929" s="476"/>
      <c r="M929" s="140"/>
    </row>
    <row r="930">
      <c r="B930" s="377"/>
      <c r="C930" s="377"/>
      <c r="D930" s="377"/>
      <c r="E930" s="476"/>
      <c r="M930" s="140"/>
    </row>
    <row r="931">
      <c r="B931" s="377"/>
      <c r="C931" s="377"/>
      <c r="D931" s="377"/>
      <c r="E931" s="476"/>
      <c r="M931" s="140"/>
    </row>
    <row r="932">
      <c r="B932" s="377"/>
      <c r="C932" s="377"/>
      <c r="D932" s="377"/>
      <c r="E932" s="476"/>
      <c r="M932" s="140"/>
    </row>
    <row r="933">
      <c r="B933" s="377"/>
      <c r="C933" s="377"/>
      <c r="D933" s="377"/>
      <c r="E933" s="476"/>
      <c r="M933" s="140"/>
    </row>
    <row r="934">
      <c r="B934" s="377"/>
      <c r="C934" s="377"/>
      <c r="D934" s="377"/>
      <c r="E934" s="476"/>
      <c r="M934" s="140"/>
    </row>
    <row r="935">
      <c r="B935" s="377"/>
      <c r="C935" s="377"/>
      <c r="D935" s="377"/>
      <c r="E935" s="476"/>
      <c r="M935" s="140"/>
    </row>
    <row r="936">
      <c r="B936" s="377"/>
      <c r="C936" s="377"/>
      <c r="D936" s="377"/>
      <c r="E936" s="476"/>
      <c r="M936" s="140"/>
    </row>
    <row r="937">
      <c r="B937" s="377"/>
      <c r="C937" s="377"/>
      <c r="D937" s="377"/>
      <c r="E937" s="476"/>
      <c r="M937" s="140"/>
    </row>
    <row r="938">
      <c r="B938" s="377"/>
      <c r="C938" s="377"/>
      <c r="D938" s="377"/>
      <c r="E938" s="476"/>
      <c r="M938" s="140"/>
    </row>
    <row r="939">
      <c r="B939" s="377"/>
      <c r="C939" s="377"/>
      <c r="D939" s="377"/>
      <c r="E939" s="476"/>
      <c r="M939" s="140"/>
    </row>
    <row r="940">
      <c r="B940" s="377"/>
      <c r="C940" s="377"/>
      <c r="D940" s="377"/>
      <c r="E940" s="476"/>
      <c r="M940" s="140"/>
    </row>
    <row r="941">
      <c r="B941" s="377"/>
      <c r="C941" s="377"/>
      <c r="D941" s="377"/>
      <c r="E941" s="476"/>
      <c r="M941" s="140"/>
    </row>
    <row r="942">
      <c r="B942" s="377"/>
      <c r="C942" s="377"/>
      <c r="D942" s="377"/>
      <c r="E942" s="476"/>
      <c r="M942" s="140"/>
    </row>
    <row r="943">
      <c r="B943" s="377"/>
      <c r="C943" s="377"/>
      <c r="D943" s="377"/>
      <c r="E943" s="476"/>
      <c r="M943" s="140"/>
    </row>
    <row r="944">
      <c r="B944" s="377"/>
      <c r="C944" s="377"/>
      <c r="D944" s="377"/>
      <c r="E944" s="476"/>
      <c r="M944" s="140"/>
    </row>
    <row r="945">
      <c r="B945" s="377"/>
      <c r="C945" s="377"/>
      <c r="D945" s="377"/>
      <c r="E945" s="476"/>
      <c r="M945" s="140"/>
    </row>
    <row r="946">
      <c r="B946" s="377"/>
      <c r="C946" s="377"/>
      <c r="D946" s="377"/>
      <c r="E946" s="476"/>
      <c r="M946" s="140"/>
    </row>
    <row r="947">
      <c r="B947" s="377"/>
      <c r="C947" s="377"/>
      <c r="D947" s="377"/>
      <c r="E947" s="476"/>
      <c r="M947" s="140"/>
    </row>
    <row r="948">
      <c r="B948" s="377"/>
      <c r="C948" s="377"/>
      <c r="D948" s="377"/>
      <c r="E948" s="476"/>
      <c r="M948" s="140"/>
    </row>
    <row r="949">
      <c r="B949" s="377"/>
      <c r="C949" s="377"/>
      <c r="D949" s="377"/>
      <c r="E949" s="476"/>
      <c r="M949" s="140"/>
    </row>
    <row r="950">
      <c r="B950" s="377"/>
      <c r="C950" s="377"/>
      <c r="D950" s="377"/>
      <c r="E950" s="476"/>
      <c r="M950" s="140"/>
    </row>
    <row r="951">
      <c r="B951" s="377"/>
      <c r="C951" s="377"/>
      <c r="D951" s="377"/>
      <c r="E951" s="476"/>
      <c r="M951" s="140"/>
    </row>
    <row r="952">
      <c r="B952" s="377"/>
      <c r="C952" s="377"/>
      <c r="D952" s="377"/>
      <c r="E952" s="476"/>
      <c r="M952" s="140"/>
    </row>
    <row r="953">
      <c r="B953" s="377"/>
      <c r="C953" s="377"/>
      <c r="D953" s="377"/>
      <c r="E953" s="476"/>
      <c r="M953" s="140"/>
    </row>
    <row r="954">
      <c r="B954" s="377"/>
      <c r="C954" s="377"/>
      <c r="D954" s="377"/>
      <c r="E954" s="476"/>
      <c r="M954" s="140"/>
    </row>
    <row r="955">
      <c r="B955" s="377"/>
      <c r="C955" s="377"/>
      <c r="D955" s="377"/>
      <c r="E955" s="476"/>
      <c r="M955" s="140"/>
    </row>
    <row r="956">
      <c r="B956" s="377"/>
      <c r="C956" s="377"/>
      <c r="D956" s="377"/>
      <c r="E956" s="476"/>
      <c r="M956" s="140"/>
    </row>
    <row r="957">
      <c r="B957" s="377"/>
      <c r="C957" s="377"/>
      <c r="D957" s="377"/>
      <c r="E957" s="476"/>
      <c r="M957" s="140"/>
    </row>
    <row r="958">
      <c r="B958" s="377"/>
      <c r="C958" s="377"/>
      <c r="D958" s="377"/>
      <c r="E958" s="476"/>
      <c r="M958" s="140"/>
    </row>
    <row r="959">
      <c r="B959" s="377"/>
      <c r="C959" s="377"/>
      <c r="D959" s="377"/>
      <c r="E959" s="476"/>
      <c r="M959" s="140"/>
    </row>
    <row r="960">
      <c r="B960" s="377"/>
      <c r="C960" s="377"/>
      <c r="D960" s="377"/>
      <c r="E960" s="476"/>
      <c r="M960" s="140"/>
    </row>
    <row r="961">
      <c r="B961" s="377"/>
      <c r="C961" s="377"/>
      <c r="D961" s="377"/>
      <c r="E961" s="476"/>
      <c r="M961" s="140"/>
    </row>
    <row r="962">
      <c r="B962" s="377"/>
      <c r="C962" s="377"/>
      <c r="D962" s="377"/>
      <c r="E962" s="476"/>
      <c r="M962" s="140"/>
    </row>
    <row r="963">
      <c r="B963" s="377"/>
      <c r="C963" s="377"/>
      <c r="D963" s="377"/>
      <c r="E963" s="476"/>
      <c r="M963" s="140"/>
    </row>
    <row r="964">
      <c r="B964" s="377"/>
      <c r="C964" s="377"/>
      <c r="D964" s="377"/>
      <c r="E964" s="476"/>
      <c r="M964" s="140"/>
    </row>
    <row r="965">
      <c r="B965" s="377"/>
      <c r="C965" s="377"/>
      <c r="D965" s="377"/>
      <c r="E965" s="476"/>
      <c r="M965" s="140"/>
    </row>
    <row r="966">
      <c r="B966" s="377"/>
      <c r="C966" s="377"/>
      <c r="D966" s="377"/>
      <c r="E966" s="476"/>
      <c r="M966" s="140"/>
    </row>
    <row r="967">
      <c r="B967" s="377"/>
      <c r="C967" s="377"/>
      <c r="D967" s="377"/>
      <c r="E967" s="476"/>
      <c r="M967" s="140"/>
    </row>
    <row r="968">
      <c r="B968" s="377"/>
      <c r="C968" s="377"/>
      <c r="D968" s="377"/>
      <c r="E968" s="476"/>
      <c r="M968" s="140"/>
    </row>
    <row r="969">
      <c r="B969" s="377"/>
      <c r="C969" s="377"/>
      <c r="D969" s="377"/>
      <c r="E969" s="476"/>
      <c r="M969" s="140"/>
    </row>
    <row r="970">
      <c r="B970" s="377"/>
      <c r="C970" s="377"/>
      <c r="D970" s="377"/>
      <c r="E970" s="476"/>
      <c r="M970" s="140"/>
    </row>
    <row r="971">
      <c r="B971" s="377"/>
      <c r="C971" s="377"/>
      <c r="D971" s="377"/>
      <c r="E971" s="476"/>
      <c r="M971" s="140"/>
    </row>
    <row r="972">
      <c r="B972" s="377"/>
      <c r="C972" s="377"/>
      <c r="D972" s="377"/>
      <c r="E972" s="476"/>
      <c r="M972" s="140"/>
    </row>
    <row r="973">
      <c r="B973" s="377"/>
      <c r="C973" s="377"/>
      <c r="D973" s="377"/>
      <c r="E973" s="476"/>
      <c r="M973" s="140"/>
    </row>
    <row r="974">
      <c r="B974" s="377"/>
      <c r="C974" s="377"/>
      <c r="D974" s="377"/>
      <c r="E974" s="476"/>
      <c r="M974" s="140"/>
    </row>
    <row r="975">
      <c r="B975" s="377"/>
      <c r="C975" s="377"/>
      <c r="D975" s="377"/>
      <c r="E975" s="476"/>
      <c r="M975" s="140"/>
    </row>
    <row r="976">
      <c r="B976" s="377"/>
      <c r="C976" s="377"/>
      <c r="D976" s="377"/>
      <c r="E976" s="476"/>
      <c r="M976" s="140"/>
    </row>
    <row r="977">
      <c r="B977" s="377"/>
      <c r="C977" s="377"/>
      <c r="D977" s="377"/>
      <c r="E977" s="476"/>
      <c r="M977" s="140"/>
    </row>
    <row r="978">
      <c r="B978" s="377"/>
      <c r="C978" s="377"/>
      <c r="D978" s="377"/>
      <c r="E978" s="476"/>
      <c r="M978" s="140"/>
    </row>
    <row r="979">
      <c r="B979" s="377"/>
      <c r="C979" s="377"/>
      <c r="D979" s="377"/>
      <c r="E979" s="476"/>
      <c r="M979" s="140"/>
    </row>
    <row r="980">
      <c r="B980" s="377"/>
      <c r="C980" s="377"/>
      <c r="D980" s="377"/>
      <c r="E980" s="476"/>
      <c r="M980" s="140"/>
    </row>
    <row r="981">
      <c r="B981" s="377"/>
      <c r="C981" s="377"/>
      <c r="D981" s="377"/>
      <c r="E981" s="476"/>
      <c r="M981" s="140"/>
    </row>
    <row r="982">
      <c r="B982" s="377"/>
      <c r="C982" s="377"/>
      <c r="D982" s="377"/>
      <c r="E982" s="476"/>
      <c r="M982" s="140"/>
    </row>
    <row r="983">
      <c r="B983" s="377"/>
      <c r="C983" s="377"/>
      <c r="D983" s="377"/>
      <c r="E983" s="476"/>
      <c r="M983" s="140"/>
    </row>
    <row r="984">
      <c r="B984" s="377"/>
      <c r="C984" s="377"/>
      <c r="D984" s="377"/>
      <c r="E984" s="476"/>
      <c r="M984" s="140"/>
    </row>
    <row r="985">
      <c r="B985" s="377"/>
      <c r="C985" s="377"/>
      <c r="D985" s="377"/>
      <c r="E985" s="476"/>
      <c r="M985" s="140"/>
    </row>
    <row r="986">
      <c r="B986" s="377"/>
      <c r="C986" s="377"/>
      <c r="D986" s="377"/>
      <c r="E986" s="476"/>
      <c r="M986" s="140"/>
    </row>
    <row r="987">
      <c r="B987" s="377"/>
      <c r="C987" s="377"/>
      <c r="D987" s="377"/>
      <c r="E987" s="476"/>
      <c r="M987" s="140"/>
    </row>
    <row r="988">
      <c r="B988" s="377"/>
      <c r="C988" s="377"/>
      <c r="D988" s="377"/>
      <c r="E988" s="476"/>
      <c r="M988" s="140"/>
    </row>
    <row r="989">
      <c r="B989" s="377"/>
      <c r="C989" s="377"/>
      <c r="D989" s="377"/>
      <c r="E989" s="476"/>
      <c r="M989" s="140"/>
    </row>
    <row r="990">
      <c r="B990" s="377"/>
      <c r="C990" s="377"/>
      <c r="D990" s="377"/>
      <c r="E990" s="476"/>
      <c r="M990" s="140"/>
    </row>
    <row r="991">
      <c r="B991" s="377"/>
      <c r="C991" s="377"/>
      <c r="D991" s="377"/>
      <c r="E991" s="476"/>
      <c r="M991" s="140"/>
    </row>
    <row r="992">
      <c r="B992" s="377"/>
      <c r="C992" s="377"/>
      <c r="D992" s="377"/>
      <c r="E992" s="476"/>
      <c r="M992" s="140"/>
    </row>
    <row r="993">
      <c r="B993" s="377"/>
      <c r="C993" s="377"/>
      <c r="D993" s="377"/>
      <c r="E993" s="476"/>
      <c r="M993" s="140"/>
    </row>
    <row r="994">
      <c r="B994" s="377"/>
      <c r="C994" s="377"/>
      <c r="D994" s="377"/>
      <c r="E994" s="476"/>
      <c r="M994" s="140"/>
    </row>
    <row r="995">
      <c r="B995" s="377"/>
      <c r="C995" s="377"/>
      <c r="D995" s="377"/>
      <c r="E995" s="476"/>
      <c r="M995" s="140"/>
    </row>
    <row r="996">
      <c r="B996" s="377"/>
      <c r="C996" s="377"/>
      <c r="D996" s="377"/>
      <c r="E996" s="476"/>
      <c r="M996" s="140"/>
    </row>
    <row r="997">
      <c r="B997" s="377"/>
      <c r="C997" s="377"/>
      <c r="D997" s="377"/>
      <c r="E997" s="476"/>
      <c r="M997" s="140"/>
    </row>
    <row r="998">
      <c r="B998" s="377"/>
      <c r="C998" s="377"/>
      <c r="D998" s="377"/>
      <c r="E998" s="476"/>
      <c r="M998" s="140"/>
    </row>
    <row r="999">
      <c r="B999" s="377"/>
      <c r="C999" s="377"/>
      <c r="D999" s="377"/>
      <c r="E999" s="476"/>
      <c r="M999" s="140"/>
    </row>
    <row r="1000">
      <c r="B1000" s="377"/>
      <c r="C1000" s="377"/>
      <c r="D1000" s="377"/>
      <c r="E1000" s="476"/>
      <c r="M1000" s="140"/>
    </row>
    <row r="1001">
      <c r="B1001" s="377"/>
      <c r="C1001" s="377"/>
      <c r="D1001" s="377"/>
      <c r="E1001" s="476"/>
      <c r="M1001" s="140"/>
    </row>
    <row r="1002">
      <c r="B1002" s="377"/>
      <c r="C1002" s="377"/>
      <c r="D1002" s="377"/>
      <c r="E1002" s="476"/>
      <c r="M1002" s="140"/>
    </row>
  </sheetData>
  <mergeCells count="2">
    <mergeCell ref="L1:M1"/>
    <mergeCell ref="N1:O1"/>
  </mergeCells>
  <conditionalFormatting sqref="E1:E1002">
    <cfRule type="containsText" dxfId="0" priority="1" operator="containsText" text="Dem">
      <formula>NOT(ISERROR(SEARCH(("Dem"),(E1))))</formula>
    </cfRule>
  </conditionalFormatting>
  <conditionalFormatting sqref="E1:E1002">
    <cfRule type="containsText" dxfId="1" priority="2" operator="containsText" text="Rep">
      <formula>NOT(ISERROR(SEARCH(("Rep"),(E1))))</formula>
    </cfRule>
  </conditionalFormatting>
  <hyperlinks>
    <hyperlink r:id="rId1" ref="B4"/>
    <hyperlink r:id="rId2" ref="C4"/>
    <hyperlink r:id="rId3" ref="B5"/>
    <hyperlink r:id="rId4" ref="C5"/>
    <hyperlink r:id="rId5" ref="M5"/>
    <hyperlink r:id="rId6" ref="B6"/>
    <hyperlink r:id="rId7" ref="C6"/>
    <hyperlink r:id="rId8" ref="M6"/>
    <hyperlink r:id="rId9" ref="B7"/>
    <hyperlink r:id="rId10" ref="C7"/>
    <hyperlink r:id="rId11" ref="M7"/>
    <hyperlink r:id="rId12" ref="B8"/>
    <hyperlink r:id="rId13" ref="B9"/>
    <hyperlink r:id="rId14" ref="C9"/>
    <hyperlink r:id="rId15" ref="M9"/>
    <hyperlink r:id="rId16" ref="B10"/>
    <hyperlink r:id="rId17" ref="C10"/>
    <hyperlink r:id="rId18" ref="M10"/>
    <hyperlink r:id="rId19" ref="B11"/>
    <hyperlink r:id="rId20" ref="C11"/>
    <hyperlink r:id="rId21" ref="M11"/>
    <hyperlink r:id="rId22" ref="B12"/>
    <hyperlink r:id="rId23" ref="B13"/>
    <hyperlink r:id="rId24" ref="C13"/>
    <hyperlink r:id="rId25" ref="M13"/>
    <hyperlink r:id="rId26" ref="B14"/>
    <hyperlink r:id="rId27" ref="C14"/>
    <hyperlink r:id="rId28" ref="M14"/>
    <hyperlink r:id="rId29" ref="B15"/>
    <hyperlink r:id="rId30" ref="C15"/>
    <hyperlink r:id="rId31" ref="M15"/>
    <hyperlink r:id="rId32" ref="B16"/>
    <hyperlink r:id="rId33" ref="C16"/>
    <hyperlink r:id="rId34" ref="M16"/>
    <hyperlink r:id="rId35" ref="B17"/>
    <hyperlink r:id="rId36" ref="C17"/>
    <hyperlink r:id="rId37" ref="M17"/>
    <hyperlink r:id="rId38" ref="B18"/>
    <hyperlink r:id="rId39" ref="C18"/>
    <hyperlink r:id="rId40" ref="M18"/>
    <hyperlink r:id="rId41" ref="B19"/>
    <hyperlink r:id="rId42" ref="C19"/>
    <hyperlink r:id="rId43" ref="M19"/>
    <hyperlink r:id="rId44" ref="B20"/>
    <hyperlink r:id="rId45" ref="C20"/>
    <hyperlink r:id="rId46" ref="M20"/>
    <hyperlink r:id="rId47" ref="B21"/>
    <hyperlink r:id="rId48" ref="C21"/>
    <hyperlink r:id="rId49" ref="M21"/>
    <hyperlink r:id="rId50" ref="B22"/>
    <hyperlink r:id="rId51" ref="B23"/>
    <hyperlink r:id="rId52" ref="B24"/>
    <hyperlink r:id="rId53" ref="C24"/>
    <hyperlink r:id="rId54" ref="M24"/>
    <hyperlink r:id="rId55" ref="B25"/>
    <hyperlink r:id="rId56" ref="C25"/>
    <hyperlink r:id="rId57" ref="M25"/>
    <hyperlink r:id="rId58" ref="B26"/>
    <hyperlink r:id="rId59" ref="C26"/>
    <hyperlink r:id="rId60" ref="M26"/>
    <hyperlink r:id="rId61" ref="B27"/>
    <hyperlink r:id="rId62" ref="C27"/>
    <hyperlink r:id="rId63" ref="M27"/>
    <hyperlink r:id="rId64" ref="B28"/>
    <hyperlink r:id="rId65" ref="C28"/>
    <hyperlink r:id="rId66" ref="M28"/>
    <hyperlink r:id="rId67" ref="B29"/>
    <hyperlink r:id="rId68" ref="C29"/>
    <hyperlink r:id="rId69" ref="M29"/>
    <hyperlink r:id="rId70" ref="B30"/>
    <hyperlink r:id="rId71" ref="C30"/>
    <hyperlink r:id="rId72" ref="M30"/>
    <hyperlink r:id="rId73" ref="B31"/>
    <hyperlink r:id="rId74" ref="B32"/>
    <hyperlink r:id="rId75" ref="C32"/>
    <hyperlink r:id="rId76" ref="M32"/>
    <hyperlink r:id="rId77" ref="B33"/>
    <hyperlink r:id="rId78" ref="B34"/>
    <hyperlink r:id="rId79" ref="C34"/>
    <hyperlink r:id="rId80" ref="M34"/>
    <hyperlink r:id="rId81" ref="B35"/>
    <hyperlink r:id="rId82" ref="C35"/>
    <hyperlink r:id="rId83" ref="M35"/>
    <hyperlink r:id="rId84" ref="B36"/>
    <hyperlink r:id="rId85" ref="C36"/>
    <hyperlink r:id="rId86" ref="M36"/>
    <hyperlink r:id="rId87" ref="B37"/>
    <hyperlink r:id="rId88" ref="C37"/>
    <hyperlink r:id="rId89" ref="M37"/>
    <hyperlink r:id="rId90" ref="B38"/>
    <hyperlink r:id="rId91" ref="C38"/>
    <hyperlink r:id="rId92" ref="M38"/>
    <hyperlink r:id="rId93" ref="B39"/>
    <hyperlink r:id="rId94" ref="C39"/>
    <hyperlink r:id="rId95" ref="M39"/>
    <hyperlink r:id="rId96" ref="B40"/>
    <hyperlink r:id="rId97" ref="C40"/>
    <hyperlink r:id="rId98" ref="M40"/>
    <hyperlink r:id="rId99" ref="B41"/>
    <hyperlink r:id="rId100" ref="B42"/>
    <hyperlink r:id="rId101" ref="B43"/>
    <hyperlink r:id="rId102" ref="C43"/>
    <hyperlink r:id="rId103" ref="M43"/>
    <hyperlink r:id="rId104" ref="B44"/>
    <hyperlink r:id="rId105" ref="C44"/>
    <hyperlink r:id="rId106" ref="M44"/>
    <hyperlink r:id="rId107" ref="B45"/>
    <hyperlink r:id="rId108" ref="B46"/>
    <hyperlink r:id="rId109" ref="B47"/>
    <hyperlink r:id="rId110" ref="B48"/>
    <hyperlink r:id="rId111" ref="C48"/>
    <hyperlink r:id="rId112" ref="M48"/>
    <hyperlink r:id="rId113" ref="B49"/>
    <hyperlink r:id="rId114" ref="C49"/>
    <hyperlink r:id="rId115" ref="M49"/>
    <hyperlink r:id="rId116" ref="B50"/>
    <hyperlink r:id="rId117" ref="B51"/>
    <hyperlink r:id="rId118" ref="C51"/>
    <hyperlink r:id="rId119" ref="M51"/>
    <hyperlink r:id="rId120" ref="B52"/>
    <hyperlink r:id="rId121" ref="C52"/>
    <hyperlink r:id="rId122" ref="M52"/>
    <hyperlink r:id="rId123" ref="B53"/>
    <hyperlink r:id="rId124" ref="C53"/>
    <hyperlink r:id="rId125" ref="M53"/>
    <hyperlink r:id="rId126" ref="B54"/>
    <hyperlink r:id="rId127" ref="C54"/>
    <hyperlink r:id="rId128" ref="M54"/>
    <hyperlink r:id="rId129" ref="B55"/>
    <hyperlink r:id="rId130" ref="C55"/>
    <hyperlink r:id="rId131" ref="M55"/>
    <hyperlink r:id="rId132" ref="B56"/>
    <hyperlink r:id="rId133" ref="C56"/>
    <hyperlink r:id="rId134" ref="M56"/>
    <hyperlink r:id="rId135" ref="B57"/>
    <hyperlink r:id="rId136" ref="C57"/>
    <hyperlink r:id="rId137" ref="M57"/>
    <hyperlink r:id="rId138" ref="B58"/>
    <hyperlink r:id="rId139" ref="C58"/>
    <hyperlink r:id="rId140" ref="M58"/>
    <hyperlink r:id="rId141" ref="B59"/>
    <hyperlink r:id="rId142" ref="B60"/>
    <hyperlink r:id="rId143" ref="C60"/>
    <hyperlink r:id="rId144" ref="M60"/>
    <hyperlink r:id="rId145" ref="B61"/>
    <hyperlink r:id="rId146" ref="C61"/>
    <hyperlink r:id="rId147" ref="M61"/>
    <hyperlink r:id="rId148" ref="B62"/>
    <hyperlink r:id="rId149" ref="C62"/>
    <hyperlink r:id="rId150" ref="M62"/>
    <hyperlink r:id="rId151" ref="B63"/>
    <hyperlink r:id="rId152" ref="B64"/>
    <hyperlink r:id="rId153" ref="C64"/>
    <hyperlink r:id="rId154" ref="M64"/>
    <hyperlink r:id="rId155" ref="B65"/>
    <hyperlink r:id="rId156" ref="C65"/>
    <hyperlink r:id="rId157" ref="M65"/>
    <hyperlink r:id="rId158" ref="B66"/>
    <hyperlink r:id="rId159" ref="C66"/>
    <hyperlink r:id="rId160" ref="M66"/>
    <hyperlink r:id="rId161" ref="B67"/>
    <hyperlink r:id="rId162" ref="C67"/>
    <hyperlink r:id="rId163" ref="M67"/>
    <hyperlink r:id="rId164" ref="B68"/>
    <hyperlink r:id="rId165" ref="C68"/>
    <hyperlink r:id="rId166" ref="M68"/>
    <hyperlink r:id="rId167" ref="B69"/>
    <hyperlink r:id="rId168" ref="C69"/>
    <hyperlink r:id="rId169" ref="M69"/>
    <hyperlink r:id="rId170" ref="B70"/>
    <hyperlink r:id="rId171" ref="C70"/>
    <hyperlink r:id="rId172" ref="M70"/>
    <hyperlink r:id="rId173" ref="B71"/>
    <hyperlink r:id="rId174" ref="B72"/>
    <hyperlink r:id="rId175" ref="C72"/>
    <hyperlink r:id="rId176" ref="B73"/>
    <hyperlink r:id="rId177" ref="B74"/>
    <hyperlink r:id="rId178" ref="C74"/>
    <hyperlink r:id="rId179" ref="B75"/>
    <hyperlink r:id="rId180" ref="C75"/>
    <hyperlink r:id="rId181" ref="M75"/>
    <hyperlink r:id="rId182" ref="B76"/>
    <hyperlink r:id="rId183" ref="C76"/>
    <hyperlink r:id="rId184" ref="M76"/>
    <hyperlink r:id="rId185" ref="B77"/>
    <hyperlink r:id="rId186" ref="C77"/>
    <hyperlink r:id="rId187" ref="M77"/>
    <hyperlink r:id="rId188" ref="B78"/>
    <hyperlink r:id="rId189" ref="B79"/>
    <hyperlink r:id="rId190" ref="C79"/>
    <hyperlink r:id="rId191" ref="M79"/>
    <hyperlink r:id="rId192" ref="B80"/>
    <hyperlink r:id="rId193" ref="C80"/>
    <hyperlink r:id="rId194" ref="M80"/>
    <hyperlink r:id="rId195" ref="B81"/>
    <hyperlink r:id="rId196" ref="C81"/>
    <hyperlink r:id="rId197" ref="M81"/>
    <hyperlink r:id="rId198" ref="B82"/>
    <hyperlink r:id="rId199" ref="B83"/>
    <hyperlink r:id="rId200" ref="B84"/>
    <hyperlink r:id="rId201" ref="C84"/>
    <hyperlink r:id="rId202" ref="M84"/>
    <hyperlink r:id="rId203" ref="B85"/>
    <hyperlink r:id="rId204" ref="B86"/>
    <hyperlink r:id="rId205" ref="M86"/>
    <hyperlink r:id="rId206" ref="B87"/>
    <hyperlink r:id="rId207" ref="B88"/>
    <hyperlink r:id="rId208" ref="C88"/>
    <hyperlink r:id="rId209" ref="M88"/>
    <hyperlink r:id="rId210" ref="B89"/>
    <hyperlink r:id="rId211" ref="C89"/>
    <hyperlink r:id="rId212" ref="M89"/>
    <hyperlink r:id="rId213" ref="B90"/>
    <hyperlink r:id="rId214" ref="C90"/>
    <hyperlink r:id="rId215" ref="M90"/>
    <hyperlink r:id="rId216" ref="B91"/>
    <hyperlink r:id="rId217" ref="C91"/>
    <hyperlink r:id="rId218" ref="M91"/>
    <hyperlink r:id="rId219" ref="B92"/>
    <hyperlink r:id="rId220" ref="C92"/>
    <hyperlink r:id="rId221" ref="M92"/>
    <hyperlink r:id="rId222" ref="B93"/>
    <hyperlink r:id="rId223" ref="C93"/>
    <hyperlink r:id="rId224" ref="M93"/>
    <hyperlink r:id="rId225" ref="B94"/>
    <hyperlink r:id="rId226" ref="C94"/>
    <hyperlink r:id="rId227" ref="M94"/>
    <hyperlink r:id="rId228" ref="B95"/>
    <hyperlink r:id="rId229" ref="C95"/>
    <hyperlink r:id="rId230" ref="M95"/>
    <hyperlink r:id="rId231" ref="B96"/>
    <hyperlink r:id="rId232" ref="C96"/>
    <hyperlink r:id="rId233" ref="M96"/>
    <hyperlink r:id="rId234" ref="B97"/>
    <hyperlink r:id="rId235" ref="C97"/>
    <hyperlink r:id="rId236" ref="M97"/>
    <hyperlink r:id="rId237" ref="B98"/>
    <hyperlink r:id="rId238" ref="C98"/>
    <hyperlink r:id="rId239" ref="M98"/>
    <hyperlink r:id="rId240" ref="B99"/>
    <hyperlink r:id="rId241" ref="C99"/>
    <hyperlink r:id="rId242" ref="M99"/>
    <hyperlink r:id="rId243" ref="B100"/>
    <hyperlink r:id="rId244" ref="C100"/>
    <hyperlink r:id="rId245" ref="M100"/>
    <hyperlink r:id="rId246" ref="B101"/>
    <hyperlink r:id="rId247" ref="C101"/>
    <hyperlink r:id="rId248" ref="B102"/>
    <hyperlink r:id="rId249" ref="B103"/>
    <hyperlink r:id="rId250" ref="C103"/>
    <hyperlink r:id="rId251" ref="M103"/>
    <hyperlink r:id="rId252" ref="B105"/>
    <hyperlink r:id="rId253" ref="B106"/>
    <hyperlink r:id="rId254" ref="C106"/>
    <hyperlink r:id="rId255" ref="M106"/>
    <hyperlink r:id="rId256" ref="B107"/>
    <hyperlink r:id="rId257" ref="C107"/>
    <hyperlink r:id="rId258" ref="M107"/>
    <hyperlink r:id="rId259" ref="B108"/>
    <hyperlink r:id="rId260" ref="C108"/>
    <hyperlink r:id="rId261" ref="M108"/>
    <hyperlink r:id="rId262" ref="B109"/>
    <hyperlink r:id="rId263" ref="C109"/>
    <hyperlink r:id="rId264" ref="M109"/>
    <hyperlink r:id="rId265" ref="B110"/>
    <hyperlink r:id="rId266" ref="C110"/>
    <hyperlink r:id="rId267" ref="M110"/>
    <hyperlink r:id="rId268" ref="B111"/>
    <hyperlink r:id="rId269" ref="B112"/>
    <hyperlink r:id="rId270" ref="C112"/>
    <hyperlink r:id="rId271" ref="M112"/>
    <hyperlink r:id="rId272" ref="B113"/>
    <hyperlink r:id="rId273" ref="C113"/>
    <hyperlink r:id="rId274" ref="M113"/>
    <hyperlink r:id="rId275" ref="B114"/>
    <hyperlink r:id="rId276" ref="C114"/>
    <hyperlink r:id="rId277" ref="M114"/>
    <hyperlink r:id="rId278" ref="B115"/>
    <hyperlink r:id="rId279" ref="C115"/>
    <hyperlink r:id="rId280" ref="M115"/>
    <hyperlink r:id="rId281" ref="B116"/>
    <hyperlink r:id="rId282" ref="C116"/>
    <hyperlink r:id="rId283" ref="M116"/>
    <hyperlink r:id="rId284" ref="B117"/>
    <hyperlink r:id="rId285" ref="C117"/>
    <hyperlink r:id="rId286" ref="M117"/>
    <hyperlink r:id="rId287" ref="B118"/>
    <hyperlink r:id="rId288" ref="C118"/>
    <hyperlink r:id="rId289" ref="M118"/>
    <hyperlink r:id="rId290" ref="B119"/>
    <hyperlink r:id="rId291" ref="B120"/>
    <hyperlink r:id="rId292" ref="C120"/>
    <hyperlink r:id="rId293" ref="M120"/>
    <hyperlink r:id="rId294" ref="B121"/>
    <hyperlink r:id="rId295" ref="C121"/>
    <hyperlink r:id="rId296" ref="M121"/>
    <hyperlink r:id="rId297" ref="B122"/>
    <hyperlink r:id="rId298" ref="C122"/>
    <hyperlink r:id="rId299" ref="M122"/>
    <hyperlink r:id="rId300" ref="B123"/>
    <hyperlink r:id="rId301" ref="C123"/>
    <hyperlink r:id="rId302" ref="M123"/>
    <hyperlink r:id="rId303" ref="B124"/>
    <hyperlink r:id="rId304" ref="C124"/>
    <hyperlink r:id="rId305" ref="M124"/>
    <hyperlink r:id="rId306" ref="B125"/>
    <hyperlink r:id="rId307" ref="B126"/>
    <hyperlink r:id="rId308" ref="C126"/>
    <hyperlink r:id="rId309" ref="M126"/>
    <hyperlink r:id="rId310" ref="B127"/>
    <hyperlink r:id="rId311" ref="C127"/>
    <hyperlink r:id="rId312" ref="M127"/>
    <hyperlink r:id="rId313" ref="B128"/>
    <hyperlink r:id="rId314" ref="C128"/>
    <hyperlink r:id="rId315" ref="M128"/>
    <hyperlink r:id="rId316" ref="B129"/>
    <hyperlink r:id="rId317" ref="C129"/>
    <hyperlink r:id="rId318" ref="M129"/>
    <hyperlink r:id="rId319" ref="B130"/>
    <hyperlink r:id="rId320" ref="C130"/>
    <hyperlink r:id="rId321" ref="M130"/>
    <hyperlink r:id="rId322" ref="B131"/>
    <hyperlink r:id="rId323" ref="C131"/>
    <hyperlink r:id="rId324" ref="M131"/>
    <hyperlink r:id="rId325" ref="B132"/>
    <hyperlink r:id="rId326" ref="C132"/>
    <hyperlink r:id="rId327" ref="M132"/>
    <hyperlink r:id="rId328" ref="B133"/>
    <hyperlink r:id="rId329" ref="B134"/>
    <hyperlink r:id="rId330" ref="C134"/>
    <hyperlink r:id="rId331" ref="M134"/>
    <hyperlink r:id="rId332" ref="B135"/>
    <hyperlink r:id="rId333" ref="C135"/>
    <hyperlink r:id="rId334" ref="M135"/>
    <hyperlink r:id="rId335" ref="B136"/>
    <hyperlink r:id="rId336" ref="C136"/>
    <hyperlink r:id="rId337" ref="M136"/>
    <hyperlink r:id="rId338" ref="B137"/>
    <hyperlink r:id="rId339" ref="B138"/>
    <hyperlink r:id="rId340" ref="C138"/>
    <hyperlink r:id="rId341" ref="M138"/>
    <hyperlink r:id="rId342" ref="B139"/>
    <hyperlink r:id="rId343" ref="C139"/>
    <hyperlink r:id="rId344" ref="M139"/>
    <hyperlink r:id="rId345" ref="B140"/>
    <hyperlink r:id="rId346" ref="C140"/>
    <hyperlink r:id="rId347" ref="M140"/>
    <hyperlink r:id="rId348" ref="B141"/>
    <hyperlink r:id="rId349" ref="B142"/>
    <hyperlink r:id="rId350" ref="C142"/>
    <hyperlink r:id="rId351" ref="M142"/>
    <hyperlink r:id="rId352" ref="B143"/>
    <hyperlink r:id="rId353" ref="C143"/>
    <hyperlink r:id="rId354" ref="M143"/>
    <hyperlink r:id="rId355" ref="B144"/>
    <hyperlink r:id="rId356" ref="C144"/>
    <hyperlink r:id="rId357" ref="M144"/>
    <hyperlink r:id="rId358" ref="B145"/>
    <hyperlink r:id="rId359" ref="B146"/>
    <hyperlink r:id="rId360" ref="C146"/>
    <hyperlink r:id="rId361" ref="M146"/>
    <hyperlink r:id="rId362" ref="B147"/>
    <hyperlink r:id="rId363" ref="C147"/>
    <hyperlink r:id="rId364" ref="M147"/>
    <hyperlink r:id="rId365" ref="B148"/>
    <hyperlink r:id="rId366" ref="C148"/>
    <hyperlink r:id="rId367" ref="M148"/>
    <hyperlink r:id="rId368" ref="B149"/>
    <hyperlink r:id="rId369" ref="C149"/>
    <hyperlink r:id="rId370" ref="M149"/>
    <hyperlink r:id="rId371" ref="B150"/>
    <hyperlink r:id="rId372" ref="C150"/>
    <hyperlink r:id="rId373" ref="M150"/>
    <hyperlink r:id="rId374" ref="B151"/>
    <hyperlink r:id="rId375" ref="C151"/>
    <hyperlink r:id="rId376" ref="M151"/>
    <hyperlink r:id="rId377" ref="B152"/>
    <hyperlink r:id="rId378" ref="C152"/>
    <hyperlink r:id="rId379" ref="M152"/>
    <hyperlink r:id="rId380" ref="B153"/>
    <hyperlink r:id="rId381" ref="B154"/>
    <hyperlink r:id="rId382" ref="C154"/>
    <hyperlink r:id="rId383" ref="M154"/>
  </hyperlinks>
  <drawing r:id="rId384"/>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1" max="1" width="12.14"/>
    <col customWidth="1" min="2" max="2" width="8.71"/>
    <col customWidth="1" min="3" max="3" width="13.71"/>
    <col customWidth="1" min="4" max="4" width="15.43"/>
  </cols>
  <sheetData>
    <row r="1" ht="15.0" customHeight="1" outlineLevel="1">
      <c r="A1" s="1" t="s">
        <v>0</v>
      </c>
      <c r="B1" s="2" t="s">
        <v>1</v>
      </c>
      <c r="C1" s="2" t="s">
        <v>2</v>
      </c>
      <c r="D1" s="2" t="s">
        <v>2</v>
      </c>
      <c r="E1" s="3"/>
      <c r="F1" s="30" t="s">
        <v>1577</v>
      </c>
      <c r="G1" s="30" t="s">
        <v>4</v>
      </c>
      <c r="H1" s="30" t="s">
        <v>5</v>
      </c>
      <c r="I1" s="30" t="s">
        <v>6</v>
      </c>
      <c r="J1" s="30" t="s">
        <v>7</v>
      </c>
      <c r="K1" s="1" t="s">
        <v>8</v>
      </c>
      <c r="L1" s="7" t="s">
        <v>9</v>
      </c>
      <c r="N1" s="10" t="s">
        <v>14</v>
      </c>
      <c r="P1" s="167"/>
      <c r="Q1" s="167"/>
      <c r="R1" s="30"/>
      <c r="S1" s="20"/>
      <c r="T1" s="20"/>
      <c r="U1" s="20"/>
      <c r="V1" s="20"/>
      <c r="W1" s="20"/>
      <c r="X1" s="20"/>
      <c r="Y1" s="20"/>
      <c r="Z1" s="20"/>
      <c r="AA1" s="20"/>
      <c r="AB1" s="20"/>
      <c r="AC1" s="20"/>
      <c r="AD1" s="20"/>
    </row>
    <row r="2" ht="16.5" customHeight="1" outlineLevel="1">
      <c r="A2" s="21" t="s">
        <v>492</v>
      </c>
      <c r="B2" s="21"/>
      <c r="C2" s="366" t="s">
        <v>4850</v>
      </c>
      <c r="D2" s="21"/>
      <c r="E2" s="3"/>
      <c r="F2" s="168">
        <v>43421.0</v>
      </c>
      <c r="G2" s="168">
        <v>43500.0</v>
      </c>
      <c r="H2" s="21">
        <f>G2-TODAY()</f>
        <v>-235</v>
      </c>
      <c r="I2" s="168">
        <v>43479.0</v>
      </c>
      <c r="J2" s="168">
        <v>43616.0</v>
      </c>
      <c r="K2" s="23"/>
      <c r="L2" s="26">
        <f>CountIFS($E:$E,"=Dem",$A:$A,"=House")</f>
        <v>40</v>
      </c>
      <c r="M2" s="28">
        <f>CountIFS($E:$E,"=Rep",$A:$A,"=House")</f>
        <v>85</v>
      </c>
      <c r="N2" s="26">
        <f>CountIFS($E:$E,"=Dem",$A:$A,"=Senate")</f>
        <v>9</v>
      </c>
      <c r="O2" s="28">
        <f>CountIFS($E:$E,"=Rep",$A:$A,"=Senate")</f>
        <v>30</v>
      </c>
      <c r="P2" s="167"/>
      <c r="Q2" s="167"/>
      <c r="R2" s="30"/>
      <c r="S2" s="20"/>
      <c r="T2" s="20"/>
      <c r="U2" s="20"/>
      <c r="V2" s="20"/>
      <c r="W2" s="20"/>
      <c r="X2" s="20"/>
      <c r="Y2" s="20"/>
      <c r="Z2" s="20"/>
      <c r="AA2" s="20"/>
      <c r="AB2" s="20"/>
      <c r="AC2" s="20"/>
      <c r="AD2" s="20"/>
    </row>
    <row r="3">
      <c r="A3" s="30" t="s">
        <v>29</v>
      </c>
      <c r="B3" s="30" t="s">
        <v>30</v>
      </c>
      <c r="C3" s="2" t="s">
        <v>31</v>
      </c>
      <c r="D3" s="2" t="s">
        <v>32</v>
      </c>
      <c r="E3" s="3" t="s">
        <v>33</v>
      </c>
      <c r="F3" s="1" t="s">
        <v>10</v>
      </c>
      <c r="G3" s="1" t="s">
        <v>34</v>
      </c>
      <c r="H3" s="1" t="s">
        <v>34</v>
      </c>
      <c r="I3" s="1" t="s">
        <v>34</v>
      </c>
      <c r="J3" s="1" t="s">
        <v>34</v>
      </c>
      <c r="K3" s="1" t="s">
        <v>35</v>
      </c>
      <c r="L3" s="19" t="s">
        <v>36</v>
      </c>
      <c r="M3" s="19" t="s">
        <v>37</v>
      </c>
      <c r="N3" s="19" t="s">
        <v>38</v>
      </c>
      <c r="O3" s="17" t="s">
        <v>39</v>
      </c>
      <c r="P3" s="11" t="s">
        <v>40</v>
      </c>
      <c r="Q3" s="11" t="s">
        <v>41</v>
      </c>
      <c r="R3" s="17" t="s">
        <v>42</v>
      </c>
      <c r="S3" s="20"/>
      <c r="T3" s="20"/>
      <c r="U3" s="20"/>
      <c r="V3" s="20"/>
      <c r="W3" s="20"/>
      <c r="X3" s="20"/>
      <c r="Y3" s="20"/>
      <c r="Z3" s="20"/>
      <c r="AA3" s="20"/>
      <c r="AB3" s="20"/>
      <c r="AC3" s="20"/>
      <c r="AD3" s="20"/>
    </row>
    <row r="4">
      <c r="A4" s="14" t="s">
        <v>44</v>
      </c>
      <c r="B4" s="31">
        <v>1.0</v>
      </c>
      <c r="C4" s="35" t="s">
        <v>2490</v>
      </c>
      <c r="D4" s="243" t="s">
        <v>4862</v>
      </c>
      <c r="E4" s="51" t="s">
        <v>53</v>
      </c>
      <c r="K4" s="200"/>
      <c r="L4" s="393" t="s">
        <v>4863</v>
      </c>
      <c r="M4" s="393" t="str">
        <f t="shared" ref="M4:M45" si="1">concatenate(lower(C4),".",lower(D4),"@house.ks.gov")</f>
        <v>michael.houser@house.ks.gov</v>
      </c>
      <c r="R4" s="393" t="s">
        <v>4864</v>
      </c>
      <c r="S4" t="str">
        <f t="shared" ref="S4:S128" si="2">if(T4="","","Representative")</f>
        <v/>
      </c>
      <c r="T4" t="str">
        <f t="shared" ref="T4:T169" si="3">if(isblank(G4),"",D4)</f>
        <v/>
      </c>
      <c r="U4" t="str">
        <f t="shared" ref="U4:U128" si="4">if(T4="","",M4)</f>
        <v/>
      </c>
    </row>
    <row r="5">
      <c r="A5" s="14" t="s">
        <v>44</v>
      </c>
      <c r="B5" s="31">
        <v>2.0</v>
      </c>
      <c r="C5" s="35" t="s">
        <v>2777</v>
      </c>
      <c r="D5" s="243" t="s">
        <v>137</v>
      </c>
      <c r="E5" s="51" t="s">
        <v>53</v>
      </c>
      <c r="K5" s="200"/>
      <c r="L5" s="396" t="s">
        <v>4866</v>
      </c>
      <c r="M5" s="393" t="str">
        <f t="shared" si="1"/>
        <v>kenneth.collins@house.ks.gov</v>
      </c>
      <c r="R5" s="393" t="s">
        <v>4864</v>
      </c>
      <c r="S5" t="str">
        <f t="shared" si="2"/>
        <v/>
      </c>
      <c r="T5" t="str">
        <f t="shared" si="3"/>
        <v/>
      </c>
      <c r="U5" t="str">
        <f t="shared" si="4"/>
        <v/>
      </c>
    </row>
    <row r="6">
      <c r="A6" s="14" t="s">
        <v>44</v>
      </c>
      <c r="B6" s="31">
        <v>3.0</v>
      </c>
      <c r="C6" s="35" t="s">
        <v>1798</v>
      </c>
      <c r="D6" s="243" t="s">
        <v>4870</v>
      </c>
      <c r="E6" s="36" t="s">
        <v>49</v>
      </c>
      <c r="K6" s="200"/>
      <c r="L6" s="393" t="s">
        <v>4871</v>
      </c>
      <c r="M6" s="393" t="str">
        <f t="shared" si="1"/>
        <v>monica.murnan@house.ks.gov</v>
      </c>
      <c r="R6" s="393" t="s">
        <v>103</v>
      </c>
      <c r="S6" t="str">
        <f t="shared" si="2"/>
        <v/>
      </c>
      <c r="T6" t="str">
        <f t="shared" si="3"/>
        <v/>
      </c>
      <c r="U6" t="str">
        <f t="shared" si="4"/>
        <v/>
      </c>
    </row>
    <row r="7">
      <c r="A7" s="14" t="s">
        <v>44</v>
      </c>
      <c r="B7" s="31">
        <v>4.0</v>
      </c>
      <c r="C7" s="35" t="s">
        <v>4872</v>
      </c>
      <c r="D7" s="243" t="s">
        <v>3075</v>
      </c>
      <c r="E7" s="51" t="s">
        <v>53</v>
      </c>
      <c r="K7" s="200"/>
      <c r="L7" s="393" t="s">
        <v>4876</v>
      </c>
      <c r="M7" s="393" t="str">
        <f t="shared" si="1"/>
        <v>trevor.jacobs@house.ks.gov</v>
      </c>
      <c r="R7" s="393" t="s">
        <v>4877</v>
      </c>
      <c r="S7" t="str">
        <f t="shared" si="2"/>
        <v/>
      </c>
      <c r="T7" t="str">
        <f t="shared" si="3"/>
        <v/>
      </c>
      <c r="U7" t="str">
        <f t="shared" si="4"/>
        <v/>
      </c>
    </row>
    <row r="8">
      <c r="A8" s="14" t="s">
        <v>44</v>
      </c>
      <c r="B8" s="31">
        <v>5.0</v>
      </c>
      <c r="C8" s="35" t="s">
        <v>91</v>
      </c>
      <c r="D8" s="243" t="s">
        <v>4878</v>
      </c>
      <c r="E8" s="51" t="s">
        <v>53</v>
      </c>
      <c r="G8" s="14" t="s">
        <v>781</v>
      </c>
      <c r="K8" s="200"/>
      <c r="L8" s="393"/>
      <c r="M8" s="393" t="str">
        <f t="shared" si="1"/>
        <v>mark.samsel@house.ks.gov</v>
      </c>
      <c r="R8" s="393" t="s">
        <v>2670</v>
      </c>
      <c r="S8" t="str">
        <f t="shared" si="2"/>
        <v>Representative</v>
      </c>
      <c r="T8" t="str">
        <f t="shared" si="3"/>
        <v>Samsel</v>
      </c>
      <c r="U8" t="str">
        <f t="shared" si="4"/>
        <v>mark.samsel@house.ks.gov</v>
      </c>
    </row>
    <row r="9">
      <c r="A9" s="14" t="s">
        <v>44</v>
      </c>
      <c r="B9" s="31">
        <v>6.0</v>
      </c>
      <c r="C9" s="35" t="s">
        <v>4880</v>
      </c>
      <c r="D9" s="243" t="s">
        <v>4883</v>
      </c>
      <c r="E9" s="51" t="s">
        <v>53</v>
      </c>
      <c r="K9" s="200"/>
      <c r="L9" s="393" t="s">
        <v>4884</v>
      </c>
      <c r="M9" s="393" t="str">
        <f t="shared" si="1"/>
        <v>jene.vickrey@house.ks.gov</v>
      </c>
      <c r="R9" s="393" t="s">
        <v>4885</v>
      </c>
      <c r="S9" t="str">
        <f t="shared" si="2"/>
        <v/>
      </c>
      <c r="T9" t="str">
        <f t="shared" si="3"/>
        <v/>
      </c>
      <c r="U9" t="str">
        <f t="shared" si="4"/>
        <v/>
      </c>
    </row>
    <row r="10">
      <c r="A10" s="14" t="s">
        <v>44</v>
      </c>
      <c r="B10" s="31">
        <v>7.0</v>
      </c>
      <c r="C10" s="35" t="s">
        <v>1112</v>
      </c>
      <c r="D10" s="243" t="s">
        <v>4886</v>
      </c>
      <c r="E10" s="51" t="s">
        <v>53</v>
      </c>
      <c r="K10" s="200"/>
      <c r="L10" s="393" t="s">
        <v>4887</v>
      </c>
      <c r="M10" s="393" t="str">
        <f t="shared" si="1"/>
        <v>richard.proehl@house.ks.gov</v>
      </c>
      <c r="R10" s="393" t="s">
        <v>4888</v>
      </c>
      <c r="S10" t="str">
        <f t="shared" si="2"/>
        <v/>
      </c>
      <c r="T10" t="str">
        <f t="shared" si="3"/>
        <v/>
      </c>
      <c r="U10" t="str">
        <f t="shared" si="4"/>
        <v/>
      </c>
    </row>
    <row r="11">
      <c r="A11" s="14" t="s">
        <v>44</v>
      </c>
      <c r="B11" s="31">
        <v>8.0</v>
      </c>
      <c r="C11" s="35" t="s">
        <v>173</v>
      </c>
      <c r="D11" s="243" t="s">
        <v>4890</v>
      </c>
      <c r="E11" s="51" t="s">
        <v>53</v>
      </c>
      <c r="K11" s="200"/>
      <c r="L11" s="393"/>
      <c r="M11" s="393" t="str">
        <f t="shared" si="1"/>
        <v>chris.croft@house.ks.gov</v>
      </c>
      <c r="R11" s="393" t="s">
        <v>118</v>
      </c>
      <c r="S11" t="str">
        <f t="shared" si="2"/>
        <v/>
      </c>
      <c r="T11" t="str">
        <f t="shared" si="3"/>
        <v/>
      </c>
      <c r="U11" t="str">
        <f t="shared" si="4"/>
        <v/>
      </c>
    </row>
    <row r="12">
      <c r="A12" s="14" t="s">
        <v>44</v>
      </c>
      <c r="B12" s="31">
        <v>9.0</v>
      </c>
      <c r="C12" s="35" t="s">
        <v>4892</v>
      </c>
      <c r="D12" s="243" t="s">
        <v>59</v>
      </c>
      <c r="E12" s="51" t="s">
        <v>53</v>
      </c>
      <c r="K12" s="200"/>
      <c r="L12" s="393" t="s">
        <v>4893</v>
      </c>
      <c r="M12" s="393" t="str">
        <f t="shared" si="1"/>
        <v>kent.thompson@house.ks.gov</v>
      </c>
      <c r="R12" s="393" t="s">
        <v>241</v>
      </c>
      <c r="S12" t="str">
        <f t="shared" si="2"/>
        <v/>
      </c>
      <c r="T12" t="str">
        <f t="shared" si="3"/>
        <v/>
      </c>
      <c r="U12" t="str">
        <f t="shared" si="4"/>
        <v/>
      </c>
    </row>
    <row r="13">
      <c r="A13" s="14" t="s">
        <v>44</v>
      </c>
      <c r="B13" s="31">
        <v>10.0</v>
      </c>
      <c r="C13" s="35" t="s">
        <v>4894</v>
      </c>
      <c r="D13" s="243" t="s">
        <v>4897</v>
      </c>
      <c r="E13" s="36" t="s">
        <v>49</v>
      </c>
      <c r="K13" s="200"/>
      <c r="L13" s="393" t="s">
        <v>4899</v>
      </c>
      <c r="M13" s="393" t="str">
        <f t="shared" si="1"/>
        <v>eileen.horn@house.ks.gov</v>
      </c>
      <c r="R13" s="393" t="s">
        <v>1312</v>
      </c>
      <c r="S13" t="str">
        <f t="shared" si="2"/>
        <v/>
      </c>
      <c r="T13" t="str">
        <f t="shared" si="3"/>
        <v/>
      </c>
      <c r="U13" t="str">
        <f t="shared" si="4"/>
        <v/>
      </c>
    </row>
    <row r="14">
      <c r="A14" s="14" t="s">
        <v>44</v>
      </c>
      <c r="B14" s="31">
        <v>11.0</v>
      </c>
      <c r="C14" s="35" t="s">
        <v>476</v>
      </c>
      <c r="D14" s="243" t="s">
        <v>130</v>
      </c>
      <c r="E14" s="51" t="s">
        <v>53</v>
      </c>
      <c r="K14" s="200"/>
      <c r="L14" s="393" t="s">
        <v>4903</v>
      </c>
      <c r="M14" s="393" t="str">
        <f t="shared" si="1"/>
        <v>jim.kelly@house.ks.gov</v>
      </c>
      <c r="R14" s="393" t="s">
        <v>606</v>
      </c>
      <c r="S14" t="str">
        <f t="shared" si="2"/>
        <v/>
      </c>
      <c r="T14" t="str">
        <f t="shared" si="3"/>
        <v/>
      </c>
      <c r="U14" t="str">
        <f t="shared" si="4"/>
        <v/>
      </c>
    </row>
    <row r="15">
      <c r="A15" s="14" t="s">
        <v>44</v>
      </c>
      <c r="B15" s="31">
        <v>12.0</v>
      </c>
      <c r="C15" s="35" t="s">
        <v>1146</v>
      </c>
      <c r="D15" s="243" t="s">
        <v>4907</v>
      </c>
      <c r="E15" s="51" t="s">
        <v>53</v>
      </c>
      <c r="K15" s="200"/>
      <c r="L15" s="393" t="s">
        <v>4908</v>
      </c>
      <c r="M15" s="393" t="str">
        <f t="shared" si="1"/>
        <v>doug.blex@house.ks.gov</v>
      </c>
      <c r="R15" s="393" t="s">
        <v>606</v>
      </c>
      <c r="S15" t="str">
        <f t="shared" si="2"/>
        <v/>
      </c>
      <c r="T15" t="str">
        <f t="shared" si="3"/>
        <v/>
      </c>
      <c r="U15" t="str">
        <f t="shared" si="4"/>
        <v/>
      </c>
    </row>
    <row r="16">
      <c r="A16" s="14" t="s">
        <v>44</v>
      </c>
      <c r="B16" s="31">
        <v>13.0</v>
      </c>
      <c r="C16" s="35" t="s">
        <v>839</v>
      </c>
      <c r="D16" s="243" t="s">
        <v>4910</v>
      </c>
      <c r="E16" s="51" t="s">
        <v>53</v>
      </c>
      <c r="K16" s="200"/>
      <c r="L16" s="393" t="s">
        <v>4911</v>
      </c>
      <c r="M16" s="393" t="str">
        <f t="shared" si="1"/>
        <v>larry.hibbard@house.ks.gov</v>
      </c>
      <c r="R16" s="393" t="s">
        <v>3172</v>
      </c>
      <c r="S16" t="str">
        <f t="shared" si="2"/>
        <v/>
      </c>
      <c r="T16" t="str">
        <f t="shared" si="3"/>
        <v/>
      </c>
      <c r="U16" t="str">
        <f t="shared" si="4"/>
        <v/>
      </c>
    </row>
    <row r="17">
      <c r="A17" s="14" t="s">
        <v>44</v>
      </c>
      <c r="B17" s="31">
        <v>14.0</v>
      </c>
      <c r="C17" s="35" t="s">
        <v>4913</v>
      </c>
      <c r="D17" s="243" t="s">
        <v>4914</v>
      </c>
      <c r="E17" s="51" t="s">
        <v>53</v>
      </c>
      <c r="K17" s="200"/>
      <c r="L17" s="393" t="s">
        <v>4915</v>
      </c>
      <c r="M17" s="393" t="str">
        <f t="shared" si="1"/>
        <v>charlotte.esau@house.ks.gov</v>
      </c>
      <c r="R17" s="393" t="s">
        <v>118</v>
      </c>
      <c r="S17" t="str">
        <f t="shared" si="2"/>
        <v/>
      </c>
      <c r="T17" t="str">
        <f t="shared" si="3"/>
        <v/>
      </c>
      <c r="U17" t="str">
        <f t="shared" si="4"/>
        <v/>
      </c>
    </row>
    <row r="18">
      <c r="A18" s="14" t="s">
        <v>44</v>
      </c>
      <c r="B18" s="31">
        <v>15.0</v>
      </c>
      <c r="C18" s="35" t="s">
        <v>278</v>
      </c>
      <c r="D18" s="243" t="s">
        <v>4916</v>
      </c>
      <c r="E18" s="51" t="s">
        <v>53</v>
      </c>
      <c r="K18" s="31"/>
      <c r="L18" s="393"/>
      <c r="M18" s="393" t="str">
        <f t="shared" si="1"/>
        <v>john.toplikar@house.ks.gov</v>
      </c>
      <c r="R18" s="393" t="s">
        <v>118</v>
      </c>
      <c r="S18" t="str">
        <f t="shared" si="2"/>
        <v/>
      </c>
      <c r="T18" t="str">
        <f t="shared" si="3"/>
        <v/>
      </c>
      <c r="U18" t="str">
        <f t="shared" si="4"/>
        <v/>
      </c>
    </row>
    <row r="19">
      <c r="A19" s="14" t="s">
        <v>44</v>
      </c>
      <c r="B19" s="31">
        <v>16.0</v>
      </c>
      <c r="C19" s="35" t="s">
        <v>1561</v>
      </c>
      <c r="D19" s="243" t="s">
        <v>4918</v>
      </c>
      <c r="E19" s="36" t="s">
        <v>49</v>
      </c>
      <c r="K19" s="200"/>
      <c r="L19" s="393" t="s">
        <v>4919</v>
      </c>
      <c r="M19" s="393" t="str">
        <f t="shared" si="1"/>
        <v>cindy.holscher@house.ks.gov</v>
      </c>
      <c r="R19" s="393" t="s">
        <v>118</v>
      </c>
      <c r="S19" t="str">
        <f t="shared" si="2"/>
        <v/>
      </c>
      <c r="T19" t="str">
        <f t="shared" si="3"/>
        <v/>
      </c>
      <c r="U19" t="str">
        <f t="shared" si="4"/>
        <v/>
      </c>
    </row>
    <row r="20">
      <c r="A20" s="14" t="s">
        <v>44</v>
      </c>
      <c r="B20" s="31">
        <v>17.0</v>
      </c>
      <c r="C20" s="35" t="s">
        <v>338</v>
      </c>
      <c r="D20" s="243" t="s">
        <v>3708</v>
      </c>
      <c r="E20" s="51" t="s">
        <v>53</v>
      </c>
      <c r="K20" s="200"/>
      <c r="L20" s="393" t="s">
        <v>4923</v>
      </c>
      <c r="M20" s="393" t="str">
        <f t="shared" si="1"/>
        <v>tom.cox@house.ks.gov</v>
      </c>
      <c r="R20" s="393" t="s">
        <v>118</v>
      </c>
      <c r="S20" t="str">
        <f t="shared" si="2"/>
        <v/>
      </c>
      <c r="T20" t="str">
        <f t="shared" si="3"/>
        <v/>
      </c>
      <c r="U20" t="str">
        <f t="shared" si="4"/>
        <v/>
      </c>
    </row>
    <row r="21">
      <c r="A21" s="14" t="s">
        <v>44</v>
      </c>
      <c r="B21" s="31">
        <v>18.0</v>
      </c>
      <c r="C21" s="35" t="s">
        <v>1561</v>
      </c>
      <c r="D21" s="243" t="s">
        <v>4928</v>
      </c>
      <c r="E21" s="36" t="s">
        <v>49</v>
      </c>
      <c r="K21" s="200"/>
      <c r="L21" s="393" t="s">
        <v>4930</v>
      </c>
      <c r="M21" s="393" t="str">
        <f t="shared" si="1"/>
        <v>cindy.neighbor@house.ks.gov</v>
      </c>
      <c r="R21" s="393" t="s">
        <v>118</v>
      </c>
      <c r="S21" t="str">
        <f t="shared" si="2"/>
        <v/>
      </c>
      <c r="T21" t="str">
        <f t="shared" si="3"/>
        <v/>
      </c>
      <c r="U21" t="str">
        <f t="shared" si="4"/>
        <v/>
      </c>
    </row>
    <row r="22">
      <c r="A22" s="14" t="s">
        <v>44</v>
      </c>
      <c r="B22" s="31">
        <v>19.0</v>
      </c>
      <c r="C22" s="35" t="s">
        <v>2254</v>
      </c>
      <c r="D22" s="243" t="s">
        <v>2639</v>
      </c>
      <c r="E22" s="51" t="s">
        <v>53</v>
      </c>
      <c r="K22" s="31"/>
      <c r="L22" s="393" t="s">
        <v>4935</v>
      </c>
      <c r="M22" s="393" t="str">
        <f t="shared" si="1"/>
        <v>stephanie.clayton@house.ks.gov</v>
      </c>
      <c r="R22" s="393" t="s">
        <v>118</v>
      </c>
      <c r="S22" t="str">
        <f t="shared" si="2"/>
        <v/>
      </c>
      <c r="T22" t="str">
        <f t="shared" si="3"/>
        <v/>
      </c>
      <c r="U22" t="str">
        <f t="shared" si="4"/>
        <v/>
      </c>
    </row>
    <row r="23">
      <c r="A23" s="14" t="s">
        <v>44</v>
      </c>
      <c r="B23" s="31">
        <v>20.0</v>
      </c>
      <c r="C23" s="35" t="s">
        <v>3359</v>
      </c>
      <c r="D23" s="243" t="s">
        <v>4937</v>
      </c>
      <c r="E23" s="51" t="s">
        <v>53</v>
      </c>
      <c r="K23" s="31"/>
      <c r="L23" s="393" t="s">
        <v>4938</v>
      </c>
      <c r="M23" s="393" t="str">
        <f t="shared" si="1"/>
        <v>jan.kessinger@house.ks.gov</v>
      </c>
      <c r="R23" s="393" t="s">
        <v>118</v>
      </c>
      <c r="S23" t="str">
        <f t="shared" si="2"/>
        <v/>
      </c>
      <c r="T23" t="str">
        <f t="shared" si="3"/>
        <v/>
      </c>
      <c r="U23" t="str">
        <f t="shared" si="4"/>
        <v/>
      </c>
    </row>
    <row r="24">
      <c r="A24" s="14" t="s">
        <v>44</v>
      </c>
      <c r="B24" s="31">
        <v>21.0</v>
      </c>
      <c r="C24" s="35" t="s">
        <v>2105</v>
      </c>
      <c r="D24" s="243" t="s">
        <v>4943</v>
      </c>
      <c r="E24" s="36" t="s">
        <v>49</v>
      </c>
      <c r="K24" s="200"/>
      <c r="L24" s="393" t="s">
        <v>4944</v>
      </c>
      <c r="M24" s="393" t="str">
        <f t="shared" si="1"/>
        <v>jerry.stogsdill@house.ks.gov</v>
      </c>
      <c r="R24" s="393" t="s">
        <v>118</v>
      </c>
      <c r="S24" t="str">
        <f t="shared" si="2"/>
        <v/>
      </c>
      <c r="T24" t="str">
        <f t="shared" si="3"/>
        <v/>
      </c>
      <c r="U24" t="str">
        <f t="shared" si="4"/>
        <v/>
      </c>
    </row>
    <row r="25">
      <c r="A25" s="14" t="s">
        <v>44</v>
      </c>
      <c r="B25" s="31">
        <v>22.0</v>
      </c>
      <c r="C25" s="35" t="s">
        <v>123</v>
      </c>
      <c r="D25" s="243" t="s">
        <v>4949</v>
      </c>
      <c r="E25" s="36" t="s">
        <v>49</v>
      </c>
      <c r="K25" s="31"/>
      <c r="L25" s="393" t="s">
        <v>4950</v>
      </c>
      <c r="M25" s="393" t="str">
        <f t="shared" si="1"/>
        <v>nancy.lusk@house.ks.gov</v>
      </c>
      <c r="R25" s="393" t="s">
        <v>118</v>
      </c>
      <c r="S25" t="str">
        <f t="shared" si="2"/>
        <v/>
      </c>
      <c r="T25" t="str">
        <f t="shared" si="3"/>
        <v/>
      </c>
      <c r="U25" t="str">
        <f t="shared" si="4"/>
        <v/>
      </c>
    </row>
    <row r="26">
      <c r="A26" s="14" t="s">
        <v>44</v>
      </c>
      <c r="B26" s="31">
        <v>23.0</v>
      </c>
      <c r="C26" s="35" t="s">
        <v>1446</v>
      </c>
      <c r="D26" s="243" t="s">
        <v>2335</v>
      </c>
      <c r="E26" s="36" t="s">
        <v>49</v>
      </c>
      <c r="K26" s="200"/>
      <c r="L26" s="393"/>
      <c r="M26" s="393" t="str">
        <f t="shared" si="1"/>
        <v>susan.ruiz@house.ks.gov</v>
      </c>
      <c r="R26" s="393" t="s">
        <v>118</v>
      </c>
      <c r="S26" t="str">
        <f t="shared" si="2"/>
        <v/>
      </c>
      <c r="T26" t="str">
        <f t="shared" si="3"/>
        <v/>
      </c>
      <c r="U26" t="str">
        <f t="shared" si="4"/>
        <v/>
      </c>
    </row>
    <row r="27">
      <c r="A27" s="14" t="s">
        <v>44</v>
      </c>
      <c r="B27" s="31">
        <v>24.0</v>
      </c>
      <c r="C27" s="35" t="s">
        <v>4956</v>
      </c>
      <c r="D27" s="243" t="s">
        <v>4957</v>
      </c>
      <c r="E27" s="36" t="s">
        <v>49</v>
      </c>
      <c r="K27" s="200"/>
      <c r="L27" s="393" t="s">
        <v>4958</v>
      </c>
      <c r="M27" s="393" t="str">
        <f t="shared" si="1"/>
        <v>jarrod.ousley@house.ks.gov</v>
      </c>
      <c r="R27" s="393" t="s">
        <v>118</v>
      </c>
      <c r="S27" t="str">
        <f t="shared" si="2"/>
        <v/>
      </c>
      <c r="T27" t="str">
        <f t="shared" si="3"/>
        <v/>
      </c>
      <c r="U27" t="str">
        <f t="shared" si="4"/>
        <v/>
      </c>
    </row>
    <row r="28">
      <c r="A28" s="14" t="s">
        <v>44</v>
      </c>
      <c r="B28" s="31">
        <v>25.0</v>
      </c>
      <c r="C28" s="35" t="s">
        <v>4959</v>
      </c>
      <c r="D28" s="243" t="s">
        <v>4960</v>
      </c>
      <c r="E28" s="36" t="s">
        <v>49</v>
      </c>
      <c r="K28" s="200"/>
      <c r="L28" s="393"/>
      <c r="M28" s="393" t="str">
        <f t="shared" si="1"/>
        <v>rui.xu@house.ks.gov</v>
      </c>
      <c r="R28" s="393" t="s">
        <v>118</v>
      </c>
      <c r="S28" t="str">
        <f t="shared" si="2"/>
        <v/>
      </c>
      <c r="T28" t="str">
        <f t="shared" si="3"/>
        <v/>
      </c>
      <c r="U28" t="str">
        <f t="shared" si="4"/>
        <v/>
      </c>
    </row>
    <row r="29">
      <c r="A29" s="14" t="s">
        <v>44</v>
      </c>
      <c r="B29" s="31">
        <v>26.0</v>
      </c>
      <c r="C29" s="35" t="s">
        <v>69</v>
      </c>
      <c r="D29" s="243" t="s">
        <v>561</v>
      </c>
      <c r="E29" s="51" t="s">
        <v>53</v>
      </c>
      <c r="K29" s="31"/>
      <c r="L29" s="393"/>
      <c r="M29" s="393" t="str">
        <f t="shared" si="1"/>
        <v>adam.thomas@house.ks.gov</v>
      </c>
      <c r="R29" s="393" t="s">
        <v>118</v>
      </c>
      <c r="S29" t="str">
        <f t="shared" si="2"/>
        <v/>
      </c>
      <c r="T29" t="str">
        <f t="shared" si="3"/>
        <v/>
      </c>
      <c r="U29" t="str">
        <f t="shared" si="4"/>
        <v/>
      </c>
    </row>
    <row r="30">
      <c r="A30" s="14" t="s">
        <v>44</v>
      </c>
      <c r="B30" s="31">
        <v>27.0</v>
      </c>
      <c r="C30" s="35" t="s">
        <v>1276</v>
      </c>
      <c r="D30" s="243" t="s">
        <v>4963</v>
      </c>
      <c r="E30" s="51" t="s">
        <v>53</v>
      </c>
      <c r="K30" s="200"/>
      <c r="L30" s="393" t="s">
        <v>4964</v>
      </c>
      <c r="M30" s="393" t="str">
        <f t="shared" si="1"/>
        <v>sean.tarwater@house.ks.gov</v>
      </c>
      <c r="R30" s="393" t="s">
        <v>118</v>
      </c>
      <c r="S30" t="str">
        <f t="shared" si="2"/>
        <v/>
      </c>
      <c r="T30" t="str">
        <f t="shared" si="3"/>
        <v/>
      </c>
      <c r="U30" t="str">
        <f t="shared" si="4"/>
        <v/>
      </c>
    </row>
    <row r="31">
      <c r="A31" s="14" t="s">
        <v>44</v>
      </c>
      <c r="B31" s="31">
        <v>28.0</v>
      </c>
      <c r="C31" s="35" t="s">
        <v>4965</v>
      </c>
      <c r="D31" s="243" t="s">
        <v>646</v>
      </c>
      <c r="E31" s="51" t="s">
        <v>53</v>
      </c>
      <c r="G31" s="14" t="s">
        <v>781</v>
      </c>
      <c r="K31" s="200"/>
      <c r="L31" s="393"/>
      <c r="M31" s="393" t="str">
        <f t="shared" si="1"/>
        <v>kellie.warren@house.ks.gov</v>
      </c>
      <c r="R31" s="393" t="s">
        <v>118</v>
      </c>
      <c r="S31" t="str">
        <f t="shared" si="2"/>
        <v>Representative</v>
      </c>
      <c r="T31" t="str">
        <f t="shared" si="3"/>
        <v>Warren</v>
      </c>
      <c r="U31" t="str">
        <f t="shared" si="4"/>
        <v>kellie.warren@house.ks.gov</v>
      </c>
    </row>
    <row r="32">
      <c r="A32" s="14" t="s">
        <v>44</v>
      </c>
      <c r="B32" s="31">
        <v>29.0</v>
      </c>
      <c r="C32" s="35" t="s">
        <v>2500</v>
      </c>
      <c r="D32" s="243" t="s">
        <v>4966</v>
      </c>
      <c r="E32" s="36" t="s">
        <v>49</v>
      </c>
      <c r="K32" s="31"/>
      <c r="L32" s="393"/>
      <c r="M32" s="393" t="str">
        <f t="shared" si="1"/>
        <v>brandon.woodard@house.ks.gov</v>
      </c>
      <c r="R32" s="393" t="s">
        <v>118</v>
      </c>
      <c r="S32" t="str">
        <f t="shared" si="2"/>
        <v/>
      </c>
      <c r="T32" t="str">
        <f t="shared" si="3"/>
        <v/>
      </c>
      <c r="U32" t="str">
        <f t="shared" si="4"/>
        <v/>
      </c>
    </row>
    <row r="33">
      <c r="A33" s="14" t="s">
        <v>44</v>
      </c>
      <c r="B33" s="31">
        <v>30.0</v>
      </c>
      <c r="C33" s="35" t="s">
        <v>412</v>
      </c>
      <c r="D33" s="243" t="s">
        <v>3264</v>
      </c>
      <c r="E33" s="51" t="s">
        <v>53</v>
      </c>
      <c r="K33" s="200"/>
      <c r="L33" s="393" t="s">
        <v>4970</v>
      </c>
      <c r="M33" s="393" t="str">
        <f t="shared" si="1"/>
        <v>randy.powell@house.ks.gov</v>
      </c>
      <c r="R33" s="393" t="s">
        <v>118</v>
      </c>
      <c r="S33" t="str">
        <f t="shared" si="2"/>
        <v/>
      </c>
      <c r="T33" t="str">
        <f t="shared" si="3"/>
        <v/>
      </c>
      <c r="U33" t="str">
        <f t="shared" si="4"/>
        <v/>
      </c>
    </row>
    <row r="34">
      <c r="A34" s="14" t="s">
        <v>44</v>
      </c>
      <c r="B34" s="31">
        <v>31.0</v>
      </c>
      <c r="C34" s="35" t="s">
        <v>4971</v>
      </c>
      <c r="D34" s="243" t="s">
        <v>2335</v>
      </c>
      <c r="E34" s="36" t="s">
        <v>49</v>
      </c>
      <c r="K34" s="31"/>
      <c r="L34" s="393" t="s">
        <v>4975</v>
      </c>
      <c r="M34" s="393" t="str">
        <f t="shared" si="1"/>
        <v>louis.ruiz@house.ks.gov</v>
      </c>
      <c r="R34" s="393" t="s">
        <v>4976</v>
      </c>
      <c r="S34" t="str">
        <f t="shared" si="2"/>
        <v/>
      </c>
      <c r="T34" t="str">
        <f t="shared" si="3"/>
        <v/>
      </c>
      <c r="U34" t="str">
        <f t="shared" si="4"/>
        <v/>
      </c>
    </row>
    <row r="35">
      <c r="A35" s="14" t="s">
        <v>44</v>
      </c>
      <c r="B35" s="31">
        <v>32.0</v>
      </c>
      <c r="C35" s="35" t="s">
        <v>3657</v>
      </c>
      <c r="D35" s="243" t="s">
        <v>4099</v>
      </c>
      <c r="E35" s="36" t="s">
        <v>49</v>
      </c>
      <c r="G35" s="14" t="s">
        <v>781</v>
      </c>
      <c r="K35" s="399" t="s">
        <v>4977</v>
      </c>
      <c r="L35" s="393" t="s">
        <v>4978</v>
      </c>
      <c r="M35" s="393" t="str">
        <f t="shared" si="1"/>
        <v>pam.curtis@house.ks.gov</v>
      </c>
      <c r="R35" s="393" t="s">
        <v>4976</v>
      </c>
      <c r="S35" t="str">
        <f t="shared" si="2"/>
        <v>Representative</v>
      </c>
      <c r="T35" t="str">
        <f t="shared" si="3"/>
        <v>Curtis</v>
      </c>
      <c r="U35" t="str">
        <f t="shared" si="4"/>
        <v>pam.curtis@house.ks.gov</v>
      </c>
    </row>
    <row r="36">
      <c r="A36" s="14" t="s">
        <v>44</v>
      </c>
      <c r="B36" s="31">
        <v>33.0</v>
      </c>
      <c r="C36" s="35" t="s">
        <v>338</v>
      </c>
      <c r="D36" s="243" t="s">
        <v>4981</v>
      </c>
      <c r="E36" s="36" t="s">
        <v>49</v>
      </c>
      <c r="K36" s="31"/>
      <c r="L36" s="393" t="s">
        <v>4982</v>
      </c>
      <c r="M36" s="393" t="str">
        <f t="shared" si="1"/>
        <v>tom.burroughs@house.ks.gov</v>
      </c>
      <c r="R36" s="393" t="s">
        <v>4976</v>
      </c>
      <c r="S36" t="str">
        <f t="shared" si="2"/>
        <v/>
      </c>
      <c r="T36" t="str">
        <f t="shared" si="3"/>
        <v/>
      </c>
      <c r="U36" t="str">
        <f t="shared" si="4"/>
        <v/>
      </c>
    </row>
    <row r="37">
      <c r="A37" s="14" t="s">
        <v>44</v>
      </c>
      <c r="B37" s="31">
        <v>34.0</v>
      </c>
      <c r="C37" s="35" t="s">
        <v>4983</v>
      </c>
      <c r="D37" s="243" t="s">
        <v>4985</v>
      </c>
      <c r="E37" s="36" t="s">
        <v>49</v>
      </c>
      <c r="K37" s="31"/>
      <c r="L37" s="393" t="s">
        <v>4986</v>
      </c>
      <c r="M37" s="393" t="str">
        <f t="shared" si="1"/>
        <v>valdenia.winn@house.ks.gov</v>
      </c>
      <c r="R37" s="393" t="s">
        <v>4976</v>
      </c>
      <c r="S37" t="str">
        <f t="shared" si="2"/>
        <v/>
      </c>
      <c r="T37" t="str">
        <f t="shared" si="3"/>
        <v/>
      </c>
      <c r="U37" t="str">
        <f t="shared" si="4"/>
        <v/>
      </c>
    </row>
    <row r="38">
      <c r="A38" s="14" t="s">
        <v>44</v>
      </c>
      <c r="B38" s="31">
        <v>35.0</v>
      </c>
      <c r="C38" s="35" t="s">
        <v>4987</v>
      </c>
      <c r="D38" s="243" t="s">
        <v>2092</v>
      </c>
      <c r="E38" s="36" t="s">
        <v>49</v>
      </c>
      <c r="K38" s="31"/>
      <c r="L38" s="393" t="s">
        <v>4988</v>
      </c>
      <c r="M38" s="393" t="str">
        <f t="shared" si="1"/>
        <v>broderick.henderson@house.ks.gov</v>
      </c>
      <c r="R38" s="393" t="s">
        <v>4976</v>
      </c>
      <c r="S38" t="str">
        <f t="shared" si="2"/>
        <v/>
      </c>
      <c r="T38" t="str">
        <f t="shared" si="3"/>
        <v/>
      </c>
      <c r="U38" t="str">
        <f t="shared" si="4"/>
        <v/>
      </c>
    </row>
    <row r="39">
      <c r="A39" s="14" t="s">
        <v>44</v>
      </c>
      <c r="B39" s="31">
        <v>36.0</v>
      </c>
      <c r="C39" s="35" t="s">
        <v>2724</v>
      </c>
      <c r="D39" s="400" t="s">
        <v>4989</v>
      </c>
      <c r="E39" s="36" t="s">
        <v>49</v>
      </c>
      <c r="K39" s="31"/>
      <c r="L39" s="393" t="s">
        <v>4990</v>
      </c>
      <c r="M39" s="393" t="str">
        <f t="shared" si="1"/>
        <v>kathy.wolfemoore@house.ks.gov</v>
      </c>
      <c r="R39" s="393" t="s">
        <v>4976</v>
      </c>
      <c r="S39" t="str">
        <f t="shared" si="2"/>
        <v/>
      </c>
      <c r="T39" t="str">
        <f t="shared" si="3"/>
        <v/>
      </c>
      <c r="U39" t="str">
        <f t="shared" si="4"/>
        <v/>
      </c>
    </row>
    <row r="40">
      <c r="A40" s="14" t="s">
        <v>44</v>
      </c>
      <c r="B40" s="31">
        <v>37.0</v>
      </c>
      <c r="C40" s="35" t="s">
        <v>1513</v>
      </c>
      <c r="D40" s="243" t="s">
        <v>4993</v>
      </c>
      <c r="E40" s="36" t="s">
        <v>49</v>
      </c>
      <c r="K40" s="200"/>
      <c r="L40" s="393" t="s">
        <v>4994</v>
      </c>
      <c r="M40" s="393" t="str">
        <f t="shared" si="1"/>
        <v>stan.frownfelter@house.ks.gov</v>
      </c>
      <c r="R40" s="393" t="s">
        <v>4976</v>
      </c>
      <c r="S40" t="str">
        <f t="shared" si="2"/>
        <v/>
      </c>
      <c r="T40" t="str">
        <f t="shared" si="3"/>
        <v/>
      </c>
      <c r="U40" t="str">
        <f t="shared" si="4"/>
        <v/>
      </c>
    </row>
    <row r="41">
      <c r="A41" s="14" t="s">
        <v>44</v>
      </c>
      <c r="B41" s="31">
        <v>38.0</v>
      </c>
      <c r="C41" s="35" t="s">
        <v>4995</v>
      </c>
      <c r="D41" s="243" t="s">
        <v>4996</v>
      </c>
      <c r="E41" s="51" t="s">
        <v>53</v>
      </c>
      <c r="K41" s="200"/>
      <c r="L41" s="393" t="s">
        <v>4997</v>
      </c>
      <c r="M41" s="393" t="str">
        <f t="shared" si="1"/>
        <v>willie.dove@house.ks.gov</v>
      </c>
      <c r="R41" s="393" t="s">
        <v>4976</v>
      </c>
      <c r="S41" t="str">
        <f t="shared" si="2"/>
        <v/>
      </c>
      <c r="T41" t="str">
        <f t="shared" si="3"/>
        <v/>
      </c>
      <c r="U41" t="str">
        <f t="shared" si="4"/>
        <v/>
      </c>
    </row>
    <row r="42">
      <c r="A42" s="14" t="s">
        <v>44</v>
      </c>
      <c r="B42" s="31">
        <v>39.0</v>
      </c>
      <c r="C42" s="35" t="s">
        <v>2273</v>
      </c>
      <c r="D42" s="243" t="s">
        <v>4998</v>
      </c>
      <c r="E42" s="51" t="s">
        <v>53</v>
      </c>
      <c r="K42" s="31"/>
      <c r="L42" s="393"/>
      <c r="M42" s="393" t="str">
        <f t="shared" si="1"/>
        <v>owen.donohoe@house.ks.gov</v>
      </c>
      <c r="R42" s="393" t="s">
        <v>118</v>
      </c>
      <c r="S42" t="str">
        <f t="shared" si="2"/>
        <v/>
      </c>
      <c r="T42" t="str">
        <f t="shared" si="3"/>
        <v/>
      </c>
      <c r="U42" t="str">
        <f t="shared" si="4"/>
        <v/>
      </c>
    </row>
    <row r="43">
      <c r="A43" s="14" t="s">
        <v>44</v>
      </c>
      <c r="B43" s="31">
        <v>40.0</v>
      </c>
      <c r="C43" s="35" t="s">
        <v>425</v>
      </c>
      <c r="D43" s="243" t="s">
        <v>4999</v>
      </c>
      <c r="E43" s="36" t="s">
        <v>49</v>
      </c>
      <c r="K43" s="200"/>
      <c r="L43" s="393" t="s">
        <v>5000</v>
      </c>
      <c r="M43" s="393" t="str">
        <f t="shared" si="1"/>
        <v>debbie.deere@house.ks.gov</v>
      </c>
      <c r="R43" s="393" t="s">
        <v>5001</v>
      </c>
      <c r="S43" t="str">
        <f t="shared" si="2"/>
        <v/>
      </c>
      <c r="T43" t="str">
        <f t="shared" si="3"/>
        <v/>
      </c>
      <c r="U43" t="str">
        <f t="shared" si="4"/>
        <v/>
      </c>
    </row>
    <row r="44">
      <c r="A44" s="14" t="s">
        <v>44</v>
      </c>
      <c r="B44" s="31">
        <v>41.0</v>
      </c>
      <c r="C44" s="35" t="s">
        <v>683</v>
      </c>
      <c r="D44" s="243" t="s">
        <v>5003</v>
      </c>
      <c r="E44" s="36" t="s">
        <v>49</v>
      </c>
      <c r="K44" s="200"/>
      <c r="L44" s="393" t="s">
        <v>5004</v>
      </c>
      <c r="M44" s="393" t="str">
        <f t="shared" si="1"/>
        <v>jeff.pittman@house.ks.gov</v>
      </c>
      <c r="R44" s="393" t="s">
        <v>5001</v>
      </c>
      <c r="S44" t="str">
        <f t="shared" si="2"/>
        <v/>
      </c>
      <c r="T44" t="str">
        <f t="shared" si="3"/>
        <v/>
      </c>
      <c r="U44" t="str">
        <f t="shared" si="4"/>
        <v/>
      </c>
    </row>
    <row r="45">
      <c r="A45" s="14" t="s">
        <v>44</v>
      </c>
      <c r="B45" s="31">
        <v>42.0</v>
      </c>
      <c r="C45" s="35" t="s">
        <v>476</v>
      </c>
      <c r="D45" s="243" t="s">
        <v>5005</v>
      </c>
      <c r="E45" s="51" t="s">
        <v>53</v>
      </c>
      <c r="K45" s="200"/>
      <c r="L45" s="393" t="s">
        <v>5006</v>
      </c>
      <c r="M45" s="393" t="str">
        <f t="shared" si="1"/>
        <v>jim.karleskint@house.ks.gov</v>
      </c>
      <c r="R45" s="393" t="s">
        <v>5001</v>
      </c>
      <c r="S45" t="str">
        <f t="shared" si="2"/>
        <v/>
      </c>
      <c r="T45" t="str">
        <f t="shared" si="3"/>
        <v/>
      </c>
      <c r="U45" t="str">
        <f t="shared" si="4"/>
        <v/>
      </c>
    </row>
    <row r="46">
      <c r="A46" s="14" t="s">
        <v>44</v>
      </c>
      <c r="B46" s="31">
        <v>43.0</v>
      </c>
      <c r="C46" s="35" t="s">
        <v>1058</v>
      </c>
      <c r="D46" s="243" t="s">
        <v>5008</v>
      </c>
      <c r="E46" s="51" t="s">
        <v>53</v>
      </c>
      <c r="K46" s="200"/>
      <c r="L46" s="393" t="s">
        <v>5009</v>
      </c>
      <c r="M46" s="393" t="s">
        <v>5010</v>
      </c>
      <c r="R46" s="393" t="s">
        <v>118</v>
      </c>
      <c r="S46" t="str">
        <f t="shared" si="2"/>
        <v/>
      </c>
      <c r="T46" t="str">
        <f t="shared" si="3"/>
        <v/>
      </c>
      <c r="U46" t="str">
        <f t="shared" si="4"/>
        <v/>
      </c>
    </row>
    <row r="47">
      <c r="A47" s="14" t="s">
        <v>44</v>
      </c>
      <c r="B47" s="31">
        <v>44.0</v>
      </c>
      <c r="C47" s="35" t="s">
        <v>384</v>
      </c>
      <c r="D47" s="243" t="s">
        <v>5012</v>
      </c>
      <c r="E47" s="36" t="s">
        <v>49</v>
      </c>
      <c r="K47" s="200"/>
      <c r="L47" s="393" t="s">
        <v>4988</v>
      </c>
      <c r="M47" s="393" t="str">
        <f t="shared" ref="M47:M71" si="5">concatenate(lower(C47),".",lower(D47),"@house.ks.gov")</f>
        <v>barbara.ballard@house.ks.gov</v>
      </c>
      <c r="R47" s="393" t="s">
        <v>1312</v>
      </c>
      <c r="S47" t="str">
        <f t="shared" si="2"/>
        <v/>
      </c>
      <c r="T47" t="str">
        <f t="shared" si="3"/>
        <v/>
      </c>
      <c r="U47" t="str">
        <f t="shared" si="4"/>
        <v/>
      </c>
    </row>
    <row r="48">
      <c r="A48" s="14" t="s">
        <v>44</v>
      </c>
      <c r="B48" s="31">
        <v>45.0</v>
      </c>
      <c r="C48" s="35" t="s">
        <v>157</v>
      </c>
      <c r="D48" s="243" t="s">
        <v>5015</v>
      </c>
      <c r="E48" s="36" t="s">
        <v>49</v>
      </c>
      <c r="K48" s="31"/>
      <c r="L48" s="393"/>
      <c r="M48" s="393" t="str">
        <f t="shared" si="5"/>
        <v>mike.amyx@house.ks.gov</v>
      </c>
      <c r="R48" s="393" t="s">
        <v>1312</v>
      </c>
      <c r="S48" t="str">
        <f t="shared" si="2"/>
        <v/>
      </c>
      <c r="T48" t="str">
        <f t="shared" si="3"/>
        <v/>
      </c>
      <c r="U48" t="str">
        <f t="shared" si="4"/>
        <v/>
      </c>
    </row>
    <row r="49">
      <c r="A49" s="14" t="s">
        <v>44</v>
      </c>
      <c r="B49" s="31">
        <v>46.0</v>
      </c>
      <c r="C49" s="35" t="s">
        <v>2194</v>
      </c>
      <c r="D49" s="243" t="s">
        <v>5017</v>
      </c>
      <c r="E49" s="36" t="s">
        <v>49</v>
      </c>
      <c r="G49" s="14" t="s">
        <v>781</v>
      </c>
      <c r="K49" s="164" t="s">
        <v>4977</v>
      </c>
      <c r="L49" s="393" t="s">
        <v>5018</v>
      </c>
      <c r="M49" s="393" t="str">
        <f t="shared" si="5"/>
        <v>dennis.highberger@house.ks.gov</v>
      </c>
      <c r="R49" s="393" t="s">
        <v>1312</v>
      </c>
      <c r="S49" t="str">
        <f t="shared" si="2"/>
        <v>Representative</v>
      </c>
      <c r="T49" t="str">
        <f t="shared" si="3"/>
        <v>Highberger</v>
      </c>
      <c r="U49" t="str">
        <f t="shared" si="4"/>
        <v>dennis.highberger@house.ks.gov</v>
      </c>
    </row>
    <row r="50">
      <c r="A50" s="14" t="s">
        <v>44</v>
      </c>
      <c r="B50" s="31">
        <v>47.0</v>
      </c>
      <c r="C50" s="35" t="s">
        <v>393</v>
      </c>
      <c r="D50" s="243" t="s">
        <v>451</v>
      </c>
      <c r="E50" s="51" t="s">
        <v>53</v>
      </c>
      <c r="K50" s="200"/>
      <c r="L50" s="393" t="s">
        <v>5020</v>
      </c>
      <c r="M50" s="393" t="str">
        <f t="shared" si="5"/>
        <v>ronald.ellis@house.ks.gov</v>
      </c>
      <c r="R50" s="393" t="s">
        <v>467</v>
      </c>
      <c r="S50" t="str">
        <f t="shared" si="2"/>
        <v/>
      </c>
      <c r="T50" t="str">
        <f t="shared" si="3"/>
        <v/>
      </c>
      <c r="U50" t="str">
        <f t="shared" si="4"/>
        <v/>
      </c>
    </row>
    <row r="51">
      <c r="A51" s="14" t="s">
        <v>44</v>
      </c>
      <c r="B51" s="31">
        <v>48.0</v>
      </c>
      <c r="C51" s="35" t="s">
        <v>108</v>
      </c>
      <c r="D51" s="243" t="s">
        <v>5021</v>
      </c>
      <c r="E51" s="36" t="s">
        <v>49</v>
      </c>
      <c r="K51" s="31"/>
      <c r="L51" s="393"/>
      <c r="M51" s="393" t="str">
        <f t="shared" si="5"/>
        <v>david.benson@house.ks.gov</v>
      </c>
      <c r="R51" s="393" t="s">
        <v>118</v>
      </c>
      <c r="S51" t="str">
        <f t="shared" si="2"/>
        <v/>
      </c>
      <c r="T51" t="str">
        <f t="shared" si="3"/>
        <v/>
      </c>
      <c r="U51" t="str">
        <f t="shared" si="4"/>
        <v/>
      </c>
    </row>
    <row r="52">
      <c r="A52" s="14" t="s">
        <v>44</v>
      </c>
      <c r="B52" s="31">
        <v>49.0</v>
      </c>
      <c r="C52" s="35" t="s">
        <v>1687</v>
      </c>
      <c r="D52" s="243" t="s">
        <v>66</v>
      </c>
      <c r="E52" s="51" t="s">
        <v>53</v>
      </c>
      <c r="K52" s="31"/>
      <c r="L52" s="393"/>
      <c r="M52" s="393" t="str">
        <f t="shared" si="5"/>
        <v>megan.lynn@house.ks.gov</v>
      </c>
      <c r="R52" s="393" t="s">
        <v>118</v>
      </c>
      <c r="S52" t="str">
        <f t="shared" si="2"/>
        <v/>
      </c>
      <c r="T52" t="str">
        <f t="shared" si="3"/>
        <v/>
      </c>
      <c r="U52" t="str">
        <f t="shared" si="4"/>
        <v/>
      </c>
    </row>
    <row r="53">
      <c r="A53" s="14" t="s">
        <v>44</v>
      </c>
      <c r="B53" s="31">
        <v>50.0</v>
      </c>
      <c r="C53" s="35" t="s">
        <v>1242</v>
      </c>
      <c r="D53" s="243" t="s">
        <v>5022</v>
      </c>
      <c r="E53" s="51" t="s">
        <v>53</v>
      </c>
      <c r="G53" s="14" t="s">
        <v>877</v>
      </c>
      <c r="K53" s="399" t="s">
        <v>4977</v>
      </c>
      <c r="L53" s="393" t="s">
        <v>5023</v>
      </c>
      <c r="M53" s="393" t="str">
        <f t="shared" si="5"/>
        <v>fred.patton@house.ks.gov</v>
      </c>
      <c r="R53" s="393" t="s">
        <v>5026</v>
      </c>
      <c r="S53" t="str">
        <f t="shared" si="2"/>
        <v>Representative</v>
      </c>
      <c r="T53" t="str">
        <f t="shared" si="3"/>
        <v>Patton</v>
      </c>
      <c r="U53" t="str">
        <f t="shared" si="4"/>
        <v>fred.patton@house.ks.gov</v>
      </c>
    </row>
    <row r="54">
      <c r="A54" s="14" t="s">
        <v>44</v>
      </c>
      <c r="B54" s="31">
        <v>51.0</v>
      </c>
      <c r="C54" s="35" t="s">
        <v>1813</v>
      </c>
      <c r="D54" s="243" t="s">
        <v>5027</v>
      </c>
      <c r="E54" s="51" t="s">
        <v>53</v>
      </c>
      <c r="K54" s="200"/>
      <c r="L54" s="393" t="s">
        <v>5028</v>
      </c>
      <c r="M54" s="393" t="str">
        <f t="shared" si="5"/>
        <v>ron.highland@house.ks.gov</v>
      </c>
      <c r="R54" s="393" t="s">
        <v>5029</v>
      </c>
      <c r="S54" t="str">
        <f t="shared" si="2"/>
        <v/>
      </c>
      <c r="T54" t="str">
        <f t="shared" si="3"/>
        <v/>
      </c>
      <c r="U54" t="str">
        <f t="shared" si="4"/>
        <v/>
      </c>
    </row>
    <row r="55">
      <c r="A55" s="14" t="s">
        <v>44</v>
      </c>
      <c r="B55" s="31">
        <v>52.0</v>
      </c>
      <c r="C55" s="35" t="s">
        <v>2755</v>
      </c>
      <c r="D55" s="243" t="s">
        <v>5032</v>
      </c>
      <c r="E55" s="51" t="s">
        <v>53</v>
      </c>
      <c r="K55" s="31"/>
      <c r="L55" s="393" t="s">
        <v>5033</v>
      </c>
      <c r="M55" s="393" t="str">
        <f t="shared" si="5"/>
        <v>brenda.dietrich@house.ks.gov</v>
      </c>
      <c r="R55" s="393" t="s">
        <v>5026</v>
      </c>
      <c r="S55" t="str">
        <f t="shared" si="2"/>
        <v/>
      </c>
      <c r="T55" t="str">
        <f t="shared" si="3"/>
        <v/>
      </c>
      <c r="U55" t="str">
        <f t="shared" si="4"/>
        <v/>
      </c>
    </row>
    <row r="56">
      <c r="A56" s="14" t="s">
        <v>44</v>
      </c>
      <c r="B56" s="31">
        <v>53.0</v>
      </c>
      <c r="C56" s="35" t="s">
        <v>476</v>
      </c>
      <c r="D56" s="243" t="s">
        <v>5037</v>
      </c>
      <c r="E56" s="36" t="s">
        <v>49</v>
      </c>
      <c r="K56" s="31"/>
      <c r="L56" s="393" t="s">
        <v>5038</v>
      </c>
      <c r="M56" s="393" t="str">
        <f t="shared" si="5"/>
        <v>jim.gartner@house.ks.gov</v>
      </c>
      <c r="R56" s="393" t="s">
        <v>5026</v>
      </c>
      <c r="S56" t="str">
        <f t="shared" si="2"/>
        <v/>
      </c>
      <c r="T56" t="str">
        <f t="shared" si="3"/>
        <v/>
      </c>
      <c r="U56" t="str">
        <f t="shared" si="4"/>
        <v/>
      </c>
    </row>
    <row r="57">
      <c r="A57" s="14" t="s">
        <v>44</v>
      </c>
      <c r="B57" s="31">
        <v>54.0</v>
      </c>
      <c r="C57" s="35" t="s">
        <v>1049</v>
      </c>
      <c r="D57" s="243" t="s">
        <v>5039</v>
      </c>
      <c r="E57" s="51" t="s">
        <v>53</v>
      </c>
      <c r="K57" s="31"/>
      <c r="L57" s="393" t="s">
        <v>4863</v>
      </c>
      <c r="M57" s="393" t="str">
        <f t="shared" si="5"/>
        <v>ken.corbet@house.ks.gov</v>
      </c>
      <c r="R57" s="393" t="s">
        <v>5026</v>
      </c>
      <c r="S57" t="str">
        <f t="shared" si="2"/>
        <v/>
      </c>
      <c r="T57" t="str">
        <f t="shared" si="3"/>
        <v/>
      </c>
      <c r="U57" t="str">
        <f t="shared" si="4"/>
        <v/>
      </c>
    </row>
    <row r="58">
      <c r="A58" s="14" t="s">
        <v>44</v>
      </c>
      <c r="B58" s="31">
        <v>55.0</v>
      </c>
      <c r="C58" s="35" t="s">
        <v>5040</v>
      </c>
      <c r="D58" s="243" t="s">
        <v>5043</v>
      </c>
      <c r="E58" s="36" t="s">
        <v>49</v>
      </c>
      <c r="G58" s="14" t="s">
        <v>781</v>
      </c>
      <c r="K58" s="164" t="s">
        <v>5044</v>
      </c>
      <c r="L58" s="393" t="s">
        <v>5045</v>
      </c>
      <c r="M58" s="393" t="str">
        <f t="shared" si="5"/>
        <v>annie.kuether@house.ks.gov</v>
      </c>
      <c r="R58" s="393" t="s">
        <v>5026</v>
      </c>
      <c r="S58" t="str">
        <f t="shared" si="2"/>
        <v>Representative</v>
      </c>
      <c r="T58" t="str">
        <f t="shared" si="3"/>
        <v>Kuether</v>
      </c>
      <c r="U58" t="str">
        <f t="shared" si="4"/>
        <v>annie.kuether@house.ks.gov</v>
      </c>
    </row>
    <row r="59">
      <c r="A59" s="14" t="s">
        <v>44</v>
      </c>
      <c r="B59" s="31">
        <v>56.0</v>
      </c>
      <c r="C59" s="35" t="s">
        <v>5046</v>
      </c>
      <c r="D59" s="243" t="s">
        <v>5048</v>
      </c>
      <c r="E59" s="36" t="s">
        <v>49</v>
      </c>
      <c r="K59" s="31"/>
      <c r="L59" s="393" t="s">
        <v>5049</v>
      </c>
      <c r="M59" s="393" t="str">
        <f t="shared" si="5"/>
        <v>virgil.weigel@house.ks.gov</v>
      </c>
      <c r="R59" s="393" t="s">
        <v>5026</v>
      </c>
      <c r="S59" t="str">
        <f t="shared" si="2"/>
        <v/>
      </c>
      <c r="T59" t="str">
        <f t="shared" si="3"/>
        <v/>
      </c>
      <c r="U59" t="str">
        <f t="shared" si="4"/>
        <v/>
      </c>
    </row>
    <row r="60">
      <c r="A60" s="14" t="s">
        <v>44</v>
      </c>
      <c r="B60" s="31">
        <v>57.0</v>
      </c>
      <c r="C60" s="35" t="s">
        <v>278</v>
      </c>
      <c r="D60" s="243" t="s">
        <v>5052</v>
      </c>
      <c r="E60" s="36" t="s">
        <v>49</v>
      </c>
      <c r="K60" s="31"/>
      <c r="L60" s="393" t="s">
        <v>5053</v>
      </c>
      <c r="M60" s="393" t="str">
        <f t="shared" si="5"/>
        <v>john.alcala@house.ks.gov</v>
      </c>
      <c r="R60" s="393" t="s">
        <v>5026</v>
      </c>
      <c r="S60" t="str">
        <f t="shared" si="2"/>
        <v/>
      </c>
      <c r="T60" t="str">
        <f t="shared" si="3"/>
        <v/>
      </c>
      <c r="U60" t="str">
        <f t="shared" si="4"/>
        <v/>
      </c>
    </row>
    <row r="61">
      <c r="A61" s="14" t="s">
        <v>44</v>
      </c>
      <c r="B61" s="31">
        <v>58.0</v>
      </c>
      <c r="C61" s="35"/>
      <c r="D61" s="243"/>
      <c r="E61" s="36" t="s">
        <v>49</v>
      </c>
      <c r="K61" s="31"/>
      <c r="L61" s="393" t="s">
        <v>5054</v>
      </c>
      <c r="M61" s="393" t="str">
        <f t="shared" si="5"/>
        <v>.@house.ks.gov</v>
      </c>
      <c r="R61" s="393" t="s">
        <v>5026</v>
      </c>
      <c r="S61" t="str">
        <f t="shared" si="2"/>
        <v/>
      </c>
      <c r="T61" t="str">
        <f t="shared" si="3"/>
        <v/>
      </c>
      <c r="U61" t="str">
        <f t="shared" si="4"/>
        <v/>
      </c>
    </row>
    <row r="62">
      <c r="A62" s="14" t="s">
        <v>44</v>
      </c>
      <c r="B62" s="31">
        <v>59.0</v>
      </c>
      <c r="C62" s="35" t="s">
        <v>4458</v>
      </c>
      <c r="D62" s="243" t="s">
        <v>5055</v>
      </c>
      <c r="E62" s="51" t="s">
        <v>53</v>
      </c>
      <c r="K62" s="200"/>
      <c r="L62" s="393" t="s">
        <v>5056</v>
      </c>
      <c r="M62" s="393" t="str">
        <f t="shared" si="5"/>
        <v>blaine.finch@house.ks.gov</v>
      </c>
      <c r="R62" s="393" t="s">
        <v>2670</v>
      </c>
      <c r="S62" t="str">
        <f t="shared" si="2"/>
        <v/>
      </c>
      <c r="T62" t="str">
        <f t="shared" si="3"/>
        <v/>
      </c>
      <c r="U62" t="str">
        <f t="shared" si="4"/>
        <v/>
      </c>
    </row>
    <row r="63">
      <c r="A63" s="14" t="s">
        <v>44</v>
      </c>
      <c r="B63" s="31">
        <v>60.0</v>
      </c>
      <c r="C63" s="35" t="s">
        <v>91</v>
      </c>
      <c r="D63" s="243" t="s">
        <v>5059</v>
      </c>
      <c r="E63" s="51" t="s">
        <v>53</v>
      </c>
      <c r="K63" s="200"/>
      <c r="L63" s="393" t="s">
        <v>5060</v>
      </c>
      <c r="M63" s="393" t="str">
        <f t="shared" si="5"/>
        <v>mark.schreiber@house.ks.gov</v>
      </c>
      <c r="R63" s="393" t="s">
        <v>5061</v>
      </c>
      <c r="S63" t="str">
        <f t="shared" si="2"/>
        <v/>
      </c>
      <c r="T63" t="str">
        <f t="shared" si="3"/>
        <v/>
      </c>
      <c r="U63" t="str">
        <f t="shared" si="4"/>
        <v/>
      </c>
    </row>
    <row r="64">
      <c r="A64" s="14" t="s">
        <v>44</v>
      </c>
      <c r="B64" s="31">
        <v>61.0</v>
      </c>
      <c r="C64" s="35" t="s">
        <v>3391</v>
      </c>
      <c r="D64" s="243" t="s">
        <v>5064</v>
      </c>
      <c r="E64" s="51" t="s">
        <v>53</v>
      </c>
      <c r="K64" s="200"/>
      <c r="L64" s="393" t="s">
        <v>5065</v>
      </c>
      <c r="M64" s="393" t="str">
        <f t="shared" si="5"/>
        <v>francis.awerkamp@house.ks.gov</v>
      </c>
      <c r="R64" s="393" t="s">
        <v>5029</v>
      </c>
      <c r="S64" t="str">
        <f t="shared" si="2"/>
        <v/>
      </c>
      <c r="T64" t="str">
        <f t="shared" si="3"/>
        <v/>
      </c>
      <c r="U64" t="str">
        <f t="shared" si="4"/>
        <v/>
      </c>
    </row>
    <row r="65">
      <c r="A65" s="14" t="s">
        <v>44</v>
      </c>
      <c r="B65" s="31">
        <v>62.0</v>
      </c>
      <c r="C65" s="35" t="s">
        <v>412</v>
      </c>
      <c r="D65" s="243" t="s">
        <v>5069</v>
      </c>
      <c r="E65" s="51" t="s">
        <v>53</v>
      </c>
      <c r="G65" s="14" t="s">
        <v>781</v>
      </c>
      <c r="K65" s="200"/>
      <c r="L65" s="393" t="s">
        <v>5070</v>
      </c>
      <c r="M65" s="393" t="str">
        <f t="shared" si="5"/>
        <v>randy.garber@house.ks.gov</v>
      </c>
      <c r="R65" s="393" t="s">
        <v>5071</v>
      </c>
      <c r="S65" t="str">
        <f t="shared" si="2"/>
        <v>Representative</v>
      </c>
      <c r="T65" t="str">
        <f t="shared" si="3"/>
        <v>Garber</v>
      </c>
      <c r="U65" t="str">
        <f t="shared" si="4"/>
        <v>randy.garber@house.ks.gov</v>
      </c>
    </row>
    <row r="66">
      <c r="A66" s="14" t="s">
        <v>44</v>
      </c>
      <c r="B66" s="31">
        <v>63.0</v>
      </c>
      <c r="C66" s="35" t="s">
        <v>278</v>
      </c>
      <c r="D66" s="243" t="s">
        <v>5074</v>
      </c>
      <c r="E66" s="51" t="s">
        <v>53</v>
      </c>
      <c r="K66" s="200"/>
      <c r="L66" s="393" t="s">
        <v>5075</v>
      </c>
      <c r="M66" s="393" t="str">
        <f t="shared" si="5"/>
        <v>john.eplee@house.ks.gov</v>
      </c>
      <c r="R66" s="393" t="s">
        <v>5076</v>
      </c>
      <c r="S66" t="str">
        <f t="shared" si="2"/>
        <v/>
      </c>
      <c r="T66" t="str">
        <f t="shared" si="3"/>
        <v/>
      </c>
      <c r="U66" t="str">
        <f t="shared" si="4"/>
        <v/>
      </c>
    </row>
    <row r="67">
      <c r="A67" s="14" t="s">
        <v>44</v>
      </c>
      <c r="B67" s="31">
        <v>64.0</v>
      </c>
      <c r="C67" s="35" t="s">
        <v>5077</v>
      </c>
      <c r="D67" s="243" t="s">
        <v>4320</v>
      </c>
      <c r="E67" s="51" t="s">
        <v>53</v>
      </c>
      <c r="K67" s="200"/>
      <c r="L67" s="393" t="s">
        <v>5078</v>
      </c>
      <c r="M67" s="393" t="str">
        <f t="shared" si="5"/>
        <v>susie.swanson@house.ks.gov</v>
      </c>
      <c r="R67" s="393" t="s">
        <v>868</v>
      </c>
      <c r="S67" t="str">
        <f t="shared" si="2"/>
        <v/>
      </c>
      <c r="T67" t="str">
        <f t="shared" si="3"/>
        <v/>
      </c>
      <c r="U67" t="str">
        <f t="shared" si="4"/>
        <v/>
      </c>
    </row>
    <row r="68">
      <c r="A68" s="14" t="s">
        <v>44</v>
      </c>
      <c r="B68" s="31">
        <v>65.0</v>
      </c>
      <c r="C68" s="35" t="s">
        <v>4810</v>
      </c>
      <c r="D68" s="243" t="s">
        <v>2063</v>
      </c>
      <c r="E68" s="51" t="s">
        <v>53</v>
      </c>
      <c r="K68" s="200"/>
      <c r="L68" s="393" t="s">
        <v>5081</v>
      </c>
      <c r="M68" s="393" t="str">
        <f t="shared" si="5"/>
        <v>lonnie.clark@house.ks.gov</v>
      </c>
      <c r="R68" s="393" t="s">
        <v>5082</v>
      </c>
      <c r="S68" t="str">
        <f t="shared" si="2"/>
        <v/>
      </c>
      <c r="T68" t="str">
        <f t="shared" si="3"/>
        <v/>
      </c>
      <c r="U68" t="str">
        <f t="shared" si="4"/>
        <v/>
      </c>
    </row>
    <row r="69">
      <c r="A69" s="14" t="s">
        <v>44</v>
      </c>
      <c r="B69" s="31">
        <v>66.0</v>
      </c>
      <c r="C69" s="35" t="s">
        <v>1756</v>
      </c>
      <c r="D69" s="243" t="s">
        <v>5083</v>
      </c>
      <c r="E69" s="36" t="s">
        <v>49</v>
      </c>
      <c r="K69" s="200"/>
      <c r="L69" s="393" t="s">
        <v>4986</v>
      </c>
      <c r="M69" s="393" t="str">
        <f t="shared" si="5"/>
        <v>sydney.carlin@house.ks.gov</v>
      </c>
      <c r="R69" s="393" t="s">
        <v>2564</v>
      </c>
      <c r="S69" t="str">
        <f t="shared" si="2"/>
        <v/>
      </c>
      <c r="T69" t="str">
        <f t="shared" si="3"/>
        <v/>
      </c>
      <c r="U69" t="str">
        <f t="shared" si="4"/>
        <v/>
      </c>
    </row>
    <row r="70">
      <c r="A70" s="14" t="s">
        <v>44</v>
      </c>
      <c r="B70" s="31">
        <v>67.0</v>
      </c>
      <c r="C70" s="35" t="s">
        <v>338</v>
      </c>
      <c r="D70" s="243" t="s">
        <v>5085</v>
      </c>
      <c r="E70" s="51" t="s">
        <v>53</v>
      </c>
      <c r="K70" s="31"/>
      <c r="L70" s="393" t="s">
        <v>5086</v>
      </c>
      <c r="M70" s="393" t="str">
        <f t="shared" si="5"/>
        <v>tom.phillips@house.ks.gov</v>
      </c>
      <c r="R70" s="393" t="s">
        <v>2564</v>
      </c>
      <c r="S70" t="str">
        <f t="shared" si="2"/>
        <v/>
      </c>
      <c r="T70" t="str">
        <f t="shared" si="3"/>
        <v/>
      </c>
      <c r="U70" t="str">
        <f t="shared" si="4"/>
        <v/>
      </c>
    </row>
    <row r="71">
      <c r="A71" s="14" t="s">
        <v>44</v>
      </c>
      <c r="B71" s="31">
        <v>68.0</v>
      </c>
      <c r="C71" s="35" t="s">
        <v>76</v>
      </c>
      <c r="D71" s="243" t="s">
        <v>553</v>
      </c>
      <c r="E71" s="51" t="s">
        <v>53</v>
      </c>
      <c r="K71" s="200"/>
      <c r="L71" s="393" t="s">
        <v>5088</v>
      </c>
      <c r="M71" s="393" t="str">
        <f t="shared" si="5"/>
        <v>dave.baker@house.ks.gov</v>
      </c>
      <c r="R71" s="393" t="s">
        <v>617</v>
      </c>
      <c r="S71" t="str">
        <f t="shared" si="2"/>
        <v/>
      </c>
      <c r="T71" t="str">
        <f t="shared" si="3"/>
        <v/>
      </c>
      <c r="U71" t="str">
        <f t="shared" si="4"/>
        <v/>
      </c>
    </row>
    <row r="72">
      <c r="A72" s="14" t="s">
        <v>44</v>
      </c>
      <c r="B72" s="31">
        <v>69.0</v>
      </c>
      <c r="C72" s="38" t="s">
        <v>5089</v>
      </c>
      <c r="D72" s="243" t="s">
        <v>5090</v>
      </c>
      <c r="E72" s="51" t="s">
        <v>53</v>
      </c>
      <c r="K72" s="200"/>
      <c r="L72" s="393" t="s">
        <v>5091</v>
      </c>
      <c r="M72" s="393" t="s">
        <v>5092</v>
      </c>
      <c r="R72" s="393" t="s">
        <v>5093</v>
      </c>
      <c r="S72" t="str">
        <f t="shared" si="2"/>
        <v/>
      </c>
      <c r="T72" t="str">
        <f t="shared" si="3"/>
        <v/>
      </c>
      <c r="U72" t="str">
        <f t="shared" si="4"/>
        <v/>
      </c>
    </row>
    <row r="73">
      <c r="A73" s="14" t="s">
        <v>44</v>
      </c>
      <c r="B73" s="31">
        <v>70.0</v>
      </c>
      <c r="C73" s="35" t="s">
        <v>278</v>
      </c>
      <c r="D73" s="243" t="s">
        <v>5094</v>
      </c>
      <c r="E73" s="51" t="s">
        <v>53</v>
      </c>
      <c r="K73" s="200"/>
      <c r="L73" s="393" t="s">
        <v>5095</v>
      </c>
      <c r="M73" s="393" t="str">
        <f t="shared" ref="M73:M77" si="6">concatenate(lower(C73),".",lower(D73),"@house.ks.gov")</f>
        <v>john.barker@house.ks.gov</v>
      </c>
      <c r="R73" s="393" t="s">
        <v>5098</v>
      </c>
      <c r="S73" t="str">
        <f t="shared" si="2"/>
        <v/>
      </c>
      <c r="T73" t="str">
        <f t="shared" si="3"/>
        <v/>
      </c>
      <c r="U73" t="str">
        <f t="shared" si="4"/>
        <v/>
      </c>
    </row>
    <row r="74">
      <c r="A74" s="14" t="s">
        <v>44</v>
      </c>
      <c r="B74" s="31">
        <v>71.0</v>
      </c>
      <c r="C74" s="35" t="s">
        <v>2482</v>
      </c>
      <c r="D74" s="243" t="s">
        <v>5099</v>
      </c>
      <c r="E74" s="51" t="s">
        <v>53</v>
      </c>
      <c r="K74" s="200"/>
      <c r="L74" s="393" t="s">
        <v>5100</v>
      </c>
      <c r="M74" s="393" t="str">
        <f t="shared" si="6"/>
        <v>diana.dierks@house.ks.gov</v>
      </c>
      <c r="R74" s="393" t="s">
        <v>5093</v>
      </c>
      <c r="S74" t="str">
        <f t="shared" si="2"/>
        <v/>
      </c>
      <c r="T74" t="str">
        <f t="shared" si="3"/>
        <v/>
      </c>
      <c r="U74" t="str">
        <f t="shared" si="4"/>
        <v/>
      </c>
    </row>
    <row r="75">
      <c r="A75" s="14" t="s">
        <v>44</v>
      </c>
      <c r="B75" s="31">
        <v>72.0</v>
      </c>
      <c r="C75" s="35" t="s">
        <v>1897</v>
      </c>
      <c r="D75" s="243" t="s">
        <v>130</v>
      </c>
      <c r="E75" s="36" t="s">
        <v>49</v>
      </c>
      <c r="K75" s="200"/>
      <c r="L75" s="393"/>
      <c r="M75" s="393" t="str">
        <f t="shared" si="6"/>
        <v>steven.kelly@house.ks.gov</v>
      </c>
      <c r="R75" s="393" t="s">
        <v>5101</v>
      </c>
      <c r="S75" t="str">
        <f t="shared" si="2"/>
        <v/>
      </c>
      <c r="T75" t="str">
        <f t="shared" si="3"/>
        <v/>
      </c>
      <c r="U75" t="str">
        <f t="shared" si="4"/>
        <v/>
      </c>
    </row>
    <row r="76">
      <c r="A76" s="14" t="s">
        <v>44</v>
      </c>
      <c r="B76" s="31">
        <v>73.0</v>
      </c>
      <c r="C76" s="35" t="s">
        <v>1205</v>
      </c>
      <c r="D76" s="243" t="s">
        <v>3835</v>
      </c>
      <c r="E76" s="51" t="s">
        <v>53</v>
      </c>
      <c r="K76" s="200"/>
      <c r="L76" s="393" t="s">
        <v>5104</v>
      </c>
      <c r="M76" s="393" t="str">
        <f t="shared" si="6"/>
        <v>les.mason@house.ks.gov</v>
      </c>
      <c r="R76" s="393" t="s">
        <v>5105</v>
      </c>
      <c r="S76" t="str">
        <f t="shared" si="2"/>
        <v/>
      </c>
      <c r="T76" t="str">
        <f t="shared" si="3"/>
        <v/>
      </c>
      <c r="U76" t="str">
        <f t="shared" si="4"/>
        <v/>
      </c>
    </row>
    <row r="77">
      <c r="A77" s="14" t="s">
        <v>44</v>
      </c>
      <c r="B77" s="31">
        <v>74.0</v>
      </c>
      <c r="C77" s="35" t="s">
        <v>428</v>
      </c>
      <c r="D77" s="243" t="s">
        <v>5107</v>
      </c>
      <c r="E77" s="51" t="s">
        <v>53</v>
      </c>
      <c r="K77" s="200"/>
      <c r="L77" s="393" t="s">
        <v>5108</v>
      </c>
      <c r="M77" s="393" t="str">
        <f t="shared" si="6"/>
        <v>don.schroeder@house.ks.gov</v>
      </c>
      <c r="R77" s="393" t="s">
        <v>5105</v>
      </c>
      <c r="S77" t="str">
        <f t="shared" si="2"/>
        <v/>
      </c>
      <c r="T77" t="str">
        <f t="shared" si="3"/>
        <v/>
      </c>
      <c r="U77" t="str">
        <f t="shared" si="4"/>
        <v/>
      </c>
    </row>
    <row r="78">
      <c r="A78" s="14" t="s">
        <v>44</v>
      </c>
      <c r="B78" s="31">
        <v>75.0</v>
      </c>
      <c r="C78" s="35" t="s">
        <v>514</v>
      </c>
      <c r="D78" s="243" t="s">
        <v>3041</v>
      </c>
      <c r="E78" s="51" t="s">
        <v>53</v>
      </c>
      <c r="K78" s="200"/>
      <c r="L78" s="393" t="s">
        <v>5110</v>
      </c>
      <c r="M78" s="393" t="s">
        <v>5111</v>
      </c>
      <c r="R78" s="393" t="s">
        <v>1102</v>
      </c>
      <c r="S78" t="str">
        <f t="shared" si="2"/>
        <v/>
      </c>
      <c r="T78" t="str">
        <f t="shared" si="3"/>
        <v/>
      </c>
      <c r="U78" t="str">
        <f t="shared" si="4"/>
        <v/>
      </c>
    </row>
    <row r="79">
      <c r="A79" s="14" t="s">
        <v>44</v>
      </c>
      <c r="B79" s="31">
        <v>76.0</v>
      </c>
      <c r="C79" s="35" t="s">
        <v>2302</v>
      </c>
      <c r="D79" s="243" t="s">
        <v>1451</v>
      </c>
      <c r="E79" s="51" t="s">
        <v>53</v>
      </c>
      <c r="K79" s="200"/>
      <c r="L79" s="393" t="s">
        <v>5112</v>
      </c>
      <c r="M79" s="393" t="str">
        <f t="shared" ref="M79:M102" si="7">concatenate(lower(C79),".",lower(D79),"@house.ks.gov")</f>
        <v>eric.smith@house.ks.gov</v>
      </c>
      <c r="R79" s="393" t="s">
        <v>5113</v>
      </c>
      <c r="S79" t="str">
        <f t="shared" si="2"/>
        <v/>
      </c>
      <c r="T79" t="str">
        <f t="shared" si="3"/>
        <v/>
      </c>
      <c r="U79" t="str">
        <f t="shared" si="4"/>
        <v/>
      </c>
    </row>
    <row r="80">
      <c r="A80" s="14" t="s">
        <v>44</v>
      </c>
      <c r="B80" s="31">
        <v>77.0</v>
      </c>
      <c r="C80" s="35" t="s">
        <v>5114</v>
      </c>
      <c r="D80" s="243" t="s">
        <v>793</v>
      </c>
      <c r="E80" s="51" t="s">
        <v>53</v>
      </c>
      <c r="K80" s="200"/>
      <c r="L80" s="393" t="s">
        <v>5116</v>
      </c>
      <c r="M80" s="393" t="str">
        <f t="shared" si="7"/>
        <v>kristey.williams@house.ks.gov</v>
      </c>
      <c r="R80" s="393" t="s">
        <v>1102</v>
      </c>
      <c r="S80" t="str">
        <f t="shared" si="2"/>
        <v/>
      </c>
      <c r="T80" t="str">
        <f t="shared" si="3"/>
        <v/>
      </c>
      <c r="U80" t="str">
        <f t="shared" si="4"/>
        <v/>
      </c>
    </row>
    <row r="81">
      <c r="A81" s="14" t="s">
        <v>44</v>
      </c>
      <c r="B81" s="31">
        <v>78.0</v>
      </c>
      <c r="C81" s="35" t="s">
        <v>1813</v>
      </c>
      <c r="D81" s="243" t="s">
        <v>5118</v>
      </c>
      <c r="E81" s="51" t="s">
        <v>53</v>
      </c>
      <c r="K81" s="200"/>
      <c r="L81" s="393" t="s">
        <v>5119</v>
      </c>
      <c r="M81" s="393" t="str">
        <f t="shared" si="7"/>
        <v>ron.ryckman@house.ks.gov</v>
      </c>
      <c r="R81" s="393" t="s">
        <v>118</v>
      </c>
      <c r="S81" t="str">
        <f t="shared" si="2"/>
        <v/>
      </c>
      <c r="T81" t="str">
        <f t="shared" si="3"/>
        <v/>
      </c>
      <c r="U81" t="str">
        <f t="shared" si="4"/>
        <v/>
      </c>
    </row>
    <row r="82">
      <c r="A82" s="14" t="s">
        <v>44</v>
      </c>
      <c r="B82" s="31">
        <v>79.0</v>
      </c>
      <c r="C82" s="35" t="s">
        <v>5120</v>
      </c>
      <c r="D82" s="243" t="s">
        <v>5121</v>
      </c>
      <c r="E82" s="51" t="s">
        <v>53</v>
      </c>
      <c r="K82" s="200"/>
      <c r="L82" s="393"/>
      <c r="M82" s="393" t="str">
        <f t="shared" si="7"/>
        <v>cheryl.helmer@house.ks.gov</v>
      </c>
      <c r="R82" s="393" t="s">
        <v>5122</v>
      </c>
      <c r="S82" t="str">
        <f t="shared" si="2"/>
        <v/>
      </c>
      <c r="T82" t="str">
        <f t="shared" si="3"/>
        <v/>
      </c>
      <c r="U82" t="str">
        <f t="shared" si="4"/>
        <v/>
      </c>
    </row>
    <row r="83">
      <c r="A83" s="14" t="s">
        <v>44</v>
      </c>
      <c r="B83" s="31">
        <v>80.0</v>
      </c>
      <c r="C83" s="35" t="s">
        <v>5123</v>
      </c>
      <c r="D83" s="243" t="s">
        <v>5125</v>
      </c>
      <c r="E83" s="51" t="s">
        <v>53</v>
      </c>
      <c r="K83" s="200"/>
      <c r="L83" s="393" t="s">
        <v>5126</v>
      </c>
      <c r="M83" s="393" t="str">
        <f t="shared" si="7"/>
        <v>anita.judd-jenkins@house.ks.gov</v>
      </c>
      <c r="R83" s="393" t="s">
        <v>5122</v>
      </c>
      <c r="S83" t="str">
        <f t="shared" si="2"/>
        <v/>
      </c>
      <c r="T83" t="str">
        <f t="shared" si="3"/>
        <v/>
      </c>
      <c r="U83" t="str">
        <f t="shared" si="4"/>
        <v/>
      </c>
    </row>
    <row r="84">
      <c r="A84" s="14" t="s">
        <v>44</v>
      </c>
      <c r="B84" s="31">
        <v>81.0</v>
      </c>
      <c r="C84" s="35" t="s">
        <v>1288</v>
      </c>
      <c r="D84" s="243" t="s">
        <v>196</v>
      </c>
      <c r="E84" s="51" t="s">
        <v>53</v>
      </c>
      <c r="K84" s="200"/>
      <c r="L84" s="393" t="s">
        <v>5130</v>
      </c>
      <c r="M84" s="393" t="str">
        <f t="shared" si="7"/>
        <v>blake.carpenter@house.ks.gov</v>
      </c>
      <c r="R84" s="393" t="s">
        <v>5131</v>
      </c>
      <c r="S84" t="str">
        <f t="shared" si="2"/>
        <v/>
      </c>
      <c r="T84" t="str">
        <f t="shared" si="3"/>
        <v/>
      </c>
      <c r="U84" t="str">
        <f t="shared" si="4"/>
        <v/>
      </c>
    </row>
    <row r="85">
      <c r="A85" s="14" t="s">
        <v>44</v>
      </c>
      <c r="B85" s="31">
        <v>82.0</v>
      </c>
      <c r="C85" s="35" t="s">
        <v>386</v>
      </c>
      <c r="D85" s="243" t="s">
        <v>5135</v>
      </c>
      <c r="E85" s="51" t="s">
        <v>53</v>
      </c>
      <c r="G85" s="14" t="s">
        <v>781</v>
      </c>
      <c r="K85" s="200"/>
      <c r="L85" s="393" t="s">
        <v>5138</v>
      </c>
      <c r="M85" s="393" t="str">
        <f t="shared" si="7"/>
        <v>jesse.burris@house.ks.gov</v>
      </c>
      <c r="R85" s="393" t="s">
        <v>5139</v>
      </c>
      <c r="S85" t="str">
        <f t="shared" si="2"/>
        <v>Representative</v>
      </c>
      <c r="T85" t="str">
        <f t="shared" si="3"/>
        <v>Burris</v>
      </c>
      <c r="U85" t="str">
        <f t="shared" si="4"/>
        <v>jesse.burris@house.ks.gov</v>
      </c>
    </row>
    <row r="86">
      <c r="A86" s="14" t="s">
        <v>44</v>
      </c>
      <c r="B86" s="31">
        <v>83.0</v>
      </c>
      <c r="C86" s="35" t="s">
        <v>2189</v>
      </c>
      <c r="D86" s="243" t="s">
        <v>5143</v>
      </c>
      <c r="E86" s="36" t="s">
        <v>49</v>
      </c>
      <c r="K86" s="31"/>
      <c r="L86" s="393" t="s">
        <v>5144</v>
      </c>
      <c r="M86" s="393" t="str">
        <f t="shared" si="7"/>
        <v>henry.helgerson@house.ks.gov</v>
      </c>
      <c r="R86" s="393" t="s">
        <v>5131</v>
      </c>
      <c r="S86" t="str">
        <f t="shared" si="2"/>
        <v/>
      </c>
      <c r="T86" t="str">
        <f t="shared" si="3"/>
        <v/>
      </c>
      <c r="U86" t="str">
        <f t="shared" si="4"/>
        <v/>
      </c>
    </row>
    <row r="87">
      <c r="A87" s="14" t="s">
        <v>44</v>
      </c>
      <c r="B87" s="31">
        <v>84.0</v>
      </c>
      <c r="C87" s="35" t="s">
        <v>850</v>
      </c>
      <c r="D87" s="243" t="s">
        <v>5145</v>
      </c>
      <c r="E87" s="36" t="s">
        <v>49</v>
      </c>
      <c r="K87" s="31"/>
      <c r="L87" s="393" t="s">
        <v>5146</v>
      </c>
      <c r="M87" s="393" t="str">
        <f t="shared" si="7"/>
        <v>gail.finney@house.ks.gov</v>
      </c>
      <c r="R87" s="393" t="s">
        <v>5131</v>
      </c>
      <c r="S87" t="str">
        <f t="shared" si="2"/>
        <v/>
      </c>
      <c r="T87" t="str">
        <f t="shared" si="3"/>
        <v/>
      </c>
      <c r="U87" t="str">
        <f t="shared" si="4"/>
        <v/>
      </c>
    </row>
    <row r="88">
      <c r="A88" s="14" t="s">
        <v>44</v>
      </c>
      <c r="B88" s="31">
        <v>85.0</v>
      </c>
      <c r="C88" s="35" t="s">
        <v>2490</v>
      </c>
      <c r="D88" s="243" t="s">
        <v>5149</v>
      </c>
      <c r="E88" s="51" t="s">
        <v>53</v>
      </c>
      <c r="K88" s="31"/>
      <c r="L88" s="414"/>
      <c r="M88" s="393" t="str">
        <f t="shared" si="7"/>
        <v>michael.capps@house.ks.gov</v>
      </c>
      <c r="R88" s="393" t="s">
        <v>5131</v>
      </c>
      <c r="S88" t="str">
        <f t="shared" si="2"/>
        <v/>
      </c>
      <c r="T88" t="str">
        <f t="shared" si="3"/>
        <v/>
      </c>
      <c r="U88" t="str">
        <f t="shared" si="4"/>
        <v/>
      </c>
    </row>
    <row r="89">
      <c r="A89" s="14" t="s">
        <v>44</v>
      </c>
      <c r="B89" s="31">
        <v>86.0</v>
      </c>
      <c r="C89" s="35" t="s">
        <v>476</v>
      </c>
      <c r="D89" s="243" t="s">
        <v>919</v>
      </c>
      <c r="E89" s="36" t="s">
        <v>49</v>
      </c>
      <c r="K89" s="31"/>
      <c r="L89" s="393" t="s">
        <v>4994</v>
      </c>
      <c r="M89" s="393" t="str">
        <f t="shared" si="7"/>
        <v>jim.ward@house.ks.gov</v>
      </c>
      <c r="R89" s="393" t="s">
        <v>5131</v>
      </c>
      <c r="S89" t="str">
        <f t="shared" si="2"/>
        <v/>
      </c>
      <c r="T89" t="str">
        <f t="shared" si="3"/>
        <v/>
      </c>
      <c r="U89" t="str">
        <f t="shared" si="4"/>
        <v/>
      </c>
    </row>
    <row r="90">
      <c r="A90" s="14" t="s">
        <v>44</v>
      </c>
      <c r="B90" s="31">
        <v>87.0</v>
      </c>
      <c r="C90" s="35" t="s">
        <v>1040</v>
      </c>
      <c r="D90" s="243" t="s">
        <v>2427</v>
      </c>
      <c r="E90" s="51" t="s">
        <v>53</v>
      </c>
      <c r="K90" s="31"/>
      <c r="L90" s="393" t="s">
        <v>5161</v>
      </c>
      <c r="M90" s="393" t="str">
        <f t="shared" si="7"/>
        <v>roger.elliott@house.ks.gov</v>
      </c>
      <c r="R90" s="393" t="s">
        <v>5131</v>
      </c>
      <c r="S90" t="str">
        <f t="shared" si="2"/>
        <v/>
      </c>
      <c r="T90" t="str">
        <f t="shared" si="3"/>
        <v/>
      </c>
      <c r="U90" t="str">
        <f t="shared" si="4"/>
        <v/>
      </c>
    </row>
    <row r="91">
      <c r="A91" s="14" t="s">
        <v>44</v>
      </c>
      <c r="B91" s="31">
        <v>88.0</v>
      </c>
      <c r="C91" s="74" t="s">
        <v>2830</v>
      </c>
      <c r="D91" s="415" t="s">
        <v>302</v>
      </c>
      <c r="E91" s="36" t="s">
        <v>49</v>
      </c>
      <c r="K91" s="31"/>
      <c r="L91" s="393" t="s">
        <v>5162</v>
      </c>
      <c r="M91" s="393" t="str">
        <f t="shared" si="7"/>
        <v>elizabeth.bishop@house.ks.gov</v>
      </c>
      <c r="R91" s="393" t="s">
        <v>5131</v>
      </c>
      <c r="S91" t="str">
        <f t="shared" si="2"/>
        <v/>
      </c>
      <c r="T91" t="str">
        <f t="shared" si="3"/>
        <v/>
      </c>
      <c r="U91" t="str">
        <f t="shared" si="4"/>
        <v/>
      </c>
    </row>
    <row r="92">
      <c r="A92" s="14" t="s">
        <v>44</v>
      </c>
      <c r="B92" s="31">
        <v>89.0</v>
      </c>
      <c r="C92" s="35" t="s">
        <v>1714</v>
      </c>
      <c r="D92" s="243" t="s">
        <v>5168</v>
      </c>
      <c r="E92" s="36" t="s">
        <v>49</v>
      </c>
      <c r="G92" s="14" t="s">
        <v>781</v>
      </c>
      <c r="K92" s="31"/>
      <c r="L92" s="393" t="s">
        <v>5169</v>
      </c>
      <c r="M92" s="393" t="str">
        <f t="shared" si="7"/>
        <v>kc.ohaebosim@house.ks.gov</v>
      </c>
      <c r="R92" s="393" t="s">
        <v>5131</v>
      </c>
      <c r="S92" t="str">
        <f t="shared" si="2"/>
        <v>Representative</v>
      </c>
      <c r="T92" t="str">
        <f t="shared" si="3"/>
        <v>Ohaebosim</v>
      </c>
      <c r="U92" t="str">
        <f t="shared" si="4"/>
        <v>kc.ohaebosim@house.ks.gov</v>
      </c>
    </row>
    <row r="93">
      <c r="A93" s="14" t="s">
        <v>44</v>
      </c>
      <c r="B93" s="31">
        <v>90.0</v>
      </c>
      <c r="C93" s="35" t="s">
        <v>55</v>
      </c>
      <c r="D93" s="243" t="s">
        <v>5174</v>
      </c>
      <c r="E93" s="51" t="s">
        <v>53</v>
      </c>
      <c r="K93" s="200"/>
      <c r="L93" s="393" t="s">
        <v>5175</v>
      </c>
      <c r="M93" s="393" t="str">
        <f t="shared" si="7"/>
        <v>steve.huebert@house.ks.gov</v>
      </c>
      <c r="R93" s="393" t="s">
        <v>5131</v>
      </c>
      <c r="S93" t="str">
        <f t="shared" si="2"/>
        <v/>
      </c>
      <c r="T93" t="str">
        <f t="shared" si="3"/>
        <v/>
      </c>
      <c r="U93" t="str">
        <f t="shared" si="4"/>
        <v/>
      </c>
    </row>
    <row r="94">
      <c r="A94" s="14" t="s">
        <v>44</v>
      </c>
      <c r="B94" s="31">
        <v>91.0</v>
      </c>
      <c r="C94" s="35" t="s">
        <v>2627</v>
      </c>
      <c r="D94" s="243" t="s">
        <v>5179</v>
      </c>
      <c r="E94" s="51" t="s">
        <v>53</v>
      </c>
      <c r="G94" s="14" t="s">
        <v>781</v>
      </c>
      <c r="K94" s="31"/>
      <c r="L94" s="393" t="s">
        <v>5180</v>
      </c>
      <c r="M94" s="393" t="str">
        <f t="shared" si="7"/>
        <v>emil.bergquist@house.ks.gov</v>
      </c>
      <c r="R94" s="393" t="s">
        <v>5131</v>
      </c>
      <c r="S94" t="str">
        <f t="shared" si="2"/>
        <v>Representative</v>
      </c>
      <c r="T94" t="str">
        <f t="shared" si="3"/>
        <v>Bergquist</v>
      </c>
      <c r="U94" t="str">
        <f t="shared" si="4"/>
        <v>emil.bergquist@house.ks.gov</v>
      </c>
    </row>
    <row r="95">
      <c r="A95" s="14" t="s">
        <v>44</v>
      </c>
      <c r="B95" s="31">
        <v>92.0</v>
      </c>
      <c r="C95" s="35" t="s">
        <v>278</v>
      </c>
      <c r="D95" s="243" t="s">
        <v>5186</v>
      </c>
      <c r="E95" s="36" t="s">
        <v>49</v>
      </c>
      <c r="G95" s="14" t="s">
        <v>781</v>
      </c>
      <c r="K95" s="31"/>
      <c r="L95" s="393" t="s">
        <v>5187</v>
      </c>
      <c r="M95" s="393" t="str">
        <f t="shared" si="7"/>
        <v>john.carmichael@house.ks.gov</v>
      </c>
      <c r="R95" s="393" t="s">
        <v>5131</v>
      </c>
      <c r="S95" t="str">
        <f t="shared" si="2"/>
        <v>Representative</v>
      </c>
      <c r="T95" t="str">
        <f t="shared" si="3"/>
        <v>Carmichael</v>
      </c>
      <c r="U95" t="str">
        <f t="shared" si="4"/>
        <v>john.carmichael@house.ks.gov</v>
      </c>
    </row>
    <row r="96">
      <c r="A96" s="14" t="s">
        <v>44</v>
      </c>
      <c r="B96" s="31">
        <v>93.0</v>
      </c>
      <c r="C96" s="38" t="s">
        <v>5190</v>
      </c>
      <c r="D96" s="243" t="s">
        <v>89</v>
      </c>
      <c r="E96" s="51" t="s">
        <v>53</v>
      </c>
      <c r="K96" s="200"/>
      <c r="L96" s="393"/>
      <c r="M96" s="393" t="str">
        <f t="shared" si="7"/>
        <v>j.c.moore@house.ks.gov</v>
      </c>
      <c r="R96" s="393" t="s">
        <v>5131</v>
      </c>
      <c r="S96" t="str">
        <f t="shared" si="2"/>
        <v/>
      </c>
      <c r="T96" t="str">
        <f t="shared" si="3"/>
        <v/>
      </c>
      <c r="U96" t="str">
        <f t="shared" si="4"/>
        <v/>
      </c>
    </row>
    <row r="97">
      <c r="A97" s="14" t="s">
        <v>44</v>
      </c>
      <c r="B97" s="31">
        <v>94.0</v>
      </c>
      <c r="C97" s="35" t="s">
        <v>650</v>
      </c>
      <c r="D97" s="243" t="s">
        <v>5192</v>
      </c>
      <c r="E97" s="51" t="s">
        <v>53</v>
      </c>
      <c r="K97" s="31"/>
      <c r="L97" s="393" t="s">
        <v>5193</v>
      </c>
      <c r="M97" s="393" t="str">
        <f t="shared" si="7"/>
        <v>leo.delperdang@house.ks.gov</v>
      </c>
      <c r="R97" s="393" t="s">
        <v>5131</v>
      </c>
      <c r="S97" t="str">
        <f t="shared" si="2"/>
        <v/>
      </c>
      <c r="T97" t="str">
        <f t="shared" si="3"/>
        <v/>
      </c>
      <c r="U97" t="str">
        <f t="shared" si="4"/>
        <v/>
      </c>
    </row>
    <row r="98">
      <c r="A98" s="14" t="s">
        <v>44</v>
      </c>
      <c r="B98" s="31">
        <v>95.0</v>
      </c>
      <c r="C98" s="35" t="s">
        <v>338</v>
      </c>
      <c r="D98" s="243" t="s">
        <v>5199</v>
      </c>
      <c r="E98" s="36" t="s">
        <v>49</v>
      </c>
      <c r="K98" s="31"/>
      <c r="L98" s="393" t="s">
        <v>5200</v>
      </c>
      <c r="M98" s="393" t="str">
        <f t="shared" si="7"/>
        <v>tom.sawyer@house.ks.gov</v>
      </c>
      <c r="R98" s="393" t="s">
        <v>5131</v>
      </c>
      <c r="S98" t="str">
        <f t="shared" si="2"/>
        <v/>
      </c>
      <c r="T98" t="str">
        <f t="shared" si="3"/>
        <v/>
      </c>
      <c r="U98" t="str">
        <f t="shared" si="4"/>
        <v/>
      </c>
    </row>
    <row r="99">
      <c r="A99" s="14" t="s">
        <v>44</v>
      </c>
      <c r="B99" s="31">
        <v>96.0</v>
      </c>
      <c r="C99" s="35" t="s">
        <v>2500</v>
      </c>
      <c r="D99" s="243" t="s">
        <v>5206</v>
      </c>
      <c r="E99" s="36" t="s">
        <v>49</v>
      </c>
      <c r="K99" s="31"/>
      <c r="L99" s="393" t="s">
        <v>5207</v>
      </c>
      <c r="M99" s="393" t="str">
        <f t="shared" si="7"/>
        <v>brandon.whipple@house.ks.gov</v>
      </c>
      <c r="R99" s="393" t="s">
        <v>5131</v>
      </c>
      <c r="S99" t="str">
        <f t="shared" si="2"/>
        <v/>
      </c>
      <c r="T99" t="str">
        <f t="shared" si="3"/>
        <v/>
      </c>
      <c r="U99" t="str">
        <f t="shared" si="4"/>
        <v/>
      </c>
    </row>
    <row r="100">
      <c r="A100" s="14" t="s">
        <v>44</v>
      </c>
      <c r="B100" s="31">
        <v>97.0</v>
      </c>
      <c r="C100" s="35" t="s">
        <v>3030</v>
      </c>
      <c r="D100" s="243" t="s">
        <v>5210</v>
      </c>
      <c r="E100" s="51" t="s">
        <v>53</v>
      </c>
      <c r="G100" s="14" t="s">
        <v>781</v>
      </c>
      <c r="K100" s="31"/>
      <c r="L100" s="393"/>
      <c r="M100" s="393" t="str">
        <f t="shared" si="7"/>
        <v>nick.hoheisel@house.ks.gov</v>
      </c>
      <c r="R100" s="393" t="s">
        <v>5131</v>
      </c>
      <c r="S100" t="str">
        <f t="shared" si="2"/>
        <v>Representative</v>
      </c>
      <c r="T100" t="str">
        <f t="shared" si="3"/>
        <v>Hoheisel</v>
      </c>
      <c r="U100" t="str">
        <f t="shared" si="4"/>
        <v>nick.hoheisel@house.ks.gov</v>
      </c>
    </row>
    <row r="101">
      <c r="A101" s="14" t="s">
        <v>44</v>
      </c>
      <c r="B101" s="31">
        <v>98.0</v>
      </c>
      <c r="C101" s="35" t="s">
        <v>1813</v>
      </c>
      <c r="D101" s="243" t="s">
        <v>297</v>
      </c>
      <c r="E101" s="51" t="s">
        <v>53</v>
      </c>
      <c r="K101" s="200"/>
      <c r="L101" s="393"/>
      <c r="M101" s="393" t="str">
        <f t="shared" si="7"/>
        <v>ron.howard@house.ks.gov</v>
      </c>
      <c r="R101" s="393" t="s">
        <v>5131</v>
      </c>
      <c r="S101" t="str">
        <f t="shared" si="2"/>
        <v/>
      </c>
      <c r="T101" t="str">
        <f t="shared" si="3"/>
        <v/>
      </c>
      <c r="U101" t="str">
        <f t="shared" si="4"/>
        <v/>
      </c>
    </row>
    <row r="102">
      <c r="A102" s="14" t="s">
        <v>44</v>
      </c>
      <c r="B102" s="31">
        <v>99.0</v>
      </c>
      <c r="C102" s="35" t="s">
        <v>1446</v>
      </c>
      <c r="D102" s="243" t="s">
        <v>5213</v>
      </c>
      <c r="E102" s="51" t="s">
        <v>53</v>
      </c>
      <c r="G102" s="14" t="s">
        <v>781</v>
      </c>
      <c r="K102" s="31"/>
      <c r="L102" s="393" t="s">
        <v>5214</v>
      </c>
      <c r="M102" s="393" t="str">
        <f t="shared" si="7"/>
        <v>susan.humphries@house.ks.gov</v>
      </c>
      <c r="R102" s="393" t="s">
        <v>5131</v>
      </c>
      <c r="S102" t="str">
        <f t="shared" si="2"/>
        <v>Representative</v>
      </c>
      <c r="T102" t="str">
        <f t="shared" si="3"/>
        <v>Humphries</v>
      </c>
      <c r="U102" t="str">
        <f t="shared" si="4"/>
        <v>susan.humphries@house.ks.gov</v>
      </c>
    </row>
    <row r="103">
      <c r="A103" s="14" t="s">
        <v>44</v>
      </c>
      <c r="B103" s="31">
        <v>100.0</v>
      </c>
      <c r="C103" s="35" t="s">
        <v>552</v>
      </c>
      <c r="D103" s="243" t="s">
        <v>3233</v>
      </c>
      <c r="E103" s="51" t="s">
        <v>53</v>
      </c>
      <c r="K103" s="31"/>
      <c r="L103" s="393" t="s">
        <v>5217</v>
      </c>
      <c r="M103" s="393" t="s">
        <v>5218</v>
      </c>
      <c r="R103" s="393" t="s">
        <v>5131</v>
      </c>
      <c r="S103" t="str">
        <f t="shared" si="2"/>
        <v/>
      </c>
      <c r="T103" t="str">
        <f t="shared" si="3"/>
        <v/>
      </c>
      <c r="U103" t="str">
        <f t="shared" si="4"/>
        <v/>
      </c>
    </row>
    <row r="104">
      <c r="A104" s="14" t="s">
        <v>44</v>
      </c>
      <c r="B104" s="31">
        <v>101.0</v>
      </c>
      <c r="C104" s="35" t="s">
        <v>622</v>
      </c>
      <c r="D104" s="243" t="s">
        <v>5224</v>
      </c>
      <c r="E104" s="51" t="s">
        <v>53</v>
      </c>
      <c r="K104" s="200"/>
      <c r="L104" s="393" t="s">
        <v>5225</v>
      </c>
      <c r="M104" s="393" t="str">
        <f t="shared" ref="M104:M124" si="8">concatenate(lower(C104),".",lower(D104),"@house.ks.gov")</f>
        <v>joe.seiwert@house.ks.gov</v>
      </c>
      <c r="R104" s="393" t="s">
        <v>5228</v>
      </c>
      <c r="S104" t="str">
        <f t="shared" si="2"/>
        <v/>
      </c>
      <c r="T104" t="str">
        <f t="shared" si="3"/>
        <v/>
      </c>
      <c r="U104" t="str">
        <f t="shared" si="4"/>
        <v/>
      </c>
    </row>
    <row r="105">
      <c r="A105" s="14" t="s">
        <v>44</v>
      </c>
      <c r="B105" s="31">
        <v>102.0</v>
      </c>
      <c r="C105" s="35" t="s">
        <v>1231</v>
      </c>
      <c r="D105" s="243" t="s">
        <v>5238</v>
      </c>
      <c r="E105" s="36" t="s">
        <v>49</v>
      </c>
      <c r="K105" s="200"/>
      <c r="L105" s="393" t="s">
        <v>5240</v>
      </c>
      <c r="M105" s="393" t="str">
        <f t="shared" si="8"/>
        <v>jason.probst@house.ks.gov</v>
      </c>
      <c r="R105" s="393" t="s">
        <v>5228</v>
      </c>
      <c r="S105" t="str">
        <f t="shared" si="2"/>
        <v/>
      </c>
      <c r="T105" t="str">
        <f t="shared" si="3"/>
        <v/>
      </c>
      <c r="U105" t="str">
        <f t="shared" si="4"/>
        <v/>
      </c>
    </row>
    <row r="106">
      <c r="A106" s="14" t="s">
        <v>44</v>
      </c>
      <c r="B106" s="31">
        <v>103.0</v>
      </c>
      <c r="C106" s="35" t="s">
        <v>5242</v>
      </c>
      <c r="D106" s="243" t="s">
        <v>5245</v>
      </c>
      <c r="E106" s="36" t="s">
        <v>49</v>
      </c>
      <c r="K106" s="31"/>
      <c r="L106" s="393" t="s">
        <v>4950</v>
      </c>
      <c r="M106" s="393" t="str">
        <f t="shared" si="8"/>
        <v>ponka-we.victors@house.ks.gov</v>
      </c>
      <c r="R106" s="393" t="s">
        <v>5131</v>
      </c>
      <c r="S106" t="str">
        <f t="shared" si="2"/>
        <v/>
      </c>
      <c r="T106" t="str">
        <f t="shared" si="3"/>
        <v/>
      </c>
      <c r="U106" t="str">
        <f t="shared" si="4"/>
        <v/>
      </c>
    </row>
    <row r="107">
      <c r="A107" s="14" t="s">
        <v>44</v>
      </c>
      <c r="B107" s="31">
        <v>104.0</v>
      </c>
      <c r="C107" s="35" t="s">
        <v>1897</v>
      </c>
      <c r="D107" s="243" t="s">
        <v>1715</v>
      </c>
      <c r="E107" s="51" t="s">
        <v>53</v>
      </c>
      <c r="K107" s="200"/>
      <c r="L107" s="393" t="s">
        <v>5250</v>
      </c>
      <c r="M107" s="393" t="str">
        <f t="shared" si="8"/>
        <v>steven.becker@house.ks.gov</v>
      </c>
      <c r="R107" s="393" t="s">
        <v>5228</v>
      </c>
      <c r="S107" t="str">
        <f t="shared" si="2"/>
        <v/>
      </c>
      <c r="T107" t="str">
        <f t="shared" si="3"/>
        <v/>
      </c>
      <c r="U107" t="str">
        <f t="shared" si="4"/>
        <v/>
      </c>
    </row>
    <row r="108">
      <c r="A108" s="14" t="s">
        <v>44</v>
      </c>
      <c r="B108" s="31">
        <v>105.0</v>
      </c>
      <c r="C108" s="35" t="s">
        <v>2755</v>
      </c>
      <c r="D108" s="243" t="s">
        <v>5254</v>
      </c>
      <c r="E108" s="51" t="s">
        <v>53</v>
      </c>
      <c r="K108" s="31"/>
      <c r="L108" s="393" t="s">
        <v>5255</v>
      </c>
      <c r="M108" s="393" t="str">
        <f t="shared" si="8"/>
        <v>brenda.landwehr@house.ks.gov</v>
      </c>
      <c r="R108" s="393" t="s">
        <v>5131</v>
      </c>
      <c r="S108" t="str">
        <f t="shared" si="2"/>
        <v/>
      </c>
      <c r="T108" t="str">
        <f t="shared" si="3"/>
        <v/>
      </c>
      <c r="U108" t="str">
        <f t="shared" si="4"/>
        <v/>
      </c>
    </row>
    <row r="109">
      <c r="A109" s="14" t="s">
        <v>44</v>
      </c>
      <c r="B109" s="31">
        <v>106.0</v>
      </c>
      <c r="C109" s="35" t="s">
        <v>868</v>
      </c>
      <c r="D109" s="243" t="s">
        <v>5258</v>
      </c>
      <c r="E109" s="51" t="s">
        <v>53</v>
      </c>
      <c r="K109" s="200"/>
      <c r="L109" s="393" t="s">
        <v>5259</v>
      </c>
      <c r="M109" s="393" t="str">
        <f t="shared" si="8"/>
        <v>clay.aurand@house.ks.gov</v>
      </c>
      <c r="R109" s="393" t="s">
        <v>5260</v>
      </c>
      <c r="S109" t="str">
        <f t="shared" si="2"/>
        <v/>
      </c>
      <c r="T109" t="str">
        <f t="shared" si="3"/>
        <v/>
      </c>
      <c r="U109" t="str">
        <f t="shared" si="4"/>
        <v/>
      </c>
    </row>
    <row r="110">
      <c r="A110" s="14" t="s">
        <v>44</v>
      </c>
      <c r="B110" s="31">
        <v>107.0</v>
      </c>
      <c r="C110" s="35" t="s">
        <v>1446</v>
      </c>
      <c r="D110" s="243" t="s">
        <v>5263</v>
      </c>
      <c r="E110" s="51" t="s">
        <v>53</v>
      </c>
      <c r="K110" s="200"/>
      <c r="L110" s="393" t="s">
        <v>5264</v>
      </c>
      <c r="M110" s="393" t="str">
        <f t="shared" si="8"/>
        <v>susan.concannon@house.ks.gov</v>
      </c>
      <c r="R110" s="393" t="s">
        <v>2206</v>
      </c>
      <c r="S110" t="str">
        <f t="shared" si="2"/>
        <v/>
      </c>
      <c r="T110" t="str">
        <f t="shared" si="3"/>
        <v/>
      </c>
      <c r="U110" t="str">
        <f t="shared" si="4"/>
        <v/>
      </c>
    </row>
    <row r="111">
      <c r="A111" s="14" t="s">
        <v>44</v>
      </c>
      <c r="B111" s="31">
        <v>108.0</v>
      </c>
      <c r="C111" s="35" t="s">
        <v>1897</v>
      </c>
      <c r="D111" s="243" t="s">
        <v>118</v>
      </c>
      <c r="E111" s="51" t="s">
        <v>53</v>
      </c>
      <c r="K111" s="200"/>
      <c r="L111" s="393" t="s">
        <v>5268</v>
      </c>
      <c r="M111" s="393" t="str">
        <f t="shared" si="8"/>
        <v>steven.johnson@house.ks.gov</v>
      </c>
      <c r="R111" s="393" t="s">
        <v>5093</v>
      </c>
      <c r="S111" t="str">
        <f t="shared" si="2"/>
        <v/>
      </c>
      <c r="T111" t="str">
        <f t="shared" si="3"/>
        <v/>
      </c>
      <c r="U111" t="str">
        <f t="shared" si="4"/>
        <v/>
      </c>
    </row>
    <row r="112">
      <c r="A112" s="14" t="s">
        <v>44</v>
      </c>
      <c r="B112" s="31">
        <v>109.0</v>
      </c>
      <c r="C112" s="35" t="s">
        <v>3163</v>
      </c>
      <c r="D112" s="243" t="s">
        <v>5270</v>
      </c>
      <c r="E112" s="51" t="s">
        <v>53</v>
      </c>
      <c r="K112" s="200"/>
      <c r="L112" s="393" t="s">
        <v>5271</v>
      </c>
      <c r="M112" s="393" t="str">
        <f t="shared" si="8"/>
        <v>troy.waymaster@house.ks.gov</v>
      </c>
      <c r="R112" s="393" t="s">
        <v>1054</v>
      </c>
      <c r="S112" t="str">
        <f t="shared" si="2"/>
        <v/>
      </c>
      <c r="T112" t="str">
        <f t="shared" si="3"/>
        <v/>
      </c>
      <c r="U112" t="str">
        <f t="shared" si="4"/>
        <v/>
      </c>
    </row>
    <row r="113">
      <c r="A113" s="14" t="s">
        <v>44</v>
      </c>
      <c r="B113" s="31">
        <v>110.0</v>
      </c>
      <c r="C113" s="35" t="s">
        <v>1049</v>
      </c>
      <c r="D113" s="243" t="s">
        <v>5277</v>
      </c>
      <c r="E113" s="51" t="s">
        <v>53</v>
      </c>
      <c r="K113" s="31"/>
      <c r="L113" s="393" t="s">
        <v>5278</v>
      </c>
      <c r="M113" s="393" t="str">
        <f t="shared" si="8"/>
        <v>ken.rahjes@house.ks.gov</v>
      </c>
      <c r="R113" s="393" t="s">
        <v>5085</v>
      </c>
      <c r="S113" t="str">
        <f t="shared" si="2"/>
        <v/>
      </c>
      <c r="T113" t="str">
        <f t="shared" si="3"/>
        <v/>
      </c>
      <c r="U113" t="str">
        <f t="shared" si="4"/>
        <v/>
      </c>
    </row>
    <row r="114">
      <c r="A114" s="14" t="s">
        <v>44</v>
      </c>
      <c r="B114" s="31">
        <v>111.0</v>
      </c>
      <c r="C114" s="35" t="s">
        <v>384</v>
      </c>
      <c r="D114" s="243" t="s">
        <v>5280</v>
      </c>
      <c r="E114" s="51" t="s">
        <v>53</v>
      </c>
      <c r="K114" s="31"/>
      <c r="L114" s="393"/>
      <c r="M114" s="393" t="str">
        <f t="shared" si="8"/>
        <v>barbara.wasinger@house.ks.gov</v>
      </c>
      <c r="R114" s="393" t="s">
        <v>451</v>
      </c>
      <c r="S114" t="str">
        <f t="shared" si="2"/>
        <v/>
      </c>
      <c r="T114" t="str">
        <f t="shared" si="3"/>
        <v/>
      </c>
      <c r="U114" t="str">
        <f t="shared" si="4"/>
        <v/>
      </c>
    </row>
    <row r="115">
      <c r="A115" s="14" t="s">
        <v>44</v>
      </c>
      <c r="B115" s="31">
        <v>112.0</v>
      </c>
      <c r="C115" s="35" t="s">
        <v>5282</v>
      </c>
      <c r="D115" s="243" t="s">
        <v>5286</v>
      </c>
      <c r="E115" s="51" t="s">
        <v>53</v>
      </c>
      <c r="K115" s="200"/>
      <c r="L115" s="393" t="s">
        <v>5287</v>
      </c>
      <c r="M115" s="393" t="str">
        <f t="shared" si="8"/>
        <v>tory.arnberger@house.ks.gov</v>
      </c>
      <c r="R115" s="393" t="s">
        <v>5288</v>
      </c>
      <c r="S115" t="str">
        <f t="shared" si="2"/>
        <v/>
      </c>
      <c r="T115" t="str">
        <f t="shared" si="3"/>
        <v/>
      </c>
      <c r="U115" t="str">
        <f t="shared" si="4"/>
        <v/>
      </c>
    </row>
    <row r="116">
      <c r="A116" s="14" t="s">
        <v>44</v>
      </c>
      <c r="B116" s="31">
        <v>113.0</v>
      </c>
      <c r="C116" s="35" t="s">
        <v>997</v>
      </c>
      <c r="D116" s="243" t="s">
        <v>1707</v>
      </c>
      <c r="E116" s="51" t="s">
        <v>53</v>
      </c>
      <c r="K116" s="200"/>
      <c r="L116" s="393" t="s">
        <v>5295</v>
      </c>
      <c r="M116" s="393" t="str">
        <f t="shared" si="8"/>
        <v>greg.lewis@house.ks.gov</v>
      </c>
      <c r="R116" s="393" t="s">
        <v>5296</v>
      </c>
      <c r="S116" t="str">
        <f t="shared" si="2"/>
        <v/>
      </c>
      <c r="T116" t="str">
        <f t="shared" si="3"/>
        <v/>
      </c>
      <c r="U116" t="str">
        <f t="shared" si="4"/>
        <v/>
      </c>
    </row>
    <row r="117">
      <c r="A117" s="14" t="s">
        <v>44</v>
      </c>
      <c r="B117" s="31">
        <v>114.0</v>
      </c>
      <c r="C117" s="35" t="s">
        <v>792</v>
      </c>
      <c r="D117" s="243" t="s">
        <v>5303</v>
      </c>
      <c r="E117" s="51" t="s">
        <v>53</v>
      </c>
      <c r="K117" s="200"/>
      <c r="L117" s="393" t="s">
        <v>5304</v>
      </c>
      <c r="M117" s="393" t="str">
        <f t="shared" si="8"/>
        <v>jack.thimesch@house.ks.gov</v>
      </c>
      <c r="R117" s="393" t="s">
        <v>664</v>
      </c>
      <c r="S117" t="str">
        <f t="shared" si="2"/>
        <v/>
      </c>
      <c r="T117" t="str">
        <f t="shared" si="3"/>
        <v/>
      </c>
      <c r="U117" t="str">
        <f t="shared" si="4"/>
        <v/>
      </c>
    </row>
    <row r="118">
      <c r="A118" s="14" t="s">
        <v>44</v>
      </c>
      <c r="B118" s="31">
        <v>115.0</v>
      </c>
      <c r="C118" s="35" t="s">
        <v>388</v>
      </c>
      <c r="D118" s="243" t="s">
        <v>804</v>
      </c>
      <c r="E118" s="51" t="s">
        <v>53</v>
      </c>
      <c r="K118" s="200"/>
      <c r="L118" s="393" t="s">
        <v>5306</v>
      </c>
      <c r="M118" s="393" t="str">
        <f t="shared" si="8"/>
        <v>boyd.orr@house.ks.gov</v>
      </c>
      <c r="R118" s="393" t="s">
        <v>5262</v>
      </c>
      <c r="S118" t="str">
        <f t="shared" si="2"/>
        <v/>
      </c>
      <c r="T118" t="str">
        <f t="shared" si="3"/>
        <v/>
      </c>
      <c r="U118" t="str">
        <f t="shared" si="4"/>
        <v/>
      </c>
    </row>
    <row r="119">
      <c r="A119" s="14" t="s">
        <v>44</v>
      </c>
      <c r="B119" s="31">
        <v>116.0</v>
      </c>
      <c r="C119" s="35" t="s">
        <v>257</v>
      </c>
      <c r="D119" s="243" t="s">
        <v>401</v>
      </c>
      <c r="E119" s="51" t="s">
        <v>53</v>
      </c>
      <c r="K119" s="200"/>
      <c r="L119" s="393" t="s">
        <v>5309</v>
      </c>
      <c r="M119" s="393" t="str">
        <f t="shared" si="8"/>
        <v>kyle.hoffman@house.ks.gov</v>
      </c>
      <c r="R119" s="393" t="s">
        <v>5310</v>
      </c>
      <c r="S119" t="str">
        <f t="shared" si="2"/>
        <v/>
      </c>
      <c r="T119" t="str">
        <f t="shared" si="3"/>
        <v/>
      </c>
      <c r="U119" t="str">
        <f t="shared" si="4"/>
        <v/>
      </c>
    </row>
    <row r="120">
      <c r="A120" s="14" t="s">
        <v>44</v>
      </c>
      <c r="B120" s="31">
        <v>117.0</v>
      </c>
      <c r="C120" s="35" t="s">
        <v>4737</v>
      </c>
      <c r="D120" s="243" t="s">
        <v>5316</v>
      </c>
      <c r="E120" s="51" t="s">
        <v>53</v>
      </c>
      <c r="K120" s="200"/>
      <c r="L120" s="393" t="s">
        <v>5317</v>
      </c>
      <c r="M120" s="393" t="str">
        <f t="shared" si="8"/>
        <v>leonard.mastroni@house.ks.gov</v>
      </c>
      <c r="R120" s="393" t="s">
        <v>4690</v>
      </c>
      <c r="S120" t="str">
        <f t="shared" si="2"/>
        <v/>
      </c>
      <c r="T120" t="str">
        <f t="shared" si="3"/>
        <v/>
      </c>
      <c r="U120" t="str">
        <f t="shared" si="4"/>
        <v/>
      </c>
    </row>
    <row r="121">
      <c r="A121" s="14" t="s">
        <v>44</v>
      </c>
      <c r="B121" s="31">
        <v>118.0</v>
      </c>
      <c r="C121" s="35" t="s">
        <v>428</v>
      </c>
      <c r="D121" s="243" t="s">
        <v>5323</v>
      </c>
      <c r="E121" s="51" t="s">
        <v>53</v>
      </c>
      <c r="K121" s="200"/>
      <c r="L121" s="393" t="s">
        <v>5324</v>
      </c>
      <c r="M121" s="393" t="str">
        <f t="shared" si="8"/>
        <v>don.hineman@house.ks.gov</v>
      </c>
      <c r="R121" s="393" t="s">
        <v>831</v>
      </c>
      <c r="S121" t="str">
        <f t="shared" si="2"/>
        <v/>
      </c>
      <c r="T121" t="str">
        <f t="shared" si="3"/>
        <v/>
      </c>
      <c r="U121" t="str">
        <f t="shared" si="4"/>
        <v/>
      </c>
    </row>
    <row r="122">
      <c r="A122" s="14" t="s">
        <v>44</v>
      </c>
      <c r="B122" s="31">
        <v>119.0</v>
      </c>
      <c r="C122" s="35" t="s">
        <v>1130</v>
      </c>
      <c r="D122" s="243" t="s">
        <v>588</v>
      </c>
      <c r="E122" s="51" t="s">
        <v>53</v>
      </c>
      <c r="G122" s="14" t="s">
        <v>517</v>
      </c>
      <c r="K122" s="200"/>
      <c r="L122" s="393" t="s">
        <v>5328</v>
      </c>
      <c r="M122" s="393" t="str">
        <f t="shared" si="8"/>
        <v>bradley.ralph@house.ks.gov</v>
      </c>
      <c r="R122" s="393" t="s">
        <v>4018</v>
      </c>
      <c r="S122" t="str">
        <f t="shared" si="2"/>
        <v>Representative</v>
      </c>
      <c r="T122" t="str">
        <f t="shared" si="3"/>
        <v>Ralph</v>
      </c>
      <c r="U122" t="str">
        <f t="shared" si="4"/>
        <v>bradley.ralph@house.ks.gov</v>
      </c>
    </row>
    <row r="123">
      <c r="A123" s="14" t="s">
        <v>44</v>
      </c>
      <c r="B123" s="31">
        <v>120.0</v>
      </c>
      <c r="C123" s="35" t="s">
        <v>69</v>
      </c>
      <c r="D123" s="243" t="s">
        <v>1451</v>
      </c>
      <c r="E123" s="51" t="s">
        <v>53</v>
      </c>
      <c r="K123" s="200"/>
      <c r="L123" s="393" t="s">
        <v>5330</v>
      </c>
      <c r="M123" s="393" t="str">
        <f t="shared" si="8"/>
        <v>adam.smith@house.ks.gov</v>
      </c>
      <c r="R123" s="393" t="s">
        <v>2214</v>
      </c>
      <c r="S123" t="str">
        <f t="shared" si="2"/>
        <v/>
      </c>
      <c r="T123" t="str">
        <f t="shared" si="3"/>
        <v/>
      </c>
      <c r="U123" t="str">
        <f t="shared" si="4"/>
        <v/>
      </c>
    </row>
    <row r="124">
      <c r="A124" s="14" t="s">
        <v>44</v>
      </c>
      <c r="B124" s="31">
        <v>121.0</v>
      </c>
      <c r="C124" s="35" t="s">
        <v>278</v>
      </c>
      <c r="D124" s="243" t="s">
        <v>5338</v>
      </c>
      <c r="E124" s="51" t="s">
        <v>53</v>
      </c>
      <c r="K124" s="31"/>
      <c r="L124" s="393" t="s">
        <v>5339</v>
      </c>
      <c r="M124" s="393" t="str">
        <f t="shared" si="8"/>
        <v>john.resman@house.ks.gov</v>
      </c>
      <c r="R124" s="393" t="s">
        <v>118</v>
      </c>
      <c r="S124" t="str">
        <f t="shared" si="2"/>
        <v/>
      </c>
      <c r="T124" t="str">
        <f t="shared" si="3"/>
        <v/>
      </c>
      <c r="U124" t="str">
        <f t="shared" si="4"/>
        <v/>
      </c>
    </row>
    <row r="125">
      <c r="A125" s="14" t="s">
        <v>44</v>
      </c>
      <c r="B125" s="31">
        <v>122.0</v>
      </c>
      <c r="C125" s="35" t="s">
        <v>1054</v>
      </c>
      <c r="D125" s="243" t="s">
        <v>2987</v>
      </c>
      <c r="E125" s="51" t="s">
        <v>53</v>
      </c>
      <c r="G125" s="14" t="s">
        <v>781</v>
      </c>
      <c r="K125" s="200"/>
      <c r="L125" s="393" t="s">
        <v>5343</v>
      </c>
      <c r="M125" s="393" t="s">
        <v>5344</v>
      </c>
      <c r="R125" s="393" t="s">
        <v>5345</v>
      </c>
      <c r="S125" t="str">
        <f t="shared" si="2"/>
        <v>Representative</v>
      </c>
      <c r="T125" t="str">
        <f t="shared" si="3"/>
        <v>Jennings</v>
      </c>
      <c r="U125" t="str">
        <f t="shared" si="4"/>
        <v>russ.jennings@house.ks.gov</v>
      </c>
    </row>
    <row r="126">
      <c r="A126" s="14" t="s">
        <v>44</v>
      </c>
      <c r="B126" s="31">
        <v>123.0</v>
      </c>
      <c r="C126" s="35" t="s">
        <v>278</v>
      </c>
      <c r="D126" s="243" t="s">
        <v>474</v>
      </c>
      <c r="E126" s="51" t="s">
        <v>53</v>
      </c>
      <c r="G126" s="14" t="s">
        <v>781</v>
      </c>
      <c r="K126" s="200"/>
      <c r="L126" s="393" t="s">
        <v>5352</v>
      </c>
      <c r="M126" s="393" t="str">
        <f t="shared" ref="M126:M128" si="9">concatenate(lower(C126),".",lower(D126),"@house.ks.gov")</f>
        <v>john.wheeler@house.ks.gov</v>
      </c>
      <c r="R126" s="393" t="s">
        <v>5145</v>
      </c>
      <c r="S126" t="str">
        <f t="shared" si="2"/>
        <v>Representative</v>
      </c>
      <c r="T126" t="str">
        <f t="shared" si="3"/>
        <v>Wheeler</v>
      </c>
      <c r="U126" t="str">
        <f t="shared" si="4"/>
        <v>john.wheeler@house.ks.gov</v>
      </c>
    </row>
    <row r="127">
      <c r="A127" s="14" t="s">
        <v>44</v>
      </c>
      <c r="B127" s="31">
        <v>124.0</v>
      </c>
      <c r="C127" s="38" t="s">
        <v>5357</v>
      </c>
      <c r="D127" s="243" t="s">
        <v>5358</v>
      </c>
      <c r="E127" s="51" t="s">
        <v>53</v>
      </c>
      <c r="K127" s="200"/>
      <c r="L127" s="393" t="s">
        <v>5359</v>
      </c>
      <c r="M127" s="393" t="str">
        <f t="shared" si="9"/>
        <v>j.stephen.alford@house.ks.gov</v>
      </c>
      <c r="R127" s="393" t="s">
        <v>1787</v>
      </c>
      <c r="S127" t="str">
        <f t="shared" si="2"/>
        <v/>
      </c>
      <c r="T127" t="str">
        <f t="shared" si="3"/>
        <v/>
      </c>
      <c r="U127" t="str">
        <f t="shared" si="4"/>
        <v/>
      </c>
    </row>
    <row r="128">
      <c r="A128" s="14" t="s">
        <v>44</v>
      </c>
      <c r="B128" s="31">
        <v>125.0</v>
      </c>
      <c r="C128" s="35" t="s">
        <v>1891</v>
      </c>
      <c r="D128" s="243" t="s">
        <v>3391</v>
      </c>
      <c r="E128" s="51" t="s">
        <v>53</v>
      </c>
      <c r="K128" s="200"/>
      <c r="L128" s="393" t="s">
        <v>5361</v>
      </c>
      <c r="M128" s="393" t="str">
        <f t="shared" si="9"/>
        <v>shannon.francis@house.ks.gov</v>
      </c>
      <c r="R128" s="393" t="s">
        <v>5362</v>
      </c>
      <c r="S128" t="str">
        <f t="shared" si="2"/>
        <v/>
      </c>
      <c r="T128" t="str">
        <f t="shared" si="3"/>
        <v/>
      </c>
      <c r="U128" t="str">
        <f t="shared" si="4"/>
        <v/>
      </c>
    </row>
    <row r="129">
      <c r="A129" s="70"/>
      <c r="B129" s="70"/>
      <c r="C129" s="71"/>
      <c r="D129" s="70"/>
      <c r="E129" s="70"/>
      <c r="F129" s="70"/>
      <c r="G129" s="70"/>
      <c r="H129" s="70"/>
      <c r="I129" s="70"/>
      <c r="J129" s="70"/>
      <c r="K129" s="70"/>
      <c r="L129" s="70"/>
      <c r="M129" s="70"/>
      <c r="N129" s="70"/>
      <c r="O129" s="70"/>
      <c r="P129" s="70"/>
      <c r="Q129" s="70"/>
      <c r="R129" s="70"/>
      <c r="S129" s="70"/>
      <c r="T129" t="str">
        <f t="shared" si="3"/>
        <v/>
      </c>
      <c r="U129" s="70"/>
      <c r="V129" s="70"/>
      <c r="W129" s="70"/>
      <c r="X129" s="70"/>
      <c r="Y129" s="70"/>
      <c r="Z129" s="70"/>
      <c r="AA129" s="70"/>
      <c r="AB129" s="70"/>
      <c r="AC129" s="70"/>
      <c r="AD129" s="70"/>
    </row>
    <row r="130">
      <c r="A130" s="14" t="s">
        <v>286</v>
      </c>
      <c r="B130" s="31">
        <v>1.0</v>
      </c>
      <c r="C130" s="35" t="s">
        <v>2194</v>
      </c>
      <c r="D130" s="243" t="s">
        <v>5368</v>
      </c>
      <c r="E130" s="51" t="s">
        <v>53</v>
      </c>
      <c r="G130" s="14" t="s">
        <v>781</v>
      </c>
      <c r="K130" s="399" t="s">
        <v>5369</v>
      </c>
      <c r="L130" s="422" t="s">
        <v>5370</v>
      </c>
      <c r="M130" s="423" t="s">
        <v>5371</v>
      </c>
      <c r="S130" t="str">
        <f t="shared" ref="S130:S169" si="10">if(T130="","","Senator")</f>
        <v>Senator</v>
      </c>
      <c r="T130" t="str">
        <f t="shared" si="3"/>
        <v>Pyle</v>
      </c>
      <c r="U130" t="str">
        <f t="shared" ref="U130:U146" si="11">if(T130="","",M130)</f>
        <v>Dennis.Pyle@senate.ks.gov</v>
      </c>
    </row>
    <row r="131">
      <c r="A131" s="14" t="s">
        <v>286</v>
      </c>
      <c r="B131" s="31">
        <v>2.0</v>
      </c>
      <c r="C131" s="35" t="s">
        <v>5374</v>
      </c>
      <c r="D131" s="243" t="s">
        <v>5377</v>
      </c>
      <c r="E131" s="36" t="s">
        <v>49</v>
      </c>
      <c r="K131" s="200"/>
      <c r="L131" s="422" t="s">
        <v>5378</v>
      </c>
      <c r="M131" s="423" t="s">
        <v>5379</v>
      </c>
      <c r="S131" t="str">
        <f t="shared" si="10"/>
        <v/>
      </c>
      <c r="T131" t="str">
        <f t="shared" si="3"/>
        <v/>
      </c>
      <c r="U131" t="str">
        <f t="shared" si="11"/>
        <v/>
      </c>
    </row>
    <row r="132">
      <c r="A132" s="14" t="s">
        <v>286</v>
      </c>
      <c r="B132" s="31">
        <v>3.0</v>
      </c>
      <c r="C132" s="35" t="s">
        <v>338</v>
      </c>
      <c r="D132" s="243" t="s">
        <v>3435</v>
      </c>
      <c r="E132" s="36" t="s">
        <v>49</v>
      </c>
      <c r="K132" s="200"/>
      <c r="L132" s="422" t="s">
        <v>5385</v>
      </c>
      <c r="M132" s="423" t="s">
        <v>5386</v>
      </c>
      <c r="S132" t="str">
        <f t="shared" si="10"/>
        <v/>
      </c>
      <c r="T132" t="str">
        <f t="shared" si="3"/>
        <v/>
      </c>
      <c r="U132" t="str">
        <f t="shared" si="11"/>
        <v/>
      </c>
    </row>
    <row r="133">
      <c r="A133" s="14" t="s">
        <v>286</v>
      </c>
      <c r="B133" s="31">
        <v>4.0</v>
      </c>
      <c r="C133" s="35" t="s">
        <v>108</v>
      </c>
      <c r="D133" s="243" t="s">
        <v>5393</v>
      </c>
      <c r="E133" s="36" t="s">
        <v>49</v>
      </c>
      <c r="G133" s="14" t="s">
        <v>781</v>
      </c>
      <c r="K133" s="200"/>
      <c r="L133" s="422" t="s">
        <v>5394</v>
      </c>
      <c r="M133" s="423" t="s">
        <v>5395</v>
      </c>
      <c r="S133" t="str">
        <f t="shared" si="10"/>
        <v>Senator</v>
      </c>
      <c r="T133" t="str">
        <f t="shared" si="3"/>
        <v>Haley</v>
      </c>
      <c r="U133" t="str">
        <f t="shared" si="11"/>
        <v>David.Haley@senate.ks.gov</v>
      </c>
    </row>
    <row r="134">
      <c r="A134" s="14" t="s">
        <v>286</v>
      </c>
      <c r="B134" s="31">
        <v>5.0</v>
      </c>
      <c r="C134" s="35" t="s">
        <v>55</v>
      </c>
      <c r="D134" s="243" t="s">
        <v>5399</v>
      </c>
      <c r="E134" s="51" t="s">
        <v>53</v>
      </c>
      <c r="K134" s="200"/>
      <c r="L134" s="422"/>
      <c r="M134" s="423"/>
      <c r="S134" t="str">
        <f t="shared" si="10"/>
        <v/>
      </c>
      <c r="T134" t="str">
        <f t="shared" si="3"/>
        <v/>
      </c>
      <c r="U134" t="str">
        <f t="shared" si="11"/>
        <v/>
      </c>
    </row>
    <row r="135">
      <c r="A135" s="14" t="s">
        <v>286</v>
      </c>
      <c r="B135" s="31">
        <v>6.0</v>
      </c>
      <c r="C135" s="35" t="s">
        <v>2570</v>
      </c>
      <c r="D135" s="243" t="s">
        <v>5401</v>
      </c>
      <c r="E135" s="36" t="s">
        <v>49</v>
      </c>
      <c r="K135" s="200"/>
      <c r="L135" s="422" t="s">
        <v>5402</v>
      </c>
      <c r="M135" s="423" t="s">
        <v>5403</v>
      </c>
      <c r="S135" t="str">
        <f t="shared" si="10"/>
        <v/>
      </c>
      <c r="T135" t="str">
        <f t="shared" si="3"/>
        <v/>
      </c>
      <c r="U135" t="str">
        <f t="shared" si="11"/>
        <v/>
      </c>
    </row>
    <row r="136">
      <c r="A136" s="14" t="s">
        <v>286</v>
      </c>
      <c r="B136" s="31">
        <v>7.0</v>
      </c>
      <c r="C136" s="35" t="s">
        <v>384</v>
      </c>
      <c r="D136" s="243" t="s">
        <v>5404</v>
      </c>
      <c r="E136" s="51" t="s">
        <v>53</v>
      </c>
      <c r="K136" s="200"/>
      <c r="L136" s="422" t="s">
        <v>5405</v>
      </c>
      <c r="M136" s="423" t="s">
        <v>5406</v>
      </c>
      <c r="S136" t="str">
        <f t="shared" si="10"/>
        <v/>
      </c>
      <c r="T136" t="str">
        <f t="shared" si="3"/>
        <v/>
      </c>
      <c r="U136" t="str">
        <f t="shared" si="11"/>
        <v/>
      </c>
    </row>
    <row r="137">
      <c r="A137" s="14" t="s">
        <v>286</v>
      </c>
      <c r="B137" s="31">
        <v>8.0</v>
      </c>
      <c r="C137" s="35" t="s">
        <v>476</v>
      </c>
      <c r="D137" s="243" t="s">
        <v>5409</v>
      </c>
      <c r="E137" s="51" t="s">
        <v>53</v>
      </c>
      <c r="K137" s="200"/>
      <c r="L137" s="422" t="s">
        <v>5410</v>
      </c>
      <c r="M137" s="423" t="s">
        <v>5411</v>
      </c>
      <c r="S137" t="str">
        <f t="shared" si="10"/>
        <v/>
      </c>
      <c r="T137" t="str">
        <f t="shared" si="3"/>
        <v/>
      </c>
      <c r="U137" t="str">
        <f t="shared" si="11"/>
        <v/>
      </c>
    </row>
    <row r="138">
      <c r="A138" s="14" t="s">
        <v>286</v>
      </c>
      <c r="B138" s="31">
        <v>9.0</v>
      </c>
      <c r="C138" s="35" t="s">
        <v>2318</v>
      </c>
      <c r="D138" s="243" t="s">
        <v>66</v>
      </c>
      <c r="E138" s="51" t="s">
        <v>53</v>
      </c>
      <c r="G138" s="14" t="s">
        <v>781</v>
      </c>
      <c r="K138" s="200"/>
      <c r="L138" s="422" t="s">
        <v>5414</v>
      </c>
      <c r="M138" s="423" t="s">
        <v>5415</v>
      </c>
      <c r="S138" t="str">
        <f t="shared" si="10"/>
        <v>Senator</v>
      </c>
      <c r="T138" t="str">
        <f t="shared" si="3"/>
        <v>Lynn</v>
      </c>
      <c r="U138" t="str">
        <f t="shared" si="11"/>
        <v>Julia.Lynn@senate.ks.gov</v>
      </c>
    </row>
    <row r="139">
      <c r="A139" s="14" t="s">
        <v>286</v>
      </c>
      <c r="B139" s="31">
        <v>10.0</v>
      </c>
      <c r="C139" s="35" t="s">
        <v>514</v>
      </c>
      <c r="D139" s="243" t="s">
        <v>5416</v>
      </c>
      <c r="E139" s="51" t="s">
        <v>53</v>
      </c>
      <c r="G139" s="14" t="s">
        <v>781</v>
      </c>
      <c r="K139" s="200"/>
      <c r="L139" s="422" t="s">
        <v>5417</v>
      </c>
      <c r="M139" s="423" t="s">
        <v>5418</v>
      </c>
      <c r="S139" t="str">
        <f t="shared" si="10"/>
        <v>Senator</v>
      </c>
      <c r="T139" t="str">
        <f t="shared" si="3"/>
        <v>Pilcher-Cook</v>
      </c>
      <c r="U139" t="str">
        <f t="shared" si="11"/>
        <v>Mary.PilcherCook@senate.ks.gov</v>
      </c>
    </row>
    <row r="140">
      <c r="A140" s="14" t="s">
        <v>286</v>
      </c>
      <c r="B140" s="31">
        <v>11.0</v>
      </c>
      <c r="C140" s="35" t="s">
        <v>278</v>
      </c>
      <c r="D140" s="243" t="s">
        <v>5420</v>
      </c>
      <c r="E140" s="51" t="s">
        <v>53</v>
      </c>
      <c r="K140" s="200"/>
      <c r="L140" s="422" t="s">
        <v>5421</v>
      </c>
      <c r="M140" s="423" t="s">
        <v>5422</v>
      </c>
      <c r="S140" t="str">
        <f t="shared" si="10"/>
        <v/>
      </c>
      <c r="T140" t="str">
        <f t="shared" si="3"/>
        <v/>
      </c>
      <c r="U140" t="str">
        <f t="shared" si="11"/>
        <v/>
      </c>
    </row>
    <row r="141">
      <c r="A141" s="14" t="s">
        <v>286</v>
      </c>
      <c r="B141" s="31">
        <v>12.0</v>
      </c>
      <c r="C141" s="35" t="s">
        <v>5423</v>
      </c>
      <c r="D141" s="243" t="s">
        <v>5425</v>
      </c>
      <c r="E141" s="51" t="s">
        <v>53</v>
      </c>
      <c r="K141" s="200"/>
      <c r="L141" s="422" t="s">
        <v>5426</v>
      </c>
      <c r="M141" s="423" t="s">
        <v>5427</v>
      </c>
      <c r="S141" t="str">
        <f t="shared" si="10"/>
        <v/>
      </c>
      <c r="T141" t="str">
        <f t="shared" si="3"/>
        <v/>
      </c>
      <c r="U141" t="str">
        <f t="shared" si="11"/>
        <v/>
      </c>
    </row>
    <row r="142">
      <c r="A142" s="14" t="s">
        <v>286</v>
      </c>
      <c r="B142" s="31">
        <v>13.0</v>
      </c>
      <c r="C142" s="35" t="s">
        <v>1112</v>
      </c>
      <c r="D142" s="243" t="s">
        <v>5429</v>
      </c>
      <c r="E142" s="51" t="s">
        <v>53</v>
      </c>
      <c r="K142" s="200"/>
      <c r="L142" s="422" t="s">
        <v>5430</v>
      </c>
      <c r="M142" s="423" t="s">
        <v>5431</v>
      </c>
      <c r="S142" t="str">
        <f t="shared" si="10"/>
        <v/>
      </c>
      <c r="T142" t="str">
        <f t="shared" si="3"/>
        <v/>
      </c>
      <c r="U142" t="str">
        <f t="shared" si="11"/>
        <v/>
      </c>
    </row>
    <row r="143">
      <c r="A143" s="14" t="s">
        <v>286</v>
      </c>
      <c r="B143" s="31">
        <v>14.0</v>
      </c>
      <c r="C143" s="35" t="s">
        <v>1193</v>
      </c>
      <c r="D143" s="243" t="s">
        <v>5326</v>
      </c>
      <c r="E143" s="51" t="s">
        <v>53</v>
      </c>
      <c r="K143" s="200"/>
      <c r="L143" s="422" t="s">
        <v>5432</v>
      </c>
      <c r="M143" s="423" t="s">
        <v>5433</v>
      </c>
      <c r="S143" t="str">
        <f t="shared" si="10"/>
        <v/>
      </c>
      <c r="T143" t="str">
        <f t="shared" si="3"/>
        <v/>
      </c>
      <c r="U143" t="str">
        <f t="shared" si="11"/>
        <v/>
      </c>
    </row>
    <row r="144">
      <c r="A144" s="14" t="s">
        <v>286</v>
      </c>
      <c r="B144" s="31">
        <v>15.0</v>
      </c>
      <c r="C144" s="35" t="s">
        <v>239</v>
      </c>
      <c r="D144" s="243" t="s">
        <v>5435</v>
      </c>
      <c r="E144" s="51" t="s">
        <v>53</v>
      </c>
      <c r="K144" s="200"/>
      <c r="L144" s="422" t="s">
        <v>5436</v>
      </c>
      <c r="M144" s="423" t="s">
        <v>5437</v>
      </c>
      <c r="S144" t="str">
        <f t="shared" si="10"/>
        <v/>
      </c>
      <c r="T144" t="str">
        <f t="shared" si="3"/>
        <v/>
      </c>
      <c r="U144" t="str">
        <f t="shared" si="11"/>
        <v/>
      </c>
    </row>
    <row r="145">
      <c r="A145" s="14" t="s">
        <v>286</v>
      </c>
      <c r="B145" s="31">
        <v>16.0</v>
      </c>
      <c r="C145" s="35" t="s">
        <v>3433</v>
      </c>
      <c r="D145" s="243" t="s">
        <v>5439</v>
      </c>
      <c r="E145" s="51" t="s">
        <v>53</v>
      </c>
      <c r="K145" s="200"/>
      <c r="L145" s="422" t="s">
        <v>5440</v>
      </c>
      <c r="M145" s="423" t="s">
        <v>5441</v>
      </c>
      <c r="S145" t="str">
        <f t="shared" si="10"/>
        <v/>
      </c>
      <c r="T145" t="str">
        <f t="shared" si="3"/>
        <v/>
      </c>
      <c r="U145" t="str">
        <f t="shared" si="11"/>
        <v/>
      </c>
    </row>
    <row r="146">
      <c r="A146" s="14" t="s">
        <v>286</v>
      </c>
      <c r="B146" s="31">
        <v>17.0</v>
      </c>
      <c r="C146" s="35" t="s">
        <v>683</v>
      </c>
      <c r="D146" s="243" t="s">
        <v>5442</v>
      </c>
      <c r="E146" s="51" t="s">
        <v>53</v>
      </c>
      <c r="K146" s="200"/>
      <c r="L146" s="422" t="s">
        <v>5443</v>
      </c>
      <c r="M146" s="423" t="s">
        <v>5444</v>
      </c>
      <c r="S146" t="str">
        <f t="shared" si="10"/>
        <v/>
      </c>
      <c r="T146" t="str">
        <f t="shared" si="3"/>
        <v/>
      </c>
      <c r="U146" t="str">
        <f t="shared" si="11"/>
        <v/>
      </c>
    </row>
    <row r="147">
      <c r="A147" s="14" t="s">
        <v>286</v>
      </c>
      <c r="B147" s="31">
        <v>18.0</v>
      </c>
      <c r="C147" s="38" t="s">
        <v>5446</v>
      </c>
      <c r="D147" s="400" t="s">
        <v>1501</v>
      </c>
      <c r="E147" s="36" t="s">
        <v>49</v>
      </c>
      <c r="G147" s="14" t="s">
        <v>781</v>
      </c>
      <c r="K147" s="399" t="s">
        <v>5447</v>
      </c>
      <c r="L147" s="422" t="s">
        <v>5448</v>
      </c>
      <c r="M147" s="423" t="s">
        <v>5449</v>
      </c>
      <c r="S147" t="str">
        <f t="shared" si="10"/>
        <v>Senator</v>
      </c>
      <c r="T147" t="str">
        <f t="shared" si="3"/>
        <v>Miller</v>
      </c>
      <c r="U147" s="14" t="s">
        <v>5451</v>
      </c>
    </row>
    <row r="148">
      <c r="A148" s="14" t="s">
        <v>286</v>
      </c>
      <c r="B148" s="31">
        <v>19.0</v>
      </c>
      <c r="C148" s="35" t="s">
        <v>496</v>
      </c>
      <c r="D148" s="243" t="s">
        <v>2625</v>
      </c>
      <c r="E148" s="36" t="s">
        <v>49</v>
      </c>
      <c r="K148" s="200"/>
      <c r="L148" s="422" t="s">
        <v>5452</v>
      </c>
      <c r="M148" s="423" t="s">
        <v>5453</v>
      </c>
      <c r="S148" t="str">
        <f t="shared" si="10"/>
        <v/>
      </c>
      <c r="T148" t="str">
        <f t="shared" si="3"/>
        <v/>
      </c>
      <c r="U148" t="str">
        <f>if(T148="","",M148)</f>
        <v/>
      </c>
    </row>
    <row r="149">
      <c r="A149" s="14" t="s">
        <v>286</v>
      </c>
      <c r="B149" s="31">
        <v>20.0</v>
      </c>
      <c r="C149" s="38" t="s">
        <v>2302</v>
      </c>
      <c r="D149" s="400" t="s">
        <v>5454</v>
      </c>
      <c r="E149" s="51" t="s">
        <v>53</v>
      </c>
      <c r="G149" s="14" t="s">
        <v>517</v>
      </c>
      <c r="K149" s="200"/>
      <c r="L149" s="422" t="s">
        <v>5455</v>
      </c>
      <c r="M149" s="423" t="s">
        <v>5456</v>
      </c>
      <c r="S149" t="str">
        <f t="shared" si="10"/>
        <v>Senator</v>
      </c>
      <c r="T149" t="str">
        <f t="shared" si="3"/>
        <v>Rucker</v>
      </c>
      <c r="U149" s="14" t="s">
        <v>5457</v>
      </c>
    </row>
    <row r="150">
      <c r="A150" s="14" t="s">
        <v>286</v>
      </c>
      <c r="B150" s="31">
        <v>21.0</v>
      </c>
      <c r="C150" s="35" t="s">
        <v>5458</v>
      </c>
      <c r="D150" s="243" t="s">
        <v>5459</v>
      </c>
      <c r="E150" s="51" t="s">
        <v>53</v>
      </c>
      <c r="K150" s="200"/>
      <c r="L150" s="422" t="s">
        <v>5460</v>
      </c>
      <c r="M150" s="423" t="s">
        <v>5461</v>
      </c>
      <c r="S150" t="str">
        <f t="shared" si="10"/>
        <v/>
      </c>
      <c r="T150" t="str">
        <f t="shared" si="3"/>
        <v/>
      </c>
      <c r="U150" t="str">
        <f t="shared" ref="U150:U169" si="12">if(T150="","",M150)</f>
        <v/>
      </c>
    </row>
    <row r="151">
      <c r="A151" s="14" t="s">
        <v>286</v>
      </c>
      <c r="B151" s="31">
        <v>22.0</v>
      </c>
      <c r="C151" s="35" t="s">
        <v>338</v>
      </c>
      <c r="D151" s="243" t="s">
        <v>5463</v>
      </c>
      <c r="E151" s="36" t="s">
        <v>49</v>
      </c>
      <c r="K151" s="200"/>
      <c r="L151" s="422" t="s">
        <v>5464</v>
      </c>
      <c r="M151" s="423" t="s">
        <v>5465</v>
      </c>
      <c r="S151" t="str">
        <f t="shared" si="10"/>
        <v/>
      </c>
      <c r="T151" t="str">
        <f t="shared" si="3"/>
        <v/>
      </c>
      <c r="U151" t="str">
        <f t="shared" si="12"/>
        <v/>
      </c>
    </row>
    <row r="152">
      <c r="A152" s="14" t="s">
        <v>286</v>
      </c>
      <c r="B152" s="31">
        <v>23.0</v>
      </c>
      <c r="C152" s="35" t="s">
        <v>1134</v>
      </c>
      <c r="D152" s="243" t="s">
        <v>413</v>
      </c>
      <c r="E152" s="51" t="s">
        <v>53</v>
      </c>
      <c r="K152" s="200"/>
      <c r="L152" s="422" t="s">
        <v>5466</v>
      </c>
      <c r="M152" s="423" t="s">
        <v>5467</v>
      </c>
      <c r="S152" t="str">
        <f t="shared" si="10"/>
        <v/>
      </c>
      <c r="T152" t="str">
        <f t="shared" si="3"/>
        <v/>
      </c>
      <c r="U152" t="str">
        <f t="shared" si="12"/>
        <v/>
      </c>
    </row>
    <row r="153">
      <c r="A153" s="14" t="s">
        <v>286</v>
      </c>
      <c r="B153" s="31">
        <v>24.0</v>
      </c>
      <c r="C153" s="35" t="s">
        <v>179</v>
      </c>
      <c r="D153" s="243" t="s">
        <v>5470</v>
      </c>
      <c r="E153" s="51" t="s">
        <v>53</v>
      </c>
      <c r="G153" s="14" t="s">
        <v>781</v>
      </c>
      <c r="K153" s="200"/>
      <c r="L153" s="422" t="s">
        <v>5471</v>
      </c>
      <c r="M153" s="423" t="s">
        <v>5472</v>
      </c>
      <c r="S153" t="str">
        <f t="shared" si="10"/>
        <v>Senator</v>
      </c>
      <c r="T153" t="str">
        <f t="shared" si="3"/>
        <v>Hardy</v>
      </c>
      <c r="U153" t="str">
        <f t="shared" si="12"/>
        <v>Randall.Hardy@senate.ks.gov</v>
      </c>
    </row>
    <row r="154">
      <c r="A154" s="14" t="s">
        <v>286</v>
      </c>
      <c r="B154" s="31">
        <v>25.0</v>
      </c>
      <c r="C154" s="38" t="s">
        <v>514</v>
      </c>
      <c r="D154" s="400" t="s">
        <v>5473</v>
      </c>
      <c r="E154" s="36" t="s">
        <v>49</v>
      </c>
      <c r="K154" s="399"/>
      <c r="L154" s="422" t="s">
        <v>5474</v>
      </c>
      <c r="M154" s="423" t="s">
        <v>5475</v>
      </c>
      <c r="S154" t="str">
        <f t="shared" si="10"/>
        <v/>
      </c>
      <c r="T154" t="str">
        <f t="shared" si="3"/>
        <v/>
      </c>
      <c r="U154" t="str">
        <f t="shared" si="12"/>
        <v/>
      </c>
    </row>
    <row r="155">
      <c r="A155" s="14" t="s">
        <v>286</v>
      </c>
      <c r="B155" s="31">
        <v>26.0</v>
      </c>
      <c r="C155" s="35" t="s">
        <v>239</v>
      </c>
      <c r="D155" s="243" t="s">
        <v>5478</v>
      </c>
      <c r="E155" s="51" t="s">
        <v>53</v>
      </c>
      <c r="K155" s="200"/>
      <c r="L155" s="422" t="s">
        <v>5479</v>
      </c>
      <c r="M155" s="423" t="s">
        <v>5480</v>
      </c>
      <c r="S155" t="str">
        <f t="shared" si="10"/>
        <v/>
      </c>
      <c r="T155" t="str">
        <f t="shared" si="3"/>
        <v/>
      </c>
      <c r="U155" t="str">
        <f t="shared" si="12"/>
        <v/>
      </c>
    </row>
    <row r="156">
      <c r="A156" s="14" t="s">
        <v>286</v>
      </c>
      <c r="B156" s="31">
        <v>27.0</v>
      </c>
      <c r="C156" s="35" t="s">
        <v>3242</v>
      </c>
      <c r="D156" s="243" t="s">
        <v>5481</v>
      </c>
      <c r="E156" s="51" t="s">
        <v>53</v>
      </c>
      <c r="K156" s="200"/>
      <c r="L156" s="422" t="s">
        <v>5482</v>
      </c>
      <c r="M156" s="423" t="s">
        <v>5483</v>
      </c>
      <c r="S156" t="str">
        <f t="shared" si="10"/>
        <v/>
      </c>
      <c r="T156" t="str">
        <f t="shared" si="3"/>
        <v/>
      </c>
      <c r="U156" t="str">
        <f t="shared" si="12"/>
        <v/>
      </c>
    </row>
    <row r="157">
      <c r="A157" s="14" t="s">
        <v>286</v>
      </c>
      <c r="B157" s="31">
        <v>28.0</v>
      </c>
      <c r="C157" s="35" t="s">
        <v>157</v>
      </c>
      <c r="D157" s="243" t="s">
        <v>819</v>
      </c>
      <c r="E157" s="51" t="s">
        <v>53</v>
      </c>
      <c r="G157" s="14" t="s">
        <v>781</v>
      </c>
      <c r="K157" s="200"/>
      <c r="L157" s="422" t="s">
        <v>5486</v>
      </c>
      <c r="M157" s="423" t="s">
        <v>5487</v>
      </c>
      <c r="S157" t="str">
        <f t="shared" si="10"/>
        <v>Senator</v>
      </c>
      <c r="T157" t="str">
        <f t="shared" si="3"/>
        <v>Petersen</v>
      </c>
      <c r="U157" t="str">
        <f t="shared" si="12"/>
        <v>Mike.Petersen@senate.ks.gov</v>
      </c>
    </row>
    <row r="158">
      <c r="A158" s="14" t="s">
        <v>286</v>
      </c>
      <c r="B158" s="31">
        <v>29.0</v>
      </c>
      <c r="C158" s="35" t="s">
        <v>5488</v>
      </c>
      <c r="D158" s="243" t="s">
        <v>5490</v>
      </c>
      <c r="E158" s="36" t="s">
        <v>49</v>
      </c>
      <c r="K158" s="200"/>
      <c r="L158" s="422" t="s">
        <v>5491</v>
      </c>
      <c r="M158" s="423" t="s">
        <v>5492</v>
      </c>
      <c r="S158" t="str">
        <f t="shared" si="10"/>
        <v/>
      </c>
      <c r="T158" t="str">
        <f t="shared" si="3"/>
        <v/>
      </c>
      <c r="U158" t="str">
        <f t="shared" si="12"/>
        <v/>
      </c>
    </row>
    <row r="159">
      <c r="A159" s="14" t="s">
        <v>286</v>
      </c>
      <c r="B159" s="31">
        <v>30.0</v>
      </c>
      <c r="C159" s="35" t="s">
        <v>1446</v>
      </c>
      <c r="D159" s="243" t="s">
        <v>5495</v>
      </c>
      <c r="E159" s="51" t="s">
        <v>53</v>
      </c>
      <c r="K159" s="200"/>
      <c r="L159" s="422" t="s">
        <v>5496</v>
      </c>
      <c r="M159" s="423" t="s">
        <v>5497</v>
      </c>
      <c r="S159" t="str">
        <f t="shared" si="10"/>
        <v/>
      </c>
      <c r="T159" t="str">
        <f t="shared" si="3"/>
        <v/>
      </c>
      <c r="U159" t="str">
        <f t="shared" si="12"/>
        <v/>
      </c>
    </row>
    <row r="160">
      <c r="A160" s="14" t="s">
        <v>286</v>
      </c>
      <c r="B160" s="31">
        <v>31.0</v>
      </c>
      <c r="C160" s="35" t="s">
        <v>3902</v>
      </c>
      <c r="D160" s="243" t="s">
        <v>5499</v>
      </c>
      <c r="E160" s="51" t="s">
        <v>53</v>
      </c>
      <c r="K160" s="200"/>
      <c r="L160" s="422" t="s">
        <v>5500</v>
      </c>
      <c r="M160" s="423" t="s">
        <v>5501</v>
      </c>
      <c r="S160" t="str">
        <f t="shared" si="10"/>
        <v/>
      </c>
      <c r="T160" t="str">
        <f t="shared" si="3"/>
        <v/>
      </c>
      <c r="U160" t="str">
        <f t="shared" si="12"/>
        <v/>
      </c>
    </row>
    <row r="161">
      <c r="A161" s="14" t="s">
        <v>286</v>
      </c>
      <c r="B161" s="31">
        <v>32.0</v>
      </c>
      <c r="C161" s="35" t="s">
        <v>839</v>
      </c>
      <c r="D161" s="243" t="s">
        <v>5504</v>
      </c>
      <c r="E161" s="51" t="s">
        <v>53</v>
      </c>
      <c r="K161" s="200"/>
      <c r="L161" s="422" t="s">
        <v>5505</v>
      </c>
      <c r="M161" s="423" t="s">
        <v>5506</v>
      </c>
      <c r="S161" t="str">
        <f t="shared" si="10"/>
        <v/>
      </c>
      <c r="T161" t="str">
        <f t="shared" si="3"/>
        <v/>
      </c>
      <c r="U161" t="str">
        <f t="shared" si="12"/>
        <v/>
      </c>
    </row>
    <row r="162">
      <c r="A162" s="14" t="s">
        <v>286</v>
      </c>
      <c r="B162" s="31">
        <v>33.0</v>
      </c>
      <c r="C162" s="38" t="s">
        <v>5507</v>
      </c>
      <c r="D162" s="243" t="s">
        <v>4255</v>
      </c>
      <c r="E162" s="51" t="s">
        <v>53</v>
      </c>
      <c r="K162" s="200"/>
      <c r="L162" s="422" t="s">
        <v>5508</v>
      </c>
      <c r="M162" s="423" t="s">
        <v>5509</v>
      </c>
      <c r="S162" t="str">
        <f t="shared" si="10"/>
        <v/>
      </c>
      <c r="T162" t="str">
        <f t="shared" si="3"/>
        <v/>
      </c>
      <c r="U162" t="str">
        <f t="shared" si="12"/>
        <v/>
      </c>
    </row>
    <row r="163">
      <c r="A163" s="14" t="s">
        <v>286</v>
      </c>
      <c r="B163" s="31">
        <v>34.0</v>
      </c>
      <c r="C163" s="35" t="s">
        <v>636</v>
      </c>
      <c r="D163" s="243" t="s">
        <v>2608</v>
      </c>
      <c r="E163" s="51" t="s">
        <v>53</v>
      </c>
      <c r="K163" s="200"/>
      <c r="L163" s="422" t="s">
        <v>5512</v>
      </c>
      <c r="M163" s="423" t="s">
        <v>5513</v>
      </c>
      <c r="S163" t="str">
        <f t="shared" si="10"/>
        <v/>
      </c>
      <c r="T163" t="str">
        <f t="shared" si="3"/>
        <v/>
      </c>
      <c r="U163" t="str">
        <f t="shared" si="12"/>
        <v/>
      </c>
    </row>
    <row r="164">
      <c r="A164" s="14" t="s">
        <v>286</v>
      </c>
      <c r="B164" s="31">
        <v>35.0</v>
      </c>
      <c r="C164" s="35" t="s">
        <v>1112</v>
      </c>
      <c r="D164" s="243" t="s">
        <v>5514</v>
      </c>
      <c r="E164" s="51" t="s">
        <v>53</v>
      </c>
      <c r="G164" s="14" t="s">
        <v>877</v>
      </c>
      <c r="K164" s="200"/>
      <c r="L164" s="422" t="s">
        <v>5515</v>
      </c>
      <c r="M164" s="423" t="s">
        <v>5516</v>
      </c>
      <c r="S164" t="str">
        <f t="shared" si="10"/>
        <v>Senator</v>
      </c>
      <c r="T164" t="str">
        <f t="shared" si="3"/>
        <v>Wilborn</v>
      </c>
      <c r="U164" t="str">
        <f t="shared" si="12"/>
        <v>Richard.Wilborn@senate.ks.gov </v>
      </c>
    </row>
    <row r="165">
      <c r="A165" s="14" t="s">
        <v>286</v>
      </c>
      <c r="B165" s="31">
        <v>36.0</v>
      </c>
      <c r="C165" s="35" t="s">
        <v>3948</v>
      </c>
      <c r="D165" s="243" t="s">
        <v>1055</v>
      </c>
      <c r="E165" s="51" t="s">
        <v>53</v>
      </c>
      <c r="G165" s="14" t="s">
        <v>781</v>
      </c>
      <c r="K165" s="200"/>
      <c r="L165" s="422" t="s">
        <v>5519</v>
      </c>
      <c r="M165" s="423" t="s">
        <v>5520</v>
      </c>
      <c r="S165" t="str">
        <f t="shared" si="10"/>
        <v>Senator</v>
      </c>
      <c r="T165" t="str">
        <f t="shared" si="3"/>
        <v>Bowers</v>
      </c>
      <c r="U165" t="str">
        <f t="shared" si="12"/>
        <v>Elaine.Bowers@senate.ks.gov</v>
      </c>
    </row>
    <row r="166">
      <c r="A166" s="14" t="s">
        <v>286</v>
      </c>
      <c r="B166" s="31">
        <v>37.0</v>
      </c>
      <c r="C166" s="35" t="s">
        <v>5283</v>
      </c>
      <c r="D166" s="243" t="s">
        <v>2257</v>
      </c>
      <c r="E166" s="51" t="s">
        <v>53</v>
      </c>
      <c r="G166" s="14" t="s">
        <v>781</v>
      </c>
      <c r="K166" s="200"/>
      <c r="L166" s="422" t="s">
        <v>5521</v>
      </c>
      <c r="M166" s="423" t="s">
        <v>5522</v>
      </c>
      <c r="S166" t="str">
        <f t="shared" si="10"/>
        <v>Senator</v>
      </c>
      <c r="T166" t="str">
        <f t="shared" si="3"/>
        <v>Baumgardner</v>
      </c>
      <c r="U166" t="str">
        <f t="shared" si="12"/>
        <v>Molly.Baumgardner@senate.ks.gov</v>
      </c>
    </row>
    <row r="167">
      <c r="A167" s="14" t="s">
        <v>286</v>
      </c>
      <c r="B167" s="31">
        <v>38.0</v>
      </c>
      <c r="C167" s="35" t="s">
        <v>5523</v>
      </c>
      <c r="D167" s="243" t="s">
        <v>274</v>
      </c>
      <c r="E167" s="51" t="s">
        <v>53</v>
      </c>
      <c r="K167" s="200"/>
      <c r="L167" s="422" t="s">
        <v>5526</v>
      </c>
      <c r="M167" s="423" t="s">
        <v>5527</v>
      </c>
      <c r="S167" t="str">
        <f t="shared" si="10"/>
        <v/>
      </c>
      <c r="T167" t="str">
        <f t="shared" si="3"/>
        <v/>
      </c>
      <c r="U167" t="str">
        <f t="shared" si="12"/>
        <v/>
      </c>
    </row>
    <row r="168">
      <c r="A168" s="14" t="s">
        <v>286</v>
      </c>
      <c r="B168" s="31">
        <v>39.0</v>
      </c>
      <c r="C168" s="35" t="s">
        <v>278</v>
      </c>
      <c r="D168" s="243" t="s">
        <v>5528</v>
      </c>
      <c r="E168" s="65" t="s">
        <v>5529</v>
      </c>
      <c r="K168" s="200"/>
      <c r="L168" s="422" t="s">
        <v>5530</v>
      </c>
      <c r="M168" s="423" t="s">
        <v>5531</v>
      </c>
      <c r="S168" t="str">
        <f t="shared" si="10"/>
        <v/>
      </c>
      <c r="T168" t="str">
        <f t="shared" si="3"/>
        <v/>
      </c>
      <c r="U168" t="str">
        <f t="shared" si="12"/>
        <v/>
      </c>
    </row>
    <row r="169">
      <c r="A169" s="14" t="s">
        <v>286</v>
      </c>
      <c r="B169" s="31">
        <v>40.0</v>
      </c>
      <c r="C169" s="35" t="s">
        <v>1291</v>
      </c>
      <c r="D169" s="243" t="s">
        <v>5535</v>
      </c>
      <c r="E169" s="51" t="s">
        <v>53</v>
      </c>
      <c r="K169" s="200"/>
      <c r="L169" s="422" t="s">
        <v>5536</v>
      </c>
      <c r="M169" s="423" t="s">
        <v>5537</v>
      </c>
      <c r="S169" t="str">
        <f t="shared" si="10"/>
        <v/>
      </c>
      <c r="T169" t="str">
        <f t="shared" si="3"/>
        <v/>
      </c>
      <c r="U169" t="str">
        <f t="shared" si="12"/>
        <v/>
      </c>
    </row>
    <row r="170">
      <c r="A170" s="70"/>
      <c r="B170" s="70"/>
      <c r="C170" s="71"/>
      <c r="D170" s="70"/>
      <c r="E170" s="70"/>
      <c r="F170" s="70"/>
      <c r="G170" s="70"/>
      <c r="H170" s="70"/>
      <c r="I170" s="70"/>
      <c r="J170" s="70"/>
      <c r="K170" s="70"/>
      <c r="L170" s="70"/>
      <c r="M170" s="70"/>
      <c r="N170" s="70"/>
      <c r="O170" s="70"/>
      <c r="P170" s="70"/>
      <c r="Q170" s="70"/>
      <c r="R170" s="70"/>
      <c r="S170" s="70"/>
      <c r="T170" s="70"/>
      <c r="U170" s="70"/>
      <c r="V170" s="70"/>
      <c r="W170" s="70"/>
      <c r="X170" s="70"/>
      <c r="Y170" s="70"/>
      <c r="Z170" s="70"/>
      <c r="AA170" s="70"/>
      <c r="AB170" s="70"/>
      <c r="AC170" s="70"/>
      <c r="AD170" s="70"/>
    </row>
    <row r="171">
      <c r="A171" s="14" t="s">
        <v>421</v>
      </c>
      <c r="C171" s="77" t="s">
        <v>292</v>
      </c>
      <c r="D171" s="14" t="s">
        <v>130</v>
      </c>
      <c r="E171" s="36" t="s">
        <v>49</v>
      </c>
    </row>
    <row r="172">
      <c r="A172" s="70"/>
      <c r="B172" s="70"/>
      <c r="C172" s="71"/>
      <c r="D172" s="70"/>
      <c r="E172" s="70"/>
      <c r="F172" s="70"/>
      <c r="G172" s="70"/>
      <c r="H172" s="70"/>
      <c r="I172" s="70"/>
      <c r="J172" s="70"/>
      <c r="K172" s="70"/>
      <c r="L172" s="70"/>
      <c r="M172" s="70"/>
      <c r="N172" s="70"/>
      <c r="O172" s="70"/>
      <c r="P172" s="70"/>
      <c r="Q172" s="70"/>
      <c r="R172" s="70"/>
      <c r="S172" s="70"/>
      <c r="T172" s="70"/>
      <c r="U172" s="70"/>
      <c r="V172" s="70"/>
      <c r="W172" s="70"/>
      <c r="X172" s="70"/>
      <c r="Y172" s="70"/>
      <c r="Z172" s="70"/>
      <c r="AA172" s="70"/>
      <c r="AB172" s="70"/>
      <c r="AC172" s="70"/>
      <c r="AD172" s="70"/>
    </row>
    <row r="173">
      <c r="A173" s="14" t="s">
        <v>427</v>
      </c>
      <c r="B173" s="14">
        <v>1.0</v>
      </c>
      <c r="C173" s="77" t="s">
        <v>1040</v>
      </c>
      <c r="D173" s="14" t="s">
        <v>1150</v>
      </c>
      <c r="E173" s="51" t="s">
        <v>53</v>
      </c>
    </row>
    <row r="174">
      <c r="A174" s="14" t="s">
        <v>427</v>
      </c>
      <c r="B174" s="14">
        <v>2.0</v>
      </c>
      <c r="C174" s="77" t="s">
        <v>55</v>
      </c>
      <c r="D174" s="14" t="s">
        <v>5538</v>
      </c>
      <c r="E174" s="51" t="s">
        <v>53</v>
      </c>
    </row>
    <row r="175">
      <c r="A175" s="14" t="s">
        <v>427</v>
      </c>
      <c r="B175" s="14">
        <v>3.0</v>
      </c>
      <c r="C175" s="77" t="s">
        <v>5539</v>
      </c>
      <c r="D175" s="14" t="s">
        <v>5540</v>
      </c>
      <c r="E175" s="36" t="s">
        <v>49</v>
      </c>
    </row>
    <row r="176">
      <c r="A176" s="14" t="s">
        <v>427</v>
      </c>
      <c r="B176" s="14">
        <v>4.0</v>
      </c>
      <c r="C176" s="77" t="s">
        <v>1813</v>
      </c>
      <c r="D176" s="14" t="s">
        <v>274</v>
      </c>
      <c r="E176" s="51" t="s">
        <v>53</v>
      </c>
    </row>
    <row r="177">
      <c r="A177" s="70"/>
      <c r="B177" s="70"/>
      <c r="C177" s="71"/>
      <c r="D177" s="70"/>
      <c r="E177" s="70"/>
      <c r="F177" s="70"/>
      <c r="G177" s="70"/>
      <c r="H177" s="70"/>
      <c r="I177" s="70"/>
      <c r="J177" s="70"/>
      <c r="K177" s="70"/>
      <c r="L177" s="70"/>
      <c r="M177" s="70"/>
      <c r="N177" s="70"/>
      <c r="O177" s="70"/>
      <c r="P177" s="70"/>
      <c r="Q177" s="70"/>
      <c r="R177" s="70"/>
      <c r="S177" s="70"/>
      <c r="T177" s="70"/>
      <c r="U177" s="70"/>
      <c r="V177" s="70"/>
      <c r="W177" s="70"/>
      <c r="X177" s="70"/>
      <c r="Y177" s="70"/>
      <c r="Z177" s="70"/>
      <c r="AA177" s="70"/>
      <c r="AB177" s="70"/>
      <c r="AC177" s="70"/>
      <c r="AD177" s="70"/>
    </row>
    <row r="178">
      <c r="A178" s="14" t="s">
        <v>430</v>
      </c>
      <c r="B178" s="14" t="s">
        <v>431</v>
      </c>
      <c r="C178" s="77" t="s">
        <v>2570</v>
      </c>
      <c r="D178" s="14" t="s">
        <v>788</v>
      </c>
      <c r="E178" s="51" t="s">
        <v>53</v>
      </c>
    </row>
    <row r="179">
      <c r="A179" s="14" t="s">
        <v>430</v>
      </c>
      <c r="B179" s="14" t="s">
        <v>434</v>
      </c>
      <c r="C179" s="77" t="s">
        <v>2105</v>
      </c>
      <c r="D179" s="14" t="s">
        <v>5541</v>
      </c>
      <c r="E179" s="51" t="s">
        <v>53</v>
      </c>
    </row>
    <row r="180">
      <c r="A180" s="70"/>
      <c r="B180" s="70"/>
      <c r="C180" s="71"/>
      <c r="D180" s="70"/>
      <c r="E180" s="70"/>
      <c r="F180" s="70"/>
      <c r="G180" s="70"/>
      <c r="H180" s="70"/>
      <c r="I180" s="70"/>
      <c r="J180" s="70"/>
      <c r="K180" s="70"/>
      <c r="L180" s="70"/>
      <c r="M180" s="70"/>
      <c r="N180" s="70"/>
      <c r="O180" s="70"/>
      <c r="P180" s="70"/>
      <c r="Q180" s="70"/>
      <c r="R180" s="70"/>
      <c r="S180" s="70"/>
      <c r="T180" s="70"/>
      <c r="U180" s="70"/>
      <c r="V180" s="70"/>
      <c r="W180" s="70"/>
      <c r="X180" s="70"/>
      <c r="Y180" s="70"/>
      <c r="Z180" s="70"/>
      <c r="AA180" s="70"/>
      <c r="AB180" s="70"/>
      <c r="AC180" s="70"/>
      <c r="AD180" s="70"/>
    </row>
    <row r="181">
      <c r="A181" s="14" t="s">
        <v>438</v>
      </c>
      <c r="C181" s="77" t="s">
        <v>2525</v>
      </c>
      <c r="D181" s="14" t="s">
        <v>5543</v>
      </c>
      <c r="E181" s="51" t="s">
        <v>53</v>
      </c>
    </row>
    <row r="182">
      <c r="A182" s="70"/>
      <c r="B182" s="70"/>
      <c r="C182" s="71"/>
      <c r="D182" s="70"/>
      <c r="E182" s="70"/>
      <c r="F182" s="70"/>
      <c r="G182" s="70"/>
      <c r="H182" s="70"/>
      <c r="I182" s="70"/>
      <c r="J182" s="70"/>
      <c r="K182" s="70"/>
      <c r="L182" s="70"/>
      <c r="M182" s="70"/>
      <c r="N182" s="70"/>
      <c r="O182" s="70"/>
      <c r="P182" s="70"/>
      <c r="Q182" s="70"/>
      <c r="R182" s="70"/>
      <c r="S182" s="70"/>
      <c r="T182" s="70"/>
      <c r="U182" s="70"/>
      <c r="V182" s="70"/>
      <c r="W182" s="70"/>
      <c r="X182" s="70"/>
      <c r="Y182" s="70"/>
      <c r="Z182" s="70"/>
      <c r="AA182" s="70"/>
      <c r="AB182" s="70"/>
      <c r="AC182" s="70"/>
      <c r="AD182" s="70"/>
    </row>
    <row r="183">
      <c r="C183" s="139"/>
    </row>
    <row r="184">
      <c r="C184" s="139"/>
    </row>
    <row r="185">
      <c r="C185" s="139"/>
    </row>
    <row r="186">
      <c r="C186" s="139"/>
    </row>
    <row r="187">
      <c r="C187" s="139"/>
    </row>
    <row r="188">
      <c r="C188" s="139"/>
    </row>
    <row r="189">
      <c r="C189" s="139"/>
    </row>
    <row r="190">
      <c r="C190" s="139"/>
    </row>
    <row r="191">
      <c r="C191" s="139"/>
    </row>
    <row r="192">
      <c r="C192" s="139"/>
    </row>
    <row r="193">
      <c r="C193" s="139"/>
    </row>
    <row r="194">
      <c r="C194" s="139"/>
    </row>
    <row r="195">
      <c r="C195" s="139"/>
    </row>
    <row r="196">
      <c r="C196" s="139"/>
    </row>
    <row r="197">
      <c r="C197" s="139"/>
    </row>
    <row r="198">
      <c r="C198" s="139"/>
    </row>
    <row r="199">
      <c r="C199" s="139"/>
    </row>
    <row r="200">
      <c r="C200" s="139"/>
    </row>
    <row r="201">
      <c r="C201" s="139"/>
    </row>
    <row r="202">
      <c r="C202" s="139"/>
    </row>
    <row r="203">
      <c r="C203" s="139"/>
    </row>
    <row r="204">
      <c r="C204" s="139"/>
    </row>
    <row r="205">
      <c r="C205" s="139"/>
    </row>
    <row r="206">
      <c r="C206" s="139"/>
    </row>
    <row r="207">
      <c r="C207" s="139"/>
    </row>
    <row r="208">
      <c r="C208" s="139"/>
    </row>
    <row r="209">
      <c r="C209" s="139"/>
    </row>
    <row r="210">
      <c r="C210" s="139"/>
    </row>
    <row r="211">
      <c r="C211" s="139"/>
    </row>
    <row r="212">
      <c r="C212" s="139"/>
    </row>
    <row r="213">
      <c r="C213" s="139"/>
    </row>
    <row r="214">
      <c r="C214" s="139"/>
    </row>
    <row r="215">
      <c r="C215" s="139"/>
    </row>
    <row r="216">
      <c r="C216" s="139"/>
    </row>
    <row r="217">
      <c r="C217" s="139"/>
    </row>
    <row r="218">
      <c r="C218" s="139"/>
    </row>
    <row r="219">
      <c r="C219" s="139"/>
    </row>
    <row r="220">
      <c r="C220" s="139"/>
    </row>
    <row r="221">
      <c r="C221" s="139"/>
    </row>
    <row r="222">
      <c r="C222" s="139"/>
    </row>
    <row r="223">
      <c r="C223" s="139"/>
    </row>
    <row r="224">
      <c r="C224" s="139"/>
    </row>
    <row r="225">
      <c r="C225" s="139"/>
    </row>
    <row r="226">
      <c r="C226" s="139"/>
    </row>
    <row r="227">
      <c r="C227" s="139"/>
    </row>
    <row r="228">
      <c r="C228" s="139"/>
    </row>
    <row r="229">
      <c r="C229" s="139"/>
    </row>
    <row r="230">
      <c r="C230" s="139"/>
    </row>
    <row r="231">
      <c r="C231" s="139"/>
    </row>
    <row r="232">
      <c r="C232" s="139"/>
    </row>
    <row r="233">
      <c r="C233" s="139"/>
    </row>
    <row r="234">
      <c r="C234" s="139"/>
    </row>
    <row r="235">
      <c r="C235" s="139"/>
    </row>
    <row r="236">
      <c r="C236" s="139"/>
    </row>
    <row r="237">
      <c r="C237" s="139"/>
    </row>
    <row r="238">
      <c r="C238" s="139"/>
    </row>
    <row r="239">
      <c r="C239" s="139"/>
    </row>
    <row r="240">
      <c r="C240" s="139"/>
    </row>
    <row r="241">
      <c r="C241" s="139"/>
    </row>
    <row r="242">
      <c r="C242" s="139"/>
    </row>
    <row r="243">
      <c r="C243" s="139"/>
    </row>
    <row r="244">
      <c r="C244" s="139"/>
    </row>
    <row r="245">
      <c r="C245" s="139"/>
    </row>
    <row r="246">
      <c r="C246" s="139"/>
    </row>
    <row r="247">
      <c r="C247" s="139"/>
    </row>
    <row r="248">
      <c r="C248" s="139"/>
    </row>
    <row r="249">
      <c r="C249" s="139"/>
    </row>
    <row r="250">
      <c r="C250" s="139"/>
    </row>
    <row r="251">
      <c r="C251" s="139"/>
    </row>
    <row r="252">
      <c r="C252" s="139"/>
    </row>
    <row r="253">
      <c r="C253" s="139"/>
    </row>
    <row r="254">
      <c r="C254" s="139"/>
    </row>
    <row r="255">
      <c r="C255" s="139"/>
    </row>
    <row r="256">
      <c r="C256" s="139"/>
    </row>
    <row r="257">
      <c r="C257" s="139"/>
    </row>
    <row r="258">
      <c r="C258" s="139"/>
    </row>
    <row r="259">
      <c r="C259" s="139"/>
    </row>
    <row r="260">
      <c r="C260" s="139"/>
    </row>
    <row r="261">
      <c r="C261" s="139"/>
    </row>
    <row r="262">
      <c r="C262" s="139"/>
    </row>
    <row r="263">
      <c r="C263" s="139"/>
    </row>
    <row r="264">
      <c r="C264" s="139"/>
    </row>
    <row r="265">
      <c r="C265" s="139"/>
    </row>
    <row r="266">
      <c r="C266" s="139"/>
    </row>
    <row r="267">
      <c r="C267" s="139"/>
    </row>
    <row r="268">
      <c r="C268" s="139"/>
    </row>
    <row r="269">
      <c r="C269" s="139"/>
    </row>
    <row r="270">
      <c r="C270" s="139"/>
    </row>
    <row r="271">
      <c r="C271" s="139"/>
    </row>
    <row r="272">
      <c r="C272" s="139"/>
    </row>
    <row r="273">
      <c r="C273" s="139"/>
    </row>
    <row r="274">
      <c r="C274" s="139"/>
    </row>
    <row r="275">
      <c r="C275" s="139"/>
    </row>
    <row r="276">
      <c r="C276" s="139"/>
    </row>
    <row r="277">
      <c r="C277" s="139"/>
    </row>
    <row r="278">
      <c r="C278" s="139"/>
    </row>
    <row r="279">
      <c r="C279" s="139"/>
    </row>
    <row r="280">
      <c r="C280" s="139"/>
    </row>
    <row r="281">
      <c r="C281" s="139"/>
    </row>
    <row r="282">
      <c r="C282" s="139"/>
    </row>
    <row r="283">
      <c r="C283" s="139"/>
    </row>
    <row r="284">
      <c r="C284" s="139"/>
    </row>
    <row r="285">
      <c r="C285" s="139"/>
    </row>
    <row r="286">
      <c r="C286" s="139"/>
    </row>
    <row r="287">
      <c r="C287" s="139"/>
    </row>
    <row r="288">
      <c r="C288" s="139"/>
    </row>
    <row r="289">
      <c r="C289" s="139"/>
    </row>
    <row r="290">
      <c r="C290" s="139"/>
    </row>
    <row r="291">
      <c r="C291" s="139"/>
    </row>
    <row r="292">
      <c r="C292" s="139"/>
    </row>
    <row r="293">
      <c r="C293" s="139"/>
    </row>
    <row r="294">
      <c r="C294" s="139"/>
    </row>
    <row r="295">
      <c r="C295" s="139"/>
    </row>
    <row r="296">
      <c r="C296" s="139"/>
    </row>
    <row r="297">
      <c r="C297" s="139"/>
    </row>
    <row r="298">
      <c r="C298" s="139"/>
    </row>
    <row r="299">
      <c r="C299" s="139"/>
    </row>
    <row r="300">
      <c r="C300" s="139"/>
    </row>
    <row r="301">
      <c r="C301" s="139"/>
    </row>
    <row r="302">
      <c r="C302" s="139"/>
    </row>
    <row r="303">
      <c r="C303" s="139"/>
    </row>
    <row r="304">
      <c r="C304" s="139"/>
    </row>
    <row r="305">
      <c r="C305" s="139"/>
    </row>
    <row r="306">
      <c r="C306" s="139"/>
    </row>
    <row r="307">
      <c r="C307" s="139"/>
    </row>
    <row r="308">
      <c r="C308" s="139"/>
    </row>
    <row r="309">
      <c r="C309" s="139"/>
    </row>
    <row r="310">
      <c r="C310" s="139"/>
    </row>
    <row r="311">
      <c r="C311" s="139"/>
    </row>
    <row r="312">
      <c r="C312" s="139"/>
    </row>
    <row r="313">
      <c r="C313" s="139"/>
    </row>
    <row r="314">
      <c r="C314" s="139"/>
    </row>
    <row r="315">
      <c r="C315" s="139"/>
    </row>
    <row r="316">
      <c r="C316" s="139"/>
    </row>
    <row r="317">
      <c r="C317" s="139"/>
    </row>
    <row r="318">
      <c r="C318" s="139"/>
    </row>
    <row r="319">
      <c r="C319" s="139"/>
    </row>
    <row r="320">
      <c r="C320" s="139"/>
    </row>
    <row r="321">
      <c r="C321" s="139"/>
    </row>
    <row r="322">
      <c r="C322" s="139"/>
    </row>
    <row r="323">
      <c r="C323" s="139"/>
    </row>
    <row r="324">
      <c r="C324" s="139"/>
    </row>
    <row r="325">
      <c r="C325" s="139"/>
    </row>
    <row r="326">
      <c r="C326" s="139"/>
    </row>
    <row r="327">
      <c r="C327" s="139"/>
    </row>
    <row r="328">
      <c r="C328" s="139"/>
    </row>
    <row r="329">
      <c r="C329" s="139"/>
    </row>
    <row r="330">
      <c r="C330" s="139"/>
    </row>
    <row r="331">
      <c r="C331" s="139"/>
    </row>
    <row r="332">
      <c r="C332" s="139"/>
    </row>
    <row r="333">
      <c r="C333" s="139"/>
    </row>
    <row r="334">
      <c r="C334" s="139"/>
    </row>
    <row r="335">
      <c r="C335" s="139"/>
    </row>
    <row r="336">
      <c r="C336" s="139"/>
    </row>
    <row r="337">
      <c r="C337" s="139"/>
    </row>
    <row r="338">
      <c r="C338" s="139"/>
    </row>
    <row r="339">
      <c r="C339" s="139"/>
    </row>
    <row r="340">
      <c r="C340" s="139"/>
    </row>
    <row r="341">
      <c r="C341" s="139"/>
    </row>
    <row r="342">
      <c r="C342" s="139"/>
    </row>
    <row r="343">
      <c r="C343" s="139"/>
    </row>
    <row r="344">
      <c r="C344" s="139"/>
    </row>
    <row r="345">
      <c r="C345" s="139"/>
    </row>
    <row r="346">
      <c r="C346" s="139"/>
    </row>
    <row r="347">
      <c r="C347" s="139"/>
    </row>
    <row r="348">
      <c r="C348" s="139"/>
    </row>
    <row r="349">
      <c r="C349" s="139"/>
    </row>
    <row r="350">
      <c r="C350" s="139"/>
    </row>
    <row r="351">
      <c r="C351" s="139"/>
    </row>
    <row r="352">
      <c r="C352" s="139"/>
    </row>
    <row r="353">
      <c r="C353" s="139"/>
    </row>
    <row r="354">
      <c r="C354" s="139"/>
    </row>
    <row r="355">
      <c r="C355" s="139"/>
    </row>
    <row r="356">
      <c r="C356" s="139"/>
    </row>
    <row r="357">
      <c r="C357" s="139"/>
    </row>
    <row r="358">
      <c r="C358" s="139"/>
    </row>
    <row r="359">
      <c r="C359" s="139"/>
    </row>
    <row r="360">
      <c r="C360" s="139"/>
    </row>
    <row r="361">
      <c r="C361" s="139"/>
    </row>
    <row r="362">
      <c r="C362" s="139"/>
    </row>
    <row r="363">
      <c r="C363" s="139"/>
    </row>
    <row r="364">
      <c r="C364" s="139"/>
    </row>
    <row r="365">
      <c r="C365" s="139"/>
    </row>
    <row r="366">
      <c r="C366" s="139"/>
    </row>
    <row r="367">
      <c r="C367" s="139"/>
    </row>
    <row r="368">
      <c r="C368" s="139"/>
    </row>
    <row r="369">
      <c r="C369" s="139"/>
    </row>
    <row r="370">
      <c r="C370" s="139"/>
    </row>
    <row r="371">
      <c r="C371" s="139"/>
    </row>
    <row r="372">
      <c r="C372" s="139"/>
    </row>
    <row r="373">
      <c r="C373" s="139"/>
    </row>
    <row r="374">
      <c r="C374" s="139"/>
    </row>
    <row r="375">
      <c r="C375" s="139"/>
    </row>
    <row r="376">
      <c r="C376" s="139"/>
    </row>
    <row r="377">
      <c r="C377" s="139"/>
    </row>
    <row r="378">
      <c r="C378" s="139"/>
    </row>
    <row r="379">
      <c r="C379" s="139"/>
    </row>
    <row r="380">
      <c r="C380" s="139"/>
    </row>
    <row r="381">
      <c r="C381" s="139"/>
    </row>
    <row r="382">
      <c r="C382" s="139"/>
    </row>
    <row r="383">
      <c r="C383" s="139"/>
    </row>
    <row r="384">
      <c r="C384" s="139"/>
    </row>
    <row r="385">
      <c r="C385" s="139"/>
    </row>
    <row r="386">
      <c r="C386" s="139"/>
    </row>
    <row r="387">
      <c r="C387" s="139"/>
    </row>
    <row r="388">
      <c r="C388" s="139"/>
    </row>
    <row r="389">
      <c r="C389" s="139"/>
    </row>
    <row r="390">
      <c r="C390" s="139"/>
    </row>
    <row r="391">
      <c r="C391" s="139"/>
    </row>
    <row r="392">
      <c r="C392" s="139"/>
    </row>
    <row r="393">
      <c r="C393" s="139"/>
    </row>
    <row r="394">
      <c r="C394" s="139"/>
    </row>
    <row r="395">
      <c r="C395" s="139"/>
    </row>
    <row r="396">
      <c r="C396" s="139"/>
    </row>
    <row r="397">
      <c r="C397" s="139"/>
    </row>
    <row r="398">
      <c r="C398" s="139"/>
    </row>
    <row r="399">
      <c r="C399" s="139"/>
    </row>
    <row r="400">
      <c r="C400" s="139"/>
    </row>
    <row r="401">
      <c r="C401" s="139"/>
    </row>
    <row r="402">
      <c r="C402" s="139"/>
    </row>
    <row r="403">
      <c r="C403" s="139"/>
    </row>
    <row r="404">
      <c r="C404" s="139"/>
    </row>
    <row r="405">
      <c r="C405" s="139"/>
    </row>
    <row r="406">
      <c r="C406" s="139"/>
    </row>
    <row r="407">
      <c r="C407" s="139"/>
    </row>
    <row r="408">
      <c r="C408" s="139"/>
    </row>
    <row r="409">
      <c r="C409" s="139"/>
    </row>
    <row r="410">
      <c r="C410" s="139"/>
    </row>
    <row r="411">
      <c r="C411" s="139"/>
    </row>
    <row r="412">
      <c r="C412" s="139"/>
    </row>
    <row r="413">
      <c r="C413" s="139"/>
    </row>
    <row r="414">
      <c r="C414" s="139"/>
    </row>
    <row r="415">
      <c r="C415" s="139"/>
    </row>
    <row r="416">
      <c r="C416" s="139"/>
    </row>
    <row r="417">
      <c r="C417" s="139"/>
    </row>
    <row r="418">
      <c r="C418" s="139"/>
    </row>
    <row r="419">
      <c r="C419" s="139"/>
    </row>
    <row r="420">
      <c r="C420" s="139"/>
    </row>
    <row r="421">
      <c r="C421" s="139"/>
    </row>
    <row r="422">
      <c r="C422" s="139"/>
    </row>
    <row r="423">
      <c r="C423" s="139"/>
    </row>
    <row r="424">
      <c r="C424" s="139"/>
    </row>
    <row r="425">
      <c r="C425" s="139"/>
    </row>
    <row r="426">
      <c r="C426" s="139"/>
    </row>
    <row r="427">
      <c r="C427" s="139"/>
    </row>
    <row r="428">
      <c r="C428" s="139"/>
    </row>
    <row r="429">
      <c r="C429" s="139"/>
    </row>
    <row r="430">
      <c r="C430" s="139"/>
    </row>
    <row r="431">
      <c r="C431" s="139"/>
    </row>
    <row r="432">
      <c r="C432" s="139"/>
    </row>
    <row r="433">
      <c r="C433" s="139"/>
    </row>
    <row r="434">
      <c r="C434" s="139"/>
    </row>
    <row r="435">
      <c r="C435" s="139"/>
    </row>
    <row r="436">
      <c r="C436" s="139"/>
    </row>
    <row r="437">
      <c r="C437" s="139"/>
    </row>
    <row r="438">
      <c r="C438" s="139"/>
    </row>
    <row r="439">
      <c r="C439" s="139"/>
    </row>
    <row r="440">
      <c r="C440" s="139"/>
    </row>
    <row r="441">
      <c r="C441" s="139"/>
    </row>
    <row r="442">
      <c r="C442" s="139"/>
    </row>
    <row r="443">
      <c r="C443" s="139"/>
    </row>
    <row r="444">
      <c r="C444" s="139"/>
    </row>
    <row r="445">
      <c r="C445" s="139"/>
    </row>
    <row r="446">
      <c r="C446" s="139"/>
    </row>
    <row r="447">
      <c r="C447" s="139"/>
    </row>
    <row r="448">
      <c r="C448" s="139"/>
    </row>
    <row r="449">
      <c r="C449" s="139"/>
    </row>
    <row r="450">
      <c r="C450" s="139"/>
    </row>
    <row r="451">
      <c r="C451" s="139"/>
    </row>
    <row r="452">
      <c r="C452" s="139"/>
    </row>
    <row r="453">
      <c r="C453" s="139"/>
    </row>
    <row r="454">
      <c r="C454" s="139"/>
    </row>
    <row r="455">
      <c r="C455" s="139"/>
    </row>
    <row r="456">
      <c r="C456" s="139"/>
    </row>
    <row r="457">
      <c r="C457" s="139"/>
    </row>
    <row r="458">
      <c r="C458" s="139"/>
    </row>
    <row r="459">
      <c r="C459" s="139"/>
    </row>
    <row r="460">
      <c r="C460" s="139"/>
    </row>
    <row r="461">
      <c r="C461" s="139"/>
    </row>
    <row r="462">
      <c r="C462" s="139"/>
    </row>
    <row r="463">
      <c r="C463" s="139"/>
    </row>
    <row r="464">
      <c r="C464" s="139"/>
    </row>
    <row r="465">
      <c r="C465" s="139"/>
    </row>
    <row r="466">
      <c r="C466" s="139"/>
    </row>
    <row r="467">
      <c r="C467" s="139"/>
    </row>
    <row r="468">
      <c r="C468" s="139"/>
    </row>
    <row r="469">
      <c r="C469" s="139"/>
    </row>
    <row r="470">
      <c r="C470" s="139"/>
    </row>
    <row r="471">
      <c r="C471" s="139"/>
    </row>
    <row r="472">
      <c r="C472" s="139"/>
    </row>
    <row r="473">
      <c r="C473" s="139"/>
    </row>
    <row r="474">
      <c r="C474" s="139"/>
    </row>
    <row r="475">
      <c r="C475" s="139"/>
    </row>
    <row r="476">
      <c r="C476" s="139"/>
    </row>
    <row r="477">
      <c r="C477" s="139"/>
    </row>
    <row r="478">
      <c r="C478" s="139"/>
    </row>
    <row r="479">
      <c r="C479" s="139"/>
    </row>
    <row r="480">
      <c r="C480" s="139"/>
    </row>
    <row r="481">
      <c r="C481" s="139"/>
    </row>
    <row r="482">
      <c r="C482" s="139"/>
    </row>
    <row r="483">
      <c r="C483" s="139"/>
    </row>
    <row r="484">
      <c r="C484" s="139"/>
    </row>
    <row r="485">
      <c r="C485" s="139"/>
    </row>
    <row r="486">
      <c r="C486" s="139"/>
    </row>
    <row r="487">
      <c r="C487" s="139"/>
    </row>
    <row r="488">
      <c r="C488" s="139"/>
    </row>
    <row r="489">
      <c r="C489" s="139"/>
    </row>
    <row r="490">
      <c r="C490" s="139"/>
    </row>
    <row r="491">
      <c r="C491" s="139"/>
    </row>
    <row r="492">
      <c r="C492" s="139"/>
    </row>
    <row r="493">
      <c r="C493" s="139"/>
    </row>
    <row r="494">
      <c r="C494" s="139"/>
    </row>
    <row r="495">
      <c r="C495" s="139"/>
    </row>
    <row r="496">
      <c r="C496" s="139"/>
    </row>
    <row r="497">
      <c r="C497" s="139"/>
    </row>
    <row r="498">
      <c r="C498" s="139"/>
    </row>
    <row r="499">
      <c r="C499" s="139"/>
    </row>
    <row r="500">
      <c r="C500" s="139"/>
    </row>
    <row r="501">
      <c r="C501" s="139"/>
    </row>
    <row r="502">
      <c r="C502" s="139"/>
    </row>
    <row r="503">
      <c r="C503" s="139"/>
    </row>
    <row r="504">
      <c r="C504" s="139"/>
    </row>
    <row r="505">
      <c r="C505" s="139"/>
    </row>
    <row r="506">
      <c r="C506" s="139"/>
    </row>
    <row r="507">
      <c r="C507" s="139"/>
    </row>
    <row r="508">
      <c r="C508" s="139"/>
    </row>
    <row r="509">
      <c r="C509" s="139"/>
    </row>
    <row r="510">
      <c r="C510" s="139"/>
    </row>
    <row r="511">
      <c r="C511" s="139"/>
    </row>
    <row r="512">
      <c r="C512" s="139"/>
    </row>
    <row r="513">
      <c r="C513" s="139"/>
    </row>
    <row r="514">
      <c r="C514" s="139"/>
    </row>
    <row r="515">
      <c r="C515" s="139"/>
    </row>
    <row r="516">
      <c r="C516" s="139"/>
    </row>
    <row r="517">
      <c r="C517" s="139"/>
    </row>
    <row r="518">
      <c r="C518" s="139"/>
    </row>
    <row r="519">
      <c r="C519" s="139"/>
    </row>
    <row r="520">
      <c r="C520" s="139"/>
    </row>
    <row r="521">
      <c r="C521" s="139"/>
    </row>
    <row r="522">
      <c r="C522" s="139"/>
    </row>
    <row r="523">
      <c r="C523" s="139"/>
    </row>
    <row r="524">
      <c r="C524" s="139"/>
    </row>
    <row r="525">
      <c r="C525" s="139"/>
    </row>
    <row r="526">
      <c r="C526" s="139"/>
    </row>
    <row r="527">
      <c r="C527" s="139"/>
    </row>
    <row r="528">
      <c r="C528" s="139"/>
    </row>
    <row r="529">
      <c r="C529" s="139"/>
    </row>
    <row r="530">
      <c r="C530" s="139"/>
    </row>
    <row r="531">
      <c r="C531" s="139"/>
    </row>
    <row r="532">
      <c r="C532" s="139"/>
    </row>
    <row r="533">
      <c r="C533" s="139"/>
    </row>
    <row r="534">
      <c r="C534" s="139"/>
    </row>
    <row r="535">
      <c r="C535" s="139"/>
    </row>
    <row r="536">
      <c r="C536" s="139"/>
    </row>
    <row r="537">
      <c r="C537" s="139"/>
    </row>
    <row r="538">
      <c r="C538" s="139"/>
    </row>
    <row r="539">
      <c r="C539" s="139"/>
    </row>
    <row r="540">
      <c r="C540" s="139"/>
    </row>
    <row r="541">
      <c r="C541" s="139"/>
    </row>
    <row r="542">
      <c r="C542" s="139"/>
    </row>
    <row r="543">
      <c r="C543" s="139"/>
    </row>
    <row r="544">
      <c r="C544" s="139"/>
    </row>
    <row r="545">
      <c r="C545" s="139"/>
    </row>
    <row r="546">
      <c r="C546" s="139"/>
    </row>
    <row r="547">
      <c r="C547" s="139"/>
    </row>
    <row r="548">
      <c r="C548" s="139"/>
    </row>
    <row r="549">
      <c r="C549" s="139"/>
    </row>
    <row r="550">
      <c r="C550" s="139"/>
    </row>
    <row r="551">
      <c r="C551" s="139"/>
    </row>
    <row r="552">
      <c r="C552" s="139"/>
    </row>
    <row r="553">
      <c r="C553" s="139"/>
    </row>
    <row r="554">
      <c r="C554" s="139"/>
    </row>
    <row r="555">
      <c r="C555" s="139"/>
    </row>
    <row r="556">
      <c r="C556" s="139"/>
    </row>
    <row r="557">
      <c r="C557" s="139"/>
    </row>
    <row r="558">
      <c r="C558" s="139"/>
    </row>
    <row r="559">
      <c r="C559" s="139"/>
    </row>
    <row r="560">
      <c r="C560" s="139"/>
    </row>
    <row r="561">
      <c r="C561" s="139"/>
    </row>
    <row r="562">
      <c r="C562" s="139"/>
    </row>
    <row r="563">
      <c r="C563" s="139"/>
    </row>
    <row r="564">
      <c r="C564" s="139"/>
    </row>
    <row r="565">
      <c r="C565" s="139"/>
    </row>
    <row r="566">
      <c r="C566" s="139"/>
    </row>
    <row r="567">
      <c r="C567" s="139"/>
    </row>
    <row r="568">
      <c r="C568" s="139"/>
    </row>
    <row r="569">
      <c r="C569" s="139"/>
    </row>
    <row r="570">
      <c r="C570" s="139"/>
    </row>
    <row r="571">
      <c r="C571" s="139"/>
    </row>
    <row r="572">
      <c r="C572" s="139"/>
    </row>
    <row r="573">
      <c r="C573" s="139"/>
    </row>
    <row r="574">
      <c r="C574" s="139"/>
    </row>
    <row r="575">
      <c r="C575" s="139"/>
    </row>
    <row r="576">
      <c r="C576" s="139"/>
    </row>
    <row r="577">
      <c r="C577" s="139"/>
    </row>
    <row r="578">
      <c r="C578" s="139"/>
    </row>
    <row r="579">
      <c r="C579" s="139"/>
    </row>
    <row r="580">
      <c r="C580" s="139"/>
    </row>
    <row r="581">
      <c r="C581" s="139"/>
    </row>
    <row r="582">
      <c r="C582" s="139"/>
    </row>
    <row r="583">
      <c r="C583" s="139"/>
    </row>
    <row r="584">
      <c r="C584" s="139"/>
    </row>
    <row r="585">
      <c r="C585" s="139"/>
    </row>
    <row r="586">
      <c r="C586" s="139"/>
    </row>
    <row r="587">
      <c r="C587" s="139"/>
    </row>
    <row r="588">
      <c r="C588" s="139"/>
    </row>
    <row r="589">
      <c r="C589" s="139"/>
    </row>
    <row r="590">
      <c r="C590" s="139"/>
    </row>
    <row r="591">
      <c r="C591" s="139"/>
    </row>
    <row r="592">
      <c r="C592" s="139"/>
    </row>
    <row r="593">
      <c r="C593" s="139"/>
    </row>
    <row r="594">
      <c r="C594" s="139"/>
    </row>
    <row r="595">
      <c r="C595" s="139"/>
    </row>
    <row r="596">
      <c r="C596" s="139"/>
    </row>
    <row r="597">
      <c r="C597" s="139"/>
    </row>
    <row r="598">
      <c r="C598" s="139"/>
    </row>
    <row r="599">
      <c r="C599" s="139"/>
    </row>
    <row r="600">
      <c r="C600" s="139"/>
    </row>
    <row r="601">
      <c r="C601" s="139"/>
    </row>
    <row r="602">
      <c r="C602" s="139"/>
    </row>
    <row r="603">
      <c r="C603" s="139"/>
    </row>
    <row r="604">
      <c r="C604" s="139"/>
    </row>
    <row r="605">
      <c r="C605" s="139"/>
    </row>
    <row r="606">
      <c r="C606" s="139"/>
    </row>
    <row r="607">
      <c r="C607" s="139"/>
    </row>
    <row r="608">
      <c r="C608" s="139"/>
    </row>
    <row r="609">
      <c r="C609" s="139"/>
    </row>
    <row r="610">
      <c r="C610" s="139"/>
    </row>
    <row r="611">
      <c r="C611" s="139"/>
    </row>
    <row r="612">
      <c r="C612" s="139"/>
    </row>
    <row r="613">
      <c r="C613" s="139"/>
    </row>
    <row r="614">
      <c r="C614" s="139"/>
    </row>
    <row r="615">
      <c r="C615" s="139"/>
    </row>
    <row r="616">
      <c r="C616" s="139"/>
    </row>
    <row r="617">
      <c r="C617" s="139"/>
    </row>
    <row r="618">
      <c r="C618" s="139"/>
    </row>
    <row r="619">
      <c r="C619" s="139"/>
    </row>
    <row r="620">
      <c r="C620" s="139"/>
    </row>
    <row r="621">
      <c r="C621" s="139"/>
    </row>
    <row r="622">
      <c r="C622" s="139"/>
    </row>
    <row r="623">
      <c r="C623" s="139"/>
    </row>
    <row r="624">
      <c r="C624" s="139"/>
    </row>
    <row r="625">
      <c r="C625" s="139"/>
    </row>
    <row r="626">
      <c r="C626" s="139"/>
    </row>
    <row r="627">
      <c r="C627" s="139"/>
    </row>
    <row r="628">
      <c r="C628" s="139"/>
    </row>
    <row r="629">
      <c r="C629" s="139"/>
    </row>
    <row r="630">
      <c r="C630" s="139"/>
    </row>
    <row r="631">
      <c r="C631" s="139"/>
    </row>
    <row r="632">
      <c r="C632" s="139"/>
    </row>
    <row r="633">
      <c r="C633" s="139"/>
    </row>
    <row r="634">
      <c r="C634" s="139"/>
    </row>
    <row r="635">
      <c r="C635" s="139"/>
    </row>
    <row r="636">
      <c r="C636" s="139"/>
    </row>
    <row r="637">
      <c r="C637" s="139"/>
    </row>
    <row r="638">
      <c r="C638" s="139"/>
    </row>
    <row r="639">
      <c r="C639" s="139"/>
    </row>
    <row r="640">
      <c r="C640" s="139"/>
    </row>
    <row r="641">
      <c r="C641" s="139"/>
    </row>
    <row r="642">
      <c r="C642" s="139"/>
    </row>
    <row r="643">
      <c r="C643" s="139"/>
    </row>
    <row r="644">
      <c r="C644" s="139"/>
    </row>
    <row r="645">
      <c r="C645" s="139"/>
    </row>
    <row r="646">
      <c r="C646" s="139"/>
    </row>
    <row r="647">
      <c r="C647" s="139"/>
    </row>
    <row r="648">
      <c r="C648" s="139"/>
    </row>
    <row r="649">
      <c r="C649" s="139"/>
    </row>
    <row r="650">
      <c r="C650" s="139"/>
    </row>
    <row r="651">
      <c r="C651" s="139"/>
    </row>
    <row r="652">
      <c r="C652" s="139"/>
    </row>
    <row r="653">
      <c r="C653" s="139"/>
    </row>
    <row r="654">
      <c r="C654" s="139"/>
    </row>
    <row r="655">
      <c r="C655" s="139"/>
    </row>
    <row r="656">
      <c r="C656" s="139"/>
    </row>
    <row r="657">
      <c r="C657" s="139"/>
    </row>
    <row r="658">
      <c r="C658" s="139"/>
    </row>
    <row r="659">
      <c r="C659" s="139"/>
    </row>
    <row r="660">
      <c r="C660" s="139"/>
    </row>
    <row r="661">
      <c r="C661" s="139"/>
    </row>
    <row r="662">
      <c r="C662" s="139"/>
    </row>
    <row r="663">
      <c r="C663" s="139"/>
    </row>
    <row r="664">
      <c r="C664" s="139"/>
    </row>
    <row r="665">
      <c r="C665" s="139"/>
    </row>
    <row r="666">
      <c r="C666" s="139"/>
    </row>
    <row r="667">
      <c r="C667" s="139"/>
    </row>
    <row r="668">
      <c r="C668" s="139"/>
    </row>
    <row r="669">
      <c r="C669" s="139"/>
    </row>
    <row r="670">
      <c r="C670" s="139"/>
    </row>
    <row r="671">
      <c r="C671" s="139"/>
    </row>
    <row r="672">
      <c r="C672" s="139"/>
    </row>
    <row r="673">
      <c r="C673" s="139"/>
    </row>
    <row r="674">
      <c r="C674" s="139"/>
    </row>
    <row r="675">
      <c r="C675" s="139"/>
    </row>
    <row r="676">
      <c r="C676" s="139"/>
    </row>
    <row r="677">
      <c r="C677" s="139"/>
    </row>
    <row r="678">
      <c r="C678" s="139"/>
    </row>
    <row r="679">
      <c r="C679" s="139"/>
    </row>
    <row r="680">
      <c r="C680" s="139"/>
    </row>
    <row r="681">
      <c r="C681" s="139"/>
    </row>
    <row r="682">
      <c r="C682" s="139"/>
    </row>
    <row r="683">
      <c r="C683" s="139"/>
    </row>
    <row r="684">
      <c r="C684" s="139"/>
    </row>
    <row r="685">
      <c r="C685" s="139"/>
    </row>
    <row r="686">
      <c r="C686" s="139"/>
    </row>
    <row r="687">
      <c r="C687" s="139"/>
    </row>
    <row r="688">
      <c r="C688" s="139"/>
    </row>
    <row r="689">
      <c r="C689" s="139"/>
    </row>
    <row r="690">
      <c r="C690" s="139"/>
    </row>
    <row r="691">
      <c r="C691" s="139"/>
    </row>
    <row r="692">
      <c r="C692" s="139"/>
    </row>
    <row r="693">
      <c r="C693" s="139"/>
    </row>
    <row r="694">
      <c r="C694" s="139"/>
    </row>
    <row r="695">
      <c r="C695" s="139"/>
    </row>
    <row r="696">
      <c r="C696" s="139"/>
    </row>
    <row r="697">
      <c r="C697" s="139"/>
    </row>
    <row r="698">
      <c r="C698" s="139"/>
    </row>
    <row r="699">
      <c r="C699" s="139"/>
    </row>
    <row r="700">
      <c r="C700" s="139"/>
    </row>
    <row r="701">
      <c r="C701" s="139"/>
    </row>
    <row r="702">
      <c r="C702" s="139"/>
    </row>
    <row r="703">
      <c r="C703" s="139"/>
    </row>
    <row r="704">
      <c r="C704" s="139"/>
    </row>
    <row r="705">
      <c r="C705" s="139"/>
    </row>
    <row r="706">
      <c r="C706" s="139"/>
    </row>
    <row r="707">
      <c r="C707" s="139"/>
    </row>
    <row r="708">
      <c r="C708" s="139"/>
    </row>
    <row r="709">
      <c r="C709" s="139"/>
    </row>
    <row r="710">
      <c r="C710" s="139"/>
    </row>
    <row r="711">
      <c r="C711" s="139"/>
    </row>
    <row r="712">
      <c r="C712" s="139"/>
    </row>
    <row r="713">
      <c r="C713" s="139"/>
    </row>
    <row r="714">
      <c r="C714" s="139"/>
    </row>
    <row r="715">
      <c r="C715" s="139"/>
    </row>
    <row r="716">
      <c r="C716" s="139"/>
    </row>
    <row r="717">
      <c r="C717" s="139"/>
    </row>
    <row r="718">
      <c r="C718" s="139"/>
    </row>
    <row r="719">
      <c r="C719" s="139"/>
    </row>
    <row r="720">
      <c r="C720" s="139"/>
    </row>
    <row r="721">
      <c r="C721" s="139"/>
    </row>
    <row r="722">
      <c r="C722" s="139"/>
    </row>
    <row r="723">
      <c r="C723" s="139"/>
    </row>
    <row r="724">
      <c r="C724" s="139"/>
    </row>
    <row r="725">
      <c r="C725" s="139"/>
    </row>
    <row r="726">
      <c r="C726" s="139"/>
    </row>
    <row r="727">
      <c r="C727" s="139"/>
    </row>
    <row r="728">
      <c r="C728" s="139"/>
    </row>
    <row r="729">
      <c r="C729" s="139"/>
    </row>
    <row r="730">
      <c r="C730" s="139"/>
    </row>
    <row r="731">
      <c r="C731" s="139"/>
    </row>
    <row r="732">
      <c r="C732" s="139"/>
    </row>
    <row r="733">
      <c r="C733" s="139"/>
    </row>
    <row r="734">
      <c r="C734" s="139"/>
    </row>
    <row r="735">
      <c r="C735" s="139"/>
    </row>
    <row r="736">
      <c r="C736" s="139"/>
    </row>
    <row r="737">
      <c r="C737" s="139"/>
    </row>
    <row r="738">
      <c r="C738" s="139"/>
    </row>
    <row r="739">
      <c r="C739" s="139"/>
    </row>
    <row r="740">
      <c r="C740" s="139"/>
    </row>
    <row r="741">
      <c r="C741" s="139"/>
    </row>
    <row r="742">
      <c r="C742" s="139"/>
    </row>
    <row r="743">
      <c r="C743" s="139"/>
    </row>
    <row r="744">
      <c r="C744" s="139"/>
    </row>
    <row r="745">
      <c r="C745" s="139"/>
    </row>
    <row r="746">
      <c r="C746" s="139"/>
    </row>
    <row r="747">
      <c r="C747" s="139"/>
    </row>
    <row r="748">
      <c r="C748" s="139"/>
    </row>
    <row r="749">
      <c r="C749" s="139"/>
    </row>
    <row r="750">
      <c r="C750" s="139"/>
    </row>
    <row r="751">
      <c r="C751" s="139"/>
    </row>
    <row r="752">
      <c r="C752" s="139"/>
    </row>
    <row r="753">
      <c r="C753" s="139"/>
    </row>
    <row r="754">
      <c r="C754" s="139"/>
    </row>
    <row r="755">
      <c r="C755" s="139"/>
    </row>
    <row r="756">
      <c r="C756" s="139"/>
    </row>
    <row r="757">
      <c r="C757" s="139"/>
    </row>
    <row r="758">
      <c r="C758" s="139"/>
    </row>
    <row r="759">
      <c r="C759" s="139"/>
    </row>
    <row r="760">
      <c r="C760" s="139"/>
    </row>
    <row r="761">
      <c r="C761" s="139"/>
    </row>
    <row r="762">
      <c r="C762" s="139"/>
    </row>
    <row r="763">
      <c r="C763" s="139"/>
    </row>
    <row r="764">
      <c r="C764" s="139"/>
    </row>
    <row r="765">
      <c r="C765" s="139"/>
    </row>
    <row r="766">
      <c r="C766" s="139"/>
    </row>
    <row r="767">
      <c r="C767" s="139"/>
    </row>
    <row r="768">
      <c r="C768" s="139"/>
    </row>
    <row r="769">
      <c r="C769" s="139"/>
    </row>
    <row r="770">
      <c r="C770" s="139"/>
    </row>
    <row r="771">
      <c r="C771" s="139"/>
    </row>
    <row r="772">
      <c r="C772" s="139"/>
    </row>
    <row r="773">
      <c r="C773" s="139"/>
    </row>
    <row r="774">
      <c r="C774" s="139"/>
    </row>
    <row r="775">
      <c r="C775" s="139"/>
    </row>
    <row r="776">
      <c r="C776" s="139"/>
    </row>
    <row r="777">
      <c r="C777" s="139"/>
    </row>
    <row r="778">
      <c r="C778" s="139"/>
    </row>
    <row r="779">
      <c r="C779" s="139"/>
    </row>
    <row r="780">
      <c r="C780" s="139"/>
    </row>
    <row r="781">
      <c r="C781" s="139"/>
    </row>
    <row r="782">
      <c r="C782" s="139"/>
    </row>
    <row r="783">
      <c r="C783" s="139"/>
    </row>
    <row r="784">
      <c r="C784" s="139"/>
    </row>
    <row r="785">
      <c r="C785" s="139"/>
    </row>
    <row r="786">
      <c r="C786" s="139"/>
    </row>
    <row r="787">
      <c r="C787" s="139"/>
    </row>
    <row r="788">
      <c r="C788" s="139"/>
    </row>
    <row r="789">
      <c r="C789" s="139"/>
    </row>
    <row r="790">
      <c r="C790" s="139"/>
    </row>
    <row r="791">
      <c r="C791" s="139"/>
    </row>
    <row r="792">
      <c r="C792" s="139"/>
    </row>
    <row r="793">
      <c r="C793" s="139"/>
    </row>
    <row r="794">
      <c r="C794" s="139"/>
    </row>
    <row r="795">
      <c r="C795" s="139"/>
    </row>
    <row r="796">
      <c r="C796" s="139"/>
    </row>
    <row r="797">
      <c r="C797" s="139"/>
    </row>
    <row r="798">
      <c r="C798" s="139"/>
    </row>
    <row r="799">
      <c r="C799" s="139"/>
    </row>
    <row r="800">
      <c r="C800" s="139"/>
    </row>
    <row r="801">
      <c r="C801" s="139"/>
    </row>
    <row r="802">
      <c r="C802" s="139"/>
    </row>
    <row r="803">
      <c r="C803" s="139"/>
    </row>
    <row r="804">
      <c r="C804" s="139"/>
    </row>
    <row r="805">
      <c r="C805" s="139"/>
    </row>
    <row r="806">
      <c r="C806" s="139"/>
    </row>
    <row r="807">
      <c r="C807" s="139"/>
    </row>
    <row r="808">
      <c r="C808" s="139"/>
    </row>
    <row r="809">
      <c r="C809" s="139"/>
    </row>
    <row r="810">
      <c r="C810" s="139"/>
    </row>
    <row r="811">
      <c r="C811" s="139"/>
    </row>
    <row r="812">
      <c r="C812" s="139"/>
    </row>
    <row r="813">
      <c r="C813" s="139"/>
    </row>
    <row r="814">
      <c r="C814" s="139"/>
    </row>
    <row r="815">
      <c r="C815" s="139"/>
    </row>
    <row r="816">
      <c r="C816" s="139"/>
    </row>
    <row r="817">
      <c r="C817" s="139"/>
    </row>
    <row r="818">
      <c r="C818" s="139"/>
    </row>
    <row r="819">
      <c r="C819" s="139"/>
    </row>
    <row r="820">
      <c r="C820" s="139"/>
    </row>
    <row r="821">
      <c r="C821" s="139"/>
    </row>
    <row r="822">
      <c r="C822" s="139"/>
    </row>
    <row r="823">
      <c r="C823" s="139"/>
    </row>
    <row r="824">
      <c r="C824" s="139"/>
    </row>
    <row r="825">
      <c r="C825" s="139"/>
    </row>
    <row r="826">
      <c r="C826" s="139"/>
    </row>
    <row r="827">
      <c r="C827" s="139"/>
    </row>
    <row r="828">
      <c r="C828" s="139"/>
    </row>
    <row r="829">
      <c r="C829" s="139"/>
    </row>
    <row r="830">
      <c r="C830" s="139"/>
    </row>
    <row r="831">
      <c r="C831" s="139"/>
    </row>
    <row r="832">
      <c r="C832" s="139"/>
    </row>
    <row r="833">
      <c r="C833" s="139"/>
    </row>
    <row r="834">
      <c r="C834" s="139"/>
    </row>
    <row r="835">
      <c r="C835" s="139"/>
    </row>
    <row r="836">
      <c r="C836" s="139"/>
    </row>
    <row r="837">
      <c r="C837" s="139"/>
    </row>
    <row r="838">
      <c r="C838" s="139"/>
    </row>
    <row r="839">
      <c r="C839" s="139"/>
    </row>
    <row r="840">
      <c r="C840" s="139"/>
    </row>
    <row r="841">
      <c r="C841" s="139"/>
    </row>
    <row r="842">
      <c r="C842" s="139"/>
    </row>
    <row r="843">
      <c r="C843" s="139"/>
    </row>
    <row r="844">
      <c r="C844" s="139"/>
    </row>
    <row r="845">
      <c r="C845" s="139"/>
    </row>
    <row r="846">
      <c r="C846" s="139"/>
    </row>
    <row r="847">
      <c r="C847" s="139"/>
    </row>
    <row r="848">
      <c r="C848" s="139"/>
    </row>
    <row r="849">
      <c r="C849" s="139"/>
    </row>
    <row r="850">
      <c r="C850" s="139"/>
    </row>
    <row r="851">
      <c r="C851" s="139"/>
    </row>
    <row r="852">
      <c r="C852" s="139"/>
    </row>
    <row r="853">
      <c r="C853" s="139"/>
    </row>
    <row r="854">
      <c r="C854" s="139"/>
    </row>
    <row r="855">
      <c r="C855" s="139"/>
    </row>
    <row r="856">
      <c r="C856" s="139"/>
    </row>
    <row r="857">
      <c r="C857" s="139"/>
    </row>
    <row r="858">
      <c r="C858" s="139"/>
    </row>
    <row r="859">
      <c r="C859" s="139"/>
    </row>
    <row r="860">
      <c r="C860" s="139"/>
    </row>
    <row r="861">
      <c r="C861" s="139"/>
    </row>
    <row r="862">
      <c r="C862" s="139"/>
    </row>
    <row r="863">
      <c r="C863" s="139"/>
    </row>
    <row r="864">
      <c r="C864" s="139"/>
    </row>
    <row r="865">
      <c r="C865" s="139"/>
    </row>
    <row r="866">
      <c r="C866" s="139"/>
    </row>
    <row r="867">
      <c r="C867" s="139"/>
    </row>
    <row r="868">
      <c r="C868" s="139"/>
    </row>
    <row r="869">
      <c r="C869" s="139"/>
    </row>
    <row r="870">
      <c r="C870" s="139"/>
    </row>
    <row r="871">
      <c r="C871" s="139"/>
    </row>
    <row r="872">
      <c r="C872" s="139"/>
    </row>
    <row r="873">
      <c r="C873" s="139"/>
    </row>
    <row r="874">
      <c r="C874" s="139"/>
    </row>
    <row r="875">
      <c r="C875" s="139"/>
    </row>
    <row r="876">
      <c r="C876" s="139"/>
    </row>
    <row r="877">
      <c r="C877" s="139"/>
    </row>
    <row r="878">
      <c r="C878" s="139"/>
    </row>
    <row r="879">
      <c r="C879" s="139"/>
    </row>
    <row r="880">
      <c r="C880" s="139"/>
    </row>
    <row r="881">
      <c r="C881" s="139"/>
    </row>
    <row r="882">
      <c r="C882" s="139"/>
    </row>
    <row r="883">
      <c r="C883" s="139"/>
    </row>
    <row r="884">
      <c r="C884" s="139"/>
    </row>
    <row r="885">
      <c r="C885" s="139"/>
    </row>
    <row r="886">
      <c r="C886" s="139"/>
    </row>
    <row r="887">
      <c r="C887" s="139"/>
    </row>
    <row r="888">
      <c r="C888" s="139"/>
    </row>
    <row r="889">
      <c r="C889" s="139"/>
    </row>
    <row r="890">
      <c r="C890" s="139"/>
    </row>
    <row r="891">
      <c r="C891" s="139"/>
    </row>
    <row r="892">
      <c r="C892" s="139"/>
    </row>
    <row r="893">
      <c r="C893" s="139"/>
    </row>
    <row r="894">
      <c r="C894" s="139"/>
    </row>
    <row r="895">
      <c r="C895" s="139"/>
    </row>
    <row r="896">
      <c r="C896" s="139"/>
    </row>
    <row r="897">
      <c r="C897" s="139"/>
    </row>
    <row r="898">
      <c r="C898" s="139"/>
    </row>
    <row r="899">
      <c r="C899" s="139"/>
    </row>
    <row r="900">
      <c r="C900" s="139"/>
    </row>
    <row r="901">
      <c r="C901" s="139"/>
    </row>
    <row r="902">
      <c r="C902" s="139"/>
    </row>
    <row r="903">
      <c r="C903" s="139"/>
    </row>
    <row r="904">
      <c r="C904" s="139"/>
    </row>
    <row r="905">
      <c r="C905" s="139"/>
    </row>
    <row r="906">
      <c r="C906" s="139"/>
    </row>
    <row r="907">
      <c r="C907" s="139"/>
    </row>
    <row r="908">
      <c r="C908" s="139"/>
    </row>
    <row r="909">
      <c r="C909" s="139"/>
    </row>
    <row r="910">
      <c r="C910" s="139"/>
    </row>
    <row r="911">
      <c r="C911" s="139"/>
    </row>
    <row r="912">
      <c r="C912" s="139"/>
    </row>
    <row r="913">
      <c r="C913" s="139"/>
    </row>
    <row r="914">
      <c r="C914" s="139"/>
    </row>
    <row r="915">
      <c r="C915" s="139"/>
    </row>
    <row r="916">
      <c r="C916" s="139"/>
    </row>
    <row r="917">
      <c r="C917" s="139"/>
    </row>
    <row r="918">
      <c r="C918" s="139"/>
    </row>
    <row r="919">
      <c r="C919" s="139"/>
    </row>
    <row r="920">
      <c r="C920" s="139"/>
    </row>
    <row r="921">
      <c r="C921" s="139"/>
    </row>
    <row r="922">
      <c r="C922" s="139"/>
    </row>
    <row r="923">
      <c r="C923" s="139"/>
    </row>
    <row r="924">
      <c r="C924" s="139"/>
    </row>
    <row r="925">
      <c r="C925" s="139"/>
    </row>
    <row r="926">
      <c r="C926" s="139"/>
    </row>
    <row r="927">
      <c r="C927" s="139"/>
    </row>
    <row r="928">
      <c r="C928" s="139"/>
    </row>
    <row r="929">
      <c r="C929" s="139"/>
    </row>
    <row r="930">
      <c r="C930" s="139"/>
    </row>
    <row r="931">
      <c r="C931" s="139"/>
    </row>
    <row r="932">
      <c r="C932" s="139"/>
    </row>
    <row r="933">
      <c r="C933" s="139"/>
    </row>
    <row r="934">
      <c r="C934" s="139"/>
    </row>
    <row r="935">
      <c r="C935" s="139"/>
    </row>
    <row r="936">
      <c r="C936" s="139"/>
    </row>
    <row r="937">
      <c r="C937" s="139"/>
    </row>
    <row r="938">
      <c r="C938" s="139"/>
    </row>
    <row r="939">
      <c r="C939" s="139"/>
    </row>
    <row r="940">
      <c r="C940" s="139"/>
    </row>
    <row r="941">
      <c r="C941" s="139"/>
    </row>
    <row r="942">
      <c r="C942" s="139"/>
    </row>
    <row r="943">
      <c r="C943" s="139"/>
    </row>
    <row r="944">
      <c r="C944" s="139"/>
    </row>
    <row r="945">
      <c r="C945" s="139"/>
    </row>
    <row r="946">
      <c r="C946" s="139"/>
    </row>
    <row r="947">
      <c r="C947" s="139"/>
    </row>
    <row r="948">
      <c r="C948" s="139"/>
    </row>
    <row r="949">
      <c r="C949" s="139"/>
    </row>
    <row r="950">
      <c r="C950" s="139"/>
    </row>
    <row r="951">
      <c r="C951" s="139"/>
    </row>
    <row r="952">
      <c r="C952" s="139"/>
    </row>
    <row r="953">
      <c r="C953" s="139"/>
    </row>
    <row r="954">
      <c r="C954" s="139"/>
    </row>
    <row r="955">
      <c r="C955" s="139"/>
    </row>
    <row r="956">
      <c r="C956" s="139"/>
    </row>
    <row r="957">
      <c r="C957" s="139"/>
    </row>
    <row r="958">
      <c r="C958" s="139"/>
    </row>
    <row r="959">
      <c r="C959" s="139"/>
    </row>
    <row r="960">
      <c r="C960" s="139"/>
    </row>
    <row r="961">
      <c r="C961" s="139"/>
    </row>
    <row r="962">
      <c r="C962" s="139"/>
    </row>
    <row r="963">
      <c r="C963" s="139"/>
    </row>
    <row r="964">
      <c r="C964" s="139"/>
    </row>
    <row r="965">
      <c r="C965" s="139"/>
    </row>
    <row r="966">
      <c r="C966" s="139"/>
    </row>
    <row r="967">
      <c r="C967" s="139"/>
    </row>
    <row r="968">
      <c r="C968" s="139"/>
    </row>
    <row r="969">
      <c r="C969" s="139"/>
    </row>
    <row r="970">
      <c r="C970" s="139"/>
    </row>
    <row r="971">
      <c r="C971" s="139"/>
    </row>
    <row r="972">
      <c r="C972" s="139"/>
    </row>
    <row r="973">
      <c r="C973" s="139"/>
    </row>
    <row r="974">
      <c r="C974" s="139"/>
    </row>
    <row r="975">
      <c r="C975" s="139"/>
    </row>
    <row r="976">
      <c r="C976" s="139"/>
    </row>
    <row r="977">
      <c r="C977" s="139"/>
    </row>
    <row r="978">
      <c r="C978" s="139"/>
    </row>
    <row r="979">
      <c r="C979" s="139"/>
    </row>
    <row r="980">
      <c r="C980" s="139"/>
    </row>
    <row r="981">
      <c r="C981" s="139"/>
    </row>
    <row r="982">
      <c r="C982" s="139"/>
    </row>
    <row r="983">
      <c r="C983" s="139"/>
    </row>
    <row r="984">
      <c r="C984" s="139"/>
    </row>
    <row r="985">
      <c r="C985" s="139"/>
    </row>
    <row r="986">
      <c r="C986" s="139"/>
    </row>
    <row r="987">
      <c r="C987" s="139"/>
    </row>
    <row r="988">
      <c r="C988" s="139"/>
    </row>
    <row r="989">
      <c r="C989" s="139"/>
    </row>
    <row r="990">
      <c r="C990" s="139"/>
    </row>
    <row r="991">
      <c r="C991" s="139"/>
    </row>
    <row r="992">
      <c r="C992" s="139"/>
    </row>
    <row r="993">
      <c r="C993" s="139"/>
    </row>
    <row r="994">
      <c r="C994" s="139"/>
    </row>
    <row r="995">
      <c r="C995" s="139"/>
    </row>
    <row r="996">
      <c r="C996" s="139"/>
    </row>
    <row r="997">
      <c r="C997" s="139"/>
    </row>
    <row r="998">
      <c r="C998" s="139"/>
    </row>
    <row r="999">
      <c r="C999" s="139"/>
    </row>
    <row r="1000">
      <c r="C1000" s="139"/>
    </row>
    <row r="1001">
      <c r="C1001" s="139"/>
    </row>
    <row r="1002">
      <c r="C1002" s="139"/>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C4"/>
    <hyperlink r:id="rId2" ref="C6"/>
    <hyperlink r:id="rId3" ref="C7"/>
    <hyperlink r:id="rId4" ref="C9"/>
    <hyperlink r:id="rId5" ref="C10"/>
    <hyperlink r:id="rId6" ref="C12"/>
    <hyperlink r:id="rId7" ref="C13"/>
    <hyperlink r:id="rId8" ref="C14"/>
    <hyperlink r:id="rId9" ref="C15"/>
    <hyperlink r:id="rId10" ref="C16"/>
    <hyperlink r:id="rId11" ref="C19"/>
    <hyperlink r:id="rId12" ref="C20"/>
    <hyperlink r:id="rId13" ref="C21"/>
    <hyperlink r:id="rId14" ref="C22"/>
    <hyperlink r:id="rId15" ref="C23"/>
    <hyperlink r:id="rId16" ref="C24"/>
    <hyperlink r:id="rId17" ref="C25"/>
    <hyperlink r:id="rId18" ref="C27"/>
    <hyperlink r:id="rId19" ref="C30"/>
    <hyperlink r:id="rId20" ref="C33"/>
    <hyperlink r:id="rId21" ref="C34"/>
    <hyperlink r:id="rId22" ref="C35"/>
    <hyperlink r:id="rId23" ref="C36"/>
    <hyperlink r:id="rId24" ref="C37"/>
    <hyperlink r:id="rId25" ref="C38"/>
    <hyperlink r:id="rId26" ref="C39"/>
    <hyperlink r:id="rId27" ref="C40"/>
    <hyperlink r:id="rId28" ref="C41"/>
    <hyperlink r:id="rId29" ref="C43"/>
    <hyperlink r:id="rId30" ref="C44"/>
    <hyperlink r:id="rId31" ref="C45"/>
    <hyperlink r:id="rId32" ref="C46"/>
    <hyperlink r:id="rId33" ref="C47"/>
    <hyperlink r:id="rId34" ref="C49"/>
    <hyperlink r:id="rId35" ref="C50"/>
    <hyperlink r:id="rId36" ref="C53"/>
    <hyperlink r:id="rId37" ref="C54"/>
    <hyperlink r:id="rId38" ref="C55"/>
    <hyperlink r:id="rId39" ref="C56"/>
    <hyperlink r:id="rId40" ref="C57"/>
    <hyperlink r:id="rId41" ref="C58"/>
    <hyperlink r:id="rId42" ref="C59"/>
    <hyperlink r:id="rId43" ref="C60"/>
    <hyperlink r:id="rId44" ref="C62"/>
    <hyperlink r:id="rId45" ref="C63"/>
    <hyperlink r:id="rId46" ref="C64"/>
    <hyperlink r:id="rId47" ref="C65"/>
    <hyperlink r:id="rId48" ref="C66"/>
    <hyperlink r:id="rId49" ref="C67"/>
    <hyperlink r:id="rId50" ref="C68"/>
    <hyperlink r:id="rId51" ref="C69"/>
    <hyperlink r:id="rId52" ref="C70"/>
    <hyperlink r:id="rId53" ref="C71"/>
    <hyperlink r:id="rId54" ref="C73"/>
    <hyperlink r:id="rId55" ref="C74"/>
    <hyperlink r:id="rId56" ref="C76"/>
    <hyperlink r:id="rId57" ref="C77"/>
    <hyperlink r:id="rId58" ref="C78"/>
    <hyperlink r:id="rId59" ref="C79"/>
    <hyperlink r:id="rId60" ref="C80"/>
    <hyperlink r:id="rId61" ref="C83"/>
    <hyperlink r:id="rId62" ref="C84"/>
    <hyperlink r:id="rId63" ref="C85"/>
    <hyperlink r:id="rId64" ref="C86"/>
    <hyperlink r:id="rId65" ref="C87"/>
    <hyperlink r:id="rId66" ref="C89"/>
    <hyperlink r:id="rId67" ref="C90"/>
    <hyperlink r:id="rId68" ref="C92"/>
    <hyperlink r:id="rId69" ref="C93"/>
    <hyperlink r:id="rId70" ref="C94"/>
    <hyperlink r:id="rId71" ref="C95"/>
    <hyperlink r:id="rId72" ref="C97"/>
    <hyperlink r:id="rId73" ref="C98"/>
    <hyperlink r:id="rId74" ref="C99"/>
    <hyperlink r:id="rId75" ref="C102"/>
    <hyperlink r:id="rId76" ref="C103"/>
    <hyperlink r:id="rId77" ref="C104"/>
    <hyperlink r:id="rId78" ref="C105"/>
    <hyperlink r:id="rId79" ref="C106"/>
    <hyperlink r:id="rId80" ref="C107"/>
    <hyperlink r:id="rId81" ref="C108"/>
    <hyperlink r:id="rId82" ref="C109"/>
    <hyperlink r:id="rId83" ref="C110"/>
    <hyperlink r:id="rId84" ref="C111"/>
    <hyperlink r:id="rId85" ref="C112"/>
    <hyperlink r:id="rId86" ref="C113"/>
    <hyperlink r:id="rId87" ref="C115"/>
    <hyperlink r:id="rId88" ref="C116"/>
    <hyperlink r:id="rId89" ref="C117"/>
    <hyperlink r:id="rId90" ref="C118"/>
    <hyperlink r:id="rId91" ref="C119"/>
    <hyperlink r:id="rId92" ref="C120"/>
    <hyperlink r:id="rId93" ref="C121"/>
    <hyperlink r:id="rId94" ref="C122"/>
    <hyperlink r:id="rId95" ref="C123"/>
    <hyperlink r:id="rId96" ref="C124"/>
    <hyperlink r:id="rId97" ref="C125"/>
    <hyperlink r:id="rId98" ref="C126"/>
    <hyperlink r:id="rId99" ref="C128"/>
    <hyperlink r:id="rId100" ref="C130"/>
    <hyperlink r:id="rId101" ref="C131"/>
    <hyperlink r:id="rId102" ref="C132"/>
    <hyperlink r:id="rId103" ref="C133"/>
    <hyperlink r:id="rId104" ref="C134"/>
    <hyperlink r:id="rId105" ref="C135"/>
    <hyperlink r:id="rId106" ref="C136"/>
    <hyperlink r:id="rId107" ref="C137"/>
    <hyperlink r:id="rId108" ref="C138"/>
    <hyperlink r:id="rId109" ref="C139"/>
    <hyperlink r:id="rId110" ref="C140"/>
    <hyperlink r:id="rId111" ref="C141"/>
    <hyperlink r:id="rId112" ref="C142"/>
    <hyperlink r:id="rId113" ref="C143"/>
    <hyperlink r:id="rId114" ref="C144"/>
    <hyperlink r:id="rId115" ref="C145"/>
    <hyperlink r:id="rId116" ref="C146"/>
    <hyperlink r:id="rId117" ref="C148"/>
    <hyperlink r:id="rId118" ref="C150"/>
    <hyperlink r:id="rId119" ref="C151"/>
    <hyperlink r:id="rId120" ref="C152"/>
    <hyperlink r:id="rId121" ref="C153"/>
    <hyperlink r:id="rId122" ref="C155"/>
    <hyperlink r:id="rId123" ref="C156"/>
    <hyperlink r:id="rId124" ref="C157"/>
    <hyperlink r:id="rId125" ref="C158"/>
    <hyperlink r:id="rId126" ref="C159"/>
    <hyperlink r:id="rId127" ref="C160"/>
    <hyperlink r:id="rId128" ref="C161"/>
    <hyperlink r:id="rId129" ref="C163"/>
    <hyperlink r:id="rId130" ref="C164"/>
    <hyperlink r:id="rId131" ref="C165"/>
    <hyperlink r:id="rId132" ref="C166"/>
    <hyperlink r:id="rId133" ref="C167"/>
    <hyperlink r:id="rId134" ref="C168"/>
    <hyperlink r:id="rId135" ref="C169"/>
  </hyperlinks>
  <drawing r:id="rId136"/>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FC5E8"/>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2" max="2" width="9.0"/>
    <col customWidth="1" min="3" max="3" width="14.43"/>
    <col customWidth="1" min="5" max="5" width="7.71"/>
  </cols>
  <sheetData>
    <row r="1" ht="15.0" customHeight="1" outlineLevel="1">
      <c r="A1" s="1"/>
      <c r="B1" s="2" t="s">
        <v>1</v>
      </c>
      <c r="C1" s="2" t="s">
        <v>2</v>
      </c>
      <c r="D1" s="2"/>
      <c r="E1" s="3"/>
      <c r="F1" s="365" t="s">
        <v>1577</v>
      </c>
      <c r="G1" s="30" t="s">
        <v>4</v>
      </c>
      <c r="H1" s="30" t="s">
        <v>5</v>
      </c>
      <c r="I1" s="30" t="s">
        <v>6</v>
      </c>
      <c r="J1" s="30" t="s">
        <v>7</v>
      </c>
      <c r="K1" s="1" t="s">
        <v>8</v>
      </c>
      <c r="L1" s="7" t="s">
        <v>9</v>
      </c>
      <c r="N1" s="7"/>
      <c r="O1" s="10" t="s">
        <v>14</v>
      </c>
      <c r="Q1" s="167"/>
      <c r="R1" s="167"/>
      <c r="S1" s="30"/>
      <c r="T1" s="20"/>
      <c r="U1" s="20"/>
      <c r="V1" s="20"/>
      <c r="W1" s="20"/>
      <c r="X1" s="20"/>
      <c r="Y1" s="20"/>
      <c r="Z1" s="20"/>
      <c r="AA1" s="20"/>
      <c r="AB1" s="20"/>
      <c r="AC1" s="20"/>
      <c r="AD1" s="20"/>
      <c r="AE1" s="20"/>
    </row>
    <row r="2" ht="16.5" customHeight="1" outlineLevel="1">
      <c r="A2" s="21" t="s">
        <v>492</v>
      </c>
      <c r="B2" s="21" t="s">
        <v>785</v>
      </c>
      <c r="C2" s="325"/>
      <c r="D2" s="175"/>
      <c r="E2" s="3"/>
      <c r="F2" s="367">
        <v>43250.0</v>
      </c>
      <c r="G2" s="168">
        <v>43511.0</v>
      </c>
      <c r="H2" s="21">
        <f>G2-TODAY()</f>
        <v>-224</v>
      </c>
      <c r="I2" s="168">
        <v>43473.0</v>
      </c>
      <c r="J2" s="168">
        <v>43576.0</v>
      </c>
      <c r="K2" s="23"/>
      <c r="L2" s="26">
        <f>CountIFS($E:$E,"=Dem",$A:$A,"=House")</f>
        <v>39</v>
      </c>
      <c r="M2" s="28">
        <f>CountIFS($E:$E,"=Rep",$A:$A,"=House")</f>
        <v>61</v>
      </c>
      <c r="N2" s="7"/>
      <c r="O2" s="26">
        <f>CountIFS($E:$E,"=Dem",$A:$A,"=Senate")</f>
        <v>10</v>
      </c>
      <c r="P2" s="28">
        <f>CountIFS($E:$E,"=Rep",$A:$A,"=Senate")</f>
        <v>28</v>
      </c>
      <c r="Q2" s="167"/>
      <c r="R2" s="167"/>
      <c r="S2" s="30"/>
      <c r="T2" s="20"/>
      <c r="U2" s="20"/>
      <c r="V2" s="20"/>
      <c r="W2" s="20"/>
      <c r="X2" s="20"/>
      <c r="Y2" s="20"/>
      <c r="Z2" s="20"/>
      <c r="AA2" s="20"/>
      <c r="AB2" s="20"/>
      <c r="AC2" s="20"/>
      <c r="AD2" s="20"/>
      <c r="AE2" s="20"/>
    </row>
    <row r="3">
      <c r="A3" s="30" t="s">
        <v>29</v>
      </c>
      <c r="B3" s="30" t="s">
        <v>30</v>
      </c>
      <c r="C3" s="2" t="s">
        <v>31</v>
      </c>
      <c r="D3" s="2" t="s">
        <v>32</v>
      </c>
      <c r="E3" s="3" t="s">
        <v>33</v>
      </c>
      <c r="F3" s="1" t="s">
        <v>10</v>
      </c>
      <c r="G3" s="1" t="s">
        <v>34</v>
      </c>
      <c r="H3" s="1" t="s">
        <v>34</v>
      </c>
      <c r="I3" s="1" t="s">
        <v>34</v>
      </c>
      <c r="J3" s="1" t="s">
        <v>34</v>
      </c>
      <c r="K3" s="1" t="s">
        <v>35</v>
      </c>
      <c r="L3" s="19" t="s">
        <v>36</v>
      </c>
      <c r="M3" s="19" t="s">
        <v>37</v>
      </c>
      <c r="N3" s="19" t="s">
        <v>5106</v>
      </c>
      <c r="O3" s="19" t="s">
        <v>38</v>
      </c>
      <c r="P3" s="17" t="s">
        <v>39</v>
      </c>
      <c r="Q3" s="11" t="s">
        <v>40</v>
      </c>
      <c r="R3" s="11" t="s">
        <v>41</v>
      </c>
      <c r="S3" s="17" t="s">
        <v>42</v>
      </c>
      <c r="T3" s="20"/>
      <c r="U3" s="20"/>
      <c r="V3" s="20"/>
      <c r="W3" s="20"/>
      <c r="X3" s="20"/>
      <c r="Y3" s="20"/>
      <c r="Z3" s="20"/>
      <c r="AA3" s="20"/>
      <c r="AB3" s="20"/>
      <c r="AC3" s="20"/>
      <c r="AD3" s="20"/>
      <c r="AE3" s="20"/>
    </row>
    <row r="4">
      <c r="A4" s="14" t="s">
        <v>44</v>
      </c>
      <c r="B4" s="31">
        <v>1.0</v>
      </c>
      <c r="C4" s="35" t="s">
        <v>1897</v>
      </c>
      <c r="D4" s="404" t="s">
        <v>1563</v>
      </c>
      <c r="E4" s="51" t="s">
        <v>53</v>
      </c>
      <c r="F4" s="406"/>
      <c r="G4" s="129" t="s">
        <v>5117</v>
      </c>
      <c r="H4" s="407"/>
      <c r="I4" s="408"/>
      <c r="J4" s="138"/>
      <c r="K4" s="112"/>
      <c r="L4" s="89"/>
      <c r="M4" s="89" t="str">
        <f t="shared" ref="M4:M103" si="1">concatenate(lower(C4),".",lower(D4),"@lrc.ky.gov")</f>
        <v>steven.rudy@lrc.ky.gov</v>
      </c>
      <c r="N4" s="409" t="str">
        <f t="shared" ref="N4:N12" si="2">concatenate("http://www.lrc.ky.gov/Messages/H00",B4,".aspx")</f>
        <v>http://www.lrc.ky.gov/Messages/H001.aspx</v>
      </c>
      <c r="O4" s="89"/>
      <c r="P4" s="89"/>
      <c r="Q4" s="89"/>
      <c r="R4" s="89"/>
      <c r="S4" s="89"/>
    </row>
    <row r="5">
      <c r="A5" s="14" t="s">
        <v>44</v>
      </c>
      <c r="B5" s="31">
        <v>2.0</v>
      </c>
      <c r="C5" s="74" t="s">
        <v>1112</v>
      </c>
      <c r="D5" s="404" t="s">
        <v>1439</v>
      </c>
      <c r="E5" s="51" t="s">
        <v>53</v>
      </c>
      <c r="F5" s="406"/>
      <c r="G5" s="129" t="s">
        <v>2226</v>
      </c>
      <c r="H5" s="138"/>
      <c r="I5" s="408"/>
      <c r="J5" s="138"/>
      <c r="K5" s="112"/>
      <c r="L5" s="89"/>
      <c r="M5" s="89" t="str">
        <f t="shared" si="1"/>
        <v>richard.heath@lrc.ky.gov</v>
      </c>
      <c r="N5" s="409" t="str">
        <f t="shared" si="2"/>
        <v>http://www.lrc.ky.gov/Messages/H002.aspx</v>
      </c>
      <c r="O5" s="89"/>
      <c r="P5" s="89"/>
      <c r="Q5" s="89"/>
      <c r="R5" s="89"/>
      <c r="S5" s="89"/>
    </row>
    <row r="6">
      <c r="A6" s="14" t="s">
        <v>44</v>
      </c>
      <c r="B6" s="31">
        <v>3.0</v>
      </c>
      <c r="C6" s="74" t="s">
        <v>412</v>
      </c>
      <c r="D6" s="404" t="s">
        <v>1629</v>
      </c>
      <c r="E6" s="51" t="s">
        <v>53</v>
      </c>
      <c r="F6" s="406"/>
      <c r="G6" s="138"/>
      <c r="H6" s="408"/>
      <c r="I6" s="408"/>
      <c r="J6" s="138"/>
      <c r="K6" s="112"/>
      <c r="L6" s="89"/>
      <c r="M6" s="89" t="str">
        <f t="shared" si="1"/>
        <v>randy.bridges@lrc.ky.gov</v>
      </c>
      <c r="N6" s="409" t="str">
        <f t="shared" si="2"/>
        <v>http://www.lrc.ky.gov/Messages/H003.aspx</v>
      </c>
      <c r="O6" s="89"/>
      <c r="P6" s="89"/>
      <c r="Q6" s="89"/>
      <c r="R6" s="89"/>
      <c r="S6" s="89"/>
    </row>
    <row r="7">
      <c r="A7" s="14" t="s">
        <v>44</v>
      </c>
      <c r="B7" s="31">
        <v>4.0</v>
      </c>
      <c r="C7" s="74" t="s">
        <v>66</v>
      </c>
      <c r="D7" s="404" t="s">
        <v>5127</v>
      </c>
      <c r="E7" s="51" t="s">
        <v>53</v>
      </c>
      <c r="F7" s="406"/>
      <c r="G7" s="138"/>
      <c r="H7" s="408"/>
      <c r="I7" s="408"/>
      <c r="J7" s="138"/>
      <c r="K7" s="112"/>
      <c r="L7" s="89"/>
      <c r="M7" s="89" t="str">
        <f t="shared" si="1"/>
        <v>lynn.bechler@lrc.ky.gov</v>
      </c>
      <c r="N7" s="409" t="str">
        <f t="shared" si="2"/>
        <v>http://www.lrc.ky.gov/Messages/H004.aspx</v>
      </c>
      <c r="O7" s="89"/>
      <c r="P7" s="89"/>
      <c r="Q7" s="89"/>
      <c r="R7" s="89"/>
      <c r="S7" s="89"/>
    </row>
    <row r="8">
      <c r="A8" s="14" t="s">
        <v>44</v>
      </c>
      <c r="B8" s="31">
        <v>5.0</v>
      </c>
      <c r="C8" s="35" t="s">
        <v>839</v>
      </c>
      <c r="D8" s="404" t="s">
        <v>5129</v>
      </c>
      <c r="E8" s="51" t="s">
        <v>53</v>
      </c>
      <c r="F8" s="413"/>
      <c r="G8" s="138"/>
      <c r="H8" s="112"/>
      <c r="I8" s="138"/>
      <c r="J8" s="138"/>
      <c r="K8" s="112"/>
      <c r="L8" s="89"/>
      <c r="M8" s="89" t="str">
        <f t="shared" si="1"/>
        <v>larry.elkins@lrc.ky.gov</v>
      </c>
      <c r="N8" s="409" t="str">
        <f t="shared" si="2"/>
        <v>http://www.lrc.ky.gov/Messages/H005.aspx</v>
      </c>
      <c r="O8" s="89"/>
      <c r="P8" s="89"/>
      <c r="Q8" s="89"/>
      <c r="R8" s="89"/>
      <c r="S8" s="89"/>
    </row>
    <row r="9">
      <c r="A9" s="14" t="s">
        <v>44</v>
      </c>
      <c r="B9" s="31">
        <v>6.0</v>
      </c>
      <c r="C9" s="35" t="s">
        <v>173</v>
      </c>
      <c r="D9" s="404" t="s">
        <v>5132</v>
      </c>
      <c r="E9" s="51" t="s">
        <v>53</v>
      </c>
      <c r="F9" s="406"/>
      <c r="G9" s="138"/>
      <c r="H9" s="408"/>
      <c r="I9" s="408"/>
      <c r="J9" s="138"/>
      <c r="K9" s="112"/>
      <c r="L9" s="89"/>
      <c r="M9" s="89" t="str">
        <f t="shared" si="1"/>
        <v>chris.freeland@lrc.ky.gov</v>
      </c>
      <c r="N9" s="409" t="str">
        <f t="shared" si="2"/>
        <v>http://www.lrc.ky.gov/Messages/H006.aspx</v>
      </c>
      <c r="O9" s="89"/>
      <c r="P9" s="89"/>
      <c r="Q9" s="89"/>
      <c r="R9" s="89"/>
      <c r="S9" s="89"/>
    </row>
    <row r="10">
      <c r="A10" s="14" t="s">
        <v>44</v>
      </c>
      <c r="B10" s="31">
        <v>7.0</v>
      </c>
      <c r="C10" s="35" t="s">
        <v>5133</v>
      </c>
      <c r="D10" s="404" t="s">
        <v>5136</v>
      </c>
      <c r="E10" s="51" t="s">
        <v>53</v>
      </c>
      <c r="F10" s="413" t="s">
        <v>1684</v>
      </c>
      <c r="G10" s="138"/>
      <c r="H10" s="408"/>
      <c r="I10" s="408"/>
      <c r="J10" s="138"/>
      <c r="K10" s="112"/>
      <c r="L10" s="89"/>
      <c r="M10" s="89" t="str">
        <f t="shared" si="1"/>
        <v>suzanne.miles@lrc.ky.gov</v>
      </c>
      <c r="N10" s="409" t="str">
        <f t="shared" si="2"/>
        <v>http://www.lrc.ky.gov/Messages/H007.aspx</v>
      </c>
      <c r="O10" s="89"/>
      <c r="P10" s="89"/>
      <c r="Q10" s="89"/>
      <c r="R10" s="89"/>
      <c r="S10" s="89"/>
    </row>
    <row r="11">
      <c r="A11" s="14" t="s">
        <v>44</v>
      </c>
      <c r="B11" s="31">
        <v>8.0</v>
      </c>
      <c r="C11" s="74" t="s">
        <v>1275</v>
      </c>
      <c r="D11" s="404" t="s">
        <v>561</v>
      </c>
      <c r="E11" s="51" t="s">
        <v>53</v>
      </c>
      <c r="F11" s="406"/>
      <c r="G11" s="138"/>
      <c r="H11" s="408"/>
      <c r="I11" s="138"/>
      <c r="J11" s="138"/>
      <c r="K11" s="112"/>
      <c r="L11" s="89"/>
      <c r="M11" s="89" t="str">
        <f t="shared" si="1"/>
        <v>walker.thomas@lrc.ky.gov</v>
      </c>
      <c r="N11" s="409" t="str">
        <f t="shared" si="2"/>
        <v>http://www.lrc.ky.gov/Messages/H008.aspx</v>
      </c>
      <c r="O11" s="89"/>
      <c r="P11" s="89"/>
      <c r="Q11" s="89"/>
      <c r="R11" s="89"/>
      <c r="S11" s="89"/>
    </row>
    <row r="12">
      <c r="A12" s="14" t="s">
        <v>44</v>
      </c>
      <c r="B12" s="31">
        <v>9.0</v>
      </c>
      <c r="C12" s="74" t="s">
        <v>710</v>
      </c>
      <c r="D12" s="404" t="s">
        <v>5140</v>
      </c>
      <c r="E12" s="51" t="s">
        <v>53</v>
      </c>
      <c r="F12" s="406"/>
      <c r="G12" s="138"/>
      <c r="H12" s="408"/>
      <c r="I12" s="408"/>
      <c r="J12" s="138"/>
      <c r="K12" s="112"/>
      <c r="L12" s="89"/>
      <c r="M12" s="89" t="str">
        <f t="shared" si="1"/>
        <v>myron.dossett@lrc.ky.gov</v>
      </c>
      <c r="N12" s="409" t="str">
        <f t="shared" si="2"/>
        <v>http://www.lrc.ky.gov/Messages/H009.aspx</v>
      </c>
      <c r="O12" s="89"/>
      <c r="P12" s="89"/>
      <c r="Q12" s="89"/>
      <c r="R12" s="89"/>
      <c r="S12" s="89"/>
    </row>
    <row r="13">
      <c r="A13" s="14" t="s">
        <v>44</v>
      </c>
      <c r="B13" s="31">
        <v>10.0</v>
      </c>
      <c r="C13" s="74" t="s">
        <v>4340</v>
      </c>
      <c r="D13" s="404" t="s">
        <v>5141</v>
      </c>
      <c r="E13" s="36" t="s">
        <v>49</v>
      </c>
      <c r="F13" s="406"/>
      <c r="G13" s="138"/>
      <c r="H13" s="408"/>
      <c r="I13" s="408"/>
      <c r="J13" s="138"/>
      <c r="K13" s="112"/>
      <c r="L13" s="89"/>
      <c r="M13" s="89" t="str">
        <f t="shared" si="1"/>
        <v>dean.schamore@lrc.ky.gov</v>
      </c>
      <c r="N13" s="409" t="str">
        <f t="shared" ref="N13:N102" si="3">concatenate("http://www.lrc.ky.gov/Messages/H0",B13,".aspx")</f>
        <v>http://www.lrc.ky.gov/Messages/H010.aspx</v>
      </c>
      <c r="O13" s="89"/>
      <c r="P13" s="89"/>
      <c r="Q13" s="89"/>
      <c r="R13" s="89"/>
      <c r="S13" s="89"/>
    </row>
    <row r="14">
      <c r="A14" s="14" t="s">
        <v>44</v>
      </c>
      <c r="B14" s="31">
        <v>11.0</v>
      </c>
      <c r="C14" s="74" t="s">
        <v>1134</v>
      </c>
      <c r="D14" s="404" t="s">
        <v>5142</v>
      </c>
      <c r="E14" s="36" t="s">
        <v>49</v>
      </c>
      <c r="F14" s="406"/>
      <c r="G14" s="138"/>
      <c r="H14" s="408"/>
      <c r="I14" s="138"/>
      <c r="J14" s="138"/>
      <c r="K14" s="112"/>
      <c r="L14" s="89"/>
      <c r="M14" s="89" t="str">
        <f t="shared" si="1"/>
        <v>robert.wiederstein@lrc.ky.gov</v>
      </c>
      <c r="N14" s="409" t="str">
        <f t="shared" si="3"/>
        <v>http://www.lrc.ky.gov/Messages/H011.aspx</v>
      </c>
      <c r="O14" s="89"/>
      <c r="P14" s="89"/>
      <c r="Q14" s="89"/>
      <c r="R14" s="89"/>
      <c r="S14" s="89"/>
    </row>
    <row r="15">
      <c r="A15" s="14" t="s">
        <v>44</v>
      </c>
      <c r="B15" s="31">
        <v>12.0</v>
      </c>
      <c r="C15" s="35" t="s">
        <v>476</v>
      </c>
      <c r="D15" s="404" t="s">
        <v>4734</v>
      </c>
      <c r="E15" s="51" t="s">
        <v>53</v>
      </c>
      <c r="F15" s="406"/>
      <c r="G15" s="129" t="s">
        <v>1210</v>
      </c>
      <c r="H15" s="138"/>
      <c r="I15" s="408"/>
      <c r="J15" s="138"/>
      <c r="K15" s="112"/>
      <c r="L15" s="89"/>
      <c r="M15" s="89" t="str">
        <f t="shared" si="1"/>
        <v>jim.gooch@lrc.ky.gov</v>
      </c>
      <c r="N15" s="409" t="str">
        <f t="shared" si="3"/>
        <v>http://www.lrc.ky.gov/Messages/H012.aspx</v>
      </c>
      <c r="O15" s="89"/>
      <c r="P15" s="89"/>
      <c r="Q15" s="89"/>
      <c r="R15" s="89"/>
      <c r="S15" s="89"/>
    </row>
    <row r="16">
      <c r="A16" s="14" t="s">
        <v>44</v>
      </c>
      <c r="B16" s="31">
        <v>13.0</v>
      </c>
      <c r="C16" s="74" t="s">
        <v>476</v>
      </c>
      <c r="D16" s="404" t="s">
        <v>3589</v>
      </c>
      <c r="E16" s="36" t="s">
        <v>49</v>
      </c>
      <c r="F16" s="406"/>
      <c r="G16" s="138"/>
      <c r="H16" s="408"/>
      <c r="I16" s="138"/>
      <c r="J16" s="138"/>
      <c r="K16" s="112"/>
      <c r="L16" s="89"/>
      <c r="M16" s="89" t="str">
        <f t="shared" si="1"/>
        <v>jim.glenn@lrc.ky.gov</v>
      </c>
      <c r="N16" s="409" t="str">
        <f t="shared" si="3"/>
        <v>http://www.lrc.ky.gov/Messages/H013.aspx</v>
      </c>
      <c r="O16" s="89"/>
      <c r="P16" s="89"/>
      <c r="Q16" s="89"/>
      <c r="R16" s="89"/>
      <c r="S16" s="89"/>
    </row>
    <row r="17">
      <c r="A17" s="14" t="s">
        <v>44</v>
      </c>
      <c r="B17" s="31">
        <v>14.0</v>
      </c>
      <c r="C17" s="74" t="s">
        <v>45</v>
      </c>
      <c r="D17" s="404" t="s">
        <v>1707</v>
      </c>
      <c r="E17" s="51" t="s">
        <v>53</v>
      </c>
      <c r="F17" s="406"/>
      <c r="G17" s="138"/>
      <c r="H17" s="408"/>
      <c r="I17" s="408"/>
      <c r="J17" s="138"/>
      <c r="K17" s="112"/>
      <c r="L17" s="89"/>
      <c r="M17" s="89" t="str">
        <f t="shared" si="1"/>
        <v>scott.lewis@lrc.ky.gov</v>
      </c>
      <c r="N17" s="409" t="str">
        <f t="shared" si="3"/>
        <v>http://www.lrc.ky.gov/Messages/H014.aspx</v>
      </c>
      <c r="O17" s="89"/>
      <c r="P17" s="89"/>
      <c r="Q17" s="89"/>
      <c r="R17" s="89"/>
      <c r="S17" s="89"/>
    </row>
    <row r="18">
      <c r="A18" s="14" t="s">
        <v>44</v>
      </c>
      <c r="B18" s="31">
        <v>15.0</v>
      </c>
      <c r="C18" s="35" t="s">
        <v>4580</v>
      </c>
      <c r="D18" s="404" t="s">
        <v>5150</v>
      </c>
      <c r="E18" s="51" t="s">
        <v>53</v>
      </c>
      <c r="F18" s="406"/>
      <c r="G18" s="138"/>
      <c r="H18" s="408"/>
      <c r="I18" s="138"/>
      <c r="J18" s="138"/>
      <c r="K18" s="112"/>
      <c r="L18" s="89"/>
      <c r="M18" s="89" t="str">
        <f t="shared" si="1"/>
        <v>melinda.prunty@lrc.ky.gov</v>
      </c>
      <c r="N18" s="409" t="str">
        <f t="shared" si="3"/>
        <v>http://www.lrc.ky.gov/Messages/H015.aspx</v>
      </c>
      <c r="O18" s="89"/>
      <c r="P18" s="89"/>
      <c r="Q18" s="89"/>
      <c r="R18" s="89"/>
      <c r="S18" s="89"/>
    </row>
    <row r="19">
      <c r="A19" s="14" t="s">
        <v>44</v>
      </c>
      <c r="B19" s="31">
        <v>16.0</v>
      </c>
      <c r="C19" s="74" t="s">
        <v>1231</v>
      </c>
      <c r="D19" s="404" t="s">
        <v>5151</v>
      </c>
      <c r="E19" s="51" t="s">
        <v>53</v>
      </c>
      <c r="F19" s="406"/>
      <c r="G19" s="129" t="s">
        <v>877</v>
      </c>
      <c r="H19" s="408"/>
      <c r="I19" s="138"/>
      <c r="J19" s="138"/>
      <c r="K19" s="112"/>
      <c r="L19" s="89"/>
      <c r="M19" s="89" t="str">
        <f t="shared" si="1"/>
        <v>jason.petrie@lrc.ky.gov</v>
      </c>
      <c r="N19" s="409" t="str">
        <f t="shared" si="3"/>
        <v>http://www.lrc.ky.gov/Messages/H016.aspx</v>
      </c>
      <c r="O19" s="89"/>
      <c r="P19" s="89"/>
      <c r="Q19" s="89"/>
      <c r="R19" s="89"/>
      <c r="S19" s="89"/>
    </row>
    <row r="20">
      <c r="A20" s="14" t="s">
        <v>44</v>
      </c>
      <c r="B20" s="31">
        <v>17.0</v>
      </c>
      <c r="C20" s="74" t="s">
        <v>55</v>
      </c>
      <c r="D20" s="404" t="s">
        <v>5152</v>
      </c>
      <c r="E20" s="51" t="s">
        <v>53</v>
      </c>
      <c r="F20" s="406"/>
      <c r="G20" s="138"/>
      <c r="H20" s="408"/>
      <c r="I20" s="408"/>
      <c r="J20" s="138"/>
      <c r="K20" s="112"/>
      <c r="L20" s="89"/>
      <c r="M20" s="89" t="str">
        <f t="shared" si="1"/>
        <v>steve.sheldon@lrc.ky.gov</v>
      </c>
      <c r="N20" s="409" t="str">
        <f t="shared" si="3"/>
        <v>http://www.lrc.ky.gov/Messages/H017.aspx</v>
      </c>
      <c r="O20" s="89"/>
      <c r="P20" s="89"/>
      <c r="Q20" s="89"/>
      <c r="R20" s="89"/>
      <c r="S20" s="89"/>
    </row>
    <row r="21">
      <c r="A21" s="14" t="s">
        <v>44</v>
      </c>
      <c r="B21" s="31">
        <v>18.0</v>
      </c>
      <c r="C21" s="35" t="s">
        <v>225</v>
      </c>
      <c r="D21" s="404" t="s">
        <v>89</v>
      </c>
      <c r="E21" s="51" t="s">
        <v>53</v>
      </c>
      <c r="F21" s="406"/>
      <c r="G21" s="129" t="s">
        <v>5153</v>
      </c>
      <c r="H21" s="408"/>
      <c r="I21" s="408"/>
      <c r="J21" s="138"/>
      <c r="K21" s="112"/>
      <c r="L21" s="89"/>
      <c r="M21" s="89" t="str">
        <f t="shared" si="1"/>
        <v>tim.moore@lrc.ky.gov</v>
      </c>
      <c r="N21" s="409" t="str">
        <f t="shared" si="3"/>
        <v>http://www.lrc.ky.gov/Messages/H018.aspx</v>
      </c>
      <c r="O21" s="89"/>
      <c r="P21" s="89"/>
      <c r="Q21" s="89"/>
      <c r="R21" s="89"/>
      <c r="S21" s="89"/>
    </row>
    <row r="22">
      <c r="A22" s="14" t="s">
        <v>44</v>
      </c>
      <c r="B22" s="31">
        <v>19.0</v>
      </c>
      <c r="C22" s="74" t="s">
        <v>2490</v>
      </c>
      <c r="D22" s="404" t="s">
        <v>5154</v>
      </c>
      <c r="E22" s="51" t="s">
        <v>53</v>
      </c>
      <c r="F22" s="406"/>
      <c r="G22" s="129" t="s">
        <v>5155</v>
      </c>
      <c r="H22" s="408"/>
      <c r="I22" s="408"/>
      <c r="J22" s="138"/>
      <c r="K22" s="112"/>
      <c r="L22" s="89"/>
      <c r="M22" s="89" t="str">
        <f t="shared" si="1"/>
        <v>michael.meredith@lrc.ky.gov</v>
      </c>
      <c r="N22" s="409" t="str">
        <f t="shared" si="3"/>
        <v>http://www.lrc.ky.gov/Messages/H019.aspx</v>
      </c>
      <c r="O22" s="89"/>
      <c r="P22" s="89"/>
      <c r="Q22" s="89"/>
      <c r="R22" s="89"/>
      <c r="S22" s="89"/>
    </row>
    <row r="23">
      <c r="A23" s="14" t="s">
        <v>44</v>
      </c>
      <c r="B23" s="31">
        <v>20.0</v>
      </c>
      <c r="C23" s="35" t="s">
        <v>4132</v>
      </c>
      <c r="D23" s="404" t="s">
        <v>5156</v>
      </c>
      <c r="E23" s="36" t="s">
        <v>49</v>
      </c>
      <c r="F23" s="406"/>
      <c r="G23" s="138"/>
      <c r="H23" s="408"/>
      <c r="I23" s="408"/>
      <c r="J23" s="138"/>
      <c r="K23" s="112"/>
      <c r="L23" s="89"/>
      <c r="M23" s="89" t="str">
        <f t="shared" si="1"/>
        <v>patti.minter@lrc.ky.gov</v>
      </c>
      <c r="N23" s="409" t="str">
        <f t="shared" si="3"/>
        <v>http://www.lrc.ky.gov/Messages/H020.aspx</v>
      </c>
      <c r="O23" s="89"/>
      <c r="P23" s="89"/>
      <c r="Q23" s="89"/>
      <c r="R23" s="89"/>
      <c r="S23" s="89"/>
    </row>
    <row r="24">
      <c r="A24" s="14" t="s">
        <v>44</v>
      </c>
      <c r="B24" s="31">
        <v>21.0</v>
      </c>
      <c r="C24" s="74" t="s">
        <v>1881</v>
      </c>
      <c r="D24" s="404" t="s">
        <v>5157</v>
      </c>
      <c r="E24" s="51" t="s">
        <v>53</v>
      </c>
      <c r="F24" s="406"/>
      <c r="G24" s="129" t="s">
        <v>5158</v>
      </c>
      <c r="H24" s="138"/>
      <c r="I24" s="408"/>
      <c r="J24" s="138"/>
      <c r="K24" s="112"/>
      <c r="L24" s="89"/>
      <c r="M24" s="89" t="str">
        <f t="shared" si="1"/>
        <v>bart.rowland@lrc.ky.gov</v>
      </c>
      <c r="N24" s="409" t="str">
        <f t="shared" si="3"/>
        <v>http://www.lrc.ky.gov/Messages/H021.aspx</v>
      </c>
      <c r="O24" s="89"/>
      <c r="P24" s="89"/>
      <c r="Q24" s="89"/>
      <c r="R24" s="89"/>
      <c r="S24" s="89"/>
    </row>
    <row r="25">
      <c r="A25" s="14" t="s">
        <v>44</v>
      </c>
      <c r="B25" s="31">
        <v>22.0</v>
      </c>
      <c r="C25" s="74" t="s">
        <v>62</v>
      </c>
      <c r="D25" s="404" t="s">
        <v>1547</v>
      </c>
      <c r="E25" s="36" t="s">
        <v>49</v>
      </c>
      <c r="F25" s="406"/>
      <c r="G25" s="138"/>
      <c r="H25" s="408"/>
      <c r="I25" s="408"/>
      <c r="J25" s="138"/>
      <c r="K25" s="112"/>
      <c r="L25" s="89"/>
      <c r="M25" s="89" t="str">
        <f t="shared" si="1"/>
        <v>wilson.stone@lrc.ky.gov</v>
      </c>
      <c r="N25" s="409" t="str">
        <f t="shared" si="3"/>
        <v>http://www.lrc.ky.gov/Messages/H022.aspx</v>
      </c>
      <c r="O25" s="89"/>
      <c r="P25" s="89"/>
      <c r="Q25" s="89"/>
      <c r="R25" s="89"/>
      <c r="S25" s="89"/>
    </row>
    <row r="26">
      <c r="A26" s="14" t="s">
        <v>44</v>
      </c>
      <c r="B26" s="31">
        <v>23.0</v>
      </c>
      <c r="C26" s="74" t="s">
        <v>55</v>
      </c>
      <c r="D26" s="404" t="s">
        <v>2564</v>
      </c>
      <c r="E26" s="51" t="s">
        <v>53</v>
      </c>
      <c r="F26" s="406"/>
      <c r="G26" s="138"/>
      <c r="H26" s="408"/>
      <c r="I26" s="138"/>
      <c r="J26" s="138"/>
      <c r="K26" s="112"/>
      <c r="L26" s="89"/>
      <c r="M26" s="89" t="str">
        <f t="shared" si="1"/>
        <v>steve.riley@lrc.ky.gov</v>
      </c>
      <c r="N26" s="409" t="str">
        <f t="shared" si="3"/>
        <v>http://www.lrc.ky.gov/Messages/H023.aspx</v>
      </c>
      <c r="O26" s="89"/>
      <c r="P26" s="89"/>
      <c r="Q26" s="89"/>
      <c r="R26" s="89"/>
      <c r="S26" s="89"/>
    </row>
    <row r="27">
      <c r="A27" s="14" t="s">
        <v>44</v>
      </c>
      <c r="B27" s="31">
        <v>24.0</v>
      </c>
      <c r="C27" s="74" t="s">
        <v>2500</v>
      </c>
      <c r="D27" s="404" t="s">
        <v>607</v>
      </c>
      <c r="E27" s="51" t="s">
        <v>53</v>
      </c>
      <c r="F27" s="406"/>
      <c r="G27" s="138"/>
      <c r="H27" s="408"/>
      <c r="I27" s="408"/>
      <c r="J27" s="138"/>
      <c r="K27" s="112"/>
      <c r="L27" s="89"/>
      <c r="M27" s="89" t="str">
        <f t="shared" si="1"/>
        <v>brandon.reed@lrc.ky.gov</v>
      </c>
      <c r="N27" s="409" t="str">
        <f t="shared" si="3"/>
        <v>http://www.lrc.ky.gov/Messages/H024.aspx</v>
      </c>
      <c r="O27" s="89"/>
      <c r="P27" s="89"/>
      <c r="Q27" s="89"/>
      <c r="R27" s="89"/>
      <c r="S27" s="89"/>
    </row>
    <row r="28">
      <c r="A28" s="14" t="s">
        <v>44</v>
      </c>
      <c r="B28" s="31">
        <v>25.0</v>
      </c>
      <c r="C28" s="35" t="s">
        <v>476</v>
      </c>
      <c r="D28" s="404" t="s">
        <v>5165</v>
      </c>
      <c r="E28" s="51" t="s">
        <v>53</v>
      </c>
      <c r="F28" s="406"/>
      <c r="G28" s="138"/>
      <c r="H28" s="408"/>
      <c r="I28" s="408"/>
      <c r="J28" s="138"/>
      <c r="K28" s="112"/>
      <c r="L28" s="89"/>
      <c r="M28" s="89" t="str">
        <f t="shared" si="1"/>
        <v>jim.duplessis@lrc.ky.gov</v>
      </c>
      <c r="N28" s="409" t="str">
        <f t="shared" si="3"/>
        <v>http://www.lrc.ky.gov/Messages/H025.aspx</v>
      </c>
      <c r="O28" s="89"/>
      <c r="P28" s="89"/>
      <c r="Q28" s="89"/>
      <c r="R28" s="89"/>
      <c r="S28" s="89"/>
    </row>
    <row r="29">
      <c r="A29" s="14" t="s">
        <v>44</v>
      </c>
      <c r="B29" s="31">
        <v>26.0</v>
      </c>
      <c r="C29" s="74" t="s">
        <v>1054</v>
      </c>
      <c r="D29" s="404" t="s">
        <v>5166</v>
      </c>
      <c r="E29" s="51" t="s">
        <v>53</v>
      </c>
      <c r="F29" s="406"/>
      <c r="G29" s="129" t="s">
        <v>5167</v>
      </c>
      <c r="H29" s="138"/>
      <c r="I29" s="408"/>
      <c r="J29" s="138"/>
      <c r="K29" s="112"/>
      <c r="L29" s="89"/>
      <c r="M29" s="89" t="str">
        <f t="shared" si="1"/>
        <v>russell.webber@lrc.ky.gov</v>
      </c>
      <c r="N29" s="409" t="str">
        <f t="shared" si="3"/>
        <v>http://www.lrc.ky.gov/Messages/H026.aspx</v>
      </c>
      <c r="O29" s="89"/>
      <c r="P29" s="89"/>
      <c r="Q29" s="89"/>
      <c r="R29" s="89"/>
      <c r="S29" s="89"/>
    </row>
    <row r="30">
      <c r="A30" s="14" t="s">
        <v>44</v>
      </c>
      <c r="B30" s="31">
        <v>27.0</v>
      </c>
      <c r="C30" s="74" t="s">
        <v>123</v>
      </c>
      <c r="D30" s="404" t="s">
        <v>2435</v>
      </c>
      <c r="E30" s="51" t="s">
        <v>53</v>
      </c>
      <c r="F30" s="406"/>
      <c r="G30" s="138"/>
      <c r="H30" s="408"/>
      <c r="I30" s="408"/>
      <c r="J30" s="138"/>
      <c r="K30" s="112"/>
      <c r="L30" s="89"/>
      <c r="M30" s="89" t="str">
        <f t="shared" si="1"/>
        <v>nancy.tate@lrc.ky.gov</v>
      </c>
      <c r="N30" s="409" t="str">
        <f t="shared" si="3"/>
        <v>http://www.lrc.ky.gov/Messages/H027.aspx</v>
      </c>
      <c r="O30" s="89"/>
      <c r="P30" s="89"/>
      <c r="Q30" s="89"/>
      <c r="R30" s="89"/>
      <c r="S30" s="89"/>
    </row>
    <row r="31">
      <c r="A31" s="14" t="s">
        <v>44</v>
      </c>
      <c r="B31" s="31">
        <v>28.0</v>
      </c>
      <c r="C31" s="74" t="s">
        <v>1287</v>
      </c>
      <c r="D31" s="404" t="s">
        <v>1501</v>
      </c>
      <c r="E31" s="36" t="s">
        <v>49</v>
      </c>
      <c r="F31" s="406"/>
      <c r="G31" s="138"/>
      <c r="H31" s="408"/>
      <c r="I31" s="408"/>
      <c r="J31" s="138"/>
      <c r="K31" s="112"/>
      <c r="L31" s="89"/>
      <c r="M31" s="89" t="str">
        <f t="shared" si="1"/>
        <v>charles.miller@lrc.ky.gov</v>
      </c>
      <c r="N31" s="409" t="str">
        <f t="shared" si="3"/>
        <v>http://www.lrc.ky.gov/Messages/H028.aspx</v>
      </c>
      <c r="O31" s="89"/>
      <c r="P31" s="89"/>
      <c r="Q31" s="89"/>
      <c r="R31" s="89"/>
      <c r="S31" s="89"/>
    </row>
    <row r="32">
      <c r="A32" s="14" t="s">
        <v>44</v>
      </c>
      <c r="B32" s="31">
        <v>29.0</v>
      </c>
      <c r="C32" s="74" t="s">
        <v>971</v>
      </c>
      <c r="D32" s="404" t="s">
        <v>5170</v>
      </c>
      <c r="E32" s="51" t="s">
        <v>53</v>
      </c>
      <c r="F32" s="406"/>
      <c r="G32" s="129" t="s">
        <v>5171</v>
      </c>
      <c r="H32" s="408"/>
      <c r="I32" s="408"/>
      <c r="J32" s="138"/>
      <c r="K32" s="112"/>
      <c r="L32" s="89"/>
      <c r="M32" s="89" t="str">
        <f t="shared" si="1"/>
        <v>kevin.bratcher@lrc.ky.gov</v>
      </c>
      <c r="N32" s="409" t="str">
        <f t="shared" si="3"/>
        <v>http://www.lrc.ky.gov/Messages/H029.aspx</v>
      </c>
      <c r="O32" s="89"/>
      <c r="P32" s="89"/>
      <c r="Q32" s="89"/>
      <c r="R32" s="89"/>
      <c r="S32" s="89"/>
    </row>
    <row r="33">
      <c r="A33" s="14" t="s">
        <v>44</v>
      </c>
      <c r="B33" s="31">
        <v>30.0</v>
      </c>
      <c r="C33" s="35" t="s">
        <v>338</v>
      </c>
      <c r="D33" s="404" t="s">
        <v>969</v>
      </c>
      <c r="E33" s="36" t="s">
        <v>49</v>
      </c>
      <c r="F33" s="406"/>
      <c r="G33" s="138"/>
      <c r="H33" s="408"/>
      <c r="I33" s="408"/>
      <c r="J33" s="138"/>
      <c r="K33" s="112"/>
      <c r="L33" s="89"/>
      <c r="M33" s="89" t="str">
        <f t="shared" si="1"/>
        <v>tom.burch@lrc.ky.gov</v>
      </c>
      <c r="N33" s="409" t="str">
        <f t="shared" si="3"/>
        <v>http://www.lrc.ky.gov/Messages/H030.aspx</v>
      </c>
      <c r="O33" s="89"/>
      <c r="P33" s="89"/>
      <c r="Q33" s="89"/>
      <c r="R33" s="89"/>
      <c r="S33" s="89"/>
    </row>
    <row r="34">
      <c r="A34" s="14" t="s">
        <v>44</v>
      </c>
      <c r="B34" s="31">
        <v>31.0</v>
      </c>
      <c r="C34" s="74" t="s">
        <v>2938</v>
      </c>
      <c r="D34" s="404" t="s">
        <v>2609</v>
      </c>
      <c r="E34" s="36" t="s">
        <v>49</v>
      </c>
      <c r="F34" s="406"/>
      <c r="G34" s="138"/>
      <c r="H34" s="408"/>
      <c r="I34" s="408"/>
      <c r="J34" s="138"/>
      <c r="K34" s="112"/>
      <c r="L34" s="89"/>
      <c r="M34" s="89" t="str">
        <f t="shared" si="1"/>
        <v>josie.raymond@lrc.ky.gov</v>
      </c>
      <c r="N34" s="409" t="str">
        <f t="shared" si="3"/>
        <v>http://www.lrc.ky.gov/Messages/H031.aspx</v>
      </c>
      <c r="O34" s="89"/>
      <c r="P34" s="89"/>
      <c r="Q34" s="89"/>
      <c r="R34" s="89"/>
      <c r="S34" s="89"/>
    </row>
    <row r="35">
      <c r="A35" s="14" t="s">
        <v>44</v>
      </c>
      <c r="B35" s="31">
        <v>32.0</v>
      </c>
      <c r="C35" s="74" t="s">
        <v>3053</v>
      </c>
      <c r="D35" s="404" t="s">
        <v>5176</v>
      </c>
      <c r="E35" s="36" t="s">
        <v>49</v>
      </c>
      <c r="F35" s="406"/>
      <c r="G35" s="138"/>
      <c r="H35" s="408"/>
      <c r="I35" s="408"/>
      <c r="J35" s="138"/>
      <c r="K35" s="112"/>
      <c r="L35" s="89"/>
      <c r="M35" s="89" t="str">
        <f t="shared" si="1"/>
        <v>tina.bojanowski@lrc.ky.gov</v>
      </c>
      <c r="N35" s="409" t="str">
        <f t="shared" si="3"/>
        <v>http://www.lrc.ky.gov/Messages/H032.aspx</v>
      </c>
      <c r="O35" s="89"/>
      <c r="P35" s="89"/>
      <c r="Q35" s="89"/>
      <c r="R35" s="89"/>
      <c r="S35" s="89"/>
    </row>
    <row r="36">
      <c r="A36" s="14" t="s">
        <v>44</v>
      </c>
      <c r="B36" s="31">
        <v>33.0</v>
      </c>
      <c r="C36" s="74" t="s">
        <v>1231</v>
      </c>
      <c r="D36" s="404" t="s">
        <v>5177</v>
      </c>
      <c r="E36" s="51" t="s">
        <v>53</v>
      </c>
      <c r="F36" s="406"/>
      <c r="G36" s="138"/>
      <c r="H36" s="408"/>
      <c r="I36" s="408"/>
      <c r="J36" s="138"/>
      <c r="K36" s="112"/>
      <c r="L36" s="89"/>
      <c r="M36" s="89" t="str">
        <f t="shared" si="1"/>
        <v>jason.nemes@lrc.ky.gov</v>
      </c>
      <c r="N36" s="409" t="str">
        <f t="shared" si="3"/>
        <v>http://www.lrc.ky.gov/Messages/H033.aspx</v>
      </c>
      <c r="O36" s="89"/>
      <c r="P36" s="89"/>
      <c r="Q36" s="89"/>
      <c r="R36" s="89"/>
      <c r="S36" s="89"/>
    </row>
    <row r="37">
      <c r="A37" s="14" t="s">
        <v>44</v>
      </c>
      <c r="B37" s="31">
        <v>34.0</v>
      </c>
      <c r="C37" s="74" t="s">
        <v>514</v>
      </c>
      <c r="D37" s="404" t="s">
        <v>5178</v>
      </c>
      <c r="E37" s="36" t="s">
        <v>49</v>
      </c>
      <c r="F37" s="406"/>
      <c r="G37" s="138"/>
      <c r="H37" s="408"/>
      <c r="I37" s="408"/>
      <c r="J37" s="138"/>
      <c r="K37" s="112"/>
      <c r="L37" s="89"/>
      <c r="M37" s="89" t="str">
        <f t="shared" si="1"/>
        <v>mary.marzian@lrc.ky.gov</v>
      </c>
      <c r="N37" s="409" t="str">
        <f t="shared" si="3"/>
        <v>http://www.lrc.ky.gov/Messages/H034.aspx</v>
      </c>
      <c r="O37" s="89"/>
      <c r="P37" s="89"/>
      <c r="Q37" s="89"/>
      <c r="R37" s="89"/>
      <c r="S37" s="89"/>
    </row>
    <row r="38">
      <c r="A38" s="14" t="s">
        <v>44</v>
      </c>
      <c r="B38" s="31">
        <v>35.0</v>
      </c>
      <c r="C38" s="74" t="s">
        <v>432</v>
      </c>
      <c r="D38" s="404" t="s">
        <v>5181</v>
      </c>
      <c r="E38" s="36" t="s">
        <v>49</v>
      </c>
      <c r="F38" s="406"/>
      <c r="G38" s="138"/>
      <c r="H38" s="408"/>
      <c r="I38" s="408"/>
      <c r="J38" s="138"/>
      <c r="K38" s="112"/>
      <c r="L38" s="89"/>
      <c r="M38" s="89" t="str">
        <f t="shared" si="1"/>
        <v>lisa.willner@lrc.ky.gov</v>
      </c>
      <c r="N38" s="409" t="str">
        <f t="shared" si="3"/>
        <v>http://www.lrc.ky.gov/Messages/H035.aspx</v>
      </c>
      <c r="O38" s="89"/>
      <c r="P38" s="89"/>
      <c r="Q38" s="89"/>
      <c r="R38" s="89"/>
      <c r="S38" s="89"/>
    </row>
    <row r="39">
      <c r="A39" s="14" t="s">
        <v>44</v>
      </c>
      <c r="B39" s="31">
        <v>36.0</v>
      </c>
      <c r="C39" s="74" t="s">
        <v>2105</v>
      </c>
      <c r="D39" s="404" t="s">
        <v>1501</v>
      </c>
      <c r="E39" s="51" t="s">
        <v>53</v>
      </c>
      <c r="F39" s="406"/>
      <c r="G39" s="129" t="s">
        <v>5182</v>
      </c>
      <c r="H39" s="138"/>
      <c r="I39" s="408"/>
      <c r="J39" s="138"/>
      <c r="K39" s="112"/>
      <c r="L39" s="89"/>
      <c r="M39" s="89" t="str">
        <f t="shared" si="1"/>
        <v>jerry.miller@lrc.ky.gov</v>
      </c>
      <c r="N39" s="409" t="str">
        <f t="shared" si="3"/>
        <v>http://www.lrc.ky.gov/Messages/H036.aspx</v>
      </c>
      <c r="O39" s="89"/>
      <c r="P39" s="89"/>
      <c r="Q39" s="89"/>
      <c r="R39" s="89"/>
      <c r="S39" s="89"/>
    </row>
    <row r="40">
      <c r="A40" s="14" t="s">
        <v>44</v>
      </c>
      <c r="B40" s="31">
        <v>37.0</v>
      </c>
      <c r="C40" s="74" t="s">
        <v>5184</v>
      </c>
      <c r="D40" s="404" t="s">
        <v>5185</v>
      </c>
      <c r="E40" s="36" t="s">
        <v>49</v>
      </c>
      <c r="F40" s="406"/>
      <c r="G40" s="138"/>
      <c r="H40" s="408"/>
      <c r="I40" s="408"/>
      <c r="J40" s="138"/>
      <c r="K40" s="112"/>
      <c r="L40" s="89"/>
      <c r="M40" s="89" t="str">
        <f t="shared" si="1"/>
        <v>jeffery.donohue@lrc.ky.gov</v>
      </c>
      <c r="N40" s="409" t="str">
        <f t="shared" si="3"/>
        <v>http://www.lrc.ky.gov/Messages/H037.aspx</v>
      </c>
      <c r="O40" s="89"/>
      <c r="P40" s="89"/>
      <c r="Q40" s="89"/>
      <c r="R40" s="89"/>
      <c r="S40" s="89"/>
    </row>
    <row r="41">
      <c r="A41" s="14" t="s">
        <v>44</v>
      </c>
      <c r="B41" s="31">
        <v>38.0</v>
      </c>
      <c r="C41" s="74" t="s">
        <v>1732</v>
      </c>
      <c r="D41" s="404" t="s">
        <v>3199</v>
      </c>
      <c r="E41" s="36" t="s">
        <v>49</v>
      </c>
      <c r="F41" s="406"/>
      <c r="G41" s="138"/>
      <c r="H41" s="408"/>
      <c r="I41" s="408"/>
      <c r="J41" s="138"/>
      <c r="K41" s="112"/>
      <c r="L41" s="89"/>
      <c r="M41" s="89" t="str">
        <f t="shared" si="1"/>
        <v>mckenzie.cantrell@lrc.ky.gov</v>
      </c>
      <c r="N41" s="409" t="str">
        <f t="shared" si="3"/>
        <v>http://www.lrc.ky.gov/Messages/H038.aspx</v>
      </c>
      <c r="O41" s="89"/>
      <c r="P41" s="89"/>
      <c r="Q41" s="89"/>
      <c r="R41" s="89"/>
      <c r="S41" s="89"/>
    </row>
    <row r="42">
      <c r="A42" s="14" t="s">
        <v>44</v>
      </c>
      <c r="B42" s="31">
        <v>39.0</v>
      </c>
      <c r="C42" s="74" t="s">
        <v>1054</v>
      </c>
      <c r="D42" s="404" t="s">
        <v>4840</v>
      </c>
      <c r="E42" s="36" t="s">
        <v>49</v>
      </c>
      <c r="F42" s="406"/>
      <c r="G42" s="138"/>
      <c r="H42" s="408"/>
      <c r="I42" s="408"/>
      <c r="J42" s="138"/>
      <c r="K42" s="112"/>
      <c r="L42" s="89"/>
      <c r="M42" s="89" t="str">
        <f t="shared" si="1"/>
        <v>russell.meyer@lrc.ky.gov</v>
      </c>
      <c r="N42" s="409" t="str">
        <f t="shared" si="3"/>
        <v>http://www.lrc.ky.gov/Messages/H039.aspx</v>
      </c>
      <c r="O42" s="89"/>
      <c r="P42" s="89"/>
      <c r="Q42" s="89"/>
      <c r="R42" s="89"/>
      <c r="S42" s="89"/>
    </row>
    <row r="43">
      <c r="A43" s="14" t="s">
        <v>44</v>
      </c>
      <c r="B43" s="31">
        <v>40.0</v>
      </c>
      <c r="C43" s="74" t="s">
        <v>5188</v>
      </c>
      <c r="D43" s="404" t="s">
        <v>5189</v>
      </c>
      <c r="E43" s="36" t="s">
        <v>49</v>
      </c>
      <c r="F43" s="406"/>
      <c r="G43" s="138"/>
      <c r="H43" s="408"/>
      <c r="I43" s="408"/>
      <c r="J43" s="138"/>
      <c r="K43" s="112"/>
      <c r="L43" s="89"/>
      <c r="M43" s="89" t="str">
        <f t="shared" si="1"/>
        <v>nima.kulkarni@lrc.ky.gov</v>
      </c>
      <c r="N43" s="409" t="str">
        <f t="shared" si="3"/>
        <v>http://www.lrc.ky.gov/Messages/H040.aspx</v>
      </c>
      <c r="O43" s="89"/>
      <c r="P43" s="89"/>
      <c r="Q43" s="89"/>
      <c r="R43" s="89"/>
      <c r="S43" s="89"/>
    </row>
    <row r="44">
      <c r="A44" s="14" t="s">
        <v>44</v>
      </c>
      <c r="B44" s="31">
        <v>41.0</v>
      </c>
      <c r="C44" s="35" t="s">
        <v>5191</v>
      </c>
      <c r="D44" s="404" t="s">
        <v>45</v>
      </c>
      <c r="E44" s="36" t="s">
        <v>49</v>
      </c>
      <c r="F44" s="406"/>
      <c r="G44" s="138"/>
      <c r="H44" s="408"/>
      <c r="I44" s="408"/>
      <c r="J44" s="138"/>
      <c r="K44" s="112"/>
      <c r="L44" s="89"/>
      <c r="M44" s="89" t="str">
        <f t="shared" si="1"/>
        <v>attica.scott@lrc.ky.gov</v>
      </c>
      <c r="N44" s="409" t="str">
        <f t="shared" si="3"/>
        <v>http://www.lrc.ky.gov/Messages/H041.aspx</v>
      </c>
      <c r="O44" s="89"/>
      <c r="P44" s="89"/>
      <c r="Q44" s="89"/>
      <c r="R44" s="89"/>
      <c r="S44" s="89"/>
    </row>
    <row r="45">
      <c r="A45" s="14" t="s">
        <v>44</v>
      </c>
      <c r="B45" s="31">
        <v>42.0</v>
      </c>
      <c r="C45" s="74" t="s">
        <v>1085</v>
      </c>
      <c r="D45" s="404" t="s">
        <v>1506</v>
      </c>
      <c r="E45" s="36" t="s">
        <v>49</v>
      </c>
      <c r="F45" s="406"/>
      <c r="G45" s="138"/>
      <c r="H45" s="408"/>
      <c r="I45" s="408"/>
      <c r="J45" s="138"/>
      <c r="K45" s="112"/>
      <c r="L45" s="89"/>
      <c r="M45" s="89" t="str">
        <f t="shared" si="1"/>
        <v>reginald.meeks@lrc.ky.gov</v>
      </c>
      <c r="N45" s="409" t="str">
        <f t="shared" si="3"/>
        <v>http://www.lrc.ky.gov/Messages/H042.aspx</v>
      </c>
      <c r="O45" s="89"/>
      <c r="P45" s="89"/>
      <c r="Q45" s="89"/>
      <c r="R45" s="89"/>
      <c r="S45" s="89"/>
    </row>
    <row r="46">
      <c r="A46" s="14" t="s">
        <v>44</v>
      </c>
      <c r="B46" s="31">
        <v>43.0</v>
      </c>
      <c r="C46" s="74" t="s">
        <v>1287</v>
      </c>
      <c r="D46" s="404" t="s">
        <v>5196</v>
      </c>
      <c r="E46" s="36" t="s">
        <v>49</v>
      </c>
      <c r="F46" s="406"/>
      <c r="G46" s="138"/>
      <c r="H46" s="408"/>
      <c r="I46" s="408"/>
      <c r="J46" s="138"/>
      <c r="K46" s="112"/>
      <c r="L46" s="89"/>
      <c r="M46" s="89" t="str">
        <f t="shared" si="1"/>
        <v>charles.booker@lrc.ky.gov</v>
      </c>
      <c r="N46" s="409" t="str">
        <f t="shared" si="3"/>
        <v>http://www.lrc.ky.gov/Messages/H043.aspx</v>
      </c>
      <c r="O46" s="89"/>
      <c r="P46" s="89"/>
      <c r="Q46" s="89"/>
      <c r="R46" s="89"/>
      <c r="S46" s="89"/>
    </row>
    <row r="47">
      <c r="A47" s="14" t="s">
        <v>44</v>
      </c>
      <c r="B47" s="31">
        <v>44.0</v>
      </c>
      <c r="C47" s="74" t="s">
        <v>5197</v>
      </c>
      <c r="D47" s="404" t="s">
        <v>5198</v>
      </c>
      <c r="E47" s="36" t="s">
        <v>49</v>
      </c>
      <c r="F47" s="413" t="s">
        <v>2004</v>
      </c>
      <c r="G47" s="138"/>
      <c r="H47" s="408"/>
      <c r="I47" s="138"/>
      <c r="J47" s="138"/>
      <c r="K47" s="112"/>
      <c r="L47" s="89"/>
      <c r="M47" s="89" t="str">
        <f t="shared" si="1"/>
        <v>joni.jenkins@lrc.ky.gov</v>
      </c>
      <c r="N47" s="409" t="str">
        <f t="shared" si="3"/>
        <v>http://www.lrc.ky.gov/Messages/H044.aspx</v>
      </c>
      <c r="O47" s="89"/>
      <c r="P47" s="89"/>
      <c r="Q47" s="89"/>
      <c r="R47" s="89"/>
      <c r="S47" s="89"/>
    </row>
    <row r="48">
      <c r="A48" s="14" t="s">
        <v>44</v>
      </c>
      <c r="B48" s="31">
        <v>45.0</v>
      </c>
      <c r="C48" s="74" t="s">
        <v>1513</v>
      </c>
      <c r="D48" s="404" t="s">
        <v>629</v>
      </c>
      <c r="E48" s="51" t="s">
        <v>53</v>
      </c>
      <c r="F48" s="406"/>
      <c r="G48" s="138"/>
      <c r="H48" s="408"/>
      <c r="I48" s="408"/>
      <c r="J48" s="138"/>
      <c r="K48" s="112"/>
      <c r="L48" s="89"/>
      <c r="M48" s="89" t="str">
        <f t="shared" si="1"/>
        <v>stan.lee@lrc.ky.gov</v>
      </c>
      <c r="N48" s="409" t="str">
        <f t="shared" si="3"/>
        <v>http://www.lrc.ky.gov/Messages/H045.aspx</v>
      </c>
      <c r="O48" s="89"/>
      <c r="P48" s="89"/>
      <c r="Q48" s="89"/>
      <c r="R48" s="89"/>
      <c r="S48" s="89"/>
    </row>
    <row r="49">
      <c r="A49" s="14" t="s">
        <v>44</v>
      </c>
      <c r="B49" s="31">
        <v>46.0</v>
      </c>
      <c r="C49" s="35" t="s">
        <v>551</v>
      </c>
      <c r="D49" s="404" t="s">
        <v>5201</v>
      </c>
      <c r="E49" s="36" t="s">
        <v>49</v>
      </c>
      <c r="F49" s="406"/>
      <c r="G49" s="138"/>
      <c r="H49" s="408"/>
      <c r="I49" s="408"/>
      <c r="J49" s="138"/>
      <c r="K49" s="112"/>
      <c r="L49" s="89"/>
      <c r="M49" s="89" t="str">
        <f t="shared" si="1"/>
        <v>alan.gentry@lrc.ky.gov</v>
      </c>
      <c r="N49" s="409" t="str">
        <f t="shared" si="3"/>
        <v>http://www.lrc.ky.gov/Messages/H046.aspx</v>
      </c>
      <c r="O49" s="89"/>
      <c r="P49" s="89"/>
      <c r="Q49" s="89"/>
      <c r="R49" s="89"/>
      <c r="S49" s="89"/>
    </row>
    <row r="50">
      <c r="A50" s="14" t="s">
        <v>44</v>
      </c>
      <c r="B50" s="31">
        <v>47.0</v>
      </c>
      <c r="C50" s="74" t="s">
        <v>1291</v>
      </c>
      <c r="D50" s="404" t="s">
        <v>5203</v>
      </c>
      <c r="E50" s="36" t="s">
        <v>49</v>
      </c>
      <c r="F50" s="406"/>
      <c r="G50" s="138"/>
      <c r="H50" s="408"/>
      <c r="I50" s="408"/>
      <c r="J50" s="138"/>
      <c r="K50" s="112"/>
      <c r="L50" s="89"/>
      <c r="M50" s="89" t="str">
        <f t="shared" si="1"/>
        <v>rick.rand@lrc.ky.gov</v>
      </c>
      <c r="N50" s="409" t="str">
        <f t="shared" si="3"/>
        <v>http://www.lrc.ky.gov/Messages/H047.aspx</v>
      </c>
      <c r="O50" s="89"/>
      <c r="P50" s="89"/>
      <c r="Q50" s="89"/>
      <c r="R50" s="89"/>
      <c r="S50" s="89"/>
    </row>
    <row r="51">
      <c r="A51" s="14" t="s">
        <v>44</v>
      </c>
      <c r="B51" s="31">
        <v>48.0</v>
      </c>
      <c r="C51" s="74" t="s">
        <v>2174</v>
      </c>
      <c r="D51" s="404" t="s">
        <v>5204</v>
      </c>
      <c r="E51" s="36" t="s">
        <v>49</v>
      </c>
      <c r="F51" s="406"/>
      <c r="G51" s="138"/>
      <c r="H51" s="408"/>
      <c r="I51" s="138"/>
      <c r="J51" s="138"/>
      <c r="K51" s="112"/>
      <c r="L51" s="89"/>
      <c r="M51" s="89" t="str">
        <f t="shared" si="1"/>
        <v>maria.sorolis@lrc.ky.gov</v>
      </c>
      <c r="N51" s="409" t="str">
        <f t="shared" si="3"/>
        <v>http://www.lrc.ky.gov/Messages/H048.aspx</v>
      </c>
      <c r="O51" s="89"/>
      <c r="P51" s="89"/>
      <c r="Q51" s="89"/>
      <c r="R51" s="89"/>
      <c r="S51" s="89"/>
    </row>
    <row r="52">
      <c r="A52" s="14" t="s">
        <v>44</v>
      </c>
      <c r="B52" s="31">
        <v>49.0</v>
      </c>
      <c r="C52" s="35" t="s">
        <v>561</v>
      </c>
      <c r="D52" s="404" t="s">
        <v>5205</v>
      </c>
      <c r="E52" s="51" t="s">
        <v>53</v>
      </c>
      <c r="F52" s="406"/>
      <c r="G52" s="129" t="s">
        <v>1047</v>
      </c>
      <c r="H52" s="408"/>
      <c r="I52" s="408"/>
      <c r="J52" s="138"/>
      <c r="K52" s="112"/>
      <c r="L52" s="89"/>
      <c r="M52" s="89" t="str">
        <f t="shared" si="1"/>
        <v>thomas.huff@lrc.ky.gov</v>
      </c>
      <c r="N52" s="409" t="str">
        <f t="shared" si="3"/>
        <v>http://www.lrc.ky.gov/Messages/H049.aspx</v>
      </c>
      <c r="O52" s="89"/>
      <c r="P52" s="89"/>
      <c r="Q52" s="89"/>
      <c r="R52" s="89"/>
      <c r="S52" s="89"/>
    </row>
    <row r="53">
      <c r="A53" s="14" t="s">
        <v>44</v>
      </c>
      <c r="B53" s="31">
        <v>50.0</v>
      </c>
      <c r="C53" s="74" t="s">
        <v>1626</v>
      </c>
      <c r="D53" s="404" t="s">
        <v>5209</v>
      </c>
      <c r="E53" s="51" t="s">
        <v>53</v>
      </c>
      <c r="F53" s="413" t="s">
        <v>1188</v>
      </c>
      <c r="G53" s="138"/>
      <c r="H53" s="408"/>
      <c r="I53" s="138"/>
      <c r="J53" s="138"/>
      <c r="K53" s="112"/>
      <c r="L53" s="89"/>
      <c r="M53" s="89" t="str">
        <f t="shared" si="1"/>
        <v>chad.mccoy@lrc.ky.gov</v>
      </c>
      <c r="N53" s="409" t="str">
        <f t="shared" si="3"/>
        <v>http://www.lrc.ky.gov/Messages/H050.aspx</v>
      </c>
      <c r="O53" s="89"/>
      <c r="P53" s="89"/>
      <c r="Q53" s="89"/>
      <c r="R53" s="89"/>
      <c r="S53" s="89"/>
    </row>
    <row r="54">
      <c r="A54" s="14" t="s">
        <v>44</v>
      </c>
      <c r="B54" s="31">
        <v>51.0</v>
      </c>
      <c r="C54" s="35" t="s">
        <v>278</v>
      </c>
      <c r="D54" s="404" t="s">
        <v>2533</v>
      </c>
      <c r="E54" s="51" t="s">
        <v>53</v>
      </c>
      <c r="F54" s="413" t="s">
        <v>176</v>
      </c>
      <c r="G54" s="138"/>
      <c r="H54" s="138"/>
      <c r="I54" s="408"/>
      <c r="J54" s="138"/>
      <c r="K54" s="112"/>
      <c r="L54" s="89"/>
      <c r="M54" s="89" t="str">
        <f t="shared" si="1"/>
        <v>john.carney@lrc.ky.gov</v>
      </c>
      <c r="N54" s="409" t="str">
        <f t="shared" si="3"/>
        <v>http://www.lrc.ky.gov/Messages/H051.aspx</v>
      </c>
      <c r="O54" s="89"/>
      <c r="P54" s="89"/>
      <c r="Q54" s="89"/>
      <c r="R54" s="89"/>
      <c r="S54" s="89"/>
    </row>
    <row r="55">
      <c r="A55" s="14" t="s">
        <v>44</v>
      </c>
      <c r="B55" s="31">
        <v>52.0</v>
      </c>
      <c r="C55" s="35" t="s">
        <v>1049</v>
      </c>
      <c r="D55" s="404" t="s">
        <v>5215</v>
      </c>
      <c r="E55" s="51" t="s">
        <v>53</v>
      </c>
      <c r="F55" s="406"/>
      <c r="G55" s="129" t="s">
        <v>536</v>
      </c>
      <c r="H55" s="138"/>
      <c r="I55" s="408"/>
      <c r="J55" s="138"/>
      <c r="K55" s="112"/>
      <c r="L55" s="89"/>
      <c r="M55" s="89" t="str">
        <f t="shared" si="1"/>
        <v>ken.upchurch@lrc.ky.gov</v>
      </c>
      <c r="N55" s="409" t="str">
        <f t="shared" si="3"/>
        <v>http://www.lrc.ky.gov/Messages/H052.aspx</v>
      </c>
      <c r="O55" s="89"/>
      <c r="P55" s="89"/>
      <c r="Q55" s="89"/>
      <c r="R55" s="89"/>
      <c r="S55" s="89"/>
    </row>
    <row r="56">
      <c r="A56" s="14" t="s">
        <v>44</v>
      </c>
      <c r="B56" s="31">
        <v>53.0</v>
      </c>
      <c r="C56" s="74" t="s">
        <v>930</v>
      </c>
      <c r="D56" s="404" t="s">
        <v>2485</v>
      </c>
      <c r="E56" s="51" t="s">
        <v>53</v>
      </c>
      <c r="F56" s="406"/>
      <c r="G56" s="138"/>
      <c r="H56" s="408"/>
      <c r="I56" s="408"/>
      <c r="J56" s="138"/>
      <c r="K56" s="112"/>
      <c r="L56" s="89"/>
      <c r="M56" s="89" t="str">
        <f t="shared" si="1"/>
        <v>james.tipton@lrc.ky.gov</v>
      </c>
      <c r="N56" s="409" t="str">
        <f t="shared" si="3"/>
        <v>http://www.lrc.ky.gov/Messages/H053.aspx</v>
      </c>
      <c r="O56" s="89"/>
      <c r="P56" s="89"/>
      <c r="Q56" s="89"/>
      <c r="R56" s="89"/>
      <c r="S56" s="89"/>
    </row>
    <row r="57">
      <c r="A57" s="14" t="s">
        <v>44</v>
      </c>
      <c r="B57" s="31">
        <v>54.0</v>
      </c>
      <c r="C57" s="74" t="s">
        <v>552</v>
      </c>
      <c r="D57" s="404" t="s">
        <v>2427</v>
      </c>
      <c r="E57" s="51" t="s">
        <v>53</v>
      </c>
      <c r="F57" s="406"/>
      <c r="G57" s="138"/>
      <c r="H57" s="408"/>
      <c r="I57" s="138"/>
      <c r="J57" s="138"/>
      <c r="K57" s="112"/>
      <c r="L57" s="89"/>
      <c r="M57" s="89" t="str">
        <f t="shared" si="1"/>
        <v>daniel.elliott@lrc.ky.gov</v>
      </c>
      <c r="N57" s="409" t="str">
        <f t="shared" si="3"/>
        <v>http://www.lrc.ky.gov/Messages/H054.aspx</v>
      </c>
      <c r="O57" s="89"/>
      <c r="P57" s="89"/>
      <c r="Q57" s="89"/>
      <c r="R57" s="89"/>
      <c r="S57" s="89"/>
    </row>
    <row r="58">
      <c r="A58" s="14" t="s">
        <v>44</v>
      </c>
      <c r="B58" s="31">
        <v>55.0</v>
      </c>
      <c r="C58" s="74" t="s">
        <v>1973</v>
      </c>
      <c r="D58" s="404" t="s">
        <v>5219</v>
      </c>
      <c r="E58" s="51" t="s">
        <v>53</v>
      </c>
      <c r="F58" s="406"/>
      <c r="G58" s="138"/>
      <c r="H58" s="408"/>
      <c r="I58" s="408"/>
      <c r="J58" s="138"/>
      <c r="K58" s="112"/>
      <c r="L58" s="89"/>
      <c r="M58" s="89" t="str">
        <f t="shared" si="1"/>
        <v>kim.king@lrc.ky.gov</v>
      </c>
      <c r="N58" s="409" t="str">
        <f t="shared" si="3"/>
        <v>http://www.lrc.ky.gov/Messages/H055.aspx</v>
      </c>
      <c r="O58" s="89"/>
      <c r="P58" s="89"/>
      <c r="Q58" s="89"/>
      <c r="R58" s="89"/>
      <c r="S58" s="89"/>
    </row>
    <row r="59">
      <c r="A59" s="14" t="s">
        <v>44</v>
      </c>
      <c r="B59" s="31">
        <v>56.0</v>
      </c>
      <c r="C59" s="74" t="s">
        <v>622</v>
      </c>
      <c r="D59" s="404" t="s">
        <v>5221</v>
      </c>
      <c r="E59" s="36" t="s">
        <v>49</v>
      </c>
      <c r="F59" s="406"/>
      <c r="G59" s="138"/>
      <c r="H59" s="408"/>
      <c r="I59" s="408"/>
      <c r="J59" s="138"/>
      <c r="K59" s="112"/>
      <c r="L59" s="89"/>
      <c r="M59" s="89" t="str">
        <f t="shared" si="1"/>
        <v>joe.graviss@lrc.ky.gov</v>
      </c>
      <c r="N59" s="409" t="str">
        <f t="shared" si="3"/>
        <v>http://www.lrc.ky.gov/Messages/H056.aspx</v>
      </c>
      <c r="O59" s="89"/>
      <c r="P59" s="89"/>
      <c r="Q59" s="89"/>
      <c r="R59" s="89"/>
      <c r="S59" s="89"/>
    </row>
    <row r="60">
      <c r="A60" s="14" t="s">
        <v>44</v>
      </c>
      <c r="B60" s="31">
        <v>57.0</v>
      </c>
      <c r="C60" s="74" t="s">
        <v>3497</v>
      </c>
      <c r="D60" s="404" t="s">
        <v>5222</v>
      </c>
      <c r="E60" s="36" t="s">
        <v>49</v>
      </c>
      <c r="F60" s="413" t="s">
        <v>2029</v>
      </c>
      <c r="G60" s="138"/>
      <c r="H60" s="408"/>
      <c r="I60" s="408"/>
      <c r="J60" s="138"/>
      <c r="K60" s="112"/>
      <c r="L60" s="89"/>
      <c r="M60" s="89" t="str">
        <f t="shared" si="1"/>
        <v>derrick.graham@lrc.ky.gov</v>
      </c>
      <c r="N60" s="409" t="str">
        <f t="shared" si="3"/>
        <v>http://www.lrc.ky.gov/Messages/H057.aspx</v>
      </c>
      <c r="O60" s="89"/>
      <c r="P60" s="89"/>
      <c r="Q60" s="89"/>
      <c r="R60" s="89"/>
      <c r="S60" s="89"/>
    </row>
    <row r="61">
      <c r="A61" s="14" t="s">
        <v>44</v>
      </c>
      <c r="B61" s="31">
        <v>58.0</v>
      </c>
      <c r="C61" s="74" t="s">
        <v>1476</v>
      </c>
      <c r="D61" s="404" t="s">
        <v>5223</v>
      </c>
      <c r="E61" s="51" t="s">
        <v>53</v>
      </c>
      <c r="F61" s="406"/>
      <c r="G61" s="138"/>
      <c r="H61" s="138"/>
      <c r="I61" s="408"/>
      <c r="J61" s="138"/>
      <c r="K61" s="112"/>
      <c r="L61" s="89"/>
      <c r="M61" s="89" t="str">
        <f t="shared" si="1"/>
        <v>rob.rothenburger@lrc.ky.gov</v>
      </c>
      <c r="N61" s="409" t="str">
        <f t="shared" si="3"/>
        <v>http://www.lrc.ky.gov/Messages/H058.aspx</v>
      </c>
      <c r="O61" s="89"/>
      <c r="P61" s="89"/>
      <c r="Q61" s="89"/>
      <c r="R61" s="89"/>
      <c r="S61" s="89"/>
    </row>
    <row r="62">
      <c r="A62" s="14" t="s">
        <v>44</v>
      </c>
      <c r="B62" s="31">
        <v>59.0</v>
      </c>
      <c r="C62" s="74" t="s">
        <v>108</v>
      </c>
      <c r="D62" s="404" t="s">
        <v>833</v>
      </c>
      <c r="E62" s="51" t="s">
        <v>53</v>
      </c>
      <c r="F62" s="413" t="s">
        <v>254</v>
      </c>
      <c r="G62" s="138"/>
      <c r="H62" s="408"/>
      <c r="I62" s="408"/>
      <c r="J62" s="138"/>
      <c r="K62" s="112"/>
      <c r="L62" s="89"/>
      <c r="M62" s="89" t="str">
        <f t="shared" si="1"/>
        <v>david.osborne@lrc.ky.gov</v>
      </c>
      <c r="N62" s="409" t="str">
        <f t="shared" si="3"/>
        <v>http://www.lrc.ky.gov/Messages/H059.aspx</v>
      </c>
      <c r="O62" s="89"/>
      <c r="P62" s="89"/>
      <c r="Q62" s="89"/>
      <c r="R62" s="89"/>
      <c r="S62" s="89"/>
    </row>
    <row r="63">
      <c r="A63" s="14" t="s">
        <v>44</v>
      </c>
      <c r="B63" s="31">
        <v>60.0</v>
      </c>
      <c r="C63" s="74" t="s">
        <v>5226</v>
      </c>
      <c r="D63" s="404" t="s">
        <v>5227</v>
      </c>
      <c r="E63" s="51" t="s">
        <v>53</v>
      </c>
      <c r="F63" s="406"/>
      <c r="G63" s="138"/>
      <c r="H63" s="408"/>
      <c r="I63" s="408"/>
      <c r="J63" s="138"/>
      <c r="K63" s="112"/>
      <c r="L63" s="89"/>
      <c r="M63" s="89" t="str">
        <f t="shared" si="1"/>
        <v>sal.santoro@lrc.ky.gov</v>
      </c>
      <c r="N63" s="409" t="str">
        <f t="shared" si="3"/>
        <v>http://www.lrc.ky.gov/Messages/H060.aspx</v>
      </c>
      <c r="O63" s="89"/>
      <c r="P63" s="89"/>
      <c r="Q63" s="89"/>
      <c r="R63" s="89"/>
      <c r="S63" s="89"/>
    </row>
    <row r="64">
      <c r="A64" s="14" t="s">
        <v>44</v>
      </c>
      <c r="B64" s="31">
        <v>61.0</v>
      </c>
      <c r="C64" s="74" t="s">
        <v>5230</v>
      </c>
      <c r="D64" s="404" t="s">
        <v>1158</v>
      </c>
      <c r="E64" s="51" t="s">
        <v>53</v>
      </c>
      <c r="F64" s="406"/>
      <c r="G64" s="138"/>
      <c r="H64" s="408"/>
      <c r="I64" s="408"/>
      <c r="J64" s="138"/>
      <c r="K64" s="112"/>
      <c r="L64" s="89"/>
      <c r="M64" s="89" t="str">
        <f t="shared" si="1"/>
        <v>savannah.maddox@lrc.ky.gov</v>
      </c>
      <c r="N64" s="409" t="str">
        <f t="shared" si="3"/>
        <v>http://www.lrc.ky.gov/Messages/H061.aspx</v>
      </c>
      <c r="O64" s="89"/>
      <c r="P64" s="89"/>
      <c r="Q64" s="89"/>
      <c r="R64" s="89"/>
      <c r="S64" s="89"/>
    </row>
    <row r="65">
      <c r="A65" s="14" t="s">
        <v>44</v>
      </c>
      <c r="B65" s="31">
        <v>62.0</v>
      </c>
      <c r="C65" s="74" t="s">
        <v>5231</v>
      </c>
      <c r="D65" s="404" t="s">
        <v>1208</v>
      </c>
      <c r="E65" s="51" t="s">
        <v>53</v>
      </c>
      <c r="F65" s="406"/>
      <c r="G65" s="138"/>
      <c r="H65" s="138"/>
      <c r="I65" s="408"/>
      <c r="J65" s="138"/>
      <c r="K65" s="112"/>
      <c r="L65" s="89"/>
      <c r="M65" s="89" t="str">
        <f t="shared" si="1"/>
        <v>philip.pratt@lrc.ky.gov</v>
      </c>
      <c r="N65" s="409" t="str">
        <f t="shared" si="3"/>
        <v>http://www.lrc.ky.gov/Messages/H062.aspx</v>
      </c>
      <c r="O65" s="89"/>
      <c r="P65" s="89"/>
      <c r="Q65" s="89"/>
      <c r="R65" s="89"/>
      <c r="S65" s="89"/>
    </row>
    <row r="66">
      <c r="A66" s="14" t="s">
        <v>44</v>
      </c>
      <c r="B66" s="31">
        <v>63.0</v>
      </c>
      <c r="C66" s="74" t="s">
        <v>5233</v>
      </c>
      <c r="D66" s="404" t="s">
        <v>5234</v>
      </c>
      <c r="E66" s="51" t="s">
        <v>53</v>
      </c>
      <c r="F66" s="406"/>
      <c r="G66" s="129" t="s">
        <v>5236</v>
      </c>
      <c r="H66" s="138"/>
      <c r="I66" s="408"/>
      <c r="J66" s="138"/>
      <c r="K66" s="112"/>
      <c r="L66" s="89"/>
      <c r="M66" s="89" t="str">
        <f t="shared" si="1"/>
        <v>diane.st.onge@lrc.ky.gov</v>
      </c>
      <c r="N66" s="409" t="str">
        <f t="shared" si="3"/>
        <v>http://www.lrc.ky.gov/Messages/H063.aspx</v>
      </c>
      <c r="O66" s="89"/>
      <c r="P66" s="89"/>
      <c r="Q66" s="89"/>
      <c r="R66" s="89"/>
      <c r="S66" s="89"/>
    </row>
    <row r="67">
      <c r="A67" s="14" t="s">
        <v>44</v>
      </c>
      <c r="B67" s="31">
        <v>64.0</v>
      </c>
      <c r="C67" s="74" t="s">
        <v>2689</v>
      </c>
      <c r="D67" s="404" t="s">
        <v>5237</v>
      </c>
      <c r="E67" s="51" t="s">
        <v>53</v>
      </c>
      <c r="F67" s="406"/>
      <c r="G67" s="129" t="s">
        <v>5239</v>
      </c>
      <c r="H67" s="408"/>
      <c r="I67" s="408"/>
      <c r="J67" s="138"/>
      <c r="K67" s="112"/>
      <c r="L67" s="89"/>
      <c r="M67" s="89" t="str">
        <f t="shared" si="1"/>
        <v>kimberly.moser@lrc.ky.gov</v>
      </c>
      <c r="N67" s="409" t="str">
        <f t="shared" si="3"/>
        <v>http://www.lrc.ky.gov/Messages/H064.aspx</v>
      </c>
      <c r="O67" s="89"/>
      <c r="P67" s="89"/>
      <c r="Q67" s="89"/>
      <c r="R67" s="89"/>
      <c r="S67" s="89"/>
    </row>
    <row r="68">
      <c r="A68" s="14" t="s">
        <v>44</v>
      </c>
      <c r="B68" s="31">
        <v>65.0</v>
      </c>
      <c r="C68" s="74" t="s">
        <v>1287</v>
      </c>
      <c r="D68" s="404" t="s">
        <v>5241</v>
      </c>
      <c r="E68" s="36" t="s">
        <v>49</v>
      </c>
      <c r="F68" s="406"/>
      <c r="G68" s="138"/>
      <c r="H68" s="408"/>
      <c r="I68" s="408"/>
      <c r="J68" s="138"/>
      <c r="K68" s="112"/>
      <c r="L68" s="89"/>
      <c r="M68" s="89" t="str">
        <f t="shared" si="1"/>
        <v>charles.wheatley@lrc.ky.gov</v>
      </c>
      <c r="N68" s="409" t="str">
        <f t="shared" si="3"/>
        <v>http://www.lrc.ky.gov/Messages/H065.aspx</v>
      </c>
      <c r="O68" s="89"/>
      <c r="P68" s="89"/>
      <c r="Q68" s="89"/>
      <c r="R68" s="89"/>
      <c r="S68" s="89"/>
    </row>
    <row r="69">
      <c r="A69" s="14" t="s">
        <v>44</v>
      </c>
      <c r="B69" s="31">
        <v>66.0</v>
      </c>
      <c r="C69" s="74" t="s">
        <v>636</v>
      </c>
      <c r="D69" s="404" t="s">
        <v>5243</v>
      </c>
      <c r="E69" s="51" t="s">
        <v>53</v>
      </c>
      <c r="F69" s="406"/>
      <c r="G69" s="138"/>
      <c r="H69" s="138"/>
      <c r="I69" s="408"/>
      <c r="J69" s="138"/>
      <c r="K69" s="112"/>
      <c r="L69" s="89"/>
      <c r="M69" s="89" t="str">
        <f t="shared" si="1"/>
        <v>ed.massey@lrc.ky.gov</v>
      </c>
      <c r="N69" s="409" t="str">
        <f t="shared" si="3"/>
        <v>http://www.lrc.ky.gov/Messages/H066.aspx</v>
      </c>
      <c r="O69" s="89"/>
      <c r="P69" s="89"/>
      <c r="Q69" s="89"/>
      <c r="R69" s="89"/>
      <c r="S69" s="89"/>
    </row>
    <row r="70">
      <c r="A70" s="14" t="s">
        <v>44</v>
      </c>
      <c r="B70" s="31">
        <v>67.0</v>
      </c>
      <c r="C70" s="74" t="s">
        <v>2194</v>
      </c>
      <c r="D70" s="404" t="s">
        <v>5244</v>
      </c>
      <c r="E70" s="36" t="s">
        <v>49</v>
      </c>
      <c r="F70" s="406"/>
      <c r="G70" s="138"/>
      <c r="H70" s="408"/>
      <c r="I70" s="408"/>
      <c r="J70" s="138"/>
      <c r="K70" s="112"/>
      <c r="L70" s="89"/>
      <c r="M70" s="89" t="str">
        <f t="shared" si="1"/>
        <v>dennis.keene@lrc.ky.gov</v>
      </c>
      <c r="N70" s="409" t="str">
        <f t="shared" si="3"/>
        <v>http://www.lrc.ky.gov/Messages/H067.aspx</v>
      </c>
      <c r="O70" s="89"/>
      <c r="P70" s="89"/>
      <c r="Q70" s="89"/>
      <c r="R70" s="89"/>
      <c r="S70" s="89"/>
    </row>
    <row r="71">
      <c r="A71" s="14" t="s">
        <v>44</v>
      </c>
      <c r="B71" s="31">
        <v>68.0</v>
      </c>
      <c r="C71" s="74" t="s">
        <v>2527</v>
      </c>
      <c r="D71" s="404" t="s">
        <v>2861</v>
      </c>
      <c r="E71" s="51" t="s">
        <v>53</v>
      </c>
      <c r="F71" s="406"/>
      <c r="G71" s="138"/>
      <c r="H71" s="138"/>
      <c r="I71" s="408"/>
      <c r="J71" s="138"/>
      <c r="K71" s="112"/>
      <c r="L71" s="89"/>
      <c r="M71" s="89" t="str">
        <f t="shared" si="1"/>
        <v>joseph.fischer@lrc.ky.gov</v>
      </c>
      <c r="N71" s="409" t="str">
        <f t="shared" si="3"/>
        <v>http://www.lrc.ky.gov/Messages/H068.aspx</v>
      </c>
      <c r="O71" s="89"/>
      <c r="P71" s="89"/>
      <c r="Q71" s="89"/>
      <c r="R71" s="89"/>
      <c r="S71" s="89"/>
    </row>
    <row r="72">
      <c r="A72" s="14" t="s">
        <v>44</v>
      </c>
      <c r="B72" s="31">
        <v>69.0</v>
      </c>
      <c r="C72" s="74" t="s">
        <v>69</v>
      </c>
      <c r="D72" s="404" t="s">
        <v>5246</v>
      </c>
      <c r="E72" s="51" t="s">
        <v>53</v>
      </c>
      <c r="F72" s="406"/>
      <c r="G72" s="129" t="s">
        <v>5247</v>
      </c>
      <c r="H72" s="138"/>
      <c r="I72" s="408"/>
      <c r="J72" s="138"/>
      <c r="K72" s="112"/>
      <c r="L72" s="89"/>
      <c r="M72" s="89" t="str">
        <f t="shared" si="1"/>
        <v>adam.koenig@lrc.ky.gov</v>
      </c>
      <c r="N72" s="409" t="str">
        <f t="shared" si="3"/>
        <v>http://www.lrc.ky.gov/Messages/H069.aspx</v>
      </c>
      <c r="O72" s="89"/>
      <c r="P72" s="89"/>
      <c r="Q72" s="89"/>
      <c r="R72" s="89"/>
      <c r="S72" s="89"/>
    </row>
    <row r="73">
      <c r="A73" s="14" t="s">
        <v>44</v>
      </c>
      <c r="B73" s="31">
        <v>70.0</v>
      </c>
      <c r="C73" s="74" t="s">
        <v>278</v>
      </c>
      <c r="D73" s="404" t="s">
        <v>4539</v>
      </c>
      <c r="E73" s="36" t="s">
        <v>49</v>
      </c>
      <c r="F73" s="406"/>
      <c r="G73" s="138"/>
      <c r="H73" s="408"/>
      <c r="I73" s="408"/>
      <c r="J73" s="138"/>
      <c r="K73" s="112"/>
      <c r="L73" s="89"/>
      <c r="M73" s="89" t="str">
        <f t="shared" si="1"/>
        <v>john.sims@lrc.ky.gov</v>
      </c>
      <c r="N73" s="409" t="str">
        <f t="shared" si="3"/>
        <v>http://www.lrc.ky.gov/Messages/H070.aspx</v>
      </c>
      <c r="O73" s="89"/>
      <c r="P73" s="89"/>
      <c r="Q73" s="89"/>
      <c r="R73" s="89"/>
      <c r="S73" s="89"/>
    </row>
    <row r="74">
      <c r="A74" s="14" t="s">
        <v>44</v>
      </c>
      <c r="B74" s="31">
        <v>71.0</v>
      </c>
      <c r="C74" s="74" t="s">
        <v>807</v>
      </c>
      <c r="D74" s="404" t="s">
        <v>2755</v>
      </c>
      <c r="E74" s="51" t="s">
        <v>53</v>
      </c>
      <c r="F74" s="406"/>
      <c r="G74" s="138"/>
      <c r="H74" s="408"/>
      <c r="I74" s="138"/>
      <c r="J74" s="138"/>
      <c r="K74" s="112"/>
      <c r="L74" s="89"/>
      <c r="M74" s="89" t="str">
        <f t="shared" si="1"/>
        <v>travis.brenda@lrc.ky.gov</v>
      </c>
      <c r="N74" s="409" t="str">
        <f t="shared" si="3"/>
        <v>http://www.lrc.ky.gov/Messages/H071.aspx</v>
      </c>
      <c r="O74" s="89"/>
      <c r="P74" s="89"/>
      <c r="Q74" s="89"/>
      <c r="R74" s="89"/>
      <c r="S74" s="89"/>
    </row>
    <row r="75">
      <c r="A75" s="14" t="s">
        <v>44</v>
      </c>
      <c r="B75" s="31">
        <v>72.0</v>
      </c>
      <c r="C75" s="35" t="s">
        <v>896</v>
      </c>
      <c r="D75" s="404" t="s">
        <v>4924</v>
      </c>
      <c r="E75" s="51" t="s">
        <v>53</v>
      </c>
      <c r="F75" s="406"/>
      <c r="G75" s="138"/>
      <c r="H75" s="408"/>
      <c r="I75" s="408"/>
      <c r="J75" s="138"/>
      <c r="K75" s="112"/>
      <c r="L75" s="89"/>
      <c r="M75" s="89" t="str">
        <f t="shared" si="1"/>
        <v>matthew.koch@lrc.ky.gov</v>
      </c>
      <c r="N75" s="409" t="str">
        <f t="shared" si="3"/>
        <v>http://www.lrc.ky.gov/Messages/H072.aspx</v>
      </c>
      <c r="O75" s="89"/>
      <c r="P75" s="89"/>
      <c r="Q75" s="89"/>
      <c r="R75" s="89"/>
      <c r="S75" s="89"/>
    </row>
    <row r="76">
      <c r="A76" s="14" t="s">
        <v>44</v>
      </c>
      <c r="B76" s="31">
        <v>73.0</v>
      </c>
      <c r="C76" s="74" t="s">
        <v>1205</v>
      </c>
      <c r="D76" s="404" t="s">
        <v>5251</v>
      </c>
      <c r="E76" s="51" t="s">
        <v>53</v>
      </c>
      <c r="F76" s="413"/>
      <c r="G76" s="138"/>
      <c r="H76" s="138"/>
      <c r="I76" s="138"/>
      <c r="J76" s="138"/>
      <c r="K76" s="112"/>
      <c r="L76" s="89"/>
      <c r="M76" s="89" t="str">
        <f t="shared" si="1"/>
        <v>les.yates@lrc.ky.gov</v>
      </c>
      <c r="N76" s="409" t="str">
        <f t="shared" si="3"/>
        <v>http://www.lrc.ky.gov/Messages/H073.aspx</v>
      </c>
      <c r="O76" s="89"/>
      <c r="P76" s="89"/>
      <c r="Q76" s="89"/>
      <c r="R76" s="89"/>
      <c r="S76" s="89"/>
    </row>
    <row r="77">
      <c r="A77" s="14" t="s">
        <v>44</v>
      </c>
      <c r="B77" s="31">
        <v>74.0</v>
      </c>
      <c r="C77" s="74" t="s">
        <v>108</v>
      </c>
      <c r="D77" s="404" t="s">
        <v>5252</v>
      </c>
      <c r="E77" s="51" t="s">
        <v>53</v>
      </c>
      <c r="F77" s="406"/>
      <c r="G77" s="138"/>
      <c r="H77" s="408"/>
      <c r="I77" s="138"/>
      <c r="J77" s="138"/>
      <c r="K77" s="112"/>
      <c r="L77" s="89"/>
      <c r="M77" s="89" t="str">
        <f t="shared" si="1"/>
        <v>david.hale@lrc.ky.gov</v>
      </c>
      <c r="N77" s="409" t="str">
        <f t="shared" si="3"/>
        <v>http://www.lrc.ky.gov/Messages/H074.aspx</v>
      </c>
      <c r="O77" s="89"/>
      <c r="P77" s="89"/>
      <c r="Q77" s="89"/>
      <c r="R77" s="89"/>
      <c r="S77" s="89"/>
    </row>
    <row r="78">
      <c r="A78" s="14" t="s">
        <v>44</v>
      </c>
      <c r="B78" s="31">
        <v>75.0</v>
      </c>
      <c r="C78" s="74" t="s">
        <v>130</v>
      </c>
      <c r="D78" s="404" t="s">
        <v>5253</v>
      </c>
      <c r="E78" s="36" t="s">
        <v>49</v>
      </c>
      <c r="F78" s="406"/>
      <c r="G78" s="138"/>
      <c r="H78" s="408"/>
      <c r="I78" s="408"/>
      <c r="J78" s="138"/>
      <c r="K78" s="112"/>
      <c r="L78" s="89"/>
      <c r="M78" s="89" t="str">
        <f t="shared" si="1"/>
        <v>kelly.flood@lrc.ky.gov</v>
      </c>
      <c r="N78" s="409" t="str">
        <f t="shared" si="3"/>
        <v>http://www.lrc.ky.gov/Messages/H075.aspx</v>
      </c>
      <c r="O78" s="89"/>
      <c r="P78" s="89"/>
      <c r="Q78" s="89"/>
      <c r="R78" s="89"/>
      <c r="S78" s="89"/>
    </row>
    <row r="79">
      <c r="A79" s="14" t="s">
        <v>44</v>
      </c>
      <c r="B79" s="31">
        <v>76.0</v>
      </c>
      <c r="C79" s="35" t="s">
        <v>2779</v>
      </c>
      <c r="D79" s="404" t="s">
        <v>5256</v>
      </c>
      <c r="E79" s="36" t="s">
        <v>49</v>
      </c>
      <c r="F79" s="406"/>
      <c r="G79" s="138"/>
      <c r="H79" s="408"/>
      <c r="I79" s="408"/>
      <c r="J79" s="138"/>
      <c r="K79" s="112"/>
      <c r="L79" s="89"/>
      <c r="M79" s="89" t="str">
        <f t="shared" si="1"/>
        <v>ruth.palumbo@lrc.ky.gov</v>
      </c>
      <c r="N79" s="409" t="str">
        <f t="shared" si="3"/>
        <v>http://www.lrc.ky.gov/Messages/H076.aspx</v>
      </c>
      <c r="O79" s="89"/>
      <c r="P79" s="89"/>
      <c r="Q79" s="89"/>
      <c r="R79" s="89"/>
      <c r="S79" s="89"/>
    </row>
    <row r="80">
      <c r="A80" s="14" t="s">
        <v>44</v>
      </c>
      <c r="B80" s="31">
        <v>77.0</v>
      </c>
      <c r="C80" s="74" t="s">
        <v>98</v>
      </c>
      <c r="D80" s="404" t="s">
        <v>447</v>
      </c>
      <c r="E80" s="36" t="s">
        <v>49</v>
      </c>
      <c r="F80" s="406"/>
      <c r="G80" s="138"/>
      <c r="H80" s="408"/>
      <c r="I80" s="408"/>
      <c r="J80" s="138"/>
      <c r="K80" s="112"/>
      <c r="L80" s="89"/>
      <c r="M80" s="89" t="str">
        <f t="shared" si="1"/>
        <v>george.brown@lrc.ky.gov</v>
      </c>
      <c r="N80" s="409" t="str">
        <f t="shared" si="3"/>
        <v>http://www.lrc.ky.gov/Messages/H077.aspx</v>
      </c>
      <c r="O80" s="89"/>
      <c r="P80" s="89"/>
      <c r="Q80" s="89"/>
      <c r="R80" s="89"/>
      <c r="S80" s="89"/>
    </row>
    <row r="81">
      <c r="A81" s="14" t="s">
        <v>44</v>
      </c>
      <c r="B81" s="31">
        <v>78.0</v>
      </c>
      <c r="C81" s="74" t="s">
        <v>91</v>
      </c>
      <c r="D81" s="404" t="s">
        <v>3023</v>
      </c>
      <c r="E81" s="51" t="s">
        <v>53</v>
      </c>
      <c r="F81" s="406"/>
      <c r="G81" s="138"/>
      <c r="H81" s="408"/>
      <c r="I81" s="138"/>
      <c r="J81" s="138"/>
      <c r="K81" s="112"/>
      <c r="L81" s="89"/>
      <c r="M81" s="89" t="str">
        <f t="shared" si="1"/>
        <v>mark.hart@lrc.ky.gov</v>
      </c>
      <c r="N81" s="409" t="str">
        <f t="shared" si="3"/>
        <v>http://www.lrc.ky.gov/Messages/H078.aspx</v>
      </c>
      <c r="O81" s="89"/>
      <c r="P81" s="89"/>
      <c r="Q81" s="89"/>
      <c r="R81" s="89"/>
      <c r="S81" s="89"/>
    </row>
    <row r="82">
      <c r="A82" s="14" t="s">
        <v>44</v>
      </c>
      <c r="B82" s="31">
        <v>79.0</v>
      </c>
      <c r="C82" s="74" t="s">
        <v>1446</v>
      </c>
      <c r="D82" s="404" t="s">
        <v>5261</v>
      </c>
      <c r="E82" s="36" t="s">
        <v>49</v>
      </c>
      <c r="F82" s="406"/>
      <c r="G82" s="138"/>
      <c r="H82" s="408"/>
      <c r="I82" s="408"/>
      <c r="J82" s="138"/>
      <c r="K82" s="112"/>
      <c r="L82" s="89"/>
      <c r="M82" s="89" t="str">
        <f t="shared" si="1"/>
        <v>susan.westrom@lrc.ky.gov</v>
      </c>
      <c r="N82" s="409" t="str">
        <f t="shared" si="3"/>
        <v>http://www.lrc.ky.gov/Messages/H079.aspx</v>
      </c>
      <c r="O82" s="89"/>
      <c r="P82" s="89"/>
      <c r="Q82" s="89"/>
      <c r="R82" s="89"/>
      <c r="S82" s="89"/>
    </row>
    <row r="83">
      <c r="A83" s="14" t="s">
        <v>44</v>
      </c>
      <c r="B83" s="31">
        <v>80.0</v>
      </c>
      <c r="C83" s="74" t="s">
        <v>108</v>
      </c>
      <c r="D83" s="404" t="s">
        <v>5262</v>
      </c>
      <c r="E83" s="51" t="s">
        <v>53</v>
      </c>
      <c r="F83" s="413" t="s">
        <v>751</v>
      </c>
      <c r="G83" s="138"/>
      <c r="H83" s="408"/>
      <c r="I83" s="408"/>
      <c r="J83" s="138"/>
      <c r="K83" s="112"/>
      <c r="L83" s="89"/>
      <c r="M83" s="89" t="str">
        <f t="shared" si="1"/>
        <v>david.meade@lrc.ky.gov</v>
      </c>
      <c r="N83" s="409" t="str">
        <f t="shared" si="3"/>
        <v>http://www.lrc.ky.gov/Messages/H080.aspx</v>
      </c>
      <c r="O83" s="89"/>
      <c r="P83" s="89"/>
      <c r="Q83" s="89"/>
      <c r="R83" s="89"/>
      <c r="S83" s="89"/>
    </row>
    <row r="84">
      <c r="A84" s="14" t="s">
        <v>44</v>
      </c>
      <c r="B84" s="31">
        <v>81.0</v>
      </c>
      <c r="C84" s="74" t="s">
        <v>5265</v>
      </c>
      <c r="D84" s="404" t="s">
        <v>1437</v>
      </c>
      <c r="E84" s="51" t="s">
        <v>53</v>
      </c>
      <c r="F84" s="406"/>
      <c r="G84" s="138"/>
      <c r="H84" s="408"/>
      <c r="I84" s="408"/>
      <c r="J84" s="138"/>
      <c r="K84" s="112"/>
      <c r="L84" s="89"/>
      <c r="M84" s="89" t="str">
        <f t="shared" si="1"/>
        <v>deanna.frazier@lrc.ky.gov</v>
      </c>
      <c r="N84" s="409" t="str">
        <f t="shared" si="3"/>
        <v>http://www.lrc.ky.gov/Messages/H081.aspx</v>
      </c>
      <c r="O84" s="89"/>
      <c r="P84" s="89"/>
      <c r="Q84" s="89"/>
      <c r="R84" s="89"/>
      <c r="S84" s="89"/>
    </row>
    <row r="85">
      <c r="A85" s="14" t="s">
        <v>44</v>
      </c>
      <c r="B85" s="31">
        <v>82.0</v>
      </c>
      <c r="C85" s="35" t="s">
        <v>659</v>
      </c>
      <c r="D85" s="404" t="s">
        <v>5205</v>
      </c>
      <c r="E85" s="51" t="s">
        <v>53</v>
      </c>
      <c r="F85" s="406"/>
      <c r="G85" s="138"/>
      <c r="H85" s="408"/>
      <c r="I85" s="408"/>
      <c r="J85" s="138"/>
      <c r="K85" s="112"/>
      <c r="L85" s="89"/>
      <c r="M85" s="89" t="str">
        <f t="shared" si="1"/>
        <v>regina.huff@lrc.ky.gov</v>
      </c>
      <c r="N85" s="409" t="str">
        <f t="shared" si="3"/>
        <v>http://www.lrc.ky.gov/Messages/H082.aspx</v>
      </c>
      <c r="O85" s="89"/>
      <c r="P85" s="89"/>
      <c r="Q85" s="89"/>
      <c r="R85" s="89"/>
      <c r="S85" s="89"/>
    </row>
    <row r="86">
      <c r="A86" s="14" t="s">
        <v>44</v>
      </c>
      <c r="B86" s="31">
        <v>83.0</v>
      </c>
      <c r="C86" s="74" t="s">
        <v>683</v>
      </c>
      <c r="D86" s="404" t="s">
        <v>5269</v>
      </c>
      <c r="E86" s="51" t="s">
        <v>53</v>
      </c>
      <c r="F86" s="406"/>
      <c r="G86" s="138"/>
      <c r="H86" s="408"/>
      <c r="I86" s="408"/>
      <c r="J86" s="138"/>
      <c r="K86" s="112"/>
      <c r="L86" s="89"/>
      <c r="M86" s="89" t="str">
        <f t="shared" si="1"/>
        <v>jeff.hoover@lrc.ky.gov</v>
      </c>
      <c r="N86" s="409" t="str">
        <f t="shared" si="3"/>
        <v>http://www.lrc.ky.gov/Messages/H083.aspx</v>
      </c>
      <c r="O86" s="89"/>
      <c r="P86" s="89"/>
      <c r="Q86" s="89"/>
      <c r="R86" s="89"/>
      <c r="S86" s="89"/>
    </row>
    <row r="87">
      <c r="A87" s="14" t="s">
        <v>44</v>
      </c>
      <c r="B87" s="31">
        <v>84.0</v>
      </c>
      <c r="C87" s="35" t="s">
        <v>173</v>
      </c>
      <c r="D87" s="404" t="s">
        <v>5272</v>
      </c>
      <c r="E87" s="51" t="s">
        <v>53</v>
      </c>
      <c r="F87" s="406"/>
      <c r="G87" s="138"/>
      <c r="H87" s="408"/>
      <c r="I87" s="138"/>
      <c r="J87" s="138"/>
      <c r="K87" s="112"/>
      <c r="L87" s="89"/>
      <c r="M87" s="89" t="str">
        <f t="shared" si="1"/>
        <v>chris.fugate@lrc.ky.gov</v>
      </c>
      <c r="N87" s="409" t="str">
        <f t="shared" si="3"/>
        <v>http://www.lrc.ky.gov/Messages/H084.aspx</v>
      </c>
      <c r="O87" s="89"/>
      <c r="P87" s="89"/>
      <c r="Q87" s="89"/>
      <c r="R87" s="89"/>
      <c r="S87" s="89"/>
    </row>
    <row r="88">
      <c r="A88" s="14" t="s">
        <v>44</v>
      </c>
      <c r="B88" s="31">
        <v>85.0</v>
      </c>
      <c r="C88" s="74" t="s">
        <v>317</v>
      </c>
      <c r="D88" s="404" t="s">
        <v>3193</v>
      </c>
      <c r="E88" s="51" t="s">
        <v>53</v>
      </c>
      <c r="F88" s="406"/>
      <c r="G88" s="129" t="s">
        <v>5275</v>
      </c>
      <c r="H88" s="138"/>
      <c r="I88" s="408"/>
      <c r="J88" s="138"/>
      <c r="K88" s="112"/>
      <c r="L88" s="89"/>
      <c r="M88" s="89" t="str">
        <f t="shared" si="1"/>
        <v>tommy.turner@lrc.ky.gov</v>
      </c>
      <c r="N88" s="409" t="str">
        <f t="shared" si="3"/>
        <v>http://www.lrc.ky.gov/Messages/H085.aspx</v>
      </c>
      <c r="O88" s="89"/>
      <c r="P88" s="89"/>
      <c r="Q88" s="89"/>
      <c r="R88" s="89"/>
      <c r="S88" s="89"/>
    </row>
    <row r="89">
      <c r="A89" s="14" t="s">
        <v>44</v>
      </c>
      <c r="B89" s="31">
        <v>86.0</v>
      </c>
      <c r="C89" s="74" t="s">
        <v>476</v>
      </c>
      <c r="D89" s="404" t="s">
        <v>3220</v>
      </c>
      <c r="E89" s="51" t="s">
        <v>53</v>
      </c>
      <c r="F89" s="406"/>
      <c r="G89" s="138"/>
      <c r="H89" s="408"/>
      <c r="I89" s="408"/>
      <c r="J89" s="138"/>
      <c r="K89" s="112"/>
      <c r="L89" s="89"/>
      <c r="M89" s="89" t="str">
        <f t="shared" si="1"/>
        <v>jim.stewart@lrc.ky.gov</v>
      </c>
      <c r="N89" s="409" t="str">
        <f t="shared" si="3"/>
        <v>http://www.lrc.ky.gov/Messages/H086.aspx</v>
      </c>
      <c r="O89" s="89"/>
      <c r="P89" s="89"/>
      <c r="Q89" s="89"/>
      <c r="R89" s="89"/>
      <c r="S89" s="89"/>
    </row>
    <row r="90">
      <c r="A90" s="14" t="s">
        <v>44</v>
      </c>
      <c r="B90" s="31">
        <v>87.0</v>
      </c>
      <c r="C90" s="74" t="s">
        <v>69</v>
      </c>
      <c r="D90" s="404" t="s">
        <v>5276</v>
      </c>
      <c r="E90" s="51" t="s">
        <v>53</v>
      </c>
      <c r="F90" s="406"/>
      <c r="G90" s="138"/>
      <c r="H90" s="408"/>
      <c r="I90" s="408"/>
      <c r="J90" s="138"/>
      <c r="K90" s="112"/>
      <c r="L90" s="89"/>
      <c r="M90" s="89" t="str">
        <f t="shared" si="1"/>
        <v>adam.bowling@lrc.ky.gov</v>
      </c>
      <c r="N90" s="409" t="str">
        <f t="shared" si="3"/>
        <v>http://www.lrc.ky.gov/Messages/H087.aspx</v>
      </c>
      <c r="O90" s="89"/>
      <c r="P90" s="89"/>
      <c r="Q90" s="89"/>
      <c r="R90" s="89"/>
      <c r="S90" s="89"/>
    </row>
    <row r="91">
      <c r="A91" s="14" t="s">
        <v>44</v>
      </c>
      <c r="B91" s="31">
        <v>88.0</v>
      </c>
      <c r="C91" s="74" t="s">
        <v>5279</v>
      </c>
      <c r="D91" s="404" t="s">
        <v>2870</v>
      </c>
      <c r="E91" s="36" t="s">
        <v>49</v>
      </c>
      <c r="F91" s="406"/>
      <c r="G91" s="138"/>
      <c r="H91" s="408"/>
      <c r="I91" s="408"/>
      <c r="J91" s="138"/>
      <c r="K91" s="112"/>
      <c r="L91" s="89"/>
      <c r="M91" s="89" t="str">
        <f t="shared" si="1"/>
        <v>cherlynn.stevenson@lrc.ky.gov</v>
      </c>
      <c r="N91" s="409" t="str">
        <f t="shared" si="3"/>
        <v>http://www.lrc.ky.gov/Messages/H088.aspx</v>
      </c>
      <c r="O91" s="89"/>
      <c r="P91" s="89"/>
      <c r="Q91" s="89"/>
      <c r="R91" s="89"/>
      <c r="S91" s="89"/>
    </row>
    <row r="92">
      <c r="A92" s="14" t="s">
        <v>44</v>
      </c>
      <c r="B92" s="31">
        <v>89.0</v>
      </c>
      <c r="C92" s="74" t="s">
        <v>1134</v>
      </c>
      <c r="D92" s="404" t="s">
        <v>5281</v>
      </c>
      <c r="E92" s="51" t="s">
        <v>53</v>
      </c>
      <c r="F92" s="416"/>
      <c r="G92" s="138"/>
      <c r="H92" s="408"/>
      <c r="I92" s="408"/>
      <c r="J92" s="138"/>
      <c r="K92" s="112"/>
      <c r="L92" s="89"/>
      <c r="M92" s="89" t="str">
        <f t="shared" si="1"/>
        <v>robert.goforth@lrc.ky.gov</v>
      </c>
      <c r="N92" s="409" t="str">
        <f t="shared" si="3"/>
        <v>http://www.lrc.ky.gov/Messages/H089.aspx</v>
      </c>
      <c r="O92" s="89"/>
      <c r="P92" s="89"/>
      <c r="Q92" s="89"/>
      <c r="R92" s="89"/>
      <c r="S92" s="89"/>
    </row>
    <row r="93">
      <c r="A93" s="14" t="s">
        <v>44</v>
      </c>
      <c r="B93" s="31">
        <v>90.0</v>
      </c>
      <c r="C93" s="35" t="s">
        <v>2525</v>
      </c>
      <c r="D93" s="404" t="s">
        <v>1707</v>
      </c>
      <c r="E93" s="51" t="s">
        <v>53</v>
      </c>
      <c r="F93" s="406"/>
      <c r="G93" s="138"/>
      <c r="H93" s="408"/>
      <c r="I93" s="408"/>
      <c r="J93" s="138"/>
      <c r="K93" s="112"/>
      <c r="L93" s="89"/>
      <c r="M93" s="89" t="str">
        <f t="shared" si="1"/>
        <v>derek.lewis@lrc.ky.gov</v>
      </c>
      <c r="N93" s="409" t="str">
        <f t="shared" si="3"/>
        <v>http://www.lrc.ky.gov/Messages/H090.aspx</v>
      </c>
      <c r="O93" s="89"/>
      <c r="P93" s="89"/>
      <c r="Q93" s="89"/>
      <c r="R93" s="89"/>
      <c r="S93" s="89"/>
    </row>
    <row r="94">
      <c r="A94" s="14" t="s">
        <v>44</v>
      </c>
      <c r="B94" s="31">
        <v>91.0</v>
      </c>
      <c r="C94" s="35" t="s">
        <v>5289</v>
      </c>
      <c r="D94" s="404" t="s">
        <v>297</v>
      </c>
      <c r="E94" s="36" t="s">
        <v>49</v>
      </c>
      <c r="F94" s="406"/>
      <c r="G94" s="138"/>
      <c r="H94" s="408"/>
      <c r="I94" s="408"/>
      <c r="J94" s="138"/>
      <c r="K94" s="112"/>
      <c r="L94" s="89"/>
      <c r="M94" s="89" t="str">
        <f t="shared" si="1"/>
        <v>cluster.howard@lrc.ky.gov</v>
      </c>
      <c r="N94" s="409" t="str">
        <f t="shared" si="3"/>
        <v>http://www.lrc.ky.gov/Messages/H091.aspx</v>
      </c>
      <c r="O94" s="89"/>
      <c r="P94" s="89"/>
      <c r="Q94" s="89"/>
      <c r="R94" s="89"/>
      <c r="S94" s="89"/>
    </row>
    <row r="95">
      <c r="A95" s="14" t="s">
        <v>44</v>
      </c>
      <c r="B95" s="31">
        <v>92.0</v>
      </c>
      <c r="C95" s="74" t="s">
        <v>278</v>
      </c>
      <c r="D95" s="404" t="s">
        <v>5290</v>
      </c>
      <c r="E95" s="51" t="s">
        <v>53</v>
      </c>
      <c r="F95" s="406"/>
      <c r="G95" s="138"/>
      <c r="H95" s="408"/>
      <c r="I95" s="408"/>
      <c r="J95" s="138"/>
      <c r="K95" s="112"/>
      <c r="L95" s="89"/>
      <c r="M95" s="89" t="str">
        <f t="shared" si="1"/>
        <v>john.blanton@lrc.ky.gov</v>
      </c>
      <c r="N95" s="409" t="str">
        <f t="shared" si="3"/>
        <v>http://www.lrc.ky.gov/Messages/H092.aspx</v>
      </c>
      <c r="O95" s="89"/>
      <c r="P95" s="89"/>
      <c r="Q95" s="89"/>
      <c r="R95" s="89"/>
      <c r="S95" s="89"/>
    </row>
    <row r="96">
      <c r="A96" s="14" t="s">
        <v>44</v>
      </c>
      <c r="B96" s="31">
        <v>93.0</v>
      </c>
      <c r="C96" s="74" t="s">
        <v>173</v>
      </c>
      <c r="D96" s="404" t="s">
        <v>2362</v>
      </c>
      <c r="E96" s="36" t="s">
        <v>49</v>
      </c>
      <c r="F96" s="406"/>
      <c r="G96" s="138"/>
      <c r="H96" s="408"/>
      <c r="I96" s="408"/>
      <c r="J96" s="138"/>
      <c r="K96" s="112"/>
      <c r="L96" s="89"/>
      <c r="M96" s="89" t="str">
        <f t="shared" si="1"/>
        <v>chris.harris@lrc.ky.gov</v>
      </c>
      <c r="N96" s="409" t="str">
        <f t="shared" si="3"/>
        <v>http://www.lrc.ky.gov/Messages/H093.aspx</v>
      </c>
      <c r="O96" s="89"/>
      <c r="P96" s="89"/>
      <c r="Q96" s="89"/>
      <c r="R96" s="89"/>
      <c r="S96" s="89"/>
    </row>
    <row r="97">
      <c r="A97" s="14" t="s">
        <v>44</v>
      </c>
      <c r="B97" s="31">
        <v>94.0</v>
      </c>
      <c r="C97" s="74" t="s">
        <v>5291</v>
      </c>
      <c r="D97" s="404" t="s">
        <v>5292</v>
      </c>
      <c r="E97" s="36" t="s">
        <v>49</v>
      </c>
      <c r="F97" s="406"/>
      <c r="G97" s="138"/>
      <c r="H97" s="408"/>
      <c r="I97" s="408"/>
      <c r="J97" s="138"/>
      <c r="K97" s="112"/>
      <c r="L97" s="89"/>
      <c r="M97" s="89" t="str">
        <f t="shared" si="1"/>
        <v>angie.hatton@lrc.ky.gov</v>
      </c>
      <c r="N97" s="409" t="str">
        <f t="shared" si="3"/>
        <v>http://www.lrc.ky.gov/Messages/H094.aspx</v>
      </c>
      <c r="O97" s="89"/>
      <c r="P97" s="89"/>
      <c r="Q97" s="89"/>
      <c r="R97" s="89"/>
      <c r="S97" s="89"/>
    </row>
    <row r="98">
      <c r="A98" s="14" t="s">
        <v>44</v>
      </c>
      <c r="B98" s="31">
        <v>95.0</v>
      </c>
      <c r="C98" s="74" t="s">
        <v>3414</v>
      </c>
      <c r="D98" s="404" t="s">
        <v>5294</v>
      </c>
      <c r="E98" s="36" t="s">
        <v>49</v>
      </c>
      <c r="F98" s="406"/>
      <c r="G98" s="138"/>
      <c r="H98" s="408"/>
      <c r="I98" s="138"/>
      <c r="J98" s="138"/>
      <c r="K98" s="112"/>
      <c r="L98" s="89"/>
      <c r="M98" s="89" t="str">
        <f t="shared" si="1"/>
        <v>ashley.laferty@lrc.ky.gov</v>
      </c>
      <c r="N98" s="409" t="str">
        <f t="shared" si="3"/>
        <v>http://www.lrc.ky.gov/Messages/H095.aspx</v>
      </c>
      <c r="O98" s="89"/>
      <c r="P98" s="89"/>
      <c r="Q98" s="89"/>
      <c r="R98" s="89"/>
      <c r="S98" s="89"/>
    </row>
    <row r="99">
      <c r="A99" s="14" t="s">
        <v>44</v>
      </c>
      <c r="B99" s="31">
        <v>96.0</v>
      </c>
      <c r="C99" s="74" t="s">
        <v>2724</v>
      </c>
      <c r="D99" s="404" t="s">
        <v>5297</v>
      </c>
      <c r="E99" s="36" t="s">
        <v>49</v>
      </c>
      <c r="F99" s="406"/>
      <c r="G99" s="138"/>
      <c r="H99" s="408"/>
      <c r="I99" s="408"/>
      <c r="J99" s="138"/>
      <c r="K99" s="112"/>
      <c r="L99" s="89"/>
      <c r="M99" s="89" t="str">
        <f t="shared" si="1"/>
        <v>kathy.hinkle@lrc.ky.gov</v>
      </c>
      <c r="N99" s="409" t="str">
        <f t="shared" si="3"/>
        <v>http://www.lrc.ky.gov/Messages/H096.aspx</v>
      </c>
      <c r="O99" s="89"/>
      <c r="P99" s="89"/>
      <c r="Q99" s="89"/>
      <c r="R99" s="89"/>
      <c r="S99" s="89"/>
    </row>
    <row r="100">
      <c r="A100" s="14" t="s">
        <v>44</v>
      </c>
      <c r="B100" s="31">
        <v>97.0</v>
      </c>
      <c r="C100" s="74" t="s">
        <v>1019</v>
      </c>
      <c r="D100" s="404" t="s">
        <v>5298</v>
      </c>
      <c r="E100" s="51" t="s">
        <v>53</v>
      </c>
      <c r="F100" s="406"/>
      <c r="G100" s="138"/>
      <c r="H100" s="408"/>
      <c r="I100" s="138"/>
      <c r="J100" s="138"/>
      <c r="K100" s="112"/>
      <c r="L100" s="89"/>
      <c r="M100" s="89" t="str">
        <f t="shared" si="1"/>
        <v>bobby.mccool@lrc.ky.gov</v>
      </c>
      <c r="N100" s="409" t="str">
        <f t="shared" si="3"/>
        <v>http://www.lrc.ky.gov/Messages/H097.aspx</v>
      </c>
      <c r="O100" s="89"/>
      <c r="P100" s="89"/>
      <c r="Q100" s="89"/>
      <c r="R100" s="89"/>
      <c r="S100" s="89"/>
    </row>
    <row r="101">
      <c r="A101" s="14" t="s">
        <v>44</v>
      </c>
      <c r="B101" s="31">
        <v>98.0</v>
      </c>
      <c r="C101" s="74" t="s">
        <v>100</v>
      </c>
      <c r="D101" s="404" t="s">
        <v>1546</v>
      </c>
      <c r="E101" s="51" t="s">
        <v>53</v>
      </c>
      <c r="F101" s="406"/>
      <c r="G101" s="138"/>
      <c r="H101" s="408"/>
      <c r="I101" s="408"/>
      <c r="J101" s="138"/>
      <c r="K101" s="112"/>
      <c r="L101" s="89"/>
      <c r="M101" s="89" t="str">
        <f t="shared" si="1"/>
        <v>danny.bentley@lrc.ky.gov</v>
      </c>
      <c r="N101" s="409" t="str">
        <f t="shared" si="3"/>
        <v>http://www.lrc.ky.gov/Messages/H098.aspx</v>
      </c>
      <c r="O101" s="89"/>
      <c r="P101" s="89"/>
      <c r="Q101" s="89"/>
      <c r="R101" s="89"/>
      <c r="S101" s="89"/>
    </row>
    <row r="102">
      <c r="A102" s="14" t="s">
        <v>44</v>
      </c>
      <c r="B102" s="31">
        <v>99.0</v>
      </c>
      <c r="C102" s="74" t="s">
        <v>5301</v>
      </c>
      <c r="D102" s="404" t="s">
        <v>5302</v>
      </c>
      <c r="E102" s="36" t="s">
        <v>49</v>
      </c>
      <c r="F102" s="413" t="s">
        <v>498</v>
      </c>
      <c r="G102" s="138"/>
      <c r="H102" s="408"/>
      <c r="I102" s="408"/>
      <c r="J102" s="138"/>
      <c r="K102" s="112"/>
      <c r="L102" s="89"/>
      <c r="M102" s="89" t="str">
        <f t="shared" si="1"/>
        <v>rocky.adkins@lrc.ky.gov</v>
      </c>
      <c r="N102" s="409" t="str">
        <f t="shared" si="3"/>
        <v>http://www.lrc.ky.gov/Messages/H099.aspx</v>
      </c>
      <c r="O102" s="89"/>
      <c r="P102" s="89"/>
      <c r="Q102" s="89"/>
      <c r="R102" s="89"/>
      <c r="S102" s="89"/>
    </row>
    <row r="103">
      <c r="A103" s="14" t="s">
        <v>44</v>
      </c>
      <c r="B103" s="31">
        <v>100.0</v>
      </c>
      <c r="C103" s="74" t="s">
        <v>134</v>
      </c>
      <c r="D103" s="404" t="s">
        <v>2063</v>
      </c>
      <c r="E103" s="36" t="s">
        <v>49</v>
      </c>
      <c r="F103" s="406"/>
      <c r="G103" s="138"/>
      <c r="H103" s="408"/>
      <c r="I103" s="138"/>
      <c r="J103" s="138"/>
      <c r="K103" s="112"/>
      <c r="L103" s="89"/>
      <c r="M103" s="89" t="str">
        <f t="shared" si="1"/>
        <v>terri.clark@lrc.ky.gov</v>
      </c>
      <c r="N103" s="409" t="str">
        <f>concatenate("http://www.lrc.ky.gov/Messages/H",B103,".aspx")</f>
        <v>http://www.lrc.ky.gov/Messages/H100.aspx</v>
      </c>
      <c r="O103" s="89"/>
      <c r="P103" s="89"/>
      <c r="Q103" s="89"/>
      <c r="R103" s="89"/>
      <c r="S103" s="89"/>
    </row>
    <row r="104">
      <c r="A104" s="70"/>
      <c r="B104" s="302"/>
      <c r="C104" s="71"/>
      <c r="D104" s="345"/>
      <c r="E104" s="70"/>
      <c r="F104" s="417"/>
      <c r="G104" s="70"/>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c r="AE104" s="70"/>
    </row>
    <row r="105">
      <c r="A105" s="14" t="s">
        <v>286</v>
      </c>
      <c r="B105" s="31">
        <v>1.0</v>
      </c>
      <c r="C105" s="139" t="s">
        <v>1513</v>
      </c>
      <c r="D105" s="35" t="s">
        <v>5213</v>
      </c>
      <c r="E105" s="51" t="s">
        <v>53</v>
      </c>
      <c r="F105" s="418"/>
      <c r="G105" s="419"/>
      <c r="H105" s="138"/>
      <c r="I105" s="138"/>
      <c r="J105" s="138"/>
      <c r="K105" s="112"/>
      <c r="L105" s="89"/>
      <c r="M105" s="89" t="str">
        <f t="shared" ref="M105:M107" si="4">concatenate(lower(C105),".",lower(D105),"@lrc.ky.gov")</f>
        <v>stan.humphries@lrc.ky.gov</v>
      </c>
      <c r="N105" s="409" t="str">
        <f t="shared" ref="N105:N113" si="5">concatenate("http://www.lrc.ky.gov/Messages/S00",B105,".aspx")</f>
        <v>http://www.lrc.ky.gov/Messages/S001.aspx</v>
      </c>
      <c r="O105" s="89"/>
      <c r="P105" s="89"/>
      <c r="Q105" s="89"/>
      <c r="R105" s="89"/>
      <c r="S105" s="89"/>
    </row>
    <row r="106">
      <c r="A106" s="14" t="s">
        <v>286</v>
      </c>
      <c r="B106" s="31">
        <v>2.0</v>
      </c>
      <c r="C106" s="139" t="s">
        <v>100</v>
      </c>
      <c r="D106" s="35" t="s">
        <v>1002</v>
      </c>
      <c r="E106" s="51" t="s">
        <v>53</v>
      </c>
      <c r="F106" s="418"/>
      <c r="G106" s="129" t="s">
        <v>5311</v>
      </c>
      <c r="H106" s="419"/>
      <c r="I106" s="138"/>
      <c r="J106" s="138"/>
      <c r="K106" s="112"/>
      <c r="L106" s="89"/>
      <c r="M106" s="89" t="str">
        <f t="shared" si="4"/>
        <v>danny.carroll@lrc.ky.gov</v>
      </c>
      <c r="N106" s="409" t="str">
        <f t="shared" si="5"/>
        <v>http://www.lrc.ky.gov/Messages/S002.aspx</v>
      </c>
      <c r="O106" s="89"/>
      <c r="P106" s="89"/>
      <c r="Q106" s="89"/>
      <c r="R106" s="89"/>
      <c r="S106" s="89"/>
    </row>
    <row r="107">
      <c r="A107" s="14" t="s">
        <v>286</v>
      </c>
      <c r="B107" s="31">
        <v>3.0</v>
      </c>
      <c r="C107" s="139" t="s">
        <v>5312</v>
      </c>
      <c r="D107" s="35" t="s">
        <v>5313</v>
      </c>
      <c r="E107" s="51" t="s">
        <v>53</v>
      </c>
      <c r="F107" s="418"/>
      <c r="G107" s="138"/>
      <c r="H107" s="419"/>
      <c r="I107" s="138"/>
      <c r="J107" s="138"/>
      <c r="K107" s="112"/>
      <c r="L107" s="89"/>
      <c r="M107" s="89" t="str">
        <f t="shared" si="4"/>
        <v>whitney.westerfield@lrc.ky.gov</v>
      </c>
      <c r="N107" s="409" t="str">
        <f t="shared" si="5"/>
        <v>http://www.lrc.ky.gov/Messages/S003.aspx</v>
      </c>
      <c r="O107" s="89"/>
      <c r="P107" s="89"/>
      <c r="Q107" s="89"/>
      <c r="R107" s="89"/>
      <c r="S107" s="89"/>
    </row>
    <row r="108">
      <c r="A108" s="14" t="s">
        <v>286</v>
      </c>
      <c r="B108" s="31">
        <v>4.0</v>
      </c>
      <c r="C108" s="35" t="s">
        <v>1134</v>
      </c>
      <c r="D108" s="14" t="s">
        <v>5314</v>
      </c>
      <c r="E108" s="51" t="s">
        <v>53</v>
      </c>
      <c r="F108" s="418"/>
      <c r="G108" s="129" t="s">
        <v>5315</v>
      </c>
      <c r="H108" s="419"/>
      <c r="I108" s="138"/>
      <c r="J108" s="138"/>
      <c r="K108" s="112"/>
      <c r="L108" s="89"/>
      <c r="M108" s="89" t="str">
        <f>concatenate(lower(#REF!),".",lower(C108),"@lrc.ky.gov")</f>
        <v>#REF!</v>
      </c>
      <c r="N108" s="409" t="str">
        <f t="shared" si="5"/>
        <v>http://www.lrc.ky.gov/Messages/S004.aspx</v>
      </c>
      <c r="O108" s="89"/>
      <c r="P108" s="89"/>
      <c r="Q108" s="89"/>
      <c r="R108" s="89"/>
      <c r="S108" s="89"/>
    </row>
    <row r="109">
      <c r="A109" s="14" t="s">
        <v>286</v>
      </c>
      <c r="B109" s="31">
        <v>5.0</v>
      </c>
      <c r="C109" s="139" t="s">
        <v>1505</v>
      </c>
      <c r="D109" s="35" t="s">
        <v>5154</v>
      </c>
      <c r="E109" s="51" t="s">
        <v>53</v>
      </c>
      <c r="F109" s="418"/>
      <c r="G109" s="138"/>
      <c r="H109" s="419"/>
      <c r="I109" s="138"/>
      <c r="J109" s="138"/>
      <c r="K109" s="112"/>
      <c r="L109" s="89"/>
      <c r="M109" s="89" t="str">
        <f t="shared" ref="M109:M142" si="6">concatenate(lower(C109),".",lower(D109),"@lrc.ky.gov")</f>
        <v>stephen.meredith@lrc.ky.gov</v>
      </c>
      <c r="N109" s="409" t="str">
        <f t="shared" si="5"/>
        <v>http://www.lrc.ky.gov/Messages/S005.aspx</v>
      </c>
      <c r="O109" s="89"/>
      <c r="P109" s="89"/>
      <c r="Q109" s="89"/>
      <c r="R109" s="89"/>
      <c r="S109" s="89"/>
    </row>
    <row r="110">
      <c r="A110" s="14" t="s">
        <v>286</v>
      </c>
      <c r="B110" s="31">
        <v>6.0</v>
      </c>
      <c r="C110" s="139" t="s">
        <v>5318</v>
      </c>
      <c r="D110" s="35" t="s">
        <v>5319</v>
      </c>
      <c r="E110" s="51" t="s">
        <v>53</v>
      </c>
      <c r="F110" s="418"/>
      <c r="G110" s="138"/>
      <c r="H110" s="419"/>
      <c r="I110" s="138"/>
      <c r="J110" s="138"/>
      <c r="K110" s="112"/>
      <c r="L110" s="89"/>
      <c r="M110" s="89" t="str">
        <f t="shared" si="6"/>
        <v>c.b..embry@lrc.ky.gov</v>
      </c>
      <c r="N110" s="409" t="str">
        <f t="shared" si="5"/>
        <v>http://www.lrc.ky.gov/Messages/S006.aspx</v>
      </c>
      <c r="O110" s="89"/>
      <c r="P110" s="89"/>
      <c r="Q110" s="89"/>
      <c r="R110" s="89"/>
      <c r="S110" s="89"/>
    </row>
    <row r="111">
      <c r="A111" s="14" t="s">
        <v>286</v>
      </c>
      <c r="B111" s="31">
        <v>7.0</v>
      </c>
      <c r="C111" s="139" t="s">
        <v>5321</v>
      </c>
      <c r="D111" s="35" t="s">
        <v>1002</v>
      </c>
      <c r="E111" s="36" t="s">
        <v>49</v>
      </c>
      <c r="F111" s="418"/>
      <c r="G111" s="138"/>
      <c r="H111" s="419"/>
      <c r="I111" s="138"/>
      <c r="J111" s="138"/>
      <c r="K111" s="112"/>
      <c r="L111" s="89"/>
      <c r="M111" s="89" t="str">
        <f t="shared" si="6"/>
        <v>julian.carroll@lrc.ky.gov</v>
      </c>
      <c r="N111" s="409" t="str">
        <f t="shared" si="5"/>
        <v>http://www.lrc.ky.gov/Messages/S007.aspx</v>
      </c>
      <c r="O111" s="89"/>
      <c r="P111" s="89"/>
      <c r="Q111" s="89"/>
      <c r="R111" s="89"/>
      <c r="S111" s="89"/>
    </row>
    <row r="112">
      <c r="A112" s="14" t="s">
        <v>286</v>
      </c>
      <c r="B112" s="31">
        <v>8.0</v>
      </c>
      <c r="C112" s="139" t="s">
        <v>5325</v>
      </c>
      <c r="D112" s="35" t="s">
        <v>163</v>
      </c>
      <c r="E112" s="51" t="s">
        <v>53</v>
      </c>
      <c r="F112" s="418"/>
      <c r="G112" s="138"/>
      <c r="H112" s="419"/>
      <c r="I112" s="138"/>
      <c r="J112" s="138"/>
      <c r="K112" s="112"/>
      <c r="L112" s="89"/>
      <c r="M112" s="89" t="str">
        <f t="shared" si="6"/>
        <v>castlen.matt@lrc.ky.gov</v>
      </c>
      <c r="N112" s="409" t="str">
        <f t="shared" si="5"/>
        <v>http://www.lrc.ky.gov/Messages/S008.aspx</v>
      </c>
      <c r="O112" s="89"/>
      <c r="P112" s="89"/>
      <c r="Q112" s="89"/>
      <c r="R112" s="89"/>
      <c r="S112" s="89"/>
    </row>
    <row r="113">
      <c r="A113" s="14" t="s">
        <v>286</v>
      </c>
      <c r="B113" s="31">
        <v>9.0</v>
      </c>
      <c r="C113" s="139" t="s">
        <v>108</v>
      </c>
      <c r="D113" s="35" t="s">
        <v>5326</v>
      </c>
      <c r="E113" s="51" t="s">
        <v>53</v>
      </c>
      <c r="F113" s="420" t="s">
        <v>903</v>
      </c>
      <c r="G113" s="138"/>
      <c r="H113" s="419"/>
      <c r="I113" s="138"/>
      <c r="J113" s="138"/>
      <c r="K113" s="112"/>
      <c r="L113" s="89"/>
      <c r="M113" s="89" t="str">
        <f t="shared" si="6"/>
        <v>david.givens@lrc.ky.gov</v>
      </c>
      <c r="N113" s="409" t="str">
        <f t="shared" si="5"/>
        <v>http://www.lrc.ky.gov/Messages/S009.aspx</v>
      </c>
      <c r="O113" s="89"/>
      <c r="P113" s="89"/>
      <c r="Q113" s="89"/>
      <c r="R113" s="89"/>
      <c r="S113" s="89"/>
    </row>
    <row r="114">
      <c r="A114" s="14" t="s">
        <v>286</v>
      </c>
      <c r="B114" s="31">
        <v>10.0</v>
      </c>
      <c r="C114" s="139" t="s">
        <v>2194</v>
      </c>
      <c r="D114" s="35" t="s">
        <v>5327</v>
      </c>
      <c r="E114" s="36" t="s">
        <v>49</v>
      </c>
      <c r="F114" s="420" t="s">
        <v>2004</v>
      </c>
      <c r="G114" s="138"/>
      <c r="H114" s="419"/>
      <c r="I114" s="138"/>
      <c r="J114" s="138"/>
      <c r="K114" s="112"/>
      <c r="L114" s="89"/>
      <c r="M114" s="89" t="str">
        <f t="shared" si="6"/>
        <v>dennis.parrett@lrc.ky.gov</v>
      </c>
      <c r="N114" s="409" t="str">
        <f t="shared" ref="N114:N142" si="7">concatenate("http://www.lrc.ky.gov/Messages/S0",B114,".aspx")</f>
        <v>http://www.lrc.ky.gov/Messages/S010.aspx</v>
      </c>
      <c r="O114" s="89"/>
      <c r="P114" s="89"/>
      <c r="Q114" s="89"/>
      <c r="R114" s="89"/>
      <c r="S114" s="89"/>
    </row>
    <row r="115">
      <c r="A115" s="14" t="s">
        <v>286</v>
      </c>
      <c r="B115" s="31">
        <v>11.0</v>
      </c>
      <c r="C115" s="139" t="s">
        <v>278</v>
      </c>
      <c r="D115" s="35" t="s">
        <v>5329</v>
      </c>
      <c r="E115" s="51" t="s">
        <v>53</v>
      </c>
      <c r="F115" s="418"/>
      <c r="G115" s="138"/>
      <c r="H115" s="419"/>
      <c r="I115" s="138"/>
      <c r="J115" s="138"/>
      <c r="K115" s="112"/>
      <c r="L115" s="89"/>
      <c r="M115" s="89" t="str">
        <f t="shared" si="6"/>
        <v>john.schickel@lrc.ky.gov</v>
      </c>
      <c r="N115" s="409" t="str">
        <f t="shared" si="7"/>
        <v>http://www.lrc.ky.gov/Messages/S011.aspx</v>
      </c>
      <c r="O115" s="89"/>
      <c r="P115" s="89"/>
      <c r="Q115" s="89"/>
      <c r="R115" s="89"/>
      <c r="S115" s="89"/>
    </row>
    <row r="116">
      <c r="A116" s="14" t="s">
        <v>286</v>
      </c>
      <c r="B116" s="31">
        <v>12.0</v>
      </c>
      <c r="C116" s="139" t="s">
        <v>5331</v>
      </c>
      <c r="D116" s="35" t="s">
        <v>1244</v>
      </c>
      <c r="E116" s="51" t="s">
        <v>53</v>
      </c>
      <c r="F116" s="418"/>
      <c r="G116" s="138"/>
      <c r="H116" s="419"/>
      <c r="I116" s="138"/>
      <c r="J116" s="138"/>
      <c r="K116" s="112"/>
      <c r="L116" s="89"/>
      <c r="M116" s="89" t="str">
        <f t="shared" si="6"/>
        <v>alice.kerr@lrc.ky.gov</v>
      </c>
      <c r="N116" s="409" t="str">
        <f t="shared" si="7"/>
        <v>http://www.lrc.ky.gov/Messages/S012.aspx</v>
      </c>
      <c r="O116" s="89"/>
      <c r="P116" s="89"/>
      <c r="Q116" s="89"/>
      <c r="R116" s="89"/>
      <c r="S116" s="89"/>
    </row>
    <row r="117">
      <c r="A117" s="14" t="s">
        <v>286</v>
      </c>
      <c r="B117" s="31">
        <v>13.0</v>
      </c>
      <c r="C117" s="139" t="s">
        <v>1085</v>
      </c>
      <c r="D117" s="35" t="s">
        <v>561</v>
      </c>
      <c r="E117" s="36" t="s">
        <v>49</v>
      </c>
      <c r="F117" s="418"/>
      <c r="G117" s="138"/>
      <c r="H117" s="419"/>
      <c r="I117" s="138"/>
      <c r="J117" s="138"/>
      <c r="K117" s="112"/>
      <c r="L117" s="89"/>
      <c r="M117" s="89" t="str">
        <f t="shared" si="6"/>
        <v>reginald.thomas@lrc.ky.gov</v>
      </c>
      <c r="N117" s="409" t="str">
        <f t="shared" si="7"/>
        <v>http://www.lrc.ky.gov/Messages/S013.aspx</v>
      </c>
      <c r="O117" s="89"/>
      <c r="P117" s="89"/>
      <c r="Q117" s="89"/>
      <c r="R117" s="89"/>
      <c r="S117" s="89"/>
    </row>
    <row r="118">
      <c r="A118" s="14" t="s">
        <v>286</v>
      </c>
      <c r="B118" s="31">
        <v>14.0</v>
      </c>
      <c r="C118" s="139" t="s">
        <v>455</v>
      </c>
      <c r="D118" s="35" t="s">
        <v>5332</v>
      </c>
      <c r="E118" s="51" t="s">
        <v>53</v>
      </c>
      <c r="F118" s="418"/>
      <c r="G118" s="138"/>
      <c r="H118" s="419"/>
      <c r="I118" s="138"/>
      <c r="J118" s="138"/>
      <c r="K118" s="112"/>
      <c r="L118" s="89"/>
      <c r="M118" s="89" t="str">
        <f t="shared" si="6"/>
        <v>jimmy.higdon@lrc.ky.gov</v>
      </c>
      <c r="N118" s="409" t="str">
        <f t="shared" si="7"/>
        <v>http://www.lrc.ky.gov/Messages/S014.aspx</v>
      </c>
      <c r="O118" s="89"/>
      <c r="P118" s="89"/>
      <c r="Q118" s="89"/>
      <c r="R118" s="89"/>
      <c r="S118" s="89"/>
    </row>
    <row r="119">
      <c r="A119" s="14" t="s">
        <v>286</v>
      </c>
      <c r="B119" s="31">
        <v>15.0</v>
      </c>
      <c r="C119" s="139" t="s">
        <v>1291</v>
      </c>
      <c r="D119" s="35" t="s">
        <v>5333</v>
      </c>
      <c r="E119" s="51" t="s">
        <v>53</v>
      </c>
      <c r="F119" s="418"/>
      <c r="G119" s="138"/>
      <c r="H119" s="419"/>
      <c r="I119" s="138"/>
      <c r="J119" s="138"/>
      <c r="K119" s="112"/>
      <c r="L119" s="89"/>
      <c r="M119" s="89" t="str">
        <f t="shared" si="6"/>
        <v>rick.girdler@lrc.ky.gov</v>
      </c>
      <c r="N119" s="409" t="str">
        <f t="shared" si="7"/>
        <v>http://www.lrc.ky.gov/Messages/S015.aspx</v>
      </c>
      <c r="O119" s="89"/>
      <c r="P119" s="89"/>
      <c r="Q119" s="89"/>
      <c r="R119" s="89"/>
      <c r="S119" s="89"/>
    </row>
    <row r="120">
      <c r="A120" s="14" t="s">
        <v>286</v>
      </c>
      <c r="B120" s="31">
        <v>16.0</v>
      </c>
      <c r="C120" s="139" t="s">
        <v>5335</v>
      </c>
      <c r="D120" s="35" t="s">
        <v>5336</v>
      </c>
      <c r="E120" s="51" t="s">
        <v>53</v>
      </c>
      <c r="F120" s="418"/>
      <c r="G120" s="138"/>
      <c r="H120" s="419"/>
      <c r="I120" s="138"/>
      <c r="J120" s="138"/>
      <c r="K120" s="112"/>
      <c r="L120" s="89"/>
      <c r="M120" s="89" t="str">
        <f t="shared" si="6"/>
        <v>max.wise@lrc.ky.gov</v>
      </c>
      <c r="N120" s="409" t="str">
        <f t="shared" si="7"/>
        <v>http://www.lrc.ky.gov/Messages/S016.aspx</v>
      </c>
      <c r="O120" s="89"/>
      <c r="P120" s="89"/>
      <c r="Q120" s="89"/>
      <c r="R120" s="89"/>
      <c r="S120" s="89"/>
    </row>
    <row r="121">
      <c r="A121" s="14" t="s">
        <v>286</v>
      </c>
      <c r="B121" s="31">
        <v>17.0</v>
      </c>
      <c r="C121" s="139" t="s">
        <v>5340</v>
      </c>
      <c r="D121" s="35" t="s">
        <v>5341</v>
      </c>
      <c r="E121" s="51" t="s">
        <v>53</v>
      </c>
      <c r="F121" s="420" t="s">
        <v>176</v>
      </c>
      <c r="G121" s="138"/>
      <c r="H121" s="419"/>
      <c r="I121" s="138"/>
      <c r="J121" s="138"/>
      <c r="K121" s="112"/>
      <c r="L121" s="89"/>
      <c r="M121" s="89" t="str">
        <f t="shared" si="6"/>
        <v>damon.thayer@lrc.ky.gov</v>
      </c>
      <c r="N121" s="409" t="str">
        <f t="shared" si="7"/>
        <v>http://www.lrc.ky.gov/Messages/S017.aspx</v>
      </c>
      <c r="O121" s="89"/>
      <c r="P121" s="89"/>
      <c r="Q121" s="89"/>
      <c r="R121" s="89"/>
      <c r="S121" s="89"/>
    </row>
    <row r="122">
      <c r="A122" s="14" t="s">
        <v>286</v>
      </c>
      <c r="B122" s="31">
        <v>18.0</v>
      </c>
      <c r="C122" s="139" t="s">
        <v>1651</v>
      </c>
      <c r="D122" s="35" t="s">
        <v>3036</v>
      </c>
      <c r="E122" s="36" t="s">
        <v>49</v>
      </c>
      <c r="F122" s="418"/>
      <c r="G122" s="138"/>
      <c r="H122" s="419"/>
      <c r="I122" s="138"/>
      <c r="J122" s="138"/>
      <c r="K122" s="421"/>
      <c r="L122" s="89"/>
      <c r="M122" s="89" t="str">
        <f t="shared" si="6"/>
        <v>robin.webb@lrc.ky.gov</v>
      </c>
      <c r="N122" s="409" t="str">
        <f t="shared" si="7"/>
        <v>http://www.lrc.ky.gov/Messages/S018.aspx</v>
      </c>
      <c r="O122" s="89"/>
      <c r="P122" s="89"/>
      <c r="Q122" s="89"/>
      <c r="R122" s="89"/>
      <c r="S122" s="89"/>
    </row>
    <row r="123">
      <c r="A123" s="14" t="s">
        <v>286</v>
      </c>
      <c r="B123" s="31">
        <v>19.0</v>
      </c>
      <c r="C123" s="139" t="s">
        <v>141</v>
      </c>
      <c r="D123" s="35" t="s">
        <v>5342</v>
      </c>
      <c r="E123" s="36" t="s">
        <v>49</v>
      </c>
      <c r="F123" s="420" t="s">
        <v>498</v>
      </c>
      <c r="G123" s="138"/>
      <c r="H123" s="419"/>
      <c r="I123" s="138"/>
      <c r="J123" s="138"/>
      <c r="K123" s="112"/>
      <c r="L123" s="89"/>
      <c r="M123" s="89" t="str">
        <f t="shared" si="6"/>
        <v>morgan.mcgarvey@lrc.ky.gov</v>
      </c>
      <c r="N123" s="409" t="str">
        <f t="shared" si="7"/>
        <v>http://www.lrc.ky.gov/Messages/S019.aspx</v>
      </c>
      <c r="O123" s="89"/>
      <c r="P123" s="89"/>
      <c r="Q123" s="89"/>
      <c r="R123" s="89"/>
      <c r="S123" s="89"/>
    </row>
    <row r="124">
      <c r="A124" s="14" t="s">
        <v>286</v>
      </c>
      <c r="B124" s="31">
        <v>20.0</v>
      </c>
      <c r="C124" s="139" t="s">
        <v>679</v>
      </c>
      <c r="D124" s="35" t="s">
        <v>5346</v>
      </c>
      <c r="E124" s="51" t="s">
        <v>53</v>
      </c>
      <c r="F124" s="418"/>
      <c r="G124" s="138"/>
      <c r="H124" s="112"/>
      <c r="I124" s="138"/>
      <c r="J124" s="138"/>
      <c r="K124" s="112"/>
      <c r="L124" s="89"/>
      <c r="M124" s="89" t="str">
        <f t="shared" si="6"/>
        <v>paul.hornback@lrc.ky.gov</v>
      </c>
      <c r="N124" s="409" t="str">
        <f t="shared" si="7"/>
        <v>http://www.lrc.ky.gov/Messages/S020.aspx</v>
      </c>
      <c r="O124" s="89"/>
      <c r="P124" s="89"/>
      <c r="Q124" s="89"/>
      <c r="R124" s="89"/>
      <c r="S124" s="89"/>
    </row>
    <row r="125">
      <c r="A125" s="14" t="s">
        <v>286</v>
      </c>
      <c r="B125" s="31">
        <v>21.0</v>
      </c>
      <c r="C125" s="139" t="s">
        <v>5347</v>
      </c>
      <c r="D125" s="35" t="s">
        <v>3039</v>
      </c>
      <c r="E125" s="51" t="s">
        <v>53</v>
      </c>
      <c r="F125" s="418"/>
      <c r="G125" s="138"/>
      <c r="H125" s="112"/>
      <c r="I125" s="138"/>
      <c r="J125" s="138"/>
      <c r="K125" s="112"/>
      <c r="L125" s="89"/>
      <c r="M125" s="89" t="str">
        <f t="shared" si="6"/>
        <v>albert.robinson@lrc.ky.gov</v>
      </c>
      <c r="N125" s="409" t="str">
        <f t="shared" si="7"/>
        <v>http://www.lrc.ky.gov/Messages/S021.aspx</v>
      </c>
      <c r="O125" s="89"/>
      <c r="P125" s="89"/>
      <c r="Q125" s="89"/>
      <c r="R125" s="89"/>
      <c r="S125" s="89"/>
    </row>
    <row r="126">
      <c r="A126" s="14" t="s">
        <v>286</v>
      </c>
      <c r="B126" s="31">
        <v>22.0</v>
      </c>
      <c r="C126" s="139" t="s">
        <v>338</v>
      </c>
      <c r="D126" s="35" t="s">
        <v>5348</v>
      </c>
      <c r="E126" s="51" t="s">
        <v>53</v>
      </c>
      <c r="F126" s="418"/>
      <c r="G126" s="138"/>
      <c r="H126" s="419"/>
      <c r="I126" s="138"/>
      <c r="J126" s="138"/>
      <c r="K126" s="112"/>
      <c r="L126" s="89"/>
      <c r="M126" s="89" t="str">
        <f t="shared" si="6"/>
        <v>tom.buford@lrc.ky.gov</v>
      </c>
      <c r="N126" s="409" t="str">
        <f t="shared" si="7"/>
        <v>http://www.lrc.ky.gov/Messages/S022.aspx</v>
      </c>
      <c r="O126" s="89"/>
      <c r="P126" s="89"/>
      <c r="Q126" s="89"/>
      <c r="R126" s="89"/>
      <c r="S126" s="89"/>
    </row>
    <row r="127">
      <c r="A127" s="14" t="s">
        <v>286</v>
      </c>
      <c r="B127" s="31">
        <v>23.0</v>
      </c>
      <c r="C127" s="139" t="s">
        <v>3127</v>
      </c>
      <c r="D127" s="35" t="s">
        <v>5349</v>
      </c>
      <c r="E127" s="51" t="s">
        <v>53</v>
      </c>
      <c r="F127" s="418"/>
      <c r="G127" s="138"/>
      <c r="H127" s="112"/>
      <c r="I127" s="138"/>
      <c r="J127" s="138"/>
      <c r="K127" s="112"/>
      <c r="L127" s="89"/>
      <c r="M127" s="89" t="str">
        <f t="shared" si="6"/>
        <v>christian.mcdaniel@lrc.ky.gov</v>
      </c>
      <c r="N127" s="409" t="str">
        <f t="shared" si="7"/>
        <v>http://www.lrc.ky.gov/Messages/S023.aspx</v>
      </c>
      <c r="O127" s="89"/>
      <c r="P127" s="89"/>
      <c r="Q127" s="89"/>
      <c r="R127" s="89"/>
      <c r="S127" s="89"/>
    </row>
    <row r="128">
      <c r="A128" s="14" t="s">
        <v>286</v>
      </c>
      <c r="B128" s="31">
        <v>24.0</v>
      </c>
      <c r="C128" s="139" t="s">
        <v>5353</v>
      </c>
      <c r="D128" s="35" t="s">
        <v>5354</v>
      </c>
      <c r="E128" s="51" t="s">
        <v>53</v>
      </c>
      <c r="F128" s="418"/>
      <c r="G128" s="129" t="s">
        <v>5355</v>
      </c>
      <c r="H128" s="112"/>
      <c r="I128" s="138"/>
      <c r="J128" s="138"/>
      <c r="K128" s="112"/>
      <c r="L128" s="89"/>
      <c r="M128" s="89" t="str">
        <f t="shared" si="6"/>
        <v>wil.schroder@lrc.ky.gov</v>
      </c>
      <c r="N128" s="409" t="str">
        <f t="shared" si="7"/>
        <v>http://www.lrc.ky.gov/Messages/S024.aspx</v>
      </c>
      <c r="O128" s="89"/>
      <c r="P128" s="89"/>
      <c r="Q128" s="89"/>
      <c r="R128" s="89"/>
      <c r="S128" s="89"/>
    </row>
    <row r="129">
      <c r="A129" s="14" t="s">
        <v>286</v>
      </c>
      <c r="B129" s="31">
        <v>25.0</v>
      </c>
      <c r="C129" s="139" t="s">
        <v>1134</v>
      </c>
      <c r="D129" s="35" t="s">
        <v>5356</v>
      </c>
      <c r="E129" s="51" t="s">
        <v>53</v>
      </c>
      <c r="F129" s="420" t="s">
        <v>291</v>
      </c>
      <c r="G129" s="138"/>
      <c r="H129" s="112"/>
      <c r="I129" s="138"/>
      <c r="J129" s="138"/>
      <c r="K129" s="112"/>
      <c r="L129" s="89"/>
      <c r="M129" s="89" t="str">
        <f t="shared" si="6"/>
        <v>robert.stivers@lrc.ky.gov</v>
      </c>
      <c r="N129" s="409" t="str">
        <f t="shared" si="7"/>
        <v>http://www.lrc.ky.gov/Messages/S025.aspx</v>
      </c>
      <c r="O129" s="89"/>
      <c r="P129" s="89"/>
      <c r="Q129" s="89"/>
      <c r="R129" s="89"/>
      <c r="S129" s="89"/>
    </row>
    <row r="130">
      <c r="A130" s="14" t="s">
        <v>286</v>
      </c>
      <c r="B130" s="31">
        <v>26.0</v>
      </c>
      <c r="C130" s="139" t="s">
        <v>5360</v>
      </c>
      <c r="D130" s="35" t="s">
        <v>2362</v>
      </c>
      <c r="E130" s="51" t="s">
        <v>53</v>
      </c>
      <c r="F130" s="418"/>
      <c r="G130" s="138"/>
      <c r="H130" s="112"/>
      <c r="I130" s="138"/>
      <c r="J130" s="138"/>
      <c r="K130" s="112"/>
      <c r="L130" s="89"/>
      <c r="M130" s="89" t="str">
        <f t="shared" si="6"/>
        <v>ernie.harris@lrc.ky.gov</v>
      </c>
      <c r="N130" s="409" t="str">
        <f t="shared" si="7"/>
        <v>http://www.lrc.ky.gov/Messages/S026.aspx</v>
      </c>
      <c r="O130" s="89"/>
      <c r="P130" s="89"/>
      <c r="Q130" s="89"/>
      <c r="R130" s="89"/>
      <c r="S130" s="89"/>
    </row>
    <row r="131">
      <c r="A131" s="14" t="s">
        <v>286</v>
      </c>
      <c r="B131" s="31">
        <v>27.0</v>
      </c>
      <c r="C131" s="139" t="s">
        <v>55</v>
      </c>
      <c r="D131" s="35" t="s">
        <v>4286</v>
      </c>
      <c r="E131" s="51" t="s">
        <v>53</v>
      </c>
      <c r="F131" s="418"/>
      <c r="G131" s="138"/>
      <c r="H131" s="419"/>
      <c r="I131" s="138"/>
      <c r="J131" s="138"/>
      <c r="K131" s="112"/>
      <c r="L131" s="89"/>
      <c r="M131" s="89" t="str">
        <f t="shared" si="6"/>
        <v>steve.west@lrc.ky.gov</v>
      </c>
      <c r="N131" s="409" t="str">
        <f t="shared" si="7"/>
        <v>http://www.lrc.ky.gov/Messages/S027.aspx</v>
      </c>
      <c r="O131" s="89"/>
      <c r="P131" s="89"/>
      <c r="Q131" s="89"/>
      <c r="R131" s="89"/>
      <c r="S131" s="89"/>
    </row>
    <row r="132">
      <c r="A132" s="14" t="s">
        <v>286</v>
      </c>
      <c r="B132" s="31">
        <v>28.0</v>
      </c>
      <c r="C132" s="139" t="s">
        <v>588</v>
      </c>
      <c r="D132" s="35" t="s">
        <v>5365</v>
      </c>
      <c r="E132" s="51" t="s">
        <v>53</v>
      </c>
      <c r="F132" s="418"/>
      <c r="G132" s="129" t="s">
        <v>5366</v>
      </c>
      <c r="H132" s="112"/>
      <c r="I132" s="138"/>
      <c r="J132" s="138"/>
      <c r="K132" s="112"/>
      <c r="L132" s="89"/>
      <c r="M132" s="89" t="str">
        <f t="shared" si="6"/>
        <v>ralph.alvarado@lrc.ky.gov</v>
      </c>
      <c r="N132" s="409" t="str">
        <f t="shared" si="7"/>
        <v>http://www.lrc.ky.gov/Messages/S028.aspx</v>
      </c>
      <c r="O132" s="89"/>
      <c r="P132" s="89"/>
      <c r="Q132" s="89"/>
      <c r="R132" s="89"/>
      <c r="S132" s="89"/>
    </row>
    <row r="133">
      <c r="A133" s="14" t="s">
        <v>286</v>
      </c>
      <c r="B133" s="31">
        <v>29.0</v>
      </c>
      <c r="C133" s="139" t="s">
        <v>1421</v>
      </c>
      <c r="D133" s="35" t="s">
        <v>3193</v>
      </c>
      <c r="E133" s="36" t="s">
        <v>49</v>
      </c>
      <c r="F133" s="420" t="s">
        <v>2029</v>
      </c>
      <c r="G133" s="138"/>
      <c r="H133" s="112"/>
      <c r="I133" s="138"/>
      <c r="J133" s="138"/>
      <c r="K133" s="112"/>
      <c r="L133" s="89"/>
      <c r="M133" s="89" t="str">
        <f t="shared" si="6"/>
        <v>johnny.turner@lrc.ky.gov</v>
      </c>
      <c r="N133" s="409" t="str">
        <f t="shared" si="7"/>
        <v>http://www.lrc.ky.gov/Messages/S029.aspx</v>
      </c>
      <c r="O133" s="89"/>
      <c r="P133" s="89"/>
      <c r="Q133" s="89"/>
      <c r="R133" s="89"/>
      <c r="S133" s="89"/>
    </row>
    <row r="134">
      <c r="A134" s="14" t="s">
        <v>286</v>
      </c>
      <c r="B134" s="31">
        <v>30.0</v>
      </c>
      <c r="C134" s="139" t="s">
        <v>2500</v>
      </c>
      <c r="D134" s="35" t="s">
        <v>1451</v>
      </c>
      <c r="E134" s="51" t="s">
        <v>53</v>
      </c>
      <c r="F134" s="418"/>
      <c r="G134" s="129" t="s">
        <v>5367</v>
      </c>
      <c r="H134" s="112"/>
      <c r="I134" s="138"/>
      <c r="J134" s="138"/>
      <c r="K134" s="112"/>
      <c r="L134" s="89"/>
      <c r="M134" s="89" t="str">
        <f t="shared" si="6"/>
        <v>brandon.smith@lrc.ky.gov</v>
      </c>
      <c r="N134" s="409" t="str">
        <f t="shared" si="7"/>
        <v>http://www.lrc.ky.gov/Messages/S030.aspx</v>
      </c>
      <c r="O134" s="89"/>
      <c r="P134" s="89"/>
      <c r="Q134" s="89"/>
      <c r="R134" s="89"/>
      <c r="S134" s="89"/>
    </row>
    <row r="135">
      <c r="A135" s="14" t="s">
        <v>286</v>
      </c>
      <c r="B135" s="31">
        <v>31.0</v>
      </c>
      <c r="C135" s="139" t="s">
        <v>2250</v>
      </c>
      <c r="D135" s="35" t="s">
        <v>706</v>
      </c>
      <c r="E135" s="36" t="s">
        <v>49</v>
      </c>
      <c r="F135" s="418"/>
      <c r="G135" s="138"/>
      <c r="H135" s="112"/>
      <c r="I135" s="138"/>
      <c r="J135" s="138"/>
      <c r="K135" s="112"/>
      <c r="L135" s="89"/>
      <c r="M135" s="89" t="str">
        <f t="shared" si="6"/>
        <v>ray.jones@lrc.ky.gov</v>
      </c>
      <c r="N135" s="409" t="str">
        <f t="shared" si="7"/>
        <v>http://www.lrc.ky.gov/Messages/S031.aspx</v>
      </c>
      <c r="O135" s="89"/>
      <c r="P135" s="89"/>
      <c r="Q135" s="89"/>
      <c r="R135" s="89"/>
      <c r="S135" s="89"/>
    </row>
    <row r="136">
      <c r="A136" s="14" t="s">
        <v>286</v>
      </c>
      <c r="B136" s="31">
        <v>32.0</v>
      </c>
      <c r="C136" s="139" t="s">
        <v>157</v>
      </c>
      <c r="D136" s="35" t="s">
        <v>62</v>
      </c>
      <c r="E136" s="51" t="s">
        <v>53</v>
      </c>
      <c r="F136" s="420" t="s">
        <v>1188</v>
      </c>
      <c r="G136" s="138"/>
      <c r="H136" s="419"/>
      <c r="I136" s="138"/>
      <c r="J136" s="138"/>
      <c r="K136" s="421"/>
      <c r="L136" s="89"/>
      <c r="M136" s="89" t="str">
        <f t="shared" si="6"/>
        <v>mike.wilson@lrc.ky.gov</v>
      </c>
      <c r="N136" s="409" t="str">
        <f t="shared" si="7"/>
        <v>http://www.lrc.ky.gov/Messages/S032.aspx</v>
      </c>
      <c r="O136" s="89"/>
      <c r="P136" s="89"/>
      <c r="Q136" s="89"/>
      <c r="R136" s="89"/>
      <c r="S136" s="89"/>
    </row>
    <row r="137">
      <c r="A137" s="14" t="s">
        <v>286</v>
      </c>
      <c r="B137" s="31">
        <v>33.0</v>
      </c>
      <c r="C137" s="139" t="s">
        <v>987</v>
      </c>
      <c r="D137" s="35" t="s">
        <v>268</v>
      </c>
      <c r="E137" s="36" t="s">
        <v>49</v>
      </c>
      <c r="F137" s="418"/>
      <c r="G137" s="138"/>
      <c r="H137" s="419"/>
      <c r="I137" s="138"/>
      <c r="J137" s="138"/>
      <c r="K137" s="112"/>
      <c r="L137" s="89"/>
      <c r="M137" s="89" t="str">
        <f t="shared" si="6"/>
        <v>gerald.neal@lrc.ky.gov</v>
      </c>
      <c r="N137" s="409" t="str">
        <f t="shared" si="7"/>
        <v>http://www.lrc.ky.gov/Messages/S033.aspx</v>
      </c>
      <c r="O137" s="89"/>
      <c r="P137" s="89"/>
      <c r="Q137" s="89"/>
      <c r="R137" s="89"/>
      <c r="S137" s="89"/>
    </row>
    <row r="138">
      <c r="A138" s="14" t="s">
        <v>286</v>
      </c>
      <c r="B138" s="31">
        <v>34.0</v>
      </c>
      <c r="C138" s="139" t="s">
        <v>2285</v>
      </c>
      <c r="D138" s="35" t="s">
        <v>196</v>
      </c>
      <c r="E138" s="51" t="s">
        <v>53</v>
      </c>
      <c r="F138" s="418"/>
      <c r="G138" s="129" t="s">
        <v>3120</v>
      </c>
      <c r="H138" s="419"/>
      <c r="I138" s="138"/>
      <c r="J138" s="138"/>
      <c r="K138" s="112"/>
      <c r="L138" s="89"/>
      <c r="M138" s="89" t="str">
        <f t="shared" si="6"/>
        <v>jared.carpenter@lrc.ky.gov</v>
      </c>
      <c r="N138" s="409" t="str">
        <f t="shared" si="7"/>
        <v>http://www.lrc.ky.gov/Messages/S034.aspx</v>
      </c>
      <c r="O138" s="89"/>
      <c r="P138" s="89"/>
      <c r="Q138" s="89"/>
      <c r="R138" s="89"/>
      <c r="S138" s="89"/>
    </row>
    <row r="139">
      <c r="A139" s="14" t="s">
        <v>286</v>
      </c>
      <c r="B139" s="31">
        <v>35.0</v>
      </c>
      <c r="C139" s="139" t="s">
        <v>932</v>
      </c>
      <c r="D139" s="424" t="s">
        <v>5373</v>
      </c>
      <c r="E139" s="36" t="s">
        <v>49</v>
      </c>
      <c r="F139" s="418"/>
      <c r="G139" s="138"/>
      <c r="H139" s="419"/>
      <c r="I139" s="138"/>
      <c r="J139" s="138"/>
      <c r="K139" s="112"/>
      <c r="L139" s="89"/>
      <c r="M139" s="89" t="str">
        <f t="shared" si="6"/>
        <v>denise.angel@lrc.ky.gov</v>
      </c>
      <c r="N139" s="409" t="str">
        <f t="shared" si="7"/>
        <v>http://www.lrc.ky.gov/Messages/S035.aspx</v>
      </c>
      <c r="O139" s="89"/>
      <c r="P139" s="89"/>
      <c r="Q139" s="89"/>
      <c r="R139" s="89"/>
      <c r="S139" s="89"/>
    </row>
    <row r="140">
      <c r="A140" s="14" t="s">
        <v>286</v>
      </c>
      <c r="B140" s="31">
        <v>36.0</v>
      </c>
      <c r="C140" s="139" t="s">
        <v>2133</v>
      </c>
      <c r="D140" s="35" t="s">
        <v>5375</v>
      </c>
      <c r="E140" s="51" t="s">
        <v>53</v>
      </c>
      <c r="F140" s="420" t="s">
        <v>1684</v>
      </c>
      <c r="G140" s="138"/>
      <c r="H140" s="419"/>
      <c r="I140" s="138"/>
      <c r="J140" s="138"/>
      <c r="K140" s="112"/>
      <c r="L140" s="89"/>
      <c r="M140" s="89" t="str">
        <f t="shared" si="6"/>
        <v>julie.adams@lrc.ky.gov</v>
      </c>
      <c r="N140" s="409" t="str">
        <f t="shared" si="7"/>
        <v>http://www.lrc.ky.gov/Messages/S036.aspx</v>
      </c>
      <c r="O140" s="89"/>
      <c r="P140" s="89"/>
      <c r="Q140" s="89"/>
      <c r="R140" s="89"/>
      <c r="S140" s="89"/>
    </row>
    <row r="141">
      <c r="A141" s="14" t="s">
        <v>286</v>
      </c>
      <c r="B141" s="31">
        <v>37.0</v>
      </c>
      <c r="C141" s="139" t="s">
        <v>1329</v>
      </c>
      <c r="D141" s="35" t="s">
        <v>2063</v>
      </c>
      <c r="E141" s="36" t="s">
        <v>49</v>
      </c>
      <c r="F141" s="418"/>
      <c r="G141" s="138"/>
      <c r="H141" s="419"/>
      <c r="I141" s="138"/>
      <c r="J141" s="138"/>
      <c r="K141" s="112"/>
      <c r="L141" s="89"/>
      <c r="M141" s="89" t="str">
        <f t="shared" si="6"/>
        <v>perry.clark@lrc.ky.gov</v>
      </c>
      <c r="N141" s="409" t="str">
        <f t="shared" si="7"/>
        <v>http://www.lrc.ky.gov/Messages/S037.aspx</v>
      </c>
      <c r="O141" s="89"/>
      <c r="P141" s="89"/>
      <c r="Q141" s="89"/>
      <c r="R141" s="89"/>
      <c r="S141" s="89"/>
    </row>
    <row r="142">
      <c r="A142" s="14" t="s">
        <v>286</v>
      </c>
      <c r="B142" s="31">
        <v>38.0</v>
      </c>
      <c r="C142" s="139" t="s">
        <v>239</v>
      </c>
      <c r="D142" s="35" t="s">
        <v>5380</v>
      </c>
      <c r="E142" s="51" t="s">
        <v>53</v>
      </c>
      <c r="F142" s="418"/>
      <c r="G142" s="138"/>
      <c r="H142" s="419"/>
      <c r="I142" s="138"/>
      <c r="J142" s="138"/>
      <c r="K142" s="112"/>
      <c r="L142" s="89"/>
      <c r="M142" s="89" t="str">
        <f t="shared" si="6"/>
        <v>dan.seum@lrc.ky.gov</v>
      </c>
      <c r="N142" s="409" t="str">
        <f t="shared" si="7"/>
        <v>http://www.lrc.ky.gov/Messages/S038.aspx</v>
      </c>
      <c r="O142" s="89"/>
      <c r="P142" s="89"/>
      <c r="Q142" s="89"/>
      <c r="R142" s="89"/>
      <c r="S142" s="89"/>
    </row>
    <row r="143">
      <c r="A143" s="70"/>
      <c r="B143" s="70"/>
      <c r="C143" s="195"/>
      <c r="D143" s="425"/>
      <c r="E143" s="70"/>
      <c r="F143" s="417"/>
      <c r="G143" s="70"/>
      <c r="H143" s="70"/>
      <c r="I143" s="70"/>
      <c r="J143" s="70"/>
      <c r="K143" s="70"/>
      <c r="L143" s="70"/>
      <c r="M143" s="70"/>
      <c r="N143" s="70"/>
      <c r="O143" s="70"/>
      <c r="P143" s="70"/>
      <c r="Q143" s="70"/>
      <c r="R143" s="70"/>
      <c r="S143" s="70"/>
      <c r="T143" s="70"/>
      <c r="U143" s="70"/>
      <c r="V143" s="70"/>
      <c r="W143" s="70"/>
      <c r="X143" s="70"/>
      <c r="Y143" s="70"/>
      <c r="Z143" s="70"/>
      <c r="AA143" s="70"/>
      <c r="AB143" s="70"/>
      <c r="AC143" s="70"/>
      <c r="AD143" s="70"/>
      <c r="AE143" s="70"/>
    </row>
    <row r="144">
      <c r="A144" s="14" t="s">
        <v>421</v>
      </c>
      <c r="C144" s="77" t="s">
        <v>163</v>
      </c>
      <c r="D144" s="226" t="s">
        <v>5383</v>
      </c>
      <c r="E144" s="51" t="s">
        <v>53</v>
      </c>
      <c r="F144" s="426"/>
      <c r="L144" s="89"/>
      <c r="M144" s="89"/>
      <c r="N144" s="89"/>
      <c r="O144" s="89"/>
      <c r="P144" s="89"/>
      <c r="Q144" s="89"/>
      <c r="R144" s="89"/>
      <c r="S144" s="89"/>
    </row>
    <row r="145">
      <c r="A145" s="70"/>
      <c r="B145" s="70"/>
      <c r="C145" s="71"/>
      <c r="D145" s="345"/>
      <c r="E145" s="70"/>
      <c r="F145" s="417"/>
      <c r="G145" s="70"/>
      <c r="H145" s="70"/>
      <c r="I145" s="70"/>
      <c r="J145" s="70"/>
      <c r="K145" s="70"/>
      <c r="L145" s="70"/>
      <c r="M145" s="70"/>
      <c r="N145" s="70"/>
      <c r="O145" s="70"/>
      <c r="P145" s="70"/>
      <c r="Q145" s="70"/>
      <c r="R145" s="70"/>
      <c r="S145" s="70"/>
      <c r="T145" s="70"/>
      <c r="U145" s="70"/>
      <c r="V145" s="70"/>
      <c r="W145" s="70"/>
      <c r="X145" s="70"/>
      <c r="Y145" s="70"/>
      <c r="Z145" s="70"/>
      <c r="AA145" s="70"/>
      <c r="AB145" s="70"/>
      <c r="AC145" s="70"/>
      <c r="AD145" s="70"/>
      <c r="AE145" s="70"/>
    </row>
    <row r="146">
      <c r="A146" s="14" t="s">
        <v>427</v>
      </c>
      <c r="B146" s="14">
        <v>1.0</v>
      </c>
      <c r="C146" s="77" t="s">
        <v>930</v>
      </c>
      <c r="D146" s="226" t="s">
        <v>5384</v>
      </c>
      <c r="E146" s="51" t="s">
        <v>53</v>
      </c>
      <c r="F146" s="426"/>
      <c r="L146" s="89"/>
      <c r="M146" s="89"/>
      <c r="N146" s="89"/>
      <c r="O146" s="89"/>
      <c r="P146" s="89"/>
      <c r="Q146" s="89"/>
      <c r="R146" s="89"/>
      <c r="S146" s="89"/>
    </row>
    <row r="147">
      <c r="A147" s="14" t="s">
        <v>427</v>
      </c>
      <c r="B147" s="14">
        <v>2.0</v>
      </c>
      <c r="C147" s="77" t="s">
        <v>547</v>
      </c>
      <c r="D147" s="226" t="s">
        <v>4316</v>
      </c>
      <c r="E147" s="51" t="s">
        <v>53</v>
      </c>
      <c r="F147" s="426"/>
      <c r="L147" s="89"/>
      <c r="M147" s="89"/>
      <c r="N147" s="89"/>
      <c r="O147" s="89"/>
      <c r="P147" s="89"/>
      <c r="Q147" s="89"/>
      <c r="R147" s="89"/>
      <c r="S147" s="89"/>
    </row>
    <row r="148">
      <c r="A148" s="14" t="s">
        <v>427</v>
      </c>
      <c r="B148" s="14">
        <v>3.0</v>
      </c>
      <c r="C148" s="77" t="s">
        <v>278</v>
      </c>
      <c r="D148" s="226" t="s">
        <v>5387</v>
      </c>
      <c r="E148" s="36" t="s">
        <v>49</v>
      </c>
      <c r="F148" s="426"/>
      <c r="L148" s="89"/>
      <c r="M148" s="89"/>
      <c r="N148" s="89"/>
      <c r="O148" s="89"/>
      <c r="P148" s="89"/>
      <c r="Q148" s="89"/>
      <c r="R148" s="89"/>
      <c r="S148" s="89"/>
    </row>
    <row r="149">
      <c r="A149" s="14" t="s">
        <v>427</v>
      </c>
      <c r="B149" s="14">
        <v>4.0</v>
      </c>
      <c r="C149" s="77" t="s">
        <v>561</v>
      </c>
      <c r="D149" s="226" t="s">
        <v>5388</v>
      </c>
      <c r="E149" s="51" t="s">
        <v>53</v>
      </c>
      <c r="F149" s="426"/>
      <c r="L149" s="89"/>
      <c r="M149" s="89"/>
      <c r="N149" s="89"/>
      <c r="O149" s="89"/>
      <c r="P149" s="89"/>
      <c r="Q149" s="89"/>
      <c r="R149" s="89"/>
      <c r="S149" s="89"/>
    </row>
    <row r="150">
      <c r="A150" s="14" t="s">
        <v>427</v>
      </c>
      <c r="B150" s="14">
        <v>5.0</v>
      </c>
      <c r="C150" s="77" t="s">
        <v>4641</v>
      </c>
      <c r="D150" s="226" t="s">
        <v>494</v>
      </c>
      <c r="E150" s="51" t="s">
        <v>53</v>
      </c>
      <c r="F150" s="426"/>
      <c r="L150" s="89"/>
      <c r="M150" s="89"/>
      <c r="N150" s="89"/>
      <c r="O150" s="89"/>
      <c r="P150" s="89"/>
      <c r="Q150" s="89"/>
      <c r="R150" s="89"/>
      <c r="S150" s="89"/>
    </row>
    <row r="151">
      <c r="A151" s="14" t="s">
        <v>427</v>
      </c>
      <c r="B151" s="14">
        <v>6.0</v>
      </c>
      <c r="C151" s="77" t="s">
        <v>109</v>
      </c>
      <c r="D151" s="226" t="s">
        <v>3670</v>
      </c>
      <c r="E151" s="51" t="s">
        <v>53</v>
      </c>
      <c r="F151" s="426"/>
      <c r="L151" s="89"/>
      <c r="M151" s="89"/>
      <c r="N151" s="89"/>
      <c r="O151" s="89"/>
      <c r="P151" s="89"/>
      <c r="Q151" s="89"/>
      <c r="R151" s="89"/>
      <c r="S151" s="89"/>
    </row>
    <row r="152">
      <c r="A152" s="70"/>
      <c r="B152" s="70"/>
      <c r="C152" s="71"/>
      <c r="D152" s="345"/>
      <c r="E152" s="70"/>
      <c r="F152" s="417"/>
      <c r="G152" s="70"/>
      <c r="H152" s="70"/>
      <c r="I152" s="70"/>
      <c r="J152" s="70"/>
      <c r="K152" s="70"/>
      <c r="L152" s="70"/>
      <c r="M152" s="70"/>
      <c r="N152" s="70"/>
      <c r="O152" s="70"/>
      <c r="P152" s="70"/>
      <c r="Q152" s="70"/>
      <c r="R152" s="70"/>
      <c r="S152" s="70"/>
      <c r="T152" s="70"/>
      <c r="U152" s="70"/>
      <c r="V152" s="70"/>
      <c r="W152" s="70"/>
      <c r="X152" s="70"/>
      <c r="Y152" s="70"/>
      <c r="Z152" s="70"/>
      <c r="AA152" s="70"/>
      <c r="AB152" s="70"/>
      <c r="AC152" s="70"/>
      <c r="AD152" s="70"/>
      <c r="AE152" s="70"/>
    </row>
    <row r="153">
      <c r="A153" s="14" t="s">
        <v>430</v>
      </c>
      <c r="B153" s="14" t="s">
        <v>431</v>
      </c>
      <c r="C153" s="77" t="s">
        <v>492</v>
      </c>
      <c r="D153" s="226" t="s">
        <v>5391</v>
      </c>
      <c r="E153" s="51" t="s">
        <v>53</v>
      </c>
      <c r="F153" s="426"/>
      <c r="L153" s="89"/>
      <c r="M153" s="89"/>
      <c r="N153" s="89"/>
      <c r="O153" s="89"/>
      <c r="P153" s="89"/>
      <c r="Q153" s="89"/>
      <c r="R153" s="89"/>
      <c r="S153" s="89"/>
    </row>
    <row r="154">
      <c r="A154" s="14" t="s">
        <v>430</v>
      </c>
      <c r="B154" s="14" t="s">
        <v>434</v>
      </c>
      <c r="C154" s="77" t="s">
        <v>5203</v>
      </c>
      <c r="D154" s="226" t="s">
        <v>679</v>
      </c>
      <c r="E154" s="51" t="s">
        <v>53</v>
      </c>
      <c r="F154" s="426"/>
      <c r="L154" s="89"/>
      <c r="M154" s="89"/>
      <c r="N154" s="89"/>
      <c r="O154" s="89"/>
      <c r="P154" s="89"/>
      <c r="Q154" s="89"/>
      <c r="R154" s="89"/>
      <c r="S154" s="89"/>
    </row>
    <row r="155">
      <c r="A155" s="70"/>
      <c r="B155" s="70"/>
      <c r="C155" s="71"/>
      <c r="D155" s="345"/>
      <c r="E155" s="70"/>
      <c r="F155" s="417"/>
      <c r="G155" s="70"/>
      <c r="H155" s="70"/>
      <c r="I155" s="70"/>
      <c r="J155" s="70"/>
      <c r="K155" s="70"/>
      <c r="L155" s="70"/>
      <c r="M155" s="70"/>
      <c r="N155" s="70"/>
      <c r="O155" s="70"/>
      <c r="P155" s="70"/>
      <c r="Q155" s="70"/>
      <c r="R155" s="70"/>
      <c r="S155" s="70"/>
      <c r="T155" s="70"/>
      <c r="U155" s="70"/>
      <c r="V155" s="70"/>
      <c r="W155" s="70"/>
      <c r="X155" s="70"/>
      <c r="Y155" s="70"/>
      <c r="Z155" s="70"/>
      <c r="AA155" s="70"/>
      <c r="AB155" s="70"/>
      <c r="AC155" s="70"/>
      <c r="AD155" s="70"/>
      <c r="AE155" s="70"/>
    </row>
    <row r="156">
      <c r="A156" s="14" t="s">
        <v>438</v>
      </c>
      <c r="C156" s="77" t="s">
        <v>109</v>
      </c>
      <c r="D156" s="226" t="s">
        <v>5396</v>
      </c>
      <c r="E156" s="36" t="s">
        <v>49</v>
      </c>
      <c r="F156" s="426"/>
      <c r="L156" s="89"/>
      <c r="M156" s="89"/>
      <c r="N156" s="89"/>
      <c r="O156" s="89"/>
      <c r="P156" s="89"/>
      <c r="Q156" s="89"/>
      <c r="R156" s="89"/>
      <c r="S156" s="89"/>
    </row>
    <row r="157">
      <c r="A157" s="70"/>
      <c r="B157" s="70"/>
      <c r="C157" s="71"/>
      <c r="D157" s="345"/>
      <c r="E157" s="70"/>
      <c r="F157" s="417"/>
      <c r="G157" s="70"/>
      <c r="H157" s="70"/>
      <c r="I157" s="70"/>
      <c r="J157" s="70"/>
      <c r="K157" s="70"/>
      <c r="L157" s="70"/>
      <c r="M157" s="70"/>
      <c r="N157" s="70"/>
      <c r="O157" s="70"/>
      <c r="P157" s="70"/>
      <c r="Q157" s="70"/>
      <c r="R157" s="70"/>
      <c r="S157" s="70"/>
      <c r="T157" s="70"/>
      <c r="U157" s="70"/>
      <c r="V157" s="70"/>
      <c r="W157" s="70"/>
      <c r="X157" s="70"/>
      <c r="Y157" s="70"/>
      <c r="Z157" s="70"/>
      <c r="AA157" s="70"/>
      <c r="AB157" s="70"/>
      <c r="AC157" s="70"/>
      <c r="AD157" s="70"/>
      <c r="AE157" s="70"/>
    </row>
    <row r="158">
      <c r="C158" s="139"/>
      <c r="D158" s="303"/>
      <c r="F158" s="426"/>
    </row>
    <row r="159">
      <c r="C159" s="139"/>
      <c r="D159" s="303"/>
      <c r="F159" s="426"/>
    </row>
    <row r="160">
      <c r="C160" s="139"/>
      <c r="D160" s="303"/>
      <c r="F160" s="426"/>
    </row>
    <row r="161">
      <c r="C161" s="139"/>
      <c r="D161" s="303"/>
      <c r="F161" s="426"/>
    </row>
    <row r="162">
      <c r="C162" s="139"/>
      <c r="D162" s="303"/>
      <c r="F162" s="426"/>
    </row>
    <row r="163">
      <c r="C163" s="139"/>
      <c r="D163" s="303"/>
      <c r="F163" s="426"/>
    </row>
    <row r="164">
      <c r="C164" s="139"/>
      <c r="D164" s="303"/>
      <c r="F164" s="426"/>
    </row>
    <row r="165">
      <c r="C165" s="139"/>
      <c r="D165" s="303"/>
      <c r="F165" s="426"/>
    </row>
    <row r="166">
      <c r="C166" s="139"/>
      <c r="D166" s="303"/>
      <c r="F166" s="426"/>
    </row>
    <row r="167">
      <c r="C167" s="139"/>
      <c r="D167" s="303"/>
      <c r="F167" s="426"/>
    </row>
    <row r="168">
      <c r="C168" s="139"/>
      <c r="D168" s="303"/>
      <c r="F168" s="426"/>
    </row>
    <row r="169">
      <c r="C169" s="139"/>
      <c r="D169" s="303"/>
      <c r="F169" s="426"/>
    </row>
    <row r="170">
      <c r="C170" s="139"/>
      <c r="D170" s="303"/>
      <c r="F170" s="426"/>
    </row>
    <row r="171">
      <c r="C171" s="139"/>
      <c r="D171" s="303"/>
      <c r="F171" s="426"/>
    </row>
    <row r="172">
      <c r="C172" s="139"/>
      <c r="D172" s="303"/>
      <c r="F172" s="426"/>
    </row>
    <row r="173">
      <c r="C173" s="139"/>
      <c r="D173" s="303"/>
      <c r="F173" s="426"/>
    </row>
    <row r="174">
      <c r="C174" s="139"/>
      <c r="D174" s="303"/>
      <c r="F174" s="426"/>
    </row>
    <row r="175">
      <c r="C175" s="139"/>
      <c r="D175" s="303"/>
      <c r="F175" s="426"/>
    </row>
    <row r="176">
      <c r="C176" s="139"/>
      <c r="D176" s="303"/>
      <c r="F176" s="426"/>
    </row>
    <row r="177">
      <c r="C177" s="139"/>
      <c r="D177" s="303"/>
      <c r="F177" s="426"/>
    </row>
    <row r="178">
      <c r="C178" s="139"/>
      <c r="D178" s="303"/>
      <c r="F178" s="426"/>
    </row>
    <row r="179">
      <c r="C179" s="139"/>
      <c r="D179" s="303"/>
      <c r="F179" s="426"/>
    </row>
    <row r="180">
      <c r="C180" s="139"/>
      <c r="D180" s="303"/>
      <c r="F180" s="426"/>
    </row>
    <row r="181">
      <c r="C181" s="139"/>
      <c r="D181" s="303"/>
      <c r="F181" s="426"/>
    </row>
    <row r="182">
      <c r="C182" s="139"/>
      <c r="D182" s="303"/>
      <c r="F182" s="426"/>
    </row>
    <row r="183">
      <c r="C183" s="139"/>
      <c r="D183" s="303"/>
      <c r="F183" s="426"/>
    </row>
    <row r="184">
      <c r="C184" s="139"/>
      <c r="D184" s="303"/>
      <c r="F184" s="426"/>
    </row>
    <row r="185">
      <c r="C185" s="139"/>
      <c r="D185" s="303"/>
      <c r="F185" s="426"/>
    </row>
    <row r="186">
      <c r="C186" s="139"/>
      <c r="D186" s="303"/>
      <c r="F186" s="426"/>
    </row>
    <row r="187">
      <c r="C187" s="139"/>
      <c r="D187" s="303"/>
      <c r="F187" s="426"/>
    </row>
    <row r="188">
      <c r="C188" s="139"/>
      <c r="D188" s="303"/>
      <c r="F188" s="426"/>
    </row>
    <row r="189">
      <c r="C189" s="139"/>
      <c r="D189" s="303"/>
      <c r="F189" s="426"/>
    </row>
    <row r="190">
      <c r="C190" s="139"/>
      <c r="D190" s="303"/>
      <c r="F190" s="426"/>
    </row>
    <row r="191">
      <c r="C191" s="139"/>
      <c r="D191" s="303"/>
      <c r="F191" s="426"/>
    </row>
    <row r="192">
      <c r="C192" s="139"/>
      <c r="D192" s="303"/>
      <c r="F192" s="426"/>
    </row>
    <row r="193">
      <c r="C193" s="139"/>
      <c r="D193" s="303"/>
      <c r="F193" s="426"/>
    </row>
    <row r="194">
      <c r="C194" s="139"/>
      <c r="D194" s="303"/>
      <c r="F194" s="426"/>
    </row>
    <row r="195">
      <c r="C195" s="139"/>
      <c r="D195" s="303"/>
      <c r="F195" s="426"/>
    </row>
    <row r="196">
      <c r="C196" s="139"/>
      <c r="D196" s="303"/>
      <c r="F196" s="426"/>
    </row>
    <row r="197">
      <c r="C197" s="139"/>
      <c r="D197" s="303"/>
      <c r="F197" s="426"/>
    </row>
    <row r="198">
      <c r="C198" s="139"/>
      <c r="D198" s="303"/>
      <c r="F198" s="426"/>
    </row>
    <row r="199">
      <c r="C199" s="139"/>
      <c r="D199" s="303"/>
      <c r="F199" s="426"/>
    </row>
    <row r="200">
      <c r="C200" s="139"/>
      <c r="D200" s="303"/>
      <c r="F200" s="426"/>
    </row>
    <row r="201">
      <c r="C201" s="139"/>
      <c r="D201" s="303"/>
      <c r="F201" s="426"/>
    </row>
    <row r="202">
      <c r="C202" s="139"/>
      <c r="D202" s="303"/>
      <c r="F202" s="426"/>
    </row>
    <row r="203">
      <c r="C203" s="139"/>
      <c r="D203" s="303"/>
      <c r="F203" s="426"/>
    </row>
    <row r="204">
      <c r="C204" s="139"/>
      <c r="D204" s="303"/>
      <c r="F204" s="426"/>
    </row>
    <row r="205">
      <c r="C205" s="139"/>
      <c r="D205" s="303"/>
      <c r="F205" s="426"/>
    </row>
    <row r="206">
      <c r="C206" s="139"/>
      <c r="D206" s="303"/>
      <c r="F206" s="426"/>
    </row>
    <row r="207">
      <c r="C207" s="139"/>
      <c r="D207" s="303"/>
      <c r="F207" s="426"/>
    </row>
    <row r="208">
      <c r="C208" s="139"/>
      <c r="D208" s="303"/>
      <c r="F208" s="426"/>
    </row>
    <row r="209">
      <c r="C209" s="139"/>
      <c r="D209" s="303"/>
      <c r="F209" s="426"/>
    </row>
    <row r="210">
      <c r="C210" s="139"/>
      <c r="D210" s="303"/>
      <c r="F210" s="426"/>
    </row>
    <row r="211">
      <c r="C211" s="139"/>
      <c r="D211" s="303"/>
      <c r="F211" s="426"/>
    </row>
    <row r="212">
      <c r="C212" s="139"/>
      <c r="D212" s="303"/>
      <c r="F212" s="426"/>
    </row>
    <row r="213">
      <c r="C213" s="139"/>
      <c r="D213" s="303"/>
      <c r="F213" s="426"/>
    </row>
    <row r="214">
      <c r="C214" s="139"/>
      <c r="D214" s="303"/>
      <c r="F214" s="426"/>
    </row>
    <row r="215">
      <c r="C215" s="139"/>
      <c r="D215" s="303"/>
      <c r="F215" s="426"/>
    </row>
    <row r="216">
      <c r="C216" s="139"/>
      <c r="D216" s="303"/>
      <c r="F216" s="426"/>
    </row>
    <row r="217">
      <c r="C217" s="139"/>
      <c r="D217" s="303"/>
      <c r="F217" s="426"/>
    </row>
    <row r="218">
      <c r="C218" s="139"/>
      <c r="D218" s="303"/>
      <c r="F218" s="426"/>
    </row>
    <row r="219">
      <c r="C219" s="139"/>
      <c r="D219" s="303"/>
      <c r="F219" s="426"/>
    </row>
    <row r="220">
      <c r="C220" s="139"/>
      <c r="D220" s="303"/>
      <c r="F220" s="426"/>
    </row>
    <row r="221">
      <c r="C221" s="139"/>
      <c r="D221" s="303"/>
      <c r="F221" s="426"/>
    </row>
    <row r="222">
      <c r="C222" s="139"/>
      <c r="D222" s="303"/>
      <c r="F222" s="426"/>
    </row>
    <row r="223">
      <c r="C223" s="139"/>
      <c r="D223" s="303"/>
      <c r="F223" s="426"/>
    </row>
    <row r="224">
      <c r="C224" s="139"/>
      <c r="D224" s="303"/>
      <c r="F224" s="426"/>
    </row>
    <row r="225">
      <c r="C225" s="139"/>
      <c r="D225" s="303"/>
      <c r="F225" s="426"/>
    </row>
    <row r="226">
      <c r="C226" s="139"/>
      <c r="D226" s="303"/>
      <c r="F226" s="426"/>
    </row>
    <row r="227">
      <c r="C227" s="139"/>
      <c r="D227" s="303"/>
      <c r="F227" s="426"/>
    </row>
    <row r="228">
      <c r="C228" s="139"/>
      <c r="D228" s="303"/>
      <c r="F228" s="426"/>
    </row>
    <row r="229">
      <c r="C229" s="139"/>
      <c r="D229" s="303"/>
      <c r="F229" s="426"/>
    </row>
    <row r="230">
      <c r="C230" s="139"/>
      <c r="D230" s="303"/>
      <c r="F230" s="426"/>
    </row>
    <row r="231">
      <c r="C231" s="139"/>
      <c r="D231" s="303"/>
      <c r="F231" s="426"/>
    </row>
    <row r="232">
      <c r="C232" s="139"/>
      <c r="D232" s="303"/>
      <c r="F232" s="426"/>
    </row>
    <row r="233">
      <c r="C233" s="139"/>
      <c r="D233" s="303"/>
      <c r="F233" s="426"/>
    </row>
    <row r="234">
      <c r="C234" s="139"/>
      <c r="D234" s="303"/>
      <c r="F234" s="426"/>
    </row>
    <row r="235">
      <c r="C235" s="139"/>
      <c r="D235" s="303"/>
      <c r="F235" s="426"/>
    </row>
    <row r="236">
      <c r="C236" s="139"/>
      <c r="D236" s="303"/>
      <c r="F236" s="426"/>
    </row>
    <row r="237">
      <c r="C237" s="139"/>
      <c r="D237" s="303"/>
      <c r="F237" s="426"/>
    </row>
    <row r="238">
      <c r="C238" s="139"/>
      <c r="D238" s="303"/>
      <c r="F238" s="426"/>
    </row>
    <row r="239">
      <c r="C239" s="139"/>
      <c r="D239" s="303"/>
      <c r="F239" s="426"/>
    </row>
    <row r="240">
      <c r="C240" s="139"/>
      <c r="D240" s="303"/>
      <c r="F240" s="426"/>
    </row>
    <row r="241">
      <c r="C241" s="139"/>
      <c r="D241" s="303"/>
      <c r="F241" s="426"/>
    </row>
    <row r="242">
      <c r="C242" s="139"/>
      <c r="D242" s="303"/>
      <c r="F242" s="426"/>
    </row>
    <row r="243">
      <c r="C243" s="139"/>
      <c r="D243" s="303"/>
      <c r="F243" s="426"/>
    </row>
    <row r="244">
      <c r="C244" s="139"/>
      <c r="D244" s="303"/>
      <c r="F244" s="426"/>
    </row>
    <row r="245">
      <c r="C245" s="139"/>
      <c r="D245" s="303"/>
      <c r="F245" s="426"/>
    </row>
    <row r="246">
      <c r="C246" s="139"/>
      <c r="D246" s="303"/>
      <c r="F246" s="426"/>
    </row>
    <row r="247">
      <c r="C247" s="139"/>
      <c r="D247" s="303"/>
      <c r="F247" s="426"/>
    </row>
    <row r="248">
      <c r="C248" s="139"/>
      <c r="D248" s="303"/>
      <c r="F248" s="426"/>
    </row>
    <row r="249">
      <c r="C249" s="139"/>
      <c r="D249" s="303"/>
      <c r="F249" s="426"/>
    </row>
    <row r="250">
      <c r="C250" s="139"/>
      <c r="D250" s="303"/>
      <c r="F250" s="426"/>
    </row>
    <row r="251">
      <c r="C251" s="139"/>
      <c r="D251" s="303"/>
      <c r="F251" s="426"/>
    </row>
    <row r="252">
      <c r="C252" s="139"/>
      <c r="D252" s="303"/>
      <c r="F252" s="426"/>
    </row>
    <row r="253">
      <c r="C253" s="139"/>
      <c r="D253" s="303"/>
      <c r="F253" s="426"/>
    </row>
    <row r="254">
      <c r="C254" s="139"/>
      <c r="D254" s="303"/>
      <c r="F254" s="426"/>
    </row>
    <row r="255">
      <c r="C255" s="139"/>
      <c r="D255" s="303"/>
      <c r="F255" s="426"/>
    </row>
    <row r="256">
      <c r="C256" s="139"/>
      <c r="D256" s="303"/>
      <c r="F256" s="426"/>
    </row>
    <row r="257">
      <c r="C257" s="139"/>
      <c r="D257" s="303"/>
      <c r="F257" s="426"/>
    </row>
    <row r="258">
      <c r="C258" s="139"/>
      <c r="D258" s="303"/>
      <c r="F258" s="426"/>
    </row>
    <row r="259">
      <c r="C259" s="139"/>
      <c r="D259" s="303"/>
      <c r="F259" s="426"/>
    </row>
    <row r="260">
      <c r="C260" s="139"/>
      <c r="D260" s="303"/>
      <c r="F260" s="426"/>
    </row>
    <row r="261">
      <c r="C261" s="139"/>
      <c r="D261" s="303"/>
      <c r="F261" s="426"/>
    </row>
    <row r="262">
      <c r="C262" s="139"/>
      <c r="D262" s="303"/>
      <c r="F262" s="426"/>
    </row>
    <row r="263">
      <c r="C263" s="139"/>
      <c r="D263" s="303"/>
      <c r="F263" s="426"/>
    </row>
    <row r="264">
      <c r="C264" s="139"/>
      <c r="D264" s="303"/>
      <c r="F264" s="426"/>
    </row>
    <row r="265">
      <c r="C265" s="139"/>
      <c r="D265" s="303"/>
      <c r="F265" s="426"/>
    </row>
    <row r="266">
      <c r="C266" s="139"/>
      <c r="D266" s="303"/>
      <c r="F266" s="426"/>
    </row>
    <row r="267">
      <c r="C267" s="139"/>
      <c r="D267" s="303"/>
      <c r="F267" s="426"/>
    </row>
    <row r="268">
      <c r="C268" s="139"/>
      <c r="D268" s="303"/>
      <c r="F268" s="426"/>
    </row>
    <row r="269">
      <c r="C269" s="139"/>
      <c r="D269" s="303"/>
      <c r="F269" s="426"/>
    </row>
    <row r="270">
      <c r="C270" s="139"/>
      <c r="D270" s="303"/>
      <c r="F270" s="426"/>
    </row>
    <row r="271">
      <c r="C271" s="139"/>
      <c r="D271" s="303"/>
      <c r="F271" s="426"/>
    </row>
    <row r="272">
      <c r="C272" s="139"/>
      <c r="D272" s="303"/>
      <c r="F272" s="426"/>
    </row>
    <row r="273">
      <c r="C273" s="139"/>
      <c r="D273" s="303"/>
      <c r="F273" s="426"/>
    </row>
    <row r="274">
      <c r="C274" s="139"/>
      <c r="D274" s="303"/>
      <c r="F274" s="426"/>
    </row>
    <row r="275">
      <c r="C275" s="139"/>
      <c r="D275" s="303"/>
      <c r="F275" s="426"/>
    </row>
    <row r="276">
      <c r="C276" s="139"/>
      <c r="D276" s="303"/>
      <c r="F276" s="426"/>
    </row>
    <row r="277">
      <c r="C277" s="139"/>
      <c r="D277" s="303"/>
      <c r="F277" s="426"/>
    </row>
    <row r="278">
      <c r="C278" s="139"/>
      <c r="D278" s="303"/>
      <c r="F278" s="426"/>
    </row>
    <row r="279">
      <c r="C279" s="139"/>
      <c r="D279" s="303"/>
      <c r="F279" s="426"/>
    </row>
    <row r="280">
      <c r="C280" s="139"/>
      <c r="D280" s="303"/>
      <c r="F280" s="426"/>
    </row>
    <row r="281">
      <c r="C281" s="139"/>
      <c r="D281" s="303"/>
      <c r="F281" s="426"/>
    </row>
    <row r="282">
      <c r="C282" s="139"/>
      <c r="D282" s="303"/>
      <c r="F282" s="426"/>
    </row>
    <row r="283">
      <c r="C283" s="139"/>
      <c r="D283" s="303"/>
      <c r="F283" s="426"/>
    </row>
    <row r="284">
      <c r="C284" s="139"/>
      <c r="D284" s="303"/>
      <c r="F284" s="426"/>
    </row>
    <row r="285">
      <c r="C285" s="139"/>
      <c r="D285" s="303"/>
      <c r="F285" s="426"/>
    </row>
    <row r="286">
      <c r="C286" s="139"/>
      <c r="D286" s="303"/>
      <c r="F286" s="426"/>
    </row>
    <row r="287">
      <c r="C287" s="139"/>
      <c r="D287" s="303"/>
      <c r="F287" s="426"/>
    </row>
    <row r="288">
      <c r="C288" s="139"/>
      <c r="D288" s="303"/>
      <c r="F288" s="426"/>
    </row>
    <row r="289">
      <c r="C289" s="139"/>
      <c r="D289" s="303"/>
      <c r="F289" s="426"/>
    </row>
    <row r="290">
      <c r="C290" s="139"/>
      <c r="D290" s="303"/>
      <c r="F290" s="426"/>
    </row>
    <row r="291">
      <c r="C291" s="139"/>
      <c r="D291" s="303"/>
      <c r="F291" s="426"/>
    </row>
    <row r="292">
      <c r="C292" s="139"/>
      <c r="D292" s="303"/>
      <c r="F292" s="426"/>
    </row>
    <row r="293">
      <c r="C293" s="139"/>
      <c r="D293" s="303"/>
      <c r="F293" s="426"/>
    </row>
    <row r="294">
      <c r="C294" s="139"/>
      <c r="D294" s="303"/>
      <c r="F294" s="426"/>
    </row>
    <row r="295">
      <c r="C295" s="139"/>
      <c r="D295" s="303"/>
      <c r="F295" s="426"/>
    </row>
    <row r="296">
      <c r="C296" s="139"/>
      <c r="D296" s="303"/>
      <c r="F296" s="426"/>
    </row>
    <row r="297">
      <c r="C297" s="139"/>
      <c r="D297" s="303"/>
      <c r="F297" s="426"/>
    </row>
    <row r="298">
      <c r="C298" s="139"/>
      <c r="D298" s="303"/>
      <c r="F298" s="426"/>
    </row>
    <row r="299">
      <c r="C299" s="139"/>
      <c r="D299" s="303"/>
      <c r="F299" s="426"/>
    </row>
    <row r="300">
      <c r="C300" s="139"/>
      <c r="D300" s="303"/>
      <c r="F300" s="426"/>
    </row>
    <row r="301">
      <c r="C301" s="139"/>
      <c r="D301" s="303"/>
      <c r="F301" s="426"/>
    </row>
    <row r="302">
      <c r="C302" s="139"/>
      <c r="D302" s="303"/>
      <c r="F302" s="426"/>
    </row>
    <row r="303">
      <c r="C303" s="139"/>
      <c r="D303" s="303"/>
      <c r="F303" s="426"/>
    </row>
    <row r="304">
      <c r="C304" s="139"/>
      <c r="D304" s="303"/>
      <c r="F304" s="426"/>
    </row>
    <row r="305">
      <c r="C305" s="139"/>
      <c r="D305" s="303"/>
      <c r="F305" s="426"/>
    </row>
    <row r="306">
      <c r="C306" s="139"/>
      <c r="D306" s="303"/>
      <c r="F306" s="426"/>
    </row>
    <row r="307">
      <c r="C307" s="139"/>
      <c r="D307" s="303"/>
      <c r="F307" s="426"/>
    </row>
    <row r="308">
      <c r="C308" s="139"/>
      <c r="D308" s="303"/>
      <c r="F308" s="426"/>
    </row>
    <row r="309">
      <c r="C309" s="139"/>
      <c r="D309" s="303"/>
      <c r="F309" s="426"/>
    </row>
    <row r="310">
      <c r="C310" s="139"/>
      <c r="D310" s="303"/>
      <c r="F310" s="426"/>
    </row>
    <row r="311">
      <c r="C311" s="139"/>
      <c r="D311" s="303"/>
      <c r="F311" s="426"/>
    </row>
    <row r="312">
      <c r="C312" s="139"/>
      <c r="D312" s="303"/>
      <c r="F312" s="426"/>
    </row>
    <row r="313">
      <c r="C313" s="139"/>
      <c r="D313" s="303"/>
      <c r="F313" s="426"/>
    </row>
    <row r="314">
      <c r="C314" s="139"/>
      <c r="D314" s="303"/>
      <c r="F314" s="426"/>
    </row>
    <row r="315">
      <c r="C315" s="139"/>
      <c r="D315" s="303"/>
      <c r="F315" s="426"/>
    </row>
    <row r="316">
      <c r="C316" s="139"/>
      <c r="D316" s="303"/>
      <c r="F316" s="426"/>
    </row>
    <row r="317">
      <c r="C317" s="139"/>
      <c r="D317" s="303"/>
      <c r="F317" s="426"/>
    </row>
    <row r="318">
      <c r="C318" s="139"/>
      <c r="D318" s="303"/>
      <c r="F318" s="426"/>
    </row>
    <row r="319">
      <c r="C319" s="139"/>
      <c r="D319" s="303"/>
      <c r="F319" s="426"/>
    </row>
    <row r="320">
      <c r="C320" s="139"/>
      <c r="D320" s="303"/>
      <c r="F320" s="426"/>
    </row>
    <row r="321">
      <c r="C321" s="139"/>
      <c r="D321" s="303"/>
      <c r="F321" s="426"/>
    </row>
    <row r="322">
      <c r="C322" s="139"/>
      <c r="D322" s="303"/>
      <c r="F322" s="426"/>
    </row>
    <row r="323">
      <c r="C323" s="139"/>
      <c r="D323" s="303"/>
      <c r="F323" s="426"/>
    </row>
    <row r="324">
      <c r="C324" s="139"/>
      <c r="D324" s="303"/>
      <c r="F324" s="426"/>
    </row>
    <row r="325">
      <c r="C325" s="139"/>
      <c r="D325" s="303"/>
      <c r="F325" s="426"/>
    </row>
    <row r="326">
      <c r="C326" s="139"/>
      <c r="D326" s="303"/>
      <c r="F326" s="426"/>
    </row>
    <row r="327">
      <c r="C327" s="139"/>
      <c r="D327" s="303"/>
      <c r="F327" s="426"/>
    </row>
    <row r="328">
      <c r="C328" s="139"/>
      <c r="D328" s="303"/>
      <c r="F328" s="426"/>
    </row>
    <row r="329">
      <c r="C329" s="139"/>
      <c r="D329" s="303"/>
      <c r="F329" s="426"/>
    </row>
    <row r="330">
      <c r="C330" s="139"/>
      <c r="D330" s="303"/>
      <c r="F330" s="426"/>
    </row>
    <row r="331">
      <c r="C331" s="139"/>
      <c r="D331" s="303"/>
      <c r="F331" s="426"/>
    </row>
    <row r="332">
      <c r="C332" s="139"/>
      <c r="D332" s="303"/>
      <c r="F332" s="426"/>
    </row>
    <row r="333">
      <c r="C333" s="139"/>
      <c r="D333" s="303"/>
      <c r="F333" s="426"/>
    </row>
    <row r="334">
      <c r="C334" s="139"/>
      <c r="D334" s="303"/>
      <c r="F334" s="426"/>
    </row>
    <row r="335">
      <c r="C335" s="139"/>
      <c r="D335" s="303"/>
      <c r="F335" s="426"/>
    </row>
    <row r="336">
      <c r="C336" s="139"/>
      <c r="D336" s="303"/>
      <c r="F336" s="426"/>
    </row>
    <row r="337">
      <c r="C337" s="139"/>
      <c r="D337" s="303"/>
      <c r="F337" s="426"/>
    </row>
    <row r="338">
      <c r="C338" s="139"/>
      <c r="D338" s="303"/>
      <c r="F338" s="426"/>
    </row>
    <row r="339">
      <c r="C339" s="139"/>
      <c r="D339" s="303"/>
      <c r="F339" s="426"/>
    </row>
    <row r="340">
      <c r="C340" s="139"/>
      <c r="D340" s="303"/>
      <c r="F340" s="426"/>
    </row>
    <row r="341">
      <c r="C341" s="139"/>
      <c r="D341" s="303"/>
      <c r="F341" s="426"/>
    </row>
    <row r="342">
      <c r="C342" s="139"/>
      <c r="D342" s="303"/>
      <c r="F342" s="426"/>
    </row>
    <row r="343">
      <c r="C343" s="139"/>
      <c r="D343" s="303"/>
      <c r="F343" s="426"/>
    </row>
    <row r="344">
      <c r="C344" s="139"/>
      <c r="D344" s="303"/>
      <c r="F344" s="426"/>
    </row>
    <row r="345">
      <c r="C345" s="139"/>
      <c r="D345" s="303"/>
      <c r="F345" s="426"/>
    </row>
    <row r="346">
      <c r="C346" s="139"/>
      <c r="D346" s="303"/>
      <c r="F346" s="426"/>
    </row>
    <row r="347">
      <c r="C347" s="139"/>
      <c r="D347" s="303"/>
      <c r="F347" s="426"/>
    </row>
    <row r="348">
      <c r="C348" s="139"/>
      <c r="D348" s="303"/>
      <c r="F348" s="426"/>
    </row>
    <row r="349">
      <c r="C349" s="139"/>
      <c r="D349" s="303"/>
      <c r="F349" s="426"/>
    </row>
    <row r="350">
      <c r="C350" s="139"/>
      <c r="D350" s="303"/>
      <c r="F350" s="426"/>
    </row>
    <row r="351">
      <c r="C351" s="139"/>
      <c r="D351" s="303"/>
      <c r="F351" s="426"/>
    </row>
    <row r="352">
      <c r="C352" s="139"/>
      <c r="D352" s="303"/>
      <c r="F352" s="426"/>
    </row>
    <row r="353">
      <c r="C353" s="139"/>
      <c r="D353" s="303"/>
      <c r="F353" s="426"/>
    </row>
    <row r="354">
      <c r="C354" s="139"/>
      <c r="D354" s="303"/>
      <c r="F354" s="426"/>
    </row>
    <row r="355">
      <c r="C355" s="139"/>
      <c r="D355" s="303"/>
      <c r="F355" s="426"/>
    </row>
    <row r="356">
      <c r="C356" s="139"/>
      <c r="D356" s="303"/>
      <c r="F356" s="426"/>
    </row>
    <row r="357">
      <c r="C357" s="139"/>
      <c r="D357" s="303"/>
      <c r="F357" s="426"/>
    </row>
    <row r="358">
      <c r="C358" s="139"/>
      <c r="D358" s="303"/>
      <c r="F358" s="426"/>
    </row>
    <row r="359">
      <c r="C359" s="139"/>
      <c r="D359" s="303"/>
      <c r="F359" s="426"/>
    </row>
    <row r="360">
      <c r="C360" s="139"/>
      <c r="D360" s="303"/>
      <c r="F360" s="426"/>
    </row>
    <row r="361">
      <c r="C361" s="139"/>
      <c r="D361" s="303"/>
      <c r="F361" s="426"/>
    </row>
    <row r="362">
      <c r="C362" s="139"/>
      <c r="D362" s="303"/>
      <c r="F362" s="426"/>
    </row>
    <row r="363">
      <c r="C363" s="139"/>
      <c r="D363" s="303"/>
      <c r="F363" s="426"/>
    </row>
    <row r="364">
      <c r="C364" s="139"/>
      <c r="D364" s="303"/>
      <c r="F364" s="426"/>
    </row>
    <row r="365">
      <c r="C365" s="139"/>
      <c r="D365" s="303"/>
      <c r="F365" s="426"/>
    </row>
    <row r="366">
      <c r="C366" s="139"/>
      <c r="D366" s="303"/>
      <c r="F366" s="426"/>
    </row>
    <row r="367">
      <c r="C367" s="139"/>
      <c r="D367" s="303"/>
      <c r="F367" s="426"/>
    </row>
    <row r="368">
      <c r="C368" s="139"/>
      <c r="D368" s="303"/>
      <c r="F368" s="426"/>
    </row>
    <row r="369">
      <c r="C369" s="139"/>
      <c r="D369" s="303"/>
      <c r="F369" s="426"/>
    </row>
    <row r="370">
      <c r="C370" s="139"/>
      <c r="D370" s="303"/>
      <c r="F370" s="426"/>
    </row>
    <row r="371">
      <c r="C371" s="139"/>
      <c r="D371" s="303"/>
      <c r="F371" s="426"/>
    </row>
    <row r="372">
      <c r="C372" s="139"/>
      <c r="D372" s="303"/>
      <c r="F372" s="426"/>
    </row>
    <row r="373">
      <c r="C373" s="139"/>
      <c r="D373" s="303"/>
      <c r="F373" s="426"/>
    </row>
    <row r="374">
      <c r="C374" s="139"/>
      <c r="D374" s="303"/>
      <c r="F374" s="426"/>
    </row>
    <row r="375">
      <c r="C375" s="139"/>
      <c r="D375" s="303"/>
      <c r="F375" s="426"/>
    </row>
    <row r="376">
      <c r="C376" s="139"/>
      <c r="D376" s="303"/>
      <c r="F376" s="426"/>
    </row>
    <row r="377">
      <c r="C377" s="139"/>
      <c r="D377" s="303"/>
      <c r="F377" s="426"/>
    </row>
    <row r="378">
      <c r="C378" s="139"/>
      <c r="D378" s="303"/>
      <c r="F378" s="426"/>
    </row>
    <row r="379">
      <c r="C379" s="139"/>
      <c r="D379" s="303"/>
      <c r="F379" s="426"/>
    </row>
    <row r="380">
      <c r="C380" s="139"/>
      <c r="D380" s="303"/>
      <c r="F380" s="426"/>
    </row>
    <row r="381">
      <c r="C381" s="139"/>
      <c r="D381" s="303"/>
      <c r="F381" s="426"/>
    </row>
    <row r="382">
      <c r="C382" s="139"/>
      <c r="D382" s="303"/>
      <c r="F382" s="426"/>
    </row>
    <row r="383">
      <c r="C383" s="139"/>
      <c r="D383" s="303"/>
      <c r="F383" s="426"/>
    </row>
    <row r="384">
      <c r="C384" s="139"/>
      <c r="D384" s="303"/>
      <c r="F384" s="426"/>
    </row>
    <row r="385">
      <c r="C385" s="139"/>
      <c r="D385" s="303"/>
      <c r="F385" s="426"/>
    </row>
    <row r="386">
      <c r="C386" s="139"/>
      <c r="D386" s="303"/>
      <c r="F386" s="426"/>
    </row>
    <row r="387">
      <c r="C387" s="139"/>
      <c r="D387" s="303"/>
      <c r="F387" s="426"/>
    </row>
    <row r="388">
      <c r="C388" s="139"/>
      <c r="D388" s="303"/>
      <c r="F388" s="426"/>
    </row>
    <row r="389">
      <c r="C389" s="139"/>
      <c r="D389" s="303"/>
      <c r="F389" s="426"/>
    </row>
    <row r="390">
      <c r="C390" s="139"/>
      <c r="D390" s="303"/>
      <c r="F390" s="426"/>
    </row>
    <row r="391">
      <c r="C391" s="139"/>
      <c r="D391" s="303"/>
      <c r="F391" s="426"/>
    </row>
    <row r="392">
      <c r="C392" s="139"/>
      <c r="D392" s="303"/>
      <c r="F392" s="426"/>
      <c r="M392" s="89"/>
    </row>
    <row r="393">
      <c r="C393" s="139"/>
      <c r="D393" s="303"/>
      <c r="F393" s="426"/>
      <c r="M393" s="89"/>
    </row>
    <row r="394">
      <c r="C394" s="139"/>
      <c r="D394" s="303"/>
      <c r="F394" s="426"/>
      <c r="M394" s="89"/>
    </row>
    <row r="395">
      <c r="C395" s="139"/>
      <c r="D395" s="303"/>
      <c r="F395" s="426"/>
      <c r="M395" s="89"/>
    </row>
    <row r="396">
      <c r="C396" s="139"/>
      <c r="D396" s="303"/>
      <c r="F396" s="426"/>
      <c r="M396" s="89"/>
    </row>
    <row r="397">
      <c r="C397" s="139"/>
      <c r="D397" s="303"/>
      <c r="F397" s="426"/>
      <c r="M397" s="89"/>
    </row>
    <row r="398">
      <c r="C398" s="139"/>
      <c r="D398" s="303"/>
      <c r="F398" s="426"/>
      <c r="M398" s="89"/>
    </row>
    <row r="399">
      <c r="C399" s="139"/>
      <c r="D399" s="303"/>
      <c r="F399" s="426"/>
      <c r="M399" s="89"/>
    </row>
    <row r="400">
      <c r="C400" s="139"/>
      <c r="D400" s="303"/>
      <c r="F400" s="426"/>
      <c r="M400" s="89"/>
    </row>
    <row r="401">
      <c r="C401" s="139"/>
      <c r="D401" s="303"/>
      <c r="F401" s="426"/>
      <c r="M401" s="89"/>
    </row>
    <row r="402">
      <c r="C402" s="139"/>
      <c r="D402" s="303"/>
      <c r="F402" s="426"/>
      <c r="M402" s="89"/>
    </row>
    <row r="403">
      <c r="C403" s="139"/>
      <c r="D403" s="303"/>
      <c r="F403" s="426"/>
      <c r="M403" s="89"/>
    </row>
    <row r="404">
      <c r="C404" s="139"/>
      <c r="D404" s="303"/>
      <c r="F404" s="426"/>
      <c r="M404" s="89"/>
    </row>
    <row r="405">
      <c r="C405" s="139"/>
      <c r="D405" s="303"/>
      <c r="F405" s="426"/>
      <c r="M405" s="89"/>
    </row>
    <row r="406">
      <c r="C406" s="139"/>
      <c r="D406" s="303"/>
      <c r="F406" s="426"/>
      <c r="M406" s="89"/>
    </row>
    <row r="407">
      <c r="C407" s="139"/>
      <c r="D407" s="303"/>
      <c r="F407" s="426"/>
      <c r="M407" s="89"/>
    </row>
    <row r="408">
      <c r="C408" s="139"/>
      <c r="D408" s="303"/>
      <c r="F408" s="426"/>
      <c r="M408" s="89"/>
    </row>
    <row r="409">
      <c r="C409" s="139"/>
      <c r="D409" s="303"/>
      <c r="F409" s="426"/>
      <c r="M409" s="89"/>
    </row>
    <row r="410">
      <c r="C410" s="139"/>
      <c r="D410" s="303"/>
      <c r="F410" s="426"/>
      <c r="M410" s="89"/>
    </row>
    <row r="411">
      <c r="C411" s="139"/>
      <c r="D411" s="303"/>
      <c r="F411" s="426"/>
      <c r="M411" s="89"/>
    </row>
    <row r="412">
      <c r="C412" s="139"/>
      <c r="D412" s="303"/>
      <c r="F412" s="426"/>
      <c r="M412" s="89"/>
    </row>
    <row r="413">
      <c r="C413" s="139"/>
      <c r="D413" s="303"/>
      <c r="F413" s="426"/>
      <c r="M413" s="89"/>
    </row>
    <row r="414">
      <c r="C414" s="139"/>
      <c r="D414" s="303"/>
      <c r="F414" s="426"/>
      <c r="M414" s="89"/>
    </row>
    <row r="415">
      <c r="C415" s="139"/>
      <c r="D415" s="303"/>
      <c r="F415" s="426"/>
      <c r="M415" s="89"/>
    </row>
    <row r="416">
      <c r="C416" s="139"/>
      <c r="D416" s="303"/>
      <c r="F416" s="426"/>
      <c r="M416" s="89"/>
    </row>
    <row r="417">
      <c r="C417" s="139"/>
      <c r="D417" s="303"/>
      <c r="F417" s="426"/>
      <c r="M417" s="89"/>
    </row>
    <row r="418">
      <c r="C418" s="139"/>
      <c r="D418" s="303"/>
      <c r="F418" s="426"/>
      <c r="M418" s="89"/>
    </row>
    <row r="419">
      <c r="C419" s="139"/>
      <c r="D419" s="303"/>
      <c r="F419" s="426"/>
      <c r="M419" s="89"/>
    </row>
    <row r="420">
      <c r="C420" s="139"/>
      <c r="D420" s="303"/>
      <c r="F420" s="426"/>
      <c r="M420" s="89"/>
    </row>
    <row r="421">
      <c r="C421" s="139"/>
      <c r="D421" s="303"/>
      <c r="F421" s="426"/>
      <c r="M421" s="89"/>
    </row>
    <row r="422">
      <c r="C422" s="139"/>
      <c r="D422" s="303"/>
      <c r="F422" s="426"/>
      <c r="M422" s="89"/>
    </row>
    <row r="423">
      <c r="C423" s="139"/>
      <c r="D423" s="303"/>
      <c r="F423" s="426"/>
      <c r="M423" s="89"/>
    </row>
    <row r="424">
      <c r="C424" s="139"/>
      <c r="D424" s="303"/>
      <c r="F424" s="426"/>
      <c r="M424" s="89"/>
    </row>
    <row r="425">
      <c r="C425" s="139"/>
      <c r="D425" s="303"/>
      <c r="F425" s="426"/>
      <c r="M425" s="89"/>
    </row>
    <row r="426">
      <c r="C426" s="139"/>
      <c r="D426" s="303"/>
      <c r="F426" s="426"/>
      <c r="M426" s="89"/>
    </row>
    <row r="427">
      <c r="C427" s="139"/>
      <c r="D427" s="303"/>
      <c r="F427" s="426"/>
      <c r="M427" s="89"/>
    </row>
    <row r="428">
      <c r="C428" s="139"/>
      <c r="D428" s="303"/>
      <c r="F428" s="426"/>
      <c r="M428" s="89"/>
    </row>
    <row r="429">
      <c r="C429" s="139"/>
      <c r="D429" s="303"/>
      <c r="F429" s="426"/>
      <c r="M429" s="89"/>
    </row>
    <row r="430">
      <c r="C430" s="139"/>
      <c r="D430" s="303"/>
      <c r="F430" s="426"/>
      <c r="M430" s="89"/>
    </row>
    <row r="431">
      <c r="C431" s="139"/>
      <c r="D431" s="303"/>
      <c r="F431" s="426"/>
      <c r="M431" s="89"/>
    </row>
    <row r="432">
      <c r="C432" s="139"/>
      <c r="D432" s="303"/>
      <c r="F432" s="426"/>
      <c r="M432" s="89"/>
    </row>
    <row r="433">
      <c r="C433" s="139"/>
      <c r="D433" s="303"/>
      <c r="F433" s="426"/>
      <c r="M433" s="89"/>
    </row>
    <row r="434">
      <c r="C434" s="139"/>
      <c r="D434" s="303"/>
      <c r="F434" s="426"/>
      <c r="M434" s="89"/>
    </row>
    <row r="435">
      <c r="C435" s="139"/>
      <c r="D435" s="303"/>
      <c r="F435" s="426"/>
      <c r="M435" s="89"/>
    </row>
    <row r="436">
      <c r="C436" s="139"/>
      <c r="D436" s="303"/>
      <c r="F436" s="426"/>
      <c r="M436" s="89"/>
    </row>
    <row r="437">
      <c r="C437" s="139"/>
      <c r="D437" s="303"/>
      <c r="F437" s="426"/>
      <c r="M437" s="89"/>
    </row>
    <row r="438">
      <c r="C438" s="139"/>
      <c r="D438" s="303"/>
      <c r="F438" s="426"/>
      <c r="M438" s="89"/>
    </row>
    <row r="439">
      <c r="C439" s="139"/>
      <c r="D439" s="303"/>
      <c r="F439" s="426"/>
      <c r="M439" s="89"/>
    </row>
    <row r="440">
      <c r="C440" s="139"/>
      <c r="D440" s="303"/>
      <c r="F440" s="426"/>
      <c r="M440" s="89"/>
    </row>
    <row r="441">
      <c r="C441" s="139"/>
      <c r="D441" s="303"/>
      <c r="F441" s="426"/>
      <c r="M441" s="89"/>
    </row>
    <row r="442">
      <c r="C442" s="139"/>
      <c r="D442" s="303"/>
      <c r="F442" s="426"/>
      <c r="M442" s="89"/>
    </row>
    <row r="443">
      <c r="C443" s="139"/>
      <c r="D443" s="303"/>
      <c r="F443" s="426"/>
      <c r="M443" s="89"/>
    </row>
    <row r="444">
      <c r="C444" s="139"/>
      <c r="D444" s="303"/>
      <c r="F444" s="426"/>
      <c r="M444" s="89"/>
    </row>
    <row r="445">
      <c r="C445" s="139"/>
      <c r="D445" s="303"/>
      <c r="F445" s="426"/>
      <c r="M445" s="89"/>
    </row>
    <row r="446">
      <c r="C446" s="139"/>
      <c r="D446" s="303"/>
      <c r="F446" s="426"/>
      <c r="M446" s="89"/>
    </row>
    <row r="447">
      <c r="C447" s="139"/>
      <c r="D447" s="303"/>
      <c r="F447" s="426"/>
      <c r="M447" s="89"/>
    </row>
    <row r="448">
      <c r="C448" s="139"/>
      <c r="D448" s="303"/>
      <c r="F448" s="426"/>
      <c r="M448" s="89"/>
    </row>
    <row r="449">
      <c r="C449" s="139"/>
      <c r="D449" s="303"/>
      <c r="F449" s="426"/>
      <c r="M449" s="89"/>
    </row>
    <row r="450">
      <c r="C450" s="139"/>
      <c r="D450" s="303"/>
      <c r="F450" s="426"/>
      <c r="M450" s="89"/>
    </row>
    <row r="451">
      <c r="C451" s="139"/>
      <c r="D451" s="303"/>
      <c r="F451" s="426"/>
      <c r="M451" s="89"/>
    </row>
    <row r="452">
      <c r="C452" s="139"/>
      <c r="D452" s="303"/>
      <c r="F452" s="426"/>
      <c r="M452" s="89"/>
    </row>
    <row r="453">
      <c r="C453" s="139"/>
      <c r="D453" s="303"/>
      <c r="F453" s="426"/>
      <c r="M453" s="89"/>
    </row>
    <row r="454">
      <c r="C454" s="139"/>
      <c r="D454" s="303"/>
      <c r="F454" s="426"/>
      <c r="M454" s="89"/>
    </row>
    <row r="455">
      <c r="C455" s="139"/>
      <c r="D455" s="303"/>
      <c r="F455" s="426"/>
      <c r="M455" s="89"/>
    </row>
    <row r="456">
      <c r="C456" s="139"/>
      <c r="D456" s="303"/>
      <c r="F456" s="426"/>
      <c r="M456" s="89"/>
    </row>
    <row r="457">
      <c r="C457" s="139"/>
      <c r="D457" s="303"/>
      <c r="F457" s="426"/>
      <c r="M457" s="89"/>
    </row>
    <row r="458">
      <c r="C458" s="139"/>
      <c r="D458" s="303"/>
      <c r="F458" s="426"/>
      <c r="M458" s="89"/>
    </row>
    <row r="459">
      <c r="C459" s="139"/>
      <c r="D459" s="303"/>
      <c r="F459" s="426"/>
      <c r="M459" s="89"/>
    </row>
    <row r="460">
      <c r="C460" s="139"/>
      <c r="D460" s="303"/>
      <c r="F460" s="426"/>
      <c r="M460" s="89"/>
    </row>
    <row r="461">
      <c r="C461" s="139"/>
      <c r="D461" s="303"/>
      <c r="F461" s="426"/>
      <c r="M461" s="89"/>
    </row>
    <row r="462">
      <c r="C462" s="139"/>
      <c r="D462" s="303"/>
      <c r="F462" s="426"/>
      <c r="M462" s="89"/>
    </row>
    <row r="463">
      <c r="C463" s="139"/>
      <c r="D463" s="303"/>
      <c r="F463" s="426"/>
      <c r="M463" s="89"/>
    </row>
    <row r="464">
      <c r="C464" s="139"/>
      <c r="D464" s="303"/>
      <c r="F464" s="426"/>
      <c r="M464" s="89"/>
    </row>
    <row r="465">
      <c r="C465" s="139"/>
      <c r="D465" s="303"/>
      <c r="F465" s="426"/>
      <c r="M465" s="89"/>
    </row>
    <row r="466">
      <c r="C466" s="139"/>
      <c r="D466" s="303"/>
      <c r="F466" s="426"/>
      <c r="M466" s="89"/>
    </row>
    <row r="467">
      <c r="C467" s="139"/>
      <c r="D467" s="303"/>
      <c r="F467" s="426"/>
      <c r="M467" s="89"/>
    </row>
    <row r="468">
      <c r="C468" s="139"/>
      <c r="D468" s="303"/>
      <c r="F468" s="426"/>
      <c r="M468" s="89"/>
    </row>
    <row r="469">
      <c r="C469" s="139"/>
      <c r="D469" s="303"/>
      <c r="F469" s="426"/>
      <c r="M469" s="89"/>
    </row>
    <row r="470">
      <c r="C470" s="139"/>
      <c r="D470" s="303"/>
      <c r="F470" s="426"/>
      <c r="M470" s="89"/>
    </row>
    <row r="471">
      <c r="C471" s="139"/>
      <c r="D471" s="303"/>
      <c r="F471" s="426"/>
      <c r="M471" s="89"/>
    </row>
    <row r="472">
      <c r="C472" s="139"/>
      <c r="D472" s="303"/>
      <c r="F472" s="426"/>
      <c r="M472" s="89"/>
    </row>
    <row r="473">
      <c r="C473" s="139"/>
      <c r="D473" s="303"/>
      <c r="F473" s="426"/>
      <c r="M473" s="89"/>
    </row>
    <row r="474">
      <c r="C474" s="139"/>
      <c r="D474" s="303"/>
      <c r="F474" s="426"/>
      <c r="M474" s="89"/>
    </row>
    <row r="475">
      <c r="C475" s="139"/>
      <c r="D475" s="303"/>
      <c r="F475" s="426"/>
      <c r="M475" s="89"/>
    </row>
    <row r="476">
      <c r="C476" s="139"/>
      <c r="D476" s="303"/>
      <c r="F476" s="426"/>
      <c r="M476" s="89"/>
    </row>
    <row r="477">
      <c r="C477" s="139"/>
      <c r="D477" s="303"/>
      <c r="F477" s="426"/>
      <c r="M477" s="89"/>
    </row>
    <row r="478">
      <c r="C478" s="139"/>
      <c r="D478" s="303"/>
      <c r="F478" s="426"/>
      <c r="M478" s="89"/>
    </row>
    <row r="479">
      <c r="C479" s="139"/>
      <c r="D479" s="303"/>
      <c r="F479" s="426"/>
      <c r="M479" s="89"/>
    </row>
    <row r="480">
      <c r="C480" s="139"/>
      <c r="D480" s="303"/>
      <c r="F480" s="426"/>
      <c r="M480" s="89"/>
    </row>
    <row r="481">
      <c r="C481" s="139"/>
      <c r="D481" s="303"/>
      <c r="F481" s="426"/>
      <c r="M481" s="89"/>
    </row>
    <row r="482">
      <c r="C482" s="139"/>
      <c r="D482" s="303"/>
      <c r="F482" s="426"/>
      <c r="M482" s="89"/>
    </row>
    <row r="483">
      <c r="C483" s="139"/>
      <c r="D483" s="303"/>
      <c r="F483" s="426"/>
      <c r="M483" s="89"/>
    </row>
    <row r="484">
      <c r="C484" s="139"/>
      <c r="D484" s="303"/>
      <c r="F484" s="426"/>
      <c r="M484" s="89"/>
    </row>
    <row r="485">
      <c r="C485" s="139"/>
      <c r="D485" s="303"/>
      <c r="F485" s="426"/>
      <c r="M485" s="89"/>
    </row>
    <row r="486">
      <c r="C486" s="139"/>
      <c r="D486" s="303"/>
      <c r="F486" s="426"/>
      <c r="M486" s="89"/>
    </row>
    <row r="487">
      <c r="C487" s="139"/>
      <c r="D487" s="303"/>
      <c r="F487" s="426"/>
      <c r="M487" s="89"/>
    </row>
    <row r="488">
      <c r="C488" s="139"/>
      <c r="D488" s="303"/>
      <c r="F488" s="426"/>
      <c r="M488" s="89"/>
    </row>
    <row r="489">
      <c r="C489" s="139"/>
      <c r="D489" s="303"/>
      <c r="F489" s="426"/>
      <c r="M489" s="89"/>
    </row>
    <row r="490">
      <c r="C490" s="139"/>
      <c r="D490" s="303"/>
      <c r="F490" s="426"/>
      <c r="M490" s="89"/>
    </row>
    <row r="491">
      <c r="C491" s="139"/>
      <c r="D491" s="303"/>
      <c r="F491" s="426"/>
      <c r="M491" s="89"/>
    </row>
    <row r="492">
      <c r="C492" s="139"/>
      <c r="D492" s="303"/>
      <c r="F492" s="426"/>
      <c r="M492" s="89"/>
    </row>
    <row r="493">
      <c r="C493" s="139"/>
      <c r="D493" s="303"/>
      <c r="F493" s="426"/>
      <c r="M493" s="89"/>
    </row>
    <row r="494">
      <c r="C494" s="139"/>
      <c r="D494" s="303"/>
      <c r="F494" s="426"/>
      <c r="M494" s="89"/>
    </row>
    <row r="495">
      <c r="C495" s="139"/>
      <c r="D495" s="303"/>
      <c r="F495" s="426"/>
      <c r="M495" s="89"/>
    </row>
    <row r="496">
      <c r="C496" s="139"/>
      <c r="D496" s="303"/>
      <c r="F496" s="426"/>
      <c r="M496" s="89"/>
    </row>
    <row r="497">
      <c r="C497" s="139"/>
      <c r="D497" s="303"/>
      <c r="F497" s="426"/>
      <c r="M497" s="89"/>
    </row>
    <row r="498">
      <c r="C498" s="139"/>
      <c r="D498" s="303"/>
      <c r="F498" s="426"/>
      <c r="M498" s="89"/>
    </row>
    <row r="499">
      <c r="C499" s="139"/>
      <c r="D499" s="303"/>
      <c r="F499" s="426"/>
      <c r="M499" s="89"/>
    </row>
    <row r="500">
      <c r="C500" s="139"/>
      <c r="D500" s="303"/>
      <c r="F500" s="426"/>
      <c r="M500" s="89"/>
    </row>
    <row r="501">
      <c r="C501" s="139"/>
      <c r="D501" s="303"/>
      <c r="F501" s="426"/>
      <c r="M501" s="89"/>
    </row>
    <row r="502">
      <c r="C502" s="139"/>
      <c r="D502" s="303"/>
      <c r="F502" s="426"/>
      <c r="M502" s="89"/>
    </row>
    <row r="503">
      <c r="C503" s="139"/>
      <c r="D503" s="303"/>
      <c r="F503" s="426"/>
      <c r="M503" s="89"/>
    </row>
    <row r="504">
      <c r="C504" s="139"/>
      <c r="D504" s="303"/>
      <c r="F504" s="426"/>
      <c r="M504" s="89"/>
    </row>
    <row r="505">
      <c r="C505" s="139"/>
      <c r="D505" s="303"/>
      <c r="F505" s="426"/>
      <c r="M505" s="89"/>
    </row>
    <row r="506">
      <c r="C506" s="139"/>
      <c r="D506" s="303"/>
      <c r="F506" s="426"/>
      <c r="M506" s="89"/>
    </row>
    <row r="507">
      <c r="C507" s="139"/>
      <c r="D507" s="303"/>
      <c r="F507" s="426"/>
      <c r="M507" s="89"/>
    </row>
    <row r="508">
      <c r="C508" s="139"/>
      <c r="D508" s="303"/>
      <c r="F508" s="426"/>
      <c r="M508" s="89"/>
    </row>
    <row r="509">
      <c r="C509" s="139"/>
      <c r="D509" s="303"/>
      <c r="F509" s="426"/>
      <c r="M509" s="89"/>
    </row>
    <row r="510">
      <c r="C510" s="139"/>
      <c r="D510" s="303"/>
      <c r="F510" s="426"/>
      <c r="M510" s="89"/>
    </row>
    <row r="511">
      <c r="C511" s="139"/>
      <c r="D511" s="303"/>
      <c r="F511" s="426"/>
      <c r="M511" s="89"/>
    </row>
    <row r="512">
      <c r="C512" s="139"/>
      <c r="D512" s="303"/>
      <c r="F512" s="426"/>
      <c r="M512" s="89"/>
    </row>
    <row r="513">
      <c r="C513" s="139"/>
      <c r="D513" s="303"/>
      <c r="F513" s="426"/>
      <c r="M513" s="89"/>
    </row>
    <row r="514">
      <c r="C514" s="139"/>
      <c r="D514" s="303"/>
      <c r="F514" s="426"/>
      <c r="M514" s="89"/>
    </row>
    <row r="515">
      <c r="C515" s="139"/>
      <c r="D515" s="303"/>
      <c r="F515" s="426"/>
      <c r="M515" s="89"/>
    </row>
    <row r="516">
      <c r="C516" s="139"/>
      <c r="D516" s="303"/>
      <c r="F516" s="426"/>
      <c r="M516" s="89"/>
    </row>
    <row r="517">
      <c r="C517" s="139"/>
      <c r="D517" s="303"/>
      <c r="F517" s="426"/>
      <c r="M517" s="89"/>
    </row>
    <row r="518">
      <c r="C518" s="139"/>
      <c r="D518" s="303"/>
      <c r="F518" s="426"/>
      <c r="M518" s="89"/>
    </row>
    <row r="519">
      <c r="C519" s="139"/>
      <c r="D519" s="303"/>
      <c r="F519" s="426"/>
      <c r="M519" s="89"/>
    </row>
    <row r="520">
      <c r="C520" s="139"/>
      <c r="D520" s="303"/>
      <c r="F520" s="426"/>
      <c r="M520" s="89"/>
    </row>
    <row r="521">
      <c r="C521" s="139"/>
      <c r="D521" s="303"/>
      <c r="F521" s="426"/>
      <c r="M521" s="89"/>
    </row>
    <row r="522">
      <c r="C522" s="139"/>
      <c r="D522" s="303"/>
      <c r="F522" s="426"/>
      <c r="M522" s="89"/>
    </row>
    <row r="523">
      <c r="C523" s="139"/>
      <c r="D523" s="303"/>
      <c r="F523" s="426"/>
      <c r="M523" s="89"/>
    </row>
    <row r="524">
      <c r="C524" s="139"/>
      <c r="D524" s="303"/>
      <c r="F524" s="426"/>
      <c r="M524" s="89"/>
    </row>
    <row r="525">
      <c r="C525" s="139"/>
      <c r="D525" s="303"/>
      <c r="F525" s="426"/>
      <c r="M525" s="89"/>
    </row>
    <row r="526">
      <c r="C526" s="139"/>
      <c r="D526" s="303"/>
      <c r="F526" s="426"/>
      <c r="M526" s="89"/>
    </row>
    <row r="527">
      <c r="C527" s="139"/>
      <c r="D527" s="303"/>
      <c r="F527" s="426"/>
      <c r="M527" s="89"/>
    </row>
    <row r="528">
      <c r="C528" s="139"/>
      <c r="D528" s="303"/>
      <c r="F528" s="426"/>
      <c r="M528" s="89"/>
    </row>
    <row r="529">
      <c r="C529" s="139"/>
      <c r="D529" s="303"/>
      <c r="F529" s="426"/>
      <c r="M529" s="89"/>
    </row>
    <row r="530">
      <c r="C530" s="139"/>
      <c r="D530" s="303"/>
      <c r="F530" s="426"/>
      <c r="M530" s="89"/>
    </row>
    <row r="531">
      <c r="C531" s="139"/>
      <c r="D531" s="303"/>
      <c r="F531" s="426"/>
      <c r="M531" s="89"/>
    </row>
    <row r="532">
      <c r="C532" s="139"/>
      <c r="D532" s="303"/>
      <c r="F532" s="426"/>
      <c r="M532" s="89"/>
    </row>
    <row r="533">
      <c r="C533" s="139"/>
      <c r="D533" s="303"/>
      <c r="F533" s="426"/>
      <c r="M533" s="89"/>
    </row>
    <row r="534">
      <c r="C534" s="139"/>
      <c r="D534" s="303"/>
      <c r="F534" s="426"/>
      <c r="M534" s="89"/>
    </row>
    <row r="535">
      <c r="C535" s="139"/>
      <c r="D535" s="303"/>
      <c r="F535" s="426"/>
      <c r="M535" s="89"/>
    </row>
    <row r="536">
      <c r="C536" s="139"/>
      <c r="D536" s="303"/>
      <c r="F536" s="426"/>
      <c r="M536" s="89"/>
    </row>
    <row r="537">
      <c r="C537" s="139"/>
      <c r="D537" s="303"/>
      <c r="F537" s="426"/>
      <c r="M537" s="89"/>
    </row>
    <row r="538">
      <c r="C538" s="139"/>
      <c r="D538" s="303"/>
      <c r="F538" s="426"/>
      <c r="M538" s="89"/>
    </row>
    <row r="539">
      <c r="C539" s="139"/>
      <c r="D539" s="303"/>
      <c r="F539" s="426"/>
      <c r="M539" s="89"/>
    </row>
    <row r="540">
      <c r="C540" s="139"/>
      <c r="D540" s="303"/>
      <c r="F540" s="426"/>
      <c r="M540" s="89"/>
    </row>
    <row r="541">
      <c r="C541" s="139"/>
      <c r="D541" s="303"/>
      <c r="F541" s="426"/>
      <c r="M541" s="89"/>
    </row>
    <row r="542">
      <c r="C542" s="139"/>
      <c r="D542" s="303"/>
      <c r="F542" s="426"/>
      <c r="M542" s="89"/>
    </row>
    <row r="543">
      <c r="C543" s="139"/>
      <c r="D543" s="303"/>
      <c r="F543" s="426"/>
      <c r="M543" s="89"/>
    </row>
    <row r="544">
      <c r="C544" s="139"/>
      <c r="D544" s="303"/>
      <c r="F544" s="426"/>
      <c r="M544" s="89"/>
    </row>
    <row r="545">
      <c r="C545" s="139"/>
      <c r="D545" s="303"/>
      <c r="F545" s="426"/>
      <c r="M545" s="89"/>
    </row>
    <row r="546">
      <c r="C546" s="139"/>
      <c r="D546" s="303"/>
      <c r="F546" s="426"/>
      <c r="M546" s="89"/>
    </row>
    <row r="547">
      <c r="C547" s="139"/>
      <c r="D547" s="303"/>
      <c r="F547" s="426"/>
      <c r="M547" s="89"/>
    </row>
    <row r="548">
      <c r="C548" s="139"/>
      <c r="D548" s="303"/>
      <c r="F548" s="426"/>
      <c r="M548" s="89"/>
    </row>
    <row r="549">
      <c r="C549" s="139"/>
      <c r="D549" s="303"/>
      <c r="F549" s="426"/>
      <c r="M549" s="89"/>
    </row>
    <row r="550">
      <c r="C550" s="139"/>
      <c r="D550" s="303"/>
      <c r="F550" s="426"/>
      <c r="M550" s="89"/>
    </row>
    <row r="551">
      <c r="C551" s="139"/>
      <c r="D551" s="303"/>
      <c r="F551" s="426"/>
      <c r="M551" s="89"/>
    </row>
    <row r="552">
      <c r="C552" s="139"/>
      <c r="D552" s="303"/>
      <c r="F552" s="426"/>
      <c r="M552" s="89"/>
    </row>
    <row r="553">
      <c r="C553" s="139"/>
      <c r="D553" s="303"/>
      <c r="F553" s="426"/>
      <c r="M553" s="89"/>
    </row>
    <row r="554">
      <c r="C554" s="139"/>
      <c r="D554" s="303"/>
      <c r="F554" s="426"/>
      <c r="M554" s="89"/>
    </row>
    <row r="555">
      <c r="C555" s="139"/>
      <c r="D555" s="303"/>
      <c r="F555" s="426"/>
      <c r="M555" s="89"/>
    </row>
    <row r="556">
      <c r="C556" s="139"/>
      <c r="D556" s="303"/>
      <c r="F556" s="426"/>
      <c r="M556" s="89"/>
    </row>
    <row r="557">
      <c r="C557" s="139"/>
      <c r="D557" s="303"/>
      <c r="F557" s="426"/>
      <c r="M557" s="89"/>
    </row>
    <row r="558">
      <c r="C558" s="139"/>
      <c r="D558" s="303"/>
      <c r="F558" s="426"/>
      <c r="M558" s="89"/>
    </row>
    <row r="559">
      <c r="C559" s="139"/>
      <c r="D559" s="303"/>
      <c r="F559" s="426"/>
      <c r="M559" s="89"/>
    </row>
    <row r="560">
      <c r="C560" s="139"/>
      <c r="D560" s="303"/>
      <c r="F560" s="426"/>
      <c r="M560" s="89"/>
    </row>
    <row r="561">
      <c r="C561" s="139"/>
      <c r="D561" s="303"/>
      <c r="F561" s="426"/>
      <c r="M561" s="89"/>
    </row>
    <row r="562">
      <c r="C562" s="139"/>
      <c r="D562" s="303"/>
      <c r="F562" s="426"/>
      <c r="M562" s="89"/>
    </row>
    <row r="563">
      <c r="C563" s="139"/>
      <c r="D563" s="303"/>
      <c r="F563" s="426"/>
      <c r="M563" s="89"/>
    </row>
    <row r="564">
      <c r="C564" s="139"/>
      <c r="D564" s="303"/>
      <c r="F564" s="426"/>
      <c r="M564" s="89"/>
    </row>
    <row r="565">
      <c r="C565" s="139"/>
      <c r="D565" s="303"/>
      <c r="F565" s="426"/>
      <c r="M565" s="89"/>
    </row>
    <row r="566">
      <c r="C566" s="139"/>
      <c r="D566" s="303"/>
      <c r="F566" s="426"/>
      <c r="M566" s="89"/>
    </row>
    <row r="567">
      <c r="C567" s="139"/>
      <c r="D567" s="303"/>
      <c r="F567" s="426"/>
      <c r="M567" s="89"/>
    </row>
    <row r="568">
      <c r="C568" s="139"/>
      <c r="D568" s="303"/>
      <c r="F568" s="426"/>
      <c r="M568" s="89"/>
    </row>
    <row r="569">
      <c r="C569" s="139"/>
      <c r="D569" s="303"/>
      <c r="F569" s="426"/>
      <c r="M569" s="89"/>
    </row>
    <row r="570">
      <c r="C570" s="139"/>
      <c r="D570" s="303"/>
      <c r="F570" s="426"/>
      <c r="M570" s="89"/>
    </row>
    <row r="571">
      <c r="C571" s="139"/>
      <c r="D571" s="303"/>
      <c r="F571" s="426"/>
      <c r="M571" s="89"/>
    </row>
    <row r="572">
      <c r="C572" s="139"/>
      <c r="D572" s="303"/>
      <c r="F572" s="426"/>
      <c r="M572" s="89"/>
    </row>
    <row r="573">
      <c r="C573" s="139"/>
      <c r="D573" s="303"/>
      <c r="F573" s="426"/>
      <c r="M573" s="89"/>
    </row>
    <row r="574">
      <c r="C574" s="139"/>
      <c r="D574" s="303"/>
      <c r="F574" s="426"/>
      <c r="M574" s="89"/>
    </row>
    <row r="575">
      <c r="C575" s="139"/>
      <c r="D575" s="303"/>
      <c r="F575" s="426"/>
      <c r="M575" s="89"/>
    </row>
    <row r="576">
      <c r="C576" s="139"/>
      <c r="D576" s="303"/>
      <c r="F576" s="426"/>
      <c r="M576" s="89"/>
    </row>
    <row r="577">
      <c r="C577" s="139"/>
      <c r="D577" s="303"/>
      <c r="F577" s="426"/>
      <c r="M577" s="89"/>
    </row>
    <row r="578">
      <c r="C578" s="139"/>
      <c r="D578" s="303"/>
      <c r="F578" s="426"/>
      <c r="M578" s="89"/>
    </row>
    <row r="579">
      <c r="C579" s="139"/>
      <c r="D579" s="303"/>
      <c r="F579" s="426"/>
      <c r="M579" s="89"/>
    </row>
    <row r="580">
      <c r="C580" s="139"/>
      <c r="D580" s="303"/>
      <c r="F580" s="426"/>
      <c r="M580" s="89"/>
    </row>
    <row r="581">
      <c r="C581" s="139"/>
      <c r="D581" s="303"/>
      <c r="F581" s="426"/>
      <c r="M581" s="89"/>
    </row>
    <row r="582">
      <c r="C582" s="139"/>
      <c r="D582" s="303"/>
      <c r="F582" s="426"/>
      <c r="M582" s="89"/>
    </row>
    <row r="583">
      <c r="C583" s="139"/>
      <c r="D583" s="303"/>
      <c r="F583" s="426"/>
      <c r="M583" s="89"/>
    </row>
    <row r="584">
      <c r="C584" s="139"/>
      <c r="D584" s="303"/>
      <c r="F584" s="426"/>
      <c r="M584" s="89"/>
    </row>
    <row r="585">
      <c r="C585" s="139"/>
      <c r="D585" s="303"/>
      <c r="F585" s="426"/>
      <c r="M585" s="89"/>
    </row>
    <row r="586">
      <c r="C586" s="139"/>
      <c r="D586" s="303"/>
      <c r="F586" s="426"/>
      <c r="M586" s="89"/>
    </row>
    <row r="587">
      <c r="C587" s="139"/>
      <c r="D587" s="303"/>
      <c r="F587" s="426"/>
      <c r="M587" s="89"/>
    </row>
    <row r="588">
      <c r="C588" s="139"/>
      <c r="D588" s="303"/>
      <c r="F588" s="426"/>
      <c r="M588" s="89"/>
    </row>
    <row r="589">
      <c r="C589" s="139"/>
      <c r="D589" s="303"/>
      <c r="F589" s="426"/>
      <c r="M589" s="89"/>
    </row>
    <row r="590">
      <c r="C590" s="139"/>
      <c r="D590" s="303"/>
      <c r="F590" s="426"/>
      <c r="M590" s="89"/>
    </row>
    <row r="591">
      <c r="C591" s="139"/>
      <c r="D591" s="303"/>
      <c r="F591" s="426"/>
      <c r="M591" s="89"/>
    </row>
    <row r="592">
      <c r="C592" s="139"/>
      <c r="D592" s="303"/>
      <c r="F592" s="426"/>
      <c r="M592" s="89"/>
    </row>
    <row r="593">
      <c r="C593" s="139"/>
      <c r="D593" s="303"/>
      <c r="F593" s="426"/>
      <c r="M593" s="89"/>
    </row>
    <row r="594">
      <c r="C594" s="139"/>
      <c r="D594" s="303"/>
      <c r="F594" s="426"/>
      <c r="M594" s="89"/>
    </row>
    <row r="595">
      <c r="C595" s="139"/>
      <c r="D595" s="303"/>
      <c r="F595" s="426"/>
      <c r="M595" s="89"/>
    </row>
    <row r="596">
      <c r="C596" s="139"/>
      <c r="D596" s="303"/>
      <c r="F596" s="426"/>
      <c r="M596" s="89"/>
    </row>
    <row r="597">
      <c r="C597" s="139"/>
      <c r="D597" s="303"/>
      <c r="F597" s="426"/>
      <c r="M597" s="89"/>
    </row>
    <row r="598">
      <c r="C598" s="139"/>
      <c r="D598" s="303"/>
      <c r="F598" s="426"/>
      <c r="M598" s="89"/>
    </row>
    <row r="599">
      <c r="C599" s="139"/>
      <c r="D599" s="303"/>
      <c r="F599" s="426"/>
      <c r="M599" s="89"/>
    </row>
    <row r="600">
      <c r="C600" s="139"/>
      <c r="D600" s="303"/>
      <c r="F600" s="426"/>
      <c r="M600" s="89"/>
    </row>
    <row r="601">
      <c r="C601" s="139"/>
      <c r="D601" s="303"/>
      <c r="F601" s="426"/>
      <c r="M601" s="89"/>
    </row>
    <row r="602">
      <c r="C602" s="139"/>
      <c r="D602" s="303"/>
      <c r="F602" s="426"/>
      <c r="M602" s="89"/>
    </row>
    <row r="603">
      <c r="C603" s="139"/>
      <c r="D603" s="303"/>
      <c r="F603" s="426"/>
      <c r="M603" s="89"/>
    </row>
    <row r="604">
      <c r="C604" s="139"/>
      <c r="D604" s="303"/>
      <c r="F604" s="426"/>
      <c r="M604" s="89"/>
    </row>
    <row r="605">
      <c r="C605" s="139"/>
      <c r="D605" s="303"/>
      <c r="F605" s="426"/>
      <c r="M605" s="89"/>
    </row>
    <row r="606">
      <c r="C606" s="139"/>
      <c r="D606" s="303"/>
      <c r="F606" s="426"/>
      <c r="M606" s="89"/>
    </row>
    <row r="607">
      <c r="C607" s="139"/>
      <c r="D607" s="303"/>
      <c r="F607" s="426"/>
      <c r="M607" s="89"/>
    </row>
    <row r="608">
      <c r="C608" s="139"/>
      <c r="D608" s="303"/>
      <c r="F608" s="426"/>
      <c r="M608" s="89"/>
    </row>
    <row r="609">
      <c r="C609" s="139"/>
      <c r="D609" s="303"/>
      <c r="F609" s="426"/>
      <c r="M609" s="89"/>
    </row>
    <row r="610">
      <c r="C610" s="139"/>
      <c r="D610" s="303"/>
      <c r="F610" s="426"/>
      <c r="M610" s="89"/>
    </row>
    <row r="611">
      <c r="C611" s="139"/>
      <c r="D611" s="303"/>
      <c r="F611" s="426"/>
      <c r="M611" s="89"/>
    </row>
    <row r="612">
      <c r="C612" s="139"/>
      <c r="D612" s="303"/>
      <c r="F612" s="426"/>
      <c r="M612" s="89"/>
    </row>
    <row r="613">
      <c r="C613" s="139"/>
      <c r="D613" s="303"/>
      <c r="F613" s="426"/>
      <c r="M613" s="89"/>
    </row>
    <row r="614">
      <c r="C614" s="139"/>
      <c r="D614" s="303"/>
      <c r="F614" s="426"/>
      <c r="M614" s="89"/>
    </row>
    <row r="615">
      <c r="C615" s="139"/>
      <c r="D615" s="303"/>
      <c r="F615" s="426"/>
      <c r="M615" s="89"/>
    </row>
    <row r="616">
      <c r="C616" s="139"/>
      <c r="D616" s="303"/>
      <c r="F616" s="426"/>
      <c r="M616" s="89"/>
    </row>
    <row r="617">
      <c r="C617" s="139"/>
      <c r="D617" s="303"/>
      <c r="F617" s="426"/>
      <c r="M617" s="89"/>
    </row>
    <row r="618">
      <c r="C618" s="139"/>
      <c r="D618" s="303"/>
      <c r="F618" s="426"/>
      <c r="M618" s="89"/>
    </row>
    <row r="619">
      <c r="C619" s="139"/>
      <c r="D619" s="303"/>
      <c r="F619" s="426"/>
      <c r="M619" s="89"/>
    </row>
    <row r="620">
      <c r="C620" s="139"/>
      <c r="D620" s="303"/>
      <c r="F620" s="426"/>
      <c r="M620" s="89"/>
    </row>
    <row r="621">
      <c r="C621" s="139"/>
      <c r="D621" s="303"/>
      <c r="F621" s="426"/>
      <c r="M621" s="89"/>
    </row>
    <row r="622">
      <c r="C622" s="139"/>
      <c r="D622" s="303"/>
      <c r="F622" s="426"/>
      <c r="M622" s="89"/>
    </row>
    <row r="623">
      <c r="C623" s="139"/>
      <c r="D623" s="303"/>
      <c r="F623" s="426"/>
      <c r="M623" s="89"/>
    </row>
    <row r="624">
      <c r="C624" s="139"/>
      <c r="D624" s="303"/>
      <c r="F624" s="426"/>
      <c r="M624" s="89"/>
    </row>
    <row r="625">
      <c r="C625" s="139"/>
      <c r="D625" s="303"/>
      <c r="F625" s="426"/>
      <c r="M625" s="89"/>
    </row>
    <row r="626">
      <c r="C626" s="139"/>
      <c r="D626" s="303"/>
      <c r="F626" s="426"/>
      <c r="M626" s="89"/>
    </row>
    <row r="627">
      <c r="C627" s="139"/>
      <c r="D627" s="303"/>
      <c r="F627" s="426"/>
      <c r="M627" s="89"/>
    </row>
    <row r="628">
      <c r="C628" s="139"/>
      <c r="D628" s="303"/>
      <c r="F628" s="426"/>
      <c r="M628" s="89"/>
    </row>
    <row r="629">
      <c r="C629" s="139"/>
      <c r="D629" s="303"/>
      <c r="F629" s="426"/>
      <c r="M629" s="89"/>
    </row>
    <row r="630">
      <c r="C630" s="139"/>
      <c r="D630" s="303"/>
      <c r="F630" s="426"/>
      <c r="M630" s="89"/>
    </row>
    <row r="631">
      <c r="C631" s="139"/>
      <c r="D631" s="303"/>
      <c r="F631" s="426"/>
      <c r="M631" s="89"/>
    </row>
    <row r="632">
      <c r="C632" s="139"/>
      <c r="D632" s="303"/>
      <c r="F632" s="426"/>
      <c r="M632" s="89"/>
    </row>
    <row r="633">
      <c r="C633" s="139"/>
      <c r="D633" s="303"/>
      <c r="F633" s="426"/>
      <c r="M633" s="89"/>
    </row>
    <row r="634">
      <c r="C634" s="139"/>
      <c r="D634" s="303"/>
      <c r="F634" s="426"/>
      <c r="M634" s="89"/>
    </row>
    <row r="635">
      <c r="C635" s="139"/>
      <c r="D635" s="303"/>
      <c r="F635" s="426"/>
      <c r="M635" s="89"/>
    </row>
    <row r="636">
      <c r="C636" s="139"/>
      <c r="D636" s="303"/>
      <c r="F636" s="426"/>
      <c r="M636" s="89"/>
    </row>
    <row r="637">
      <c r="C637" s="139"/>
      <c r="D637" s="303"/>
      <c r="F637" s="426"/>
      <c r="M637" s="89"/>
    </row>
    <row r="638">
      <c r="C638" s="139"/>
      <c r="D638" s="303"/>
      <c r="F638" s="426"/>
      <c r="M638" s="89"/>
    </row>
    <row r="639">
      <c r="C639" s="139"/>
      <c r="D639" s="303"/>
      <c r="F639" s="426"/>
      <c r="M639" s="89"/>
    </row>
    <row r="640">
      <c r="C640" s="139"/>
      <c r="D640" s="303"/>
      <c r="F640" s="426"/>
      <c r="M640" s="89"/>
    </row>
    <row r="641">
      <c r="C641" s="139"/>
      <c r="D641" s="303"/>
      <c r="F641" s="426"/>
      <c r="M641" s="89"/>
    </row>
    <row r="642">
      <c r="C642" s="139"/>
      <c r="D642" s="303"/>
      <c r="F642" s="426"/>
      <c r="M642" s="89"/>
    </row>
    <row r="643">
      <c r="C643" s="139"/>
      <c r="D643" s="303"/>
      <c r="F643" s="426"/>
      <c r="M643" s="89"/>
    </row>
    <row r="644">
      <c r="C644" s="139"/>
      <c r="D644" s="303"/>
      <c r="F644" s="426"/>
      <c r="M644" s="89"/>
    </row>
    <row r="645">
      <c r="C645" s="139"/>
      <c r="D645" s="303"/>
      <c r="F645" s="426"/>
      <c r="M645" s="89"/>
    </row>
    <row r="646">
      <c r="C646" s="139"/>
      <c r="D646" s="303"/>
      <c r="F646" s="426"/>
      <c r="M646" s="89"/>
    </row>
    <row r="647">
      <c r="C647" s="139"/>
      <c r="D647" s="303"/>
      <c r="F647" s="426"/>
      <c r="M647" s="89"/>
    </row>
    <row r="648">
      <c r="C648" s="139"/>
      <c r="D648" s="303"/>
      <c r="F648" s="426"/>
      <c r="M648" s="89"/>
    </row>
    <row r="649">
      <c r="C649" s="139"/>
      <c r="D649" s="303"/>
      <c r="F649" s="426"/>
      <c r="M649" s="89"/>
    </row>
    <row r="650">
      <c r="C650" s="139"/>
      <c r="D650" s="303"/>
      <c r="F650" s="426"/>
      <c r="M650" s="89"/>
    </row>
    <row r="651">
      <c r="C651" s="139"/>
      <c r="D651" s="303"/>
      <c r="F651" s="426"/>
      <c r="M651" s="89"/>
    </row>
    <row r="652">
      <c r="C652" s="139"/>
      <c r="D652" s="303"/>
      <c r="F652" s="426"/>
      <c r="M652" s="89"/>
    </row>
    <row r="653">
      <c r="C653" s="139"/>
      <c r="D653" s="303"/>
      <c r="F653" s="426"/>
      <c r="M653" s="89"/>
    </row>
    <row r="654">
      <c r="C654" s="139"/>
      <c r="D654" s="303"/>
      <c r="F654" s="426"/>
      <c r="M654" s="89"/>
    </row>
    <row r="655">
      <c r="C655" s="139"/>
      <c r="D655" s="303"/>
      <c r="F655" s="426"/>
      <c r="M655" s="89"/>
    </row>
    <row r="656">
      <c r="C656" s="139"/>
      <c r="D656" s="303"/>
      <c r="F656" s="426"/>
      <c r="M656" s="89"/>
    </row>
    <row r="657">
      <c r="C657" s="139"/>
      <c r="D657" s="303"/>
      <c r="F657" s="426"/>
      <c r="M657" s="89"/>
    </row>
    <row r="658">
      <c r="C658" s="139"/>
      <c r="D658" s="303"/>
      <c r="F658" s="426"/>
      <c r="M658" s="89"/>
    </row>
    <row r="659">
      <c r="C659" s="139"/>
      <c r="D659" s="303"/>
      <c r="F659" s="426"/>
      <c r="M659" s="89"/>
    </row>
    <row r="660">
      <c r="C660" s="139"/>
      <c r="D660" s="303"/>
      <c r="F660" s="426"/>
      <c r="M660" s="89"/>
    </row>
    <row r="661">
      <c r="C661" s="139"/>
      <c r="D661" s="303"/>
      <c r="F661" s="426"/>
      <c r="M661" s="89"/>
    </row>
    <row r="662">
      <c r="C662" s="139"/>
      <c r="D662" s="303"/>
      <c r="F662" s="426"/>
      <c r="M662" s="89"/>
    </row>
    <row r="663">
      <c r="C663" s="139"/>
      <c r="D663" s="303"/>
      <c r="F663" s="426"/>
      <c r="M663" s="89"/>
    </row>
    <row r="664">
      <c r="C664" s="139"/>
      <c r="D664" s="303"/>
      <c r="F664" s="426"/>
      <c r="M664" s="89"/>
    </row>
    <row r="665">
      <c r="C665" s="139"/>
      <c r="D665" s="303"/>
      <c r="F665" s="426"/>
      <c r="M665" s="89"/>
    </row>
    <row r="666">
      <c r="C666" s="139"/>
      <c r="D666" s="303"/>
      <c r="F666" s="426"/>
      <c r="M666" s="89"/>
    </row>
    <row r="667">
      <c r="C667" s="139"/>
      <c r="D667" s="303"/>
      <c r="F667" s="426"/>
      <c r="M667" s="89"/>
    </row>
    <row r="668">
      <c r="C668" s="139"/>
      <c r="D668" s="303"/>
      <c r="F668" s="426"/>
      <c r="M668" s="89"/>
    </row>
    <row r="669">
      <c r="C669" s="139"/>
      <c r="D669" s="303"/>
      <c r="F669" s="426"/>
      <c r="M669" s="89"/>
    </row>
    <row r="670">
      <c r="C670" s="139"/>
      <c r="D670" s="303"/>
      <c r="F670" s="426"/>
      <c r="M670" s="89"/>
    </row>
    <row r="671">
      <c r="C671" s="139"/>
      <c r="D671" s="303"/>
      <c r="F671" s="426"/>
      <c r="M671" s="89"/>
    </row>
    <row r="672">
      <c r="C672" s="139"/>
      <c r="D672" s="303"/>
      <c r="F672" s="426"/>
      <c r="M672" s="89"/>
    </row>
    <row r="673">
      <c r="C673" s="139"/>
      <c r="D673" s="303"/>
      <c r="F673" s="426"/>
      <c r="M673" s="89"/>
    </row>
    <row r="674">
      <c r="C674" s="139"/>
      <c r="D674" s="303"/>
      <c r="F674" s="426"/>
      <c r="M674" s="89"/>
    </row>
    <row r="675">
      <c r="C675" s="139"/>
      <c r="D675" s="303"/>
      <c r="F675" s="426"/>
      <c r="M675" s="89"/>
    </row>
    <row r="676">
      <c r="C676" s="139"/>
      <c r="D676" s="303"/>
      <c r="F676" s="426"/>
      <c r="M676" s="89"/>
    </row>
    <row r="677">
      <c r="C677" s="139"/>
      <c r="D677" s="303"/>
      <c r="F677" s="426"/>
      <c r="M677" s="89"/>
    </row>
    <row r="678">
      <c r="C678" s="139"/>
      <c r="D678" s="303"/>
      <c r="F678" s="426"/>
      <c r="M678" s="89"/>
    </row>
    <row r="679">
      <c r="C679" s="139"/>
      <c r="D679" s="303"/>
      <c r="F679" s="426"/>
      <c r="M679" s="89"/>
    </row>
    <row r="680">
      <c r="C680" s="139"/>
      <c r="D680" s="303"/>
      <c r="F680" s="426"/>
      <c r="M680" s="89"/>
    </row>
    <row r="681">
      <c r="C681" s="139"/>
      <c r="D681" s="303"/>
      <c r="F681" s="426"/>
      <c r="M681" s="89"/>
    </row>
    <row r="682">
      <c r="C682" s="139"/>
      <c r="D682" s="303"/>
      <c r="F682" s="426"/>
      <c r="M682" s="89"/>
    </row>
    <row r="683">
      <c r="C683" s="139"/>
      <c r="D683" s="303"/>
      <c r="F683" s="426"/>
      <c r="M683" s="89"/>
    </row>
    <row r="684">
      <c r="C684" s="139"/>
      <c r="D684" s="303"/>
      <c r="F684" s="426"/>
      <c r="M684" s="89"/>
    </row>
    <row r="685">
      <c r="C685" s="139"/>
      <c r="D685" s="303"/>
      <c r="F685" s="426"/>
      <c r="M685" s="89"/>
    </row>
    <row r="686">
      <c r="C686" s="139"/>
      <c r="D686" s="303"/>
      <c r="F686" s="426"/>
      <c r="M686" s="89"/>
    </row>
    <row r="687">
      <c r="C687" s="139"/>
      <c r="D687" s="303"/>
      <c r="F687" s="426"/>
      <c r="M687" s="89"/>
    </row>
    <row r="688">
      <c r="C688" s="139"/>
      <c r="D688" s="303"/>
      <c r="F688" s="426"/>
      <c r="M688" s="89"/>
    </row>
    <row r="689">
      <c r="C689" s="139"/>
      <c r="D689" s="303"/>
      <c r="F689" s="426"/>
      <c r="M689" s="89"/>
    </row>
    <row r="690">
      <c r="C690" s="139"/>
      <c r="D690" s="303"/>
      <c r="F690" s="426"/>
      <c r="M690" s="89"/>
    </row>
    <row r="691">
      <c r="C691" s="139"/>
      <c r="D691" s="303"/>
      <c r="F691" s="426"/>
      <c r="M691" s="89"/>
    </row>
    <row r="692">
      <c r="C692" s="139"/>
      <c r="D692" s="303"/>
      <c r="F692" s="426"/>
      <c r="M692" s="89"/>
    </row>
    <row r="693">
      <c r="C693" s="139"/>
      <c r="D693" s="303"/>
      <c r="F693" s="426"/>
      <c r="M693" s="89"/>
    </row>
    <row r="694">
      <c r="C694" s="139"/>
      <c r="D694" s="303"/>
      <c r="F694" s="426"/>
      <c r="M694" s="89"/>
    </row>
    <row r="695">
      <c r="C695" s="139"/>
      <c r="D695" s="303"/>
      <c r="F695" s="426"/>
      <c r="M695" s="89"/>
    </row>
    <row r="696">
      <c r="C696" s="139"/>
      <c r="D696" s="303"/>
      <c r="F696" s="426"/>
      <c r="M696" s="89"/>
    </row>
    <row r="697">
      <c r="C697" s="139"/>
      <c r="D697" s="303"/>
      <c r="F697" s="426"/>
      <c r="M697" s="89"/>
    </row>
    <row r="698">
      <c r="C698" s="139"/>
      <c r="D698" s="303"/>
      <c r="F698" s="426"/>
      <c r="M698" s="89"/>
    </row>
    <row r="699">
      <c r="C699" s="139"/>
      <c r="D699" s="303"/>
      <c r="F699" s="426"/>
      <c r="M699" s="89"/>
    </row>
    <row r="700">
      <c r="C700" s="139"/>
      <c r="D700" s="303"/>
      <c r="F700" s="426"/>
      <c r="M700" s="89"/>
    </row>
    <row r="701">
      <c r="C701" s="139"/>
      <c r="D701" s="303"/>
      <c r="F701" s="426"/>
      <c r="M701" s="89"/>
    </row>
    <row r="702">
      <c r="C702" s="139"/>
      <c r="D702" s="303"/>
      <c r="F702" s="426"/>
      <c r="M702" s="89"/>
    </row>
    <row r="703">
      <c r="C703" s="139"/>
      <c r="D703" s="303"/>
      <c r="F703" s="426"/>
      <c r="M703" s="89"/>
    </row>
    <row r="704">
      <c r="C704" s="139"/>
      <c r="D704" s="303"/>
      <c r="F704" s="426"/>
      <c r="M704" s="89"/>
    </row>
    <row r="705">
      <c r="C705" s="139"/>
      <c r="D705" s="303"/>
      <c r="F705" s="426"/>
      <c r="M705" s="89"/>
    </row>
    <row r="706">
      <c r="C706" s="139"/>
      <c r="D706" s="303"/>
      <c r="F706" s="426"/>
      <c r="M706" s="89"/>
    </row>
    <row r="707">
      <c r="C707" s="139"/>
      <c r="D707" s="303"/>
      <c r="F707" s="426"/>
      <c r="M707" s="89"/>
    </row>
    <row r="708">
      <c r="C708" s="139"/>
      <c r="D708" s="303"/>
      <c r="F708" s="426"/>
      <c r="M708" s="89"/>
    </row>
    <row r="709">
      <c r="C709" s="139"/>
      <c r="D709" s="303"/>
      <c r="F709" s="426"/>
      <c r="M709" s="89"/>
    </row>
    <row r="710">
      <c r="C710" s="139"/>
      <c r="D710" s="303"/>
      <c r="F710" s="426"/>
      <c r="M710" s="89"/>
    </row>
    <row r="711">
      <c r="C711" s="139"/>
      <c r="D711" s="303"/>
      <c r="F711" s="426"/>
      <c r="M711" s="89"/>
    </row>
    <row r="712">
      <c r="C712" s="139"/>
      <c r="D712" s="303"/>
      <c r="F712" s="426"/>
      <c r="M712" s="89"/>
    </row>
    <row r="713">
      <c r="C713" s="139"/>
      <c r="D713" s="303"/>
      <c r="F713" s="426"/>
      <c r="M713" s="89"/>
    </row>
    <row r="714">
      <c r="C714" s="139"/>
      <c r="D714" s="303"/>
      <c r="F714" s="426"/>
      <c r="M714" s="89"/>
    </row>
    <row r="715">
      <c r="C715" s="139"/>
      <c r="D715" s="303"/>
      <c r="F715" s="426"/>
      <c r="M715" s="89"/>
    </row>
    <row r="716">
      <c r="C716" s="139"/>
      <c r="D716" s="303"/>
      <c r="F716" s="426"/>
      <c r="M716" s="89"/>
    </row>
    <row r="717">
      <c r="C717" s="139"/>
      <c r="D717" s="303"/>
      <c r="F717" s="426"/>
      <c r="M717" s="89"/>
    </row>
    <row r="718">
      <c r="C718" s="139"/>
      <c r="D718" s="303"/>
      <c r="F718" s="426"/>
      <c r="M718" s="89"/>
    </row>
    <row r="719">
      <c r="C719" s="139"/>
      <c r="D719" s="303"/>
      <c r="F719" s="426"/>
      <c r="M719" s="89"/>
    </row>
    <row r="720">
      <c r="C720" s="139"/>
      <c r="D720" s="303"/>
      <c r="F720" s="426"/>
      <c r="M720" s="89"/>
    </row>
    <row r="721">
      <c r="C721" s="139"/>
      <c r="D721" s="303"/>
      <c r="F721" s="426"/>
      <c r="M721" s="89"/>
    </row>
    <row r="722">
      <c r="C722" s="139"/>
      <c r="D722" s="303"/>
      <c r="F722" s="426"/>
      <c r="M722" s="89"/>
    </row>
    <row r="723">
      <c r="C723" s="139"/>
      <c r="D723" s="303"/>
      <c r="F723" s="426"/>
      <c r="M723" s="89"/>
    </row>
    <row r="724">
      <c r="C724" s="139"/>
      <c r="D724" s="303"/>
      <c r="F724" s="426"/>
      <c r="M724" s="89"/>
    </row>
    <row r="725">
      <c r="C725" s="139"/>
      <c r="D725" s="303"/>
      <c r="F725" s="426"/>
      <c r="M725" s="89"/>
    </row>
    <row r="726">
      <c r="C726" s="139"/>
      <c r="D726" s="303"/>
      <c r="F726" s="426"/>
      <c r="M726" s="89"/>
    </row>
    <row r="727">
      <c r="C727" s="139"/>
      <c r="D727" s="303"/>
      <c r="F727" s="426"/>
      <c r="M727" s="89"/>
    </row>
    <row r="728">
      <c r="C728" s="139"/>
      <c r="D728" s="303"/>
      <c r="F728" s="426"/>
      <c r="M728" s="89"/>
    </row>
    <row r="729">
      <c r="C729" s="139"/>
      <c r="D729" s="303"/>
      <c r="F729" s="426"/>
      <c r="M729" s="89"/>
    </row>
    <row r="730">
      <c r="C730" s="139"/>
      <c r="D730" s="303"/>
      <c r="F730" s="426"/>
      <c r="M730" s="89"/>
    </row>
    <row r="731">
      <c r="C731" s="139"/>
      <c r="D731" s="303"/>
      <c r="F731" s="426"/>
      <c r="M731" s="89"/>
    </row>
    <row r="732">
      <c r="C732" s="139"/>
      <c r="D732" s="303"/>
      <c r="F732" s="426"/>
      <c r="M732" s="89"/>
    </row>
    <row r="733">
      <c r="C733" s="139"/>
      <c r="D733" s="303"/>
      <c r="F733" s="426"/>
      <c r="M733" s="89"/>
    </row>
    <row r="734">
      <c r="C734" s="139"/>
      <c r="D734" s="303"/>
      <c r="F734" s="426"/>
      <c r="M734" s="89"/>
    </row>
    <row r="735">
      <c r="C735" s="139"/>
      <c r="D735" s="303"/>
      <c r="F735" s="426"/>
      <c r="M735" s="89"/>
    </row>
    <row r="736">
      <c r="C736" s="139"/>
      <c r="D736" s="303"/>
      <c r="F736" s="426"/>
      <c r="M736" s="89"/>
    </row>
    <row r="737">
      <c r="C737" s="139"/>
      <c r="D737" s="303"/>
      <c r="F737" s="426"/>
      <c r="M737" s="89"/>
    </row>
    <row r="738">
      <c r="C738" s="139"/>
      <c r="D738" s="303"/>
      <c r="F738" s="426"/>
      <c r="M738" s="89"/>
    </row>
    <row r="739">
      <c r="C739" s="139"/>
      <c r="D739" s="303"/>
      <c r="F739" s="426"/>
      <c r="M739" s="89"/>
    </row>
    <row r="740">
      <c r="C740" s="139"/>
      <c r="D740" s="303"/>
      <c r="F740" s="426"/>
      <c r="M740" s="89"/>
    </row>
    <row r="741">
      <c r="C741" s="139"/>
      <c r="D741" s="303"/>
      <c r="F741" s="426"/>
      <c r="M741" s="89"/>
    </row>
    <row r="742">
      <c r="C742" s="139"/>
      <c r="D742" s="303"/>
      <c r="F742" s="426"/>
      <c r="M742" s="89"/>
    </row>
    <row r="743">
      <c r="C743" s="139"/>
      <c r="D743" s="303"/>
      <c r="F743" s="426"/>
      <c r="M743" s="89"/>
    </row>
    <row r="744">
      <c r="C744" s="139"/>
      <c r="D744" s="303"/>
      <c r="F744" s="426"/>
      <c r="M744" s="89"/>
    </row>
    <row r="745">
      <c r="C745" s="139"/>
      <c r="D745" s="303"/>
      <c r="F745" s="426"/>
      <c r="M745" s="89"/>
    </row>
    <row r="746">
      <c r="C746" s="139"/>
      <c r="D746" s="303"/>
      <c r="F746" s="426"/>
      <c r="M746" s="89"/>
    </row>
    <row r="747">
      <c r="C747" s="139"/>
      <c r="D747" s="303"/>
      <c r="F747" s="426"/>
      <c r="M747" s="89"/>
    </row>
    <row r="748">
      <c r="C748" s="139"/>
      <c r="D748" s="303"/>
      <c r="F748" s="426"/>
      <c r="M748" s="89"/>
    </row>
    <row r="749">
      <c r="C749" s="139"/>
      <c r="D749" s="303"/>
      <c r="F749" s="426"/>
      <c r="M749" s="89"/>
    </row>
    <row r="750">
      <c r="C750" s="139"/>
      <c r="D750" s="303"/>
      <c r="F750" s="426"/>
      <c r="M750" s="89"/>
    </row>
    <row r="751">
      <c r="C751" s="139"/>
      <c r="D751" s="303"/>
      <c r="F751" s="426"/>
      <c r="M751" s="89"/>
    </row>
    <row r="752">
      <c r="C752" s="139"/>
      <c r="D752" s="303"/>
      <c r="F752" s="426"/>
      <c r="M752" s="89"/>
    </row>
    <row r="753">
      <c r="C753" s="139"/>
      <c r="D753" s="303"/>
      <c r="F753" s="426"/>
      <c r="M753" s="89"/>
    </row>
    <row r="754">
      <c r="C754" s="139"/>
      <c r="D754" s="303"/>
      <c r="F754" s="426"/>
      <c r="M754" s="89"/>
    </row>
    <row r="755">
      <c r="C755" s="139"/>
      <c r="D755" s="303"/>
      <c r="F755" s="426"/>
      <c r="M755" s="89"/>
    </row>
    <row r="756">
      <c r="C756" s="139"/>
      <c r="D756" s="303"/>
      <c r="F756" s="426"/>
      <c r="M756" s="89"/>
    </row>
    <row r="757">
      <c r="C757" s="139"/>
      <c r="D757" s="303"/>
      <c r="F757" s="426"/>
      <c r="M757" s="89"/>
    </row>
    <row r="758">
      <c r="C758" s="139"/>
      <c r="D758" s="303"/>
      <c r="F758" s="426"/>
      <c r="M758" s="89"/>
    </row>
    <row r="759">
      <c r="C759" s="139"/>
      <c r="D759" s="303"/>
      <c r="F759" s="426"/>
      <c r="M759" s="89"/>
    </row>
    <row r="760">
      <c r="C760" s="139"/>
      <c r="D760" s="303"/>
      <c r="F760" s="426"/>
      <c r="M760" s="89"/>
    </row>
    <row r="761">
      <c r="C761" s="139"/>
      <c r="D761" s="303"/>
      <c r="F761" s="426"/>
      <c r="M761" s="89"/>
    </row>
    <row r="762">
      <c r="C762" s="139"/>
      <c r="D762" s="303"/>
      <c r="F762" s="426"/>
      <c r="M762" s="89"/>
    </row>
    <row r="763">
      <c r="C763" s="139"/>
      <c r="D763" s="303"/>
      <c r="F763" s="426"/>
      <c r="M763" s="89"/>
    </row>
    <row r="764">
      <c r="C764" s="139"/>
      <c r="D764" s="303"/>
      <c r="F764" s="426"/>
      <c r="M764" s="89"/>
    </row>
    <row r="765">
      <c r="C765" s="139"/>
      <c r="D765" s="303"/>
      <c r="F765" s="426"/>
      <c r="M765" s="89"/>
    </row>
    <row r="766">
      <c r="C766" s="139"/>
      <c r="D766" s="303"/>
      <c r="F766" s="426"/>
      <c r="M766" s="89"/>
    </row>
    <row r="767">
      <c r="C767" s="139"/>
      <c r="D767" s="303"/>
      <c r="F767" s="426"/>
      <c r="M767" s="89"/>
    </row>
    <row r="768">
      <c r="C768" s="139"/>
      <c r="D768" s="303"/>
      <c r="F768" s="426"/>
      <c r="M768" s="89"/>
    </row>
    <row r="769">
      <c r="C769" s="139"/>
      <c r="D769" s="303"/>
      <c r="F769" s="426"/>
      <c r="M769" s="89"/>
    </row>
    <row r="770">
      <c r="C770" s="139"/>
      <c r="D770" s="303"/>
      <c r="F770" s="426"/>
      <c r="M770" s="89"/>
    </row>
    <row r="771">
      <c r="C771" s="139"/>
      <c r="D771" s="303"/>
      <c r="F771" s="426"/>
      <c r="M771" s="89"/>
    </row>
    <row r="772">
      <c r="C772" s="139"/>
      <c r="D772" s="303"/>
      <c r="F772" s="426"/>
      <c r="M772" s="89"/>
    </row>
    <row r="773">
      <c r="C773" s="139"/>
      <c r="D773" s="303"/>
      <c r="F773" s="426"/>
      <c r="M773" s="89"/>
    </row>
    <row r="774">
      <c r="C774" s="139"/>
      <c r="D774" s="303"/>
      <c r="F774" s="426"/>
      <c r="M774" s="89"/>
    </row>
    <row r="775">
      <c r="C775" s="139"/>
      <c r="D775" s="303"/>
      <c r="F775" s="426"/>
      <c r="M775" s="89"/>
    </row>
    <row r="776">
      <c r="C776" s="139"/>
      <c r="D776" s="303"/>
      <c r="F776" s="426"/>
      <c r="M776" s="89"/>
    </row>
    <row r="777">
      <c r="C777" s="139"/>
      <c r="D777" s="303"/>
      <c r="F777" s="426"/>
      <c r="M777" s="89"/>
    </row>
    <row r="778">
      <c r="C778" s="139"/>
      <c r="D778" s="303"/>
      <c r="F778" s="426"/>
      <c r="M778" s="89"/>
    </row>
    <row r="779">
      <c r="C779" s="139"/>
      <c r="D779" s="303"/>
      <c r="F779" s="426"/>
      <c r="M779" s="89"/>
    </row>
    <row r="780">
      <c r="C780" s="139"/>
      <c r="D780" s="303"/>
      <c r="F780" s="426"/>
      <c r="M780" s="89"/>
    </row>
    <row r="781">
      <c r="C781" s="139"/>
      <c r="D781" s="303"/>
      <c r="F781" s="426"/>
      <c r="M781" s="89"/>
    </row>
    <row r="782">
      <c r="C782" s="139"/>
      <c r="D782" s="303"/>
      <c r="F782" s="426"/>
      <c r="M782" s="89"/>
    </row>
    <row r="783">
      <c r="C783" s="139"/>
      <c r="D783" s="303"/>
      <c r="F783" s="426"/>
      <c r="M783" s="89"/>
    </row>
    <row r="784">
      <c r="C784" s="139"/>
      <c r="D784" s="303"/>
      <c r="F784" s="426"/>
      <c r="M784" s="89"/>
    </row>
    <row r="785">
      <c r="C785" s="139"/>
      <c r="D785" s="303"/>
      <c r="F785" s="426"/>
      <c r="M785" s="89"/>
    </row>
    <row r="786">
      <c r="C786" s="139"/>
      <c r="D786" s="303"/>
      <c r="F786" s="426"/>
      <c r="M786" s="89"/>
    </row>
    <row r="787">
      <c r="C787" s="139"/>
      <c r="D787" s="303"/>
      <c r="F787" s="426"/>
      <c r="M787" s="89"/>
    </row>
    <row r="788">
      <c r="C788" s="139"/>
      <c r="D788" s="303"/>
      <c r="F788" s="426"/>
      <c r="M788" s="89"/>
    </row>
    <row r="789">
      <c r="C789" s="139"/>
      <c r="D789" s="303"/>
      <c r="F789" s="426"/>
      <c r="M789" s="89"/>
    </row>
    <row r="790">
      <c r="C790" s="139"/>
      <c r="D790" s="303"/>
      <c r="F790" s="426"/>
      <c r="M790" s="89"/>
    </row>
    <row r="791">
      <c r="C791" s="139"/>
      <c r="D791" s="303"/>
      <c r="F791" s="426"/>
      <c r="M791" s="89"/>
    </row>
    <row r="792">
      <c r="C792" s="139"/>
      <c r="D792" s="303"/>
      <c r="F792" s="426"/>
      <c r="M792" s="89"/>
    </row>
    <row r="793">
      <c r="C793" s="139"/>
      <c r="D793" s="303"/>
      <c r="F793" s="426"/>
      <c r="M793" s="89"/>
    </row>
    <row r="794">
      <c r="C794" s="139"/>
      <c r="D794" s="303"/>
      <c r="F794" s="426"/>
      <c r="M794" s="89"/>
    </row>
    <row r="795">
      <c r="C795" s="139"/>
      <c r="D795" s="303"/>
      <c r="F795" s="426"/>
      <c r="M795" s="89"/>
    </row>
    <row r="796">
      <c r="C796" s="139"/>
      <c r="D796" s="303"/>
      <c r="F796" s="426"/>
      <c r="M796" s="89"/>
    </row>
    <row r="797">
      <c r="C797" s="139"/>
      <c r="D797" s="303"/>
      <c r="F797" s="426"/>
      <c r="M797" s="89"/>
    </row>
    <row r="798">
      <c r="C798" s="139"/>
      <c r="D798" s="303"/>
      <c r="F798" s="426"/>
      <c r="M798" s="89"/>
    </row>
    <row r="799">
      <c r="C799" s="139"/>
      <c r="D799" s="303"/>
      <c r="F799" s="426"/>
      <c r="M799" s="89"/>
    </row>
    <row r="800">
      <c r="C800" s="139"/>
      <c r="D800" s="303"/>
      <c r="F800" s="426"/>
      <c r="M800" s="89"/>
    </row>
    <row r="801">
      <c r="C801" s="139"/>
      <c r="D801" s="303"/>
      <c r="F801" s="426"/>
      <c r="M801" s="89"/>
    </row>
    <row r="802">
      <c r="C802" s="139"/>
      <c r="D802" s="303"/>
      <c r="F802" s="426"/>
      <c r="M802" s="89"/>
    </row>
    <row r="803">
      <c r="C803" s="139"/>
      <c r="D803" s="303"/>
      <c r="F803" s="426"/>
      <c r="M803" s="89"/>
    </row>
    <row r="804">
      <c r="C804" s="139"/>
      <c r="D804" s="303"/>
      <c r="F804" s="426"/>
      <c r="M804" s="89"/>
    </row>
    <row r="805">
      <c r="C805" s="139"/>
      <c r="D805" s="303"/>
      <c r="F805" s="426"/>
      <c r="M805" s="89"/>
    </row>
    <row r="806">
      <c r="C806" s="139"/>
      <c r="D806" s="303"/>
      <c r="F806" s="426"/>
      <c r="M806" s="89"/>
    </row>
    <row r="807">
      <c r="C807" s="139"/>
      <c r="D807" s="303"/>
      <c r="F807" s="426"/>
      <c r="M807" s="89"/>
    </row>
    <row r="808">
      <c r="C808" s="139"/>
      <c r="D808" s="303"/>
      <c r="F808" s="426"/>
      <c r="M808" s="89"/>
    </row>
    <row r="809">
      <c r="C809" s="139"/>
      <c r="D809" s="303"/>
      <c r="F809" s="426"/>
      <c r="M809" s="89"/>
    </row>
    <row r="810">
      <c r="C810" s="139"/>
      <c r="D810" s="303"/>
      <c r="F810" s="426"/>
      <c r="M810" s="89"/>
    </row>
    <row r="811">
      <c r="C811" s="139"/>
      <c r="D811" s="303"/>
      <c r="F811" s="426"/>
      <c r="M811" s="89"/>
    </row>
    <row r="812">
      <c r="C812" s="139"/>
      <c r="D812" s="303"/>
      <c r="F812" s="426"/>
      <c r="M812" s="89"/>
    </row>
    <row r="813">
      <c r="C813" s="139"/>
      <c r="D813" s="303"/>
      <c r="F813" s="426"/>
      <c r="M813" s="89"/>
    </row>
    <row r="814">
      <c r="C814" s="139"/>
      <c r="D814" s="303"/>
      <c r="F814" s="426"/>
      <c r="M814" s="89"/>
    </row>
    <row r="815">
      <c r="C815" s="139"/>
      <c r="D815" s="303"/>
      <c r="F815" s="426"/>
      <c r="M815" s="89"/>
    </row>
    <row r="816">
      <c r="C816" s="139"/>
      <c r="D816" s="303"/>
      <c r="F816" s="426"/>
      <c r="M816" s="89"/>
    </row>
    <row r="817">
      <c r="C817" s="139"/>
      <c r="D817" s="303"/>
      <c r="F817" s="426"/>
      <c r="M817" s="89"/>
    </row>
    <row r="818">
      <c r="C818" s="139"/>
      <c r="D818" s="303"/>
      <c r="F818" s="426"/>
      <c r="M818" s="89"/>
    </row>
    <row r="819">
      <c r="C819" s="139"/>
      <c r="D819" s="303"/>
      <c r="F819" s="426"/>
      <c r="M819" s="89"/>
    </row>
    <row r="820">
      <c r="C820" s="139"/>
      <c r="D820" s="303"/>
      <c r="F820" s="426"/>
      <c r="M820" s="89"/>
    </row>
    <row r="821">
      <c r="C821" s="139"/>
      <c r="D821" s="303"/>
      <c r="F821" s="426"/>
      <c r="M821" s="89"/>
    </row>
    <row r="822">
      <c r="C822" s="139"/>
      <c r="D822" s="303"/>
      <c r="F822" s="426"/>
      <c r="M822" s="89"/>
    </row>
    <row r="823">
      <c r="C823" s="139"/>
      <c r="D823" s="303"/>
      <c r="F823" s="426"/>
      <c r="M823" s="89"/>
    </row>
    <row r="824">
      <c r="C824" s="139"/>
      <c r="D824" s="303"/>
      <c r="F824" s="426"/>
      <c r="M824" s="89"/>
    </row>
    <row r="825">
      <c r="C825" s="139"/>
      <c r="D825" s="303"/>
      <c r="F825" s="426"/>
      <c r="M825" s="89"/>
    </row>
    <row r="826">
      <c r="C826" s="139"/>
      <c r="D826" s="303"/>
      <c r="F826" s="426"/>
      <c r="M826" s="89"/>
    </row>
    <row r="827">
      <c r="C827" s="139"/>
      <c r="D827" s="303"/>
      <c r="F827" s="426"/>
      <c r="M827" s="89"/>
    </row>
    <row r="828">
      <c r="C828" s="139"/>
      <c r="D828" s="303"/>
      <c r="F828" s="426"/>
      <c r="M828" s="89"/>
    </row>
    <row r="829">
      <c r="C829" s="139"/>
      <c r="D829" s="303"/>
      <c r="F829" s="426"/>
      <c r="M829" s="89"/>
    </row>
    <row r="830">
      <c r="C830" s="139"/>
      <c r="D830" s="303"/>
      <c r="F830" s="426"/>
      <c r="M830" s="89"/>
    </row>
    <row r="831">
      <c r="C831" s="139"/>
      <c r="D831" s="303"/>
      <c r="F831" s="426"/>
      <c r="M831" s="89"/>
    </row>
    <row r="832">
      <c r="C832" s="139"/>
      <c r="D832" s="303"/>
      <c r="F832" s="426"/>
      <c r="M832" s="89"/>
    </row>
    <row r="833">
      <c r="C833" s="139"/>
      <c r="D833" s="303"/>
      <c r="F833" s="426"/>
      <c r="M833" s="89"/>
    </row>
    <row r="834">
      <c r="C834" s="139"/>
      <c r="D834" s="303"/>
      <c r="F834" s="426"/>
      <c r="M834" s="89"/>
    </row>
    <row r="835">
      <c r="C835" s="139"/>
      <c r="D835" s="303"/>
      <c r="F835" s="426"/>
      <c r="M835" s="89"/>
    </row>
    <row r="836">
      <c r="C836" s="139"/>
      <c r="D836" s="303"/>
      <c r="F836" s="426"/>
      <c r="M836" s="89"/>
    </row>
    <row r="837">
      <c r="C837" s="139"/>
      <c r="D837" s="303"/>
      <c r="F837" s="426"/>
      <c r="M837" s="89"/>
    </row>
    <row r="838">
      <c r="C838" s="139"/>
      <c r="D838" s="303"/>
      <c r="F838" s="426"/>
      <c r="M838" s="89"/>
    </row>
    <row r="839">
      <c r="C839" s="139"/>
      <c r="D839" s="303"/>
      <c r="F839" s="426"/>
      <c r="M839" s="89"/>
    </row>
    <row r="840">
      <c r="C840" s="139"/>
      <c r="D840" s="303"/>
      <c r="F840" s="426"/>
      <c r="M840" s="89"/>
    </row>
    <row r="841">
      <c r="C841" s="139"/>
      <c r="D841" s="303"/>
      <c r="F841" s="426"/>
      <c r="M841" s="89"/>
    </row>
    <row r="842">
      <c r="C842" s="139"/>
      <c r="D842" s="303"/>
      <c r="F842" s="426"/>
      <c r="M842" s="89"/>
    </row>
    <row r="843">
      <c r="C843" s="139"/>
      <c r="D843" s="303"/>
      <c r="F843" s="426"/>
      <c r="M843" s="89"/>
    </row>
    <row r="844">
      <c r="C844" s="139"/>
      <c r="D844" s="303"/>
      <c r="F844" s="426"/>
      <c r="M844" s="89"/>
    </row>
    <row r="845">
      <c r="C845" s="139"/>
      <c r="D845" s="303"/>
      <c r="F845" s="426"/>
      <c r="M845" s="89"/>
    </row>
    <row r="846">
      <c r="C846" s="139"/>
      <c r="D846" s="303"/>
      <c r="F846" s="426"/>
      <c r="M846" s="89"/>
    </row>
    <row r="847">
      <c r="C847" s="139"/>
      <c r="D847" s="303"/>
      <c r="F847" s="426"/>
      <c r="M847" s="89"/>
    </row>
    <row r="848">
      <c r="C848" s="139"/>
      <c r="D848" s="303"/>
      <c r="F848" s="426"/>
      <c r="M848" s="89"/>
    </row>
    <row r="849">
      <c r="C849" s="139"/>
      <c r="D849" s="303"/>
      <c r="F849" s="426"/>
      <c r="M849" s="89"/>
    </row>
    <row r="850">
      <c r="C850" s="139"/>
      <c r="D850" s="303"/>
      <c r="F850" s="426"/>
      <c r="M850" s="89"/>
    </row>
    <row r="851">
      <c r="C851" s="139"/>
      <c r="D851" s="303"/>
      <c r="F851" s="426"/>
      <c r="M851" s="89"/>
    </row>
    <row r="852">
      <c r="C852" s="139"/>
      <c r="D852" s="303"/>
      <c r="F852" s="426"/>
      <c r="M852" s="89"/>
    </row>
    <row r="853">
      <c r="C853" s="139"/>
      <c r="D853" s="303"/>
      <c r="F853" s="426"/>
      <c r="M853" s="89"/>
    </row>
    <row r="854">
      <c r="C854" s="139"/>
      <c r="D854" s="303"/>
      <c r="F854" s="426"/>
      <c r="M854" s="89"/>
    </row>
    <row r="855">
      <c r="C855" s="139"/>
      <c r="D855" s="303"/>
      <c r="F855" s="426"/>
      <c r="M855" s="89"/>
    </row>
    <row r="856">
      <c r="C856" s="139"/>
      <c r="D856" s="303"/>
      <c r="F856" s="426"/>
      <c r="M856" s="89"/>
    </row>
    <row r="857">
      <c r="C857" s="139"/>
      <c r="D857" s="303"/>
      <c r="F857" s="426"/>
      <c r="M857" s="89"/>
    </row>
    <row r="858">
      <c r="C858" s="139"/>
      <c r="D858" s="303"/>
      <c r="F858" s="426"/>
      <c r="M858" s="89"/>
    </row>
    <row r="859">
      <c r="C859" s="139"/>
      <c r="D859" s="303"/>
      <c r="F859" s="426"/>
      <c r="M859" s="89"/>
    </row>
    <row r="860">
      <c r="C860" s="139"/>
      <c r="D860" s="303"/>
      <c r="F860" s="426"/>
      <c r="M860" s="89"/>
    </row>
    <row r="861">
      <c r="C861" s="139"/>
      <c r="D861" s="303"/>
      <c r="F861" s="426"/>
      <c r="M861" s="89"/>
    </row>
    <row r="862">
      <c r="C862" s="139"/>
      <c r="D862" s="303"/>
      <c r="F862" s="426"/>
      <c r="M862" s="89"/>
    </row>
    <row r="863">
      <c r="C863" s="139"/>
      <c r="D863" s="303"/>
      <c r="F863" s="426"/>
      <c r="M863" s="89"/>
    </row>
    <row r="864">
      <c r="C864" s="139"/>
      <c r="D864" s="303"/>
      <c r="F864" s="426"/>
      <c r="M864" s="89"/>
    </row>
    <row r="865">
      <c r="C865" s="139"/>
      <c r="D865" s="303"/>
      <c r="F865" s="426"/>
      <c r="M865" s="89"/>
    </row>
    <row r="866">
      <c r="C866" s="139"/>
      <c r="D866" s="303"/>
      <c r="F866" s="426"/>
      <c r="M866" s="89"/>
    </row>
    <row r="867">
      <c r="C867" s="139"/>
      <c r="D867" s="303"/>
      <c r="F867" s="426"/>
      <c r="M867" s="89"/>
    </row>
    <row r="868">
      <c r="C868" s="139"/>
      <c r="D868" s="303"/>
      <c r="F868" s="426"/>
      <c r="M868" s="89"/>
    </row>
    <row r="869">
      <c r="C869" s="139"/>
      <c r="D869" s="303"/>
      <c r="F869" s="426"/>
      <c r="M869" s="89"/>
    </row>
    <row r="870">
      <c r="C870" s="139"/>
      <c r="D870" s="303"/>
      <c r="F870" s="426"/>
      <c r="M870" s="89"/>
    </row>
    <row r="871">
      <c r="C871" s="139"/>
      <c r="D871" s="303"/>
      <c r="F871" s="426"/>
      <c r="M871" s="89"/>
    </row>
    <row r="872">
      <c r="C872" s="139"/>
      <c r="D872" s="303"/>
      <c r="F872" s="426"/>
      <c r="M872" s="89"/>
    </row>
    <row r="873">
      <c r="C873" s="139"/>
      <c r="D873" s="303"/>
      <c r="F873" s="426"/>
      <c r="M873" s="89"/>
    </row>
    <row r="874">
      <c r="C874" s="139"/>
      <c r="D874" s="303"/>
      <c r="F874" s="426"/>
      <c r="M874" s="89"/>
    </row>
    <row r="875">
      <c r="C875" s="139"/>
      <c r="D875" s="303"/>
      <c r="F875" s="426"/>
      <c r="M875" s="89"/>
    </row>
    <row r="876">
      <c r="C876" s="139"/>
      <c r="D876" s="303"/>
      <c r="F876" s="426"/>
      <c r="M876" s="89"/>
    </row>
    <row r="877">
      <c r="C877" s="139"/>
      <c r="D877" s="303"/>
      <c r="F877" s="426"/>
      <c r="M877" s="89"/>
    </row>
    <row r="878">
      <c r="C878" s="139"/>
      <c r="D878" s="303"/>
      <c r="F878" s="426"/>
      <c r="M878" s="89"/>
    </row>
    <row r="879">
      <c r="C879" s="139"/>
      <c r="D879" s="303"/>
      <c r="F879" s="426"/>
      <c r="M879" s="89"/>
    </row>
    <row r="880">
      <c r="C880" s="139"/>
      <c r="D880" s="303"/>
      <c r="F880" s="426"/>
      <c r="M880" s="89"/>
    </row>
    <row r="881">
      <c r="C881" s="139"/>
      <c r="D881" s="303"/>
      <c r="F881" s="426"/>
      <c r="M881" s="89"/>
    </row>
    <row r="882">
      <c r="C882" s="139"/>
      <c r="D882" s="303"/>
      <c r="F882" s="426"/>
      <c r="M882" s="89"/>
    </row>
    <row r="883">
      <c r="C883" s="139"/>
      <c r="D883" s="303"/>
      <c r="F883" s="426"/>
      <c r="M883" s="89"/>
    </row>
    <row r="884">
      <c r="C884" s="139"/>
      <c r="D884" s="303"/>
      <c r="F884" s="426"/>
      <c r="M884" s="89"/>
    </row>
    <row r="885">
      <c r="C885" s="139"/>
      <c r="D885" s="303"/>
      <c r="F885" s="426"/>
      <c r="M885" s="89"/>
    </row>
    <row r="886">
      <c r="C886" s="139"/>
      <c r="D886" s="303"/>
      <c r="F886" s="426"/>
      <c r="M886" s="89"/>
    </row>
    <row r="887">
      <c r="C887" s="139"/>
      <c r="D887" s="303"/>
      <c r="F887" s="426"/>
      <c r="M887" s="89"/>
    </row>
    <row r="888">
      <c r="C888" s="139"/>
      <c r="D888" s="303"/>
      <c r="F888" s="426"/>
      <c r="M888" s="89"/>
    </row>
    <row r="889">
      <c r="C889" s="139"/>
      <c r="D889" s="303"/>
      <c r="F889" s="426"/>
      <c r="M889" s="89"/>
    </row>
    <row r="890">
      <c r="C890" s="139"/>
      <c r="D890" s="303"/>
      <c r="F890" s="426"/>
      <c r="M890" s="89"/>
    </row>
    <row r="891">
      <c r="C891" s="139"/>
      <c r="D891" s="303"/>
      <c r="F891" s="426"/>
      <c r="M891" s="89"/>
    </row>
    <row r="892">
      <c r="C892" s="139"/>
      <c r="D892" s="303"/>
      <c r="F892" s="426"/>
      <c r="M892" s="89"/>
    </row>
    <row r="893">
      <c r="C893" s="139"/>
      <c r="D893" s="303"/>
      <c r="F893" s="426"/>
      <c r="M893" s="89"/>
    </row>
    <row r="894">
      <c r="C894" s="139"/>
      <c r="D894" s="303"/>
      <c r="F894" s="426"/>
      <c r="M894" s="89"/>
    </row>
    <row r="895">
      <c r="C895" s="139"/>
      <c r="D895" s="303"/>
      <c r="F895" s="426"/>
      <c r="M895" s="89"/>
    </row>
    <row r="896">
      <c r="C896" s="139"/>
      <c r="D896" s="303"/>
      <c r="F896" s="426"/>
      <c r="M896" s="89"/>
    </row>
    <row r="897">
      <c r="C897" s="139"/>
      <c r="D897" s="303"/>
      <c r="F897" s="426"/>
      <c r="M897" s="89"/>
    </row>
    <row r="898">
      <c r="C898" s="139"/>
      <c r="D898" s="303"/>
      <c r="F898" s="426"/>
      <c r="M898" s="89"/>
    </row>
    <row r="899">
      <c r="C899" s="139"/>
      <c r="D899" s="303"/>
      <c r="F899" s="426"/>
      <c r="M899" s="89"/>
    </row>
    <row r="900">
      <c r="C900" s="139"/>
      <c r="D900" s="303"/>
      <c r="F900" s="426"/>
      <c r="M900" s="89"/>
    </row>
    <row r="901">
      <c r="C901" s="139"/>
      <c r="D901" s="303"/>
      <c r="F901" s="426"/>
      <c r="M901" s="89"/>
    </row>
    <row r="902">
      <c r="C902" s="139"/>
      <c r="D902" s="303"/>
      <c r="F902" s="426"/>
      <c r="M902" s="89"/>
    </row>
    <row r="903">
      <c r="C903" s="139"/>
      <c r="D903" s="303"/>
      <c r="F903" s="426"/>
      <c r="M903" s="89"/>
    </row>
    <row r="904">
      <c r="C904" s="139"/>
      <c r="D904" s="303"/>
      <c r="F904" s="426"/>
      <c r="M904" s="89"/>
    </row>
    <row r="905">
      <c r="C905" s="139"/>
      <c r="D905" s="303"/>
      <c r="F905" s="426"/>
      <c r="M905" s="89"/>
    </row>
    <row r="906">
      <c r="C906" s="139"/>
      <c r="D906" s="303"/>
      <c r="F906" s="426"/>
      <c r="M906" s="89"/>
    </row>
    <row r="907">
      <c r="C907" s="139"/>
      <c r="D907" s="303"/>
      <c r="F907" s="426"/>
      <c r="M907" s="89"/>
    </row>
    <row r="908">
      <c r="C908" s="139"/>
      <c r="D908" s="303"/>
      <c r="F908" s="426"/>
      <c r="M908" s="89"/>
    </row>
    <row r="909">
      <c r="C909" s="139"/>
      <c r="D909" s="303"/>
      <c r="F909" s="426"/>
      <c r="M909" s="89"/>
    </row>
    <row r="910">
      <c r="C910" s="139"/>
      <c r="D910" s="303"/>
      <c r="F910" s="426"/>
      <c r="M910" s="89"/>
    </row>
    <row r="911">
      <c r="C911" s="139"/>
      <c r="D911" s="303"/>
      <c r="F911" s="426"/>
      <c r="M911" s="89"/>
    </row>
    <row r="912">
      <c r="C912" s="139"/>
      <c r="D912" s="303"/>
      <c r="F912" s="426"/>
      <c r="M912" s="89"/>
    </row>
    <row r="913">
      <c r="C913" s="139"/>
      <c r="D913" s="303"/>
      <c r="F913" s="426"/>
      <c r="M913" s="89"/>
    </row>
    <row r="914">
      <c r="C914" s="139"/>
      <c r="D914" s="303"/>
      <c r="F914" s="426"/>
      <c r="M914" s="89"/>
    </row>
    <row r="915">
      <c r="C915" s="139"/>
      <c r="D915" s="303"/>
      <c r="F915" s="426"/>
      <c r="M915" s="89"/>
    </row>
    <row r="916">
      <c r="C916" s="139"/>
      <c r="D916" s="303"/>
      <c r="F916" s="426"/>
      <c r="M916" s="89"/>
    </row>
    <row r="917">
      <c r="C917" s="139"/>
      <c r="D917" s="303"/>
      <c r="F917" s="426"/>
      <c r="M917" s="89"/>
    </row>
    <row r="918">
      <c r="C918" s="139"/>
      <c r="D918" s="303"/>
      <c r="F918" s="426"/>
      <c r="M918" s="89"/>
    </row>
    <row r="919">
      <c r="C919" s="139"/>
      <c r="D919" s="303"/>
      <c r="F919" s="426"/>
      <c r="M919" s="89"/>
    </row>
    <row r="920">
      <c r="C920" s="139"/>
      <c r="D920" s="303"/>
      <c r="F920" s="426"/>
      <c r="M920" s="89"/>
    </row>
    <row r="921">
      <c r="C921" s="139"/>
      <c r="D921" s="303"/>
      <c r="F921" s="426"/>
      <c r="M921" s="89"/>
    </row>
    <row r="922">
      <c r="C922" s="139"/>
      <c r="D922" s="303"/>
      <c r="F922" s="426"/>
      <c r="M922" s="89"/>
    </row>
    <row r="923">
      <c r="C923" s="139"/>
      <c r="D923" s="303"/>
      <c r="F923" s="426"/>
      <c r="M923" s="89"/>
    </row>
    <row r="924">
      <c r="C924" s="139"/>
      <c r="D924" s="303"/>
      <c r="F924" s="426"/>
      <c r="M924" s="89"/>
    </row>
    <row r="925">
      <c r="C925" s="139"/>
      <c r="D925" s="303"/>
      <c r="F925" s="426"/>
      <c r="M925" s="89"/>
    </row>
    <row r="926">
      <c r="C926" s="139"/>
      <c r="D926" s="303"/>
      <c r="F926" s="426"/>
      <c r="M926" s="89"/>
    </row>
    <row r="927">
      <c r="C927" s="139"/>
      <c r="D927" s="303"/>
      <c r="F927" s="426"/>
      <c r="M927" s="89"/>
    </row>
    <row r="928">
      <c r="C928" s="139"/>
      <c r="D928" s="303"/>
      <c r="F928" s="426"/>
      <c r="M928" s="89"/>
    </row>
    <row r="929">
      <c r="C929" s="139"/>
      <c r="D929" s="303"/>
      <c r="F929" s="426"/>
      <c r="M929" s="89"/>
    </row>
    <row r="930">
      <c r="C930" s="139"/>
      <c r="D930" s="303"/>
      <c r="F930" s="426"/>
      <c r="M930" s="89"/>
    </row>
    <row r="931">
      <c r="C931" s="139"/>
      <c r="D931" s="303"/>
      <c r="F931" s="426"/>
      <c r="M931" s="89"/>
    </row>
    <row r="932">
      <c r="C932" s="139"/>
      <c r="D932" s="303"/>
      <c r="F932" s="426"/>
      <c r="M932" s="89"/>
    </row>
    <row r="933">
      <c r="C933" s="139"/>
      <c r="D933" s="303"/>
      <c r="F933" s="426"/>
      <c r="M933" s="89"/>
    </row>
    <row r="934">
      <c r="C934" s="139"/>
      <c r="D934" s="303"/>
      <c r="F934" s="426"/>
      <c r="M934" s="89"/>
    </row>
    <row r="935">
      <c r="C935" s="139"/>
      <c r="D935" s="303"/>
      <c r="F935" s="426"/>
      <c r="M935" s="89"/>
    </row>
    <row r="936">
      <c r="C936" s="139"/>
      <c r="D936" s="303"/>
      <c r="F936" s="426"/>
      <c r="M936" s="89"/>
    </row>
    <row r="937">
      <c r="C937" s="139"/>
      <c r="D937" s="303"/>
      <c r="F937" s="426"/>
      <c r="M937" s="89"/>
    </row>
    <row r="938">
      <c r="C938" s="139"/>
      <c r="D938" s="303"/>
      <c r="F938" s="426"/>
      <c r="M938" s="89"/>
    </row>
    <row r="939">
      <c r="C939" s="139"/>
      <c r="D939" s="303"/>
      <c r="F939" s="426"/>
      <c r="M939" s="89"/>
    </row>
    <row r="940">
      <c r="C940" s="139"/>
      <c r="D940" s="303"/>
      <c r="F940" s="426"/>
      <c r="M940" s="89"/>
    </row>
    <row r="941">
      <c r="C941" s="139"/>
      <c r="D941" s="303"/>
      <c r="F941" s="426"/>
      <c r="M941" s="89"/>
    </row>
    <row r="942">
      <c r="C942" s="139"/>
      <c r="D942" s="303"/>
      <c r="F942" s="426"/>
      <c r="M942" s="89"/>
    </row>
    <row r="943">
      <c r="C943" s="139"/>
      <c r="D943" s="303"/>
      <c r="F943" s="426"/>
      <c r="M943" s="89"/>
    </row>
    <row r="944">
      <c r="C944" s="139"/>
      <c r="D944" s="303"/>
      <c r="F944" s="426"/>
      <c r="M944" s="89"/>
    </row>
    <row r="945">
      <c r="C945" s="139"/>
      <c r="D945" s="303"/>
      <c r="F945" s="426"/>
      <c r="M945" s="89"/>
    </row>
    <row r="946">
      <c r="C946" s="139"/>
      <c r="D946" s="303"/>
      <c r="F946" s="426"/>
      <c r="M946" s="89"/>
    </row>
    <row r="947">
      <c r="C947" s="139"/>
      <c r="D947" s="303"/>
      <c r="F947" s="426"/>
      <c r="M947" s="89"/>
    </row>
    <row r="948">
      <c r="C948" s="139"/>
      <c r="D948" s="303"/>
      <c r="F948" s="426"/>
      <c r="M948" s="89"/>
    </row>
    <row r="949">
      <c r="C949" s="139"/>
      <c r="D949" s="303"/>
      <c r="F949" s="426"/>
      <c r="M949" s="89"/>
    </row>
    <row r="950">
      <c r="C950" s="139"/>
      <c r="D950" s="303"/>
      <c r="F950" s="426"/>
      <c r="M950" s="89"/>
    </row>
    <row r="951">
      <c r="C951" s="139"/>
      <c r="D951" s="303"/>
      <c r="F951" s="426"/>
      <c r="M951" s="89"/>
    </row>
    <row r="952">
      <c r="C952" s="139"/>
      <c r="D952" s="303"/>
      <c r="F952" s="426"/>
      <c r="M952" s="89"/>
    </row>
    <row r="953">
      <c r="C953" s="139"/>
      <c r="D953" s="303"/>
      <c r="F953" s="426"/>
      <c r="M953" s="89"/>
    </row>
    <row r="954">
      <c r="C954" s="139"/>
      <c r="D954" s="303"/>
      <c r="F954" s="426"/>
      <c r="M954" s="89"/>
    </row>
    <row r="955">
      <c r="C955" s="139"/>
      <c r="D955" s="303"/>
      <c r="F955" s="426"/>
      <c r="M955" s="89"/>
    </row>
    <row r="956">
      <c r="C956" s="139"/>
      <c r="D956" s="303"/>
      <c r="F956" s="426"/>
      <c r="M956" s="89"/>
    </row>
    <row r="957">
      <c r="C957" s="139"/>
      <c r="D957" s="303"/>
      <c r="F957" s="426"/>
      <c r="M957" s="89"/>
    </row>
    <row r="958">
      <c r="C958" s="139"/>
      <c r="D958" s="303"/>
      <c r="F958" s="426"/>
      <c r="M958" s="89"/>
    </row>
    <row r="959">
      <c r="C959" s="139"/>
      <c r="D959" s="303"/>
      <c r="F959" s="426"/>
      <c r="M959" s="89"/>
    </row>
    <row r="960">
      <c r="C960" s="139"/>
      <c r="D960" s="303"/>
      <c r="F960" s="426"/>
      <c r="M960" s="89"/>
    </row>
    <row r="961">
      <c r="C961" s="139"/>
      <c r="D961" s="303"/>
      <c r="F961" s="426"/>
      <c r="M961" s="89"/>
    </row>
    <row r="962">
      <c r="C962" s="139"/>
      <c r="D962" s="303"/>
      <c r="F962" s="426"/>
      <c r="M962" s="89"/>
    </row>
    <row r="963">
      <c r="C963" s="139"/>
      <c r="D963" s="303"/>
      <c r="F963" s="426"/>
      <c r="M963" s="89"/>
    </row>
    <row r="964">
      <c r="C964" s="139"/>
      <c r="D964" s="303"/>
      <c r="F964" s="426"/>
      <c r="M964" s="89"/>
    </row>
    <row r="965">
      <c r="C965" s="139"/>
      <c r="D965" s="303"/>
      <c r="F965" s="426"/>
      <c r="M965" s="89"/>
    </row>
    <row r="966">
      <c r="C966" s="139"/>
      <c r="D966" s="303"/>
      <c r="F966" s="426"/>
      <c r="M966" s="89"/>
    </row>
    <row r="967">
      <c r="C967" s="139"/>
      <c r="D967" s="303"/>
      <c r="F967" s="426"/>
      <c r="M967" s="89"/>
    </row>
    <row r="968">
      <c r="C968" s="139"/>
      <c r="D968" s="303"/>
      <c r="F968" s="426"/>
      <c r="M968" s="89"/>
    </row>
    <row r="969">
      <c r="C969" s="139"/>
      <c r="D969" s="303"/>
      <c r="F969" s="426"/>
      <c r="M969" s="89"/>
    </row>
    <row r="970">
      <c r="C970" s="139"/>
      <c r="D970" s="303"/>
      <c r="F970" s="426"/>
      <c r="M970" s="89"/>
    </row>
    <row r="971">
      <c r="C971" s="139"/>
      <c r="D971" s="303"/>
      <c r="F971" s="426"/>
      <c r="M971" s="89"/>
    </row>
    <row r="972">
      <c r="C972" s="139"/>
      <c r="D972" s="303"/>
      <c r="F972" s="426"/>
      <c r="M972" s="89"/>
    </row>
    <row r="973">
      <c r="C973" s="139"/>
      <c r="D973" s="303"/>
      <c r="F973" s="426"/>
      <c r="M973" s="89"/>
    </row>
    <row r="974">
      <c r="C974" s="139"/>
      <c r="D974" s="303"/>
      <c r="F974" s="426"/>
      <c r="M974" s="89"/>
    </row>
    <row r="975">
      <c r="C975" s="139"/>
      <c r="D975" s="303"/>
      <c r="F975" s="426"/>
      <c r="M975" s="89"/>
    </row>
    <row r="976">
      <c r="C976" s="139"/>
      <c r="D976" s="303"/>
      <c r="F976" s="426"/>
      <c r="M976" s="89"/>
    </row>
    <row r="977">
      <c r="C977" s="139"/>
      <c r="D977" s="303"/>
      <c r="F977" s="426"/>
      <c r="M977" s="89"/>
    </row>
    <row r="978">
      <c r="C978" s="139"/>
      <c r="D978" s="303"/>
      <c r="F978" s="426"/>
      <c r="M978" s="89"/>
    </row>
    <row r="979">
      <c r="C979" s="139"/>
      <c r="D979" s="303"/>
      <c r="F979" s="426"/>
      <c r="M979" s="89"/>
    </row>
    <row r="980">
      <c r="C980" s="139"/>
      <c r="D980" s="303"/>
      <c r="F980" s="426"/>
      <c r="M980" s="89"/>
    </row>
    <row r="981">
      <c r="C981" s="139"/>
      <c r="D981" s="303"/>
      <c r="F981" s="426"/>
      <c r="M981" s="89"/>
    </row>
    <row r="982">
      <c r="C982" s="139"/>
      <c r="D982" s="303"/>
      <c r="F982" s="426"/>
      <c r="M982" s="89"/>
    </row>
    <row r="983">
      <c r="C983" s="139"/>
      <c r="D983" s="303"/>
      <c r="F983" s="426"/>
      <c r="M983" s="89"/>
    </row>
    <row r="984">
      <c r="C984" s="139"/>
      <c r="D984" s="303"/>
      <c r="F984" s="426"/>
      <c r="M984" s="89"/>
    </row>
    <row r="985">
      <c r="C985" s="139"/>
      <c r="D985" s="303"/>
      <c r="F985" s="426"/>
      <c r="M985" s="89"/>
    </row>
    <row r="986">
      <c r="C986" s="139"/>
      <c r="D986" s="303"/>
      <c r="F986" s="426"/>
      <c r="M986" s="89"/>
    </row>
    <row r="987">
      <c r="C987" s="139"/>
      <c r="D987" s="303"/>
      <c r="F987" s="426"/>
      <c r="M987" s="89"/>
    </row>
    <row r="988">
      <c r="C988" s="139"/>
      <c r="D988" s="303"/>
      <c r="F988" s="426"/>
      <c r="M988" s="89"/>
    </row>
    <row r="989">
      <c r="C989" s="139"/>
      <c r="D989" s="303"/>
      <c r="F989" s="426"/>
      <c r="M989" s="89"/>
    </row>
    <row r="990">
      <c r="C990" s="139"/>
      <c r="D990" s="303"/>
      <c r="F990" s="426"/>
      <c r="M990" s="89"/>
    </row>
    <row r="991">
      <c r="C991" s="139"/>
      <c r="D991" s="303"/>
      <c r="F991" s="426"/>
      <c r="M991" s="89"/>
    </row>
    <row r="992">
      <c r="C992" s="139"/>
      <c r="D992" s="303"/>
      <c r="F992" s="426"/>
      <c r="M992" s="89"/>
    </row>
    <row r="993">
      <c r="C993" s="139"/>
      <c r="D993" s="303"/>
      <c r="F993" s="426"/>
      <c r="M993" s="89"/>
    </row>
    <row r="994">
      <c r="C994" s="139"/>
      <c r="D994" s="303"/>
      <c r="F994" s="426"/>
      <c r="M994" s="89"/>
    </row>
    <row r="995">
      <c r="C995" s="139"/>
      <c r="D995" s="303"/>
      <c r="F995" s="426"/>
      <c r="M995" s="89"/>
    </row>
    <row r="996">
      <c r="C996" s="139"/>
      <c r="D996" s="303"/>
      <c r="F996" s="426"/>
      <c r="M996" s="89"/>
    </row>
    <row r="997">
      <c r="C997" s="139"/>
      <c r="D997" s="303"/>
      <c r="F997" s="426"/>
      <c r="M997" s="89"/>
    </row>
    <row r="998">
      <c r="C998" s="139"/>
      <c r="D998" s="303"/>
      <c r="F998" s="426"/>
      <c r="M998" s="89"/>
    </row>
    <row r="999">
      <c r="C999" s="139"/>
      <c r="D999" s="303"/>
      <c r="F999" s="426"/>
      <c r="M999" s="89"/>
    </row>
    <row r="1000">
      <c r="C1000" s="139"/>
      <c r="D1000" s="303"/>
      <c r="F1000" s="426"/>
      <c r="M1000" s="89"/>
    </row>
  </sheetData>
  <mergeCells count="2">
    <mergeCell ref="L1:M1"/>
    <mergeCell ref="O1:P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2" ref="C4"/>
    <hyperlink r:id="rId3" ref="C10"/>
    <hyperlink r:id="rId4" ref="C15"/>
    <hyperlink r:id="rId5" ref="C18"/>
    <hyperlink r:id="rId6" ref="C28"/>
    <hyperlink r:id="rId7" ref="C33"/>
    <hyperlink r:id="rId8" ref="C44"/>
    <hyperlink r:id="rId9" ref="C54"/>
    <hyperlink r:id="rId10" ref="C55"/>
    <hyperlink r:id="rId11" ref="C79"/>
    <hyperlink r:id="rId12" ref="C85"/>
    <hyperlink r:id="rId13" ref="C87"/>
    <hyperlink r:id="rId14" ref="D129"/>
    <hyperlink r:id="rId15" ref="D135"/>
  </hyperlinks>
  <drawing r:id="rId16"/>
  <legacyDrawing r:id="rId17"/>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2" max="2" width="10.57"/>
    <col customWidth="1" min="3" max="3" width="20.14"/>
    <col customWidth="1" min="5" max="5" width="10.43"/>
    <col customWidth="1" min="7" max="7" width="25.29"/>
    <col customWidth="1" min="8" max="9" width="21.71"/>
    <col customWidth="1" min="10" max="10" width="24.0"/>
  </cols>
  <sheetData>
    <row r="1" ht="15.0" customHeight="1" outlineLevel="1">
      <c r="A1" s="1" t="s">
        <v>0</v>
      </c>
      <c r="B1" s="2" t="s">
        <v>1</v>
      </c>
      <c r="C1" s="2" t="s">
        <v>2</v>
      </c>
      <c r="D1" s="2" t="s">
        <v>2</v>
      </c>
      <c r="E1" s="3"/>
      <c r="F1" s="30" t="s">
        <v>1577</v>
      </c>
      <c r="G1" s="430" t="s">
        <v>4</v>
      </c>
      <c r="H1" s="430" t="s">
        <v>5</v>
      </c>
      <c r="I1" s="430" t="s">
        <v>6</v>
      </c>
      <c r="J1" s="430" t="s">
        <v>7</v>
      </c>
      <c r="K1" s="433" t="s">
        <v>8</v>
      </c>
      <c r="L1" s="7" t="s">
        <v>9</v>
      </c>
      <c r="N1" s="10" t="s">
        <v>14</v>
      </c>
      <c r="P1" s="167"/>
      <c r="Q1" s="167"/>
      <c r="R1" s="2"/>
      <c r="S1" s="20"/>
      <c r="T1" s="20"/>
      <c r="U1" s="20"/>
      <c r="V1" s="20"/>
      <c r="W1" s="20"/>
      <c r="X1" s="20"/>
      <c r="Y1" s="20"/>
      <c r="Z1" s="20"/>
      <c r="AA1" s="20"/>
      <c r="AB1" s="20"/>
      <c r="AC1" s="20"/>
      <c r="AD1" s="20"/>
    </row>
    <row r="2" ht="16.5" customHeight="1" outlineLevel="1">
      <c r="A2" s="21" t="s">
        <v>492</v>
      </c>
      <c r="B2" s="21" t="s">
        <v>785</v>
      </c>
      <c r="C2" s="325" t="s">
        <v>108</v>
      </c>
      <c r="D2" s="436"/>
      <c r="E2" s="3"/>
      <c r="F2" s="168">
        <v>43467.0</v>
      </c>
      <c r="G2" s="437">
        <v>43586.0</v>
      </c>
      <c r="H2" s="439">
        <f>G2-TODAY()</f>
        <v>-149</v>
      </c>
      <c r="I2" s="437">
        <v>43474.0</v>
      </c>
      <c r="J2" s="437">
        <v>43622.0</v>
      </c>
      <c r="K2" s="435"/>
      <c r="L2" s="26">
        <f>CountIFS($E:$E,"=Dem",$A:$A,"=House")</f>
        <v>40</v>
      </c>
      <c r="M2" s="28">
        <f>CountIFS($E:$E,"=Rep",$A:$A,"=House")</f>
        <v>62</v>
      </c>
      <c r="N2" s="26">
        <f>CountIFS($E:$E,"=Dem",$A:$A,"=Senate")</f>
        <v>14</v>
      </c>
      <c r="O2" s="440">
        <f>CountIFS($E:$E,"=Rep",$A:$A,"=Senate")</f>
        <v>25</v>
      </c>
      <c r="P2" s="167"/>
      <c r="Q2" s="167"/>
      <c r="R2" s="2"/>
      <c r="S2" s="20"/>
      <c r="T2" s="20"/>
      <c r="U2" s="20"/>
      <c r="V2" s="20"/>
      <c r="W2" s="20"/>
      <c r="X2" s="20"/>
      <c r="Y2" s="20"/>
      <c r="Z2" s="20"/>
      <c r="AA2" s="20"/>
      <c r="AB2" s="20"/>
      <c r="AC2" s="20"/>
      <c r="AD2" s="20"/>
    </row>
    <row r="3">
      <c r="A3" s="30" t="s">
        <v>29</v>
      </c>
      <c r="B3" s="30" t="s">
        <v>30</v>
      </c>
      <c r="C3" s="2" t="s">
        <v>31</v>
      </c>
      <c r="D3" s="2" t="s">
        <v>32</v>
      </c>
      <c r="E3" s="3" t="s">
        <v>33</v>
      </c>
      <c r="F3" s="1" t="s">
        <v>10</v>
      </c>
      <c r="G3" s="433" t="s">
        <v>34</v>
      </c>
      <c r="H3" s="433" t="s">
        <v>34</v>
      </c>
      <c r="I3" s="433" t="s">
        <v>34</v>
      </c>
      <c r="J3" s="433" t="s">
        <v>34</v>
      </c>
      <c r="K3" s="433" t="s">
        <v>35</v>
      </c>
      <c r="L3" s="19" t="s">
        <v>36</v>
      </c>
      <c r="M3" s="19" t="s">
        <v>37</v>
      </c>
      <c r="N3" s="19" t="s">
        <v>38</v>
      </c>
      <c r="O3" s="442" t="s">
        <v>39</v>
      </c>
      <c r="P3" s="11" t="s">
        <v>40</v>
      </c>
      <c r="Q3" s="11" t="s">
        <v>41</v>
      </c>
      <c r="R3" s="13" t="s">
        <v>42</v>
      </c>
      <c r="S3" s="20"/>
      <c r="T3" s="20"/>
      <c r="U3" s="20"/>
      <c r="V3" s="20"/>
      <c r="W3" s="20"/>
      <c r="X3" s="20"/>
      <c r="Y3" s="20"/>
      <c r="Z3" s="20"/>
      <c r="AA3" s="20"/>
      <c r="AB3" s="20"/>
      <c r="AC3" s="20"/>
      <c r="AD3" s="20"/>
    </row>
    <row r="4">
      <c r="A4" s="14" t="s">
        <v>44</v>
      </c>
      <c r="B4" s="31">
        <v>1.0</v>
      </c>
      <c r="C4" s="35" t="s">
        <v>930</v>
      </c>
      <c r="D4" s="35" t="s">
        <v>617</v>
      </c>
      <c r="E4" s="51" t="s">
        <v>53</v>
      </c>
      <c r="F4" s="445"/>
      <c r="G4" s="446" t="s">
        <v>5580</v>
      </c>
      <c r="H4" s="446" t="s">
        <v>5581</v>
      </c>
      <c r="I4" s="446" t="s">
        <v>5582</v>
      </c>
      <c r="J4" s="446" t="s">
        <v>5583</v>
      </c>
      <c r="K4" s="447"/>
      <c r="L4" s="448" t="s">
        <v>5584</v>
      </c>
      <c r="M4" s="89" t="str">
        <f t="shared" ref="M4:M12" si="1">concatenate("larep00",B4,"@legis.la.gov")</f>
        <v>larep001@legis.la.gov</v>
      </c>
      <c r="N4" s="89"/>
      <c r="O4" s="450"/>
      <c r="P4" s="89"/>
      <c r="Q4" s="89"/>
      <c r="R4" s="452" t="s">
        <v>5588</v>
      </c>
    </row>
    <row r="5">
      <c r="A5" s="14" t="s">
        <v>44</v>
      </c>
      <c r="B5" s="31">
        <v>2.0</v>
      </c>
      <c r="C5" s="35" t="s">
        <v>3668</v>
      </c>
      <c r="D5" s="35" t="s">
        <v>5198</v>
      </c>
      <c r="E5" s="36" t="s">
        <v>49</v>
      </c>
      <c r="F5" s="445"/>
      <c r="G5" s="446" t="s">
        <v>5595</v>
      </c>
      <c r="H5" s="446" t="s">
        <v>5596</v>
      </c>
      <c r="I5" s="446" t="s">
        <v>5597</v>
      </c>
      <c r="J5" s="446" t="s">
        <v>5598</v>
      </c>
      <c r="K5" s="446"/>
      <c r="L5" s="448" t="s">
        <v>5599</v>
      </c>
      <c r="M5" s="89" t="str">
        <f t="shared" si="1"/>
        <v>larep002@legis.la.gov</v>
      </c>
      <c r="N5" s="89"/>
      <c r="O5" s="450"/>
      <c r="P5" s="89"/>
      <c r="Q5" s="89"/>
      <c r="R5" s="452" t="s">
        <v>5588</v>
      </c>
    </row>
    <row r="6">
      <c r="A6" s="14" t="s">
        <v>44</v>
      </c>
      <c r="B6" s="164">
        <v>3.0</v>
      </c>
      <c r="C6" s="35" t="s">
        <v>384</v>
      </c>
      <c r="D6" s="35" t="s">
        <v>5604</v>
      </c>
      <c r="E6" s="36" t="s">
        <v>49</v>
      </c>
      <c r="F6" s="445"/>
      <c r="G6" s="446" t="s">
        <v>5605</v>
      </c>
      <c r="H6" s="446" t="s">
        <v>5598</v>
      </c>
      <c r="I6" s="446" t="s">
        <v>5606</v>
      </c>
      <c r="J6" s="446" t="s">
        <v>5607</v>
      </c>
      <c r="K6" s="459"/>
      <c r="L6" s="448" t="s">
        <v>5608</v>
      </c>
      <c r="M6" s="89" t="str">
        <f t="shared" si="1"/>
        <v>larep003@legis.la.gov</v>
      </c>
      <c r="N6" s="89"/>
      <c r="O6" s="450"/>
      <c r="P6" s="89"/>
      <c r="Q6" s="89"/>
      <c r="R6" s="452" t="s">
        <v>5609</v>
      </c>
    </row>
    <row r="7">
      <c r="A7" s="14" t="s">
        <v>44</v>
      </c>
      <c r="B7" s="31">
        <v>4.0</v>
      </c>
      <c r="C7" s="35" t="s">
        <v>3463</v>
      </c>
      <c r="D7" s="35" t="s">
        <v>991</v>
      </c>
      <c r="E7" s="36" t="s">
        <v>49</v>
      </c>
      <c r="F7" s="445"/>
      <c r="G7" s="446" t="s">
        <v>652</v>
      </c>
      <c r="H7" s="446" t="s">
        <v>5613</v>
      </c>
      <c r="I7" s="446" t="s">
        <v>5598</v>
      </c>
      <c r="J7" s="446" t="s">
        <v>5614</v>
      </c>
      <c r="K7" s="459"/>
      <c r="L7" s="448" t="s">
        <v>5615</v>
      </c>
      <c r="M7" s="89" t="str">
        <f t="shared" si="1"/>
        <v>larep004@legis.la.gov</v>
      </c>
      <c r="N7" s="89"/>
      <c r="O7" s="450"/>
      <c r="P7" s="89"/>
      <c r="Q7" s="89"/>
      <c r="R7" s="452" t="s">
        <v>5609</v>
      </c>
    </row>
    <row r="8">
      <c r="A8" s="14" t="s">
        <v>44</v>
      </c>
      <c r="B8" s="31">
        <v>5.0</v>
      </c>
      <c r="C8" s="35" t="s">
        <v>551</v>
      </c>
      <c r="D8" s="35" t="s">
        <v>5616</v>
      </c>
      <c r="E8" s="51" t="s">
        <v>53</v>
      </c>
      <c r="F8" s="445"/>
      <c r="G8" s="446" t="s">
        <v>5596</v>
      </c>
      <c r="H8" s="446" t="s">
        <v>5613</v>
      </c>
      <c r="I8" s="446" t="s">
        <v>5617</v>
      </c>
      <c r="J8" s="446" t="s">
        <v>5583</v>
      </c>
      <c r="K8" s="459"/>
      <c r="L8" s="448" t="s">
        <v>5618</v>
      </c>
      <c r="M8" s="89" t="str">
        <f t="shared" si="1"/>
        <v>larep005@legis.la.gov</v>
      </c>
      <c r="N8" s="89"/>
      <c r="O8" s="450"/>
      <c r="P8" s="89"/>
      <c r="Q8" s="89"/>
      <c r="R8" s="452" t="s">
        <v>5609</v>
      </c>
    </row>
    <row r="9">
      <c r="A9" s="14" t="s">
        <v>44</v>
      </c>
      <c r="B9" s="31">
        <v>6.0</v>
      </c>
      <c r="C9" s="35" t="s">
        <v>561</v>
      </c>
      <c r="D9" s="35" t="s">
        <v>5622</v>
      </c>
      <c r="E9" s="51" t="s">
        <v>53</v>
      </c>
      <c r="F9" s="445"/>
      <c r="G9" s="313" t="s">
        <v>5624</v>
      </c>
      <c r="H9" s="446" t="s">
        <v>5625</v>
      </c>
      <c r="I9" s="446" t="s">
        <v>5626</v>
      </c>
      <c r="J9" s="446" t="s">
        <v>5628</v>
      </c>
      <c r="K9" s="459"/>
      <c r="L9" s="448" t="s">
        <v>5629</v>
      </c>
      <c r="M9" s="89" t="str">
        <f t="shared" si="1"/>
        <v>larep006@legis.la.gov</v>
      </c>
      <c r="N9" s="89"/>
      <c r="O9" s="450"/>
      <c r="P9" s="89"/>
      <c r="Q9" s="89"/>
      <c r="R9" s="452" t="s">
        <v>5588</v>
      </c>
    </row>
    <row r="10">
      <c r="A10" s="14" t="s">
        <v>44</v>
      </c>
      <c r="B10" s="31">
        <v>7.0</v>
      </c>
      <c r="C10" s="35" t="s">
        <v>839</v>
      </c>
      <c r="D10" s="35" t="s">
        <v>5633</v>
      </c>
      <c r="E10" s="51" t="s">
        <v>53</v>
      </c>
      <c r="F10" s="445"/>
      <c r="G10" s="446" t="s">
        <v>626</v>
      </c>
      <c r="H10" s="446" t="s">
        <v>5634</v>
      </c>
      <c r="I10" s="446" t="s">
        <v>5617</v>
      </c>
      <c r="J10" s="446" t="s">
        <v>5635</v>
      </c>
      <c r="K10" s="459"/>
      <c r="L10" s="448" t="s">
        <v>5636</v>
      </c>
      <c r="M10" s="89" t="str">
        <f t="shared" si="1"/>
        <v>larep007@legis.la.gov</v>
      </c>
      <c r="N10" s="89"/>
      <c r="O10" s="450"/>
      <c r="P10" s="89"/>
      <c r="Q10" s="89"/>
      <c r="R10" s="452" t="s">
        <v>5637</v>
      </c>
    </row>
    <row r="11">
      <c r="A11" s="14" t="s">
        <v>44</v>
      </c>
      <c r="B11" s="31">
        <v>8.0</v>
      </c>
      <c r="C11" s="35" t="s">
        <v>2609</v>
      </c>
      <c r="D11" s="35" t="s">
        <v>5638</v>
      </c>
      <c r="E11" s="51" t="s">
        <v>53</v>
      </c>
      <c r="F11" s="445"/>
      <c r="G11" s="446" t="s">
        <v>5605</v>
      </c>
      <c r="H11" s="446" t="s">
        <v>5596</v>
      </c>
      <c r="I11" s="446" t="s">
        <v>5617</v>
      </c>
      <c r="J11" s="446" t="s">
        <v>5582</v>
      </c>
      <c r="K11" s="459"/>
      <c r="L11" s="448" t="s">
        <v>5639</v>
      </c>
      <c r="M11" s="89" t="str">
        <f t="shared" si="1"/>
        <v>larep008@legis.la.gov</v>
      </c>
      <c r="N11" s="89"/>
      <c r="O11" s="450"/>
      <c r="P11" s="89"/>
      <c r="Q11" s="89"/>
      <c r="R11" s="452" t="s">
        <v>5640</v>
      </c>
    </row>
    <row r="12">
      <c r="A12" s="14" t="s">
        <v>44</v>
      </c>
      <c r="B12" s="31">
        <v>9.0</v>
      </c>
      <c r="C12" s="35" t="s">
        <v>5643</v>
      </c>
      <c r="D12" s="35" t="s">
        <v>5648</v>
      </c>
      <c r="E12" s="51" t="s">
        <v>53</v>
      </c>
      <c r="F12" s="445"/>
      <c r="G12" s="446" t="s">
        <v>5634</v>
      </c>
      <c r="H12" s="446" t="s">
        <v>5617</v>
      </c>
      <c r="I12" s="446" t="s">
        <v>3542</v>
      </c>
      <c r="J12" s="446" t="s">
        <v>5583</v>
      </c>
      <c r="K12" s="459"/>
      <c r="L12" s="448" t="s">
        <v>5649</v>
      </c>
      <c r="M12" s="89" t="str">
        <f t="shared" si="1"/>
        <v>larep009@legis.la.gov</v>
      </c>
      <c r="N12" s="89"/>
      <c r="O12" s="450"/>
      <c r="P12" s="89"/>
      <c r="Q12" s="89"/>
      <c r="R12" s="452" t="s">
        <v>5650</v>
      </c>
    </row>
    <row r="13">
      <c r="A13" s="14" t="s">
        <v>44</v>
      </c>
      <c r="B13" s="31">
        <v>10.0</v>
      </c>
      <c r="C13" s="35" t="s">
        <v>3242</v>
      </c>
      <c r="D13" s="35" t="s">
        <v>306</v>
      </c>
      <c r="E13" s="36" t="s">
        <v>49</v>
      </c>
      <c r="F13" s="445"/>
      <c r="G13" s="463"/>
      <c r="H13" s="463"/>
      <c r="I13" s="314"/>
      <c r="J13" s="314"/>
      <c r="K13" s="447" t="s">
        <v>5651</v>
      </c>
      <c r="L13" s="89"/>
      <c r="M13" s="89" t="str">
        <f t="shared" ref="M13:M102" si="2">concatenate("larep0",B13,"@legis.la.gov")</f>
        <v>larep010@legis.la.gov</v>
      </c>
      <c r="N13" s="89"/>
      <c r="O13" s="450"/>
      <c r="P13" s="89"/>
      <c r="Q13" s="89"/>
      <c r="R13" s="452" t="s">
        <v>5652</v>
      </c>
    </row>
    <row r="14">
      <c r="A14" s="14" t="s">
        <v>44</v>
      </c>
      <c r="B14" s="31">
        <v>11.0</v>
      </c>
      <c r="C14" s="38" t="s">
        <v>1914</v>
      </c>
      <c r="D14" s="35" t="s">
        <v>467</v>
      </c>
      <c r="E14" s="36" t="s">
        <v>49</v>
      </c>
      <c r="F14" s="445"/>
      <c r="G14" s="446" t="s">
        <v>5656</v>
      </c>
      <c r="H14" s="446" t="s">
        <v>652</v>
      </c>
      <c r="I14" s="446" t="s">
        <v>5657</v>
      </c>
      <c r="J14" s="446" t="s">
        <v>5658</v>
      </c>
      <c r="K14" s="447"/>
      <c r="L14" s="448" t="s">
        <v>5659</v>
      </c>
      <c r="M14" s="89" t="str">
        <f t="shared" si="2"/>
        <v>larep011@legis.la.gov</v>
      </c>
      <c r="N14" s="89"/>
      <c r="O14" s="450"/>
      <c r="P14" s="89"/>
      <c r="Q14" s="89"/>
      <c r="R14" s="452" t="s">
        <v>5660</v>
      </c>
    </row>
    <row r="15">
      <c r="A15" s="14" t="s">
        <v>44</v>
      </c>
      <c r="B15" s="31">
        <v>12.0</v>
      </c>
      <c r="C15" s="35" t="s">
        <v>1476</v>
      </c>
      <c r="D15" s="35" t="s">
        <v>5666</v>
      </c>
      <c r="E15" s="51" t="s">
        <v>53</v>
      </c>
      <c r="F15" s="445"/>
      <c r="G15" s="463"/>
      <c r="H15" s="463"/>
      <c r="I15" s="314"/>
      <c r="J15" s="314"/>
      <c r="K15" s="459" t="s">
        <v>5667</v>
      </c>
      <c r="L15" s="89"/>
      <c r="M15" s="89" t="str">
        <f t="shared" si="2"/>
        <v>larep012@legis.la.gov</v>
      </c>
      <c r="N15" s="89"/>
      <c r="O15" s="450"/>
      <c r="P15" s="89"/>
      <c r="Q15" s="89"/>
      <c r="R15" s="452" t="s">
        <v>5668</v>
      </c>
    </row>
    <row r="16">
      <c r="A16" s="14" t="s">
        <v>44</v>
      </c>
      <c r="B16" s="31">
        <v>13.0</v>
      </c>
      <c r="C16" s="35" t="s">
        <v>792</v>
      </c>
      <c r="D16" s="35" t="s">
        <v>5674</v>
      </c>
      <c r="E16" s="51" t="s">
        <v>53</v>
      </c>
      <c r="F16" s="445"/>
      <c r="G16" s="446" t="s">
        <v>626</v>
      </c>
      <c r="H16" s="446" t="s">
        <v>5617</v>
      </c>
      <c r="I16" s="446" t="s">
        <v>5581</v>
      </c>
      <c r="J16" s="446" t="s">
        <v>5635</v>
      </c>
      <c r="K16" s="459"/>
      <c r="L16" s="448" t="s">
        <v>5675</v>
      </c>
      <c r="M16" s="89" t="str">
        <f t="shared" si="2"/>
        <v>larep013@legis.la.gov</v>
      </c>
      <c r="N16" s="89"/>
      <c r="O16" s="450"/>
      <c r="P16" s="89"/>
      <c r="Q16" s="89"/>
      <c r="R16" s="452" t="s">
        <v>5676</v>
      </c>
    </row>
    <row r="17">
      <c r="A17" s="14" t="s">
        <v>44</v>
      </c>
      <c r="B17" s="31">
        <v>14.0</v>
      </c>
      <c r="C17" s="35" t="s">
        <v>1013</v>
      </c>
      <c r="D17" s="35" t="s">
        <v>617</v>
      </c>
      <c r="E17" s="51" t="s">
        <v>53</v>
      </c>
      <c r="F17" s="445"/>
      <c r="G17" s="446" t="s">
        <v>5678</v>
      </c>
      <c r="H17" s="446" t="s">
        <v>5597</v>
      </c>
      <c r="I17" s="446" t="s">
        <v>3542</v>
      </c>
      <c r="J17" s="446" t="s">
        <v>5583</v>
      </c>
      <c r="K17" s="447"/>
      <c r="L17" s="448" t="s">
        <v>5679</v>
      </c>
      <c r="M17" s="89" t="str">
        <f t="shared" si="2"/>
        <v>larep014@legis.la.gov</v>
      </c>
      <c r="N17" s="89"/>
      <c r="O17" s="450"/>
      <c r="P17" s="89"/>
      <c r="Q17" s="89"/>
      <c r="R17" s="452" t="s">
        <v>5680</v>
      </c>
    </row>
    <row r="18">
      <c r="A18" s="14" t="s">
        <v>44</v>
      </c>
      <c r="B18" s="31">
        <v>15.0</v>
      </c>
      <c r="C18" s="35" t="s">
        <v>1000</v>
      </c>
      <c r="D18" s="35" t="s">
        <v>5691</v>
      </c>
      <c r="E18" s="51" t="s">
        <v>53</v>
      </c>
      <c r="F18" s="445"/>
      <c r="G18" s="313" t="s">
        <v>5692</v>
      </c>
      <c r="H18" s="446" t="s">
        <v>5625</v>
      </c>
      <c r="I18" s="446" t="s">
        <v>5626</v>
      </c>
      <c r="J18" s="313" t="s">
        <v>5628</v>
      </c>
      <c r="K18" s="459"/>
      <c r="L18" s="448" t="s">
        <v>5693</v>
      </c>
      <c r="M18" s="89" t="str">
        <f t="shared" si="2"/>
        <v>larep015@legis.la.gov</v>
      </c>
      <c r="N18" s="89"/>
      <c r="O18" s="450"/>
      <c r="P18" s="89"/>
      <c r="Q18" s="89"/>
      <c r="R18" s="452" t="s">
        <v>5694</v>
      </c>
    </row>
    <row r="19">
      <c r="A19" s="14" t="s">
        <v>44</v>
      </c>
      <c r="B19" s="31">
        <v>16.0</v>
      </c>
      <c r="C19" s="35" t="s">
        <v>5695</v>
      </c>
      <c r="D19" s="35" t="s">
        <v>567</v>
      </c>
      <c r="E19" s="36" t="s">
        <v>49</v>
      </c>
      <c r="F19" s="445"/>
      <c r="G19" s="446" t="s">
        <v>5699</v>
      </c>
      <c r="H19" s="446" t="s">
        <v>5634</v>
      </c>
      <c r="I19" s="446" t="s">
        <v>5700</v>
      </c>
      <c r="J19" s="446" t="s">
        <v>5582</v>
      </c>
      <c r="K19" s="459"/>
      <c r="L19" s="448" t="s">
        <v>5702</v>
      </c>
      <c r="M19" s="89" t="str">
        <f t="shared" si="2"/>
        <v>larep016@legis.la.gov</v>
      </c>
      <c r="N19" s="89"/>
      <c r="O19" s="450"/>
      <c r="P19" s="89"/>
      <c r="Q19" s="89"/>
      <c r="R19" s="452" t="s">
        <v>5680</v>
      </c>
    </row>
    <row r="20">
      <c r="A20" s="14" t="s">
        <v>44</v>
      </c>
      <c r="B20" s="31">
        <v>17.0</v>
      </c>
      <c r="C20" s="35" t="s">
        <v>1161</v>
      </c>
      <c r="D20" s="35" t="s">
        <v>2354</v>
      </c>
      <c r="E20" s="36" t="s">
        <v>49</v>
      </c>
      <c r="G20" s="314"/>
      <c r="H20" s="314"/>
      <c r="I20" s="314"/>
      <c r="J20" s="314"/>
      <c r="K20" s="459" t="s">
        <v>5667</v>
      </c>
      <c r="L20" s="89"/>
      <c r="M20" s="89" t="str">
        <f t="shared" si="2"/>
        <v>larep017@legis.la.gov</v>
      </c>
      <c r="N20" s="89"/>
      <c r="O20" s="450"/>
      <c r="P20" s="89"/>
      <c r="Q20" s="89"/>
      <c r="R20" s="452" t="s">
        <v>5694</v>
      </c>
    </row>
    <row r="21">
      <c r="A21" s="14" t="s">
        <v>44</v>
      </c>
      <c r="B21" s="31">
        <v>18.0</v>
      </c>
      <c r="C21" s="35" t="s">
        <v>5706</v>
      </c>
      <c r="D21" s="35" t="s">
        <v>5708</v>
      </c>
      <c r="E21" s="36" t="s">
        <v>49</v>
      </c>
      <c r="G21" s="314"/>
      <c r="H21" s="314"/>
      <c r="I21" s="314"/>
      <c r="J21" s="314"/>
      <c r="K21" s="459" t="s">
        <v>5667</v>
      </c>
      <c r="L21" s="89"/>
      <c r="M21" s="89" t="str">
        <f t="shared" si="2"/>
        <v>larep018@legis.la.gov</v>
      </c>
      <c r="N21" s="89"/>
      <c r="O21" s="450"/>
      <c r="P21" s="89"/>
      <c r="Q21" s="89"/>
      <c r="R21" s="452" t="s">
        <v>5709</v>
      </c>
    </row>
    <row r="22">
      <c r="A22" s="14" t="s">
        <v>44</v>
      </c>
      <c r="B22" s="31">
        <v>19.0</v>
      </c>
      <c r="C22" s="35" t="s">
        <v>1287</v>
      </c>
      <c r="D22" s="35" t="s">
        <v>3779</v>
      </c>
      <c r="E22" s="51" t="s">
        <v>53</v>
      </c>
      <c r="G22" s="446" t="s">
        <v>626</v>
      </c>
      <c r="H22" s="446" t="s">
        <v>5634</v>
      </c>
      <c r="I22" s="446" t="s">
        <v>5719</v>
      </c>
      <c r="J22" s="446" t="s">
        <v>5607</v>
      </c>
      <c r="K22" s="447"/>
      <c r="L22" s="448" t="s">
        <v>5720</v>
      </c>
      <c r="M22" s="89" t="str">
        <f t="shared" si="2"/>
        <v>larep019@legis.la.gov</v>
      </c>
      <c r="N22" s="89"/>
      <c r="O22" s="450"/>
      <c r="P22" s="89"/>
      <c r="Q22" s="89"/>
      <c r="R22" s="452" t="s">
        <v>5722</v>
      </c>
    </row>
    <row r="23">
      <c r="A23" s="14" t="s">
        <v>44</v>
      </c>
      <c r="B23" s="31">
        <v>20.0</v>
      </c>
      <c r="C23" s="35" t="s">
        <v>55</v>
      </c>
      <c r="D23" s="35" t="s">
        <v>5726</v>
      </c>
      <c r="E23" s="51" t="s">
        <v>53</v>
      </c>
      <c r="G23" s="313" t="s">
        <v>5727</v>
      </c>
      <c r="H23" s="446" t="s">
        <v>626</v>
      </c>
      <c r="I23" s="446" t="s">
        <v>5719</v>
      </c>
      <c r="J23" s="446" t="s">
        <v>5635</v>
      </c>
      <c r="K23" s="447"/>
      <c r="L23" s="448" t="s">
        <v>5728</v>
      </c>
      <c r="M23" s="89" t="str">
        <f t="shared" si="2"/>
        <v>larep020@legis.la.gov</v>
      </c>
      <c r="N23" s="89"/>
      <c r="O23" s="450"/>
      <c r="P23" s="89"/>
      <c r="Q23" s="89"/>
      <c r="R23" s="452" t="s">
        <v>5729</v>
      </c>
    </row>
    <row r="24">
      <c r="A24" s="14" t="s">
        <v>44</v>
      </c>
      <c r="B24" s="31">
        <v>21.0</v>
      </c>
      <c r="C24" s="35" t="s">
        <v>109</v>
      </c>
      <c r="D24" s="35" t="s">
        <v>5731</v>
      </c>
      <c r="E24" s="36" t="s">
        <v>49</v>
      </c>
      <c r="G24" s="446" t="s">
        <v>5732</v>
      </c>
      <c r="H24" s="446" t="s">
        <v>652</v>
      </c>
      <c r="I24" s="446" t="s">
        <v>5613</v>
      </c>
      <c r="J24" s="446" t="s">
        <v>5614</v>
      </c>
      <c r="K24" s="447"/>
      <c r="L24" s="448" t="s">
        <v>5733</v>
      </c>
      <c r="M24" s="89" t="str">
        <f t="shared" si="2"/>
        <v>larep021@legis.la.gov</v>
      </c>
      <c r="N24" s="89"/>
      <c r="O24" s="450"/>
      <c r="P24" s="89"/>
      <c r="Q24" s="89"/>
      <c r="R24" s="452" t="s">
        <v>5734</v>
      </c>
    </row>
    <row r="25">
      <c r="A25" s="14" t="s">
        <v>44</v>
      </c>
      <c r="B25" s="31">
        <v>22.0</v>
      </c>
      <c r="C25" s="35" t="s">
        <v>1990</v>
      </c>
      <c r="D25" s="35" t="s">
        <v>447</v>
      </c>
      <c r="E25" s="65" t="s">
        <v>243</v>
      </c>
      <c r="G25" s="446" t="s">
        <v>5719</v>
      </c>
      <c r="H25" s="446" t="s">
        <v>5581</v>
      </c>
      <c r="I25" s="446" t="s">
        <v>5606</v>
      </c>
      <c r="J25" s="446" t="s">
        <v>5626</v>
      </c>
      <c r="K25" s="447"/>
      <c r="L25" s="448" t="s">
        <v>5741</v>
      </c>
      <c r="M25" s="89" t="str">
        <f t="shared" si="2"/>
        <v>larep022@legis.la.gov</v>
      </c>
      <c r="N25" s="89"/>
      <c r="O25" s="450"/>
      <c r="P25" s="89"/>
      <c r="Q25" s="89"/>
      <c r="R25" s="452" t="s">
        <v>5743</v>
      </c>
    </row>
    <row r="26">
      <c r="A26" s="14" t="s">
        <v>44</v>
      </c>
      <c r="B26" s="31">
        <v>23.0</v>
      </c>
      <c r="C26" s="35" t="s">
        <v>5745</v>
      </c>
      <c r="D26" s="35" t="s">
        <v>3708</v>
      </c>
      <c r="E26" s="36" t="s">
        <v>49</v>
      </c>
      <c r="G26" s="446" t="s">
        <v>5634</v>
      </c>
      <c r="H26" s="446" t="s">
        <v>652</v>
      </c>
      <c r="I26" s="446" t="s">
        <v>5617</v>
      </c>
      <c r="J26" s="446" t="s">
        <v>5614</v>
      </c>
      <c r="K26" s="459"/>
      <c r="L26" s="448" t="s">
        <v>5746</v>
      </c>
      <c r="M26" s="89" t="str">
        <f t="shared" si="2"/>
        <v>larep023@legis.la.gov</v>
      </c>
      <c r="N26" s="89"/>
      <c r="O26" s="450"/>
      <c r="P26" s="89"/>
      <c r="Q26" s="89"/>
      <c r="R26" s="452" t="s">
        <v>5747</v>
      </c>
    </row>
    <row r="27">
      <c r="A27" s="14" t="s">
        <v>44</v>
      </c>
      <c r="B27" s="31">
        <v>24.0</v>
      </c>
      <c r="C27" s="35" t="s">
        <v>1000</v>
      </c>
      <c r="D27" s="35" t="s">
        <v>297</v>
      </c>
      <c r="E27" s="51" t="s">
        <v>53</v>
      </c>
      <c r="G27" s="446" t="s">
        <v>5605</v>
      </c>
      <c r="H27" s="446" t="s">
        <v>5719</v>
      </c>
      <c r="I27" s="446" t="s">
        <v>5606</v>
      </c>
      <c r="J27" s="446" t="s">
        <v>5625</v>
      </c>
      <c r="K27" s="459"/>
      <c r="L27" s="448" t="s">
        <v>5750</v>
      </c>
      <c r="M27" s="89" t="str">
        <f t="shared" si="2"/>
        <v>larep024@legis.la.gov</v>
      </c>
      <c r="N27" s="89"/>
      <c r="O27" s="450"/>
      <c r="P27" s="89"/>
      <c r="Q27" s="89"/>
      <c r="R27" s="452" t="s">
        <v>5751</v>
      </c>
    </row>
    <row r="28">
      <c r="A28" s="14" t="s">
        <v>44</v>
      </c>
      <c r="B28" s="31">
        <v>25.0</v>
      </c>
      <c r="C28" s="35" t="s">
        <v>185</v>
      </c>
      <c r="D28" s="35" t="s">
        <v>2362</v>
      </c>
      <c r="E28" s="51" t="s">
        <v>53</v>
      </c>
      <c r="G28" s="446" t="s">
        <v>626</v>
      </c>
      <c r="H28" s="446" t="s">
        <v>5597</v>
      </c>
      <c r="I28" s="446" t="s">
        <v>5582</v>
      </c>
      <c r="J28" s="446" t="s">
        <v>5635</v>
      </c>
      <c r="K28" s="447"/>
      <c r="L28" s="448" t="s">
        <v>5753</v>
      </c>
      <c r="M28" s="89" t="str">
        <f t="shared" si="2"/>
        <v>larep025@legis.la.gov</v>
      </c>
      <c r="N28" s="89"/>
      <c r="O28" s="450"/>
      <c r="P28" s="89"/>
      <c r="Q28" s="89"/>
      <c r="R28" s="452" t="s">
        <v>5754</v>
      </c>
    </row>
    <row r="29">
      <c r="A29" s="14" t="s">
        <v>44</v>
      </c>
      <c r="B29" s="31">
        <v>26.0</v>
      </c>
      <c r="C29" s="35" t="s">
        <v>683</v>
      </c>
      <c r="D29" s="35" t="s">
        <v>293</v>
      </c>
      <c r="E29" s="36" t="s">
        <v>49</v>
      </c>
      <c r="G29" s="314"/>
      <c r="H29" s="314"/>
      <c r="I29" s="314"/>
      <c r="J29" s="314"/>
      <c r="K29" s="459" t="s">
        <v>5667</v>
      </c>
      <c r="L29" s="89"/>
      <c r="M29" s="89" t="str">
        <f t="shared" si="2"/>
        <v>larep026@legis.la.gov</v>
      </c>
      <c r="N29" s="89"/>
      <c r="O29" s="450"/>
      <c r="P29" s="89"/>
      <c r="Q29" s="89"/>
      <c r="R29" s="452" t="s">
        <v>5754</v>
      </c>
    </row>
    <row r="30">
      <c r="A30" s="14" t="s">
        <v>44</v>
      </c>
      <c r="B30" s="31">
        <v>27.0</v>
      </c>
      <c r="C30" s="35" t="s">
        <v>173</v>
      </c>
      <c r="D30" s="35" t="s">
        <v>5759</v>
      </c>
      <c r="E30" s="51" t="s">
        <v>53</v>
      </c>
      <c r="G30" s="314"/>
      <c r="H30" s="314"/>
      <c r="I30" s="314"/>
      <c r="J30" s="314"/>
      <c r="K30" s="459" t="s">
        <v>5667</v>
      </c>
      <c r="L30" s="89"/>
      <c r="M30" s="89" t="str">
        <f t="shared" si="2"/>
        <v>larep027@legis.la.gov</v>
      </c>
      <c r="N30" s="89"/>
      <c r="O30" s="450"/>
      <c r="P30" s="89"/>
      <c r="Q30" s="89"/>
      <c r="R30" s="452" t="s">
        <v>5754</v>
      </c>
    </row>
    <row r="31">
      <c r="A31" s="14" t="s">
        <v>44</v>
      </c>
      <c r="B31" s="31">
        <v>28.0</v>
      </c>
      <c r="C31" s="35" t="s">
        <v>1134</v>
      </c>
      <c r="D31" s="35" t="s">
        <v>118</v>
      </c>
      <c r="E31" s="36" t="s">
        <v>49</v>
      </c>
      <c r="G31" s="446" t="s">
        <v>5634</v>
      </c>
      <c r="H31" s="446" t="s">
        <v>781</v>
      </c>
      <c r="I31" s="446" t="s">
        <v>3542</v>
      </c>
      <c r="J31" s="446" t="s">
        <v>5763</v>
      </c>
      <c r="K31" s="447"/>
      <c r="L31" s="448" t="s">
        <v>5764</v>
      </c>
      <c r="M31" s="89" t="str">
        <f t="shared" si="2"/>
        <v>larep028@legis.la.gov</v>
      </c>
      <c r="N31" s="89"/>
      <c r="O31" s="450"/>
      <c r="P31" s="89"/>
      <c r="Q31" s="89"/>
      <c r="R31" s="452" t="s">
        <v>5765</v>
      </c>
    </row>
    <row r="32">
      <c r="A32" s="14" t="s">
        <v>44</v>
      </c>
      <c r="B32" s="31">
        <v>29.0</v>
      </c>
      <c r="C32" s="35" t="s">
        <v>4612</v>
      </c>
      <c r="D32" s="35" t="s">
        <v>1581</v>
      </c>
      <c r="E32" s="36" t="s">
        <v>49</v>
      </c>
      <c r="G32" s="446" t="s">
        <v>5719</v>
      </c>
      <c r="H32" s="446" t="s">
        <v>652</v>
      </c>
      <c r="I32" s="446" t="s">
        <v>5613</v>
      </c>
      <c r="J32" s="446" t="s">
        <v>5614</v>
      </c>
      <c r="K32" s="447"/>
      <c r="L32" s="448" t="s">
        <v>5769</v>
      </c>
      <c r="M32" s="89" t="str">
        <f t="shared" si="2"/>
        <v>larep029@legis.la.gov</v>
      </c>
      <c r="N32" s="89"/>
      <c r="O32" s="450"/>
      <c r="P32" s="89"/>
      <c r="Q32" s="89"/>
      <c r="R32" s="452" t="s">
        <v>5770</v>
      </c>
    </row>
    <row r="33">
      <c r="A33" s="14" t="s">
        <v>44</v>
      </c>
      <c r="B33" s="31">
        <v>30.0</v>
      </c>
      <c r="C33" s="35" t="s">
        <v>930</v>
      </c>
      <c r="D33" s="35" t="s">
        <v>5776</v>
      </c>
      <c r="E33" s="36" t="s">
        <v>49</v>
      </c>
      <c r="G33" s="446" t="s">
        <v>626</v>
      </c>
      <c r="H33" s="446" t="s">
        <v>5581</v>
      </c>
      <c r="I33" s="446" t="s">
        <v>5778</v>
      </c>
      <c r="J33" s="446" t="s">
        <v>5635</v>
      </c>
      <c r="K33" s="447"/>
      <c r="L33" s="448" t="s">
        <v>5779</v>
      </c>
      <c r="M33" s="89" t="str">
        <f t="shared" si="2"/>
        <v>larep030@legis.la.gov</v>
      </c>
      <c r="N33" s="89"/>
      <c r="O33" s="450"/>
      <c r="P33" s="89"/>
      <c r="Q33" s="89"/>
      <c r="R33" s="452" t="s">
        <v>5780</v>
      </c>
    </row>
    <row r="34">
      <c r="A34" s="14" t="s">
        <v>44</v>
      </c>
      <c r="B34" s="31">
        <v>31.0</v>
      </c>
      <c r="C34" s="35" t="s">
        <v>123</v>
      </c>
      <c r="D34" s="35" t="s">
        <v>5784</v>
      </c>
      <c r="E34" s="51" t="s">
        <v>53</v>
      </c>
      <c r="G34" s="446" t="s">
        <v>5786</v>
      </c>
      <c r="H34" s="446" t="s">
        <v>5787</v>
      </c>
      <c r="I34" s="446" t="s">
        <v>5788</v>
      </c>
      <c r="J34" s="446" t="s">
        <v>5625</v>
      </c>
      <c r="K34" s="447"/>
      <c r="L34" s="448" t="s">
        <v>5789</v>
      </c>
      <c r="M34" s="89" t="str">
        <f t="shared" si="2"/>
        <v>larep031@legis.la.gov</v>
      </c>
      <c r="N34" s="89"/>
      <c r="O34" s="450"/>
      <c r="P34" s="89"/>
      <c r="Q34" s="89"/>
      <c r="R34" s="452" t="s">
        <v>5790</v>
      </c>
    </row>
    <row r="35">
      <c r="A35" s="14" t="s">
        <v>44</v>
      </c>
      <c r="B35" s="31">
        <v>32.0</v>
      </c>
      <c r="C35" s="35" t="s">
        <v>3755</v>
      </c>
      <c r="D35" s="35" t="s">
        <v>485</v>
      </c>
      <c r="E35" s="36" t="s">
        <v>49</v>
      </c>
      <c r="G35" s="446" t="s">
        <v>5719</v>
      </c>
      <c r="H35" s="446" t="s">
        <v>5597</v>
      </c>
      <c r="I35" s="446" t="s">
        <v>5606</v>
      </c>
      <c r="J35" s="446" t="s">
        <v>5607</v>
      </c>
      <c r="K35" s="447"/>
      <c r="L35" s="448" t="s">
        <v>5794</v>
      </c>
      <c r="M35" s="89" t="str">
        <f t="shared" si="2"/>
        <v>larep032@legis.la.gov</v>
      </c>
      <c r="N35" s="89"/>
      <c r="O35" s="450"/>
      <c r="P35" s="89"/>
      <c r="Q35" s="89"/>
      <c r="R35" s="452" t="s">
        <v>5795</v>
      </c>
    </row>
    <row r="36">
      <c r="A36" s="14" t="s">
        <v>44</v>
      </c>
      <c r="B36" s="31">
        <v>33.0</v>
      </c>
      <c r="C36" s="35" t="s">
        <v>4471</v>
      </c>
      <c r="D36" s="35" t="s">
        <v>5796</v>
      </c>
      <c r="E36" s="51" t="s">
        <v>53</v>
      </c>
      <c r="G36" s="446" t="s">
        <v>5625</v>
      </c>
      <c r="H36" s="314"/>
      <c r="I36" s="314"/>
      <c r="J36" s="314"/>
      <c r="K36" s="459" t="s">
        <v>5797</v>
      </c>
      <c r="L36" s="448" t="s">
        <v>5798</v>
      </c>
      <c r="M36" s="89" t="str">
        <f t="shared" si="2"/>
        <v>larep033@legis.la.gov</v>
      </c>
      <c r="N36" s="89"/>
      <c r="O36" s="450"/>
      <c r="P36" s="89"/>
      <c r="Q36" s="89"/>
      <c r="R36" s="452" t="s">
        <v>5799</v>
      </c>
    </row>
    <row r="37">
      <c r="A37" s="14" t="s">
        <v>44</v>
      </c>
      <c r="B37" s="31">
        <v>34.0</v>
      </c>
      <c r="C37" s="35" t="s">
        <v>5800</v>
      </c>
      <c r="D37" s="35" t="s">
        <v>2670</v>
      </c>
      <c r="E37" s="36" t="s">
        <v>49</v>
      </c>
      <c r="G37" s="446" t="s">
        <v>5606</v>
      </c>
      <c r="H37" s="446" t="s">
        <v>5787</v>
      </c>
      <c r="I37" s="446" t="s">
        <v>5657</v>
      </c>
      <c r="J37" s="446" t="s">
        <v>5658</v>
      </c>
      <c r="K37" s="459"/>
      <c r="L37" s="448" t="s">
        <v>5806</v>
      </c>
      <c r="M37" s="89" t="str">
        <f t="shared" si="2"/>
        <v>larep034@legis.la.gov</v>
      </c>
      <c r="N37" s="89"/>
      <c r="O37" s="450"/>
      <c r="P37" s="89"/>
      <c r="Q37" s="89"/>
      <c r="R37" s="452" t="s">
        <v>5799</v>
      </c>
    </row>
    <row r="38">
      <c r="A38" s="14" t="s">
        <v>44</v>
      </c>
      <c r="B38" s="31">
        <v>35.0</v>
      </c>
      <c r="C38" s="35" t="s">
        <v>1505</v>
      </c>
      <c r="D38" s="35" t="s">
        <v>1402</v>
      </c>
      <c r="E38" s="51" t="s">
        <v>53</v>
      </c>
      <c r="G38" s="446" t="s">
        <v>5605</v>
      </c>
      <c r="H38" s="446" t="s">
        <v>3542</v>
      </c>
      <c r="I38" s="446" t="s">
        <v>5598</v>
      </c>
      <c r="J38" s="446" t="s">
        <v>5582</v>
      </c>
      <c r="K38" s="459"/>
      <c r="L38" s="448" t="s">
        <v>5807</v>
      </c>
      <c r="M38" s="89" t="str">
        <f t="shared" si="2"/>
        <v>larep035@legis.la.gov</v>
      </c>
      <c r="N38" s="89"/>
      <c r="O38" s="450"/>
      <c r="P38" s="89"/>
      <c r="Q38" s="89"/>
      <c r="R38" s="452" t="s">
        <v>5809</v>
      </c>
    </row>
    <row r="39">
      <c r="A39" s="14" t="s">
        <v>44</v>
      </c>
      <c r="B39" s="31">
        <v>36.0</v>
      </c>
      <c r="C39" s="35" t="s">
        <v>91</v>
      </c>
      <c r="D39" s="35" t="s">
        <v>5814</v>
      </c>
      <c r="E39" s="51" t="s">
        <v>53</v>
      </c>
      <c r="G39" s="446" t="s">
        <v>626</v>
      </c>
      <c r="H39" s="446" t="s">
        <v>5613</v>
      </c>
      <c r="I39" s="446" t="s">
        <v>5816</v>
      </c>
      <c r="J39" s="446" t="s">
        <v>5635</v>
      </c>
      <c r="K39" s="459"/>
      <c r="L39" s="448" t="s">
        <v>5817</v>
      </c>
      <c r="M39" s="89" t="str">
        <f t="shared" si="2"/>
        <v>larep036@legis.la.gov</v>
      </c>
      <c r="N39" s="89"/>
      <c r="O39" s="450"/>
      <c r="P39" s="89"/>
      <c r="Q39" s="89"/>
      <c r="R39" s="452" t="s">
        <v>5799</v>
      </c>
    </row>
    <row r="40">
      <c r="A40" s="14" t="s">
        <v>44</v>
      </c>
      <c r="B40" s="31">
        <v>37.0</v>
      </c>
      <c r="C40" s="35" t="s">
        <v>278</v>
      </c>
      <c r="D40" s="35" t="s">
        <v>5818</v>
      </c>
      <c r="E40" s="51" t="s">
        <v>53</v>
      </c>
      <c r="G40" s="446" t="s">
        <v>5719</v>
      </c>
      <c r="H40" s="446" t="s">
        <v>5581</v>
      </c>
      <c r="I40" s="446" t="s">
        <v>5606</v>
      </c>
      <c r="J40" s="446" t="s">
        <v>5787</v>
      </c>
      <c r="K40" s="459"/>
      <c r="L40" s="448" t="s">
        <v>5819</v>
      </c>
      <c r="M40" s="89" t="str">
        <f t="shared" si="2"/>
        <v>larep037@legis.la.gov</v>
      </c>
      <c r="N40" s="89"/>
      <c r="O40" s="450"/>
      <c r="P40" s="89"/>
      <c r="Q40" s="89"/>
      <c r="R40" s="452" t="s">
        <v>5820</v>
      </c>
    </row>
    <row r="41">
      <c r="A41" s="14" t="s">
        <v>44</v>
      </c>
      <c r="B41" s="31">
        <v>38.0</v>
      </c>
      <c r="C41" s="35" t="s">
        <v>5825</v>
      </c>
      <c r="D41" s="35" t="s">
        <v>5826</v>
      </c>
      <c r="E41" s="36" t="s">
        <v>49</v>
      </c>
      <c r="G41" s="446" t="s">
        <v>5634</v>
      </c>
      <c r="H41" s="446" t="s">
        <v>5719</v>
      </c>
      <c r="I41" s="446" t="s">
        <v>5606</v>
      </c>
      <c r="J41" s="446" t="s">
        <v>5763</v>
      </c>
      <c r="K41" s="447"/>
      <c r="L41" s="448" t="s">
        <v>5827</v>
      </c>
      <c r="M41" s="89" t="str">
        <f t="shared" si="2"/>
        <v>larep038@legis.la.gov</v>
      </c>
      <c r="N41" s="89"/>
      <c r="O41" s="450"/>
      <c r="P41" s="89"/>
      <c r="Q41" s="89"/>
      <c r="R41" s="452" t="s">
        <v>5829</v>
      </c>
    </row>
    <row r="42">
      <c r="A42" s="14" t="s">
        <v>44</v>
      </c>
      <c r="B42" s="31">
        <v>39.0</v>
      </c>
      <c r="C42" s="35" t="s">
        <v>2133</v>
      </c>
      <c r="D42" s="35" t="s">
        <v>5830</v>
      </c>
      <c r="E42" s="51" t="s">
        <v>53</v>
      </c>
      <c r="G42" s="446" t="s">
        <v>5719</v>
      </c>
      <c r="H42" s="446" t="s">
        <v>5596</v>
      </c>
      <c r="I42" s="446" t="s">
        <v>515</v>
      </c>
      <c r="J42" s="446" t="s">
        <v>5763</v>
      </c>
      <c r="K42" s="459"/>
      <c r="L42" s="448" t="s">
        <v>5831</v>
      </c>
      <c r="M42" s="89" t="str">
        <f t="shared" si="2"/>
        <v>larep039@legis.la.gov</v>
      </c>
      <c r="N42" s="89"/>
      <c r="O42" s="450"/>
      <c r="P42" s="89"/>
      <c r="Q42" s="89"/>
      <c r="R42" s="452" t="s">
        <v>5832</v>
      </c>
    </row>
    <row r="43">
      <c r="A43" s="14" t="s">
        <v>44</v>
      </c>
      <c r="B43" s="31">
        <v>40.0</v>
      </c>
      <c r="C43" s="35" t="s">
        <v>5389</v>
      </c>
      <c r="D43" s="35" t="s">
        <v>1501</v>
      </c>
      <c r="E43" s="36" t="s">
        <v>49</v>
      </c>
      <c r="G43" s="446" t="s">
        <v>626</v>
      </c>
      <c r="H43" s="446" t="s">
        <v>5634</v>
      </c>
      <c r="I43" s="446" t="s">
        <v>5719</v>
      </c>
      <c r="J43" s="446" t="s">
        <v>5763</v>
      </c>
      <c r="K43" s="459"/>
      <c r="L43" s="448" t="s">
        <v>5837</v>
      </c>
      <c r="M43" s="89" t="str">
        <f t="shared" si="2"/>
        <v>larep040@legis.la.gov</v>
      </c>
      <c r="N43" s="89"/>
      <c r="O43" s="450"/>
      <c r="P43" s="89"/>
      <c r="Q43" s="89"/>
      <c r="R43" s="452" t="s">
        <v>5838</v>
      </c>
    </row>
    <row r="44">
      <c r="A44" s="14" t="s">
        <v>44</v>
      </c>
      <c r="B44" s="31">
        <v>41.0</v>
      </c>
      <c r="C44" s="35" t="s">
        <v>50</v>
      </c>
      <c r="D44" s="35" t="s">
        <v>5839</v>
      </c>
      <c r="E44" s="51" t="s">
        <v>53</v>
      </c>
      <c r="G44" s="446" t="s">
        <v>5719</v>
      </c>
      <c r="H44" s="446" t="s">
        <v>5581</v>
      </c>
      <c r="I44" s="446" t="s">
        <v>3542</v>
      </c>
      <c r="J44" s="446" t="s">
        <v>5763</v>
      </c>
      <c r="K44" s="447"/>
      <c r="L44" s="448" t="s">
        <v>5840</v>
      </c>
      <c r="M44" s="89" t="str">
        <f t="shared" si="2"/>
        <v>larep041@legis.la.gov</v>
      </c>
      <c r="N44" s="89"/>
      <c r="O44" s="450"/>
      <c r="P44" s="89"/>
      <c r="Q44" s="89"/>
      <c r="R44" s="452" t="s">
        <v>5841</v>
      </c>
    </row>
    <row r="45">
      <c r="A45" s="14" t="s">
        <v>44</v>
      </c>
      <c r="B45" s="31">
        <v>42.0</v>
      </c>
      <c r="C45" s="35" t="s">
        <v>278</v>
      </c>
      <c r="D45" s="35" t="s">
        <v>5844</v>
      </c>
      <c r="E45" s="51" t="s">
        <v>53</v>
      </c>
      <c r="G45" s="446" t="s">
        <v>5605</v>
      </c>
      <c r="H45" s="446" t="s">
        <v>5719</v>
      </c>
      <c r="I45" s="446" t="s">
        <v>3542</v>
      </c>
      <c r="J45" s="446" t="s">
        <v>5787</v>
      </c>
      <c r="K45" s="459"/>
      <c r="L45" s="448" t="s">
        <v>5845</v>
      </c>
      <c r="M45" s="89" t="str">
        <f t="shared" si="2"/>
        <v>larep042@legis.la.gov</v>
      </c>
      <c r="N45" s="89"/>
      <c r="O45" s="450"/>
      <c r="P45" s="89"/>
      <c r="Q45" s="89"/>
      <c r="R45" s="452" t="s">
        <v>5847</v>
      </c>
    </row>
    <row r="46">
      <c r="A46" s="14" t="s">
        <v>44</v>
      </c>
      <c r="B46" s="31">
        <v>43.0</v>
      </c>
      <c r="C46" s="35" t="s">
        <v>4471</v>
      </c>
      <c r="D46" s="35" t="s">
        <v>302</v>
      </c>
      <c r="E46" s="51" t="s">
        <v>53</v>
      </c>
      <c r="G46" s="313" t="s">
        <v>5852</v>
      </c>
      <c r="H46" s="446" t="s">
        <v>5787</v>
      </c>
      <c r="I46" s="446" t="s">
        <v>5625</v>
      </c>
      <c r="J46" s="314"/>
      <c r="K46" s="459"/>
      <c r="L46" s="448" t="s">
        <v>5854</v>
      </c>
      <c r="M46" s="89" t="str">
        <f t="shared" si="2"/>
        <v>larep043@legis.la.gov</v>
      </c>
      <c r="N46" s="89"/>
      <c r="O46" s="450"/>
      <c r="P46" s="89"/>
      <c r="Q46" s="89"/>
      <c r="R46" s="452" t="s">
        <v>1710</v>
      </c>
    </row>
    <row r="47">
      <c r="A47" s="14" t="s">
        <v>44</v>
      </c>
      <c r="B47" s="31">
        <v>44.0</v>
      </c>
      <c r="C47" s="35" t="s">
        <v>2635</v>
      </c>
      <c r="D47" s="35" t="s">
        <v>5858</v>
      </c>
      <c r="E47" s="36" t="s">
        <v>49</v>
      </c>
      <c r="G47" s="446" t="s">
        <v>5613</v>
      </c>
      <c r="H47" s="446" t="s">
        <v>5617</v>
      </c>
      <c r="I47" s="446" t="s">
        <v>5606</v>
      </c>
      <c r="J47" s="446" t="s">
        <v>5859</v>
      </c>
      <c r="K47" s="459"/>
      <c r="L47" s="448" t="s">
        <v>5860</v>
      </c>
      <c r="M47" s="89" t="str">
        <f t="shared" si="2"/>
        <v>larep044@legis.la.gov</v>
      </c>
      <c r="N47" s="89"/>
      <c r="O47" s="450"/>
      <c r="P47" s="89"/>
      <c r="Q47" s="89"/>
      <c r="R47" s="452" t="s">
        <v>1710</v>
      </c>
    </row>
    <row r="48">
      <c r="A48" s="14" t="s">
        <v>44</v>
      </c>
      <c r="B48" s="31">
        <v>45.0</v>
      </c>
      <c r="C48" s="35" t="s">
        <v>5861</v>
      </c>
      <c r="D48" s="35" t="s">
        <v>5862</v>
      </c>
      <c r="E48" s="51" t="s">
        <v>53</v>
      </c>
      <c r="G48" s="446" t="s">
        <v>781</v>
      </c>
      <c r="H48" s="446" t="s">
        <v>652</v>
      </c>
      <c r="I48" s="446" t="s">
        <v>5581</v>
      </c>
      <c r="J48" s="446" t="s">
        <v>5614</v>
      </c>
      <c r="K48" s="459"/>
      <c r="L48" s="448" t="s">
        <v>5863</v>
      </c>
      <c r="M48" s="89" t="str">
        <f t="shared" si="2"/>
        <v>larep045@legis.la.gov</v>
      </c>
      <c r="N48" s="89"/>
      <c r="O48" s="450"/>
      <c r="P48" s="89"/>
      <c r="Q48" s="89"/>
      <c r="R48" s="452" t="s">
        <v>1710</v>
      </c>
    </row>
    <row r="49">
      <c r="A49" s="14" t="s">
        <v>44</v>
      </c>
      <c r="B49" s="31">
        <v>46.0</v>
      </c>
      <c r="C49" s="35" t="s">
        <v>157</v>
      </c>
      <c r="D49" s="35" t="s">
        <v>5866</v>
      </c>
      <c r="E49" s="51" t="s">
        <v>53</v>
      </c>
      <c r="G49" s="446" t="s">
        <v>5867</v>
      </c>
      <c r="H49" s="446" t="s">
        <v>5613</v>
      </c>
      <c r="I49" s="446" t="s">
        <v>3542</v>
      </c>
      <c r="J49" s="446" t="s">
        <v>5763</v>
      </c>
      <c r="K49" s="459"/>
      <c r="L49" s="448" t="s">
        <v>5868</v>
      </c>
      <c r="M49" s="89" t="str">
        <f t="shared" si="2"/>
        <v>larep046@legis.la.gov</v>
      </c>
      <c r="N49" s="89"/>
      <c r="O49" s="450"/>
      <c r="P49" s="89"/>
      <c r="Q49" s="89"/>
      <c r="R49" s="452" t="s">
        <v>5869</v>
      </c>
    </row>
    <row r="50">
      <c r="A50" s="14" t="s">
        <v>44</v>
      </c>
      <c r="B50" s="31">
        <v>47.0</v>
      </c>
      <c r="C50" s="35" t="s">
        <v>419</v>
      </c>
      <c r="D50" s="35" t="s">
        <v>5870</v>
      </c>
      <c r="E50" s="51" t="s">
        <v>53</v>
      </c>
      <c r="G50" s="314"/>
      <c r="H50" s="314"/>
      <c r="I50" s="314"/>
      <c r="J50" s="314"/>
      <c r="K50" s="459" t="s">
        <v>5667</v>
      </c>
      <c r="L50" s="89"/>
      <c r="M50" s="89" t="str">
        <f t="shared" si="2"/>
        <v>larep047@legis.la.gov</v>
      </c>
      <c r="N50" s="89"/>
      <c r="O50" s="450"/>
      <c r="P50" s="89"/>
      <c r="Q50" s="89"/>
      <c r="R50" s="452" t="s">
        <v>5872</v>
      </c>
    </row>
    <row r="51">
      <c r="A51" s="14" t="s">
        <v>44</v>
      </c>
      <c r="B51" s="31">
        <v>48.0</v>
      </c>
      <c r="C51" s="35" t="s">
        <v>4255</v>
      </c>
      <c r="D51" s="35" t="s">
        <v>5877</v>
      </c>
      <c r="E51" s="51" t="s">
        <v>53</v>
      </c>
      <c r="F51" s="14" t="s">
        <v>1056</v>
      </c>
      <c r="G51" s="446" t="s">
        <v>5878</v>
      </c>
      <c r="H51" s="446" t="s">
        <v>5879</v>
      </c>
      <c r="I51" s="446" t="s">
        <v>5880</v>
      </c>
      <c r="J51" s="446" t="s">
        <v>5881</v>
      </c>
      <c r="K51" s="447"/>
      <c r="L51" s="448" t="s">
        <v>5883</v>
      </c>
      <c r="M51" s="89" t="str">
        <f t="shared" si="2"/>
        <v>larep048@legis.la.gov</v>
      </c>
      <c r="N51" s="89"/>
      <c r="O51" s="450"/>
      <c r="P51" s="89"/>
      <c r="Q51" s="89"/>
      <c r="R51" s="452" t="s">
        <v>5885</v>
      </c>
    </row>
    <row r="52">
      <c r="A52" s="14" t="s">
        <v>44</v>
      </c>
      <c r="B52" s="31">
        <v>49.0</v>
      </c>
      <c r="C52" s="35" t="s">
        <v>1288</v>
      </c>
      <c r="D52" s="35" t="s">
        <v>5891</v>
      </c>
      <c r="E52" s="51" t="s">
        <v>53</v>
      </c>
      <c r="G52" s="446" t="s">
        <v>626</v>
      </c>
      <c r="H52" s="446" t="s">
        <v>5617</v>
      </c>
      <c r="I52" s="446" t="s">
        <v>5581</v>
      </c>
      <c r="J52" s="446" t="s">
        <v>5763</v>
      </c>
      <c r="K52" s="459"/>
      <c r="L52" s="448" t="s">
        <v>5892</v>
      </c>
      <c r="M52" s="89" t="str">
        <f t="shared" si="2"/>
        <v>larep049@legis.la.gov</v>
      </c>
      <c r="N52" s="89"/>
      <c r="O52" s="450"/>
      <c r="P52" s="89"/>
      <c r="Q52" s="89"/>
      <c r="R52" s="452" t="s">
        <v>5893</v>
      </c>
    </row>
    <row r="53">
      <c r="A53" s="14" t="s">
        <v>44</v>
      </c>
      <c r="B53" s="31">
        <v>50.0</v>
      </c>
      <c r="C53" s="35" t="s">
        <v>224</v>
      </c>
      <c r="D53" s="35" t="s">
        <v>706</v>
      </c>
      <c r="E53" s="36" t="s">
        <v>49</v>
      </c>
      <c r="G53" s="446" t="s">
        <v>5894</v>
      </c>
      <c r="H53" s="446" t="s">
        <v>5763</v>
      </c>
      <c r="I53" s="446" t="s">
        <v>5787</v>
      </c>
      <c r="J53" s="446" t="s">
        <v>5657</v>
      </c>
      <c r="K53" s="459"/>
      <c r="L53" s="448" t="s">
        <v>5895</v>
      </c>
      <c r="M53" s="89" t="str">
        <f t="shared" si="2"/>
        <v>larep050@legis.la.gov</v>
      </c>
      <c r="N53" s="89"/>
      <c r="O53" s="450"/>
      <c r="P53" s="89"/>
      <c r="Q53" s="89"/>
      <c r="R53" s="452" t="s">
        <v>5896</v>
      </c>
    </row>
    <row r="54">
      <c r="A54" s="14" t="s">
        <v>44</v>
      </c>
      <c r="B54" s="31">
        <v>51.0</v>
      </c>
      <c r="C54" s="35" t="s">
        <v>5899</v>
      </c>
      <c r="D54" s="35" t="s">
        <v>5902</v>
      </c>
      <c r="E54" s="51" t="s">
        <v>53</v>
      </c>
      <c r="G54" s="446" t="s">
        <v>626</v>
      </c>
      <c r="H54" s="446" t="s">
        <v>515</v>
      </c>
      <c r="I54" s="446" t="s">
        <v>5617</v>
      </c>
      <c r="J54" s="446" t="s">
        <v>5763</v>
      </c>
      <c r="K54" s="447"/>
      <c r="L54" s="448" t="s">
        <v>5903</v>
      </c>
      <c r="M54" s="89" t="str">
        <f t="shared" si="2"/>
        <v>larep051@legis.la.gov</v>
      </c>
      <c r="N54" s="89"/>
      <c r="O54" s="450"/>
      <c r="P54" s="89"/>
      <c r="Q54" s="89"/>
      <c r="R54" s="452" t="s">
        <v>5904</v>
      </c>
    </row>
    <row r="55">
      <c r="A55" s="14" t="s">
        <v>44</v>
      </c>
      <c r="B55" s="31">
        <v>52.0</v>
      </c>
      <c r="C55" s="35" t="s">
        <v>3900</v>
      </c>
      <c r="D55" s="35" t="s">
        <v>5907</v>
      </c>
      <c r="E55" s="51" t="s">
        <v>53</v>
      </c>
      <c r="G55" s="446" t="s">
        <v>626</v>
      </c>
      <c r="H55" s="446" t="s">
        <v>781</v>
      </c>
      <c r="I55" s="446" t="s">
        <v>5581</v>
      </c>
      <c r="J55" s="446" t="s">
        <v>5635</v>
      </c>
      <c r="K55" s="459"/>
      <c r="L55" s="448" t="s">
        <v>5908</v>
      </c>
      <c r="M55" s="89" t="str">
        <f t="shared" si="2"/>
        <v>larep052@legis.la.gov</v>
      </c>
      <c r="N55" s="89"/>
      <c r="O55" s="450"/>
      <c r="P55" s="89"/>
      <c r="Q55" s="89"/>
      <c r="R55" s="452" t="s">
        <v>5911</v>
      </c>
    </row>
    <row r="56">
      <c r="A56" s="14" t="s">
        <v>44</v>
      </c>
      <c r="B56" s="31">
        <v>53.0</v>
      </c>
      <c r="C56" s="35" t="s">
        <v>3105</v>
      </c>
      <c r="D56" s="35" t="s">
        <v>5915</v>
      </c>
      <c r="E56" s="51" t="s">
        <v>53</v>
      </c>
      <c r="G56" s="446" t="s">
        <v>5596</v>
      </c>
      <c r="H56" s="446" t="s">
        <v>781</v>
      </c>
      <c r="I56" s="446" t="s">
        <v>5581</v>
      </c>
      <c r="J56" s="446" t="s">
        <v>5787</v>
      </c>
      <c r="K56" s="459" t="s">
        <v>5916</v>
      </c>
      <c r="L56" s="448" t="s">
        <v>5917</v>
      </c>
      <c r="M56" s="89" t="str">
        <f t="shared" si="2"/>
        <v>larep053@legis.la.gov</v>
      </c>
      <c r="N56" s="89"/>
      <c r="O56" s="450"/>
      <c r="P56" s="89"/>
      <c r="Q56" s="89"/>
      <c r="R56" s="452" t="s">
        <v>5911</v>
      </c>
    </row>
    <row r="57">
      <c r="A57" s="14" t="s">
        <v>44</v>
      </c>
      <c r="B57" s="31">
        <v>54.0</v>
      </c>
      <c r="C57" s="35" t="s">
        <v>2105</v>
      </c>
      <c r="D57" s="35" t="s">
        <v>5920</v>
      </c>
      <c r="E57" s="36" t="s">
        <v>49</v>
      </c>
      <c r="G57" s="446" t="s">
        <v>5719</v>
      </c>
      <c r="H57" s="446" t="s">
        <v>5581</v>
      </c>
      <c r="I57" s="446" t="s">
        <v>5606</v>
      </c>
      <c r="J57" s="446" t="s">
        <v>5921</v>
      </c>
      <c r="K57" s="447"/>
      <c r="L57" s="448" t="s">
        <v>5922</v>
      </c>
      <c r="M57" s="89" t="str">
        <f t="shared" si="2"/>
        <v>larep054@legis.la.gov</v>
      </c>
      <c r="N57" s="89"/>
      <c r="O57" s="450"/>
      <c r="P57" s="89"/>
      <c r="Q57" s="89"/>
      <c r="R57" s="452" t="s">
        <v>5923</v>
      </c>
    </row>
    <row r="58">
      <c r="A58" s="14" t="s">
        <v>44</v>
      </c>
      <c r="B58" s="31">
        <v>55.0</v>
      </c>
      <c r="C58" s="35" t="s">
        <v>3900</v>
      </c>
      <c r="D58" s="35" t="s">
        <v>1112</v>
      </c>
      <c r="E58" s="65" t="s">
        <v>243</v>
      </c>
      <c r="G58" s="446" t="s">
        <v>626</v>
      </c>
      <c r="H58" s="446" t="s">
        <v>5634</v>
      </c>
      <c r="I58" s="446" t="s">
        <v>5598</v>
      </c>
      <c r="J58" s="446" t="s">
        <v>5635</v>
      </c>
      <c r="K58" s="459"/>
      <c r="L58" s="448" t="s">
        <v>5930</v>
      </c>
      <c r="M58" s="89" t="str">
        <f t="shared" si="2"/>
        <v>larep055@legis.la.gov</v>
      </c>
      <c r="N58" s="89"/>
      <c r="O58" s="450"/>
      <c r="P58" s="89"/>
      <c r="Q58" s="89"/>
      <c r="R58" s="452" t="s">
        <v>5931</v>
      </c>
    </row>
    <row r="59">
      <c r="A59" s="14" t="s">
        <v>44</v>
      </c>
      <c r="B59" s="31">
        <v>56.0</v>
      </c>
      <c r="C59" s="35" t="s">
        <v>823</v>
      </c>
      <c r="D59" s="35" t="s">
        <v>1501</v>
      </c>
      <c r="E59" s="51" t="s">
        <v>53</v>
      </c>
      <c r="G59" s="446" t="s">
        <v>5936</v>
      </c>
      <c r="H59" s="446" t="s">
        <v>5582</v>
      </c>
      <c r="I59" s="446" t="s">
        <v>5937</v>
      </c>
      <c r="J59" s="446" t="s">
        <v>5787</v>
      </c>
      <c r="K59" s="447"/>
      <c r="L59" s="448" t="s">
        <v>5938</v>
      </c>
      <c r="M59" s="89" t="str">
        <f t="shared" si="2"/>
        <v>larep056@legis.la.gov</v>
      </c>
      <c r="N59" s="89"/>
      <c r="O59" s="450"/>
      <c r="P59" s="89"/>
      <c r="Q59" s="89"/>
      <c r="R59" s="452" t="s">
        <v>5939</v>
      </c>
    </row>
    <row r="60">
      <c r="A60" s="14" t="s">
        <v>44</v>
      </c>
      <c r="B60" s="31">
        <v>57.0</v>
      </c>
      <c r="C60" s="35" t="s">
        <v>5940</v>
      </c>
      <c r="D60" s="35" t="s">
        <v>2003</v>
      </c>
      <c r="E60" s="36" t="s">
        <v>49</v>
      </c>
      <c r="G60" s="446" t="s">
        <v>5943</v>
      </c>
      <c r="H60" s="446" t="s">
        <v>5605</v>
      </c>
      <c r="I60" s="446" t="s">
        <v>781</v>
      </c>
      <c r="J60" s="446" t="s">
        <v>5944</v>
      </c>
      <c r="K60" s="459"/>
      <c r="L60" s="448" t="s">
        <v>5945</v>
      </c>
      <c r="M60" s="89" t="str">
        <f t="shared" si="2"/>
        <v>larep057@legis.la.gov</v>
      </c>
      <c r="N60" s="89"/>
      <c r="O60" s="450"/>
      <c r="P60" s="89"/>
      <c r="Q60" s="89"/>
      <c r="R60" s="452" t="s">
        <v>5939</v>
      </c>
    </row>
    <row r="61">
      <c r="A61" s="14" t="s">
        <v>44</v>
      </c>
      <c r="B61" s="31">
        <v>58.0</v>
      </c>
      <c r="C61" s="74" t="s">
        <v>1049</v>
      </c>
      <c r="D61" s="74" t="s">
        <v>4562</v>
      </c>
      <c r="E61" s="36" t="s">
        <v>49</v>
      </c>
      <c r="G61" s="446" t="s">
        <v>5719</v>
      </c>
      <c r="H61" s="446" t="s">
        <v>515</v>
      </c>
      <c r="I61" s="446" t="s">
        <v>5606</v>
      </c>
      <c r="J61" s="446" t="s">
        <v>5657</v>
      </c>
      <c r="K61" s="447"/>
      <c r="L61" s="448" t="s">
        <v>5948</v>
      </c>
      <c r="M61" s="89" t="str">
        <f t="shared" si="2"/>
        <v>larep058@legis.la.gov</v>
      </c>
      <c r="N61" s="89"/>
      <c r="O61" s="450"/>
      <c r="P61" s="89"/>
      <c r="Q61" s="89"/>
      <c r="R61" s="452" t="s">
        <v>5949</v>
      </c>
    </row>
    <row r="62">
      <c r="A62" s="14" t="s">
        <v>44</v>
      </c>
      <c r="B62" s="31">
        <v>59.0</v>
      </c>
      <c r="C62" s="35" t="s">
        <v>980</v>
      </c>
      <c r="D62" s="35" t="s">
        <v>5954</v>
      </c>
      <c r="E62" s="51" t="s">
        <v>53</v>
      </c>
      <c r="G62" s="446" t="s">
        <v>5605</v>
      </c>
      <c r="H62" s="446" t="s">
        <v>626</v>
      </c>
      <c r="I62" s="446" t="s">
        <v>5816</v>
      </c>
      <c r="J62" s="446" t="s">
        <v>5635</v>
      </c>
      <c r="K62" s="459"/>
      <c r="L62" s="448" t="s">
        <v>5955</v>
      </c>
      <c r="M62" s="89" t="str">
        <f t="shared" si="2"/>
        <v>larep059@legis.la.gov</v>
      </c>
      <c r="N62" s="89"/>
      <c r="O62" s="450"/>
      <c r="P62" s="89"/>
      <c r="Q62" s="89"/>
      <c r="R62" s="452" t="s">
        <v>5956</v>
      </c>
    </row>
    <row r="63">
      <c r="A63" s="14" t="s">
        <v>44</v>
      </c>
      <c r="B63" s="31">
        <v>60.0</v>
      </c>
      <c r="C63" s="35" t="s">
        <v>1626</v>
      </c>
      <c r="D63" s="35" t="s">
        <v>447</v>
      </c>
      <c r="E63" s="36" t="s">
        <v>49</v>
      </c>
      <c r="G63" s="446" t="s">
        <v>781</v>
      </c>
      <c r="H63" s="446" t="s">
        <v>652</v>
      </c>
      <c r="I63" s="446" t="s">
        <v>5613</v>
      </c>
      <c r="J63" s="446" t="s">
        <v>5763</v>
      </c>
      <c r="K63" s="447"/>
      <c r="L63" s="448" t="s">
        <v>5961</v>
      </c>
      <c r="M63" s="89" t="str">
        <f t="shared" si="2"/>
        <v>larep060@legis.la.gov</v>
      </c>
      <c r="N63" s="89"/>
      <c r="O63" s="450"/>
      <c r="P63" s="89"/>
      <c r="Q63" s="89"/>
      <c r="R63" s="452" t="s">
        <v>5962</v>
      </c>
    </row>
    <row r="64">
      <c r="A64" s="14" t="s">
        <v>44</v>
      </c>
      <c r="B64" s="31">
        <v>61.0</v>
      </c>
      <c r="C64" s="35" t="s">
        <v>932</v>
      </c>
      <c r="D64" s="35" t="s">
        <v>5966</v>
      </c>
      <c r="E64" s="36" t="s">
        <v>49</v>
      </c>
      <c r="G64" s="446" t="s">
        <v>5605</v>
      </c>
      <c r="H64" s="446" t="s">
        <v>5598</v>
      </c>
      <c r="I64" s="446" t="s">
        <v>5606</v>
      </c>
      <c r="J64" s="446" t="s">
        <v>5967</v>
      </c>
      <c r="K64" s="459"/>
      <c r="L64" s="448" t="s">
        <v>5968</v>
      </c>
      <c r="M64" s="89" t="str">
        <f t="shared" si="2"/>
        <v>larep061@legis.la.gov</v>
      </c>
      <c r="N64" s="89"/>
      <c r="O64" s="450"/>
      <c r="P64" s="89"/>
      <c r="Q64" s="89"/>
      <c r="R64" s="452" t="s">
        <v>5969</v>
      </c>
    </row>
    <row r="65">
      <c r="A65" s="14" t="s">
        <v>44</v>
      </c>
      <c r="B65" s="31">
        <v>62.0</v>
      </c>
      <c r="C65" s="35" t="s">
        <v>5745</v>
      </c>
      <c r="D65" s="35" t="s">
        <v>5974</v>
      </c>
      <c r="E65" s="51" t="s">
        <v>53</v>
      </c>
      <c r="G65" s="314"/>
      <c r="H65" s="314"/>
      <c r="I65" s="314"/>
      <c r="J65" s="314"/>
      <c r="K65" s="459" t="s">
        <v>5667</v>
      </c>
      <c r="L65" s="89"/>
      <c r="M65" s="89" t="str">
        <f t="shared" si="2"/>
        <v>larep062@legis.la.gov</v>
      </c>
      <c r="N65" s="89"/>
      <c r="O65" s="450"/>
      <c r="P65" s="89"/>
      <c r="Q65" s="89"/>
      <c r="R65" s="452" t="s">
        <v>5975</v>
      </c>
    </row>
    <row r="66">
      <c r="A66" s="14" t="s">
        <v>44</v>
      </c>
      <c r="B66" s="31">
        <v>63.0</v>
      </c>
      <c r="C66" s="35" t="s">
        <v>384</v>
      </c>
      <c r="D66" s="35" t="s">
        <v>196</v>
      </c>
      <c r="E66" s="36" t="s">
        <v>49</v>
      </c>
      <c r="G66" s="446" t="s">
        <v>5605</v>
      </c>
      <c r="H66" s="446" t="s">
        <v>5816</v>
      </c>
      <c r="I66" s="446" t="s">
        <v>5606</v>
      </c>
      <c r="J66" s="446" t="s">
        <v>5967</v>
      </c>
      <c r="K66" s="459"/>
      <c r="L66" s="448" t="s">
        <v>5982</v>
      </c>
      <c r="M66" s="89" t="str">
        <f t="shared" si="2"/>
        <v>larep063@legis.la.gov</v>
      </c>
      <c r="N66" s="89"/>
      <c r="O66" s="450"/>
      <c r="P66" s="89"/>
      <c r="Q66" s="89"/>
      <c r="R66" s="452" t="s">
        <v>5969</v>
      </c>
    </row>
    <row r="67">
      <c r="A67" s="14" t="s">
        <v>44</v>
      </c>
      <c r="B67" s="31">
        <v>64.0</v>
      </c>
      <c r="C67" s="35" t="s">
        <v>5986</v>
      </c>
      <c r="D67" s="35" t="s">
        <v>1429</v>
      </c>
      <c r="E67" s="51" t="s">
        <v>53</v>
      </c>
      <c r="G67" s="446" t="s">
        <v>5605</v>
      </c>
      <c r="H67" s="446" t="s">
        <v>626</v>
      </c>
      <c r="I67" s="446" t="s">
        <v>781</v>
      </c>
      <c r="J67" s="446" t="s">
        <v>5990</v>
      </c>
      <c r="K67" s="459"/>
      <c r="L67" s="448" t="s">
        <v>5991</v>
      </c>
      <c r="M67" s="89" t="str">
        <f t="shared" si="2"/>
        <v>larep064@legis.la.gov</v>
      </c>
      <c r="N67" s="89"/>
      <c r="O67" s="450"/>
      <c r="P67" s="89"/>
      <c r="Q67" s="89"/>
      <c r="R67" s="452" t="s">
        <v>5992</v>
      </c>
    </row>
    <row r="68">
      <c r="A68" s="14" t="s">
        <v>44</v>
      </c>
      <c r="B68" s="31">
        <v>65.0</v>
      </c>
      <c r="C68" s="35" t="s">
        <v>3785</v>
      </c>
      <c r="D68" s="35" t="s">
        <v>1127</v>
      </c>
      <c r="E68" s="51" t="s">
        <v>53</v>
      </c>
      <c r="G68" s="446" t="s">
        <v>5597</v>
      </c>
      <c r="H68" s="446" t="s">
        <v>5816</v>
      </c>
      <c r="I68" s="446" t="s">
        <v>3542</v>
      </c>
      <c r="J68" s="446" t="s">
        <v>5583</v>
      </c>
      <c r="K68" s="459"/>
      <c r="L68" s="448" t="s">
        <v>5994</v>
      </c>
      <c r="M68" s="89" t="str">
        <f t="shared" si="2"/>
        <v>larep065@legis.la.gov</v>
      </c>
      <c r="N68" s="89"/>
      <c r="O68" s="450"/>
      <c r="P68" s="89"/>
      <c r="Q68" s="89"/>
      <c r="R68" s="452" t="s">
        <v>5969</v>
      </c>
    </row>
    <row r="69">
      <c r="A69" s="14" t="s">
        <v>44</v>
      </c>
      <c r="B69" s="31">
        <v>66.0</v>
      </c>
      <c r="C69" s="74" t="s">
        <v>1291</v>
      </c>
      <c r="D69" s="74" t="s">
        <v>5995</v>
      </c>
      <c r="E69" s="51" t="s">
        <v>53</v>
      </c>
      <c r="G69" s="446" t="s">
        <v>626</v>
      </c>
      <c r="H69" s="446" t="s">
        <v>515</v>
      </c>
      <c r="I69" s="446" t="s">
        <v>5598</v>
      </c>
      <c r="J69" s="446" t="s">
        <v>5582</v>
      </c>
      <c r="K69" s="459"/>
      <c r="L69" s="448" t="s">
        <v>5996</v>
      </c>
      <c r="M69" s="89" t="str">
        <f t="shared" si="2"/>
        <v>larep066@legis.la.gov</v>
      </c>
      <c r="N69" s="89"/>
      <c r="O69" s="450"/>
      <c r="P69" s="89"/>
      <c r="Q69" s="89"/>
      <c r="R69" s="452" t="s">
        <v>5969</v>
      </c>
    </row>
    <row r="70">
      <c r="A70" s="14" t="s">
        <v>44</v>
      </c>
      <c r="B70" s="31">
        <v>67.0</v>
      </c>
      <c r="C70" s="35" t="s">
        <v>2249</v>
      </c>
      <c r="D70" s="35" t="s">
        <v>1451</v>
      </c>
      <c r="E70" s="36" t="s">
        <v>49</v>
      </c>
      <c r="G70" s="446" t="s">
        <v>626</v>
      </c>
      <c r="H70" s="446" t="s">
        <v>515</v>
      </c>
      <c r="I70" s="446" t="s">
        <v>5598</v>
      </c>
      <c r="J70" s="446" t="s">
        <v>5997</v>
      </c>
      <c r="K70" s="459"/>
      <c r="L70" s="448" t="s">
        <v>5998</v>
      </c>
      <c r="M70" s="89" t="str">
        <f t="shared" si="2"/>
        <v>larep067@legis.la.gov</v>
      </c>
      <c r="N70" s="89"/>
      <c r="O70" s="450"/>
      <c r="P70" s="89"/>
      <c r="Q70" s="89"/>
      <c r="R70" s="452" t="s">
        <v>5969</v>
      </c>
    </row>
    <row r="71">
      <c r="A71" s="14" t="s">
        <v>44</v>
      </c>
      <c r="B71" s="31">
        <v>68.0</v>
      </c>
      <c r="C71" s="35" t="s">
        <v>1505</v>
      </c>
      <c r="D71" s="35" t="s">
        <v>1256</v>
      </c>
      <c r="E71" s="51" t="s">
        <v>53</v>
      </c>
      <c r="G71" s="446" t="s">
        <v>6002</v>
      </c>
      <c r="H71" s="446" t="s">
        <v>515</v>
      </c>
      <c r="I71" s="446" t="s">
        <v>5582</v>
      </c>
      <c r="J71" s="446" t="s">
        <v>6003</v>
      </c>
      <c r="K71" s="459"/>
      <c r="L71" s="448" t="s">
        <v>6004</v>
      </c>
      <c r="M71" s="89" t="str">
        <f t="shared" si="2"/>
        <v>larep068@legis.la.gov</v>
      </c>
      <c r="N71" s="89"/>
      <c r="O71" s="450"/>
      <c r="P71" s="89"/>
      <c r="Q71" s="89"/>
      <c r="R71" s="452" t="s">
        <v>5969</v>
      </c>
    </row>
    <row r="72">
      <c r="A72" s="14" t="s">
        <v>44</v>
      </c>
      <c r="B72" s="31">
        <v>69.0</v>
      </c>
      <c r="C72" s="74" t="s">
        <v>6005</v>
      </c>
      <c r="D72" s="74" t="s">
        <v>1254</v>
      </c>
      <c r="E72" s="51" t="s">
        <v>53</v>
      </c>
      <c r="G72" s="446" t="s">
        <v>5613</v>
      </c>
      <c r="H72" s="446" t="s">
        <v>5598</v>
      </c>
      <c r="I72" s="446" t="s">
        <v>3542</v>
      </c>
      <c r="J72" s="313" t="s">
        <v>5583</v>
      </c>
      <c r="K72" s="459"/>
      <c r="L72" s="448" t="s">
        <v>6006</v>
      </c>
      <c r="M72" s="89" t="str">
        <f t="shared" si="2"/>
        <v>larep069@legis.la.gov</v>
      </c>
      <c r="N72" s="89"/>
      <c r="O72" s="450"/>
      <c r="P72" s="89"/>
      <c r="Q72" s="89"/>
      <c r="R72" s="452" t="s">
        <v>5969</v>
      </c>
    </row>
    <row r="73">
      <c r="A73" s="14" t="s">
        <v>44</v>
      </c>
      <c r="B73" s="31">
        <v>70.0</v>
      </c>
      <c r="C73" s="35" t="s">
        <v>2670</v>
      </c>
      <c r="D73" s="35" t="s">
        <v>6009</v>
      </c>
      <c r="E73" s="51" t="s">
        <v>53</v>
      </c>
      <c r="G73" s="446" t="s">
        <v>6010</v>
      </c>
      <c r="H73" s="446" t="s">
        <v>5581</v>
      </c>
      <c r="I73" s="446" t="s">
        <v>6011</v>
      </c>
      <c r="J73" s="446" t="s">
        <v>5635</v>
      </c>
      <c r="K73" s="459"/>
      <c r="L73" s="448" t="s">
        <v>6012</v>
      </c>
      <c r="M73" s="89" t="str">
        <f t="shared" si="2"/>
        <v>larep070@legis.la.gov</v>
      </c>
      <c r="N73" s="89"/>
      <c r="O73" s="450"/>
      <c r="P73" s="89"/>
      <c r="Q73" s="89"/>
      <c r="R73" s="452" t="s">
        <v>5969</v>
      </c>
    </row>
    <row r="74">
      <c r="A74" s="14" t="s">
        <v>44</v>
      </c>
      <c r="B74" s="31">
        <v>71.0</v>
      </c>
      <c r="C74" s="35" t="s">
        <v>3526</v>
      </c>
      <c r="D74" s="35" t="s">
        <v>6013</v>
      </c>
      <c r="E74" s="51" t="s">
        <v>53</v>
      </c>
      <c r="G74" s="446" t="s">
        <v>5634</v>
      </c>
      <c r="H74" s="446" t="s">
        <v>5606</v>
      </c>
      <c r="I74" s="446" t="s">
        <v>5967</v>
      </c>
      <c r="J74" s="314"/>
      <c r="K74" s="459"/>
      <c r="L74" s="448" t="s">
        <v>6014</v>
      </c>
      <c r="M74" s="89" t="str">
        <f t="shared" si="2"/>
        <v>larep071@legis.la.gov</v>
      </c>
      <c r="N74" s="89"/>
      <c r="O74" s="450"/>
      <c r="P74" s="89"/>
      <c r="Q74" s="89"/>
      <c r="R74" s="452" t="s">
        <v>859</v>
      </c>
    </row>
    <row r="75">
      <c r="A75" s="14" t="s">
        <v>44</v>
      </c>
      <c r="B75" s="31">
        <v>72.0</v>
      </c>
      <c r="C75" s="35" t="s">
        <v>6015</v>
      </c>
      <c r="D75" s="35" t="s">
        <v>1256</v>
      </c>
      <c r="E75" s="36" t="s">
        <v>49</v>
      </c>
      <c r="G75" s="446" t="s">
        <v>5596</v>
      </c>
      <c r="H75" s="446" t="s">
        <v>781</v>
      </c>
      <c r="I75" s="446" t="s">
        <v>5613</v>
      </c>
      <c r="J75" s="446" t="s">
        <v>5657</v>
      </c>
      <c r="K75" s="459"/>
      <c r="L75" s="448" t="s">
        <v>6019</v>
      </c>
      <c r="M75" s="89" t="str">
        <f t="shared" si="2"/>
        <v>larep072@legis.la.gov</v>
      </c>
      <c r="N75" s="89"/>
      <c r="O75" s="450"/>
      <c r="P75" s="89"/>
      <c r="Q75" s="89"/>
      <c r="R75" s="452" t="s">
        <v>6020</v>
      </c>
    </row>
    <row r="76">
      <c r="A76" s="14" t="s">
        <v>44</v>
      </c>
      <c r="B76" s="31">
        <v>73.0</v>
      </c>
      <c r="C76" s="35" t="s">
        <v>55</v>
      </c>
      <c r="D76" s="35" t="s">
        <v>6022</v>
      </c>
      <c r="E76" s="51" t="s">
        <v>53</v>
      </c>
      <c r="G76" s="446" t="s">
        <v>6023</v>
      </c>
      <c r="H76" s="446" t="s">
        <v>652</v>
      </c>
      <c r="I76" s="446" t="s">
        <v>5598</v>
      </c>
      <c r="J76" s="446" t="s">
        <v>6024</v>
      </c>
      <c r="L76" s="448" t="s">
        <v>6025</v>
      </c>
      <c r="M76" s="89" t="str">
        <f t="shared" si="2"/>
        <v>larep073@legis.la.gov</v>
      </c>
      <c r="N76" s="89"/>
      <c r="O76" s="450"/>
      <c r="P76" s="89"/>
      <c r="Q76" s="89"/>
      <c r="R76" s="452" t="s">
        <v>6026</v>
      </c>
    </row>
    <row r="77">
      <c r="A77" s="14" t="s">
        <v>44</v>
      </c>
      <c r="B77" s="31">
        <v>74.0</v>
      </c>
      <c r="C77" s="35" t="s">
        <v>45</v>
      </c>
      <c r="D77" s="35" t="s">
        <v>6029</v>
      </c>
      <c r="E77" s="51" t="s">
        <v>53</v>
      </c>
      <c r="G77" s="446" t="s">
        <v>626</v>
      </c>
      <c r="H77" s="446" t="s">
        <v>515</v>
      </c>
      <c r="I77" s="446" t="s">
        <v>5617</v>
      </c>
      <c r="J77" s="446" t="s">
        <v>5635</v>
      </c>
      <c r="K77" s="447"/>
      <c r="L77" s="448" t="s">
        <v>6031</v>
      </c>
      <c r="M77" s="89" t="str">
        <f t="shared" si="2"/>
        <v>larep074@legis.la.gov</v>
      </c>
      <c r="N77" s="89"/>
      <c r="O77" s="450"/>
      <c r="P77" s="89"/>
      <c r="Q77" s="89"/>
      <c r="R77" s="452" t="s">
        <v>6032</v>
      </c>
    </row>
    <row r="78">
      <c r="A78" s="14" t="s">
        <v>44</v>
      </c>
      <c r="B78" s="31">
        <v>75.0</v>
      </c>
      <c r="C78" s="35" t="s">
        <v>6033</v>
      </c>
      <c r="D78" s="35" t="s">
        <v>6034</v>
      </c>
      <c r="E78" s="36" t="s">
        <v>49</v>
      </c>
      <c r="G78" s="446" t="s">
        <v>5598</v>
      </c>
      <c r="H78" s="446" t="s">
        <v>5581</v>
      </c>
      <c r="I78" s="313" t="s">
        <v>5606</v>
      </c>
      <c r="J78" s="446" t="s">
        <v>5657</v>
      </c>
      <c r="K78" s="459"/>
      <c r="L78" s="448" t="s">
        <v>6035</v>
      </c>
      <c r="M78" s="89" t="str">
        <f t="shared" si="2"/>
        <v>larep075@legis.la.gov</v>
      </c>
      <c r="N78" s="89"/>
      <c r="O78" s="450"/>
      <c r="P78" s="89"/>
      <c r="Q78" s="89"/>
      <c r="R78" s="452" t="s">
        <v>6036</v>
      </c>
    </row>
    <row r="79">
      <c r="A79" s="14" t="s">
        <v>44</v>
      </c>
      <c r="B79" s="31">
        <v>76.0</v>
      </c>
      <c r="C79" s="35" t="s">
        <v>971</v>
      </c>
      <c r="D79" s="35" t="s">
        <v>6037</v>
      </c>
      <c r="E79" s="51" t="s">
        <v>53</v>
      </c>
      <c r="G79" s="446" t="s">
        <v>6038</v>
      </c>
      <c r="H79" s="446" t="s">
        <v>652</v>
      </c>
      <c r="I79" s="446" t="s">
        <v>5625</v>
      </c>
      <c r="J79" s="446" t="s">
        <v>5626</v>
      </c>
      <c r="K79" s="459"/>
      <c r="L79" s="448" t="s">
        <v>6041</v>
      </c>
      <c r="M79" s="89" t="str">
        <f t="shared" si="2"/>
        <v>larep076@legis.la.gov</v>
      </c>
      <c r="N79" s="89"/>
      <c r="O79" s="450"/>
      <c r="P79" s="89"/>
      <c r="Q79" s="89"/>
      <c r="R79" s="452" t="s">
        <v>6043</v>
      </c>
    </row>
    <row r="80">
      <c r="A80" s="14" t="s">
        <v>44</v>
      </c>
      <c r="B80" s="31">
        <v>77.0</v>
      </c>
      <c r="C80" s="74" t="s">
        <v>91</v>
      </c>
      <c r="D80" s="74" t="s">
        <v>3221</v>
      </c>
      <c r="E80" s="51" t="s">
        <v>53</v>
      </c>
      <c r="G80" s="446" t="s">
        <v>515</v>
      </c>
      <c r="H80" s="446" t="s">
        <v>5598</v>
      </c>
      <c r="I80" s="446" t="s">
        <v>5606</v>
      </c>
      <c r="J80" s="313" t="s">
        <v>5625</v>
      </c>
      <c r="K80" s="459"/>
      <c r="L80" s="448" t="s">
        <v>6044</v>
      </c>
      <c r="M80" s="89" t="str">
        <f t="shared" si="2"/>
        <v>larep077@legis.la.gov</v>
      </c>
      <c r="N80" s="89"/>
      <c r="O80" s="450"/>
      <c r="P80" s="89"/>
      <c r="Q80" s="89"/>
      <c r="R80" s="452" t="s">
        <v>6043</v>
      </c>
    </row>
    <row r="81">
      <c r="A81" s="14" t="s">
        <v>44</v>
      </c>
      <c r="B81" s="31">
        <v>78.0</v>
      </c>
      <c r="C81" s="35" t="s">
        <v>619</v>
      </c>
      <c r="D81" s="35" t="s">
        <v>6046</v>
      </c>
      <c r="E81" s="51" t="s">
        <v>53</v>
      </c>
      <c r="G81" s="446" t="s">
        <v>6047</v>
      </c>
      <c r="H81" s="446" t="s">
        <v>6048</v>
      </c>
      <c r="I81" s="446" t="s">
        <v>5625</v>
      </c>
      <c r="J81" s="314"/>
      <c r="K81" s="459"/>
      <c r="L81" s="448" t="s">
        <v>6049</v>
      </c>
      <c r="M81" s="89" t="str">
        <f t="shared" si="2"/>
        <v>larep078@legis.la.gov</v>
      </c>
      <c r="N81" s="89"/>
      <c r="O81" s="450"/>
      <c r="P81" s="89"/>
      <c r="Q81" s="89"/>
      <c r="R81" s="452" t="s">
        <v>467</v>
      </c>
    </row>
    <row r="82">
      <c r="A82" s="14" t="s">
        <v>44</v>
      </c>
      <c r="B82" s="31">
        <v>79.0</v>
      </c>
      <c r="C82" s="35" t="s">
        <v>2133</v>
      </c>
      <c r="D82" s="35" t="s">
        <v>2576</v>
      </c>
      <c r="E82" s="51" t="s">
        <v>53</v>
      </c>
      <c r="G82" s="446" t="s">
        <v>5634</v>
      </c>
      <c r="H82" s="446" t="s">
        <v>5700</v>
      </c>
      <c r="I82" s="446" t="s">
        <v>3542</v>
      </c>
      <c r="J82" s="446" t="s">
        <v>5582</v>
      </c>
      <c r="K82" s="459"/>
      <c r="L82" s="448" t="s">
        <v>6053</v>
      </c>
      <c r="M82" s="89" t="str">
        <f t="shared" si="2"/>
        <v>larep079@legis.la.gov</v>
      </c>
      <c r="N82" s="89"/>
      <c r="O82" s="450"/>
      <c r="P82" s="89"/>
      <c r="Q82" s="89"/>
      <c r="R82" s="452" t="s">
        <v>467</v>
      </c>
    </row>
    <row r="83">
      <c r="A83" s="14" t="s">
        <v>44</v>
      </c>
      <c r="B83" s="31">
        <v>80.0</v>
      </c>
      <c r="C83" s="35" t="s">
        <v>6054</v>
      </c>
      <c r="D83" s="35" t="s">
        <v>561</v>
      </c>
      <c r="E83" s="51" t="s">
        <v>53</v>
      </c>
      <c r="G83" s="446" t="s">
        <v>652</v>
      </c>
      <c r="H83" s="446" t="s">
        <v>515</v>
      </c>
      <c r="I83" s="446" t="s">
        <v>6048</v>
      </c>
      <c r="J83" s="446" t="s">
        <v>5788</v>
      </c>
      <c r="K83" s="459"/>
      <c r="L83" s="448" t="s">
        <v>6055</v>
      </c>
      <c r="M83" s="89" t="str">
        <f t="shared" si="2"/>
        <v>larep080@legis.la.gov</v>
      </c>
      <c r="N83" s="89"/>
      <c r="O83" s="450"/>
      <c r="P83" s="89"/>
      <c r="Q83" s="89"/>
      <c r="R83" s="452" t="s">
        <v>467</v>
      </c>
    </row>
    <row r="84">
      <c r="A84" s="14" t="s">
        <v>44</v>
      </c>
      <c r="B84" s="31">
        <v>81.0</v>
      </c>
      <c r="C84" s="35" t="s">
        <v>868</v>
      </c>
      <c r="D84" s="35" t="s">
        <v>6060</v>
      </c>
      <c r="E84" s="51" t="s">
        <v>53</v>
      </c>
      <c r="G84" s="446" t="s">
        <v>6061</v>
      </c>
      <c r="H84" s="446" t="s">
        <v>3542</v>
      </c>
      <c r="I84" s="446" t="s">
        <v>5583</v>
      </c>
      <c r="J84" s="446" t="s">
        <v>6062</v>
      </c>
      <c r="K84" s="459"/>
      <c r="L84" s="448" t="s">
        <v>6063</v>
      </c>
      <c r="M84" s="89" t="str">
        <f t="shared" si="2"/>
        <v>larep081@legis.la.gov</v>
      </c>
      <c r="N84" s="89"/>
      <c r="O84" s="450"/>
      <c r="P84" s="89"/>
      <c r="Q84" s="89"/>
      <c r="R84" s="452" t="s">
        <v>6064</v>
      </c>
    </row>
    <row r="85">
      <c r="A85" s="14" t="s">
        <v>44</v>
      </c>
      <c r="B85" s="31">
        <v>82.0</v>
      </c>
      <c r="C85" s="35" t="s">
        <v>1204</v>
      </c>
      <c r="D85" s="35" t="s">
        <v>2189</v>
      </c>
      <c r="E85" s="51" t="s">
        <v>53</v>
      </c>
      <c r="G85" s="446" t="s">
        <v>6066</v>
      </c>
      <c r="H85" s="446" t="s">
        <v>6067</v>
      </c>
      <c r="I85" s="446" t="s">
        <v>5583</v>
      </c>
      <c r="J85" s="446" t="s">
        <v>5937</v>
      </c>
      <c r="K85" s="459"/>
      <c r="L85" s="448" t="s">
        <v>6068</v>
      </c>
      <c r="M85" s="89" t="str">
        <f t="shared" si="2"/>
        <v>larep082@legis.la.gov</v>
      </c>
      <c r="N85" s="89"/>
      <c r="O85" s="450"/>
      <c r="P85" s="89"/>
      <c r="Q85" s="89"/>
      <c r="R85" s="452" t="s">
        <v>467</v>
      </c>
    </row>
    <row r="86">
      <c r="A86" s="14" t="s">
        <v>44</v>
      </c>
      <c r="B86" s="31">
        <v>83.0</v>
      </c>
      <c r="C86" s="35" t="s">
        <v>1134</v>
      </c>
      <c r="D86" s="35" t="s">
        <v>6072</v>
      </c>
      <c r="E86" s="36" t="s">
        <v>49</v>
      </c>
      <c r="G86" s="446" t="s">
        <v>626</v>
      </c>
      <c r="H86" s="446" t="s">
        <v>5598</v>
      </c>
      <c r="I86" s="446" t="s">
        <v>5581</v>
      </c>
      <c r="J86" s="446" t="s">
        <v>5635</v>
      </c>
      <c r="K86" s="459"/>
      <c r="L86" s="448" t="s">
        <v>6073</v>
      </c>
      <c r="M86" s="89" t="str">
        <f t="shared" si="2"/>
        <v>larep083@legis.la.gov</v>
      </c>
      <c r="N86" s="89"/>
      <c r="O86" s="450"/>
      <c r="P86" s="89"/>
      <c r="Q86" s="89"/>
      <c r="R86" s="452" t="s">
        <v>467</v>
      </c>
    </row>
    <row r="87">
      <c r="A87" s="14" t="s">
        <v>44</v>
      </c>
      <c r="B87" s="31">
        <v>84.0</v>
      </c>
      <c r="C87" s="35" t="s">
        <v>1914</v>
      </c>
      <c r="D87" s="35" t="s">
        <v>6076</v>
      </c>
      <c r="E87" s="51" t="s">
        <v>53</v>
      </c>
      <c r="G87" s="446" t="s">
        <v>652</v>
      </c>
      <c r="H87" s="446" t="s">
        <v>5581</v>
      </c>
      <c r="I87" s="446" t="s">
        <v>6048</v>
      </c>
      <c r="J87" s="446" t="s">
        <v>5625</v>
      </c>
      <c r="K87" s="459"/>
      <c r="L87" s="448" t="s">
        <v>6077</v>
      </c>
      <c r="M87" s="89" t="str">
        <f t="shared" si="2"/>
        <v>larep084@legis.la.gov</v>
      </c>
      <c r="N87" s="89"/>
      <c r="O87" s="450"/>
      <c r="P87" s="89"/>
      <c r="Q87" s="89"/>
      <c r="R87" s="452" t="s">
        <v>467</v>
      </c>
    </row>
    <row r="88">
      <c r="A88" s="14" t="s">
        <v>44</v>
      </c>
      <c r="B88" s="31">
        <v>85.0</v>
      </c>
      <c r="C88" s="35" t="s">
        <v>2527</v>
      </c>
      <c r="D88" s="38" t="s">
        <v>6082</v>
      </c>
      <c r="E88" s="65" t="s">
        <v>243</v>
      </c>
      <c r="G88" s="446" t="s">
        <v>5605</v>
      </c>
      <c r="H88" s="446" t="s">
        <v>781</v>
      </c>
      <c r="I88" s="446" t="s">
        <v>6048</v>
      </c>
      <c r="J88" s="314"/>
      <c r="K88" s="459"/>
      <c r="L88" s="448" t="s">
        <v>6083</v>
      </c>
      <c r="M88" s="89" t="str">
        <f t="shared" si="2"/>
        <v>larep085@legis.la.gov</v>
      </c>
      <c r="N88" s="89"/>
      <c r="O88" s="450"/>
      <c r="P88" s="89"/>
      <c r="Q88" s="89"/>
      <c r="R88" s="452" t="s">
        <v>467</v>
      </c>
    </row>
    <row r="89">
      <c r="A89" s="14" t="s">
        <v>44</v>
      </c>
      <c r="B89" s="31">
        <v>86.0</v>
      </c>
      <c r="C89" s="74" t="s">
        <v>3097</v>
      </c>
      <c r="D89" s="74" t="s">
        <v>6084</v>
      </c>
      <c r="E89" s="51" t="s">
        <v>53</v>
      </c>
      <c r="G89" s="446" t="s">
        <v>5605</v>
      </c>
      <c r="H89" s="446" t="s">
        <v>781</v>
      </c>
      <c r="I89" s="314"/>
      <c r="J89" s="314"/>
      <c r="K89" s="459"/>
      <c r="L89" s="448" t="s">
        <v>6085</v>
      </c>
      <c r="M89" s="89" t="str">
        <f t="shared" si="2"/>
        <v>larep086@legis.la.gov</v>
      </c>
      <c r="N89" s="89"/>
      <c r="O89" s="450"/>
      <c r="P89" s="89"/>
      <c r="Q89" s="89"/>
      <c r="R89" s="452" t="s">
        <v>6026</v>
      </c>
    </row>
    <row r="90">
      <c r="A90" s="14" t="s">
        <v>44</v>
      </c>
      <c r="B90" s="31">
        <v>87.0</v>
      </c>
      <c r="C90" s="35" t="s">
        <v>526</v>
      </c>
      <c r="D90" s="35" t="s">
        <v>6088</v>
      </c>
      <c r="E90" s="36" t="s">
        <v>49</v>
      </c>
      <c r="G90" s="446" t="s">
        <v>652</v>
      </c>
      <c r="H90" s="446" t="s">
        <v>5598</v>
      </c>
      <c r="I90" s="446" t="s">
        <v>5581</v>
      </c>
      <c r="J90" s="446" t="s">
        <v>5614</v>
      </c>
      <c r="K90" s="459"/>
      <c r="L90" s="448" t="s">
        <v>6089</v>
      </c>
      <c r="M90" s="89" t="str">
        <f t="shared" si="2"/>
        <v>larep087@legis.la.gov</v>
      </c>
      <c r="N90" s="89"/>
      <c r="O90" s="450"/>
      <c r="P90" s="89"/>
      <c r="Q90" s="89"/>
      <c r="R90" s="452" t="s">
        <v>467</v>
      </c>
    </row>
    <row r="91">
      <c r="A91" s="14" t="s">
        <v>44</v>
      </c>
      <c r="B91" s="31">
        <v>88.0</v>
      </c>
      <c r="C91" s="35" t="s">
        <v>1421</v>
      </c>
      <c r="D91" s="35" t="s">
        <v>6093</v>
      </c>
      <c r="E91" s="51" t="s">
        <v>53</v>
      </c>
      <c r="G91" s="446" t="s">
        <v>626</v>
      </c>
      <c r="H91" s="446" t="s">
        <v>6094</v>
      </c>
      <c r="I91" s="446" t="s">
        <v>5635</v>
      </c>
      <c r="J91" s="446" t="s">
        <v>5787</v>
      </c>
      <c r="K91" s="459"/>
      <c r="L91" s="448" t="s">
        <v>6095</v>
      </c>
      <c r="M91" s="89" t="str">
        <f t="shared" si="2"/>
        <v>larep088@legis.la.gov</v>
      </c>
      <c r="N91" s="89"/>
      <c r="O91" s="450"/>
      <c r="P91" s="89"/>
      <c r="Q91" s="89"/>
      <c r="R91" s="452" t="s">
        <v>5956</v>
      </c>
    </row>
    <row r="92">
      <c r="A92" s="14" t="s">
        <v>44</v>
      </c>
      <c r="B92" s="31">
        <v>89.0</v>
      </c>
      <c r="C92" s="35" t="s">
        <v>6096</v>
      </c>
      <c r="D92" s="35" t="s">
        <v>6097</v>
      </c>
      <c r="E92" s="51" t="s">
        <v>53</v>
      </c>
      <c r="G92" s="446" t="s">
        <v>626</v>
      </c>
      <c r="H92" s="446" t="s">
        <v>515</v>
      </c>
      <c r="I92" s="446" t="s">
        <v>5617</v>
      </c>
      <c r="J92" s="313" t="s">
        <v>5635</v>
      </c>
      <c r="K92" s="459"/>
      <c r="L92" s="448" t="s">
        <v>6098</v>
      </c>
      <c r="M92" s="89" t="str">
        <f t="shared" si="2"/>
        <v>larep089@legis.la.gov</v>
      </c>
      <c r="N92" s="89"/>
      <c r="O92" s="450"/>
      <c r="P92" s="89"/>
      <c r="Q92" s="89"/>
      <c r="R92" s="452" t="s">
        <v>6043</v>
      </c>
    </row>
    <row r="93">
      <c r="A93" s="14" t="s">
        <v>44</v>
      </c>
      <c r="B93" s="31">
        <v>90.0</v>
      </c>
      <c r="C93" s="35" t="s">
        <v>514</v>
      </c>
      <c r="D93" s="35" t="s">
        <v>6099</v>
      </c>
      <c r="E93" s="51" t="s">
        <v>53</v>
      </c>
      <c r="G93" s="446" t="s">
        <v>5625</v>
      </c>
      <c r="H93" s="446" t="s">
        <v>5788</v>
      </c>
      <c r="I93" s="314"/>
      <c r="J93" s="314"/>
      <c r="K93" s="459"/>
      <c r="L93" s="448" t="s">
        <v>6100</v>
      </c>
      <c r="M93" s="89" t="str">
        <f t="shared" si="2"/>
        <v>larep090@legis.la.gov</v>
      </c>
      <c r="N93" s="89"/>
      <c r="O93" s="450"/>
      <c r="P93" s="89"/>
      <c r="Q93" s="89"/>
      <c r="R93" s="452" t="s">
        <v>6043</v>
      </c>
    </row>
    <row r="94">
      <c r="A94" s="14" t="s">
        <v>44</v>
      </c>
      <c r="B94" s="31">
        <v>91.0</v>
      </c>
      <c r="C94" s="35" t="s">
        <v>6101</v>
      </c>
      <c r="D94" s="35" t="s">
        <v>6103</v>
      </c>
      <c r="E94" s="36" t="s">
        <v>49</v>
      </c>
      <c r="F94" s="14" t="s">
        <v>751</v>
      </c>
      <c r="G94" s="446" t="s">
        <v>5878</v>
      </c>
      <c r="H94" s="446" t="s">
        <v>5880</v>
      </c>
      <c r="I94" s="446" t="s">
        <v>5881</v>
      </c>
      <c r="J94" s="446" t="s">
        <v>626</v>
      </c>
      <c r="K94" s="447"/>
      <c r="L94" s="448" t="s">
        <v>6104</v>
      </c>
      <c r="M94" s="89" t="str">
        <f t="shared" si="2"/>
        <v>larep091@legis.la.gov</v>
      </c>
      <c r="N94" s="89"/>
      <c r="O94" s="450"/>
      <c r="P94" s="89"/>
      <c r="Q94" s="89"/>
      <c r="R94" s="452" t="s">
        <v>6106</v>
      </c>
    </row>
    <row r="95">
      <c r="A95" s="14" t="s">
        <v>44</v>
      </c>
      <c r="B95" s="31">
        <v>92.0</v>
      </c>
      <c r="C95" s="35" t="s">
        <v>2527</v>
      </c>
      <c r="D95" s="35" t="s">
        <v>6111</v>
      </c>
      <c r="E95" s="51" t="s">
        <v>53</v>
      </c>
      <c r="G95" s="446" t="s">
        <v>5634</v>
      </c>
      <c r="H95" s="313" t="s">
        <v>5598</v>
      </c>
      <c r="I95" s="446" t="s">
        <v>6048</v>
      </c>
      <c r="J95" s="446" t="s">
        <v>5625</v>
      </c>
      <c r="K95" s="459"/>
      <c r="L95" s="448" t="s">
        <v>6112</v>
      </c>
      <c r="M95" s="89" t="str">
        <f t="shared" si="2"/>
        <v>larep092@legis.la.gov</v>
      </c>
      <c r="N95" s="89"/>
      <c r="O95" s="450"/>
      <c r="P95" s="89"/>
      <c r="Q95" s="89"/>
      <c r="R95" s="452" t="s">
        <v>6113</v>
      </c>
    </row>
    <row r="96">
      <c r="A96" s="14" t="s">
        <v>44</v>
      </c>
      <c r="B96" s="31">
        <v>93.0</v>
      </c>
      <c r="C96" s="35" t="s">
        <v>6114</v>
      </c>
      <c r="D96" s="35" t="s">
        <v>5165</v>
      </c>
      <c r="E96" s="36" t="s">
        <v>49</v>
      </c>
      <c r="G96" s="446" t="s">
        <v>5605</v>
      </c>
      <c r="H96" s="446" t="s">
        <v>5617</v>
      </c>
      <c r="I96" s="446" t="s">
        <v>5582</v>
      </c>
      <c r="J96" s="446" t="s">
        <v>5657</v>
      </c>
      <c r="K96" s="459"/>
      <c r="L96" s="448" t="s">
        <v>6116</v>
      </c>
      <c r="M96" s="89" t="str">
        <f t="shared" si="2"/>
        <v>larep093@legis.la.gov</v>
      </c>
      <c r="N96" s="89"/>
      <c r="O96" s="450"/>
      <c r="P96" s="89"/>
      <c r="Q96" s="89"/>
      <c r="R96" s="452" t="s">
        <v>6106</v>
      </c>
    </row>
    <row r="97">
      <c r="A97" s="14" t="s">
        <v>44</v>
      </c>
      <c r="B97" s="31">
        <v>94.0</v>
      </c>
      <c r="C97" s="35" t="s">
        <v>2254</v>
      </c>
      <c r="D97" s="35" t="s">
        <v>6119</v>
      </c>
      <c r="E97" s="51" t="s">
        <v>53</v>
      </c>
      <c r="G97" s="446" t="s">
        <v>652</v>
      </c>
      <c r="H97" s="446" t="s">
        <v>515</v>
      </c>
      <c r="I97" s="446" t="s">
        <v>5598</v>
      </c>
      <c r="J97" s="446" t="s">
        <v>6048</v>
      </c>
      <c r="K97" s="459"/>
      <c r="L97" s="448" t="s">
        <v>6120</v>
      </c>
      <c r="M97" s="89" t="str">
        <f t="shared" si="2"/>
        <v>larep094@legis.la.gov</v>
      </c>
      <c r="N97" s="89"/>
      <c r="O97" s="450"/>
      <c r="P97" s="89"/>
      <c r="Q97" s="89"/>
      <c r="R97" s="452" t="s">
        <v>6121</v>
      </c>
    </row>
    <row r="98">
      <c r="A98" s="14" t="s">
        <v>44</v>
      </c>
      <c r="B98" s="31">
        <v>95.0</v>
      </c>
      <c r="C98" s="35" t="s">
        <v>2324</v>
      </c>
      <c r="D98" s="35" t="s">
        <v>3846</v>
      </c>
      <c r="E98" s="51" t="s">
        <v>53</v>
      </c>
      <c r="G98" s="446" t="s">
        <v>6122</v>
      </c>
      <c r="H98" s="446" t="s">
        <v>5967</v>
      </c>
      <c r="I98" s="446" t="s">
        <v>5625</v>
      </c>
      <c r="J98" s="314"/>
      <c r="K98" s="459"/>
      <c r="L98" s="448" t="s">
        <v>6123</v>
      </c>
      <c r="M98" s="89" t="str">
        <f t="shared" si="2"/>
        <v>larep095@legis.la.gov</v>
      </c>
      <c r="N98" s="89"/>
      <c r="O98" s="450"/>
      <c r="P98" s="89"/>
      <c r="Q98" s="89"/>
      <c r="R98" s="452" t="s">
        <v>859</v>
      </c>
    </row>
    <row r="99">
      <c r="A99" s="14" t="s">
        <v>44</v>
      </c>
      <c r="B99" s="31">
        <v>96.0</v>
      </c>
      <c r="C99" s="35" t="s">
        <v>1990</v>
      </c>
      <c r="D99" s="35" t="s">
        <v>5784</v>
      </c>
      <c r="E99" s="36" t="s">
        <v>49</v>
      </c>
      <c r="G99" s="446" t="s">
        <v>6126</v>
      </c>
      <c r="H99" s="446" t="s">
        <v>5763</v>
      </c>
      <c r="I99" s="446" t="s">
        <v>5583</v>
      </c>
      <c r="J99" s="446" t="s">
        <v>5944</v>
      </c>
      <c r="K99" s="459"/>
      <c r="L99" s="448" t="s">
        <v>6127</v>
      </c>
      <c r="M99" s="89" t="str">
        <f t="shared" si="2"/>
        <v>larep096@legis.la.gov</v>
      </c>
      <c r="N99" s="89"/>
      <c r="O99" s="450"/>
      <c r="P99" s="89"/>
      <c r="Q99" s="89"/>
      <c r="R99" s="452" t="s">
        <v>6128</v>
      </c>
    </row>
    <row r="100">
      <c r="A100" s="14" t="s">
        <v>44</v>
      </c>
      <c r="B100" s="31">
        <v>97.0</v>
      </c>
      <c r="C100" s="35" t="s">
        <v>2527</v>
      </c>
      <c r="D100" s="35" t="s">
        <v>6129</v>
      </c>
      <c r="E100" s="36" t="s">
        <v>49</v>
      </c>
      <c r="G100" s="446" t="s">
        <v>515</v>
      </c>
      <c r="H100" s="446" t="s">
        <v>5598</v>
      </c>
      <c r="I100" s="446" t="s">
        <v>3542</v>
      </c>
      <c r="J100" s="446" t="s">
        <v>5582</v>
      </c>
      <c r="K100" s="459"/>
      <c r="L100" s="448" t="s">
        <v>6131</v>
      </c>
      <c r="M100" s="89" t="str">
        <f t="shared" si="2"/>
        <v>larep097@legis.la.gov</v>
      </c>
      <c r="N100" s="89"/>
      <c r="O100" s="450"/>
      <c r="P100" s="89"/>
      <c r="Q100" s="89"/>
      <c r="R100" s="452" t="s">
        <v>6106</v>
      </c>
    </row>
    <row r="101">
      <c r="A101" s="14" t="s">
        <v>44</v>
      </c>
      <c r="B101" s="31">
        <v>98.0</v>
      </c>
      <c r="C101" s="35" t="s">
        <v>500</v>
      </c>
      <c r="D101" s="35" t="s">
        <v>6133</v>
      </c>
      <c r="E101" s="36" t="s">
        <v>49</v>
      </c>
      <c r="G101" s="446" t="s">
        <v>6134</v>
      </c>
      <c r="H101" s="446" t="s">
        <v>6135</v>
      </c>
      <c r="I101" s="446" t="s">
        <v>5635</v>
      </c>
      <c r="J101" s="446" t="s">
        <v>6136</v>
      </c>
      <c r="K101" s="459"/>
      <c r="L101" s="448" t="s">
        <v>6138</v>
      </c>
      <c r="M101" s="89" t="str">
        <f t="shared" si="2"/>
        <v>larep098@legis.la.gov</v>
      </c>
      <c r="N101" s="89"/>
      <c r="O101" s="450"/>
      <c r="P101" s="89"/>
      <c r="Q101" s="89"/>
      <c r="R101" s="452" t="s">
        <v>6106</v>
      </c>
    </row>
    <row r="102">
      <c r="A102" s="14" t="s">
        <v>44</v>
      </c>
      <c r="B102" s="31">
        <v>99.0</v>
      </c>
      <c r="C102" s="35" t="s">
        <v>455</v>
      </c>
      <c r="D102" s="35" t="s">
        <v>2362</v>
      </c>
      <c r="E102" s="36" t="s">
        <v>49</v>
      </c>
      <c r="G102" s="446" t="s">
        <v>781</v>
      </c>
      <c r="H102" s="446" t="s">
        <v>5597</v>
      </c>
      <c r="I102" s="446" t="s">
        <v>3542</v>
      </c>
      <c r="J102" s="446" t="s">
        <v>5583</v>
      </c>
      <c r="K102" s="459"/>
      <c r="L102" s="448" t="s">
        <v>6140</v>
      </c>
      <c r="M102" s="89" t="str">
        <f t="shared" si="2"/>
        <v>larep099@legis.la.gov</v>
      </c>
      <c r="N102" s="89"/>
      <c r="O102" s="450"/>
      <c r="P102" s="89"/>
      <c r="Q102" s="89"/>
      <c r="R102" s="452" t="s">
        <v>6106</v>
      </c>
    </row>
    <row r="103">
      <c r="A103" s="14" t="s">
        <v>44</v>
      </c>
      <c r="B103" s="31">
        <v>100.0</v>
      </c>
      <c r="C103" s="35" t="s">
        <v>278</v>
      </c>
      <c r="D103" s="35" t="s">
        <v>6143</v>
      </c>
      <c r="E103" s="36" t="s">
        <v>49</v>
      </c>
      <c r="G103" s="446" t="s">
        <v>5605</v>
      </c>
      <c r="H103" s="446" t="s">
        <v>781</v>
      </c>
      <c r="I103" s="446" t="s">
        <v>5657</v>
      </c>
      <c r="J103" s="446" t="s">
        <v>5658</v>
      </c>
      <c r="K103" s="459"/>
      <c r="L103" s="448" t="s">
        <v>6144</v>
      </c>
      <c r="M103" s="89" t="str">
        <f t="shared" ref="M103:M108" si="3">concatenate("larep",B103,"@legis.la.gov")</f>
        <v>larep100@legis.la.gov</v>
      </c>
      <c r="N103" s="89"/>
      <c r="O103" s="450"/>
      <c r="P103" s="89"/>
      <c r="Q103" s="89"/>
      <c r="R103" s="452" t="s">
        <v>6106</v>
      </c>
    </row>
    <row r="104">
      <c r="A104" s="14" t="s">
        <v>44</v>
      </c>
      <c r="B104" s="31">
        <v>101.0</v>
      </c>
      <c r="C104" s="35" t="s">
        <v>2705</v>
      </c>
      <c r="D104" s="35" t="s">
        <v>930</v>
      </c>
      <c r="E104" s="36" t="s">
        <v>49</v>
      </c>
      <c r="G104" s="446" t="s">
        <v>5605</v>
      </c>
      <c r="H104" s="446" t="s">
        <v>5617</v>
      </c>
      <c r="I104" s="446" t="s">
        <v>3542</v>
      </c>
      <c r="J104" s="446" t="s">
        <v>5583</v>
      </c>
      <c r="K104" s="459"/>
      <c r="L104" s="448" t="s">
        <v>6148</v>
      </c>
      <c r="M104" s="89" t="str">
        <f t="shared" si="3"/>
        <v>larep101@legis.la.gov</v>
      </c>
      <c r="N104" s="89"/>
      <c r="O104" s="450"/>
      <c r="P104" s="89"/>
      <c r="Q104" s="89"/>
      <c r="R104" s="452" t="s">
        <v>5969</v>
      </c>
    </row>
    <row r="105">
      <c r="A105" s="14" t="s">
        <v>44</v>
      </c>
      <c r="B105" s="31">
        <v>102.0</v>
      </c>
      <c r="C105" s="35" t="s">
        <v>199</v>
      </c>
      <c r="D105" s="35" t="s">
        <v>1256</v>
      </c>
      <c r="E105" s="36" t="s">
        <v>49</v>
      </c>
      <c r="G105" s="446" t="s">
        <v>781</v>
      </c>
      <c r="H105" s="446" t="s">
        <v>626</v>
      </c>
      <c r="I105" s="446" t="s">
        <v>5597</v>
      </c>
      <c r="J105" s="446" t="s">
        <v>5635</v>
      </c>
      <c r="K105" s="459"/>
      <c r="L105" s="448" t="s">
        <v>6150</v>
      </c>
      <c r="M105" s="89" t="str">
        <f t="shared" si="3"/>
        <v>larep102@legis.la.gov</v>
      </c>
      <c r="N105" s="89"/>
      <c r="O105" s="450"/>
      <c r="P105" s="89"/>
      <c r="Q105" s="89"/>
      <c r="R105" s="452" t="s">
        <v>6106</v>
      </c>
    </row>
    <row r="106">
      <c r="A106" s="14" t="s">
        <v>44</v>
      </c>
      <c r="B106" s="31">
        <v>103.0</v>
      </c>
      <c r="C106" s="35" t="s">
        <v>2250</v>
      </c>
      <c r="D106" s="35" t="s">
        <v>6156</v>
      </c>
      <c r="E106" s="51" t="s">
        <v>53</v>
      </c>
      <c r="G106" s="446" t="s">
        <v>6157</v>
      </c>
      <c r="H106" s="446" t="s">
        <v>5625</v>
      </c>
      <c r="I106" s="446" t="s">
        <v>6158</v>
      </c>
      <c r="J106" s="314"/>
      <c r="K106" s="459"/>
      <c r="L106" s="448" t="s">
        <v>6159</v>
      </c>
      <c r="M106" s="89" t="str">
        <f t="shared" si="3"/>
        <v>larep103@legis.la.gov</v>
      </c>
      <c r="N106" s="89"/>
      <c r="O106" s="450"/>
      <c r="P106" s="89"/>
      <c r="Q106" s="89"/>
      <c r="R106" s="452" t="s">
        <v>6161</v>
      </c>
    </row>
    <row r="107">
      <c r="A107" s="14" t="s">
        <v>44</v>
      </c>
      <c r="B107" s="31">
        <v>104.0</v>
      </c>
      <c r="C107" s="35" t="s">
        <v>679</v>
      </c>
      <c r="D107" s="35" t="s">
        <v>511</v>
      </c>
      <c r="E107" s="51" t="s">
        <v>53</v>
      </c>
      <c r="G107" s="446" t="s">
        <v>6167</v>
      </c>
      <c r="H107" s="446" t="s">
        <v>5613</v>
      </c>
      <c r="I107" s="446" t="s">
        <v>5816</v>
      </c>
      <c r="J107" s="446" t="s">
        <v>5582</v>
      </c>
      <c r="K107" s="459"/>
      <c r="L107" s="448" t="s">
        <v>6168</v>
      </c>
      <c r="M107" s="89" t="str">
        <f t="shared" si="3"/>
        <v>larep104@legis.la.gov</v>
      </c>
      <c r="N107" s="89"/>
      <c r="O107" s="450"/>
      <c r="P107" s="89"/>
      <c r="Q107" s="89"/>
      <c r="R107" s="452" t="s">
        <v>6043</v>
      </c>
    </row>
    <row r="108">
      <c r="A108" s="14" t="s">
        <v>44</v>
      </c>
      <c r="B108" s="31">
        <v>105.0</v>
      </c>
      <c r="C108" s="35" t="s">
        <v>173</v>
      </c>
      <c r="D108" s="35" t="s">
        <v>6175</v>
      </c>
      <c r="E108" s="51" t="s">
        <v>53</v>
      </c>
      <c r="G108" s="446" t="s">
        <v>781</v>
      </c>
      <c r="H108" s="446" t="s">
        <v>6176</v>
      </c>
      <c r="I108" s="446" t="s">
        <v>652</v>
      </c>
      <c r="J108" s="446" t="s">
        <v>6177</v>
      </c>
      <c r="K108" s="459"/>
      <c r="L108" s="448" t="s">
        <v>6178</v>
      </c>
      <c r="M108" s="89" t="str">
        <f t="shared" si="3"/>
        <v>larep105@legis.la.gov</v>
      </c>
      <c r="N108" s="89"/>
      <c r="O108" s="450"/>
      <c r="P108" s="89"/>
      <c r="Q108" s="89"/>
      <c r="R108" s="452" t="s">
        <v>6179</v>
      </c>
    </row>
    <row r="109">
      <c r="A109" s="157"/>
      <c r="B109" s="286"/>
      <c r="C109" s="288"/>
      <c r="D109" s="288"/>
      <c r="E109" s="286"/>
      <c r="F109" s="290"/>
      <c r="G109" s="488"/>
      <c r="H109" s="488"/>
      <c r="I109" s="344"/>
      <c r="J109" s="344"/>
      <c r="K109" s="489"/>
      <c r="L109" s="490"/>
      <c r="M109" s="490"/>
      <c r="N109" s="490"/>
      <c r="O109" s="490"/>
      <c r="P109" s="490"/>
      <c r="Q109" s="490"/>
      <c r="R109" s="288"/>
      <c r="S109" s="70"/>
      <c r="T109" s="70"/>
      <c r="U109" s="70"/>
      <c r="V109" s="70"/>
      <c r="W109" s="70"/>
      <c r="X109" s="70"/>
      <c r="Y109" s="70"/>
      <c r="Z109" s="70"/>
      <c r="AA109" s="70"/>
      <c r="AB109" s="70"/>
      <c r="AC109" s="70"/>
      <c r="AD109" s="70"/>
    </row>
    <row r="110">
      <c r="A110" s="14" t="s">
        <v>286</v>
      </c>
      <c r="B110" s="31">
        <v>1.0</v>
      </c>
      <c r="C110" s="35" t="s">
        <v>1863</v>
      </c>
      <c r="D110" s="35" t="s">
        <v>6191</v>
      </c>
      <c r="E110" s="51" t="s">
        <v>53</v>
      </c>
      <c r="F110" s="445"/>
      <c r="G110" s="493" t="s">
        <v>6192</v>
      </c>
      <c r="H110" s="493" t="s">
        <v>1264</v>
      </c>
      <c r="I110" s="493" t="s">
        <v>6215</v>
      </c>
      <c r="J110" s="493" t="s">
        <v>6235</v>
      </c>
      <c r="K110" s="495"/>
      <c r="L110" s="496" t="s">
        <v>6260</v>
      </c>
      <c r="M110" s="89" t="str">
        <f t="shared" ref="M110:M148" si="4">concatenate(lower(D110),lower(left(C110,1)),"@legis.la.gov")</f>
        <v>hewitts@legis.la.gov</v>
      </c>
      <c r="N110" s="89"/>
      <c r="O110" s="498">
        <v>2015.0</v>
      </c>
      <c r="P110" s="89"/>
      <c r="Q110" s="89"/>
      <c r="R110" s="452" t="s">
        <v>6296</v>
      </c>
    </row>
    <row r="111">
      <c r="A111" s="14" t="s">
        <v>286</v>
      </c>
      <c r="B111" s="31">
        <v>2.0</v>
      </c>
      <c r="C111" s="35" t="s">
        <v>636</v>
      </c>
      <c r="D111" s="35" t="s">
        <v>906</v>
      </c>
      <c r="E111" s="36" t="s">
        <v>49</v>
      </c>
      <c r="F111" s="445"/>
      <c r="G111" s="493" t="s">
        <v>6325</v>
      </c>
      <c r="H111" s="493" t="s">
        <v>6341</v>
      </c>
      <c r="I111" s="493" t="s">
        <v>6215</v>
      </c>
      <c r="J111" s="493" t="s">
        <v>6367</v>
      </c>
      <c r="K111" s="495"/>
      <c r="L111" s="496" t="s">
        <v>6377</v>
      </c>
      <c r="M111" s="89" t="str">
        <f t="shared" si="4"/>
        <v>pricee@legis.la.gov</v>
      </c>
      <c r="N111" s="89"/>
      <c r="O111" s="503" t="s">
        <v>6380</v>
      </c>
      <c r="P111" s="89"/>
      <c r="Q111" s="89"/>
      <c r="R111" s="452" t="s">
        <v>1151</v>
      </c>
    </row>
    <row r="112">
      <c r="A112" s="14" t="s">
        <v>286</v>
      </c>
      <c r="B112" s="31">
        <v>3.0</v>
      </c>
      <c r="C112" s="35" t="s">
        <v>5861</v>
      </c>
      <c r="D112" s="35" t="s">
        <v>2164</v>
      </c>
      <c r="E112" s="36" t="s">
        <v>49</v>
      </c>
      <c r="F112" s="445"/>
      <c r="G112" s="504" t="s">
        <v>6459</v>
      </c>
      <c r="H112" s="493" t="s">
        <v>6470</v>
      </c>
      <c r="I112" s="493" t="s">
        <v>6477</v>
      </c>
      <c r="J112" s="493" t="s">
        <v>6483</v>
      </c>
      <c r="K112" s="495"/>
      <c r="L112" s="496" t="s">
        <v>6496</v>
      </c>
      <c r="M112" s="89" t="str">
        <f t="shared" si="4"/>
        <v>morrellj@legis.la.gov</v>
      </c>
      <c r="N112" s="89"/>
      <c r="O112" s="498" t="s">
        <v>6498</v>
      </c>
      <c r="P112" s="89"/>
      <c r="Q112" s="89"/>
      <c r="R112" s="452" t="s">
        <v>6499</v>
      </c>
    </row>
    <row r="113">
      <c r="A113" s="14" t="s">
        <v>286</v>
      </c>
      <c r="B113" s="31">
        <v>4.0</v>
      </c>
      <c r="C113" s="35" t="s">
        <v>4969</v>
      </c>
      <c r="D113" s="35" t="s">
        <v>302</v>
      </c>
      <c r="E113" s="36" t="s">
        <v>49</v>
      </c>
      <c r="F113" s="445"/>
      <c r="G113" s="504" t="s">
        <v>6525</v>
      </c>
      <c r="H113" s="493" t="s">
        <v>6532</v>
      </c>
      <c r="I113" s="493" t="s">
        <v>1264</v>
      </c>
      <c r="J113" s="493" t="s">
        <v>6477</v>
      </c>
      <c r="K113" s="512"/>
      <c r="L113" s="496" t="s">
        <v>6548</v>
      </c>
      <c r="M113" s="89" t="str">
        <f t="shared" si="4"/>
        <v>bishopw@legis.la.gov</v>
      </c>
      <c r="N113" s="89"/>
      <c r="O113" s="498">
        <v>2015.0</v>
      </c>
      <c r="P113" s="89"/>
      <c r="Q113" s="89"/>
      <c r="R113" s="452" t="s">
        <v>6499</v>
      </c>
    </row>
    <row r="114">
      <c r="A114" s="14" t="s">
        <v>286</v>
      </c>
      <c r="B114" s="31">
        <v>5.0</v>
      </c>
      <c r="C114" s="35" t="s">
        <v>1153</v>
      </c>
      <c r="D114" s="35" t="s">
        <v>6554</v>
      </c>
      <c r="E114" s="36" t="s">
        <v>49</v>
      </c>
      <c r="F114" s="445"/>
      <c r="G114" s="504" t="s">
        <v>6459</v>
      </c>
      <c r="H114" s="493" t="s">
        <v>6556</v>
      </c>
      <c r="I114" s="493" t="s">
        <v>6561</v>
      </c>
      <c r="J114" s="493" t="s">
        <v>6563</v>
      </c>
      <c r="K114" s="512"/>
      <c r="L114" s="496" t="s">
        <v>6568</v>
      </c>
      <c r="M114" s="89" t="str">
        <f t="shared" si="4"/>
        <v>petersonk@legis.la.gov</v>
      </c>
      <c r="N114" s="89"/>
      <c r="O114" s="498" t="s">
        <v>6569</v>
      </c>
      <c r="P114" s="89"/>
      <c r="Q114" s="89"/>
      <c r="R114" s="452" t="s">
        <v>6499</v>
      </c>
    </row>
    <row r="115">
      <c r="A115" s="14" t="s">
        <v>286</v>
      </c>
      <c r="B115" s="31">
        <v>6.0</v>
      </c>
      <c r="C115" s="35" t="s">
        <v>6571</v>
      </c>
      <c r="D115" s="35" t="s">
        <v>6034</v>
      </c>
      <c r="E115" s="51" t="s">
        <v>53</v>
      </c>
      <c r="F115" s="445"/>
      <c r="G115" s="504" t="s">
        <v>6584</v>
      </c>
      <c r="H115" s="493" t="s">
        <v>6588</v>
      </c>
      <c r="I115" s="493" t="s">
        <v>515</v>
      </c>
      <c r="J115" s="493" t="s">
        <v>1264</v>
      </c>
      <c r="K115" s="495"/>
      <c r="L115" s="496" t="s">
        <v>6591</v>
      </c>
      <c r="M115" s="89" t="str">
        <f t="shared" si="4"/>
        <v>whiteb@legis.la.gov</v>
      </c>
      <c r="N115" s="89"/>
      <c r="O115" s="498">
        <v>2011.0</v>
      </c>
      <c r="P115" s="89"/>
      <c r="Q115" s="89"/>
      <c r="R115" s="452" t="s">
        <v>6593</v>
      </c>
    </row>
    <row r="116">
      <c r="A116" s="14" t="s">
        <v>286</v>
      </c>
      <c r="B116" s="31">
        <v>7.0</v>
      </c>
      <c r="C116" s="35" t="s">
        <v>3163</v>
      </c>
      <c r="D116" s="35" t="s">
        <v>1256</v>
      </c>
      <c r="E116" s="36" t="s">
        <v>49</v>
      </c>
      <c r="F116" s="445"/>
      <c r="G116" s="504" t="s">
        <v>6584</v>
      </c>
      <c r="H116" s="493" t="s">
        <v>6598</v>
      </c>
      <c r="I116" s="493" t="s">
        <v>6563</v>
      </c>
      <c r="J116" s="493" t="s">
        <v>6483</v>
      </c>
      <c r="K116" s="512"/>
      <c r="L116" s="496" t="s">
        <v>6601</v>
      </c>
      <c r="M116" s="89" t="str">
        <f t="shared" si="4"/>
        <v>cartert@legis.la.gov</v>
      </c>
      <c r="N116" s="89"/>
      <c r="O116" s="498">
        <v>2015.0</v>
      </c>
      <c r="P116" s="89"/>
      <c r="Q116" s="89"/>
      <c r="R116" s="452" t="s">
        <v>6499</v>
      </c>
    </row>
    <row r="117">
      <c r="A117" s="14" t="s">
        <v>286</v>
      </c>
      <c r="B117" s="31">
        <v>8.0</v>
      </c>
      <c r="C117" s="35" t="s">
        <v>278</v>
      </c>
      <c r="D117" s="295" t="s">
        <v>6603</v>
      </c>
      <c r="E117" s="51" t="s">
        <v>53</v>
      </c>
      <c r="F117" s="507" t="s">
        <v>291</v>
      </c>
      <c r="G117" s="493" t="s">
        <v>6604</v>
      </c>
      <c r="H117" s="515"/>
      <c r="I117" s="516"/>
      <c r="J117" s="331"/>
      <c r="K117" s="517" t="s">
        <v>6606</v>
      </c>
      <c r="L117" s="496" t="s">
        <v>6607</v>
      </c>
      <c r="M117" s="89" t="str">
        <f t="shared" si="4"/>
        <v>alarioj@legis.la.gov</v>
      </c>
      <c r="N117" s="89"/>
      <c r="O117" s="498">
        <v>2007.0</v>
      </c>
      <c r="P117" s="89"/>
      <c r="Q117" s="89"/>
      <c r="R117" s="452" t="s">
        <v>6609</v>
      </c>
    </row>
    <row r="118">
      <c r="A118" s="14" t="s">
        <v>286</v>
      </c>
      <c r="B118" s="31">
        <v>9.0</v>
      </c>
      <c r="C118" s="35" t="s">
        <v>6612</v>
      </c>
      <c r="D118" s="35" t="s">
        <v>6614</v>
      </c>
      <c r="E118" s="51" t="s">
        <v>53</v>
      </c>
      <c r="F118" s="445"/>
      <c r="G118" s="493" t="s">
        <v>6615</v>
      </c>
      <c r="H118" s="493" t="s">
        <v>1264</v>
      </c>
      <c r="I118" s="493" t="s">
        <v>515</v>
      </c>
      <c r="J118" s="493" t="s">
        <v>6341</v>
      </c>
      <c r="K118" s="512"/>
      <c r="L118" s="496" t="s">
        <v>6619</v>
      </c>
      <c r="M118" s="89" t="str">
        <f t="shared" si="4"/>
        <v>appelc@legis.la.gov</v>
      </c>
      <c r="N118" s="89"/>
      <c r="O118" s="498" t="s">
        <v>6498</v>
      </c>
      <c r="P118" s="89"/>
      <c r="Q118" s="89"/>
      <c r="R118" s="452" t="s">
        <v>6620</v>
      </c>
    </row>
    <row r="119">
      <c r="A119" s="14" t="s">
        <v>286</v>
      </c>
      <c r="B119" s="31">
        <v>10.0</v>
      </c>
      <c r="C119" s="35" t="s">
        <v>552</v>
      </c>
      <c r="D119" s="35" t="s">
        <v>6621</v>
      </c>
      <c r="E119" s="51" t="s">
        <v>53</v>
      </c>
      <c r="F119" s="445"/>
      <c r="G119" s="504" t="s">
        <v>6525</v>
      </c>
      <c r="H119" s="493" t="s">
        <v>6624</v>
      </c>
      <c r="I119" s="493" t="s">
        <v>6561</v>
      </c>
      <c r="J119" s="493" t="s">
        <v>6604</v>
      </c>
      <c r="K119" s="512"/>
      <c r="L119" s="496" t="s">
        <v>6628</v>
      </c>
      <c r="M119" s="89" t="str">
        <f t="shared" si="4"/>
        <v>martinyd@legis.la.gov</v>
      </c>
      <c r="N119" s="89"/>
      <c r="O119" s="498">
        <v>2007.0</v>
      </c>
      <c r="P119" s="89"/>
      <c r="Q119" s="89"/>
      <c r="R119" s="452" t="s">
        <v>6620</v>
      </c>
    </row>
    <row r="120">
      <c r="A120" s="14" t="s">
        <v>286</v>
      </c>
      <c r="B120" s="31">
        <v>11.0</v>
      </c>
      <c r="C120" s="35" t="s">
        <v>792</v>
      </c>
      <c r="D120" s="35" t="s">
        <v>6632</v>
      </c>
      <c r="E120" s="51" t="s">
        <v>53</v>
      </c>
      <c r="F120" s="445"/>
      <c r="G120" s="515"/>
      <c r="H120" s="515"/>
      <c r="I120" s="516"/>
      <c r="J120" s="331"/>
      <c r="K120" s="495"/>
      <c r="L120" s="89"/>
      <c r="M120" s="89" t="str">
        <f t="shared" si="4"/>
        <v>donahuej@legis.la.gov</v>
      </c>
      <c r="N120" s="89"/>
      <c r="O120" s="498">
        <v>2007.0</v>
      </c>
      <c r="P120" s="89"/>
      <c r="Q120" s="89"/>
      <c r="R120" s="452" t="s">
        <v>6633</v>
      </c>
    </row>
    <row r="121">
      <c r="A121" s="14" t="s">
        <v>286</v>
      </c>
      <c r="B121" s="31">
        <v>12.0</v>
      </c>
      <c r="C121" s="35" t="s">
        <v>2842</v>
      </c>
      <c r="D121" s="35" t="s">
        <v>6640</v>
      </c>
      <c r="E121" s="51" t="s">
        <v>53</v>
      </c>
      <c r="F121" s="445"/>
      <c r="G121" s="515"/>
      <c r="H121" s="515"/>
      <c r="I121" s="516"/>
      <c r="J121" s="331"/>
      <c r="K121" s="495"/>
      <c r="L121" s="89"/>
      <c r="M121" s="89" t="str">
        <f t="shared" si="4"/>
        <v>mizellb@legis.la.gov</v>
      </c>
      <c r="N121" s="89"/>
      <c r="O121" s="498">
        <v>2015.0</v>
      </c>
      <c r="P121" s="89"/>
      <c r="Q121" s="89"/>
      <c r="R121" s="452" t="s">
        <v>6641</v>
      </c>
    </row>
    <row r="122">
      <c r="A122" s="14" t="s">
        <v>286</v>
      </c>
      <c r="B122" s="31">
        <v>13.0</v>
      </c>
      <c r="C122" s="35" t="s">
        <v>3296</v>
      </c>
      <c r="D122" s="35" t="s">
        <v>6644</v>
      </c>
      <c r="E122" s="51" t="s">
        <v>53</v>
      </c>
      <c r="F122" s="445"/>
      <c r="G122" s="515"/>
      <c r="H122" s="515"/>
      <c r="I122" s="516"/>
      <c r="J122" s="331"/>
      <c r="K122" s="495"/>
      <c r="L122" s="89"/>
      <c r="M122" s="89" t="str">
        <f t="shared" si="4"/>
        <v>erdeyd@legis.la.gov</v>
      </c>
      <c r="N122" s="89"/>
      <c r="O122" s="498">
        <v>2007.0</v>
      </c>
      <c r="P122" s="89"/>
      <c r="Q122" s="89"/>
      <c r="R122" s="452" t="s">
        <v>859</v>
      </c>
    </row>
    <row r="123">
      <c r="A123" s="14" t="s">
        <v>286</v>
      </c>
      <c r="B123" s="31">
        <v>14.0</v>
      </c>
      <c r="C123" s="35" t="s">
        <v>6647</v>
      </c>
      <c r="D123" s="35" t="s">
        <v>6651</v>
      </c>
      <c r="E123" s="36" t="s">
        <v>49</v>
      </c>
      <c r="F123" s="445"/>
      <c r="G123" s="515"/>
      <c r="H123" s="515"/>
      <c r="I123" s="516"/>
      <c r="J123" s="331"/>
      <c r="K123" s="512"/>
      <c r="L123" s="89"/>
      <c r="M123" s="89" t="str">
        <f t="shared" si="4"/>
        <v>dorsey-colomby@legis.la.gov</v>
      </c>
      <c r="N123" s="89"/>
      <c r="O123" s="498">
        <v>2007.0</v>
      </c>
      <c r="P123" s="89"/>
      <c r="Q123" s="89"/>
      <c r="R123" s="452" t="s">
        <v>6593</v>
      </c>
    </row>
    <row r="124">
      <c r="A124" s="14" t="s">
        <v>286</v>
      </c>
      <c r="B124" s="31">
        <v>15.0</v>
      </c>
      <c r="C124" s="35" t="s">
        <v>659</v>
      </c>
      <c r="D124" s="35" t="s">
        <v>6652</v>
      </c>
      <c r="E124" s="36" t="s">
        <v>49</v>
      </c>
      <c r="F124" s="445"/>
      <c r="G124" s="515"/>
      <c r="H124" s="515"/>
      <c r="I124" s="516"/>
      <c r="J124" s="331"/>
      <c r="K124" s="512"/>
      <c r="L124" s="89"/>
      <c r="M124" s="89" t="str">
        <f t="shared" si="4"/>
        <v>barrowr@legis.la.gov</v>
      </c>
      <c r="N124" s="89"/>
      <c r="O124" s="498">
        <v>2015.0</v>
      </c>
      <c r="P124" s="89"/>
      <c r="Q124" s="89"/>
      <c r="R124" s="452" t="s">
        <v>6593</v>
      </c>
    </row>
    <row r="125">
      <c r="A125" s="14" t="s">
        <v>286</v>
      </c>
      <c r="B125" s="31">
        <v>16.0</v>
      </c>
      <c r="C125" s="35" t="s">
        <v>239</v>
      </c>
      <c r="D125" s="35" t="s">
        <v>6656</v>
      </c>
      <c r="E125" s="51" t="s">
        <v>53</v>
      </c>
      <c r="F125" s="445"/>
      <c r="G125" s="515"/>
      <c r="H125" s="515"/>
      <c r="I125" s="516"/>
      <c r="J125" s="331"/>
      <c r="K125" s="512"/>
      <c r="L125" s="89"/>
      <c r="M125" s="89" t="str">
        <f t="shared" si="4"/>
        <v>claitord@legis.la.gov</v>
      </c>
      <c r="N125" s="89"/>
      <c r="O125" s="498" t="s">
        <v>6657</v>
      </c>
      <c r="P125" s="89"/>
      <c r="Q125" s="89"/>
      <c r="R125" s="452" t="s">
        <v>6593</v>
      </c>
    </row>
    <row r="126">
      <c r="A126" s="14" t="s">
        <v>286</v>
      </c>
      <c r="B126" s="31">
        <v>17.0</v>
      </c>
      <c r="C126" s="35" t="s">
        <v>1291</v>
      </c>
      <c r="D126" s="38" t="s">
        <v>919</v>
      </c>
      <c r="E126" s="51" t="s">
        <v>53</v>
      </c>
      <c r="F126" s="445"/>
      <c r="G126" s="515"/>
      <c r="H126" s="515"/>
      <c r="I126" s="516"/>
      <c r="J126" s="331"/>
      <c r="K126" s="495"/>
      <c r="L126" s="89"/>
      <c r="M126" s="89" t="str">
        <f t="shared" si="4"/>
        <v>wardr@legis.la.gov</v>
      </c>
      <c r="N126" s="89"/>
      <c r="O126" s="498">
        <v>2011.0</v>
      </c>
      <c r="P126" s="89"/>
      <c r="Q126" s="89"/>
      <c r="R126" s="452" t="s">
        <v>6663</v>
      </c>
    </row>
    <row r="127">
      <c r="A127" s="14" t="s">
        <v>286</v>
      </c>
      <c r="B127" s="31">
        <v>18.0</v>
      </c>
      <c r="C127" s="35" t="s">
        <v>1237</v>
      </c>
      <c r="D127" s="35" t="s">
        <v>6671</v>
      </c>
      <c r="E127" s="51" t="s">
        <v>53</v>
      </c>
      <c r="F127" s="138"/>
      <c r="G127" s="516"/>
      <c r="H127" s="516"/>
      <c r="I127" s="516"/>
      <c r="J127" s="331"/>
      <c r="K127" s="495"/>
      <c r="L127" s="89"/>
      <c r="M127" s="89" t="str">
        <f t="shared" si="4"/>
        <v>lamberte@legis.la.gov</v>
      </c>
      <c r="N127" s="89"/>
      <c r="O127" s="498">
        <v>2015.0</v>
      </c>
      <c r="P127" s="89"/>
      <c r="Q127" s="89"/>
      <c r="R127" s="452" t="s">
        <v>6672</v>
      </c>
    </row>
    <row r="128">
      <c r="A128" s="14" t="s">
        <v>286</v>
      </c>
      <c r="B128" s="31">
        <v>19.0</v>
      </c>
      <c r="C128" s="35" t="s">
        <v>199</v>
      </c>
      <c r="D128" s="35" t="s">
        <v>6678</v>
      </c>
      <c r="E128" s="36" t="s">
        <v>49</v>
      </c>
      <c r="G128" s="331"/>
      <c r="H128" s="331"/>
      <c r="I128" s="331"/>
      <c r="J128" s="331"/>
      <c r="K128" s="495"/>
      <c r="L128" s="89"/>
      <c r="M128" s="89" t="str">
        <f t="shared" si="4"/>
        <v>smith,g@legis.la.gov</v>
      </c>
      <c r="N128" s="89"/>
      <c r="O128" s="498">
        <v>2011.0</v>
      </c>
      <c r="P128" s="89"/>
      <c r="Q128" s="89"/>
      <c r="R128" s="452" t="s">
        <v>6681</v>
      </c>
    </row>
    <row r="129">
      <c r="A129" s="14" t="s">
        <v>286</v>
      </c>
      <c r="B129" s="31">
        <v>20.0</v>
      </c>
      <c r="C129" s="35" t="s">
        <v>6684</v>
      </c>
      <c r="D129" s="35" t="s">
        <v>6687</v>
      </c>
      <c r="E129" s="51" t="s">
        <v>53</v>
      </c>
      <c r="G129" s="331"/>
      <c r="H129" s="331"/>
      <c r="I129" s="331"/>
      <c r="J129" s="331"/>
      <c r="K129" s="495"/>
      <c r="L129" s="89"/>
      <c r="M129" s="89" t="str">
        <f t="shared" si="4"/>
        <v>chabertn@legis.la.gov</v>
      </c>
      <c r="N129" s="89"/>
      <c r="O129" s="498" t="s">
        <v>6657</v>
      </c>
      <c r="P129" s="89"/>
      <c r="Q129" s="89"/>
      <c r="R129" s="452" t="s">
        <v>6689</v>
      </c>
    </row>
    <row r="130">
      <c r="A130" s="14" t="s">
        <v>286</v>
      </c>
      <c r="B130" s="31">
        <v>21.0</v>
      </c>
      <c r="C130" s="35" t="s">
        <v>787</v>
      </c>
      <c r="D130" s="35" t="s">
        <v>6695</v>
      </c>
      <c r="E130" s="51" t="s">
        <v>53</v>
      </c>
      <c r="G130" s="331"/>
      <c r="H130" s="331"/>
      <c r="I130" s="331"/>
      <c r="J130" s="331"/>
      <c r="K130" s="495"/>
      <c r="L130" s="89"/>
      <c r="M130" s="89" t="str">
        <f t="shared" si="4"/>
        <v>allainb@legis.la.gov</v>
      </c>
      <c r="N130" s="89"/>
      <c r="O130" s="498">
        <v>2011.0</v>
      </c>
      <c r="P130" s="89"/>
      <c r="Q130" s="89"/>
      <c r="R130" s="452" t="s">
        <v>2670</v>
      </c>
    </row>
    <row r="131">
      <c r="A131" s="14" t="s">
        <v>286</v>
      </c>
      <c r="B131" s="31">
        <v>22.0</v>
      </c>
      <c r="C131" s="35" t="s">
        <v>1242</v>
      </c>
      <c r="D131" s="38" t="s">
        <v>5314</v>
      </c>
      <c r="E131" s="51" t="s">
        <v>53</v>
      </c>
      <c r="G131" s="331"/>
      <c r="H131" s="331"/>
      <c r="I131" s="331"/>
      <c r="J131" s="331"/>
      <c r="K131" s="495"/>
      <c r="L131" s="89"/>
      <c r="M131" s="89" t="str">
        <f t="shared" si="4"/>
        <v>millsf@legis.la.gov</v>
      </c>
      <c r="N131" s="89"/>
      <c r="O131" s="498" t="s">
        <v>6701</v>
      </c>
      <c r="P131" s="89"/>
      <c r="Q131" s="89"/>
      <c r="R131" s="452" t="s">
        <v>6702</v>
      </c>
    </row>
    <row r="132">
      <c r="A132" s="14" t="s">
        <v>286</v>
      </c>
      <c r="B132" s="31">
        <v>23.0</v>
      </c>
      <c r="C132" s="35" t="s">
        <v>6705</v>
      </c>
      <c r="D132" s="35" t="s">
        <v>6709</v>
      </c>
      <c r="E132" s="51" t="s">
        <v>53</v>
      </c>
      <c r="G132" s="331"/>
      <c r="H132" s="331"/>
      <c r="I132" s="331"/>
      <c r="J132" s="331"/>
      <c r="K132" s="495"/>
      <c r="L132" s="89"/>
      <c r="M132" s="89" t="str">
        <f t="shared" si="4"/>
        <v>cortezp@legis.la.gov</v>
      </c>
      <c r="N132" s="89"/>
      <c r="O132" s="498">
        <v>2011.0</v>
      </c>
      <c r="P132" s="89"/>
      <c r="Q132" s="89"/>
      <c r="R132" s="452" t="s">
        <v>1710</v>
      </c>
    </row>
    <row r="133">
      <c r="A133" s="14" t="s">
        <v>286</v>
      </c>
      <c r="B133" s="31">
        <v>24.0</v>
      </c>
      <c r="C133" s="35" t="s">
        <v>987</v>
      </c>
      <c r="D133" s="35" t="s">
        <v>6714</v>
      </c>
      <c r="E133" s="36" t="s">
        <v>49</v>
      </c>
      <c r="G133" s="331"/>
      <c r="H133" s="331"/>
      <c r="I133" s="331"/>
      <c r="J133" s="331"/>
      <c r="K133" s="495"/>
      <c r="L133" s="89"/>
      <c r="M133" s="89" t="str">
        <f t="shared" si="4"/>
        <v>boudreauxg@legis.la.gov</v>
      </c>
      <c r="N133" s="89"/>
      <c r="O133" s="498">
        <v>2015.0</v>
      </c>
      <c r="P133" s="89"/>
      <c r="Q133" s="89"/>
      <c r="R133" s="452" t="s">
        <v>1710</v>
      </c>
    </row>
    <row r="134">
      <c r="A134" s="14" t="s">
        <v>286</v>
      </c>
      <c r="B134" s="31">
        <v>25.0</v>
      </c>
      <c r="C134" s="35" t="s">
        <v>239</v>
      </c>
      <c r="D134" s="35" t="s">
        <v>6721</v>
      </c>
      <c r="E134" s="51" t="s">
        <v>53</v>
      </c>
      <c r="G134" s="331"/>
      <c r="H134" s="331"/>
      <c r="I134" s="331"/>
      <c r="J134" s="331"/>
      <c r="K134" s="495"/>
      <c r="L134" s="89"/>
      <c r="M134" s="89" t="str">
        <f t="shared" si="4"/>
        <v>morrishd@legis.la.gov</v>
      </c>
      <c r="N134" s="89"/>
      <c r="O134" s="498">
        <v>2007.0</v>
      </c>
      <c r="P134" s="89"/>
      <c r="Q134" s="89"/>
      <c r="R134" s="452" t="s">
        <v>2987</v>
      </c>
    </row>
    <row r="135">
      <c r="A135" s="14" t="s">
        <v>286</v>
      </c>
      <c r="B135" s="31">
        <v>26.0</v>
      </c>
      <c r="C135" s="35" t="s">
        <v>419</v>
      </c>
      <c r="D135" s="35" t="s">
        <v>5870</v>
      </c>
      <c r="E135" s="51" t="s">
        <v>53</v>
      </c>
      <c r="G135" s="331"/>
      <c r="H135" s="331"/>
      <c r="I135" s="331"/>
      <c r="J135" s="331"/>
      <c r="K135" s="495"/>
      <c r="L135" s="89"/>
      <c r="M135" s="89" t="str">
        <f t="shared" si="4"/>
        <v>hensgensb@legis.la.gov</v>
      </c>
      <c r="N135" s="89"/>
      <c r="O135" s="498" t="s">
        <v>6701</v>
      </c>
      <c r="P135" s="89"/>
      <c r="Q135" s="89"/>
      <c r="R135" s="452" t="s">
        <v>6727</v>
      </c>
    </row>
    <row r="136">
      <c r="A136" s="14" t="s">
        <v>286</v>
      </c>
      <c r="B136" s="31">
        <v>27.0</v>
      </c>
      <c r="C136" s="35" t="s">
        <v>4848</v>
      </c>
      <c r="D136" s="35" t="s">
        <v>6734</v>
      </c>
      <c r="E136" s="51" t="s">
        <v>53</v>
      </c>
      <c r="G136" s="331"/>
      <c r="H136" s="331"/>
      <c r="I136" s="331"/>
      <c r="J136" s="331"/>
      <c r="K136" s="495"/>
      <c r="L136" s="89"/>
      <c r="M136" s="89" t="str">
        <f t="shared" si="4"/>
        <v>johnsr@legis.la.gov</v>
      </c>
      <c r="N136" s="89"/>
      <c r="O136" s="498">
        <v>2011.0</v>
      </c>
      <c r="P136" s="89"/>
      <c r="Q136" s="89"/>
      <c r="R136" s="452" t="s">
        <v>6735</v>
      </c>
    </row>
    <row r="137">
      <c r="A137" s="14" t="s">
        <v>286</v>
      </c>
      <c r="B137" s="31">
        <v>28.0</v>
      </c>
      <c r="C137" s="35" t="s">
        <v>2302</v>
      </c>
      <c r="D137" s="35" t="s">
        <v>6748</v>
      </c>
      <c r="E137" s="36" t="s">
        <v>49</v>
      </c>
      <c r="G137" s="331"/>
      <c r="H137" s="331"/>
      <c r="I137" s="331"/>
      <c r="J137" s="331"/>
      <c r="K137" s="495"/>
      <c r="L137" s="89"/>
      <c r="M137" s="89" t="str">
        <f t="shared" si="4"/>
        <v>lafleure@legis.la.gov</v>
      </c>
      <c r="N137" s="89"/>
      <c r="O137" s="498">
        <v>2007.0</v>
      </c>
      <c r="P137" s="89"/>
      <c r="Q137" s="89"/>
      <c r="R137" s="452" t="s">
        <v>6750</v>
      </c>
    </row>
    <row r="138">
      <c r="A138" s="14" t="s">
        <v>286</v>
      </c>
      <c r="B138" s="31">
        <v>29.0</v>
      </c>
      <c r="C138" s="35" t="s">
        <v>1013</v>
      </c>
      <c r="D138" s="35" t="s">
        <v>6757</v>
      </c>
      <c r="E138" s="36" t="s">
        <v>49</v>
      </c>
      <c r="G138" s="331"/>
      <c r="H138" s="331"/>
      <c r="I138" s="331"/>
      <c r="J138" s="331"/>
      <c r="K138" s="495"/>
      <c r="L138" s="89"/>
      <c r="M138" s="89" t="str">
        <f t="shared" si="4"/>
        <v>luneauj@legis.la.gov</v>
      </c>
      <c r="N138" s="89"/>
      <c r="O138" s="498">
        <v>2015.0</v>
      </c>
      <c r="P138" s="89"/>
      <c r="Q138" s="89"/>
      <c r="R138" s="452" t="s">
        <v>6758</v>
      </c>
    </row>
    <row r="139">
      <c r="A139" s="14" t="s">
        <v>286</v>
      </c>
      <c r="B139" s="31">
        <v>30.0</v>
      </c>
      <c r="C139" s="35" t="s">
        <v>278</v>
      </c>
      <c r="D139" s="35" t="s">
        <v>1451</v>
      </c>
      <c r="E139" s="51" t="s">
        <v>53</v>
      </c>
      <c r="G139" s="331"/>
      <c r="H139" s="331"/>
      <c r="I139" s="331"/>
      <c r="J139" s="331"/>
      <c r="K139" s="495"/>
      <c r="L139" s="89"/>
      <c r="M139" s="89" t="str">
        <f t="shared" si="4"/>
        <v>smithj@legis.la.gov</v>
      </c>
      <c r="N139" s="89"/>
      <c r="O139" s="498">
        <v>2007.0</v>
      </c>
      <c r="P139" s="89"/>
      <c r="Q139" s="89"/>
      <c r="R139" s="452" t="s">
        <v>6764</v>
      </c>
    </row>
    <row r="140">
      <c r="A140" s="14" t="s">
        <v>286</v>
      </c>
      <c r="B140" s="31">
        <v>31.0</v>
      </c>
      <c r="C140" s="35" t="s">
        <v>987</v>
      </c>
      <c r="D140" s="35" t="s">
        <v>4836</v>
      </c>
      <c r="E140" s="51" t="s">
        <v>53</v>
      </c>
      <c r="F140" s="14" t="s">
        <v>2875</v>
      </c>
      <c r="G140" s="331"/>
      <c r="H140" s="331"/>
      <c r="I140" s="331"/>
      <c r="J140" s="331"/>
      <c r="K140" s="495"/>
      <c r="L140" s="89"/>
      <c r="M140" s="89" t="str">
        <f t="shared" si="4"/>
        <v>longg@legis.la.gov</v>
      </c>
      <c r="N140" s="89"/>
      <c r="O140" s="498">
        <v>2007.0</v>
      </c>
      <c r="P140" s="89"/>
      <c r="Q140" s="89"/>
      <c r="R140" s="452" t="s">
        <v>6771</v>
      </c>
    </row>
    <row r="141">
      <c r="A141" s="14" t="s">
        <v>286</v>
      </c>
      <c r="B141" s="31">
        <v>32.0</v>
      </c>
      <c r="C141" s="35" t="s">
        <v>500</v>
      </c>
      <c r="D141" s="35" t="s">
        <v>2</v>
      </c>
      <c r="E141" s="51" t="s">
        <v>53</v>
      </c>
      <c r="G141" s="331"/>
      <c r="H141" s="331"/>
      <c r="I141" s="331"/>
      <c r="J141" s="331"/>
      <c r="K141" s="495"/>
      <c r="L141" s="89"/>
      <c r="M141" s="89" t="str">
        <f t="shared" si="4"/>
        <v>risern@legis.la.gov</v>
      </c>
      <c r="N141" s="89"/>
      <c r="O141" s="498">
        <v>2007.0</v>
      </c>
      <c r="P141" s="89"/>
      <c r="Q141" s="89"/>
      <c r="R141" s="452" t="s">
        <v>6778</v>
      </c>
    </row>
    <row r="142">
      <c r="A142" s="14" t="s">
        <v>286</v>
      </c>
      <c r="B142" s="31">
        <v>33.0</v>
      </c>
      <c r="C142" s="35" t="s">
        <v>157</v>
      </c>
      <c r="D142" s="35" t="s">
        <v>6781</v>
      </c>
      <c r="E142" s="51" t="s">
        <v>53</v>
      </c>
      <c r="G142" s="331"/>
      <c r="H142" s="331"/>
      <c r="I142" s="331"/>
      <c r="J142" s="331"/>
      <c r="K142" s="495"/>
      <c r="L142" s="89"/>
      <c r="M142" s="89" t="str">
        <f t="shared" si="4"/>
        <v>walsworthm@legis.la.gov</v>
      </c>
      <c r="N142" s="89"/>
      <c r="O142" s="498">
        <v>2007.0</v>
      </c>
      <c r="P142" s="89"/>
      <c r="Q142" s="89"/>
      <c r="R142" s="452" t="s">
        <v>6782</v>
      </c>
    </row>
    <row r="143">
      <c r="A143" s="14" t="s">
        <v>286</v>
      </c>
      <c r="B143" s="31">
        <v>34.0</v>
      </c>
      <c r="C143" s="35" t="s">
        <v>3391</v>
      </c>
      <c r="D143" s="35" t="s">
        <v>59</v>
      </c>
      <c r="E143" s="36" t="s">
        <v>49</v>
      </c>
      <c r="G143" s="331"/>
      <c r="H143" s="331"/>
      <c r="I143" s="331"/>
      <c r="J143" s="331"/>
      <c r="K143" s="495"/>
      <c r="L143" s="89"/>
      <c r="M143" s="89" t="str">
        <f t="shared" si="4"/>
        <v>thompsonf@legis.la.gov</v>
      </c>
      <c r="N143" s="89"/>
      <c r="O143" s="498">
        <v>2007.0</v>
      </c>
      <c r="P143" s="89"/>
      <c r="Q143" s="89"/>
      <c r="R143" s="452" t="s">
        <v>6784</v>
      </c>
    </row>
    <row r="144">
      <c r="A144" s="14" t="s">
        <v>286</v>
      </c>
      <c r="B144" s="31">
        <v>35.0</v>
      </c>
      <c r="C144" s="35" t="s">
        <v>930</v>
      </c>
      <c r="D144" s="35" t="s">
        <v>6790</v>
      </c>
      <c r="E144" s="51" t="s">
        <v>53</v>
      </c>
      <c r="G144" s="331"/>
      <c r="H144" s="331"/>
      <c r="I144" s="331"/>
      <c r="J144" s="331"/>
      <c r="K144" s="495"/>
      <c r="L144" s="89"/>
      <c r="M144" s="89" t="str">
        <f t="shared" si="4"/>
        <v>fanninj@legis.la.gov</v>
      </c>
      <c r="N144" s="89"/>
      <c r="O144" s="498">
        <v>2015.0</v>
      </c>
      <c r="P144" s="89"/>
      <c r="Q144" s="89"/>
      <c r="R144" s="452" t="s">
        <v>2208</v>
      </c>
    </row>
    <row r="145">
      <c r="A145" s="14" t="s">
        <v>286</v>
      </c>
      <c r="B145" s="31">
        <v>36.0</v>
      </c>
      <c r="C145" s="35" t="s">
        <v>2780</v>
      </c>
      <c r="D145" s="35" t="s">
        <v>6796</v>
      </c>
      <c r="E145" s="51" t="s">
        <v>53</v>
      </c>
      <c r="G145" s="331"/>
      <c r="H145" s="331"/>
      <c r="I145" s="331"/>
      <c r="J145" s="331"/>
      <c r="K145" s="495"/>
      <c r="L145" s="89"/>
      <c r="M145" s="89" t="str">
        <f t="shared" si="4"/>
        <v>gattir@legis.la.gov</v>
      </c>
      <c r="N145" s="89"/>
      <c r="O145" s="498">
        <v>2015.0</v>
      </c>
      <c r="P145" s="89"/>
      <c r="Q145" s="89"/>
      <c r="R145" s="452" t="s">
        <v>6797</v>
      </c>
    </row>
    <row r="146">
      <c r="A146" s="14" t="s">
        <v>286</v>
      </c>
      <c r="B146" s="31">
        <v>37.0</v>
      </c>
      <c r="C146" s="35" t="s">
        <v>6652</v>
      </c>
      <c r="D146" s="35" t="s">
        <v>6801</v>
      </c>
      <c r="E146" s="51" t="s">
        <v>53</v>
      </c>
      <c r="G146" s="331"/>
      <c r="H146" s="331"/>
      <c r="I146" s="331"/>
      <c r="J146" s="331"/>
      <c r="K146" s="495"/>
      <c r="L146" s="89"/>
      <c r="M146" s="89" t="str">
        <f t="shared" si="4"/>
        <v>peacockb@legis.la.gov</v>
      </c>
      <c r="N146" s="89"/>
      <c r="O146" s="498">
        <v>2011.0</v>
      </c>
      <c r="P146" s="89"/>
      <c r="Q146" s="89"/>
      <c r="R146" s="452" t="s">
        <v>5650</v>
      </c>
    </row>
    <row r="147">
      <c r="A147" s="14" t="s">
        <v>286</v>
      </c>
      <c r="B147" s="31">
        <v>38.0</v>
      </c>
      <c r="C147" s="35" t="s">
        <v>278</v>
      </c>
      <c r="D147" s="35" t="s">
        <v>6809</v>
      </c>
      <c r="E147" s="36" t="s">
        <v>49</v>
      </c>
      <c r="G147" s="331"/>
      <c r="H147" s="331"/>
      <c r="I147" s="331"/>
      <c r="J147" s="331"/>
      <c r="K147" s="495"/>
      <c r="L147" s="89"/>
      <c r="M147" s="89" t="str">
        <f t="shared" si="4"/>
        <v>milkovichj@legis.la.gov</v>
      </c>
      <c r="N147" s="89"/>
      <c r="O147" s="498">
        <v>2015.0</v>
      </c>
      <c r="P147" s="89"/>
      <c r="Q147" s="89"/>
      <c r="R147" s="452" t="s">
        <v>6810</v>
      </c>
    </row>
    <row r="148">
      <c r="A148" s="14" t="s">
        <v>286</v>
      </c>
      <c r="B148" s="31">
        <v>39.0</v>
      </c>
      <c r="C148" s="35" t="s">
        <v>823</v>
      </c>
      <c r="D148" s="35" t="s">
        <v>4100</v>
      </c>
      <c r="E148" s="36" t="s">
        <v>49</v>
      </c>
      <c r="G148" s="331"/>
      <c r="H148" s="331"/>
      <c r="I148" s="331"/>
      <c r="J148" s="331"/>
      <c r="K148" s="495"/>
      <c r="L148" s="89"/>
      <c r="M148" s="89" t="str">
        <f t="shared" si="4"/>
        <v>tarverg@legis.la.gov</v>
      </c>
      <c r="N148" s="89"/>
      <c r="O148" s="498">
        <v>2011.0</v>
      </c>
      <c r="P148" s="89"/>
      <c r="Q148" s="89"/>
      <c r="R148" s="452" t="s">
        <v>6816</v>
      </c>
    </row>
    <row r="149">
      <c r="A149" s="70"/>
      <c r="B149" s="70"/>
      <c r="C149" s="71"/>
      <c r="D149" s="71"/>
      <c r="E149" s="70"/>
      <c r="F149" s="70"/>
      <c r="G149" s="344"/>
      <c r="H149" s="344"/>
      <c r="I149" s="344"/>
      <c r="J149" s="344"/>
      <c r="K149" s="344"/>
      <c r="L149" s="70"/>
      <c r="M149" s="70"/>
      <c r="N149" s="70"/>
      <c r="O149" s="70"/>
      <c r="P149" s="70"/>
      <c r="Q149" s="70"/>
      <c r="R149" s="71"/>
      <c r="S149" s="70"/>
      <c r="T149" s="70"/>
      <c r="U149" s="70"/>
      <c r="V149" s="70"/>
      <c r="W149" s="70"/>
      <c r="X149" s="70"/>
      <c r="Y149" s="70"/>
      <c r="Z149" s="70"/>
      <c r="AA149" s="70"/>
      <c r="AB149" s="70"/>
      <c r="AC149" s="70"/>
      <c r="AD149" s="70"/>
    </row>
    <row r="150">
      <c r="A150" s="14" t="s">
        <v>421</v>
      </c>
      <c r="C150" s="537" t="s">
        <v>278</v>
      </c>
      <c r="D150" s="537" t="s">
        <v>6476</v>
      </c>
      <c r="E150" s="36" t="s">
        <v>49</v>
      </c>
      <c r="G150" s="331"/>
      <c r="H150" s="331"/>
      <c r="I150" s="331"/>
      <c r="J150" s="331"/>
      <c r="K150" s="331"/>
      <c r="L150" s="89"/>
      <c r="M150" s="89"/>
      <c r="N150" s="89"/>
      <c r="O150" s="450"/>
      <c r="P150" s="89"/>
      <c r="Q150" s="89"/>
      <c r="R150" s="539"/>
    </row>
    <row r="151">
      <c r="A151" s="70"/>
      <c r="B151" s="70"/>
      <c r="C151" s="71"/>
      <c r="D151" s="71"/>
      <c r="E151" s="70"/>
      <c r="F151" s="70"/>
      <c r="G151" s="344"/>
      <c r="H151" s="344"/>
      <c r="I151" s="344"/>
      <c r="J151" s="344"/>
      <c r="K151" s="344"/>
      <c r="L151" s="70"/>
      <c r="M151" s="70"/>
      <c r="N151" s="70"/>
      <c r="O151" s="70"/>
      <c r="P151" s="70"/>
      <c r="Q151" s="70"/>
      <c r="R151" s="71"/>
      <c r="S151" s="70"/>
      <c r="T151" s="70"/>
      <c r="U151" s="70"/>
      <c r="V151" s="70"/>
      <c r="W151" s="70"/>
      <c r="X151" s="70"/>
      <c r="Y151" s="70"/>
      <c r="Z151" s="70"/>
      <c r="AA151" s="70"/>
      <c r="AB151" s="70"/>
      <c r="AC151" s="70"/>
      <c r="AD151" s="70"/>
    </row>
    <row r="152">
      <c r="A152" s="14" t="s">
        <v>427</v>
      </c>
      <c r="B152" s="14">
        <v>1.0</v>
      </c>
      <c r="C152" s="77" t="s">
        <v>55</v>
      </c>
      <c r="D152" s="77" t="s">
        <v>6826</v>
      </c>
      <c r="E152" s="51" t="s">
        <v>53</v>
      </c>
      <c r="G152" s="331"/>
      <c r="H152" s="331"/>
      <c r="I152" s="331"/>
      <c r="J152" s="331"/>
      <c r="K152" s="331"/>
      <c r="L152" s="89"/>
      <c r="M152" s="89"/>
      <c r="N152" s="89"/>
      <c r="O152" s="450"/>
      <c r="P152" s="89"/>
      <c r="Q152" s="89"/>
      <c r="R152" s="539"/>
    </row>
    <row r="153">
      <c r="A153" s="14" t="s">
        <v>427</v>
      </c>
      <c r="B153" s="14">
        <v>2.0</v>
      </c>
      <c r="C153" s="77" t="s">
        <v>3463</v>
      </c>
      <c r="D153" s="77" t="s">
        <v>1163</v>
      </c>
      <c r="E153" s="36" t="s">
        <v>49</v>
      </c>
      <c r="G153" s="331"/>
      <c r="H153" s="331"/>
      <c r="I153" s="331"/>
      <c r="J153" s="331"/>
      <c r="K153" s="331"/>
      <c r="L153" s="89"/>
      <c r="M153" s="89"/>
      <c r="N153" s="89"/>
      <c r="O153" s="450"/>
      <c r="P153" s="89"/>
      <c r="Q153" s="89"/>
      <c r="R153" s="539"/>
    </row>
    <row r="154">
      <c r="A154" s="14" t="s">
        <v>427</v>
      </c>
      <c r="B154" s="14">
        <v>3.0</v>
      </c>
      <c r="C154" s="77" t="s">
        <v>868</v>
      </c>
      <c r="D154" s="77" t="s">
        <v>6799</v>
      </c>
      <c r="E154" s="51" t="s">
        <v>53</v>
      </c>
      <c r="G154" s="331"/>
      <c r="H154" s="331"/>
      <c r="I154" s="331"/>
      <c r="J154" s="331"/>
      <c r="K154" s="331"/>
      <c r="L154" s="89"/>
      <c r="M154" s="89"/>
      <c r="N154" s="89"/>
      <c r="O154" s="450"/>
      <c r="P154" s="89"/>
      <c r="Q154" s="89"/>
      <c r="R154" s="539"/>
    </row>
    <row r="155">
      <c r="A155" s="14" t="s">
        <v>427</v>
      </c>
      <c r="B155" s="14">
        <v>4.0</v>
      </c>
      <c r="C155" s="77" t="s">
        <v>157</v>
      </c>
      <c r="D155" s="77" t="s">
        <v>118</v>
      </c>
      <c r="E155" s="51" t="s">
        <v>53</v>
      </c>
      <c r="G155" s="331"/>
      <c r="H155" s="331"/>
      <c r="I155" s="331"/>
      <c r="J155" s="331"/>
      <c r="K155" s="331"/>
      <c r="L155" s="89"/>
      <c r="M155" s="89"/>
      <c r="N155" s="89"/>
      <c r="O155" s="450"/>
      <c r="P155" s="89"/>
      <c r="Q155" s="89"/>
      <c r="R155" s="539"/>
    </row>
    <row r="156">
      <c r="A156" s="14" t="s">
        <v>427</v>
      </c>
      <c r="B156" s="14">
        <v>5.0</v>
      </c>
      <c r="C156" s="77" t="s">
        <v>6828</v>
      </c>
      <c r="D156" s="77" t="s">
        <v>5814</v>
      </c>
      <c r="E156" s="51" t="s">
        <v>53</v>
      </c>
      <c r="G156" s="331"/>
      <c r="H156" s="331"/>
      <c r="I156" s="331"/>
      <c r="J156" s="331"/>
      <c r="K156" s="331"/>
      <c r="L156" s="89"/>
      <c r="M156" s="89"/>
      <c r="N156" s="89"/>
      <c r="O156" s="450"/>
      <c r="P156" s="89"/>
      <c r="Q156" s="89"/>
      <c r="R156" s="539"/>
    </row>
    <row r="157">
      <c r="A157" s="14" t="s">
        <v>427</v>
      </c>
      <c r="B157" s="14">
        <v>6.0</v>
      </c>
      <c r="C157" s="77" t="s">
        <v>6833</v>
      </c>
      <c r="D157" s="77" t="s">
        <v>4769</v>
      </c>
      <c r="E157" s="51" t="s">
        <v>53</v>
      </c>
      <c r="G157" s="331"/>
      <c r="H157" s="331"/>
      <c r="I157" s="331"/>
      <c r="J157" s="331"/>
      <c r="K157" s="331"/>
      <c r="L157" s="89"/>
      <c r="M157" s="89"/>
      <c r="N157" s="89"/>
      <c r="O157" s="450"/>
      <c r="P157" s="89"/>
      <c r="Q157" s="89"/>
      <c r="R157" s="539"/>
    </row>
    <row r="158">
      <c r="A158" s="70"/>
      <c r="B158" s="70"/>
      <c r="C158" s="71"/>
      <c r="D158" s="71"/>
      <c r="E158" s="70"/>
      <c r="F158" s="70"/>
      <c r="G158" s="344"/>
      <c r="H158" s="344"/>
      <c r="I158" s="344"/>
      <c r="J158" s="344"/>
      <c r="K158" s="344"/>
      <c r="L158" s="70"/>
      <c r="M158" s="70"/>
      <c r="N158" s="70"/>
      <c r="O158" s="70"/>
      <c r="P158" s="70"/>
      <c r="Q158" s="70"/>
      <c r="R158" s="71"/>
      <c r="S158" s="70"/>
      <c r="T158" s="70"/>
      <c r="U158" s="70"/>
      <c r="V158" s="70"/>
      <c r="W158" s="70"/>
      <c r="X158" s="70"/>
      <c r="Y158" s="70"/>
      <c r="Z158" s="70"/>
      <c r="AA158" s="70"/>
      <c r="AB158" s="70"/>
      <c r="AC158" s="70"/>
      <c r="AD158" s="70"/>
    </row>
    <row r="159">
      <c r="A159" s="14" t="s">
        <v>430</v>
      </c>
      <c r="B159" s="14" t="s">
        <v>431</v>
      </c>
      <c r="C159" s="77" t="s">
        <v>325</v>
      </c>
      <c r="D159" s="77" t="s">
        <v>4044</v>
      </c>
      <c r="E159" s="51" t="s">
        <v>53</v>
      </c>
      <c r="G159" s="331"/>
      <c r="H159" s="331"/>
      <c r="I159" s="331"/>
      <c r="J159" s="331"/>
      <c r="K159" s="331"/>
      <c r="L159" s="89"/>
      <c r="M159" s="89"/>
      <c r="N159" s="89"/>
      <c r="O159" s="450"/>
      <c r="P159" s="89"/>
      <c r="Q159" s="89"/>
      <c r="R159" s="539"/>
    </row>
    <row r="160">
      <c r="A160" s="14" t="s">
        <v>430</v>
      </c>
      <c r="B160" s="14" t="s">
        <v>434</v>
      </c>
      <c r="C160" s="77" t="s">
        <v>278</v>
      </c>
      <c r="D160" s="77" t="s">
        <v>1791</v>
      </c>
      <c r="E160" s="51" t="s">
        <v>53</v>
      </c>
      <c r="G160" s="331"/>
      <c r="H160" s="331"/>
      <c r="I160" s="331"/>
      <c r="J160" s="331"/>
      <c r="K160" s="331"/>
      <c r="L160" s="89"/>
      <c r="M160" s="89"/>
      <c r="N160" s="89"/>
      <c r="O160" s="450"/>
      <c r="P160" s="89"/>
      <c r="Q160" s="89"/>
      <c r="R160" s="539"/>
    </row>
    <row r="161">
      <c r="A161" s="70"/>
      <c r="B161" s="70"/>
      <c r="C161" s="71"/>
      <c r="D161" s="71"/>
      <c r="E161" s="70"/>
      <c r="F161" s="70"/>
      <c r="G161" s="344"/>
      <c r="H161" s="344"/>
      <c r="I161" s="344"/>
      <c r="J161" s="344"/>
      <c r="K161" s="344"/>
      <c r="L161" s="70"/>
      <c r="M161" s="70"/>
      <c r="N161" s="70"/>
      <c r="O161" s="70"/>
      <c r="P161" s="70"/>
      <c r="Q161" s="70"/>
      <c r="R161" s="71"/>
      <c r="S161" s="70"/>
      <c r="T161" s="70"/>
      <c r="U161" s="70"/>
      <c r="V161" s="70"/>
      <c r="W161" s="70"/>
      <c r="X161" s="70"/>
      <c r="Y161" s="70"/>
      <c r="Z161" s="70"/>
      <c r="AA161" s="70"/>
      <c r="AB161" s="70"/>
      <c r="AC161" s="70"/>
      <c r="AD161" s="70"/>
    </row>
    <row r="162">
      <c r="A162" s="14" t="s">
        <v>438</v>
      </c>
      <c r="C162" s="77" t="s">
        <v>683</v>
      </c>
      <c r="D162" s="77" t="s">
        <v>5784</v>
      </c>
      <c r="E162" s="51" t="s">
        <v>53</v>
      </c>
      <c r="G162" s="331"/>
      <c r="H162" s="331"/>
      <c r="I162" s="331"/>
      <c r="J162" s="331"/>
      <c r="K162" s="331"/>
      <c r="L162" s="89"/>
      <c r="M162" s="89"/>
      <c r="N162" s="89"/>
      <c r="O162" s="450"/>
      <c r="P162" s="89"/>
      <c r="Q162" s="89"/>
      <c r="R162" s="539"/>
    </row>
    <row r="163">
      <c r="A163" s="70"/>
      <c r="B163" s="70"/>
      <c r="C163" s="71"/>
      <c r="D163" s="71"/>
      <c r="E163" s="70"/>
      <c r="F163" s="70"/>
      <c r="G163" s="344"/>
      <c r="H163" s="344"/>
      <c r="I163" s="344"/>
      <c r="J163" s="344"/>
      <c r="K163" s="344"/>
      <c r="L163" s="70"/>
      <c r="M163" s="70"/>
      <c r="N163" s="70"/>
      <c r="O163" s="540"/>
      <c r="P163" s="70"/>
      <c r="Q163" s="70"/>
      <c r="R163" s="71"/>
      <c r="S163" s="70"/>
      <c r="T163" s="70"/>
      <c r="U163" s="70"/>
      <c r="V163" s="70"/>
      <c r="W163" s="70"/>
      <c r="X163" s="70"/>
      <c r="Y163" s="70"/>
      <c r="Z163" s="70"/>
      <c r="AA163" s="70"/>
      <c r="AB163" s="70"/>
      <c r="AC163" s="70"/>
      <c r="AD163" s="70"/>
    </row>
    <row r="164">
      <c r="C164" s="139"/>
      <c r="D164" s="139"/>
      <c r="G164" s="331"/>
      <c r="H164" s="331"/>
      <c r="I164" s="331"/>
      <c r="J164" s="331"/>
      <c r="K164" s="331"/>
      <c r="O164" s="541"/>
      <c r="R164" s="139"/>
    </row>
    <row r="165">
      <c r="C165" s="139"/>
      <c r="D165" s="139"/>
      <c r="G165" s="331"/>
      <c r="H165" s="331"/>
      <c r="I165" s="331"/>
      <c r="J165" s="331"/>
      <c r="K165" s="331"/>
      <c r="O165" s="541"/>
      <c r="R165" s="139"/>
    </row>
    <row r="166">
      <c r="C166" s="139"/>
      <c r="D166" s="139"/>
      <c r="G166" s="331"/>
      <c r="H166" s="331"/>
      <c r="I166" s="331"/>
      <c r="J166" s="331"/>
      <c r="K166" s="331"/>
      <c r="O166" s="541"/>
      <c r="R166" s="139"/>
    </row>
    <row r="167">
      <c r="C167" s="139"/>
      <c r="D167" s="139"/>
      <c r="G167" s="331"/>
      <c r="H167" s="331"/>
      <c r="I167" s="331"/>
      <c r="J167" s="331"/>
      <c r="K167" s="331"/>
      <c r="O167" s="541"/>
      <c r="R167" s="139"/>
    </row>
    <row r="168">
      <c r="C168" s="139"/>
      <c r="D168" s="139"/>
      <c r="G168" s="331"/>
      <c r="H168" s="331"/>
      <c r="I168" s="331"/>
      <c r="J168" s="331"/>
      <c r="K168" s="331"/>
      <c r="O168" s="541"/>
      <c r="R168" s="139"/>
    </row>
    <row r="169">
      <c r="C169" s="139"/>
      <c r="D169" s="139"/>
      <c r="G169" s="331"/>
      <c r="H169" s="331"/>
      <c r="I169" s="331"/>
      <c r="J169" s="331"/>
      <c r="K169" s="331"/>
      <c r="O169" s="541"/>
      <c r="R169" s="139"/>
    </row>
    <row r="170">
      <c r="C170" s="139"/>
      <c r="D170" s="139"/>
      <c r="G170" s="331"/>
      <c r="H170" s="331"/>
      <c r="I170" s="331"/>
      <c r="J170" s="331"/>
      <c r="K170" s="331"/>
      <c r="O170" s="541"/>
      <c r="R170" s="139"/>
    </row>
    <row r="171">
      <c r="C171" s="139"/>
      <c r="D171" s="139"/>
      <c r="G171" s="331"/>
      <c r="H171" s="331"/>
      <c r="I171" s="331"/>
      <c r="J171" s="331"/>
      <c r="K171" s="331"/>
      <c r="O171" s="541"/>
      <c r="R171" s="139"/>
    </row>
    <row r="172">
      <c r="C172" s="139"/>
      <c r="D172" s="139"/>
      <c r="G172" s="331"/>
      <c r="H172" s="331"/>
      <c r="I172" s="331"/>
      <c r="J172" s="331"/>
      <c r="K172" s="331"/>
      <c r="O172" s="541"/>
      <c r="R172" s="139"/>
    </row>
    <row r="173">
      <c r="C173" s="139"/>
      <c r="D173" s="139"/>
      <c r="G173" s="331"/>
      <c r="H173" s="331"/>
      <c r="I173" s="331"/>
      <c r="J173" s="331"/>
      <c r="K173" s="331"/>
      <c r="O173" s="541"/>
      <c r="R173" s="139"/>
    </row>
    <row r="174">
      <c r="C174" s="139"/>
      <c r="D174" s="139"/>
      <c r="G174" s="331"/>
      <c r="H174" s="331"/>
      <c r="I174" s="331"/>
      <c r="J174" s="331"/>
      <c r="K174" s="331"/>
      <c r="O174" s="541"/>
      <c r="R174" s="139"/>
    </row>
    <row r="175">
      <c r="C175" s="139"/>
      <c r="D175" s="139"/>
      <c r="G175" s="331"/>
      <c r="H175" s="331"/>
      <c r="I175" s="331"/>
      <c r="J175" s="331"/>
      <c r="K175" s="331"/>
      <c r="O175" s="541"/>
      <c r="R175" s="139"/>
    </row>
    <row r="176">
      <c r="C176" s="139"/>
      <c r="D176" s="139"/>
      <c r="G176" s="331"/>
      <c r="H176" s="331"/>
      <c r="I176" s="331"/>
      <c r="J176" s="331"/>
      <c r="K176" s="331"/>
      <c r="O176" s="541"/>
      <c r="R176" s="139"/>
    </row>
    <row r="177">
      <c r="C177" s="139"/>
      <c r="D177" s="139"/>
      <c r="G177" s="331"/>
      <c r="H177" s="331"/>
      <c r="I177" s="331"/>
      <c r="J177" s="331"/>
      <c r="K177" s="331"/>
      <c r="O177" s="541"/>
      <c r="R177" s="139"/>
    </row>
    <row r="178">
      <c r="C178" s="139"/>
      <c r="D178" s="139"/>
      <c r="G178" s="331"/>
      <c r="H178" s="331"/>
      <c r="I178" s="331"/>
      <c r="J178" s="331"/>
      <c r="K178" s="331"/>
      <c r="O178" s="541"/>
      <c r="R178" s="139"/>
    </row>
    <row r="179">
      <c r="C179" s="139"/>
      <c r="D179" s="139"/>
      <c r="G179" s="331"/>
      <c r="H179" s="331"/>
      <c r="I179" s="331"/>
      <c r="J179" s="331"/>
      <c r="K179" s="331"/>
      <c r="O179" s="541"/>
      <c r="R179" s="139"/>
    </row>
    <row r="180">
      <c r="C180" s="139"/>
      <c r="D180" s="139"/>
      <c r="G180" s="331"/>
      <c r="H180" s="331"/>
      <c r="I180" s="331"/>
      <c r="J180" s="331"/>
      <c r="K180" s="331"/>
      <c r="O180" s="541"/>
      <c r="R180" s="139"/>
    </row>
    <row r="181">
      <c r="C181" s="139"/>
      <c r="D181" s="139"/>
      <c r="G181" s="331"/>
      <c r="H181" s="331"/>
      <c r="I181" s="331"/>
      <c r="J181" s="331"/>
      <c r="K181" s="331"/>
      <c r="O181" s="541"/>
      <c r="R181" s="139"/>
    </row>
    <row r="182">
      <c r="C182" s="139"/>
      <c r="D182" s="139"/>
      <c r="G182" s="331"/>
      <c r="H182" s="331"/>
      <c r="I182" s="331"/>
      <c r="J182" s="331"/>
      <c r="K182" s="331"/>
      <c r="O182" s="541"/>
      <c r="R182" s="139"/>
    </row>
    <row r="183">
      <c r="C183" s="139"/>
      <c r="D183" s="139"/>
      <c r="G183" s="331"/>
      <c r="H183" s="331"/>
      <c r="I183" s="331"/>
      <c r="J183" s="331"/>
      <c r="K183" s="331"/>
      <c r="O183" s="541"/>
      <c r="R183" s="139"/>
    </row>
    <row r="184">
      <c r="C184" s="139"/>
      <c r="D184" s="139"/>
      <c r="G184" s="331"/>
      <c r="H184" s="331"/>
      <c r="I184" s="331"/>
      <c r="J184" s="331"/>
      <c r="K184" s="331"/>
      <c r="O184" s="541"/>
      <c r="R184" s="139"/>
    </row>
    <row r="185">
      <c r="C185" s="139"/>
      <c r="D185" s="139"/>
      <c r="G185" s="331"/>
      <c r="H185" s="331"/>
      <c r="I185" s="331"/>
      <c r="J185" s="331"/>
      <c r="K185" s="331"/>
      <c r="O185" s="541"/>
      <c r="R185" s="139"/>
    </row>
    <row r="186">
      <c r="C186" s="139"/>
      <c r="D186" s="139"/>
      <c r="G186" s="331"/>
      <c r="H186" s="331"/>
      <c r="I186" s="331"/>
      <c r="J186" s="331"/>
      <c r="K186" s="331"/>
      <c r="O186" s="541"/>
      <c r="R186" s="139"/>
    </row>
    <row r="187">
      <c r="C187" s="139"/>
      <c r="D187" s="139"/>
      <c r="G187" s="331"/>
      <c r="H187" s="331"/>
      <c r="I187" s="331"/>
      <c r="J187" s="331"/>
      <c r="K187" s="331"/>
      <c r="O187" s="541"/>
      <c r="R187" s="139"/>
    </row>
    <row r="188">
      <c r="C188" s="139"/>
      <c r="D188" s="139"/>
      <c r="G188" s="331"/>
      <c r="H188" s="331"/>
      <c r="I188" s="331"/>
      <c r="J188" s="331"/>
      <c r="K188" s="331"/>
      <c r="O188" s="541"/>
      <c r="R188" s="139"/>
    </row>
    <row r="189">
      <c r="C189" s="139"/>
      <c r="D189" s="139"/>
      <c r="G189" s="331"/>
      <c r="H189" s="331"/>
      <c r="I189" s="331"/>
      <c r="J189" s="331"/>
      <c r="K189" s="331"/>
      <c r="O189" s="541"/>
      <c r="R189" s="139"/>
    </row>
    <row r="190">
      <c r="C190" s="139"/>
      <c r="D190" s="139"/>
      <c r="G190" s="331"/>
      <c r="H190" s="331"/>
      <c r="I190" s="331"/>
      <c r="J190" s="331"/>
      <c r="K190" s="331"/>
      <c r="O190" s="541"/>
      <c r="R190" s="139"/>
    </row>
    <row r="191">
      <c r="C191" s="139"/>
      <c r="D191" s="139"/>
      <c r="G191" s="331"/>
      <c r="H191" s="331"/>
      <c r="I191" s="331"/>
      <c r="J191" s="331"/>
      <c r="K191" s="331"/>
      <c r="O191" s="541"/>
      <c r="R191" s="139"/>
    </row>
    <row r="192">
      <c r="C192" s="139"/>
      <c r="D192" s="139"/>
      <c r="G192" s="331"/>
      <c r="H192" s="331"/>
      <c r="I192" s="331"/>
      <c r="J192" s="331"/>
      <c r="K192" s="331"/>
      <c r="O192" s="541"/>
      <c r="R192" s="139"/>
    </row>
    <row r="193">
      <c r="C193" s="139"/>
      <c r="D193" s="139"/>
      <c r="G193" s="331"/>
      <c r="H193" s="331"/>
      <c r="I193" s="331"/>
      <c r="J193" s="331"/>
      <c r="K193" s="331"/>
      <c r="O193" s="541"/>
      <c r="R193" s="139"/>
    </row>
    <row r="194">
      <c r="C194" s="139"/>
      <c r="D194" s="139"/>
      <c r="G194" s="331"/>
      <c r="H194" s="331"/>
      <c r="I194" s="331"/>
      <c r="J194" s="331"/>
      <c r="K194" s="331"/>
      <c r="O194" s="541"/>
      <c r="R194" s="139"/>
    </row>
    <row r="195">
      <c r="C195" s="139"/>
      <c r="D195" s="139"/>
      <c r="G195" s="331"/>
      <c r="H195" s="331"/>
      <c r="I195" s="331"/>
      <c r="J195" s="331"/>
      <c r="K195" s="331"/>
      <c r="O195" s="541"/>
      <c r="R195" s="139"/>
    </row>
    <row r="196">
      <c r="C196" s="139"/>
      <c r="D196" s="139"/>
      <c r="G196" s="331"/>
      <c r="H196" s="331"/>
      <c r="I196" s="331"/>
      <c r="J196" s="331"/>
      <c r="K196" s="331"/>
      <c r="O196" s="541"/>
      <c r="R196" s="139"/>
    </row>
    <row r="197">
      <c r="C197" s="139"/>
      <c r="D197" s="139"/>
      <c r="G197" s="331"/>
      <c r="H197" s="331"/>
      <c r="I197" s="331"/>
      <c r="J197" s="331"/>
      <c r="K197" s="331"/>
      <c r="O197" s="541"/>
      <c r="R197" s="139"/>
    </row>
    <row r="198">
      <c r="C198" s="139"/>
      <c r="D198" s="139"/>
      <c r="G198" s="331"/>
      <c r="H198" s="331"/>
      <c r="I198" s="331"/>
      <c r="J198" s="331"/>
      <c r="K198" s="331"/>
      <c r="O198" s="541"/>
      <c r="R198" s="139"/>
    </row>
    <row r="199">
      <c r="C199" s="139"/>
      <c r="D199" s="139"/>
      <c r="G199" s="331"/>
      <c r="H199" s="331"/>
      <c r="I199" s="331"/>
      <c r="J199" s="331"/>
      <c r="K199" s="331"/>
      <c r="O199" s="541"/>
      <c r="R199" s="139"/>
    </row>
    <row r="200">
      <c r="C200" s="139"/>
      <c r="D200" s="139"/>
      <c r="G200" s="331"/>
      <c r="H200" s="331"/>
      <c r="I200" s="331"/>
      <c r="J200" s="331"/>
      <c r="K200" s="331"/>
      <c r="O200" s="541"/>
      <c r="R200" s="139"/>
    </row>
    <row r="201">
      <c r="C201" s="139"/>
      <c r="D201" s="139"/>
      <c r="G201" s="331"/>
      <c r="H201" s="331"/>
      <c r="I201" s="331"/>
      <c r="J201" s="331"/>
      <c r="K201" s="331"/>
      <c r="O201" s="541"/>
      <c r="R201" s="139"/>
    </row>
    <row r="202">
      <c r="C202" s="139"/>
      <c r="D202" s="139"/>
      <c r="G202" s="331"/>
      <c r="H202" s="331"/>
      <c r="I202" s="331"/>
      <c r="J202" s="331"/>
      <c r="K202" s="331"/>
      <c r="O202" s="541"/>
      <c r="R202" s="139"/>
    </row>
    <row r="203">
      <c r="C203" s="139"/>
      <c r="D203" s="139"/>
      <c r="G203" s="331"/>
      <c r="H203" s="331"/>
      <c r="I203" s="331"/>
      <c r="J203" s="331"/>
      <c r="K203" s="331"/>
      <c r="O203" s="541"/>
      <c r="R203" s="139"/>
    </row>
    <row r="204">
      <c r="C204" s="139"/>
      <c r="D204" s="139"/>
      <c r="G204" s="331"/>
      <c r="H204" s="331"/>
      <c r="I204" s="331"/>
      <c r="J204" s="331"/>
      <c r="K204" s="331"/>
      <c r="O204" s="541"/>
      <c r="R204" s="139"/>
    </row>
    <row r="205">
      <c r="C205" s="139"/>
      <c r="D205" s="139"/>
      <c r="G205" s="331"/>
      <c r="H205" s="331"/>
      <c r="I205" s="331"/>
      <c r="J205" s="331"/>
      <c r="K205" s="331"/>
      <c r="O205" s="541"/>
      <c r="R205" s="139"/>
    </row>
    <row r="206">
      <c r="C206" s="139"/>
      <c r="D206" s="139"/>
      <c r="G206" s="331"/>
      <c r="H206" s="331"/>
      <c r="I206" s="331"/>
      <c r="J206" s="331"/>
      <c r="K206" s="331"/>
      <c r="O206" s="541"/>
      <c r="R206" s="139"/>
    </row>
    <row r="207">
      <c r="C207" s="139"/>
      <c r="D207" s="139"/>
      <c r="G207" s="331"/>
      <c r="H207" s="331"/>
      <c r="I207" s="331"/>
      <c r="J207" s="331"/>
      <c r="K207" s="331"/>
      <c r="O207" s="541"/>
      <c r="R207" s="139"/>
    </row>
    <row r="208">
      <c r="C208" s="139"/>
      <c r="D208" s="139"/>
      <c r="G208" s="331"/>
      <c r="H208" s="331"/>
      <c r="I208" s="331"/>
      <c r="J208" s="331"/>
      <c r="K208" s="331"/>
      <c r="O208" s="541"/>
      <c r="R208" s="139"/>
    </row>
    <row r="209">
      <c r="C209" s="139"/>
      <c r="D209" s="139"/>
      <c r="G209" s="331"/>
      <c r="H209" s="331"/>
      <c r="I209" s="331"/>
      <c r="J209" s="331"/>
      <c r="K209" s="331"/>
      <c r="O209" s="541"/>
      <c r="R209" s="139"/>
    </row>
    <row r="210">
      <c r="C210" s="139"/>
      <c r="D210" s="139"/>
      <c r="G210" s="331"/>
      <c r="H210" s="331"/>
      <c r="I210" s="331"/>
      <c r="J210" s="331"/>
      <c r="K210" s="331"/>
      <c r="O210" s="541"/>
      <c r="R210" s="139"/>
    </row>
    <row r="211">
      <c r="C211" s="139"/>
      <c r="D211" s="139"/>
      <c r="G211" s="331"/>
      <c r="H211" s="331"/>
      <c r="I211" s="331"/>
      <c r="J211" s="331"/>
      <c r="K211" s="331"/>
      <c r="O211" s="541"/>
      <c r="R211" s="139"/>
    </row>
    <row r="212">
      <c r="C212" s="139"/>
      <c r="D212" s="139"/>
      <c r="G212" s="331"/>
      <c r="H212" s="331"/>
      <c r="I212" s="331"/>
      <c r="J212" s="331"/>
      <c r="K212" s="331"/>
      <c r="O212" s="541"/>
      <c r="R212" s="139"/>
    </row>
    <row r="213">
      <c r="C213" s="139"/>
      <c r="D213" s="139"/>
      <c r="G213" s="331"/>
      <c r="H213" s="331"/>
      <c r="I213" s="331"/>
      <c r="J213" s="331"/>
      <c r="K213" s="331"/>
      <c r="O213" s="541"/>
      <c r="R213" s="139"/>
    </row>
    <row r="214">
      <c r="C214" s="139"/>
      <c r="D214" s="139"/>
      <c r="G214" s="331"/>
      <c r="H214" s="331"/>
      <c r="I214" s="331"/>
      <c r="J214" s="331"/>
      <c r="K214" s="331"/>
      <c r="O214" s="541"/>
      <c r="R214" s="139"/>
    </row>
    <row r="215">
      <c r="C215" s="139"/>
      <c r="D215" s="139"/>
      <c r="G215" s="331"/>
      <c r="H215" s="331"/>
      <c r="I215" s="331"/>
      <c r="J215" s="331"/>
      <c r="K215" s="331"/>
      <c r="O215" s="541"/>
      <c r="R215" s="139"/>
    </row>
    <row r="216">
      <c r="C216" s="139"/>
      <c r="D216" s="139"/>
      <c r="G216" s="331"/>
      <c r="H216" s="331"/>
      <c r="I216" s="331"/>
      <c r="J216" s="331"/>
      <c r="K216" s="331"/>
      <c r="O216" s="541"/>
      <c r="R216" s="139"/>
    </row>
    <row r="217">
      <c r="C217" s="139"/>
      <c r="D217" s="139"/>
      <c r="G217" s="331"/>
      <c r="H217" s="331"/>
      <c r="I217" s="331"/>
      <c r="J217" s="331"/>
      <c r="K217" s="331"/>
      <c r="O217" s="541"/>
      <c r="R217" s="139"/>
    </row>
    <row r="218">
      <c r="C218" s="139"/>
      <c r="D218" s="139"/>
      <c r="G218" s="331"/>
      <c r="H218" s="331"/>
      <c r="I218" s="331"/>
      <c r="J218" s="331"/>
      <c r="K218" s="331"/>
      <c r="O218" s="541"/>
      <c r="R218" s="139"/>
    </row>
    <row r="219">
      <c r="C219" s="139"/>
      <c r="D219" s="139"/>
      <c r="G219" s="331"/>
      <c r="H219" s="331"/>
      <c r="I219" s="331"/>
      <c r="J219" s="331"/>
      <c r="K219" s="331"/>
      <c r="O219" s="541"/>
      <c r="R219" s="139"/>
    </row>
    <row r="220">
      <c r="C220" s="139"/>
      <c r="D220" s="139"/>
      <c r="G220" s="331"/>
      <c r="H220" s="331"/>
      <c r="I220" s="331"/>
      <c r="J220" s="331"/>
      <c r="K220" s="331"/>
      <c r="O220" s="541"/>
      <c r="R220" s="139"/>
    </row>
    <row r="221">
      <c r="C221" s="139"/>
      <c r="D221" s="139"/>
      <c r="G221" s="331"/>
      <c r="H221" s="331"/>
      <c r="I221" s="331"/>
      <c r="J221" s="331"/>
      <c r="K221" s="331"/>
      <c r="O221" s="541"/>
      <c r="R221" s="139"/>
    </row>
    <row r="222">
      <c r="C222" s="139"/>
      <c r="D222" s="139"/>
      <c r="G222" s="331"/>
      <c r="H222" s="331"/>
      <c r="I222" s="331"/>
      <c r="J222" s="331"/>
      <c r="K222" s="331"/>
      <c r="O222" s="541"/>
      <c r="R222" s="139"/>
    </row>
    <row r="223">
      <c r="C223" s="139"/>
      <c r="D223" s="139"/>
      <c r="G223" s="331"/>
      <c r="H223" s="331"/>
      <c r="I223" s="331"/>
      <c r="J223" s="331"/>
      <c r="K223" s="331"/>
      <c r="O223" s="541"/>
      <c r="R223" s="139"/>
    </row>
    <row r="224">
      <c r="C224" s="139"/>
      <c r="D224" s="139"/>
      <c r="G224" s="331"/>
      <c r="H224" s="331"/>
      <c r="I224" s="331"/>
      <c r="J224" s="331"/>
      <c r="K224" s="331"/>
      <c r="O224" s="541"/>
      <c r="R224" s="139"/>
    </row>
    <row r="225">
      <c r="C225" s="139"/>
      <c r="D225" s="139"/>
      <c r="G225" s="331"/>
      <c r="H225" s="331"/>
      <c r="I225" s="331"/>
      <c r="J225" s="331"/>
      <c r="K225" s="331"/>
      <c r="O225" s="541"/>
      <c r="R225" s="139"/>
    </row>
    <row r="226">
      <c r="C226" s="139"/>
      <c r="D226" s="139"/>
      <c r="G226" s="331"/>
      <c r="H226" s="331"/>
      <c r="I226" s="331"/>
      <c r="J226" s="331"/>
      <c r="K226" s="331"/>
      <c r="O226" s="541"/>
      <c r="R226" s="139"/>
    </row>
    <row r="227">
      <c r="C227" s="139"/>
      <c r="D227" s="139"/>
      <c r="G227" s="331"/>
      <c r="H227" s="331"/>
      <c r="I227" s="331"/>
      <c r="J227" s="331"/>
      <c r="K227" s="331"/>
      <c r="O227" s="541"/>
      <c r="R227" s="139"/>
    </row>
    <row r="228">
      <c r="C228" s="139"/>
      <c r="D228" s="139"/>
      <c r="G228" s="331"/>
      <c r="H228" s="331"/>
      <c r="I228" s="331"/>
      <c r="J228" s="331"/>
      <c r="K228" s="331"/>
      <c r="O228" s="541"/>
      <c r="R228" s="139"/>
    </row>
    <row r="229">
      <c r="C229" s="139"/>
      <c r="D229" s="139"/>
      <c r="G229" s="331"/>
      <c r="H229" s="331"/>
      <c r="I229" s="331"/>
      <c r="J229" s="331"/>
      <c r="K229" s="331"/>
      <c r="O229" s="541"/>
      <c r="R229" s="139"/>
    </row>
    <row r="230">
      <c r="C230" s="139"/>
      <c r="D230" s="139"/>
      <c r="G230" s="331"/>
      <c r="H230" s="331"/>
      <c r="I230" s="331"/>
      <c r="J230" s="331"/>
      <c r="K230" s="331"/>
      <c r="O230" s="541"/>
      <c r="R230" s="139"/>
    </row>
    <row r="231">
      <c r="C231" s="139"/>
      <c r="D231" s="139"/>
      <c r="G231" s="331"/>
      <c r="H231" s="331"/>
      <c r="I231" s="331"/>
      <c r="J231" s="331"/>
      <c r="K231" s="331"/>
      <c r="O231" s="541"/>
      <c r="R231" s="139"/>
    </row>
    <row r="232">
      <c r="C232" s="139"/>
      <c r="D232" s="139"/>
      <c r="G232" s="331"/>
      <c r="H232" s="331"/>
      <c r="I232" s="331"/>
      <c r="J232" s="331"/>
      <c r="K232" s="331"/>
      <c r="O232" s="541"/>
      <c r="R232" s="139"/>
    </row>
    <row r="233">
      <c r="C233" s="139"/>
      <c r="D233" s="139"/>
      <c r="G233" s="331"/>
      <c r="H233" s="331"/>
      <c r="I233" s="331"/>
      <c r="J233" s="331"/>
      <c r="K233" s="331"/>
      <c r="O233" s="541"/>
      <c r="R233" s="139"/>
    </row>
    <row r="234">
      <c r="C234" s="139"/>
      <c r="D234" s="139"/>
      <c r="G234" s="331"/>
      <c r="H234" s="331"/>
      <c r="I234" s="331"/>
      <c r="J234" s="331"/>
      <c r="K234" s="331"/>
      <c r="O234" s="541"/>
      <c r="R234" s="139"/>
    </row>
    <row r="235">
      <c r="C235" s="139"/>
      <c r="D235" s="139"/>
      <c r="G235" s="331"/>
      <c r="H235" s="331"/>
      <c r="I235" s="331"/>
      <c r="J235" s="331"/>
      <c r="K235" s="331"/>
      <c r="O235" s="541"/>
      <c r="R235" s="139"/>
    </row>
    <row r="236">
      <c r="C236" s="139"/>
      <c r="D236" s="139"/>
      <c r="G236" s="331"/>
      <c r="H236" s="331"/>
      <c r="I236" s="331"/>
      <c r="J236" s="331"/>
      <c r="K236" s="331"/>
      <c r="O236" s="541"/>
      <c r="R236" s="139"/>
    </row>
    <row r="237">
      <c r="C237" s="139"/>
      <c r="D237" s="139"/>
      <c r="G237" s="331"/>
      <c r="H237" s="331"/>
      <c r="I237" s="331"/>
      <c r="J237" s="331"/>
      <c r="K237" s="331"/>
      <c r="O237" s="541"/>
      <c r="R237" s="139"/>
    </row>
    <row r="238">
      <c r="C238" s="139"/>
      <c r="D238" s="139"/>
      <c r="G238" s="331"/>
      <c r="H238" s="331"/>
      <c r="I238" s="331"/>
      <c r="J238" s="331"/>
      <c r="K238" s="331"/>
      <c r="O238" s="541"/>
      <c r="R238" s="139"/>
    </row>
    <row r="239">
      <c r="C239" s="139"/>
      <c r="D239" s="139"/>
      <c r="G239" s="331"/>
      <c r="H239" s="331"/>
      <c r="I239" s="331"/>
      <c r="J239" s="331"/>
      <c r="K239" s="331"/>
      <c r="O239" s="541"/>
      <c r="R239" s="139"/>
    </row>
    <row r="240">
      <c r="C240" s="139"/>
      <c r="D240" s="139"/>
      <c r="G240" s="331"/>
      <c r="H240" s="331"/>
      <c r="I240" s="331"/>
      <c r="J240" s="331"/>
      <c r="K240" s="331"/>
      <c r="O240" s="541"/>
      <c r="R240" s="139"/>
    </row>
    <row r="241">
      <c r="C241" s="139"/>
      <c r="D241" s="139"/>
      <c r="G241" s="331"/>
      <c r="H241" s="331"/>
      <c r="I241" s="331"/>
      <c r="J241" s="331"/>
      <c r="K241" s="331"/>
      <c r="O241" s="541"/>
      <c r="R241" s="139"/>
    </row>
    <row r="242">
      <c r="C242" s="139"/>
      <c r="D242" s="139"/>
      <c r="G242" s="331"/>
      <c r="H242" s="331"/>
      <c r="I242" s="331"/>
      <c r="J242" s="331"/>
      <c r="K242" s="331"/>
      <c r="O242" s="541"/>
      <c r="R242" s="139"/>
    </row>
    <row r="243">
      <c r="C243" s="139"/>
      <c r="D243" s="139"/>
      <c r="G243" s="331"/>
      <c r="H243" s="331"/>
      <c r="I243" s="331"/>
      <c r="J243" s="331"/>
      <c r="K243" s="331"/>
      <c r="O243" s="541"/>
      <c r="R243" s="139"/>
    </row>
    <row r="244">
      <c r="C244" s="139"/>
      <c r="D244" s="139"/>
      <c r="G244" s="331"/>
      <c r="H244" s="331"/>
      <c r="I244" s="331"/>
      <c r="J244" s="331"/>
      <c r="K244" s="331"/>
      <c r="O244" s="541"/>
      <c r="R244" s="139"/>
    </row>
    <row r="245">
      <c r="C245" s="139"/>
      <c r="D245" s="139"/>
      <c r="G245" s="331"/>
      <c r="H245" s="331"/>
      <c r="I245" s="331"/>
      <c r="J245" s="331"/>
      <c r="K245" s="331"/>
      <c r="O245" s="541"/>
      <c r="R245" s="139"/>
    </row>
    <row r="246">
      <c r="C246" s="139"/>
      <c r="D246" s="139"/>
      <c r="G246" s="331"/>
      <c r="H246" s="331"/>
      <c r="I246" s="331"/>
      <c r="J246" s="331"/>
      <c r="K246" s="331"/>
      <c r="O246" s="541"/>
      <c r="R246" s="139"/>
    </row>
    <row r="247">
      <c r="C247" s="139"/>
      <c r="D247" s="139"/>
      <c r="G247" s="331"/>
      <c r="H247" s="331"/>
      <c r="I247" s="331"/>
      <c r="J247" s="331"/>
      <c r="K247" s="331"/>
      <c r="O247" s="541"/>
      <c r="R247" s="139"/>
    </row>
    <row r="248">
      <c r="C248" s="139"/>
      <c r="D248" s="139"/>
      <c r="G248" s="331"/>
      <c r="H248" s="331"/>
      <c r="I248" s="331"/>
      <c r="J248" s="331"/>
      <c r="K248" s="331"/>
      <c r="O248" s="541"/>
      <c r="R248" s="139"/>
    </row>
    <row r="249">
      <c r="C249" s="139"/>
      <c r="D249" s="139"/>
      <c r="G249" s="331"/>
      <c r="H249" s="331"/>
      <c r="I249" s="331"/>
      <c r="J249" s="331"/>
      <c r="K249" s="331"/>
      <c r="O249" s="541"/>
      <c r="R249" s="139"/>
    </row>
    <row r="250">
      <c r="C250" s="139"/>
      <c r="D250" s="139"/>
      <c r="G250" s="331"/>
      <c r="H250" s="331"/>
      <c r="I250" s="331"/>
      <c r="J250" s="331"/>
      <c r="K250" s="331"/>
      <c r="O250" s="541"/>
      <c r="R250" s="139"/>
    </row>
    <row r="251">
      <c r="C251" s="139"/>
      <c r="D251" s="139"/>
      <c r="G251" s="331"/>
      <c r="H251" s="331"/>
      <c r="I251" s="331"/>
      <c r="J251" s="331"/>
      <c r="K251" s="331"/>
      <c r="O251" s="541"/>
      <c r="R251" s="139"/>
    </row>
    <row r="252">
      <c r="C252" s="139"/>
      <c r="D252" s="139"/>
      <c r="G252" s="331"/>
      <c r="H252" s="331"/>
      <c r="I252" s="331"/>
      <c r="J252" s="331"/>
      <c r="K252" s="331"/>
      <c r="O252" s="541"/>
      <c r="R252" s="139"/>
    </row>
    <row r="253">
      <c r="C253" s="139"/>
      <c r="D253" s="139"/>
      <c r="G253" s="331"/>
      <c r="H253" s="331"/>
      <c r="I253" s="331"/>
      <c r="J253" s="331"/>
      <c r="K253" s="331"/>
      <c r="O253" s="541"/>
      <c r="R253" s="139"/>
    </row>
    <row r="254">
      <c r="C254" s="139"/>
      <c r="D254" s="139"/>
      <c r="G254" s="331"/>
      <c r="H254" s="331"/>
      <c r="I254" s="331"/>
      <c r="J254" s="331"/>
      <c r="K254" s="331"/>
      <c r="O254" s="541"/>
      <c r="R254" s="139"/>
    </row>
    <row r="255">
      <c r="C255" s="139"/>
      <c r="D255" s="139"/>
      <c r="G255" s="331"/>
      <c r="H255" s="331"/>
      <c r="I255" s="331"/>
      <c r="J255" s="331"/>
      <c r="K255" s="331"/>
      <c r="O255" s="541"/>
      <c r="R255" s="139"/>
    </row>
    <row r="256">
      <c r="C256" s="139"/>
      <c r="D256" s="139"/>
      <c r="G256" s="331"/>
      <c r="H256" s="331"/>
      <c r="I256" s="331"/>
      <c r="J256" s="331"/>
      <c r="K256" s="331"/>
      <c r="O256" s="541"/>
      <c r="R256" s="139"/>
    </row>
    <row r="257">
      <c r="C257" s="139"/>
      <c r="D257" s="139"/>
      <c r="G257" s="331"/>
      <c r="H257" s="331"/>
      <c r="I257" s="331"/>
      <c r="J257" s="331"/>
      <c r="K257" s="331"/>
      <c r="O257" s="541"/>
      <c r="R257" s="139"/>
    </row>
    <row r="258">
      <c r="C258" s="139"/>
      <c r="D258" s="139"/>
      <c r="G258" s="331"/>
      <c r="H258" s="331"/>
      <c r="I258" s="331"/>
      <c r="J258" s="331"/>
      <c r="K258" s="331"/>
      <c r="O258" s="541"/>
      <c r="R258" s="139"/>
    </row>
    <row r="259">
      <c r="C259" s="139"/>
      <c r="D259" s="139"/>
      <c r="G259" s="331"/>
      <c r="H259" s="331"/>
      <c r="I259" s="331"/>
      <c r="J259" s="331"/>
      <c r="K259" s="331"/>
      <c r="O259" s="541"/>
      <c r="R259" s="139"/>
    </row>
    <row r="260">
      <c r="C260" s="139"/>
      <c r="D260" s="139"/>
      <c r="G260" s="331"/>
      <c r="H260" s="331"/>
      <c r="I260" s="331"/>
      <c r="J260" s="331"/>
      <c r="K260" s="331"/>
      <c r="O260" s="541"/>
      <c r="R260" s="139"/>
    </row>
    <row r="261">
      <c r="C261" s="139"/>
      <c r="D261" s="139"/>
      <c r="G261" s="331"/>
      <c r="H261" s="331"/>
      <c r="I261" s="331"/>
      <c r="J261" s="331"/>
      <c r="K261" s="331"/>
      <c r="O261" s="541"/>
      <c r="R261" s="139"/>
    </row>
    <row r="262">
      <c r="C262" s="139"/>
      <c r="D262" s="139"/>
      <c r="G262" s="331"/>
      <c r="H262" s="331"/>
      <c r="I262" s="331"/>
      <c r="J262" s="331"/>
      <c r="K262" s="331"/>
      <c r="O262" s="541"/>
      <c r="R262" s="139"/>
    </row>
    <row r="263">
      <c r="C263" s="139"/>
      <c r="D263" s="139"/>
      <c r="G263" s="331"/>
      <c r="H263" s="331"/>
      <c r="I263" s="331"/>
      <c r="J263" s="331"/>
      <c r="K263" s="331"/>
      <c r="O263" s="541"/>
      <c r="R263" s="139"/>
    </row>
    <row r="264">
      <c r="C264" s="139"/>
      <c r="D264" s="139"/>
      <c r="G264" s="331"/>
      <c r="H264" s="331"/>
      <c r="I264" s="331"/>
      <c r="J264" s="331"/>
      <c r="K264" s="331"/>
      <c r="O264" s="541"/>
      <c r="R264" s="139"/>
    </row>
    <row r="265">
      <c r="C265" s="139"/>
      <c r="D265" s="139"/>
      <c r="G265" s="331"/>
      <c r="H265" s="331"/>
      <c r="I265" s="331"/>
      <c r="J265" s="331"/>
      <c r="K265" s="331"/>
      <c r="O265" s="541"/>
      <c r="R265" s="139"/>
    </row>
    <row r="266">
      <c r="C266" s="139"/>
      <c r="D266" s="139"/>
      <c r="G266" s="331"/>
      <c r="H266" s="331"/>
      <c r="I266" s="331"/>
      <c r="J266" s="331"/>
      <c r="K266" s="331"/>
      <c r="O266" s="541"/>
      <c r="R266" s="139"/>
    </row>
    <row r="267">
      <c r="C267" s="139"/>
      <c r="D267" s="139"/>
      <c r="G267" s="331"/>
      <c r="H267" s="331"/>
      <c r="I267" s="331"/>
      <c r="J267" s="331"/>
      <c r="K267" s="331"/>
      <c r="O267" s="541"/>
      <c r="R267" s="139"/>
    </row>
    <row r="268">
      <c r="C268" s="139"/>
      <c r="D268" s="139"/>
      <c r="G268" s="331"/>
      <c r="H268" s="331"/>
      <c r="I268" s="331"/>
      <c r="J268" s="331"/>
      <c r="K268" s="331"/>
      <c r="O268" s="541"/>
      <c r="R268" s="139"/>
    </row>
    <row r="269">
      <c r="C269" s="139"/>
      <c r="D269" s="139"/>
      <c r="G269" s="331"/>
      <c r="H269" s="331"/>
      <c r="I269" s="331"/>
      <c r="J269" s="331"/>
      <c r="K269" s="331"/>
      <c r="O269" s="541"/>
      <c r="R269" s="139"/>
    </row>
    <row r="270">
      <c r="C270" s="139"/>
      <c r="D270" s="139"/>
      <c r="G270" s="331"/>
      <c r="H270" s="331"/>
      <c r="I270" s="331"/>
      <c r="J270" s="331"/>
      <c r="K270" s="331"/>
      <c r="O270" s="541"/>
      <c r="R270" s="139"/>
    </row>
    <row r="271">
      <c r="C271" s="139"/>
      <c r="D271" s="139"/>
      <c r="G271" s="331"/>
      <c r="H271" s="331"/>
      <c r="I271" s="331"/>
      <c r="J271" s="331"/>
      <c r="K271" s="331"/>
      <c r="O271" s="541"/>
      <c r="R271" s="139"/>
    </row>
    <row r="272">
      <c r="C272" s="139"/>
      <c r="D272" s="139"/>
      <c r="G272" s="331"/>
      <c r="H272" s="331"/>
      <c r="I272" s="331"/>
      <c r="J272" s="331"/>
      <c r="K272" s="331"/>
      <c r="O272" s="541"/>
      <c r="R272" s="139"/>
    </row>
    <row r="273">
      <c r="C273" s="139"/>
      <c r="D273" s="139"/>
      <c r="G273" s="331"/>
      <c r="H273" s="331"/>
      <c r="I273" s="331"/>
      <c r="J273" s="331"/>
      <c r="K273" s="331"/>
      <c r="O273" s="541"/>
      <c r="R273" s="139"/>
    </row>
    <row r="274">
      <c r="C274" s="139"/>
      <c r="D274" s="139"/>
      <c r="G274" s="331"/>
      <c r="H274" s="331"/>
      <c r="I274" s="331"/>
      <c r="J274" s="331"/>
      <c r="K274" s="331"/>
      <c r="O274" s="541"/>
      <c r="R274" s="139"/>
    </row>
    <row r="275">
      <c r="C275" s="139"/>
      <c r="D275" s="139"/>
      <c r="G275" s="331"/>
      <c r="H275" s="331"/>
      <c r="I275" s="331"/>
      <c r="J275" s="331"/>
      <c r="K275" s="331"/>
      <c r="O275" s="541"/>
      <c r="R275" s="139"/>
    </row>
    <row r="276">
      <c r="C276" s="139"/>
      <c r="D276" s="139"/>
      <c r="G276" s="331"/>
      <c r="H276" s="331"/>
      <c r="I276" s="331"/>
      <c r="J276" s="331"/>
      <c r="K276" s="331"/>
      <c r="O276" s="541"/>
      <c r="R276" s="139"/>
    </row>
    <row r="277">
      <c r="C277" s="139"/>
      <c r="D277" s="139"/>
      <c r="G277" s="331"/>
      <c r="H277" s="331"/>
      <c r="I277" s="331"/>
      <c r="J277" s="331"/>
      <c r="K277" s="331"/>
      <c r="O277" s="541"/>
      <c r="R277" s="139"/>
    </row>
    <row r="278">
      <c r="C278" s="139"/>
      <c r="D278" s="139"/>
      <c r="G278" s="331"/>
      <c r="H278" s="331"/>
      <c r="I278" s="331"/>
      <c r="J278" s="331"/>
      <c r="K278" s="331"/>
      <c r="O278" s="541"/>
      <c r="R278" s="139"/>
    </row>
    <row r="279">
      <c r="C279" s="139"/>
      <c r="D279" s="139"/>
      <c r="G279" s="331"/>
      <c r="H279" s="331"/>
      <c r="I279" s="331"/>
      <c r="J279" s="331"/>
      <c r="K279" s="331"/>
      <c r="O279" s="541"/>
      <c r="R279" s="139"/>
    </row>
    <row r="280">
      <c r="C280" s="139"/>
      <c r="D280" s="139"/>
      <c r="G280" s="331"/>
      <c r="H280" s="331"/>
      <c r="I280" s="331"/>
      <c r="J280" s="331"/>
      <c r="K280" s="331"/>
      <c r="O280" s="541"/>
      <c r="R280" s="139"/>
    </row>
    <row r="281">
      <c r="C281" s="139"/>
      <c r="D281" s="139"/>
      <c r="G281" s="331"/>
      <c r="H281" s="331"/>
      <c r="I281" s="331"/>
      <c r="J281" s="331"/>
      <c r="K281" s="331"/>
      <c r="O281" s="541"/>
      <c r="R281" s="139"/>
    </row>
    <row r="282">
      <c r="C282" s="139"/>
      <c r="D282" s="139"/>
      <c r="G282" s="331"/>
      <c r="H282" s="331"/>
      <c r="I282" s="331"/>
      <c r="J282" s="331"/>
      <c r="K282" s="331"/>
      <c r="O282" s="541"/>
      <c r="R282" s="139"/>
    </row>
    <row r="283">
      <c r="C283" s="139"/>
      <c r="D283" s="139"/>
      <c r="G283" s="331"/>
      <c r="H283" s="331"/>
      <c r="I283" s="331"/>
      <c r="J283" s="331"/>
      <c r="K283" s="331"/>
      <c r="O283" s="541"/>
      <c r="R283" s="139"/>
    </row>
    <row r="284">
      <c r="C284" s="139"/>
      <c r="D284" s="139"/>
      <c r="G284" s="331"/>
      <c r="H284" s="331"/>
      <c r="I284" s="331"/>
      <c r="J284" s="331"/>
      <c r="K284" s="331"/>
      <c r="O284" s="541"/>
      <c r="R284" s="139"/>
    </row>
    <row r="285">
      <c r="C285" s="139"/>
      <c r="D285" s="139"/>
      <c r="G285" s="331"/>
      <c r="H285" s="331"/>
      <c r="I285" s="331"/>
      <c r="J285" s="331"/>
      <c r="K285" s="331"/>
      <c r="O285" s="541"/>
      <c r="R285" s="139"/>
    </row>
    <row r="286">
      <c r="C286" s="139"/>
      <c r="D286" s="139"/>
      <c r="G286" s="331"/>
      <c r="H286" s="331"/>
      <c r="I286" s="331"/>
      <c r="J286" s="331"/>
      <c r="K286" s="331"/>
      <c r="O286" s="541"/>
      <c r="R286" s="139"/>
    </row>
    <row r="287">
      <c r="C287" s="139"/>
      <c r="D287" s="139"/>
      <c r="G287" s="331"/>
      <c r="H287" s="331"/>
      <c r="I287" s="331"/>
      <c r="J287" s="331"/>
      <c r="K287" s="331"/>
      <c r="O287" s="541"/>
      <c r="R287" s="139"/>
    </row>
    <row r="288">
      <c r="C288" s="139"/>
      <c r="D288" s="139"/>
      <c r="G288" s="331"/>
      <c r="H288" s="331"/>
      <c r="I288" s="331"/>
      <c r="J288" s="331"/>
      <c r="K288" s="331"/>
      <c r="O288" s="541"/>
      <c r="R288" s="139"/>
    </row>
    <row r="289">
      <c r="C289" s="139"/>
      <c r="D289" s="139"/>
      <c r="G289" s="331"/>
      <c r="H289" s="331"/>
      <c r="I289" s="331"/>
      <c r="J289" s="331"/>
      <c r="K289" s="331"/>
      <c r="O289" s="541"/>
      <c r="R289" s="139"/>
    </row>
    <row r="290">
      <c r="C290" s="139"/>
      <c r="D290" s="139"/>
      <c r="G290" s="331"/>
      <c r="H290" s="331"/>
      <c r="I290" s="331"/>
      <c r="J290" s="331"/>
      <c r="K290" s="331"/>
      <c r="O290" s="541"/>
      <c r="R290" s="139"/>
    </row>
    <row r="291">
      <c r="C291" s="139"/>
      <c r="D291" s="139"/>
      <c r="G291" s="331"/>
      <c r="H291" s="331"/>
      <c r="I291" s="331"/>
      <c r="J291" s="331"/>
      <c r="K291" s="331"/>
      <c r="O291" s="541"/>
      <c r="R291" s="139"/>
    </row>
    <row r="292">
      <c r="C292" s="139"/>
      <c r="D292" s="139"/>
      <c r="G292" s="331"/>
      <c r="H292" s="331"/>
      <c r="I292" s="331"/>
      <c r="J292" s="331"/>
      <c r="K292" s="331"/>
      <c r="O292" s="541"/>
      <c r="R292" s="139"/>
    </row>
    <row r="293">
      <c r="C293" s="139"/>
      <c r="D293" s="139"/>
      <c r="G293" s="331"/>
      <c r="H293" s="331"/>
      <c r="I293" s="331"/>
      <c r="J293" s="331"/>
      <c r="K293" s="331"/>
      <c r="O293" s="541"/>
      <c r="R293" s="139"/>
    </row>
    <row r="294">
      <c r="C294" s="139"/>
      <c r="D294" s="139"/>
      <c r="G294" s="331"/>
      <c r="H294" s="331"/>
      <c r="I294" s="331"/>
      <c r="J294" s="331"/>
      <c r="K294" s="331"/>
      <c r="O294" s="541"/>
      <c r="R294" s="139"/>
    </row>
    <row r="295">
      <c r="C295" s="139"/>
      <c r="D295" s="139"/>
      <c r="G295" s="331"/>
      <c r="H295" s="331"/>
      <c r="I295" s="331"/>
      <c r="J295" s="331"/>
      <c r="K295" s="331"/>
      <c r="O295" s="541"/>
      <c r="R295" s="139"/>
    </row>
    <row r="296">
      <c r="C296" s="139"/>
      <c r="D296" s="139"/>
      <c r="G296" s="331"/>
      <c r="H296" s="331"/>
      <c r="I296" s="331"/>
      <c r="J296" s="331"/>
      <c r="K296" s="331"/>
      <c r="O296" s="541"/>
      <c r="R296" s="139"/>
    </row>
    <row r="297">
      <c r="C297" s="139"/>
      <c r="D297" s="139"/>
      <c r="G297" s="331"/>
      <c r="H297" s="331"/>
      <c r="I297" s="331"/>
      <c r="J297" s="331"/>
      <c r="K297" s="331"/>
      <c r="O297" s="541"/>
      <c r="R297" s="139"/>
    </row>
    <row r="298">
      <c r="C298" s="139"/>
      <c r="D298" s="139"/>
      <c r="G298" s="331"/>
      <c r="H298" s="331"/>
      <c r="I298" s="331"/>
      <c r="J298" s="331"/>
      <c r="K298" s="331"/>
      <c r="O298" s="541"/>
      <c r="R298" s="139"/>
    </row>
    <row r="299">
      <c r="C299" s="139"/>
      <c r="D299" s="139"/>
      <c r="G299" s="331"/>
      <c r="H299" s="331"/>
      <c r="I299" s="331"/>
      <c r="J299" s="331"/>
      <c r="K299" s="331"/>
      <c r="O299" s="541"/>
      <c r="R299" s="139"/>
    </row>
    <row r="300">
      <c r="C300" s="139"/>
      <c r="D300" s="139"/>
      <c r="G300" s="331"/>
      <c r="H300" s="331"/>
      <c r="I300" s="331"/>
      <c r="J300" s="331"/>
      <c r="K300" s="331"/>
      <c r="O300" s="541"/>
      <c r="R300" s="139"/>
    </row>
    <row r="301">
      <c r="C301" s="139"/>
      <c r="D301" s="139"/>
      <c r="G301" s="331"/>
      <c r="H301" s="331"/>
      <c r="I301" s="331"/>
      <c r="J301" s="331"/>
      <c r="K301" s="331"/>
      <c r="O301" s="541"/>
      <c r="R301" s="139"/>
    </row>
    <row r="302">
      <c r="C302" s="139"/>
      <c r="D302" s="139"/>
      <c r="G302" s="331"/>
      <c r="H302" s="331"/>
      <c r="I302" s="331"/>
      <c r="J302" s="331"/>
      <c r="K302" s="331"/>
      <c r="O302" s="541"/>
      <c r="R302" s="139"/>
    </row>
    <row r="303">
      <c r="C303" s="139"/>
      <c r="D303" s="139"/>
      <c r="G303" s="331"/>
      <c r="H303" s="331"/>
      <c r="I303" s="331"/>
      <c r="J303" s="331"/>
      <c r="K303" s="331"/>
      <c r="O303" s="541"/>
      <c r="R303" s="139"/>
    </row>
    <row r="304">
      <c r="C304" s="139"/>
      <c r="D304" s="139"/>
      <c r="G304" s="331"/>
      <c r="H304" s="331"/>
      <c r="I304" s="331"/>
      <c r="J304" s="331"/>
      <c r="K304" s="331"/>
      <c r="O304" s="541"/>
      <c r="R304" s="139"/>
    </row>
    <row r="305">
      <c r="C305" s="139"/>
      <c r="D305" s="139"/>
      <c r="G305" s="331"/>
      <c r="H305" s="331"/>
      <c r="I305" s="331"/>
      <c r="J305" s="331"/>
      <c r="K305" s="331"/>
      <c r="O305" s="541"/>
      <c r="R305" s="139"/>
    </row>
    <row r="306">
      <c r="C306" s="139"/>
      <c r="D306" s="139"/>
      <c r="G306" s="331"/>
      <c r="H306" s="331"/>
      <c r="I306" s="331"/>
      <c r="J306" s="331"/>
      <c r="K306" s="331"/>
      <c r="O306" s="541"/>
      <c r="R306" s="139"/>
    </row>
    <row r="307">
      <c r="C307" s="139"/>
      <c r="D307" s="139"/>
      <c r="G307" s="331"/>
      <c r="H307" s="331"/>
      <c r="I307" s="331"/>
      <c r="J307" s="331"/>
      <c r="K307" s="331"/>
      <c r="O307" s="541"/>
      <c r="R307" s="139"/>
    </row>
    <row r="308">
      <c r="C308" s="139"/>
      <c r="D308" s="139"/>
      <c r="G308" s="331"/>
      <c r="H308" s="331"/>
      <c r="I308" s="331"/>
      <c r="J308" s="331"/>
      <c r="K308" s="331"/>
      <c r="O308" s="541"/>
      <c r="R308" s="139"/>
    </row>
    <row r="309">
      <c r="C309" s="139"/>
      <c r="D309" s="139"/>
      <c r="G309" s="331"/>
      <c r="H309" s="331"/>
      <c r="I309" s="331"/>
      <c r="J309" s="331"/>
      <c r="K309" s="331"/>
      <c r="O309" s="541"/>
      <c r="R309" s="139"/>
    </row>
    <row r="310">
      <c r="C310" s="139"/>
      <c r="D310" s="139"/>
      <c r="G310" s="331"/>
      <c r="H310" s="331"/>
      <c r="I310" s="331"/>
      <c r="J310" s="331"/>
      <c r="K310" s="331"/>
      <c r="O310" s="541"/>
      <c r="R310" s="139"/>
    </row>
    <row r="311">
      <c r="C311" s="139"/>
      <c r="D311" s="139"/>
      <c r="G311" s="331"/>
      <c r="H311" s="331"/>
      <c r="I311" s="331"/>
      <c r="J311" s="331"/>
      <c r="K311" s="331"/>
      <c r="O311" s="541"/>
      <c r="R311" s="139"/>
    </row>
    <row r="312">
      <c r="C312" s="139"/>
      <c r="D312" s="139"/>
      <c r="G312" s="331"/>
      <c r="H312" s="331"/>
      <c r="I312" s="331"/>
      <c r="J312" s="331"/>
      <c r="K312" s="331"/>
      <c r="O312" s="541"/>
      <c r="R312" s="139"/>
    </row>
    <row r="313">
      <c r="C313" s="139"/>
      <c r="D313" s="139"/>
      <c r="G313" s="331"/>
      <c r="H313" s="331"/>
      <c r="I313" s="331"/>
      <c r="J313" s="331"/>
      <c r="K313" s="331"/>
      <c r="O313" s="541"/>
      <c r="R313" s="139"/>
    </row>
    <row r="314">
      <c r="C314" s="139"/>
      <c r="D314" s="139"/>
      <c r="G314" s="331"/>
      <c r="H314" s="331"/>
      <c r="I314" s="331"/>
      <c r="J314" s="331"/>
      <c r="K314" s="331"/>
      <c r="O314" s="541"/>
      <c r="R314" s="139"/>
    </row>
    <row r="315">
      <c r="C315" s="139"/>
      <c r="D315" s="139"/>
      <c r="G315" s="331"/>
      <c r="H315" s="331"/>
      <c r="I315" s="331"/>
      <c r="J315" s="331"/>
      <c r="K315" s="331"/>
      <c r="O315" s="541"/>
      <c r="R315" s="139"/>
    </row>
    <row r="316">
      <c r="C316" s="139"/>
      <c r="D316" s="139"/>
      <c r="G316" s="331"/>
      <c r="H316" s="331"/>
      <c r="I316" s="331"/>
      <c r="J316" s="331"/>
      <c r="K316" s="331"/>
      <c r="O316" s="541"/>
      <c r="R316" s="139"/>
    </row>
    <row r="317">
      <c r="C317" s="139"/>
      <c r="D317" s="139"/>
      <c r="G317" s="331"/>
      <c r="H317" s="331"/>
      <c r="I317" s="331"/>
      <c r="J317" s="331"/>
      <c r="K317" s="331"/>
      <c r="O317" s="541"/>
      <c r="R317" s="139"/>
    </row>
    <row r="318">
      <c r="C318" s="139"/>
      <c r="D318" s="139"/>
      <c r="G318" s="331"/>
      <c r="H318" s="331"/>
      <c r="I318" s="331"/>
      <c r="J318" s="331"/>
      <c r="K318" s="331"/>
      <c r="O318" s="541"/>
      <c r="R318" s="139"/>
    </row>
    <row r="319">
      <c r="C319" s="139"/>
      <c r="D319" s="139"/>
      <c r="G319" s="331"/>
      <c r="H319" s="331"/>
      <c r="I319" s="331"/>
      <c r="J319" s="331"/>
      <c r="K319" s="331"/>
      <c r="O319" s="541"/>
      <c r="R319" s="139"/>
    </row>
    <row r="320">
      <c r="C320" s="139"/>
      <c r="D320" s="139"/>
      <c r="G320" s="331"/>
      <c r="H320" s="331"/>
      <c r="I320" s="331"/>
      <c r="J320" s="331"/>
      <c r="K320" s="331"/>
      <c r="O320" s="541"/>
      <c r="R320" s="139"/>
    </row>
    <row r="321">
      <c r="C321" s="139"/>
      <c r="D321" s="139"/>
      <c r="G321" s="331"/>
      <c r="H321" s="331"/>
      <c r="I321" s="331"/>
      <c r="J321" s="331"/>
      <c r="K321" s="331"/>
      <c r="O321" s="541"/>
      <c r="R321" s="139"/>
    </row>
    <row r="322">
      <c r="C322" s="139"/>
      <c r="D322" s="139"/>
      <c r="G322" s="331"/>
      <c r="H322" s="331"/>
      <c r="I322" s="331"/>
      <c r="J322" s="331"/>
      <c r="K322" s="331"/>
      <c r="O322" s="541"/>
      <c r="R322" s="139"/>
    </row>
    <row r="323">
      <c r="C323" s="139"/>
      <c r="D323" s="139"/>
      <c r="G323" s="331"/>
      <c r="H323" s="331"/>
      <c r="I323" s="331"/>
      <c r="J323" s="331"/>
      <c r="K323" s="331"/>
      <c r="O323" s="541"/>
      <c r="R323" s="139"/>
    </row>
    <row r="324">
      <c r="C324" s="139"/>
      <c r="D324" s="139"/>
      <c r="G324" s="331"/>
      <c r="H324" s="331"/>
      <c r="I324" s="331"/>
      <c r="J324" s="331"/>
      <c r="K324" s="331"/>
      <c r="O324" s="541"/>
      <c r="R324" s="139"/>
    </row>
    <row r="325">
      <c r="C325" s="139"/>
      <c r="D325" s="139"/>
      <c r="G325" s="331"/>
      <c r="H325" s="331"/>
      <c r="I325" s="331"/>
      <c r="J325" s="331"/>
      <c r="K325" s="331"/>
      <c r="O325" s="541"/>
      <c r="R325" s="139"/>
    </row>
    <row r="326">
      <c r="C326" s="139"/>
      <c r="D326" s="139"/>
      <c r="G326" s="331"/>
      <c r="H326" s="331"/>
      <c r="I326" s="331"/>
      <c r="J326" s="331"/>
      <c r="K326" s="331"/>
      <c r="O326" s="541"/>
      <c r="R326" s="139"/>
    </row>
    <row r="327">
      <c r="C327" s="139"/>
      <c r="D327" s="139"/>
      <c r="G327" s="331"/>
      <c r="H327" s="331"/>
      <c r="I327" s="331"/>
      <c r="J327" s="331"/>
      <c r="K327" s="331"/>
      <c r="O327" s="541"/>
      <c r="R327" s="139"/>
    </row>
    <row r="328">
      <c r="C328" s="139"/>
      <c r="D328" s="139"/>
      <c r="G328" s="331"/>
      <c r="H328" s="331"/>
      <c r="I328" s="331"/>
      <c r="J328" s="331"/>
      <c r="K328" s="331"/>
      <c r="O328" s="541"/>
      <c r="R328" s="139"/>
    </row>
    <row r="329">
      <c r="C329" s="139"/>
      <c r="D329" s="139"/>
      <c r="G329" s="331"/>
      <c r="H329" s="331"/>
      <c r="I329" s="331"/>
      <c r="J329" s="331"/>
      <c r="K329" s="331"/>
      <c r="O329" s="541"/>
      <c r="R329" s="139"/>
    </row>
    <row r="330">
      <c r="C330" s="139"/>
      <c r="D330" s="139"/>
      <c r="G330" s="331"/>
      <c r="H330" s="331"/>
      <c r="I330" s="331"/>
      <c r="J330" s="331"/>
      <c r="K330" s="331"/>
      <c r="O330" s="541"/>
      <c r="R330" s="139"/>
    </row>
    <row r="331">
      <c r="C331" s="139"/>
      <c r="D331" s="139"/>
      <c r="G331" s="331"/>
      <c r="H331" s="331"/>
      <c r="I331" s="331"/>
      <c r="J331" s="331"/>
      <c r="K331" s="331"/>
      <c r="O331" s="541"/>
      <c r="R331" s="139"/>
    </row>
    <row r="332">
      <c r="C332" s="139"/>
      <c r="D332" s="139"/>
      <c r="G332" s="331"/>
      <c r="H332" s="331"/>
      <c r="I332" s="331"/>
      <c r="J332" s="331"/>
      <c r="K332" s="331"/>
      <c r="O332" s="541"/>
      <c r="R332" s="139"/>
    </row>
    <row r="333">
      <c r="C333" s="139"/>
      <c r="D333" s="139"/>
      <c r="G333" s="331"/>
      <c r="H333" s="331"/>
      <c r="I333" s="331"/>
      <c r="J333" s="331"/>
      <c r="K333" s="331"/>
      <c r="O333" s="541"/>
      <c r="R333" s="139"/>
    </row>
    <row r="334">
      <c r="C334" s="139"/>
      <c r="D334" s="139"/>
      <c r="G334" s="331"/>
      <c r="H334" s="331"/>
      <c r="I334" s="331"/>
      <c r="J334" s="331"/>
      <c r="K334" s="331"/>
      <c r="O334" s="541"/>
      <c r="R334" s="139"/>
    </row>
    <row r="335">
      <c r="C335" s="139"/>
      <c r="D335" s="139"/>
      <c r="G335" s="331"/>
      <c r="H335" s="331"/>
      <c r="I335" s="331"/>
      <c r="J335" s="331"/>
      <c r="K335" s="331"/>
      <c r="O335" s="541"/>
      <c r="R335" s="139"/>
    </row>
    <row r="336">
      <c r="C336" s="139"/>
      <c r="D336" s="139"/>
      <c r="G336" s="331"/>
      <c r="H336" s="331"/>
      <c r="I336" s="331"/>
      <c r="J336" s="331"/>
      <c r="K336" s="331"/>
      <c r="O336" s="541"/>
      <c r="R336" s="139"/>
    </row>
    <row r="337">
      <c r="C337" s="139"/>
      <c r="D337" s="139"/>
      <c r="G337" s="331"/>
      <c r="H337" s="331"/>
      <c r="I337" s="331"/>
      <c r="J337" s="331"/>
      <c r="K337" s="331"/>
      <c r="O337" s="541"/>
      <c r="R337" s="139"/>
    </row>
    <row r="338">
      <c r="C338" s="139"/>
      <c r="D338" s="139"/>
      <c r="G338" s="331"/>
      <c r="H338" s="331"/>
      <c r="I338" s="331"/>
      <c r="J338" s="331"/>
      <c r="K338" s="331"/>
      <c r="O338" s="541"/>
      <c r="R338" s="139"/>
    </row>
    <row r="339">
      <c r="C339" s="139"/>
      <c r="D339" s="139"/>
      <c r="G339" s="331"/>
      <c r="H339" s="331"/>
      <c r="I339" s="331"/>
      <c r="J339" s="331"/>
      <c r="K339" s="331"/>
      <c r="O339" s="541"/>
      <c r="R339" s="139"/>
    </row>
    <row r="340">
      <c r="C340" s="139"/>
      <c r="D340" s="139"/>
      <c r="G340" s="331"/>
      <c r="H340" s="331"/>
      <c r="I340" s="331"/>
      <c r="J340" s="331"/>
      <c r="K340" s="331"/>
      <c r="O340" s="541"/>
      <c r="R340" s="139"/>
    </row>
    <row r="341">
      <c r="C341" s="139"/>
      <c r="D341" s="139"/>
      <c r="G341" s="331"/>
      <c r="H341" s="331"/>
      <c r="I341" s="331"/>
      <c r="J341" s="331"/>
      <c r="K341" s="331"/>
      <c r="O341" s="541"/>
      <c r="R341" s="139"/>
    </row>
    <row r="342">
      <c r="C342" s="139"/>
      <c r="D342" s="139"/>
      <c r="G342" s="331"/>
      <c r="H342" s="331"/>
      <c r="I342" s="331"/>
      <c r="J342" s="331"/>
      <c r="K342" s="331"/>
      <c r="O342" s="541"/>
      <c r="R342" s="139"/>
    </row>
    <row r="343">
      <c r="C343" s="139"/>
      <c r="D343" s="139"/>
      <c r="G343" s="331"/>
      <c r="H343" s="331"/>
      <c r="I343" s="331"/>
      <c r="J343" s="331"/>
      <c r="K343" s="331"/>
      <c r="O343" s="541"/>
      <c r="R343" s="139"/>
    </row>
    <row r="344">
      <c r="C344" s="139"/>
      <c r="D344" s="139"/>
      <c r="G344" s="331"/>
      <c r="H344" s="331"/>
      <c r="I344" s="331"/>
      <c r="J344" s="331"/>
      <c r="K344" s="331"/>
      <c r="O344" s="541"/>
      <c r="R344" s="139"/>
    </row>
    <row r="345">
      <c r="C345" s="139"/>
      <c r="D345" s="139"/>
      <c r="G345" s="331"/>
      <c r="H345" s="331"/>
      <c r="I345" s="331"/>
      <c r="J345" s="331"/>
      <c r="K345" s="331"/>
      <c r="O345" s="541"/>
      <c r="R345" s="139"/>
    </row>
    <row r="346">
      <c r="C346" s="139"/>
      <c r="D346" s="139"/>
      <c r="G346" s="331"/>
      <c r="H346" s="331"/>
      <c r="I346" s="331"/>
      <c r="J346" s="331"/>
      <c r="K346" s="331"/>
      <c r="O346" s="541"/>
      <c r="R346" s="139"/>
    </row>
    <row r="347">
      <c r="C347" s="139"/>
      <c r="D347" s="139"/>
      <c r="G347" s="331"/>
      <c r="H347" s="331"/>
      <c r="I347" s="331"/>
      <c r="J347" s="331"/>
      <c r="K347" s="331"/>
      <c r="O347" s="541"/>
      <c r="R347" s="139"/>
    </row>
    <row r="348">
      <c r="C348" s="139"/>
      <c r="D348" s="139"/>
      <c r="G348" s="331"/>
      <c r="H348" s="331"/>
      <c r="I348" s="331"/>
      <c r="J348" s="331"/>
      <c r="K348" s="331"/>
      <c r="O348" s="541"/>
      <c r="R348" s="139"/>
    </row>
    <row r="349">
      <c r="C349" s="139"/>
      <c r="D349" s="139"/>
      <c r="G349" s="331"/>
      <c r="H349" s="331"/>
      <c r="I349" s="331"/>
      <c r="J349" s="331"/>
      <c r="K349" s="331"/>
      <c r="O349" s="541"/>
      <c r="R349" s="139"/>
    </row>
    <row r="350">
      <c r="C350" s="139"/>
      <c r="D350" s="139"/>
      <c r="G350" s="331"/>
      <c r="H350" s="331"/>
      <c r="I350" s="331"/>
      <c r="J350" s="331"/>
      <c r="K350" s="331"/>
      <c r="O350" s="541"/>
      <c r="R350" s="139"/>
    </row>
    <row r="351">
      <c r="C351" s="139"/>
      <c r="D351" s="139"/>
      <c r="G351" s="331"/>
      <c r="H351" s="331"/>
      <c r="I351" s="331"/>
      <c r="J351" s="331"/>
      <c r="K351" s="331"/>
      <c r="O351" s="541"/>
      <c r="R351" s="139"/>
    </row>
    <row r="352">
      <c r="C352" s="139"/>
      <c r="D352" s="139"/>
      <c r="G352" s="331"/>
      <c r="H352" s="331"/>
      <c r="I352" s="331"/>
      <c r="J352" s="331"/>
      <c r="K352" s="331"/>
      <c r="O352" s="541"/>
      <c r="R352" s="139"/>
    </row>
    <row r="353">
      <c r="C353" s="139"/>
      <c r="D353" s="139"/>
      <c r="G353" s="331"/>
      <c r="H353" s="331"/>
      <c r="I353" s="331"/>
      <c r="J353" s="331"/>
      <c r="K353" s="331"/>
      <c r="O353" s="541"/>
      <c r="R353" s="139"/>
    </row>
    <row r="354">
      <c r="C354" s="139"/>
      <c r="D354" s="139"/>
      <c r="G354" s="331"/>
      <c r="H354" s="331"/>
      <c r="I354" s="331"/>
      <c r="J354" s="331"/>
      <c r="K354" s="331"/>
      <c r="O354" s="541"/>
      <c r="R354" s="139"/>
    </row>
    <row r="355">
      <c r="C355" s="139"/>
      <c r="D355" s="139"/>
      <c r="G355" s="331"/>
      <c r="H355" s="331"/>
      <c r="I355" s="331"/>
      <c r="J355" s="331"/>
      <c r="K355" s="331"/>
      <c r="O355" s="541"/>
      <c r="R355" s="139"/>
    </row>
    <row r="356">
      <c r="C356" s="139"/>
      <c r="D356" s="139"/>
      <c r="G356" s="331"/>
      <c r="H356" s="331"/>
      <c r="I356" s="331"/>
      <c r="J356" s="331"/>
      <c r="K356" s="331"/>
      <c r="O356" s="541"/>
      <c r="R356" s="139"/>
    </row>
    <row r="357">
      <c r="C357" s="139"/>
      <c r="D357" s="139"/>
      <c r="G357" s="331"/>
      <c r="H357" s="331"/>
      <c r="I357" s="331"/>
      <c r="J357" s="331"/>
      <c r="K357" s="331"/>
      <c r="O357" s="541"/>
      <c r="R357" s="139"/>
    </row>
    <row r="358">
      <c r="C358" s="139"/>
      <c r="D358" s="139"/>
      <c r="G358" s="331"/>
      <c r="H358" s="331"/>
      <c r="I358" s="331"/>
      <c r="J358" s="331"/>
      <c r="K358" s="331"/>
      <c r="O358" s="541"/>
      <c r="R358" s="139"/>
    </row>
    <row r="359">
      <c r="C359" s="139"/>
      <c r="D359" s="139"/>
      <c r="G359" s="331"/>
      <c r="H359" s="331"/>
      <c r="I359" s="331"/>
      <c r="J359" s="331"/>
      <c r="K359" s="331"/>
      <c r="O359" s="541"/>
      <c r="R359" s="139"/>
    </row>
    <row r="360">
      <c r="C360" s="139"/>
      <c r="D360" s="139"/>
      <c r="G360" s="331"/>
      <c r="H360" s="331"/>
      <c r="I360" s="331"/>
      <c r="J360" s="331"/>
      <c r="K360" s="331"/>
      <c r="O360" s="541"/>
      <c r="R360" s="139"/>
    </row>
    <row r="361">
      <c r="C361" s="139"/>
      <c r="D361" s="139"/>
      <c r="G361" s="331"/>
      <c r="H361" s="331"/>
      <c r="I361" s="331"/>
      <c r="J361" s="331"/>
      <c r="K361" s="331"/>
      <c r="O361" s="541"/>
      <c r="R361" s="139"/>
    </row>
    <row r="362">
      <c r="C362" s="139"/>
      <c r="D362" s="139"/>
      <c r="G362" s="331"/>
      <c r="H362" s="331"/>
      <c r="I362" s="331"/>
      <c r="J362" s="331"/>
      <c r="K362" s="331"/>
      <c r="O362" s="541"/>
      <c r="R362" s="139"/>
    </row>
    <row r="363">
      <c r="C363" s="139"/>
      <c r="D363" s="139"/>
      <c r="G363" s="331"/>
      <c r="H363" s="331"/>
      <c r="I363" s="331"/>
      <c r="J363" s="331"/>
      <c r="K363" s="331"/>
      <c r="O363" s="541"/>
      <c r="R363" s="139"/>
    </row>
    <row r="364">
      <c r="C364" s="139"/>
      <c r="D364" s="139"/>
      <c r="G364" s="331"/>
      <c r="H364" s="331"/>
      <c r="I364" s="331"/>
      <c r="J364" s="331"/>
      <c r="K364" s="331"/>
      <c r="O364" s="541"/>
      <c r="R364" s="139"/>
    </row>
    <row r="365">
      <c r="C365" s="139"/>
      <c r="D365" s="139"/>
      <c r="G365" s="331"/>
      <c r="H365" s="331"/>
      <c r="I365" s="331"/>
      <c r="J365" s="331"/>
      <c r="K365" s="331"/>
      <c r="O365" s="541"/>
      <c r="R365" s="139"/>
    </row>
    <row r="366">
      <c r="C366" s="139"/>
      <c r="D366" s="139"/>
      <c r="G366" s="331"/>
      <c r="H366" s="331"/>
      <c r="I366" s="331"/>
      <c r="J366" s="331"/>
      <c r="K366" s="331"/>
      <c r="O366" s="541"/>
      <c r="R366" s="139"/>
    </row>
    <row r="367">
      <c r="C367" s="139"/>
      <c r="D367" s="139"/>
      <c r="G367" s="331"/>
      <c r="H367" s="331"/>
      <c r="I367" s="331"/>
      <c r="J367" s="331"/>
      <c r="K367" s="331"/>
      <c r="O367" s="541"/>
      <c r="R367" s="139"/>
    </row>
    <row r="368">
      <c r="C368" s="139"/>
      <c r="D368" s="139"/>
      <c r="G368" s="331"/>
      <c r="H368" s="331"/>
      <c r="I368" s="331"/>
      <c r="J368" s="331"/>
      <c r="K368" s="331"/>
      <c r="O368" s="541"/>
      <c r="R368" s="139"/>
    </row>
    <row r="369">
      <c r="C369" s="139"/>
      <c r="D369" s="139"/>
      <c r="G369" s="331"/>
      <c r="H369" s="331"/>
      <c r="I369" s="331"/>
      <c r="J369" s="331"/>
      <c r="K369" s="331"/>
      <c r="O369" s="541"/>
      <c r="R369" s="139"/>
    </row>
    <row r="370">
      <c r="C370" s="139"/>
      <c r="D370" s="139"/>
      <c r="G370" s="331"/>
      <c r="H370" s="331"/>
      <c r="I370" s="331"/>
      <c r="J370" s="331"/>
      <c r="K370" s="331"/>
      <c r="O370" s="541"/>
      <c r="R370" s="139"/>
    </row>
    <row r="371">
      <c r="C371" s="139"/>
      <c r="D371" s="139"/>
      <c r="G371" s="331"/>
      <c r="H371" s="331"/>
      <c r="I371" s="331"/>
      <c r="J371" s="331"/>
      <c r="K371" s="331"/>
      <c r="O371" s="541"/>
      <c r="R371" s="139"/>
    </row>
    <row r="372">
      <c r="C372" s="139"/>
      <c r="D372" s="139"/>
      <c r="G372" s="331"/>
      <c r="H372" s="331"/>
      <c r="I372" s="331"/>
      <c r="J372" s="331"/>
      <c r="K372" s="331"/>
      <c r="O372" s="541"/>
      <c r="R372" s="139"/>
    </row>
    <row r="373">
      <c r="C373" s="139"/>
      <c r="D373" s="139"/>
      <c r="G373" s="331"/>
      <c r="H373" s="331"/>
      <c r="I373" s="331"/>
      <c r="J373" s="331"/>
      <c r="K373" s="331"/>
      <c r="O373" s="541"/>
      <c r="R373" s="139"/>
    </row>
    <row r="374">
      <c r="C374" s="139"/>
      <c r="D374" s="139"/>
      <c r="G374" s="331"/>
      <c r="H374" s="331"/>
      <c r="I374" s="331"/>
      <c r="J374" s="331"/>
      <c r="K374" s="331"/>
      <c r="O374" s="541"/>
      <c r="R374" s="139"/>
    </row>
    <row r="375">
      <c r="C375" s="139"/>
      <c r="D375" s="139"/>
      <c r="G375" s="331"/>
      <c r="H375" s="331"/>
      <c r="I375" s="331"/>
      <c r="J375" s="331"/>
      <c r="K375" s="331"/>
      <c r="O375" s="541"/>
      <c r="R375" s="139"/>
    </row>
    <row r="376">
      <c r="C376" s="139"/>
      <c r="D376" s="139"/>
      <c r="G376" s="331"/>
      <c r="H376" s="331"/>
      <c r="I376" s="331"/>
      <c r="J376" s="331"/>
      <c r="K376" s="331"/>
      <c r="O376" s="541"/>
      <c r="R376" s="139"/>
    </row>
    <row r="377">
      <c r="C377" s="139"/>
      <c r="D377" s="139"/>
      <c r="G377" s="331"/>
      <c r="H377" s="331"/>
      <c r="I377" s="331"/>
      <c r="J377" s="331"/>
      <c r="K377" s="331"/>
      <c r="O377" s="541"/>
      <c r="R377" s="139"/>
    </row>
    <row r="378">
      <c r="C378" s="139"/>
      <c r="D378" s="139"/>
      <c r="G378" s="331"/>
      <c r="H378" s="331"/>
      <c r="I378" s="331"/>
      <c r="J378" s="331"/>
      <c r="K378" s="331"/>
      <c r="O378" s="541"/>
      <c r="R378" s="139"/>
    </row>
    <row r="379">
      <c r="C379" s="139"/>
      <c r="D379" s="139"/>
      <c r="G379" s="331"/>
      <c r="H379" s="331"/>
      <c r="I379" s="331"/>
      <c r="J379" s="331"/>
      <c r="K379" s="331"/>
      <c r="O379" s="541"/>
      <c r="R379" s="139"/>
    </row>
    <row r="380">
      <c r="C380" s="139"/>
      <c r="D380" s="139"/>
      <c r="G380" s="331"/>
      <c r="H380" s="331"/>
      <c r="I380" s="331"/>
      <c r="J380" s="331"/>
      <c r="K380" s="331"/>
      <c r="O380" s="541"/>
      <c r="R380" s="139"/>
    </row>
    <row r="381">
      <c r="C381" s="139"/>
      <c r="D381" s="139"/>
      <c r="G381" s="331"/>
      <c r="H381" s="331"/>
      <c r="I381" s="331"/>
      <c r="J381" s="331"/>
      <c r="K381" s="331"/>
      <c r="O381" s="541"/>
      <c r="R381" s="139"/>
    </row>
    <row r="382">
      <c r="C382" s="139"/>
      <c r="D382" s="139"/>
      <c r="G382" s="331"/>
      <c r="H382" s="331"/>
      <c r="I382" s="331"/>
      <c r="J382" s="331"/>
      <c r="K382" s="331"/>
      <c r="O382" s="541"/>
      <c r="R382" s="139"/>
    </row>
    <row r="383">
      <c r="C383" s="139"/>
      <c r="D383" s="139"/>
      <c r="G383" s="331"/>
      <c r="H383" s="331"/>
      <c r="I383" s="331"/>
      <c r="J383" s="331"/>
      <c r="K383" s="331"/>
      <c r="O383" s="541"/>
      <c r="R383" s="139"/>
    </row>
    <row r="384">
      <c r="C384" s="139"/>
      <c r="D384" s="139"/>
      <c r="G384" s="331"/>
      <c r="H384" s="331"/>
      <c r="I384" s="331"/>
      <c r="J384" s="331"/>
      <c r="K384" s="331"/>
      <c r="O384" s="541"/>
      <c r="R384" s="139"/>
    </row>
    <row r="385">
      <c r="C385" s="139"/>
      <c r="D385" s="139"/>
      <c r="G385" s="331"/>
      <c r="H385" s="331"/>
      <c r="I385" s="331"/>
      <c r="J385" s="331"/>
      <c r="K385" s="331"/>
      <c r="O385" s="541"/>
      <c r="R385" s="139"/>
    </row>
    <row r="386">
      <c r="C386" s="139"/>
      <c r="D386" s="139"/>
      <c r="G386" s="331"/>
      <c r="H386" s="331"/>
      <c r="I386" s="331"/>
      <c r="J386" s="331"/>
      <c r="K386" s="331"/>
      <c r="O386" s="541"/>
      <c r="R386" s="139"/>
    </row>
    <row r="387">
      <c r="C387" s="139"/>
      <c r="D387" s="139"/>
      <c r="G387" s="331"/>
      <c r="H387" s="331"/>
      <c r="I387" s="331"/>
      <c r="J387" s="331"/>
      <c r="K387" s="331"/>
      <c r="O387" s="541"/>
      <c r="R387" s="139"/>
    </row>
    <row r="388">
      <c r="C388" s="139"/>
      <c r="D388" s="139"/>
      <c r="G388" s="331"/>
      <c r="H388" s="331"/>
      <c r="I388" s="331"/>
      <c r="J388" s="331"/>
      <c r="K388" s="331"/>
      <c r="O388" s="541"/>
      <c r="R388" s="139"/>
    </row>
    <row r="389">
      <c r="C389" s="139"/>
      <c r="D389" s="139"/>
      <c r="G389" s="331"/>
      <c r="H389" s="331"/>
      <c r="I389" s="331"/>
      <c r="J389" s="331"/>
      <c r="K389" s="331"/>
      <c r="O389" s="541"/>
      <c r="R389" s="139"/>
    </row>
    <row r="390">
      <c r="C390" s="139"/>
      <c r="D390" s="139"/>
      <c r="G390" s="331"/>
      <c r="H390" s="331"/>
      <c r="I390" s="331"/>
      <c r="J390" s="331"/>
      <c r="K390" s="331"/>
      <c r="O390" s="541"/>
      <c r="R390" s="139"/>
    </row>
    <row r="391">
      <c r="C391" s="139"/>
      <c r="D391" s="139"/>
      <c r="G391" s="331"/>
      <c r="H391" s="331"/>
      <c r="I391" s="331"/>
      <c r="J391" s="331"/>
      <c r="K391" s="331"/>
      <c r="O391" s="541"/>
      <c r="R391" s="139"/>
    </row>
    <row r="392">
      <c r="C392" s="139"/>
      <c r="D392" s="139"/>
      <c r="G392" s="331"/>
      <c r="H392" s="331"/>
      <c r="I392" s="331"/>
      <c r="J392" s="331"/>
      <c r="K392" s="331"/>
      <c r="O392" s="541"/>
      <c r="R392" s="139"/>
    </row>
    <row r="393">
      <c r="C393" s="139"/>
      <c r="D393" s="139"/>
      <c r="G393" s="331"/>
      <c r="H393" s="331"/>
      <c r="I393" s="331"/>
      <c r="J393" s="331"/>
      <c r="K393" s="331"/>
      <c r="O393" s="541"/>
      <c r="R393" s="139"/>
    </row>
    <row r="394">
      <c r="C394" s="139"/>
      <c r="D394" s="139"/>
      <c r="G394" s="331"/>
      <c r="H394" s="331"/>
      <c r="I394" s="331"/>
      <c r="J394" s="331"/>
      <c r="K394" s="331"/>
      <c r="O394" s="541"/>
      <c r="R394" s="139"/>
    </row>
    <row r="395">
      <c r="C395" s="139"/>
      <c r="D395" s="139"/>
      <c r="G395" s="331"/>
      <c r="H395" s="331"/>
      <c r="I395" s="331"/>
      <c r="J395" s="331"/>
      <c r="K395" s="331"/>
      <c r="O395" s="541"/>
      <c r="R395" s="139"/>
    </row>
    <row r="396">
      <c r="C396" s="139"/>
      <c r="D396" s="139"/>
      <c r="G396" s="331"/>
      <c r="H396" s="331"/>
      <c r="I396" s="331"/>
      <c r="J396" s="331"/>
      <c r="K396" s="331"/>
      <c r="O396" s="541"/>
      <c r="R396" s="139"/>
    </row>
    <row r="397">
      <c r="C397" s="139"/>
      <c r="D397" s="139"/>
      <c r="G397" s="331"/>
      <c r="H397" s="331"/>
      <c r="I397" s="331"/>
      <c r="J397" s="331"/>
      <c r="K397" s="331"/>
      <c r="O397" s="541"/>
      <c r="R397" s="139"/>
    </row>
    <row r="398">
      <c r="C398" s="139"/>
      <c r="D398" s="139"/>
      <c r="G398" s="331"/>
      <c r="H398" s="331"/>
      <c r="I398" s="331"/>
      <c r="J398" s="331"/>
      <c r="K398" s="331"/>
      <c r="O398" s="541"/>
      <c r="R398" s="139"/>
    </row>
    <row r="399">
      <c r="C399" s="139"/>
      <c r="D399" s="139"/>
      <c r="G399" s="331"/>
      <c r="H399" s="331"/>
      <c r="I399" s="331"/>
      <c r="J399" s="331"/>
      <c r="K399" s="331"/>
      <c r="O399" s="541"/>
      <c r="R399" s="139"/>
    </row>
    <row r="400">
      <c r="C400" s="139"/>
      <c r="D400" s="139"/>
      <c r="G400" s="331"/>
      <c r="H400" s="331"/>
      <c r="I400" s="331"/>
      <c r="J400" s="331"/>
      <c r="K400" s="331"/>
      <c r="O400" s="541"/>
      <c r="R400" s="139"/>
    </row>
    <row r="401">
      <c r="C401" s="139"/>
      <c r="D401" s="139"/>
      <c r="G401" s="331"/>
      <c r="H401" s="331"/>
      <c r="I401" s="331"/>
      <c r="J401" s="331"/>
      <c r="K401" s="331"/>
      <c r="O401" s="541"/>
      <c r="R401" s="139"/>
    </row>
    <row r="402">
      <c r="C402" s="139"/>
      <c r="D402" s="139"/>
      <c r="G402" s="331"/>
      <c r="H402" s="331"/>
      <c r="I402" s="331"/>
      <c r="J402" s="331"/>
      <c r="K402" s="331"/>
      <c r="O402" s="541"/>
      <c r="R402" s="139"/>
    </row>
    <row r="403">
      <c r="C403" s="139"/>
      <c r="D403" s="139"/>
      <c r="G403" s="331"/>
      <c r="H403" s="331"/>
      <c r="I403" s="331"/>
      <c r="J403" s="331"/>
      <c r="K403" s="331"/>
      <c r="O403" s="541"/>
      <c r="R403" s="139"/>
    </row>
    <row r="404">
      <c r="C404" s="139"/>
      <c r="D404" s="139"/>
      <c r="G404" s="331"/>
      <c r="H404" s="331"/>
      <c r="I404" s="331"/>
      <c r="J404" s="331"/>
      <c r="K404" s="331"/>
      <c r="O404" s="541"/>
      <c r="R404" s="139"/>
    </row>
    <row r="405">
      <c r="C405" s="139"/>
      <c r="D405" s="139"/>
      <c r="G405" s="331"/>
      <c r="H405" s="331"/>
      <c r="I405" s="331"/>
      <c r="J405" s="331"/>
      <c r="K405" s="331"/>
      <c r="O405" s="541"/>
      <c r="R405" s="139"/>
    </row>
    <row r="406">
      <c r="C406" s="139"/>
      <c r="D406" s="139"/>
      <c r="G406" s="331"/>
      <c r="H406" s="331"/>
      <c r="I406" s="331"/>
      <c r="J406" s="331"/>
      <c r="K406" s="331"/>
      <c r="O406" s="541"/>
      <c r="R406" s="139"/>
    </row>
    <row r="407">
      <c r="C407" s="139"/>
      <c r="D407" s="139"/>
      <c r="G407" s="331"/>
      <c r="H407" s="331"/>
      <c r="I407" s="331"/>
      <c r="J407" s="331"/>
      <c r="K407" s="331"/>
      <c r="O407" s="541"/>
      <c r="R407" s="139"/>
    </row>
    <row r="408">
      <c r="C408" s="139"/>
      <c r="D408" s="139"/>
      <c r="G408" s="331"/>
      <c r="H408" s="331"/>
      <c r="I408" s="331"/>
      <c r="J408" s="331"/>
      <c r="K408" s="331"/>
      <c r="O408" s="541"/>
      <c r="R408" s="139"/>
    </row>
    <row r="409">
      <c r="C409" s="139"/>
      <c r="D409" s="139"/>
      <c r="G409" s="331"/>
      <c r="H409" s="331"/>
      <c r="I409" s="331"/>
      <c r="J409" s="331"/>
      <c r="K409" s="331"/>
      <c r="O409" s="541"/>
      <c r="R409" s="139"/>
    </row>
    <row r="410">
      <c r="C410" s="139"/>
      <c r="D410" s="139"/>
      <c r="G410" s="331"/>
      <c r="H410" s="331"/>
      <c r="I410" s="331"/>
      <c r="J410" s="331"/>
      <c r="K410" s="331"/>
      <c r="O410" s="541"/>
      <c r="R410" s="139"/>
    </row>
    <row r="411">
      <c r="C411" s="139"/>
      <c r="D411" s="139"/>
      <c r="G411" s="331"/>
      <c r="H411" s="331"/>
      <c r="I411" s="331"/>
      <c r="J411" s="331"/>
      <c r="K411" s="331"/>
      <c r="O411" s="541"/>
      <c r="R411" s="139"/>
    </row>
    <row r="412">
      <c r="C412" s="139"/>
      <c r="D412" s="139"/>
      <c r="G412" s="331"/>
      <c r="H412" s="331"/>
      <c r="I412" s="331"/>
      <c r="J412" s="331"/>
      <c r="K412" s="331"/>
      <c r="O412" s="541"/>
      <c r="R412" s="139"/>
    </row>
    <row r="413">
      <c r="C413" s="139"/>
      <c r="D413" s="139"/>
      <c r="G413" s="331"/>
      <c r="H413" s="331"/>
      <c r="I413" s="331"/>
      <c r="J413" s="331"/>
      <c r="K413" s="331"/>
      <c r="O413" s="541"/>
      <c r="R413" s="139"/>
    </row>
    <row r="414">
      <c r="C414" s="139"/>
      <c r="D414" s="139"/>
      <c r="G414" s="331"/>
      <c r="H414" s="331"/>
      <c r="I414" s="331"/>
      <c r="J414" s="331"/>
      <c r="K414" s="331"/>
      <c r="O414" s="541"/>
      <c r="R414" s="139"/>
    </row>
    <row r="415">
      <c r="C415" s="139"/>
      <c r="D415" s="139"/>
      <c r="G415" s="331"/>
      <c r="H415" s="331"/>
      <c r="I415" s="331"/>
      <c r="J415" s="331"/>
      <c r="K415" s="331"/>
      <c r="O415" s="541"/>
      <c r="R415" s="139"/>
    </row>
    <row r="416">
      <c r="C416" s="139"/>
      <c r="D416" s="139"/>
      <c r="G416" s="331"/>
      <c r="H416" s="331"/>
      <c r="I416" s="331"/>
      <c r="J416" s="331"/>
      <c r="K416" s="331"/>
      <c r="O416" s="541"/>
      <c r="R416" s="139"/>
    </row>
    <row r="417">
      <c r="C417" s="139"/>
      <c r="D417" s="139"/>
      <c r="G417" s="331"/>
      <c r="H417" s="331"/>
      <c r="I417" s="331"/>
      <c r="J417" s="331"/>
      <c r="K417" s="331"/>
      <c r="O417" s="541"/>
      <c r="R417" s="139"/>
    </row>
    <row r="418">
      <c r="C418" s="139"/>
      <c r="D418" s="139"/>
      <c r="G418" s="331"/>
      <c r="H418" s="331"/>
      <c r="I418" s="331"/>
      <c r="J418" s="331"/>
      <c r="K418" s="331"/>
      <c r="O418" s="541"/>
      <c r="R418" s="139"/>
    </row>
    <row r="419">
      <c r="C419" s="139"/>
      <c r="D419" s="139"/>
      <c r="G419" s="331"/>
      <c r="H419" s="331"/>
      <c r="I419" s="331"/>
      <c r="J419" s="331"/>
      <c r="K419" s="331"/>
      <c r="O419" s="541"/>
      <c r="R419" s="139"/>
    </row>
    <row r="420">
      <c r="C420" s="139"/>
      <c r="D420" s="139"/>
      <c r="G420" s="331"/>
      <c r="H420" s="331"/>
      <c r="I420" s="331"/>
      <c r="J420" s="331"/>
      <c r="K420" s="331"/>
      <c r="O420" s="541"/>
      <c r="R420" s="139"/>
    </row>
    <row r="421">
      <c r="C421" s="139"/>
      <c r="D421" s="139"/>
      <c r="G421" s="331"/>
      <c r="H421" s="331"/>
      <c r="I421" s="331"/>
      <c r="J421" s="331"/>
      <c r="K421" s="331"/>
      <c r="O421" s="541"/>
      <c r="R421" s="139"/>
    </row>
    <row r="422">
      <c r="C422" s="139"/>
      <c r="D422" s="139"/>
      <c r="G422" s="331"/>
      <c r="H422" s="331"/>
      <c r="I422" s="331"/>
      <c r="J422" s="331"/>
      <c r="K422" s="331"/>
      <c r="O422" s="541"/>
      <c r="R422" s="139"/>
    </row>
    <row r="423">
      <c r="C423" s="139"/>
      <c r="D423" s="139"/>
      <c r="G423" s="331"/>
      <c r="H423" s="331"/>
      <c r="I423" s="331"/>
      <c r="J423" s="331"/>
      <c r="K423" s="331"/>
      <c r="O423" s="541"/>
      <c r="R423" s="139"/>
    </row>
    <row r="424">
      <c r="C424" s="139"/>
      <c r="D424" s="139"/>
      <c r="G424" s="331"/>
      <c r="H424" s="331"/>
      <c r="I424" s="331"/>
      <c r="J424" s="331"/>
      <c r="K424" s="331"/>
      <c r="O424" s="541"/>
      <c r="R424" s="139"/>
    </row>
    <row r="425">
      <c r="C425" s="139"/>
      <c r="D425" s="139"/>
      <c r="G425" s="331"/>
      <c r="H425" s="331"/>
      <c r="I425" s="331"/>
      <c r="J425" s="331"/>
      <c r="K425" s="331"/>
      <c r="O425" s="541"/>
      <c r="R425" s="139"/>
    </row>
    <row r="426">
      <c r="C426" s="139"/>
      <c r="D426" s="139"/>
      <c r="G426" s="331"/>
      <c r="H426" s="331"/>
      <c r="I426" s="331"/>
      <c r="J426" s="331"/>
      <c r="K426" s="331"/>
      <c r="O426" s="541"/>
      <c r="R426" s="139"/>
    </row>
    <row r="427">
      <c r="C427" s="139"/>
      <c r="D427" s="139"/>
      <c r="G427" s="331"/>
      <c r="H427" s="331"/>
      <c r="I427" s="331"/>
      <c r="J427" s="331"/>
      <c r="K427" s="331"/>
      <c r="O427" s="541"/>
      <c r="R427" s="139"/>
    </row>
    <row r="428">
      <c r="C428" s="139"/>
      <c r="D428" s="139"/>
      <c r="G428" s="331"/>
      <c r="H428" s="331"/>
      <c r="I428" s="331"/>
      <c r="J428" s="331"/>
      <c r="K428" s="331"/>
      <c r="O428" s="541"/>
      <c r="R428" s="139"/>
    </row>
    <row r="429">
      <c r="C429" s="139"/>
      <c r="D429" s="139"/>
      <c r="G429" s="331"/>
      <c r="H429" s="331"/>
      <c r="I429" s="331"/>
      <c r="J429" s="331"/>
      <c r="K429" s="331"/>
      <c r="O429" s="541"/>
      <c r="R429" s="139"/>
    </row>
    <row r="430">
      <c r="C430" s="139"/>
      <c r="D430" s="139"/>
      <c r="G430" s="331"/>
      <c r="H430" s="331"/>
      <c r="I430" s="331"/>
      <c r="J430" s="331"/>
      <c r="K430" s="331"/>
      <c r="O430" s="541"/>
      <c r="R430" s="139"/>
    </row>
    <row r="431">
      <c r="C431" s="139"/>
      <c r="D431" s="139"/>
      <c r="G431" s="331"/>
      <c r="H431" s="331"/>
      <c r="I431" s="331"/>
      <c r="J431" s="331"/>
      <c r="K431" s="331"/>
      <c r="O431" s="541"/>
      <c r="R431" s="139"/>
    </row>
    <row r="432">
      <c r="C432" s="139"/>
      <c r="D432" s="139"/>
      <c r="G432" s="331"/>
      <c r="H432" s="331"/>
      <c r="I432" s="331"/>
      <c r="J432" s="331"/>
      <c r="K432" s="331"/>
      <c r="O432" s="541"/>
      <c r="R432" s="139"/>
    </row>
    <row r="433">
      <c r="C433" s="139"/>
      <c r="D433" s="139"/>
      <c r="G433" s="331"/>
      <c r="H433" s="331"/>
      <c r="I433" s="331"/>
      <c r="J433" s="331"/>
      <c r="K433" s="331"/>
      <c r="O433" s="541"/>
      <c r="R433" s="139"/>
    </row>
    <row r="434">
      <c r="C434" s="139"/>
      <c r="D434" s="139"/>
      <c r="G434" s="331"/>
      <c r="H434" s="331"/>
      <c r="I434" s="331"/>
      <c r="J434" s="331"/>
      <c r="K434" s="331"/>
      <c r="O434" s="541"/>
      <c r="R434" s="139"/>
    </row>
    <row r="435">
      <c r="C435" s="139"/>
      <c r="D435" s="139"/>
      <c r="G435" s="331"/>
      <c r="H435" s="331"/>
      <c r="I435" s="331"/>
      <c r="J435" s="331"/>
      <c r="K435" s="331"/>
      <c r="O435" s="541"/>
      <c r="R435" s="139"/>
    </row>
    <row r="436">
      <c r="C436" s="139"/>
      <c r="D436" s="139"/>
      <c r="G436" s="331"/>
      <c r="H436" s="331"/>
      <c r="I436" s="331"/>
      <c r="J436" s="331"/>
      <c r="K436" s="331"/>
      <c r="O436" s="541"/>
      <c r="R436" s="139"/>
    </row>
    <row r="437">
      <c r="C437" s="139"/>
      <c r="D437" s="139"/>
      <c r="G437" s="331"/>
      <c r="H437" s="331"/>
      <c r="I437" s="331"/>
      <c r="J437" s="331"/>
      <c r="K437" s="331"/>
      <c r="O437" s="541"/>
      <c r="R437" s="139"/>
    </row>
    <row r="438">
      <c r="C438" s="139"/>
      <c r="D438" s="139"/>
      <c r="G438" s="331"/>
      <c r="H438" s="331"/>
      <c r="I438" s="331"/>
      <c r="J438" s="331"/>
      <c r="K438" s="331"/>
      <c r="O438" s="541"/>
      <c r="R438" s="139"/>
    </row>
    <row r="439">
      <c r="C439" s="139"/>
      <c r="D439" s="139"/>
      <c r="G439" s="331"/>
      <c r="H439" s="331"/>
      <c r="I439" s="331"/>
      <c r="J439" s="331"/>
      <c r="K439" s="331"/>
      <c r="O439" s="541"/>
      <c r="R439" s="139"/>
    </row>
    <row r="440">
      <c r="C440" s="139"/>
      <c r="D440" s="139"/>
      <c r="G440" s="331"/>
      <c r="H440" s="331"/>
      <c r="I440" s="331"/>
      <c r="J440" s="331"/>
      <c r="K440" s="331"/>
      <c r="O440" s="541"/>
      <c r="R440" s="139"/>
    </row>
    <row r="441">
      <c r="C441" s="139"/>
      <c r="D441" s="139"/>
      <c r="G441" s="331"/>
      <c r="H441" s="331"/>
      <c r="I441" s="331"/>
      <c r="J441" s="331"/>
      <c r="K441" s="331"/>
      <c r="O441" s="541"/>
      <c r="R441" s="139"/>
    </row>
    <row r="442">
      <c r="C442" s="139"/>
      <c r="D442" s="139"/>
      <c r="G442" s="331"/>
      <c r="H442" s="331"/>
      <c r="I442" s="331"/>
      <c r="J442" s="331"/>
      <c r="K442" s="331"/>
      <c r="O442" s="541"/>
      <c r="R442" s="139"/>
    </row>
    <row r="443">
      <c r="C443" s="139"/>
      <c r="D443" s="139"/>
      <c r="G443" s="331"/>
      <c r="H443" s="331"/>
      <c r="I443" s="331"/>
      <c r="J443" s="331"/>
      <c r="K443" s="331"/>
      <c r="O443" s="541"/>
      <c r="R443" s="139"/>
    </row>
    <row r="444">
      <c r="C444" s="139"/>
      <c r="D444" s="139"/>
      <c r="G444" s="331"/>
      <c r="H444" s="331"/>
      <c r="I444" s="331"/>
      <c r="J444" s="331"/>
      <c r="K444" s="331"/>
      <c r="O444" s="541"/>
      <c r="R444" s="139"/>
    </row>
    <row r="445">
      <c r="C445" s="139"/>
      <c r="D445" s="139"/>
      <c r="G445" s="331"/>
      <c r="H445" s="331"/>
      <c r="I445" s="331"/>
      <c r="J445" s="331"/>
      <c r="K445" s="331"/>
      <c r="O445" s="541"/>
      <c r="R445" s="139"/>
    </row>
    <row r="446">
      <c r="C446" s="139"/>
      <c r="D446" s="139"/>
      <c r="G446" s="331"/>
      <c r="H446" s="331"/>
      <c r="I446" s="331"/>
      <c r="J446" s="331"/>
      <c r="K446" s="331"/>
      <c r="O446" s="541"/>
      <c r="R446" s="139"/>
    </row>
    <row r="447">
      <c r="C447" s="139"/>
      <c r="D447" s="139"/>
      <c r="G447" s="331"/>
      <c r="H447" s="331"/>
      <c r="I447" s="331"/>
      <c r="J447" s="331"/>
      <c r="K447" s="331"/>
      <c r="O447" s="541"/>
      <c r="R447" s="139"/>
    </row>
    <row r="448">
      <c r="C448" s="139"/>
      <c r="D448" s="139"/>
      <c r="G448" s="331"/>
      <c r="H448" s="331"/>
      <c r="I448" s="331"/>
      <c r="J448" s="331"/>
      <c r="K448" s="331"/>
      <c r="O448" s="541"/>
      <c r="R448" s="139"/>
    </row>
    <row r="449">
      <c r="C449" s="139"/>
      <c r="D449" s="139"/>
      <c r="G449" s="331"/>
      <c r="H449" s="331"/>
      <c r="I449" s="331"/>
      <c r="J449" s="331"/>
      <c r="K449" s="331"/>
      <c r="O449" s="541"/>
      <c r="R449" s="139"/>
    </row>
    <row r="450">
      <c r="C450" s="139"/>
      <c r="D450" s="139"/>
      <c r="G450" s="331"/>
      <c r="H450" s="331"/>
      <c r="I450" s="331"/>
      <c r="J450" s="331"/>
      <c r="K450" s="331"/>
      <c r="O450" s="541"/>
      <c r="R450" s="139"/>
    </row>
    <row r="451">
      <c r="C451" s="139"/>
      <c r="D451" s="139"/>
      <c r="G451" s="331"/>
      <c r="H451" s="331"/>
      <c r="I451" s="331"/>
      <c r="J451" s="331"/>
      <c r="K451" s="331"/>
      <c r="O451" s="541"/>
      <c r="R451" s="139"/>
    </row>
    <row r="452">
      <c r="C452" s="139"/>
      <c r="D452" s="139"/>
      <c r="G452" s="331"/>
      <c r="H452" s="331"/>
      <c r="I452" s="331"/>
      <c r="J452" s="331"/>
      <c r="K452" s="331"/>
      <c r="O452" s="541"/>
      <c r="R452" s="139"/>
    </row>
    <row r="453">
      <c r="C453" s="139"/>
      <c r="D453" s="139"/>
      <c r="G453" s="331"/>
      <c r="H453" s="331"/>
      <c r="I453" s="331"/>
      <c r="J453" s="331"/>
      <c r="K453" s="331"/>
      <c r="O453" s="541"/>
      <c r="R453" s="139"/>
    </row>
    <row r="454">
      <c r="C454" s="139"/>
      <c r="D454" s="139"/>
      <c r="G454" s="331"/>
      <c r="H454" s="331"/>
      <c r="I454" s="331"/>
      <c r="J454" s="331"/>
      <c r="K454" s="331"/>
      <c r="O454" s="541"/>
      <c r="R454" s="139"/>
    </row>
    <row r="455">
      <c r="C455" s="139"/>
      <c r="D455" s="139"/>
      <c r="G455" s="331"/>
      <c r="H455" s="331"/>
      <c r="I455" s="331"/>
      <c r="J455" s="331"/>
      <c r="K455" s="331"/>
      <c r="O455" s="541"/>
      <c r="R455" s="139"/>
    </row>
    <row r="456">
      <c r="C456" s="139"/>
      <c r="D456" s="139"/>
      <c r="G456" s="331"/>
      <c r="H456" s="331"/>
      <c r="I456" s="331"/>
      <c r="J456" s="331"/>
      <c r="K456" s="331"/>
      <c r="O456" s="541"/>
      <c r="R456" s="139"/>
    </row>
    <row r="457">
      <c r="C457" s="139"/>
      <c r="D457" s="139"/>
      <c r="G457" s="331"/>
      <c r="H457" s="331"/>
      <c r="I457" s="331"/>
      <c r="J457" s="331"/>
      <c r="K457" s="331"/>
      <c r="O457" s="541"/>
      <c r="R457" s="139"/>
    </row>
    <row r="458">
      <c r="C458" s="139"/>
      <c r="D458" s="139"/>
      <c r="G458" s="331"/>
      <c r="H458" s="331"/>
      <c r="I458" s="331"/>
      <c r="J458" s="331"/>
      <c r="K458" s="331"/>
      <c r="O458" s="541"/>
      <c r="R458" s="139"/>
    </row>
    <row r="459">
      <c r="C459" s="139"/>
      <c r="D459" s="139"/>
      <c r="G459" s="331"/>
      <c r="H459" s="331"/>
      <c r="I459" s="331"/>
      <c r="J459" s="331"/>
      <c r="K459" s="331"/>
      <c r="O459" s="541"/>
      <c r="R459" s="139"/>
    </row>
    <row r="460">
      <c r="C460" s="139"/>
      <c r="D460" s="139"/>
      <c r="G460" s="331"/>
      <c r="H460" s="331"/>
      <c r="I460" s="331"/>
      <c r="J460" s="331"/>
      <c r="K460" s="331"/>
      <c r="O460" s="541"/>
      <c r="R460" s="139"/>
    </row>
    <row r="461">
      <c r="C461" s="139"/>
      <c r="D461" s="139"/>
      <c r="G461" s="331"/>
      <c r="H461" s="331"/>
      <c r="I461" s="331"/>
      <c r="J461" s="331"/>
      <c r="K461" s="331"/>
      <c r="O461" s="541"/>
      <c r="R461" s="139"/>
    </row>
    <row r="462">
      <c r="C462" s="139"/>
      <c r="D462" s="139"/>
      <c r="G462" s="331"/>
      <c r="H462" s="331"/>
      <c r="I462" s="331"/>
      <c r="J462" s="331"/>
      <c r="K462" s="331"/>
      <c r="O462" s="541"/>
      <c r="R462" s="139"/>
    </row>
    <row r="463">
      <c r="C463" s="139"/>
      <c r="D463" s="139"/>
      <c r="G463" s="331"/>
      <c r="H463" s="331"/>
      <c r="I463" s="331"/>
      <c r="J463" s="331"/>
      <c r="K463" s="331"/>
      <c r="O463" s="541"/>
      <c r="R463" s="139"/>
    </row>
    <row r="464">
      <c r="C464" s="139"/>
      <c r="D464" s="139"/>
      <c r="G464" s="331"/>
      <c r="H464" s="331"/>
      <c r="I464" s="331"/>
      <c r="J464" s="331"/>
      <c r="K464" s="331"/>
      <c r="O464" s="541"/>
      <c r="R464" s="139"/>
    </row>
    <row r="465">
      <c r="C465" s="139"/>
      <c r="D465" s="139"/>
      <c r="G465" s="331"/>
      <c r="H465" s="331"/>
      <c r="I465" s="331"/>
      <c r="J465" s="331"/>
      <c r="K465" s="331"/>
      <c r="O465" s="541"/>
      <c r="R465" s="139"/>
    </row>
    <row r="466">
      <c r="C466" s="139"/>
      <c r="D466" s="139"/>
      <c r="G466" s="331"/>
      <c r="H466" s="331"/>
      <c r="I466" s="331"/>
      <c r="J466" s="331"/>
      <c r="K466" s="331"/>
      <c r="O466" s="541"/>
      <c r="R466" s="139"/>
    </row>
    <row r="467">
      <c r="C467" s="139"/>
      <c r="D467" s="139"/>
      <c r="G467" s="331"/>
      <c r="H467" s="331"/>
      <c r="I467" s="331"/>
      <c r="J467" s="331"/>
      <c r="K467" s="331"/>
      <c r="O467" s="541"/>
      <c r="R467" s="139"/>
    </row>
    <row r="468">
      <c r="C468" s="139"/>
      <c r="D468" s="139"/>
      <c r="G468" s="331"/>
      <c r="H468" s="331"/>
      <c r="I468" s="331"/>
      <c r="J468" s="331"/>
      <c r="K468" s="331"/>
      <c r="O468" s="541"/>
      <c r="R468" s="139"/>
    </row>
    <row r="469">
      <c r="C469" s="139"/>
      <c r="D469" s="139"/>
      <c r="G469" s="331"/>
      <c r="H469" s="331"/>
      <c r="I469" s="331"/>
      <c r="J469" s="331"/>
      <c r="K469" s="331"/>
      <c r="O469" s="541"/>
      <c r="R469" s="139"/>
    </row>
    <row r="470">
      <c r="C470" s="139"/>
      <c r="D470" s="139"/>
      <c r="G470" s="331"/>
      <c r="H470" s="331"/>
      <c r="I470" s="331"/>
      <c r="J470" s="331"/>
      <c r="K470" s="331"/>
      <c r="O470" s="541"/>
      <c r="R470" s="139"/>
    </row>
    <row r="471">
      <c r="C471" s="139"/>
      <c r="D471" s="139"/>
      <c r="G471" s="331"/>
      <c r="H471" s="331"/>
      <c r="I471" s="331"/>
      <c r="J471" s="331"/>
      <c r="K471" s="331"/>
      <c r="O471" s="541"/>
      <c r="R471" s="139"/>
    </row>
    <row r="472">
      <c r="C472" s="139"/>
      <c r="D472" s="139"/>
      <c r="G472" s="331"/>
      <c r="H472" s="331"/>
      <c r="I472" s="331"/>
      <c r="J472" s="331"/>
      <c r="K472" s="331"/>
      <c r="O472" s="541"/>
      <c r="R472" s="139"/>
    </row>
    <row r="473">
      <c r="C473" s="139"/>
      <c r="D473" s="139"/>
      <c r="G473" s="331"/>
      <c r="H473" s="331"/>
      <c r="I473" s="331"/>
      <c r="J473" s="331"/>
      <c r="K473" s="331"/>
      <c r="O473" s="541"/>
      <c r="R473" s="139"/>
    </row>
    <row r="474">
      <c r="C474" s="139"/>
      <c r="D474" s="139"/>
      <c r="G474" s="331"/>
      <c r="H474" s="331"/>
      <c r="I474" s="331"/>
      <c r="J474" s="331"/>
      <c r="K474" s="331"/>
      <c r="O474" s="541"/>
      <c r="R474" s="139"/>
    </row>
    <row r="475">
      <c r="C475" s="139"/>
      <c r="D475" s="139"/>
      <c r="G475" s="331"/>
      <c r="H475" s="331"/>
      <c r="I475" s="331"/>
      <c r="J475" s="331"/>
      <c r="K475" s="331"/>
      <c r="O475" s="541"/>
      <c r="R475" s="139"/>
    </row>
    <row r="476">
      <c r="C476" s="139"/>
      <c r="D476" s="139"/>
      <c r="G476" s="331"/>
      <c r="H476" s="331"/>
      <c r="I476" s="331"/>
      <c r="J476" s="331"/>
      <c r="K476" s="331"/>
      <c r="O476" s="541"/>
      <c r="R476" s="139"/>
    </row>
    <row r="477">
      <c r="C477" s="139"/>
      <c r="D477" s="139"/>
      <c r="G477" s="331"/>
      <c r="H477" s="331"/>
      <c r="I477" s="331"/>
      <c r="J477" s="331"/>
      <c r="K477" s="331"/>
      <c r="O477" s="541"/>
      <c r="R477" s="139"/>
    </row>
    <row r="478">
      <c r="C478" s="139"/>
      <c r="D478" s="139"/>
      <c r="G478" s="331"/>
      <c r="H478" s="331"/>
      <c r="I478" s="331"/>
      <c r="J478" s="331"/>
      <c r="K478" s="331"/>
      <c r="O478" s="541"/>
      <c r="R478" s="139"/>
    </row>
    <row r="479">
      <c r="C479" s="139"/>
      <c r="D479" s="139"/>
      <c r="G479" s="331"/>
      <c r="H479" s="331"/>
      <c r="I479" s="331"/>
      <c r="J479" s="331"/>
      <c r="K479" s="331"/>
      <c r="O479" s="541"/>
      <c r="R479" s="139"/>
    </row>
    <row r="480">
      <c r="C480" s="139"/>
      <c r="D480" s="139"/>
      <c r="G480" s="331"/>
      <c r="H480" s="331"/>
      <c r="I480" s="331"/>
      <c r="J480" s="331"/>
      <c r="K480" s="331"/>
      <c r="O480" s="541"/>
      <c r="R480" s="139"/>
    </row>
    <row r="481">
      <c r="C481" s="139"/>
      <c r="D481" s="139"/>
      <c r="G481" s="331"/>
      <c r="H481" s="331"/>
      <c r="I481" s="331"/>
      <c r="J481" s="331"/>
      <c r="K481" s="331"/>
      <c r="O481" s="541"/>
      <c r="R481" s="139"/>
    </row>
    <row r="482">
      <c r="C482" s="139"/>
      <c r="D482" s="139"/>
      <c r="G482" s="331"/>
      <c r="H482" s="331"/>
      <c r="I482" s="331"/>
      <c r="J482" s="331"/>
      <c r="K482" s="331"/>
      <c r="O482" s="541"/>
      <c r="R482" s="139"/>
    </row>
    <row r="483">
      <c r="C483" s="139"/>
      <c r="D483" s="139"/>
      <c r="G483" s="331"/>
      <c r="H483" s="331"/>
      <c r="I483" s="331"/>
      <c r="J483" s="331"/>
      <c r="K483" s="331"/>
      <c r="O483" s="541"/>
      <c r="R483" s="139"/>
    </row>
    <row r="484">
      <c r="C484" s="139"/>
      <c r="D484" s="139"/>
      <c r="G484" s="331"/>
      <c r="H484" s="331"/>
      <c r="I484" s="331"/>
      <c r="J484" s="331"/>
      <c r="K484" s="331"/>
      <c r="O484" s="541"/>
      <c r="R484" s="139"/>
    </row>
    <row r="485">
      <c r="C485" s="139"/>
      <c r="D485" s="139"/>
      <c r="G485" s="331"/>
      <c r="H485" s="331"/>
      <c r="I485" s="331"/>
      <c r="J485" s="331"/>
      <c r="K485" s="331"/>
      <c r="O485" s="541"/>
      <c r="R485" s="139"/>
    </row>
    <row r="486">
      <c r="C486" s="139"/>
      <c r="D486" s="139"/>
      <c r="G486" s="331"/>
      <c r="H486" s="331"/>
      <c r="I486" s="331"/>
      <c r="J486" s="331"/>
      <c r="K486" s="331"/>
      <c r="O486" s="541"/>
      <c r="R486" s="139"/>
    </row>
    <row r="487">
      <c r="C487" s="139"/>
      <c r="D487" s="139"/>
      <c r="G487" s="331"/>
      <c r="H487" s="331"/>
      <c r="I487" s="331"/>
      <c r="J487" s="331"/>
      <c r="K487" s="331"/>
      <c r="O487" s="541"/>
      <c r="R487" s="139"/>
    </row>
    <row r="488">
      <c r="C488" s="139"/>
      <c r="D488" s="139"/>
      <c r="G488" s="331"/>
      <c r="H488" s="331"/>
      <c r="I488" s="331"/>
      <c r="J488" s="331"/>
      <c r="K488" s="331"/>
      <c r="O488" s="541"/>
      <c r="R488" s="139"/>
    </row>
    <row r="489">
      <c r="C489" s="139"/>
      <c r="D489" s="139"/>
      <c r="G489" s="331"/>
      <c r="H489" s="331"/>
      <c r="I489" s="331"/>
      <c r="J489" s="331"/>
      <c r="K489" s="331"/>
      <c r="O489" s="541"/>
      <c r="R489" s="139"/>
    </row>
    <row r="490">
      <c r="C490" s="139"/>
      <c r="D490" s="139"/>
      <c r="G490" s="331"/>
      <c r="H490" s="331"/>
      <c r="I490" s="331"/>
      <c r="J490" s="331"/>
      <c r="K490" s="331"/>
      <c r="O490" s="541"/>
      <c r="R490" s="139"/>
    </row>
    <row r="491">
      <c r="C491" s="139"/>
      <c r="D491" s="139"/>
      <c r="G491" s="331"/>
      <c r="H491" s="331"/>
      <c r="I491" s="331"/>
      <c r="J491" s="331"/>
      <c r="K491" s="331"/>
      <c r="O491" s="541"/>
      <c r="R491" s="139"/>
    </row>
    <row r="492">
      <c r="C492" s="139"/>
      <c r="D492" s="139"/>
      <c r="G492" s="331"/>
      <c r="H492" s="331"/>
      <c r="I492" s="331"/>
      <c r="J492" s="331"/>
      <c r="K492" s="331"/>
      <c r="O492" s="541"/>
      <c r="R492" s="139"/>
    </row>
    <row r="493">
      <c r="C493" s="139"/>
      <c r="D493" s="139"/>
      <c r="G493" s="331"/>
      <c r="H493" s="331"/>
      <c r="I493" s="331"/>
      <c r="J493" s="331"/>
      <c r="K493" s="331"/>
      <c r="O493" s="541"/>
      <c r="R493" s="139"/>
    </row>
    <row r="494">
      <c r="C494" s="139"/>
      <c r="D494" s="139"/>
      <c r="G494" s="331"/>
      <c r="H494" s="331"/>
      <c r="I494" s="331"/>
      <c r="J494" s="331"/>
      <c r="K494" s="331"/>
      <c r="O494" s="541"/>
      <c r="R494" s="139"/>
    </row>
    <row r="495">
      <c r="C495" s="139"/>
      <c r="D495" s="139"/>
      <c r="G495" s="331"/>
      <c r="H495" s="331"/>
      <c r="I495" s="331"/>
      <c r="J495" s="331"/>
      <c r="K495" s="331"/>
      <c r="O495" s="541"/>
      <c r="R495" s="139"/>
    </row>
    <row r="496">
      <c r="C496" s="139"/>
      <c r="D496" s="139"/>
      <c r="G496" s="331"/>
      <c r="H496" s="331"/>
      <c r="I496" s="331"/>
      <c r="J496" s="331"/>
      <c r="K496" s="331"/>
      <c r="O496" s="541"/>
      <c r="R496" s="139"/>
    </row>
    <row r="497">
      <c r="C497" s="139"/>
      <c r="D497" s="139"/>
      <c r="G497" s="331"/>
      <c r="H497" s="331"/>
      <c r="I497" s="331"/>
      <c r="J497" s="331"/>
      <c r="K497" s="331"/>
      <c r="O497" s="541"/>
      <c r="R497" s="139"/>
    </row>
    <row r="498">
      <c r="C498" s="139"/>
      <c r="D498" s="139"/>
      <c r="G498" s="331"/>
      <c r="H498" s="331"/>
      <c r="I498" s="331"/>
      <c r="J498" s="331"/>
      <c r="K498" s="331"/>
      <c r="O498" s="541"/>
      <c r="R498" s="139"/>
    </row>
    <row r="499">
      <c r="C499" s="139"/>
      <c r="D499" s="139"/>
      <c r="G499" s="331"/>
      <c r="H499" s="331"/>
      <c r="I499" s="331"/>
      <c r="J499" s="331"/>
      <c r="K499" s="331"/>
      <c r="O499" s="541"/>
      <c r="R499" s="139"/>
    </row>
    <row r="500">
      <c r="C500" s="139"/>
      <c r="D500" s="139"/>
      <c r="G500" s="331"/>
      <c r="H500" s="331"/>
      <c r="I500" s="331"/>
      <c r="J500" s="331"/>
      <c r="K500" s="331"/>
      <c r="O500" s="541"/>
      <c r="R500" s="139"/>
    </row>
    <row r="501">
      <c r="C501" s="139"/>
      <c r="D501" s="139"/>
      <c r="G501" s="331"/>
      <c r="H501" s="331"/>
      <c r="I501" s="331"/>
      <c r="J501" s="331"/>
      <c r="K501" s="331"/>
      <c r="O501" s="541"/>
      <c r="R501" s="139"/>
    </row>
    <row r="502">
      <c r="C502" s="139"/>
      <c r="D502" s="139"/>
      <c r="G502" s="331"/>
      <c r="H502" s="331"/>
      <c r="I502" s="331"/>
      <c r="J502" s="331"/>
      <c r="K502" s="331"/>
      <c r="O502" s="541"/>
      <c r="R502" s="139"/>
    </row>
    <row r="503">
      <c r="C503" s="139"/>
      <c r="D503" s="139"/>
      <c r="G503" s="331"/>
      <c r="H503" s="331"/>
      <c r="I503" s="331"/>
      <c r="J503" s="331"/>
      <c r="K503" s="331"/>
      <c r="O503" s="541"/>
      <c r="R503" s="139"/>
    </row>
    <row r="504">
      <c r="C504" s="139"/>
      <c r="D504" s="139"/>
      <c r="G504" s="331"/>
      <c r="H504" s="331"/>
      <c r="I504" s="331"/>
      <c r="J504" s="331"/>
      <c r="K504" s="331"/>
      <c r="O504" s="541"/>
      <c r="R504" s="139"/>
    </row>
    <row r="505">
      <c r="C505" s="139"/>
      <c r="D505" s="139"/>
      <c r="G505" s="331"/>
      <c r="H505" s="331"/>
      <c r="I505" s="331"/>
      <c r="J505" s="331"/>
      <c r="K505" s="331"/>
      <c r="O505" s="541"/>
      <c r="R505" s="139"/>
    </row>
    <row r="506">
      <c r="C506" s="139"/>
      <c r="D506" s="139"/>
      <c r="G506" s="331"/>
      <c r="H506" s="331"/>
      <c r="I506" s="331"/>
      <c r="J506" s="331"/>
      <c r="K506" s="331"/>
      <c r="O506" s="541"/>
      <c r="R506" s="139"/>
    </row>
    <row r="507">
      <c r="C507" s="139"/>
      <c r="D507" s="139"/>
      <c r="G507" s="331"/>
      <c r="H507" s="331"/>
      <c r="I507" s="331"/>
      <c r="J507" s="331"/>
      <c r="K507" s="331"/>
      <c r="O507" s="541"/>
      <c r="R507" s="139"/>
    </row>
    <row r="508">
      <c r="C508" s="139"/>
      <c r="D508" s="139"/>
      <c r="G508" s="331"/>
      <c r="H508" s="331"/>
      <c r="I508" s="331"/>
      <c r="J508" s="331"/>
      <c r="K508" s="331"/>
      <c r="O508" s="541"/>
      <c r="R508" s="139"/>
    </row>
    <row r="509">
      <c r="C509" s="139"/>
      <c r="D509" s="139"/>
      <c r="G509" s="331"/>
      <c r="H509" s="331"/>
      <c r="I509" s="331"/>
      <c r="J509" s="331"/>
      <c r="K509" s="331"/>
      <c r="O509" s="541"/>
      <c r="R509" s="139"/>
    </row>
    <row r="510">
      <c r="C510" s="139"/>
      <c r="D510" s="139"/>
      <c r="G510" s="331"/>
      <c r="H510" s="331"/>
      <c r="I510" s="331"/>
      <c r="J510" s="331"/>
      <c r="K510" s="331"/>
      <c r="O510" s="541"/>
      <c r="R510" s="139"/>
    </row>
    <row r="511">
      <c r="C511" s="139"/>
      <c r="D511" s="139"/>
      <c r="G511" s="331"/>
      <c r="H511" s="331"/>
      <c r="I511" s="331"/>
      <c r="J511" s="331"/>
      <c r="K511" s="331"/>
      <c r="O511" s="541"/>
      <c r="R511" s="139"/>
    </row>
    <row r="512">
      <c r="C512" s="139"/>
      <c r="D512" s="139"/>
      <c r="G512" s="331"/>
      <c r="H512" s="331"/>
      <c r="I512" s="331"/>
      <c r="J512" s="331"/>
      <c r="K512" s="331"/>
      <c r="O512" s="541"/>
      <c r="R512" s="139"/>
    </row>
    <row r="513">
      <c r="C513" s="139"/>
      <c r="D513" s="139"/>
      <c r="G513" s="331"/>
      <c r="H513" s="331"/>
      <c r="I513" s="331"/>
      <c r="J513" s="331"/>
      <c r="K513" s="331"/>
      <c r="O513" s="541"/>
      <c r="R513" s="139"/>
    </row>
    <row r="514">
      <c r="C514" s="139"/>
      <c r="D514" s="139"/>
      <c r="G514" s="331"/>
      <c r="H514" s="331"/>
      <c r="I514" s="331"/>
      <c r="J514" s="331"/>
      <c r="K514" s="331"/>
      <c r="O514" s="541"/>
      <c r="R514" s="139"/>
    </row>
    <row r="515">
      <c r="C515" s="139"/>
      <c r="D515" s="139"/>
      <c r="G515" s="331"/>
      <c r="H515" s="331"/>
      <c r="I515" s="331"/>
      <c r="J515" s="331"/>
      <c r="K515" s="331"/>
      <c r="O515" s="541"/>
      <c r="R515" s="139"/>
    </row>
    <row r="516">
      <c r="C516" s="139"/>
      <c r="D516" s="139"/>
      <c r="G516" s="331"/>
      <c r="H516" s="331"/>
      <c r="I516" s="331"/>
      <c r="J516" s="331"/>
      <c r="K516" s="331"/>
      <c r="O516" s="541"/>
      <c r="R516" s="139"/>
    </row>
    <row r="517">
      <c r="C517" s="139"/>
      <c r="D517" s="139"/>
      <c r="G517" s="331"/>
      <c r="H517" s="331"/>
      <c r="I517" s="331"/>
      <c r="J517" s="331"/>
      <c r="K517" s="331"/>
      <c r="O517" s="541"/>
      <c r="R517" s="139"/>
    </row>
    <row r="518">
      <c r="C518" s="139"/>
      <c r="D518" s="139"/>
      <c r="G518" s="331"/>
      <c r="H518" s="331"/>
      <c r="I518" s="331"/>
      <c r="J518" s="331"/>
      <c r="K518" s="331"/>
      <c r="O518" s="541"/>
      <c r="R518" s="139"/>
    </row>
    <row r="519">
      <c r="C519" s="139"/>
      <c r="D519" s="139"/>
      <c r="G519" s="331"/>
      <c r="H519" s="331"/>
      <c r="I519" s="331"/>
      <c r="J519" s="331"/>
      <c r="K519" s="331"/>
      <c r="O519" s="541"/>
      <c r="R519" s="139"/>
    </row>
    <row r="520">
      <c r="C520" s="139"/>
      <c r="D520" s="139"/>
      <c r="G520" s="331"/>
      <c r="H520" s="331"/>
      <c r="I520" s="331"/>
      <c r="J520" s="331"/>
      <c r="K520" s="331"/>
      <c r="O520" s="541"/>
      <c r="R520" s="139"/>
    </row>
    <row r="521">
      <c r="C521" s="139"/>
      <c r="D521" s="139"/>
      <c r="G521" s="331"/>
      <c r="H521" s="331"/>
      <c r="I521" s="331"/>
      <c r="J521" s="331"/>
      <c r="K521" s="331"/>
      <c r="O521" s="541"/>
      <c r="R521" s="139"/>
    </row>
    <row r="522">
      <c r="C522" s="139"/>
      <c r="D522" s="139"/>
      <c r="G522" s="331"/>
      <c r="H522" s="331"/>
      <c r="I522" s="331"/>
      <c r="J522" s="331"/>
      <c r="K522" s="331"/>
      <c r="O522" s="541"/>
      <c r="R522" s="139"/>
    </row>
    <row r="523">
      <c r="C523" s="139"/>
      <c r="D523" s="139"/>
      <c r="G523" s="331"/>
      <c r="H523" s="331"/>
      <c r="I523" s="331"/>
      <c r="J523" s="331"/>
      <c r="K523" s="331"/>
      <c r="O523" s="541"/>
      <c r="R523" s="139"/>
    </row>
    <row r="524">
      <c r="C524" s="139"/>
      <c r="D524" s="139"/>
      <c r="G524" s="331"/>
      <c r="H524" s="331"/>
      <c r="I524" s="331"/>
      <c r="J524" s="331"/>
      <c r="K524" s="331"/>
      <c r="O524" s="541"/>
      <c r="R524" s="139"/>
    </row>
    <row r="525">
      <c r="C525" s="139"/>
      <c r="D525" s="139"/>
      <c r="G525" s="331"/>
      <c r="H525" s="331"/>
      <c r="I525" s="331"/>
      <c r="J525" s="331"/>
      <c r="K525" s="331"/>
      <c r="O525" s="541"/>
      <c r="R525" s="139"/>
    </row>
    <row r="526">
      <c r="C526" s="139"/>
      <c r="D526" s="139"/>
      <c r="G526" s="331"/>
      <c r="H526" s="331"/>
      <c r="I526" s="331"/>
      <c r="J526" s="331"/>
      <c r="K526" s="331"/>
      <c r="O526" s="541"/>
      <c r="R526" s="139"/>
    </row>
    <row r="527">
      <c r="C527" s="139"/>
      <c r="D527" s="139"/>
      <c r="G527" s="331"/>
      <c r="H527" s="331"/>
      <c r="I527" s="331"/>
      <c r="J527" s="331"/>
      <c r="K527" s="331"/>
      <c r="O527" s="541"/>
      <c r="R527" s="139"/>
    </row>
    <row r="528">
      <c r="C528" s="139"/>
      <c r="D528" s="139"/>
      <c r="G528" s="331"/>
      <c r="H528" s="331"/>
      <c r="I528" s="331"/>
      <c r="J528" s="331"/>
      <c r="K528" s="331"/>
      <c r="O528" s="541"/>
      <c r="R528" s="139"/>
    </row>
    <row r="529">
      <c r="C529" s="139"/>
      <c r="D529" s="139"/>
      <c r="G529" s="331"/>
      <c r="H529" s="331"/>
      <c r="I529" s="331"/>
      <c r="J529" s="331"/>
      <c r="K529" s="331"/>
      <c r="O529" s="541"/>
      <c r="R529" s="139"/>
    </row>
    <row r="530">
      <c r="C530" s="139"/>
      <c r="D530" s="139"/>
      <c r="G530" s="331"/>
      <c r="H530" s="331"/>
      <c r="I530" s="331"/>
      <c r="J530" s="331"/>
      <c r="K530" s="331"/>
      <c r="O530" s="541"/>
      <c r="R530" s="139"/>
    </row>
    <row r="531">
      <c r="C531" s="139"/>
      <c r="D531" s="139"/>
      <c r="G531" s="331"/>
      <c r="H531" s="331"/>
      <c r="I531" s="331"/>
      <c r="J531" s="331"/>
      <c r="K531" s="331"/>
      <c r="O531" s="541"/>
      <c r="R531" s="139"/>
    </row>
    <row r="532">
      <c r="C532" s="139"/>
      <c r="D532" s="139"/>
      <c r="G532" s="331"/>
      <c r="H532" s="331"/>
      <c r="I532" s="331"/>
      <c r="J532" s="331"/>
      <c r="K532" s="331"/>
      <c r="O532" s="541"/>
      <c r="R532" s="139"/>
    </row>
    <row r="533">
      <c r="C533" s="139"/>
      <c r="D533" s="139"/>
      <c r="G533" s="331"/>
      <c r="H533" s="331"/>
      <c r="I533" s="331"/>
      <c r="J533" s="331"/>
      <c r="K533" s="331"/>
      <c r="O533" s="541"/>
      <c r="R533" s="139"/>
    </row>
    <row r="534">
      <c r="C534" s="139"/>
      <c r="D534" s="139"/>
      <c r="G534" s="331"/>
      <c r="H534" s="331"/>
      <c r="I534" s="331"/>
      <c r="J534" s="331"/>
      <c r="K534" s="331"/>
      <c r="O534" s="541"/>
      <c r="R534" s="139"/>
    </row>
    <row r="535">
      <c r="C535" s="139"/>
      <c r="D535" s="139"/>
      <c r="G535" s="331"/>
      <c r="H535" s="331"/>
      <c r="I535" s="331"/>
      <c r="J535" s="331"/>
      <c r="K535" s="331"/>
      <c r="O535" s="541"/>
      <c r="R535" s="139"/>
    </row>
    <row r="536">
      <c r="C536" s="139"/>
      <c r="D536" s="139"/>
      <c r="G536" s="331"/>
      <c r="H536" s="331"/>
      <c r="I536" s="331"/>
      <c r="J536" s="331"/>
      <c r="K536" s="331"/>
      <c r="O536" s="541"/>
      <c r="R536" s="139"/>
    </row>
    <row r="537">
      <c r="C537" s="139"/>
      <c r="D537" s="139"/>
      <c r="G537" s="331"/>
      <c r="H537" s="331"/>
      <c r="I537" s="331"/>
      <c r="J537" s="331"/>
      <c r="K537" s="331"/>
      <c r="O537" s="541"/>
      <c r="R537" s="139"/>
    </row>
    <row r="538">
      <c r="C538" s="139"/>
      <c r="D538" s="139"/>
      <c r="G538" s="331"/>
      <c r="H538" s="331"/>
      <c r="I538" s="331"/>
      <c r="J538" s="331"/>
      <c r="K538" s="331"/>
      <c r="O538" s="541"/>
      <c r="R538" s="139"/>
    </row>
    <row r="539">
      <c r="C539" s="139"/>
      <c r="D539" s="139"/>
      <c r="G539" s="331"/>
      <c r="H539" s="331"/>
      <c r="I539" s="331"/>
      <c r="J539" s="331"/>
      <c r="K539" s="331"/>
      <c r="O539" s="541"/>
      <c r="R539" s="139"/>
    </row>
    <row r="540">
      <c r="C540" s="139"/>
      <c r="D540" s="139"/>
      <c r="G540" s="331"/>
      <c r="H540" s="331"/>
      <c r="I540" s="331"/>
      <c r="J540" s="331"/>
      <c r="K540" s="331"/>
      <c r="O540" s="541"/>
      <c r="R540" s="139"/>
    </row>
    <row r="541">
      <c r="C541" s="139"/>
      <c r="D541" s="139"/>
      <c r="G541" s="331"/>
      <c r="H541" s="331"/>
      <c r="I541" s="331"/>
      <c r="J541" s="331"/>
      <c r="K541" s="331"/>
      <c r="O541" s="541"/>
      <c r="R541" s="139"/>
    </row>
    <row r="542">
      <c r="C542" s="139"/>
      <c r="D542" s="139"/>
      <c r="G542" s="331"/>
      <c r="H542" s="331"/>
      <c r="I542" s="331"/>
      <c r="J542" s="331"/>
      <c r="K542" s="331"/>
      <c r="O542" s="541"/>
      <c r="R542" s="139"/>
    </row>
    <row r="543">
      <c r="C543" s="139"/>
      <c r="D543" s="139"/>
      <c r="G543" s="331"/>
      <c r="H543" s="331"/>
      <c r="I543" s="331"/>
      <c r="J543" s="331"/>
      <c r="K543" s="331"/>
      <c r="O543" s="541"/>
      <c r="R543" s="139"/>
    </row>
    <row r="544">
      <c r="C544" s="139"/>
      <c r="D544" s="139"/>
      <c r="G544" s="331"/>
      <c r="H544" s="331"/>
      <c r="I544" s="331"/>
      <c r="J544" s="331"/>
      <c r="K544" s="331"/>
      <c r="O544" s="541"/>
      <c r="R544" s="139"/>
    </row>
    <row r="545">
      <c r="C545" s="139"/>
      <c r="D545" s="139"/>
      <c r="G545" s="331"/>
      <c r="H545" s="331"/>
      <c r="I545" s="331"/>
      <c r="J545" s="331"/>
      <c r="K545" s="331"/>
      <c r="O545" s="541"/>
      <c r="R545" s="139"/>
    </row>
    <row r="546">
      <c r="C546" s="139"/>
      <c r="D546" s="139"/>
      <c r="G546" s="331"/>
      <c r="H546" s="331"/>
      <c r="I546" s="331"/>
      <c r="J546" s="331"/>
      <c r="K546" s="331"/>
      <c r="O546" s="541"/>
      <c r="R546" s="139"/>
    </row>
    <row r="547">
      <c r="C547" s="139"/>
      <c r="D547" s="139"/>
      <c r="G547" s="331"/>
      <c r="H547" s="331"/>
      <c r="I547" s="331"/>
      <c r="J547" s="331"/>
      <c r="K547" s="331"/>
      <c r="O547" s="541"/>
      <c r="R547" s="139"/>
    </row>
    <row r="548">
      <c r="C548" s="139"/>
      <c r="D548" s="139"/>
      <c r="G548" s="331"/>
      <c r="H548" s="331"/>
      <c r="I548" s="331"/>
      <c r="J548" s="331"/>
      <c r="K548" s="331"/>
      <c r="O548" s="541"/>
      <c r="R548" s="139"/>
    </row>
    <row r="549">
      <c r="C549" s="139"/>
      <c r="D549" s="139"/>
      <c r="G549" s="331"/>
      <c r="H549" s="331"/>
      <c r="I549" s="331"/>
      <c r="J549" s="331"/>
      <c r="K549" s="331"/>
      <c r="O549" s="541"/>
      <c r="R549" s="139"/>
    </row>
    <row r="550">
      <c r="C550" s="139"/>
      <c r="D550" s="139"/>
      <c r="G550" s="331"/>
      <c r="H550" s="331"/>
      <c r="I550" s="331"/>
      <c r="J550" s="331"/>
      <c r="K550" s="331"/>
      <c r="O550" s="541"/>
      <c r="R550" s="139"/>
    </row>
    <row r="551">
      <c r="C551" s="139"/>
      <c r="D551" s="139"/>
      <c r="G551" s="331"/>
      <c r="H551" s="331"/>
      <c r="I551" s="331"/>
      <c r="J551" s="331"/>
      <c r="K551" s="331"/>
      <c r="O551" s="541"/>
      <c r="R551" s="139"/>
    </row>
    <row r="552">
      <c r="C552" s="139"/>
      <c r="D552" s="139"/>
      <c r="G552" s="331"/>
      <c r="H552" s="331"/>
      <c r="I552" s="331"/>
      <c r="J552" s="331"/>
      <c r="K552" s="331"/>
      <c r="O552" s="541"/>
      <c r="R552" s="139"/>
    </row>
    <row r="553">
      <c r="C553" s="139"/>
      <c r="D553" s="139"/>
      <c r="G553" s="331"/>
      <c r="H553" s="331"/>
      <c r="I553" s="331"/>
      <c r="J553" s="331"/>
      <c r="K553" s="331"/>
      <c r="O553" s="541"/>
      <c r="R553" s="139"/>
    </row>
    <row r="554">
      <c r="C554" s="139"/>
      <c r="D554" s="139"/>
      <c r="G554" s="331"/>
      <c r="H554" s="331"/>
      <c r="I554" s="331"/>
      <c r="J554" s="331"/>
      <c r="K554" s="331"/>
      <c r="O554" s="541"/>
      <c r="R554" s="139"/>
    </row>
    <row r="555">
      <c r="C555" s="139"/>
      <c r="D555" s="139"/>
      <c r="G555" s="331"/>
      <c r="H555" s="331"/>
      <c r="I555" s="331"/>
      <c r="J555" s="331"/>
      <c r="K555" s="331"/>
      <c r="O555" s="541"/>
      <c r="R555" s="139"/>
    </row>
    <row r="556">
      <c r="C556" s="139"/>
      <c r="D556" s="139"/>
      <c r="G556" s="331"/>
      <c r="H556" s="331"/>
      <c r="I556" s="331"/>
      <c r="J556" s="331"/>
      <c r="K556" s="331"/>
      <c r="O556" s="541"/>
      <c r="R556" s="139"/>
    </row>
    <row r="557">
      <c r="C557" s="139"/>
      <c r="D557" s="139"/>
      <c r="G557" s="331"/>
      <c r="H557" s="331"/>
      <c r="I557" s="331"/>
      <c r="J557" s="331"/>
      <c r="K557" s="331"/>
      <c r="O557" s="541"/>
      <c r="R557" s="139"/>
    </row>
    <row r="558">
      <c r="C558" s="139"/>
      <c r="D558" s="139"/>
      <c r="G558" s="331"/>
      <c r="H558" s="331"/>
      <c r="I558" s="331"/>
      <c r="J558" s="331"/>
      <c r="K558" s="331"/>
      <c r="O558" s="541"/>
      <c r="R558" s="139"/>
    </row>
    <row r="559">
      <c r="C559" s="139"/>
      <c r="D559" s="139"/>
      <c r="G559" s="331"/>
      <c r="H559" s="331"/>
      <c r="I559" s="331"/>
      <c r="J559" s="331"/>
      <c r="K559" s="331"/>
      <c r="O559" s="541"/>
      <c r="R559" s="139"/>
    </row>
    <row r="560">
      <c r="C560" s="139"/>
      <c r="D560" s="139"/>
      <c r="G560" s="331"/>
      <c r="H560" s="331"/>
      <c r="I560" s="331"/>
      <c r="J560" s="331"/>
      <c r="K560" s="331"/>
      <c r="O560" s="541"/>
      <c r="R560" s="139"/>
    </row>
    <row r="561">
      <c r="C561" s="139"/>
      <c r="D561" s="139"/>
      <c r="G561" s="331"/>
      <c r="H561" s="331"/>
      <c r="I561" s="331"/>
      <c r="J561" s="331"/>
      <c r="K561" s="331"/>
      <c r="O561" s="541"/>
      <c r="R561" s="139"/>
    </row>
    <row r="562">
      <c r="C562" s="139"/>
      <c r="D562" s="139"/>
      <c r="G562" s="331"/>
      <c r="H562" s="331"/>
      <c r="I562" s="331"/>
      <c r="J562" s="331"/>
      <c r="K562" s="331"/>
      <c r="O562" s="541"/>
      <c r="R562" s="139"/>
    </row>
    <row r="563">
      <c r="C563" s="139"/>
      <c r="D563" s="139"/>
      <c r="G563" s="331"/>
      <c r="H563" s="331"/>
      <c r="I563" s="331"/>
      <c r="J563" s="331"/>
      <c r="K563" s="331"/>
      <c r="O563" s="541"/>
      <c r="R563" s="139"/>
    </row>
    <row r="564">
      <c r="C564" s="139"/>
      <c r="D564" s="139"/>
      <c r="G564" s="331"/>
      <c r="H564" s="331"/>
      <c r="I564" s="331"/>
      <c r="J564" s="331"/>
      <c r="K564" s="331"/>
      <c r="O564" s="541"/>
      <c r="R564" s="139"/>
    </row>
    <row r="565">
      <c r="C565" s="139"/>
      <c r="D565" s="139"/>
      <c r="G565" s="331"/>
      <c r="H565" s="331"/>
      <c r="I565" s="331"/>
      <c r="J565" s="331"/>
      <c r="K565" s="331"/>
      <c r="O565" s="541"/>
      <c r="R565" s="139"/>
    </row>
    <row r="566">
      <c r="C566" s="139"/>
      <c r="D566" s="139"/>
      <c r="G566" s="331"/>
      <c r="H566" s="331"/>
      <c r="I566" s="331"/>
      <c r="J566" s="331"/>
      <c r="K566" s="331"/>
      <c r="O566" s="541"/>
      <c r="R566" s="139"/>
    </row>
    <row r="567">
      <c r="C567" s="139"/>
      <c r="D567" s="139"/>
      <c r="G567" s="331"/>
      <c r="H567" s="331"/>
      <c r="I567" s="331"/>
      <c r="J567" s="331"/>
      <c r="K567" s="331"/>
      <c r="O567" s="541"/>
      <c r="R567" s="139"/>
    </row>
    <row r="568">
      <c r="C568" s="139"/>
      <c r="D568" s="139"/>
      <c r="G568" s="331"/>
      <c r="H568" s="331"/>
      <c r="I568" s="331"/>
      <c r="J568" s="331"/>
      <c r="K568" s="331"/>
      <c r="O568" s="541"/>
      <c r="R568" s="139"/>
    </row>
    <row r="569">
      <c r="C569" s="139"/>
      <c r="D569" s="139"/>
      <c r="G569" s="331"/>
      <c r="H569" s="331"/>
      <c r="I569" s="331"/>
      <c r="J569" s="331"/>
      <c r="K569" s="331"/>
      <c r="O569" s="541"/>
      <c r="R569" s="139"/>
    </row>
    <row r="570">
      <c r="C570" s="139"/>
      <c r="D570" s="139"/>
      <c r="G570" s="331"/>
      <c r="H570" s="331"/>
      <c r="I570" s="331"/>
      <c r="J570" s="331"/>
      <c r="K570" s="331"/>
      <c r="O570" s="541"/>
      <c r="R570" s="139"/>
    </row>
    <row r="571">
      <c r="C571" s="139"/>
      <c r="D571" s="139"/>
      <c r="G571" s="331"/>
      <c r="H571" s="331"/>
      <c r="I571" s="331"/>
      <c r="J571" s="331"/>
      <c r="K571" s="331"/>
      <c r="O571" s="541"/>
      <c r="R571" s="139"/>
    </row>
    <row r="572">
      <c r="C572" s="139"/>
      <c r="D572" s="139"/>
      <c r="G572" s="331"/>
      <c r="H572" s="331"/>
      <c r="I572" s="331"/>
      <c r="J572" s="331"/>
      <c r="K572" s="331"/>
      <c r="O572" s="541"/>
      <c r="R572" s="139"/>
    </row>
    <row r="573">
      <c r="C573" s="139"/>
      <c r="D573" s="139"/>
      <c r="G573" s="331"/>
      <c r="H573" s="331"/>
      <c r="I573" s="331"/>
      <c r="J573" s="331"/>
      <c r="K573" s="331"/>
      <c r="O573" s="541"/>
      <c r="R573" s="139"/>
    </row>
    <row r="574">
      <c r="C574" s="139"/>
      <c r="D574" s="139"/>
      <c r="G574" s="331"/>
      <c r="H574" s="331"/>
      <c r="I574" s="331"/>
      <c r="J574" s="331"/>
      <c r="K574" s="331"/>
      <c r="O574" s="541"/>
      <c r="R574" s="139"/>
    </row>
    <row r="575">
      <c r="C575" s="139"/>
      <c r="D575" s="139"/>
      <c r="G575" s="331"/>
      <c r="H575" s="331"/>
      <c r="I575" s="331"/>
      <c r="J575" s="331"/>
      <c r="K575" s="331"/>
      <c r="O575" s="541"/>
      <c r="R575" s="139"/>
    </row>
    <row r="576">
      <c r="C576" s="139"/>
      <c r="D576" s="139"/>
      <c r="G576" s="331"/>
      <c r="H576" s="331"/>
      <c r="I576" s="331"/>
      <c r="J576" s="331"/>
      <c r="K576" s="331"/>
      <c r="O576" s="541"/>
      <c r="R576" s="139"/>
    </row>
    <row r="577">
      <c r="C577" s="139"/>
      <c r="D577" s="139"/>
      <c r="G577" s="331"/>
      <c r="H577" s="331"/>
      <c r="I577" s="331"/>
      <c r="J577" s="331"/>
      <c r="K577" s="331"/>
      <c r="O577" s="541"/>
      <c r="R577" s="139"/>
    </row>
    <row r="578">
      <c r="C578" s="139"/>
      <c r="D578" s="139"/>
      <c r="G578" s="331"/>
      <c r="H578" s="331"/>
      <c r="I578" s="331"/>
      <c r="J578" s="331"/>
      <c r="K578" s="331"/>
      <c r="O578" s="541"/>
      <c r="R578" s="139"/>
    </row>
    <row r="579">
      <c r="C579" s="139"/>
      <c r="D579" s="139"/>
      <c r="G579" s="331"/>
      <c r="H579" s="331"/>
      <c r="I579" s="331"/>
      <c r="J579" s="331"/>
      <c r="K579" s="331"/>
      <c r="O579" s="541"/>
      <c r="R579" s="139"/>
    </row>
    <row r="580">
      <c r="C580" s="139"/>
      <c r="D580" s="139"/>
      <c r="G580" s="331"/>
      <c r="H580" s="331"/>
      <c r="I580" s="331"/>
      <c r="J580" s="331"/>
      <c r="K580" s="331"/>
      <c r="O580" s="541"/>
      <c r="R580" s="139"/>
    </row>
    <row r="581">
      <c r="C581" s="139"/>
      <c r="D581" s="139"/>
      <c r="G581" s="331"/>
      <c r="H581" s="331"/>
      <c r="I581" s="331"/>
      <c r="J581" s="331"/>
      <c r="K581" s="331"/>
      <c r="O581" s="541"/>
      <c r="R581" s="139"/>
    </row>
    <row r="582">
      <c r="C582" s="139"/>
      <c r="D582" s="139"/>
      <c r="G582" s="331"/>
      <c r="H582" s="331"/>
      <c r="I582" s="331"/>
      <c r="J582" s="331"/>
      <c r="K582" s="331"/>
      <c r="O582" s="541"/>
      <c r="R582" s="139"/>
    </row>
    <row r="583">
      <c r="C583" s="139"/>
      <c r="D583" s="139"/>
      <c r="G583" s="331"/>
      <c r="H583" s="331"/>
      <c r="I583" s="331"/>
      <c r="J583" s="331"/>
      <c r="K583" s="331"/>
      <c r="O583" s="541"/>
      <c r="R583" s="139"/>
    </row>
    <row r="584">
      <c r="C584" s="139"/>
      <c r="D584" s="139"/>
      <c r="G584" s="331"/>
      <c r="H584" s="331"/>
      <c r="I584" s="331"/>
      <c r="J584" s="331"/>
      <c r="K584" s="331"/>
      <c r="O584" s="541"/>
      <c r="R584" s="139"/>
    </row>
    <row r="585">
      <c r="C585" s="139"/>
      <c r="D585" s="139"/>
      <c r="G585" s="331"/>
      <c r="H585" s="331"/>
      <c r="I585" s="331"/>
      <c r="J585" s="331"/>
      <c r="K585" s="331"/>
      <c r="O585" s="541"/>
      <c r="R585" s="139"/>
    </row>
    <row r="586">
      <c r="C586" s="139"/>
      <c r="D586" s="139"/>
      <c r="G586" s="331"/>
      <c r="H586" s="331"/>
      <c r="I586" s="331"/>
      <c r="J586" s="331"/>
      <c r="K586" s="331"/>
      <c r="O586" s="541"/>
      <c r="R586" s="139"/>
    </row>
    <row r="587">
      <c r="C587" s="139"/>
      <c r="D587" s="139"/>
      <c r="G587" s="331"/>
      <c r="H587" s="331"/>
      <c r="I587" s="331"/>
      <c r="J587" s="331"/>
      <c r="K587" s="331"/>
      <c r="O587" s="541"/>
      <c r="R587" s="139"/>
    </row>
    <row r="588">
      <c r="C588" s="139"/>
      <c r="D588" s="139"/>
      <c r="G588" s="331"/>
      <c r="H588" s="331"/>
      <c r="I588" s="331"/>
      <c r="J588" s="331"/>
      <c r="K588" s="331"/>
      <c r="O588" s="541"/>
      <c r="R588" s="139"/>
    </row>
    <row r="589">
      <c r="C589" s="139"/>
      <c r="D589" s="139"/>
      <c r="G589" s="331"/>
      <c r="H589" s="331"/>
      <c r="I589" s="331"/>
      <c r="J589" s="331"/>
      <c r="K589" s="331"/>
      <c r="O589" s="541"/>
      <c r="R589" s="139"/>
    </row>
    <row r="590">
      <c r="C590" s="139"/>
      <c r="D590" s="139"/>
      <c r="G590" s="331"/>
      <c r="H590" s="331"/>
      <c r="I590" s="331"/>
      <c r="J590" s="331"/>
      <c r="K590" s="331"/>
      <c r="O590" s="541"/>
      <c r="R590" s="139"/>
    </row>
    <row r="591">
      <c r="C591" s="139"/>
      <c r="D591" s="139"/>
      <c r="G591" s="331"/>
      <c r="H591" s="331"/>
      <c r="I591" s="331"/>
      <c r="J591" s="331"/>
      <c r="K591" s="331"/>
      <c r="O591" s="541"/>
      <c r="R591" s="139"/>
    </row>
    <row r="592">
      <c r="C592" s="139"/>
      <c r="D592" s="139"/>
      <c r="G592" s="331"/>
      <c r="H592" s="331"/>
      <c r="I592" s="331"/>
      <c r="J592" s="331"/>
      <c r="K592" s="331"/>
      <c r="O592" s="541"/>
      <c r="R592" s="139"/>
    </row>
    <row r="593">
      <c r="C593" s="139"/>
      <c r="D593" s="139"/>
      <c r="G593" s="331"/>
      <c r="H593" s="331"/>
      <c r="I593" s="331"/>
      <c r="J593" s="331"/>
      <c r="K593" s="331"/>
      <c r="O593" s="541"/>
      <c r="R593" s="139"/>
    </row>
    <row r="594">
      <c r="C594" s="139"/>
      <c r="D594" s="139"/>
      <c r="G594" s="331"/>
      <c r="H594" s="331"/>
      <c r="I594" s="331"/>
      <c r="J594" s="331"/>
      <c r="K594" s="331"/>
      <c r="O594" s="541"/>
      <c r="R594" s="139"/>
    </row>
    <row r="595">
      <c r="C595" s="139"/>
      <c r="D595" s="139"/>
      <c r="G595" s="331"/>
      <c r="H595" s="331"/>
      <c r="I595" s="331"/>
      <c r="J595" s="331"/>
      <c r="K595" s="331"/>
      <c r="O595" s="541"/>
      <c r="R595" s="139"/>
    </row>
    <row r="596">
      <c r="C596" s="139"/>
      <c r="D596" s="139"/>
      <c r="G596" s="331"/>
      <c r="H596" s="331"/>
      <c r="I596" s="331"/>
      <c r="J596" s="331"/>
      <c r="K596" s="331"/>
      <c r="O596" s="541"/>
      <c r="R596" s="139"/>
    </row>
    <row r="597">
      <c r="C597" s="139"/>
      <c r="D597" s="139"/>
      <c r="G597" s="331"/>
      <c r="H597" s="331"/>
      <c r="I597" s="331"/>
      <c r="J597" s="331"/>
      <c r="K597" s="331"/>
      <c r="O597" s="541"/>
      <c r="R597" s="139"/>
    </row>
    <row r="598">
      <c r="C598" s="139"/>
      <c r="D598" s="139"/>
      <c r="G598" s="331"/>
      <c r="H598" s="331"/>
      <c r="I598" s="331"/>
      <c r="J598" s="331"/>
      <c r="K598" s="331"/>
      <c r="O598" s="541"/>
      <c r="R598" s="139"/>
    </row>
    <row r="599">
      <c r="C599" s="139"/>
      <c r="D599" s="139"/>
      <c r="G599" s="331"/>
      <c r="H599" s="331"/>
      <c r="I599" s="331"/>
      <c r="J599" s="331"/>
      <c r="K599" s="331"/>
      <c r="O599" s="541"/>
      <c r="R599" s="139"/>
    </row>
    <row r="600">
      <c r="C600" s="139"/>
      <c r="D600" s="139"/>
      <c r="G600" s="331"/>
      <c r="H600" s="331"/>
      <c r="I600" s="331"/>
      <c r="J600" s="331"/>
      <c r="K600" s="331"/>
      <c r="O600" s="541"/>
      <c r="R600" s="139"/>
    </row>
    <row r="601">
      <c r="C601" s="139"/>
      <c r="D601" s="139"/>
      <c r="G601" s="331"/>
      <c r="H601" s="331"/>
      <c r="I601" s="331"/>
      <c r="J601" s="331"/>
      <c r="K601" s="331"/>
      <c r="O601" s="541"/>
      <c r="R601" s="139"/>
    </row>
    <row r="602">
      <c r="C602" s="139"/>
      <c r="D602" s="139"/>
      <c r="G602" s="331"/>
      <c r="H602" s="331"/>
      <c r="I602" s="331"/>
      <c r="J602" s="331"/>
      <c r="K602" s="331"/>
      <c r="O602" s="541"/>
      <c r="R602" s="139"/>
    </row>
    <row r="603">
      <c r="C603" s="139"/>
      <c r="D603" s="139"/>
      <c r="G603" s="331"/>
      <c r="H603" s="331"/>
      <c r="I603" s="331"/>
      <c r="J603" s="331"/>
      <c r="K603" s="331"/>
      <c r="O603" s="541"/>
      <c r="R603" s="139"/>
    </row>
    <row r="604">
      <c r="C604" s="139"/>
      <c r="D604" s="139"/>
      <c r="G604" s="331"/>
      <c r="H604" s="331"/>
      <c r="I604" s="331"/>
      <c r="J604" s="331"/>
      <c r="K604" s="331"/>
      <c r="O604" s="541"/>
      <c r="R604" s="139"/>
    </row>
    <row r="605">
      <c r="C605" s="139"/>
      <c r="D605" s="139"/>
      <c r="G605" s="331"/>
      <c r="H605" s="331"/>
      <c r="I605" s="331"/>
      <c r="J605" s="331"/>
      <c r="K605" s="331"/>
      <c r="O605" s="541"/>
      <c r="R605" s="139"/>
    </row>
    <row r="606">
      <c r="C606" s="139"/>
      <c r="D606" s="139"/>
      <c r="G606" s="331"/>
      <c r="H606" s="331"/>
      <c r="I606" s="331"/>
      <c r="J606" s="331"/>
      <c r="K606" s="331"/>
      <c r="O606" s="541"/>
      <c r="R606" s="139"/>
    </row>
    <row r="607">
      <c r="C607" s="139"/>
      <c r="D607" s="139"/>
      <c r="G607" s="331"/>
      <c r="H607" s="331"/>
      <c r="I607" s="331"/>
      <c r="J607" s="331"/>
      <c r="K607" s="331"/>
      <c r="O607" s="541"/>
      <c r="R607" s="139"/>
    </row>
    <row r="608">
      <c r="C608" s="139"/>
      <c r="D608" s="139"/>
      <c r="G608" s="331"/>
      <c r="H608" s="331"/>
      <c r="I608" s="331"/>
      <c r="J608" s="331"/>
      <c r="K608" s="331"/>
      <c r="O608" s="541"/>
      <c r="R608" s="139"/>
    </row>
    <row r="609">
      <c r="C609" s="139"/>
      <c r="D609" s="139"/>
      <c r="G609" s="331"/>
      <c r="H609" s="331"/>
      <c r="I609" s="331"/>
      <c r="J609" s="331"/>
      <c r="K609" s="331"/>
      <c r="O609" s="541"/>
      <c r="R609" s="139"/>
    </row>
    <row r="610">
      <c r="C610" s="139"/>
      <c r="D610" s="139"/>
      <c r="G610" s="331"/>
      <c r="H610" s="331"/>
      <c r="I610" s="331"/>
      <c r="J610" s="331"/>
      <c r="K610" s="331"/>
      <c r="O610" s="541"/>
      <c r="R610" s="139"/>
    </row>
    <row r="611">
      <c r="C611" s="139"/>
      <c r="D611" s="139"/>
      <c r="G611" s="331"/>
      <c r="H611" s="331"/>
      <c r="I611" s="331"/>
      <c r="J611" s="331"/>
      <c r="K611" s="331"/>
      <c r="O611" s="541"/>
      <c r="R611" s="139"/>
    </row>
    <row r="612">
      <c r="C612" s="139"/>
      <c r="D612" s="139"/>
      <c r="G612" s="331"/>
      <c r="H612" s="331"/>
      <c r="I612" s="331"/>
      <c r="J612" s="331"/>
      <c r="K612" s="331"/>
      <c r="O612" s="541"/>
      <c r="R612" s="139"/>
    </row>
    <row r="613">
      <c r="C613" s="139"/>
      <c r="D613" s="139"/>
      <c r="G613" s="331"/>
      <c r="H613" s="331"/>
      <c r="I613" s="331"/>
      <c r="J613" s="331"/>
      <c r="K613" s="331"/>
      <c r="O613" s="541"/>
      <c r="R613" s="139"/>
    </row>
    <row r="614">
      <c r="C614" s="139"/>
      <c r="D614" s="139"/>
      <c r="G614" s="331"/>
      <c r="H614" s="331"/>
      <c r="I614" s="331"/>
      <c r="J614" s="331"/>
      <c r="K614" s="331"/>
      <c r="O614" s="541"/>
      <c r="R614" s="139"/>
    </row>
    <row r="615">
      <c r="C615" s="139"/>
      <c r="D615" s="139"/>
      <c r="G615" s="331"/>
      <c r="H615" s="331"/>
      <c r="I615" s="331"/>
      <c r="J615" s="331"/>
      <c r="K615" s="331"/>
      <c r="O615" s="541"/>
      <c r="R615" s="139"/>
    </row>
    <row r="616">
      <c r="C616" s="139"/>
      <c r="D616" s="139"/>
      <c r="G616" s="331"/>
      <c r="H616" s="331"/>
      <c r="I616" s="331"/>
      <c r="J616" s="331"/>
      <c r="K616" s="331"/>
      <c r="O616" s="541"/>
      <c r="R616" s="139"/>
    </row>
    <row r="617">
      <c r="C617" s="139"/>
      <c r="D617" s="139"/>
      <c r="G617" s="331"/>
      <c r="H617" s="331"/>
      <c r="I617" s="331"/>
      <c r="J617" s="331"/>
      <c r="K617" s="331"/>
      <c r="O617" s="541"/>
      <c r="R617" s="139"/>
    </row>
    <row r="618">
      <c r="C618" s="139"/>
      <c r="D618" s="139"/>
      <c r="G618" s="331"/>
      <c r="H618" s="331"/>
      <c r="I618" s="331"/>
      <c r="J618" s="331"/>
      <c r="K618" s="331"/>
      <c r="O618" s="541"/>
      <c r="R618" s="139"/>
    </row>
    <row r="619">
      <c r="C619" s="139"/>
      <c r="D619" s="139"/>
      <c r="G619" s="331"/>
      <c r="H619" s="331"/>
      <c r="I619" s="331"/>
      <c r="J619" s="331"/>
      <c r="K619" s="331"/>
      <c r="O619" s="541"/>
      <c r="R619" s="139"/>
    </row>
    <row r="620">
      <c r="C620" s="139"/>
      <c r="D620" s="139"/>
      <c r="G620" s="331"/>
      <c r="H620" s="331"/>
      <c r="I620" s="331"/>
      <c r="J620" s="331"/>
      <c r="K620" s="331"/>
      <c r="O620" s="541"/>
      <c r="R620" s="139"/>
    </row>
    <row r="621">
      <c r="C621" s="139"/>
      <c r="D621" s="139"/>
      <c r="G621" s="331"/>
      <c r="H621" s="331"/>
      <c r="I621" s="331"/>
      <c r="J621" s="331"/>
      <c r="K621" s="331"/>
      <c r="O621" s="541"/>
      <c r="R621" s="139"/>
    </row>
    <row r="622">
      <c r="C622" s="139"/>
      <c r="D622" s="139"/>
      <c r="G622" s="331"/>
      <c r="H622" s="331"/>
      <c r="I622" s="331"/>
      <c r="J622" s="331"/>
      <c r="K622" s="331"/>
      <c r="O622" s="541"/>
      <c r="R622" s="139"/>
    </row>
    <row r="623">
      <c r="C623" s="139"/>
      <c r="D623" s="139"/>
      <c r="G623" s="331"/>
      <c r="H623" s="331"/>
      <c r="I623" s="331"/>
      <c r="J623" s="331"/>
      <c r="K623" s="331"/>
      <c r="O623" s="541"/>
      <c r="R623" s="139"/>
    </row>
    <row r="624">
      <c r="C624" s="139"/>
      <c r="D624" s="139"/>
      <c r="G624" s="331"/>
      <c r="H624" s="331"/>
      <c r="I624" s="331"/>
      <c r="J624" s="331"/>
      <c r="K624" s="331"/>
      <c r="O624" s="541"/>
      <c r="R624" s="139"/>
    </row>
    <row r="625">
      <c r="C625" s="139"/>
      <c r="D625" s="139"/>
      <c r="G625" s="331"/>
      <c r="H625" s="331"/>
      <c r="I625" s="331"/>
      <c r="J625" s="331"/>
      <c r="K625" s="331"/>
      <c r="O625" s="541"/>
      <c r="R625" s="139"/>
    </row>
    <row r="626">
      <c r="C626" s="139"/>
      <c r="D626" s="139"/>
      <c r="G626" s="331"/>
      <c r="H626" s="331"/>
      <c r="I626" s="331"/>
      <c r="J626" s="331"/>
      <c r="K626" s="331"/>
      <c r="O626" s="541"/>
      <c r="R626" s="139"/>
    </row>
    <row r="627">
      <c r="C627" s="139"/>
      <c r="D627" s="139"/>
      <c r="G627" s="331"/>
      <c r="H627" s="331"/>
      <c r="I627" s="331"/>
      <c r="J627" s="331"/>
      <c r="K627" s="331"/>
      <c r="O627" s="541"/>
      <c r="R627" s="139"/>
    </row>
    <row r="628">
      <c r="C628" s="139"/>
      <c r="D628" s="139"/>
      <c r="G628" s="331"/>
      <c r="H628" s="331"/>
      <c r="I628" s="331"/>
      <c r="J628" s="331"/>
      <c r="K628" s="331"/>
      <c r="O628" s="541"/>
      <c r="R628" s="139"/>
    </row>
    <row r="629">
      <c r="C629" s="139"/>
      <c r="D629" s="139"/>
      <c r="G629" s="331"/>
      <c r="H629" s="331"/>
      <c r="I629" s="331"/>
      <c r="J629" s="331"/>
      <c r="K629" s="331"/>
      <c r="O629" s="541"/>
      <c r="R629" s="139"/>
    </row>
    <row r="630">
      <c r="C630" s="139"/>
      <c r="D630" s="139"/>
      <c r="G630" s="331"/>
      <c r="H630" s="331"/>
      <c r="I630" s="331"/>
      <c r="J630" s="331"/>
      <c r="K630" s="331"/>
      <c r="O630" s="541"/>
      <c r="R630" s="139"/>
    </row>
    <row r="631">
      <c r="C631" s="139"/>
      <c r="D631" s="139"/>
      <c r="G631" s="331"/>
      <c r="H631" s="331"/>
      <c r="I631" s="331"/>
      <c r="J631" s="331"/>
      <c r="K631" s="331"/>
      <c r="O631" s="541"/>
      <c r="R631" s="139"/>
    </row>
    <row r="632">
      <c r="C632" s="139"/>
      <c r="D632" s="139"/>
      <c r="G632" s="331"/>
      <c r="H632" s="331"/>
      <c r="I632" s="331"/>
      <c r="J632" s="331"/>
      <c r="K632" s="331"/>
      <c r="O632" s="541"/>
      <c r="R632" s="139"/>
    </row>
    <row r="633">
      <c r="C633" s="139"/>
      <c r="D633" s="139"/>
      <c r="G633" s="331"/>
      <c r="H633" s="331"/>
      <c r="I633" s="331"/>
      <c r="J633" s="331"/>
      <c r="K633" s="331"/>
      <c r="O633" s="541"/>
      <c r="R633" s="139"/>
    </row>
    <row r="634">
      <c r="C634" s="139"/>
      <c r="D634" s="139"/>
      <c r="G634" s="331"/>
      <c r="H634" s="331"/>
      <c r="I634" s="331"/>
      <c r="J634" s="331"/>
      <c r="K634" s="331"/>
      <c r="O634" s="541"/>
      <c r="R634" s="139"/>
    </row>
    <row r="635">
      <c r="C635" s="139"/>
      <c r="D635" s="139"/>
      <c r="G635" s="331"/>
      <c r="H635" s="331"/>
      <c r="I635" s="331"/>
      <c r="J635" s="331"/>
      <c r="K635" s="331"/>
      <c r="O635" s="541"/>
      <c r="R635" s="139"/>
    </row>
    <row r="636">
      <c r="C636" s="139"/>
      <c r="D636" s="139"/>
      <c r="G636" s="331"/>
      <c r="H636" s="331"/>
      <c r="I636" s="331"/>
      <c r="J636" s="331"/>
      <c r="K636" s="331"/>
      <c r="O636" s="541"/>
      <c r="R636" s="139"/>
    </row>
    <row r="637">
      <c r="C637" s="139"/>
      <c r="D637" s="139"/>
      <c r="G637" s="331"/>
      <c r="H637" s="331"/>
      <c r="I637" s="331"/>
      <c r="J637" s="331"/>
      <c r="K637" s="331"/>
      <c r="O637" s="541"/>
      <c r="R637" s="139"/>
    </row>
    <row r="638">
      <c r="C638" s="139"/>
      <c r="D638" s="139"/>
      <c r="G638" s="331"/>
      <c r="H638" s="331"/>
      <c r="I638" s="331"/>
      <c r="J638" s="331"/>
      <c r="K638" s="331"/>
      <c r="O638" s="541"/>
      <c r="R638" s="139"/>
    </row>
    <row r="639">
      <c r="C639" s="139"/>
      <c r="D639" s="139"/>
      <c r="G639" s="331"/>
      <c r="H639" s="331"/>
      <c r="I639" s="331"/>
      <c r="J639" s="331"/>
      <c r="K639" s="331"/>
      <c r="O639" s="541"/>
      <c r="R639" s="139"/>
    </row>
    <row r="640">
      <c r="C640" s="139"/>
      <c r="D640" s="139"/>
      <c r="G640" s="331"/>
      <c r="H640" s="331"/>
      <c r="I640" s="331"/>
      <c r="J640" s="331"/>
      <c r="K640" s="331"/>
      <c r="O640" s="541"/>
      <c r="R640" s="139"/>
    </row>
    <row r="641">
      <c r="C641" s="139"/>
      <c r="D641" s="139"/>
      <c r="G641" s="331"/>
      <c r="H641" s="331"/>
      <c r="I641" s="331"/>
      <c r="J641" s="331"/>
      <c r="K641" s="331"/>
      <c r="O641" s="541"/>
      <c r="R641" s="139"/>
    </row>
    <row r="642">
      <c r="C642" s="139"/>
      <c r="D642" s="139"/>
      <c r="G642" s="331"/>
      <c r="H642" s="331"/>
      <c r="I642" s="331"/>
      <c r="J642" s="331"/>
      <c r="K642" s="331"/>
      <c r="O642" s="541"/>
      <c r="R642" s="139"/>
    </row>
    <row r="643">
      <c r="C643" s="139"/>
      <c r="D643" s="139"/>
      <c r="G643" s="331"/>
      <c r="H643" s="331"/>
      <c r="I643" s="331"/>
      <c r="J643" s="331"/>
      <c r="K643" s="331"/>
      <c r="O643" s="541"/>
      <c r="R643" s="139"/>
    </row>
    <row r="644">
      <c r="C644" s="139"/>
      <c r="D644" s="139"/>
      <c r="G644" s="331"/>
      <c r="H644" s="331"/>
      <c r="I644" s="331"/>
      <c r="J644" s="331"/>
      <c r="K644" s="331"/>
      <c r="O644" s="541"/>
      <c r="R644" s="139"/>
    </row>
    <row r="645">
      <c r="C645" s="139"/>
      <c r="D645" s="139"/>
      <c r="G645" s="331"/>
      <c r="H645" s="331"/>
      <c r="I645" s="331"/>
      <c r="J645" s="331"/>
      <c r="K645" s="331"/>
      <c r="O645" s="541"/>
      <c r="R645" s="139"/>
    </row>
    <row r="646">
      <c r="C646" s="139"/>
      <c r="D646" s="139"/>
      <c r="G646" s="331"/>
      <c r="H646" s="331"/>
      <c r="I646" s="331"/>
      <c r="J646" s="331"/>
      <c r="K646" s="331"/>
      <c r="O646" s="541"/>
      <c r="R646" s="139"/>
    </row>
    <row r="647">
      <c r="C647" s="139"/>
      <c r="D647" s="139"/>
      <c r="G647" s="331"/>
      <c r="H647" s="331"/>
      <c r="I647" s="331"/>
      <c r="J647" s="331"/>
      <c r="K647" s="331"/>
      <c r="O647" s="541"/>
      <c r="R647" s="139"/>
    </row>
    <row r="648">
      <c r="C648" s="139"/>
      <c r="D648" s="139"/>
      <c r="G648" s="331"/>
      <c r="H648" s="331"/>
      <c r="I648" s="331"/>
      <c r="J648" s="331"/>
      <c r="K648" s="331"/>
      <c r="O648" s="541"/>
      <c r="R648" s="139"/>
    </row>
    <row r="649">
      <c r="C649" s="139"/>
      <c r="D649" s="139"/>
      <c r="G649" s="331"/>
      <c r="H649" s="331"/>
      <c r="I649" s="331"/>
      <c r="J649" s="331"/>
      <c r="K649" s="331"/>
      <c r="O649" s="541"/>
      <c r="R649" s="139"/>
    </row>
    <row r="650">
      <c r="C650" s="139"/>
      <c r="D650" s="139"/>
      <c r="G650" s="331"/>
      <c r="H650" s="331"/>
      <c r="I650" s="331"/>
      <c r="J650" s="331"/>
      <c r="K650" s="331"/>
      <c r="O650" s="541"/>
      <c r="R650" s="139"/>
    </row>
    <row r="651">
      <c r="C651" s="139"/>
      <c r="D651" s="139"/>
      <c r="G651" s="331"/>
      <c r="H651" s="331"/>
      <c r="I651" s="331"/>
      <c r="J651" s="331"/>
      <c r="K651" s="331"/>
      <c r="O651" s="541"/>
      <c r="R651" s="139"/>
    </row>
    <row r="652">
      <c r="C652" s="139"/>
      <c r="D652" s="139"/>
      <c r="G652" s="331"/>
      <c r="H652" s="331"/>
      <c r="I652" s="331"/>
      <c r="J652" s="331"/>
      <c r="K652" s="331"/>
      <c r="O652" s="541"/>
      <c r="R652" s="139"/>
    </row>
    <row r="653">
      <c r="C653" s="139"/>
      <c r="D653" s="139"/>
      <c r="G653" s="331"/>
      <c r="H653" s="331"/>
      <c r="I653" s="331"/>
      <c r="J653" s="331"/>
      <c r="K653" s="331"/>
      <c r="O653" s="541"/>
      <c r="R653" s="139"/>
    </row>
    <row r="654">
      <c r="C654" s="139"/>
      <c r="D654" s="139"/>
      <c r="G654" s="331"/>
      <c r="H654" s="331"/>
      <c r="I654" s="331"/>
      <c r="J654" s="331"/>
      <c r="K654" s="331"/>
      <c r="O654" s="541"/>
      <c r="R654" s="139"/>
    </row>
    <row r="655">
      <c r="C655" s="139"/>
      <c r="D655" s="139"/>
      <c r="G655" s="331"/>
      <c r="H655" s="331"/>
      <c r="I655" s="331"/>
      <c r="J655" s="331"/>
      <c r="K655" s="331"/>
      <c r="O655" s="541"/>
      <c r="R655" s="139"/>
    </row>
    <row r="656">
      <c r="C656" s="139"/>
      <c r="D656" s="139"/>
      <c r="G656" s="331"/>
      <c r="H656" s="331"/>
      <c r="I656" s="331"/>
      <c r="J656" s="331"/>
      <c r="K656" s="331"/>
      <c r="O656" s="541"/>
      <c r="R656" s="139"/>
    </row>
    <row r="657">
      <c r="C657" s="139"/>
      <c r="D657" s="139"/>
      <c r="G657" s="331"/>
      <c r="H657" s="331"/>
      <c r="I657" s="331"/>
      <c r="J657" s="331"/>
      <c r="K657" s="331"/>
      <c r="O657" s="541"/>
      <c r="R657" s="139"/>
    </row>
    <row r="658">
      <c r="C658" s="139"/>
      <c r="D658" s="139"/>
      <c r="G658" s="331"/>
      <c r="H658" s="331"/>
      <c r="I658" s="331"/>
      <c r="J658" s="331"/>
      <c r="K658" s="331"/>
      <c r="O658" s="541"/>
      <c r="R658" s="139"/>
    </row>
    <row r="659">
      <c r="C659" s="139"/>
      <c r="D659" s="139"/>
      <c r="G659" s="331"/>
      <c r="H659" s="331"/>
      <c r="I659" s="331"/>
      <c r="J659" s="331"/>
      <c r="K659" s="331"/>
      <c r="O659" s="541"/>
      <c r="R659" s="139"/>
    </row>
    <row r="660">
      <c r="C660" s="139"/>
      <c r="D660" s="139"/>
      <c r="G660" s="331"/>
      <c r="H660" s="331"/>
      <c r="I660" s="331"/>
      <c r="J660" s="331"/>
      <c r="K660" s="331"/>
      <c r="O660" s="541"/>
      <c r="R660" s="139"/>
    </row>
    <row r="661">
      <c r="C661" s="139"/>
      <c r="D661" s="139"/>
      <c r="G661" s="331"/>
      <c r="H661" s="331"/>
      <c r="I661" s="331"/>
      <c r="J661" s="331"/>
      <c r="K661" s="331"/>
      <c r="O661" s="541"/>
      <c r="R661" s="139"/>
    </row>
    <row r="662">
      <c r="C662" s="139"/>
      <c r="D662" s="139"/>
      <c r="G662" s="331"/>
      <c r="H662" s="331"/>
      <c r="I662" s="331"/>
      <c r="J662" s="331"/>
      <c r="K662" s="331"/>
      <c r="O662" s="541"/>
      <c r="R662" s="139"/>
    </row>
    <row r="663">
      <c r="C663" s="139"/>
      <c r="D663" s="139"/>
      <c r="G663" s="331"/>
      <c r="H663" s="331"/>
      <c r="I663" s="331"/>
      <c r="J663" s="331"/>
      <c r="K663" s="331"/>
      <c r="O663" s="541"/>
      <c r="R663" s="139"/>
    </row>
    <row r="664">
      <c r="C664" s="139"/>
      <c r="D664" s="139"/>
      <c r="G664" s="331"/>
      <c r="H664" s="331"/>
      <c r="I664" s="331"/>
      <c r="J664" s="331"/>
      <c r="K664" s="331"/>
      <c r="O664" s="541"/>
      <c r="R664" s="139"/>
    </row>
    <row r="665">
      <c r="C665" s="139"/>
      <c r="D665" s="139"/>
      <c r="G665" s="331"/>
      <c r="H665" s="331"/>
      <c r="I665" s="331"/>
      <c r="J665" s="331"/>
      <c r="K665" s="331"/>
      <c r="O665" s="541"/>
      <c r="R665" s="139"/>
    </row>
    <row r="666">
      <c r="C666" s="139"/>
      <c r="D666" s="139"/>
      <c r="G666" s="331"/>
      <c r="H666" s="331"/>
      <c r="I666" s="331"/>
      <c r="J666" s="331"/>
      <c r="K666" s="331"/>
      <c r="O666" s="541"/>
      <c r="R666" s="139"/>
    </row>
    <row r="667">
      <c r="C667" s="139"/>
      <c r="D667" s="139"/>
      <c r="G667" s="331"/>
      <c r="H667" s="331"/>
      <c r="I667" s="331"/>
      <c r="J667" s="331"/>
      <c r="K667" s="331"/>
      <c r="O667" s="541"/>
      <c r="R667" s="139"/>
    </row>
    <row r="668">
      <c r="C668" s="139"/>
      <c r="D668" s="139"/>
      <c r="G668" s="331"/>
      <c r="H668" s="331"/>
      <c r="I668" s="331"/>
      <c r="J668" s="331"/>
      <c r="K668" s="331"/>
      <c r="O668" s="541"/>
      <c r="R668" s="139"/>
    </row>
    <row r="669">
      <c r="C669" s="139"/>
      <c r="D669" s="139"/>
      <c r="G669" s="331"/>
      <c r="H669" s="331"/>
      <c r="I669" s="331"/>
      <c r="J669" s="331"/>
      <c r="K669" s="331"/>
      <c r="O669" s="541"/>
      <c r="R669" s="139"/>
    </row>
    <row r="670">
      <c r="C670" s="139"/>
      <c r="D670" s="139"/>
      <c r="G670" s="331"/>
      <c r="H670" s="331"/>
      <c r="I670" s="331"/>
      <c r="J670" s="331"/>
      <c r="K670" s="331"/>
      <c r="O670" s="541"/>
      <c r="R670" s="139"/>
    </row>
    <row r="671">
      <c r="C671" s="139"/>
      <c r="D671" s="139"/>
      <c r="G671" s="331"/>
      <c r="H671" s="331"/>
      <c r="I671" s="331"/>
      <c r="J671" s="331"/>
      <c r="K671" s="331"/>
      <c r="O671" s="541"/>
      <c r="R671" s="139"/>
    </row>
    <row r="672">
      <c r="C672" s="139"/>
      <c r="D672" s="139"/>
      <c r="G672" s="331"/>
      <c r="H672" s="331"/>
      <c r="I672" s="331"/>
      <c r="J672" s="331"/>
      <c r="K672" s="331"/>
      <c r="O672" s="541"/>
      <c r="R672" s="139"/>
    </row>
    <row r="673">
      <c r="C673" s="139"/>
      <c r="D673" s="139"/>
      <c r="G673" s="331"/>
      <c r="H673" s="331"/>
      <c r="I673" s="331"/>
      <c r="J673" s="331"/>
      <c r="K673" s="331"/>
      <c r="O673" s="541"/>
      <c r="R673" s="139"/>
    </row>
    <row r="674">
      <c r="C674" s="139"/>
      <c r="D674" s="139"/>
      <c r="G674" s="331"/>
      <c r="H674" s="331"/>
      <c r="I674" s="331"/>
      <c r="J674" s="331"/>
      <c r="K674" s="331"/>
      <c r="O674" s="541"/>
      <c r="R674" s="139"/>
    </row>
    <row r="675">
      <c r="C675" s="139"/>
      <c r="D675" s="139"/>
      <c r="G675" s="331"/>
      <c r="H675" s="331"/>
      <c r="I675" s="331"/>
      <c r="J675" s="331"/>
      <c r="K675" s="331"/>
      <c r="O675" s="541"/>
      <c r="R675" s="139"/>
    </row>
    <row r="676">
      <c r="C676" s="139"/>
      <c r="D676" s="139"/>
      <c r="G676" s="331"/>
      <c r="H676" s="331"/>
      <c r="I676" s="331"/>
      <c r="J676" s="331"/>
      <c r="K676" s="331"/>
      <c r="O676" s="541"/>
      <c r="R676" s="139"/>
    </row>
    <row r="677">
      <c r="C677" s="139"/>
      <c r="D677" s="139"/>
      <c r="G677" s="331"/>
      <c r="H677" s="331"/>
      <c r="I677" s="331"/>
      <c r="J677" s="331"/>
      <c r="K677" s="331"/>
      <c r="O677" s="541"/>
      <c r="R677" s="139"/>
    </row>
    <row r="678">
      <c r="C678" s="139"/>
      <c r="D678" s="139"/>
      <c r="G678" s="331"/>
      <c r="H678" s="331"/>
      <c r="I678" s="331"/>
      <c r="J678" s="331"/>
      <c r="K678" s="331"/>
      <c r="O678" s="541"/>
      <c r="R678" s="139"/>
    </row>
    <row r="679">
      <c r="C679" s="139"/>
      <c r="D679" s="139"/>
      <c r="G679" s="331"/>
      <c r="H679" s="331"/>
      <c r="I679" s="331"/>
      <c r="J679" s="331"/>
      <c r="K679" s="331"/>
      <c r="O679" s="541"/>
      <c r="R679" s="139"/>
    </row>
    <row r="680">
      <c r="C680" s="139"/>
      <c r="D680" s="139"/>
      <c r="G680" s="331"/>
      <c r="H680" s="331"/>
      <c r="I680" s="331"/>
      <c r="J680" s="331"/>
      <c r="K680" s="331"/>
      <c r="O680" s="541"/>
      <c r="R680" s="139"/>
    </row>
    <row r="681">
      <c r="C681" s="139"/>
      <c r="D681" s="139"/>
      <c r="G681" s="331"/>
      <c r="H681" s="331"/>
      <c r="I681" s="331"/>
      <c r="J681" s="331"/>
      <c r="K681" s="331"/>
      <c r="O681" s="541"/>
      <c r="R681" s="139"/>
    </row>
    <row r="682">
      <c r="C682" s="139"/>
      <c r="D682" s="139"/>
      <c r="G682" s="331"/>
      <c r="H682" s="331"/>
      <c r="I682" s="331"/>
      <c r="J682" s="331"/>
      <c r="K682" s="331"/>
      <c r="O682" s="541"/>
      <c r="R682" s="139"/>
    </row>
    <row r="683">
      <c r="C683" s="139"/>
      <c r="D683" s="139"/>
      <c r="G683" s="331"/>
      <c r="H683" s="331"/>
      <c r="I683" s="331"/>
      <c r="J683" s="331"/>
      <c r="K683" s="331"/>
      <c r="O683" s="541"/>
      <c r="R683" s="139"/>
    </row>
    <row r="684">
      <c r="C684" s="139"/>
      <c r="D684" s="139"/>
      <c r="G684" s="331"/>
      <c r="H684" s="331"/>
      <c r="I684" s="331"/>
      <c r="J684" s="331"/>
      <c r="K684" s="331"/>
      <c r="O684" s="541"/>
      <c r="R684" s="139"/>
    </row>
    <row r="685">
      <c r="C685" s="139"/>
      <c r="D685" s="139"/>
      <c r="G685" s="331"/>
      <c r="H685" s="331"/>
      <c r="I685" s="331"/>
      <c r="J685" s="331"/>
      <c r="K685" s="331"/>
      <c r="O685" s="541"/>
      <c r="R685" s="139"/>
    </row>
    <row r="686">
      <c r="C686" s="139"/>
      <c r="D686" s="139"/>
      <c r="G686" s="331"/>
      <c r="H686" s="331"/>
      <c r="I686" s="331"/>
      <c r="J686" s="331"/>
      <c r="K686" s="331"/>
      <c r="O686" s="541"/>
      <c r="R686" s="139"/>
    </row>
    <row r="687">
      <c r="C687" s="139"/>
      <c r="D687" s="139"/>
      <c r="G687" s="331"/>
      <c r="H687" s="331"/>
      <c r="I687" s="331"/>
      <c r="J687" s="331"/>
      <c r="K687" s="331"/>
      <c r="O687" s="541"/>
      <c r="R687" s="139"/>
    </row>
    <row r="688">
      <c r="C688" s="139"/>
      <c r="D688" s="139"/>
      <c r="G688" s="331"/>
      <c r="H688" s="331"/>
      <c r="I688" s="331"/>
      <c r="J688" s="331"/>
      <c r="K688" s="331"/>
      <c r="O688" s="541"/>
      <c r="R688" s="139"/>
    </row>
    <row r="689">
      <c r="C689" s="139"/>
      <c r="D689" s="139"/>
      <c r="G689" s="331"/>
      <c r="H689" s="331"/>
      <c r="I689" s="331"/>
      <c r="J689" s="331"/>
      <c r="K689" s="331"/>
      <c r="O689" s="541"/>
      <c r="R689" s="139"/>
    </row>
    <row r="690">
      <c r="C690" s="139"/>
      <c r="D690" s="139"/>
      <c r="G690" s="331"/>
      <c r="H690" s="331"/>
      <c r="I690" s="331"/>
      <c r="J690" s="331"/>
      <c r="K690" s="331"/>
      <c r="O690" s="541"/>
      <c r="R690" s="139"/>
    </row>
    <row r="691">
      <c r="C691" s="139"/>
      <c r="D691" s="139"/>
      <c r="G691" s="331"/>
      <c r="H691" s="331"/>
      <c r="I691" s="331"/>
      <c r="J691" s="331"/>
      <c r="K691" s="331"/>
      <c r="O691" s="541"/>
      <c r="R691" s="139"/>
    </row>
    <row r="692">
      <c r="C692" s="139"/>
      <c r="D692" s="139"/>
      <c r="G692" s="331"/>
      <c r="H692" s="331"/>
      <c r="I692" s="331"/>
      <c r="J692" s="331"/>
      <c r="K692" s="331"/>
      <c r="O692" s="541"/>
      <c r="R692" s="139"/>
    </row>
    <row r="693">
      <c r="C693" s="139"/>
      <c r="D693" s="139"/>
      <c r="G693" s="331"/>
      <c r="H693" s="331"/>
      <c r="I693" s="331"/>
      <c r="J693" s="331"/>
      <c r="K693" s="331"/>
      <c r="O693" s="541"/>
      <c r="R693" s="139"/>
    </row>
    <row r="694">
      <c r="C694" s="139"/>
      <c r="D694" s="139"/>
      <c r="G694" s="331"/>
      <c r="H694" s="331"/>
      <c r="I694" s="331"/>
      <c r="J694" s="331"/>
      <c r="K694" s="331"/>
      <c r="O694" s="541"/>
      <c r="R694" s="139"/>
    </row>
    <row r="695">
      <c r="C695" s="139"/>
      <c r="D695" s="139"/>
      <c r="G695" s="331"/>
      <c r="H695" s="331"/>
      <c r="I695" s="331"/>
      <c r="J695" s="331"/>
      <c r="K695" s="331"/>
      <c r="O695" s="541"/>
      <c r="R695" s="139"/>
    </row>
    <row r="696">
      <c r="C696" s="139"/>
      <c r="D696" s="139"/>
      <c r="G696" s="331"/>
      <c r="H696" s="331"/>
      <c r="I696" s="331"/>
      <c r="J696" s="331"/>
      <c r="K696" s="331"/>
      <c r="O696" s="541"/>
      <c r="R696" s="139"/>
    </row>
    <row r="697">
      <c r="C697" s="139"/>
      <c r="D697" s="139"/>
      <c r="G697" s="331"/>
      <c r="H697" s="331"/>
      <c r="I697" s="331"/>
      <c r="J697" s="331"/>
      <c r="K697" s="331"/>
      <c r="O697" s="541"/>
      <c r="R697" s="139"/>
    </row>
    <row r="698">
      <c r="C698" s="139"/>
      <c r="D698" s="139"/>
      <c r="G698" s="331"/>
      <c r="H698" s="331"/>
      <c r="I698" s="331"/>
      <c r="J698" s="331"/>
      <c r="K698" s="331"/>
      <c r="O698" s="541"/>
      <c r="R698" s="139"/>
    </row>
    <row r="699">
      <c r="C699" s="139"/>
      <c r="D699" s="139"/>
      <c r="G699" s="331"/>
      <c r="H699" s="331"/>
      <c r="I699" s="331"/>
      <c r="J699" s="331"/>
      <c r="K699" s="331"/>
      <c r="O699" s="541"/>
      <c r="R699" s="139"/>
    </row>
    <row r="700">
      <c r="C700" s="139"/>
      <c r="D700" s="139"/>
      <c r="G700" s="331"/>
      <c r="H700" s="331"/>
      <c r="I700" s="331"/>
      <c r="J700" s="331"/>
      <c r="K700" s="331"/>
      <c r="O700" s="541"/>
      <c r="R700" s="139"/>
    </row>
    <row r="701">
      <c r="C701" s="139"/>
      <c r="D701" s="139"/>
      <c r="G701" s="331"/>
      <c r="H701" s="331"/>
      <c r="I701" s="331"/>
      <c r="J701" s="331"/>
      <c r="K701" s="331"/>
      <c r="O701" s="541"/>
      <c r="R701" s="139"/>
    </row>
    <row r="702">
      <c r="C702" s="139"/>
      <c r="D702" s="139"/>
      <c r="G702" s="331"/>
      <c r="H702" s="331"/>
      <c r="I702" s="331"/>
      <c r="J702" s="331"/>
      <c r="K702" s="331"/>
      <c r="O702" s="541"/>
      <c r="R702" s="139"/>
    </row>
    <row r="703">
      <c r="C703" s="139"/>
      <c r="D703" s="139"/>
      <c r="G703" s="331"/>
      <c r="H703" s="331"/>
      <c r="I703" s="331"/>
      <c r="J703" s="331"/>
      <c r="K703" s="331"/>
      <c r="O703" s="541"/>
      <c r="R703" s="139"/>
    </row>
    <row r="704">
      <c r="C704" s="139"/>
      <c r="D704" s="139"/>
      <c r="G704" s="331"/>
      <c r="H704" s="331"/>
      <c r="I704" s="331"/>
      <c r="J704" s="331"/>
      <c r="K704" s="331"/>
      <c r="O704" s="541"/>
      <c r="R704" s="139"/>
    </row>
    <row r="705">
      <c r="C705" s="139"/>
      <c r="D705" s="139"/>
      <c r="G705" s="331"/>
      <c r="H705" s="331"/>
      <c r="I705" s="331"/>
      <c r="J705" s="331"/>
      <c r="K705" s="331"/>
      <c r="O705" s="541"/>
      <c r="R705" s="139"/>
    </row>
    <row r="706">
      <c r="C706" s="139"/>
      <c r="D706" s="139"/>
      <c r="G706" s="331"/>
      <c r="H706" s="331"/>
      <c r="I706" s="331"/>
      <c r="J706" s="331"/>
      <c r="K706" s="331"/>
      <c r="O706" s="541"/>
      <c r="R706" s="139"/>
    </row>
    <row r="707">
      <c r="C707" s="139"/>
      <c r="D707" s="139"/>
      <c r="G707" s="331"/>
      <c r="H707" s="331"/>
      <c r="I707" s="331"/>
      <c r="J707" s="331"/>
      <c r="K707" s="331"/>
      <c r="O707" s="541"/>
      <c r="R707" s="139"/>
    </row>
    <row r="708">
      <c r="C708" s="139"/>
      <c r="D708" s="139"/>
      <c r="G708" s="331"/>
      <c r="H708" s="331"/>
      <c r="I708" s="331"/>
      <c r="J708" s="331"/>
      <c r="K708" s="331"/>
      <c r="O708" s="541"/>
      <c r="R708" s="139"/>
    </row>
    <row r="709">
      <c r="C709" s="139"/>
      <c r="D709" s="139"/>
      <c r="G709" s="331"/>
      <c r="H709" s="331"/>
      <c r="I709" s="331"/>
      <c r="J709" s="331"/>
      <c r="K709" s="331"/>
      <c r="O709" s="541"/>
      <c r="R709" s="139"/>
    </row>
    <row r="710">
      <c r="C710" s="139"/>
      <c r="D710" s="139"/>
      <c r="G710" s="331"/>
      <c r="H710" s="331"/>
      <c r="I710" s="331"/>
      <c r="J710" s="331"/>
      <c r="K710" s="331"/>
      <c r="O710" s="541"/>
      <c r="R710" s="139"/>
    </row>
    <row r="711">
      <c r="C711" s="139"/>
      <c r="D711" s="139"/>
      <c r="G711" s="331"/>
      <c r="H711" s="331"/>
      <c r="I711" s="331"/>
      <c r="J711" s="331"/>
      <c r="K711" s="331"/>
      <c r="O711" s="541"/>
      <c r="R711" s="139"/>
    </row>
    <row r="712">
      <c r="C712" s="139"/>
      <c r="D712" s="139"/>
      <c r="G712" s="331"/>
      <c r="H712" s="331"/>
      <c r="I712" s="331"/>
      <c r="J712" s="331"/>
      <c r="K712" s="331"/>
      <c r="O712" s="541"/>
      <c r="R712" s="139"/>
    </row>
    <row r="713">
      <c r="C713" s="139"/>
      <c r="D713" s="139"/>
      <c r="G713" s="331"/>
      <c r="H713" s="331"/>
      <c r="I713" s="331"/>
      <c r="J713" s="331"/>
      <c r="K713" s="331"/>
      <c r="O713" s="541"/>
      <c r="R713" s="139"/>
    </row>
    <row r="714">
      <c r="C714" s="139"/>
      <c r="D714" s="139"/>
      <c r="G714" s="331"/>
      <c r="H714" s="331"/>
      <c r="I714" s="331"/>
      <c r="J714" s="331"/>
      <c r="K714" s="331"/>
      <c r="O714" s="541"/>
      <c r="R714" s="139"/>
    </row>
    <row r="715">
      <c r="C715" s="139"/>
      <c r="D715" s="139"/>
      <c r="G715" s="331"/>
      <c r="H715" s="331"/>
      <c r="I715" s="331"/>
      <c r="J715" s="331"/>
      <c r="K715" s="331"/>
      <c r="O715" s="541"/>
      <c r="R715" s="139"/>
    </row>
    <row r="716">
      <c r="C716" s="139"/>
      <c r="D716" s="139"/>
      <c r="G716" s="331"/>
      <c r="H716" s="331"/>
      <c r="I716" s="331"/>
      <c r="J716" s="331"/>
      <c r="K716" s="331"/>
      <c r="O716" s="541"/>
      <c r="R716" s="139"/>
    </row>
    <row r="717">
      <c r="C717" s="139"/>
      <c r="D717" s="139"/>
      <c r="G717" s="331"/>
      <c r="H717" s="331"/>
      <c r="I717" s="331"/>
      <c r="J717" s="331"/>
      <c r="K717" s="331"/>
      <c r="O717" s="541"/>
      <c r="R717" s="139"/>
    </row>
    <row r="718">
      <c r="C718" s="139"/>
      <c r="D718" s="139"/>
      <c r="G718" s="331"/>
      <c r="H718" s="331"/>
      <c r="I718" s="331"/>
      <c r="J718" s="331"/>
      <c r="K718" s="331"/>
      <c r="O718" s="541"/>
      <c r="R718" s="139"/>
    </row>
    <row r="719">
      <c r="C719" s="139"/>
      <c r="D719" s="139"/>
      <c r="G719" s="331"/>
      <c r="H719" s="331"/>
      <c r="I719" s="331"/>
      <c r="J719" s="331"/>
      <c r="K719" s="331"/>
      <c r="O719" s="541"/>
      <c r="R719" s="139"/>
    </row>
    <row r="720">
      <c r="C720" s="139"/>
      <c r="D720" s="139"/>
      <c r="G720" s="331"/>
      <c r="H720" s="331"/>
      <c r="I720" s="331"/>
      <c r="J720" s="331"/>
      <c r="K720" s="331"/>
      <c r="O720" s="541"/>
      <c r="R720" s="139"/>
    </row>
    <row r="721">
      <c r="C721" s="139"/>
      <c r="D721" s="139"/>
      <c r="G721" s="331"/>
      <c r="H721" s="331"/>
      <c r="I721" s="331"/>
      <c r="J721" s="331"/>
      <c r="K721" s="331"/>
      <c r="O721" s="541"/>
      <c r="R721" s="139"/>
    </row>
    <row r="722">
      <c r="C722" s="139"/>
      <c r="D722" s="139"/>
      <c r="G722" s="331"/>
      <c r="H722" s="331"/>
      <c r="I722" s="331"/>
      <c r="J722" s="331"/>
      <c r="K722" s="331"/>
      <c r="O722" s="541"/>
      <c r="R722" s="139"/>
    </row>
    <row r="723">
      <c r="C723" s="139"/>
      <c r="D723" s="139"/>
      <c r="G723" s="331"/>
      <c r="H723" s="331"/>
      <c r="I723" s="331"/>
      <c r="J723" s="331"/>
      <c r="K723" s="331"/>
      <c r="O723" s="541"/>
      <c r="R723" s="139"/>
    </row>
    <row r="724">
      <c r="C724" s="139"/>
      <c r="D724" s="139"/>
      <c r="G724" s="331"/>
      <c r="H724" s="331"/>
      <c r="I724" s="331"/>
      <c r="J724" s="331"/>
      <c r="K724" s="331"/>
      <c r="O724" s="541"/>
      <c r="R724" s="139"/>
    </row>
    <row r="725">
      <c r="C725" s="139"/>
      <c r="D725" s="139"/>
      <c r="G725" s="331"/>
      <c r="H725" s="331"/>
      <c r="I725" s="331"/>
      <c r="J725" s="331"/>
      <c r="K725" s="331"/>
      <c r="O725" s="541"/>
      <c r="R725" s="139"/>
    </row>
    <row r="726">
      <c r="C726" s="139"/>
      <c r="D726" s="139"/>
      <c r="G726" s="331"/>
      <c r="H726" s="331"/>
      <c r="I726" s="331"/>
      <c r="J726" s="331"/>
      <c r="K726" s="331"/>
      <c r="O726" s="541"/>
      <c r="R726" s="139"/>
    </row>
    <row r="727">
      <c r="C727" s="139"/>
      <c r="D727" s="139"/>
      <c r="G727" s="331"/>
      <c r="H727" s="331"/>
      <c r="I727" s="331"/>
      <c r="J727" s="331"/>
      <c r="K727" s="331"/>
      <c r="O727" s="541"/>
      <c r="R727" s="139"/>
    </row>
    <row r="728">
      <c r="C728" s="139"/>
      <c r="D728" s="139"/>
      <c r="G728" s="331"/>
      <c r="H728" s="331"/>
      <c r="I728" s="331"/>
      <c r="J728" s="331"/>
      <c r="K728" s="331"/>
      <c r="O728" s="541"/>
      <c r="R728" s="139"/>
    </row>
    <row r="729">
      <c r="C729" s="139"/>
      <c r="D729" s="139"/>
      <c r="G729" s="331"/>
      <c r="H729" s="331"/>
      <c r="I729" s="331"/>
      <c r="J729" s="331"/>
      <c r="K729" s="331"/>
      <c r="O729" s="541"/>
      <c r="R729" s="139"/>
    </row>
    <row r="730">
      <c r="C730" s="139"/>
      <c r="D730" s="139"/>
      <c r="G730" s="331"/>
      <c r="H730" s="331"/>
      <c r="I730" s="331"/>
      <c r="J730" s="331"/>
      <c r="K730" s="331"/>
      <c r="O730" s="541"/>
      <c r="R730" s="139"/>
    </row>
    <row r="731">
      <c r="C731" s="139"/>
      <c r="D731" s="139"/>
      <c r="G731" s="331"/>
      <c r="H731" s="331"/>
      <c r="I731" s="331"/>
      <c r="J731" s="331"/>
      <c r="K731" s="331"/>
      <c r="O731" s="541"/>
      <c r="R731" s="139"/>
    </row>
    <row r="732">
      <c r="C732" s="139"/>
      <c r="D732" s="139"/>
      <c r="G732" s="331"/>
      <c r="H732" s="331"/>
      <c r="I732" s="331"/>
      <c r="J732" s="331"/>
      <c r="K732" s="331"/>
      <c r="O732" s="541"/>
      <c r="R732" s="139"/>
    </row>
    <row r="733">
      <c r="C733" s="139"/>
      <c r="D733" s="139"/>
      <c r="G733" s="331"/>
      <c r="H733" s="331"/>
      <c r="I733" s="331"/>
      <c r="J733" s="331"/>
      <c r="K733" s="331"/>
      <c r="O733" s="541"/>
      <c r="R733" s="139"/>
    </row>
    <row r="734">
      <c r="C734" s="139"/>
      <c r="D734" s="139"/>
      <c r="G734" s="331"/>
      <c r="H734" s="331"/>
      <c r="I734" s="331"/>
      <c r="J734" s="331"/>
      <c r="K734" s="331"/>
      <c r="O734" s="541"/>
      <c r="R734" s="139"/>
    </row>
    <row r="735">
      <c r="C735" s="139"/>
      <c r="D735" s="139"/>
      <c r="G735" s="331"/>
      <c r="H735" s="331"/>
      <c r="I735" s="331"/>
      <c r="J735" s="331"/>
      <c r="K735" s="331"/>
      <c r="O735" s="541"/>
      <c r="R735" s="139"/>
    </row>
    <row r="736">
      <c r="C736" s="139"/>
      <c r="D736" s="139"/>
      <c r="G736" s="331"/>
      <c r="H736" s="331"/>
      <c r="I736" s="331"/>
      <c r="J736" s="331"/>
      <c r="K736" s="331"/>
      <c r="O736" s="541"/>
      <c r="R736" s="139"/>
    </row>
    <row r="737">
      <c r="C737" s="139"/>
      <c r="D737" s="139"/>
      <c r="G737" s="331"/>
      <c r="H737" s="331"/>
      <c r="I737" s="331"/>
      <c r="J737" s="331"/>
      <c r="K737" s="331"/>
      <c r="O737" s="541"/>
      <c r="R737" s="139"/>
    </row>
    <row r="738">
      <c r="C738" s="139"/>
      <c r="D738" s="139"/>
      <c r="G738" s="331"/>
      <c r="H738" s="331"/>
      <c r="I738" s="331"/>
      <c r="J738" s="331"/>
      <c r="K738" s="331"/>
      <c r="O738" s="541"/>
      <c r="R738" s="139"/>
    </row>
    <row r="739">
      <c r="C739" s="139"/>
      <c r="D739" s="139"/>
      <c r="G739" s="331"/>
      <c r="H739" s="331"/>
      <c r="I739" s="331"/>
      <c r="J739" s="331"/>
      <c r="K739" s="331"/>
      <c r="O739" s="541"/>
      <c r="R739" s="139"/>
    </row>
    <row r="740">
      <c r="C740" s="139"/>
      <c r="D740" s="139"/>
      <c r="G740" s="331"/>
      <c r="H740" s="331"/>
      <c r="I740" s="331"/>
      <c r="J740" s="331"/>
      <c r="K740" s="331"/>
      <c r="O740" s="541"/>
      <c r="R740" s="139"/>
    </row>
    <row r="741">
      <c r="C741" s="139"/>
      <c r="D741" s="139"/>
      <c r="G741" s="331"/>
      <c r="H741" s="331"/>
      <c r="I741" s="331"/>
      <c r="J741" s="331"/>
      <c r="K741" s="331"/>
      <c r="O741" s="541"/>
      <c r="R741" s="139"/>
    </row>
    <row r="742">
      <c r="C742" s="139"/>
      <c r="D742" s="139"/>
      <c r="G742" s="331"/>
      <c r="H742" s="331"/>
      <c r="I742" s="331"/>
      <c r="J742" s="331"/>
      <c r="K742" s="331"/>
      <c r="O742" s="541"/>
      <c r="R742" s="139"/>
    </row>
    <row r="743">
      <c r="C743" s="139"/>
      <c r="D743" s="139"/>
      <c r="G743" s="331"/>
      <c r="H743" s="331"/>
      <c r="I743" s="331"/>
      <c r="J743" s="331"/>
      <c r="K743" s="331"/>
      <c r="O743" s="541"/>
      <c r="R743" s="139"/>
    </row>
    <row r="744">
      <c r="C744" s="139"/>
      <c r="D744" s="139"/>
      <c r="G744" s="331"/>
      <c r="H744" s="331"/>
      <c r="I744" s="331"/>
      <c r="J744" s="331"/>
      <c r="K744" s="331"/>
      <c r="O744" s="541"/>
      <c r="R744" s="139"/>
    </row>
    <row r="745">
      <c r="C745" s="139"/>
      <c r="D745" s="139"/>
      <c r="G745" s="331"/>
      <c r="H745" s="331"/>
      <c r="I745" s="331"/>
      <c r="J745" s="331"/>
      <c r="K745" s="331"/>
      <c r="O745" s="541"/>
      <c r="R745" s="139"/>
    </row>
    <row r="746">
      <c r="C746" s="139"/>
      <c r="D746" s="139"/>
      <c r="G746" s="331"/>
      <c r="H746" s="331"/>
      <c r="I746" s="331"/>
      <c r="J746" s="331"/>
      <c r="K746" s="331"/>
      <c r="O746" s="541"/>
      <c r="R746" s="139"/>
    </row>
    <row r="747">
      <c r="C747" s="139"/>
      <c r="D747" s="139"/>
      <c r="G747" s="331"/>
      <c r="H747" s="331"/>
      <c r="I747" s="331"/>
      <c r="J747" s="331"/>
      <c r="K747" s="331"/>
      <c r="O747" s="541"/>
      <c r="R747" s="139"/>
    </row>
    <row r="748">
      <c r="C748" s="139"/>
      <c r="D748" s="139"/>
      <c r="G748" s="331"/>
      <c r="H748" s="331"/>
      <c r="I748" s="331"/>
      <c r="J748" s="331"/>
      <c r="K748" s="331"/>
      <c r="O748" s="541"/>
      <c r="R748" s="139"/>
    </row>
    <row r="749">
      <c r="C749" s="139"/>
      <c r="D749" s="139"/>
      <c r="G749" s="331"/>
      <c r="H749" s="331"/>
      <c r="I749" s="331"/>
      <c r="J749" s="331"/>
      <c r="K749" s="331"/>
      <c r="O749" s="541"/>
      <c r="R749" s="139"/>
    </row>
    <row r="750">
      <c r="C750" s="139"/>
      <c r="D750" s="139"/>
      <c r="G750" s="331"/>
      <c r="H750" s="331"/>
      <c r="I750" s="331"/>
      <c r="J750" s="331"/>
      <c r="K750" s="331"/>
      <c r="O750" s="541"/>
      <c r="R750" s="139"/>
    </row>
    <row r="751">
      <c r="C751" s="139"/>
      <c r="D751" s="139"/>
      <c r="G751" s="331"/>
      <c r="H751" s="331"/>
      <c r="I751" s="331"/>
      <c r="J751" s="331"/>
      <c r="K751" s="331"/>
      <c r="O751" s="541"/>
      <c r="R751" s="139"/>
    </row>
    <row r="752">
      <c r="C752" s="139"/>
      <c r="D752" s="139"/>
      <c r="G752" s="331"/>
      <c r="H752" s="331"/>
      <c r="I752" s="331"/>
      <c r="J752" s="331"/>
      <c r="K752" s="331"/>
      <c r="O752" s="541"/>
      <c r="R752" s="139"/>
    </row>
    <row r="753">
      <c r="C753" s="139"/>
      <c r="D753" s="139"/>
      <c r="G753" s="331"/>
      <c r="H753" s="331"/>
      <c r="I753" s="331"/>
      <c r="J753" s="331"/>
      <c r="K753" s="331"/>
      <c r="O753" s="541"/>
      <c r="R753" s="139"/>
    </row>
    <row r="754">
      <c r="C754" s="139"/>
      <c r="D754" s="139"/>
      <c r="G754" s="331"/>
      <c r="H754" s="331"/>
      <c r="I754" s="331"/>
      <c r="J754" s="331"/>
      <c r="K754" s="331"/>
      <c r="O754" s="541"/>
      <c r="R754" s="139"/>
    </row>
    <row r="755">
      <c r="C755" s="139"/>
      <c r="D755" s="139"/>
      <c r="G755" s="331"/>
      <c r="H755" s="331"/>
      <c r="I755" s="331"/>
      <c r="J755" s="331"/>
      <c r="K755" s="331"/>
      <c r="O755" s="541"/>
      <c r="R755" s="139"/>
    </row>
    <row r="756">
      <c r="C756" s="139"/>
      <c r="D756" s="139"/>
      <c r="G756" s="331"/>
      <c r="H756" s="331"/>
      <c r="I756" s="331"/>
      <c r="J756" s="331"/>
      <c r="K756" s="331"/>
      <c r="O756" s="541"/>
      <c r="R756" s="139"/>
    </row>
    <row r="757">
      <c r="C757" s="139"/>
      <c r="D757" s="139"/>
      <c r="G757" s="331"/>
      <c r="H757" s="331"/>
      <c r="I757" s="331"/>
      <c r="J757" s="331"/>
      <c r="K757" s="331"/>
      <c r="O757" s="541"/>
      <c r="R757" s="139"/>
    </row>
    <row r="758">
      <c r="C758" s="139"/>
      <c r="D758" s="139"/>
      <c r="G758" s="331"/>
      <c r="H758" s="331"/>
      <c r="I758" s="331"/>
      <c r="J758" s="331"/>
      <c r="K758" s="331"/>
      <c r="O758" s="541"/>
      <c r="R758" s="139"/>
    </row>
    <row r="759">
      <c r="C759" s="139"/>
      <c r="D759" s="139"/>
      <c r="G759" s="331"/>
      <c r="H759" s="331"/>
      <c r="I759" s="331"/>
      <c r="J759" s="331"/>
      <c r="K759" s="331"/>
      <c r="O759" s="541"/>
      <c r="R759" s="139"/>
    </row>
    <row r="760">
      <c r="C760" s="139"/>
      <c r="D760" s="139"/>
      <c r="G760" s="331"/>
      <c r="H760" s="331"/>
      <c r="I760" s="331"/>
      <c r="J760" s="331"/>
      <c r="K760" s="331"/>
      <c r="O760" s="541"/>
      <c r="R760" s="139"/>
    </row>
    <row r="761">
      <c r="C761" s="139"/>
      <c r="D761" s="139"/>
      <c r="G761" s="331"/>
      <c r="H761" s="331"/>
      <c r="I761" s="331"/>
      <c r="J761" s="331"/>
      <c r="K761" s="331"/>
      <c r="O761" s="541"/>
      <c r="R761" s="139"/>
    </row>
    <row r="762">
      <c r="C762" s="139"/>
      <c r="D762" s="139"/>
      <c r="G762" s="331"/>
      <c r="H762" s="331"/>
      <c r="I762" s="331"/>
      <c r="J762" s="331"/>
      <c r="K762" s="331"/>
      <c r="O762" s="541"/>
      <c r="R762" s="139"/>
    </row>
    <row r="763">
      <c r="C763" s="139"/>
      <c r="D763" s="139"/>
      <c r="G763" s="331"/>
      <c r="H763" s="331"/>
      <c r="I763" s="331"/>
      <c r="J763" s="331"/>
      <c r="K763" s="331"/>
      <c r="O763" s="541"/>
      <c r="R763" s="139"/>
    </row>
    <row r="764">
      <c r="C764" s="139"/>
      <c r="D764" s="139"/>
      <c r="G764" s="331"/>
      <c r="H764" s="331"/>
      <c r="I764" s="331"/>
      <c r="J764" s="331"/>
      <c r="K764" s="331"/>
      <c r="O764" s="541"/>
      <c r="R764" s="139"/>
    </row>
    <row r="765">
      <c r="C765" s="139"/>
      <c r="D765" s="139"/>
      <c r="G765" s="331"/>
      <c r="H765" s="331"/>
      <c r="I765" s="331"/>
      <c r="J765" s="331"/>
      <c r="K765" s="331"/>
      <c r="O765" s="541"/>
      <c r="R765" s="139"/>
    </row>
    <row r="766">
      <c r="C766" s="139"/>
      <c r="D766" s="139"/>
      <c r="G766" s="331"/>
      <c r="H766" s="331"/>
      <c r="I766" s="331"/>
      <c r="J766" s="331"/>
      <c r="K766" s="331"/>
      <c r="O766" s="541"/>
      <c r="R766" s="139"/>
    </row>
    <row r="767">
      <c r="C767" s="139"/>
      <c r="D767" s="139"/>
      <c r="G767" s="331"/>
      <c r="H767" s="331"/>
      <c r="I767" s="331"/>
      <c r="J767" s="331"/>
      <c r="K767" s="331"/>
      <c r="O767" s="541"/>
      <c r="R767" s="139"/>
    </row>
    <row r="768">
      <c r="C768" s="139"/>
      <c r="D768" s="139"/>
      <c r="G768" s="331"/>
      <c r="H768" s="331"/>
      <c r="I768" s="331"/>
      <c r="J768" s="331"/>
      <c r="K768" s="331"/>
      <c r="O768" s="541"/>
      <c r="R768" s="139"/>
    </row>
    <row r="769">
      <c r="C769" s="139"/>
      <c r="D769" s="139"/>
      <c r="G769" s="331"/>
      <c r="H769" s="331"/>
      <c r="I769" s="331"/>
      <c r="J769" s="331"/>
      <c r="K769" s="331"/>
      <c r="O769" s="541"/>
      <c r="R769" s="139"/>
    </row>
    <row r="770">
      <c r="C770" s="139"/>
      <c r="D770" s="139"/>
      <c r="G770" s="331"/>
      <c r="H770" s="331"/>
      <c r="I770" s="331"/>
      <c r="J770" s="331"/>
      <c r="K770" s="331"/>
      <c r="O770" s="541"/>
      <c r="R770" s="139"/>
    </row>
    <row r="771">
      <c r="C771" s="139"/>
      <c r="D771" s="139"/>
      <c r="G771" s="331"/>
      <c r="H771" s="331"/>
      <c r="I771" s="331"/>
      <c r="J771" s="331"/>
      <c r="K771" s="331"/>
      <c r="O771" s="541"/>
      <c r="R771" s="139"/>
    </row>
    <row r="772">
      <c r="C772" s="139"/>
      <c r="D772" s="139"/>
      <c r="G772" s="331"/>
      <c r="H772" s="331"/>
      <c r="I772" s="331"/>
      <c r="J772" s="331"/>
      <c r="K772" s="331"/>
      <c r="O772" s="541"/>
      <c r="R772" s="139"/>
    </row>
    <row r="773">
      <c r="C773" s="139"/>
      <c r="D773" s="139"/>
      <c r="G773" s="331"/>
      <c r="H773" s="331"/>
      <c r="I773" s="331"/>
      <c r="J773" s="331"/>
      <c r="K773" s="331"/>
      <c r="O773" s="541"/>
      <c r="R773" s="139"/>
    </row>
    <row r="774">
      <c r="C774" s="139"/>
      <c r="D774" s="139"/>
      <c r="G774" s="331"/>
      <c r="H774" s="331"/>
      <c r="I774" s="331"/>
      <c r="J774" s="331"/>
      <c r="K774" s="331"/>
      <c r="O774" s="541"/>
      <c r="R774" s="139"/>
    </row>
    <row r="775">
      <c r="C775" s="139"/>
      <c r="D775" s="139"/>
      <c r="G775" s="331"/>
      <c r="H775" s="331"/>
      <c r="I775" s="331"/>
      <c r="J775" s="331"/>
      <c r="K775" s="331"/>
      <c r="O775" s="541"/>
      <c r="R775" s="139"/>
    </row>
    <row r="776">
      <c r="C776" s="139"/>
      <c r="D776" s="139"/>
      <c r="G776" s="331"/>
      <c r="H776" s="331"/>
      <c r="I776" s="331"/>
      <c r="J776" s="331"/>
      <c r="K776" s="331"/>
      <c r="O776" s="541"/>
      <c r="R776" s="139"/>
    </row>
    <row r="777">
      <c r="C777" s="139"/>
      <c r="D777" s="139"/>
      <c r="G777" s="331"/>
      <c r="H777" s="331"/>
      <c r="I777" s="331"/>
      <c r="J777" s="331"/>
      <c r="K777" s="331"/>
      <c r="O777" s="541"/>
      <c r="R777" s="139"/>
    </row>
    <row r="778">
      <c r="C778" s="139"/>
      <c r="D778" s="139"/>
      <c r="G778" s="331"/>
      <c r="H778" s="331"/>
      <c r="I778" s="331"/>
      <c r="J778" s="331"/>
      <c r="K778" s="331"/>
      <c r="O778" s="541"/>
      <c r="R778" s="139"/>
    </row>
    <row r="779">
      <c r="C779" s="139"/>
      <c r="D779" s="139"/>
      <c r="G779" s="331"/>
      <c r="H779" s="331"/>
      <c r="I779" s="331"/>
      <c r="J779" s="331"/>
      <c r="K779" s="331"/>
      <c r="O779" s="541"/>
      <c r="R779" s="139"/>
    </row>
    <row r="780">
      <c r="C780" s="139"/>
      <c r="D780" s="139"/>
      <c r="G780" s="331"/>
      <c r="H780" s="331"/>
      <c r="I780" s="331"/>
      <c r="J780" s="331"/>
      <c r="K780" s="331"/>
      <c r="O780" s="541"/>
      <c r="R780" s="139"/>
    </row>
    <row r="781">
      <c r="C781" s="139"/>
      <c r="D781" s="139"/>
      <c r="G781" s="331"/>
      <c r="H781" s="331"/>
      <c r="I781" s="331"/>
      <c r="J781" s="331"/>
      <c r="K781" s="331"/>
      <c r="O781" s="541"/>
      <c r="R781" s="139"/>
    </row>
    <row r="782">
      <c r="C782" s="139"/>
      <c r="D782" s="139"/>
      <c r="G782" s="331"/>
      <c r="H782" s="331"/>
      <c r="I782" s="331"/>
      <c r="J782" s="331"/>
      <c r="K782" s="331"/>
      <c r="O782" s="541"/>
      <c r="R782" s="139"/>
    </row>
    <row r="783">
      <c r="C783" s="139"/>
      <c r="D783" s="139"/>
      <c r="G783" s="331"/>
      <c r="H783" s="331"/>
      <c r="I783" s="331"/>
      <c r="J783" s="331"/>
      <c r="K783" s="331"/>
      <c r="O783" s="541"/>
      <c r="R783" s="139"/>
    </row>
    <row r="784">
      <c r="C784" s="139"/>
      <c r="D784" s="139"/>
      <c r="G784" s="331"/>
      <c r="H784" s="331"/>
      <c r="I784" s="331"/>
      <c r="J784" s="331"/>
      <c r="K784" s="331"/>
      <c r="O784" s="541"/>
      <c r="R784" s="139"/>
    </row>
    <row r="785">
      <c r="C785" s="139"/>
      <c r="D785" s="139"/>
      <c r="G785" s="331"/>
      <c r="H785" s="331"/>
      <c r="I785" s="331"/>
      <c r="J785" s="331"/>
      <c r="K785" s="331"/>
      <c r="O785" s="541"/>
      <c r="R785" s="139"/>
    </row>
    <row r="786">
      <c r="C786" s="139"/>
      <c r="D786" s="139"/>
      <c r="G786" s="331"/>
      <c r="H786" s="331"/>
      <c r="I786" s="331"/>
      <c r="J786" s="331"/>
      <c r="K786" s="331"/>
      <c r="O786" s="541"/>
      <c r="R786" s="139"/>
    </row>
    <row r="787">
      <c r="C787" s="139"/>
      <c r="D787" s="139"/>
      <c r="G787" s="331"/>
      <c r="H787" s="331"/>
      <c r="I787" s="331"/>
      <c r="J787" s="331"/>
      <c r="K787" s="331"/>
      <c r="O787" s="541"/>
      <c r="R787" s="139"/>
    </row>
    <row r="788">
      <c r="C788" s="139"/>
      <c r="D788" s="139"/>
      <c r="G788" s="331"/>
      <c r="H788" s="331"/>
      <c r="I788" s="331"/>
      <c r="J788" s="331"/>
      <c r="K788" s="331"/>
      <c r="O788" s="541"/>
      <c r="R788" s="139"/>
    </row>
    <row r="789">
      <c r="C789" s="139"/>
      <c r="D789" s="139"/>
      <c r="G789" s="331"/>
      <c r="H789" s="331"/>
      <c r="I789" s="331"/>
      <c r="J789" s="331"/>
      <c r="K789" s="331"/>
      <c r="O789" s="541"/>
      <c r="R789" s="139"/>
    </row>
    <row r="790">
      <c r="C790" s="139"/>
      <c r="D790" s="139"/>
      <c r="G790" s="331"/>
      <c r="H790" s="331"/>
      <c r="I790" s="331"/>
      <c r="J790" s="331"/>
      <c r="K790" s="331"/>
      <c r="O790" s="541"/>
      <c r="R790" s="139"/>
    </row>
    <row r="791">
      <c r="C791" s="139"/>
      <c r="D791" s="139"/>
      <c r="G791" s="331"/>
      <c r="H791" s="331"/>
      <c r="I791" s="331"/>
      <c r="J791" s="331"/>
      <c r="K791" s="331"/>
      <c r="O791" s="541"/>
      <c r="R791" s="139"/>
    </row>
    <row r="792">
      <c r="C792" s="139"/>
      <c r="D792" s="139"/>
      <c r="G792" s="331"/>
      <c r="H792" s="331"/>
      <c r="I792" s="331"/>
      <c r="J792" s="331"/>
      <c r="K792" s="331"/>
      <c r="O792" s="541"/>
      <c r="R792" s="139"/>
    </row>
    <row r="793">
      <c r="C793" s="139"/>
      <c r="D793" s="139"/>
      <c r="G793" s="331"/>
      <c r="H793" s="331"/>
      <c r="I793" s="331"/>
      <c r="J793" s="331"/>
      <c r="K793" s="331"/>
      <c r="O793" s="541"/>
      <c r="R793" s="139"/>
    </row>
    <row r="794">
      <c r="C794" s="139"/>
      <c r="D794" s="139"/>
      <c r="G794" s="331"/>
      <c r="H794" s="331"/>
      <c r="I794" s="331"/>
      <c r="J794" s="331"/>
      <c r="K794" s="331"/>
      <c r="O794" s="541"/>
      <c r="R794" s="139"/>
    </row>
    <row r="795">
      <c r="C795" s="139"/>
      <c r="D795" s="139"/>
      <c r="G795" s="331"/>
      <c r="H795" s="331"/>
      <c r="I795" s="331"/>
      <c r="J795" s="331"/>
      <c r="K795" s="331"/>
      <c r="O795" s="541"/>
      <c r="R795" s="139"/>
    </row>
    <row r="796">
      <c r="C796" s="139"/>
      <c r="D796" s="139"/>
      <c r="G796" s="331"/>
      <c r="H796" s="331"/>
      <c r="I796" s="331"/>
      <c r="J796" s="331"/>
      <c r="K796" s="331"/>
      <c r="O796" s="541"/>
      <c r="R796" s="139"/>
    </row>
    <row r="797">
      <c r="C797" s="139"/>
      <c r="D797" s="139"/>
      <c r="G797" s="331"/>
      <c r="H797" s="331"/>
      <c r="I797" s="331"/>
      <c r="J797" s="331"/>
      <c r="K797" s="331"/>
      <c r="O797" s="541"/>
      <c r="R797" s="139"/>
    </row>
    <row r="798">
      <c r="C798" s="139"/>
      <c r="D798" s="139"/>
      <c r="G798" s="331"/>
      <c r="H798" s="331"/>
      <c r="I798" s="331"/>
      <c r="J798" s="331"/>
      <c r="K798" s="331"/>
      <c r="O798" s="541"/>
      <c r="R798" s="139"/>
    </row>
    <row r="799">
      <c r="C799" s="139"/>
      <c r="D799" s="139"/>
      <c r="G799" s="331"/>
      <c r="H799" s="331"/>
      <c r="I799" s="331"/>
      <c r="J799" s="331"/>
      <c r="K799" s="331"/>
      <c r="O799" s="541"/>
      <c r="R799" s="139"/>
    </row>
    <row r="800">
      <c r="C800" s="139"/>
      <c r="D800" s="139"/>
      <c r="G800" s="331"/>
      <c r="H800" s="331"/>
      <c r="I800" s="331"/>
      <c r="J800" s="331"/>
      <c r="K800" s="331"/>
      <c r="O800" s="541"/>
      <c r="R800" s="139"/>
    </row>
    <row r="801">
      <c r="C801" s="139"/>
      <c r="D801" s="139"/>
      <c r="G801" s="331"/>
      <c r="H801" s="331"/>
      <c r="I801" s="331"/>
      <c r="J801" s="331"/>
      <c r="K801" s="331"/>
      <c r="O801" s="541"/>
      <c r="R801" s="139"/>
    </row>
    <row r="802">
      <c r="C802" s="139"/>
      <c r="D802" s="139"/>
      <c r="G802" s="331"/>
      <c r="H802" s="331"/>
      <c r="I802" s="331"/>
      <c r="J802" s="331"/>
      <c r="K802" s="331"/>
      <c r="O802" s="541"/>
      <c r="R802" s="139"/>
    </row>
    <row r="803">
      <c r="C803" s="139"/>
      <c r="D803" s="139"/>
      <c r="G803" s="331"/>
      <c r="H803" s="331"/>
      <c r="I803" s="331"/>
      <c r="J803" s="331"/>
      <c r="K803" s="331"/>
      <c r="O803" s="541"/>
      <c r="R803" s="139"/>
    </row>
    <row r="804">
      <c r="C804" s="139"/>
      <c r="D804" s="139"/>
      <c r="G804" s="331"/>
      <c r="H804" s="331"/>
      <c r="I804" s="331"/>
      <c r="J804" s="331"/>
      <c r="K804" s="331"/>
      <c r="O804" s="541"/>
      <c r="R804" s="139"/>
    </row>
    <row r="805">
      <c r="C805" s="139"/>
      <c r="D805" s="139"/>
      <c r="G805" s="331"/>
      <c r="H805" s="331"/>
      <c r="I805" s="331"/>
      <c r="J805" s="331"/>
      <c r="K805" s="331"/>
      <c r="O805" s="541"/>
      <c r="R805" s="139"/>
    </row>
    <row r="806">
      <c r="C806" s="139"/>
      <c r="D806" s="139"/>
      <c r="G806" s="331"/>
      <c r="H806" s="331"/>
      <c r="I806" s="331"/>
      <c r="J806" s="331"/>
      <c r="K806" s="331"/>
      <c r="O806" s="541"/>
      <c r="R806" s="139"/>
    </row>
    <row r="807">
      <c r="C807" s="139"/>
      <c r="D807" s="139"/>
      <c r="G807" s="331"/>
      <c r="H807" s="331"/>
      <c r="I807" s="331"/>
      <c r="J807" s="331"/>
      <c r="K807" s="331"/>
      <c r="O807" s="541"/>
      <c r="R807" s="139"/>
    </row>
    <row r="808">
      <c r="C808" s="139"/>
      <c r="D808" s="139"/>
      <c r="G808" s="331"/>
      <c r="H808" s="331"/>
      <c r="I808" s="331"/>
      <c r="J808" s="331"/>
      <c r="K808" s="331"/>
      <c r="O808" s="541"/>
      <c r="R808" s="139"/>
    </row>
    <row r="809">
      <c r="C809" s="139"/>
      <c r="D809" s="139"/>
      <c r="G809" s="331"/>
      <c r="H809" s="331"/>
      <c r="I809" s="331"/>
      <c r="J809" s="331"/>
      <c r="K809" s="331"/>
      <c r="O809" s="541"/>
      <c r="R809" s="139"/>
    </row>
    <row r="810">
      <c r="C810" s="139"/>
      <c r="D810" s="139"/>
      <c r="G810" s="331"/>
      <c r="H810" s="331"/>
      <c r="I810" s="331"/>
      <c r="J810" s="331"/>
      <c r="K810" s="331"/>
      <c r="O810" s="541"/>
      <c r="R810" s="139"/>
    </row>
    <row r="811">
      <c r="C811" s="139"/>
      <c r="D811" s="139"/>
      <c r="G811" s="331"/>
      <c r="H811" s="331"/>
      <c r="I811" s="331"/>
      <c r="J811" s="331"/>
      <c r="K811" s="331"/>
      <c r="O811" s="541"/>
      <c r="R811" s="139"/>
    </row>
    <row r="812">
      <c r="C812" s="139"/>
      <c r="D812" s="139"/>
      <c r="G812" s="331"/>
      <c r="H812" s="331"/>
      <c r="I812" s="331"/>
      <c r="J812" s="331"/>
      <c r="K812" s="331"/>
      <c r="O812" s="541"/>
      <c r="R812" s="139"/>
    </row>
    <row r="813">
      <c r="C813" s="139"/>
      <c r="D813" s="139"/>
      <c r="G813" s="331"/>
      <c r="H813" s="331"/>
      <c r="I813" s="331"/>
      <c r="J813" s="331"/>
      <c r="K813" s="331"/>
      <c r="O813" s="541"/>
      <c r="R813" s="139"/>
    </row>
    <row r="814">
      <c r="C814" s="139"/>
      <c r="D814" s="139"/>
      <c r="G814" s="331"/>
      <c r="H814" s="331"/>
      <c r="I814" s="331"/>
      <c r="J814" s="331"/>
      <c r="K814" s="331"/>
      <c r="O814" s="541"/>
      <c r="R814" s="139"/>
    </row>
    <row r="815">
      <c r="C815" s="139"/>
      <c r="D815" s="139"/>
      <c r="G815" s="331"/>
      <c r="H815" s="331"/>
      <c r="I815" s="331"/>
      <c r="J815" s="331"/>
      <c r="K815" s="331"/>
      <c r="O815" s="541"/>
      <c r="R815" s="139"/>
    </row>
    <row r="816">
      <c r="C816" s="139"/>
      <c r="D816" s="139"/>
      <c r="G816" s="331"/>
      <c r="H816" s="331"/>
      <c r="I816" s="331"/>
      <c r="J816" s="331"/>
      <c r="K816" s="331"/>
      <c r="O816" s="541"/>
      <c r="R816" s="139"/>
    </row>
    <row r="817">
      <c r="C817" s="139"/>
      <c r="D817" s="139"/>
      <c r="G817" s="331"/>
      <c r="H817" s="331"/>
      <c r="I817" s="331"/>
      <c r="J817" s="331"/>
      <c r="K817" s="331"/>
      <c r="O817" s="541"/>
      <c r="R817" s="139"/>
    </row>
    <row r="818">
      <c r="C818" s="139"/>
      <c r="D818" s="139"/>
      <c r="G818" s="331"/>
      <c r="H818" s="331"/>
      <c r="I818" s="331"/>
      <c r="J818" s="331"/>
      <c r="K818" s="331"/>
      <c r="O818" s="541"/>
      <c r="R818" s="139"/>
    </row>
    <row r="819">
      <c r="C819" s="139"/>
      <c r="D819" s="139"/>
      <c r="G819" s="331"/>
      <c r="H819" s="331"/>
      <c r="I819" s="331"/>
      <c r="J819" s="331"/>
      <c r="K819" s="331"/>
      <c r="O819" s="541"/>
      <c r="R819" s="139"/>
    </row>
    <row r="820">
      <c r="C820" s="139"/>
      <c r="D820" s="139"/>
      <c r="G820" s="331"/>
      <c r="H820" s="331"/>
      <c r="I820" s="331"/>
      <c r="J820" s="331"/>
      <c r="K820" s="331"/>
      <c r="O820" s="541"/>
      <c r="R820" s="139"/>
    </row>
    <row r="821">
      <c r="C821" s="139"/>
      <c r="D821" s="139"/>
      <c r="G821" s="331"/>
      <c r="H821" s="331"/>
      <c r="I821" s="331"/>
      <c r="J821" s="331"/>
      <c r="K821" s="331"/>
      <c r="O821" s="541"/>
      <c r="R821" s="139"/>
    </row>
    <row r="822">
      <c r="C822" s="139"/>
      <c r="D822" s="139"/>
      <c r="G822" s="331"/>
      <c r="H822" s="331"/>
      <c r="I822" s="331"/>
      <c r="J822" s="331"/>
      <c r="K822" s="331"/>
      <c r="O822" s="541"/>
      <c r="R822" s="139"/>
    </row>
    <row r="823">
      <c r="C823" s="139"/>
      <c r="D823" s="139"/>
      <c r="G823" s="331"/>
      <c r="H823" s="331"/>
      <c r="I823" s="331"/>
      <c r="J823" s="331"/>
      <c r="K823" s="331"/>
      <c r="O823" s="541"/>
      <c r="R823" s="139"/>
    </row>
    <row r="824">
      <c r="C824" s="139"/>
      <c r="D824" s="139"/>
      <c r="G824" s="331"/>
      <c r="H824" s="331"/>
      <c r="I824" s="331"/>
      <c r="J824" s="331"/>
      <c r="K824" s="331"/>
      <c r="O824" s="541"/>
      <c r="R824" s="139"/>
    </row>
    <row r="825">
      <c r="C825" s="139"/>
      <c r="D825" s="139"/>
      <c r="G825" s="331"/>
      <c r="H825" s="331"/>
      <c r="I825" s="331"/>
      <c r="J825" s="331"/>
      <c r="K825" s="331"/>
      <c r="O825" s="541"/>
      <c r="R825" s="139"/>
    </row>
    <row r="826">
      <c r="C826" s="139"/>
      <c r="D826" s="139"/>
      <c r="G826" s="331"/>
      <c r="H826" s="331"/>
      <c r="I826" s="331"/>
      <c r="J826" s="331"/>
      <c r="K826" s="331"/>
      <c r="O826" s="541"/>
      <c r="R826" s="139"/>
    </row>
    <row r="827">
      <c r="C827" s="139"/>
      <c r="D827" s="139"/>
      <c r="G827" s="331"/>
      <c r="H827" s="331"/>
      <c r="I827" s="331"/>
      <c r="J827" s="331"/>
      <c r="K827" s="331"/>
      <c r="O827" s="541"/>
      <c r="R827" s="139"/>
    </row>
    <row r="828">
      <c r="C828" s="139"/>
      <c r="D828" s="139"/>
      <c r="G828" s="331"/>
      <c r="H828" s="331"/>
      <c r="I828" s="331"/>
      <c r="J828" s="331"/>
      <c r="K828" s="331"/>
      <c r="O828" s="541"/>
      <c r="R828" s="139"/>
    </row>
    <row r="829">
      <c r="C829" s="139"/>
      <c r="D829" s="139"/>
      <c r="G829" s="331"/>
      <c r="H829" s="331"/>
      <c r="I829" s="331"/>
      <c r="J829" s="331"/>
      <c r="K829" s="331"/>
      <c r="O829" s="541"/>
      <c r="R829" s="139"/>
    </row>
    <row r="830">
      <c r="C830" s="139"/>
      <c r="D830" s="139"/>
      <c r="G830" s="331"/>
      <c r="H830" s="331"/>
      <c r="I830" s="331"/>
      <c r="J830" s="331"/>
      <c r="K830" s="331"/>
      <c r="O830" s="541"/>
      <c r="R830" s="139"/>
    </row>
    <row r="831">
      <c r="C831" s="139"/>
      <c r="D831" s="139"/>
      <c r="G831" s="331"/>
      <c r="H831" s="331"/>
      <c r="I831" s="331"/>
      <c r="J831" s="331"/>
      <c r="K831" s="331"/>
      <c r="O831" s="541"/>
      <c r="R831" s="139"/>
    </row>
    <row r="832">
      <c r="C832" s="139"/>
      <c r="D832" s="139"/>
      <c r="G832" s="331"/>
      <c r="H832" s="331"/>
      <c r="I832" s="331"/>
      <c r="J832" s="331"/>
      <c r="K832" s="331"/>
      <c r="O832" s="541"/>
      <c r="R832" s="139"/>
    </row>
    <row r="833">
      <c r="C833" s="139"/>
      <c r="D833" s="139"/>
      <c r="G833" s="331"/>
      <c r="H833" s="331"/>
      <c r="I833" s="331"/>
      <c r="J833" s="331"/>
      <c r="K833" s="331"/>
      <c r="O833" s="541"/>
      <c r="R833" s="139"/>
    </row>
    <row r="834">
      <c r="C834" s="139"/>
      <c r="D834" s="139"/>
      <c r="G834" s="331"/>
      <c r="H834" s="331"/>
      <c r="I834" s="331"/>
      <c r="J834" s="331"/>
      <c r="K834" s="331"/>
      <c r="O834" s="541"/>
      <c r="R834" s="139"/>
    </row>
    <row r="835">
      <c r="C835" s="139"/>
      <c r="D835" s="139"/>
      <c r="G835" s="331"/>
      <c r="H835" s="331"/>
      <c r="I835" s="331"/>
      <c r="J835" s="331"/>
      <c r="K835" s="331"/>
      <c r="O835" s="541"/>
      <c r="R835" s="139"/>
    </row>
    <row r="836">
      <c r="C836" s="139"/>
      <c r="D836" s="139"/>
      <c r="G836" s="331"/>
      <c r="H836" s="331"/>
      <c r="I836" s="331"/>
      <c r="J836" s="331"/>
      <c r="K836" s="331"/>
      <c r="O836" s="541"/>
      <c r="R836" s="139"/>
    </row>
    <row r="837">
      <c r="C837" s="139"/>
      <c r="D837" s="139"/>
      <c r="G837" s="331"/>
      <c r="H837" s="331"/>
      <c r="I837" s="331"/>
      <c r="J837" s="331"/>
      <c r="K837" s="331"/>
      <c r="O837" s="541"/>
      <c r="R837" s="139"/>
    </row>
    <row r="838">
      <c r="C838" s="139"/>
      <c r="D838" s="139"/>
      <c r="G838" s="331"/>
      <c r="H838" s="331"/>
      <c r="I838" s="331"/>
      <c r="J838" s="331"/>
      <c r="K838" s="331"/>
      <c r="O838" s="541"/>
      <c r="R838" s="139"/>
    </row>
    <row r="839">
      <c r="C839" s="139"/>
      <c r="D839" s="139"/>
      <c r="G839" s="331"/>
      <c r="H839" s="331"/>
      <c r="I839" s="331"/>
      <c r="J839" s="331"/>
      <c r="K839" s="331"/>
      <c r="O839" s="541"/>
      <c r="R839" s="139"/>
    </row>
    <row r="840">
      <c r="C840" s="139"/>
      <c r="D840" s="139"/>
      <c r="G840" s="331"/>
      <c r="H840" s="331"/>
      <c r="I840" s="331"/>
      <c r="J840" s="331"/>
      <c r="K840" s="331"/>
      <c r="O840" s="541"/>
      <c r="R840" s="139"/>
    </row>
    <row r="841">
      <c r="C841" s="139"/>
      <c r="D841" s="139"/>
      <c r="G841" s="331"/>
      <c r="H841" s="331"/>
      <c r="I841" s="331"/>
      <c r="J841" s="331"/>
      <c r="K841" s="331"/>
      <c r="O841" s="541"/>
      <c r="R841" s="139"/>
    </row>
    <row r="842">
      <c r="C842" s="139"/>
      <c r="D842" s="139"/>
      <c r="G842" s="331"/>
      <c r="H842" s="331"/>
      <c r="I842" s="331"/>
      <c r="J842" s="331"/>
      <c r="K842" s="331"/>
      <c r="O842" s="541"/>
      <c r="R842" s="139"/>
    </row>
    <row r="843">
      <c r="C843" s="139"/>
      <c r="D843" s="139"/>
      <c r="G843" s="331"/>
      <c r="H843" s="331"/>
      <c r="I843" s="331"/>
      <c r="J843" s="331"/>
      <c r="K843" s="331"/>
      <c r="O843" s="541"/>
      <c r="R843" s="139"/>
    </row>
    <row r="844">
      <c r="C844" s="139"/>
      <c r="D844" s="139"/>
      <c r="G844" s="331"/>
      <c r="H844" s="331"/>
      <c r="I844" s="331"/>
      <c r="J844" s="331"/>
      <c r="K844" s="331"/>
      <c r="O844" s="541"/>
      <c r="R844" s="139"/>
    </row>
    <row r="845">
      <c r="C845" s="139"/>
      <c r="D845" s="139"/>
      <c r="G845" s="331"/>
      <c r="H845" s="331"/>
      <c r="I845" s="331"/>
      <c r="J845" s="331"/>
      <c r="K845" s="331"/>
      <c r="O845" s="541"/>
      <c r="R845" s="139"/>
    </row>
    <row r="846">
      <c r="C846" s="139"/>
      <c r="D846" s="139"/>
      <c r="G846" s="331"/>
      <c r="H846" s="331"/>
      <c r="I846" s="331"/>
      <c r="J846" s="331"/>
      <c r="K846" s="331"/>
      <c r="O846" s="541"/>
      <c r="R846" s="139"/>
    </row>
    <row r="847">
      <c r="C847" s="139"/>
      <c r="D847" s="139"/>
      <c r="G847" s="331"/>
      <c r="H847" s="331"/>
      <c r="I847" s="331"/>
      <c r="J847" s="331"/>
      <c r="K847" s="331"/>
      <c r="O847" s="541"/>
      <c r="R847" s="139"/>
    </row>
    <row r="848">
      <c r="C848" s="139"/>
      <c r="D848" s="139"/>
      <c r="G848" s="331"/>
      <c r="H848" s="331"/>
      <c r="I848" s="331"/>
      <c r="J848" s="331"/>
      <c r="K848" s="331"/>
      <c r="O848" s="541"/>
      <c r="R848" s="139"/>
    </row>
    <row r="849">
      <c r="C849" s="139"/>
      <c r="D849" s="139"/>
      <c r="G849" s="331"/>
      <c r="H849" s="331"/>
      <c r="I849" s="331"/>
      <c r="J849" s="331"/>
      <c r="K849" s="331"/>
      <c r="O849" s="541"/>
      <c r="R849" s="139"/>
    </row>
    <row r="850">
      <c r="C850" s="139"/>
      <c r="D850" s="139"/>
      <c r="G850" s="331"/>
      <c r="H850" s="331"/>
      <c r="I850" s="331"/>
      <c r="J850" s="331"/>
      <c r="K850" s="331"/>
      <c r="O850" s="541"/>
      <c r="R850" s="139"/>
    </row>
    <row r="851">
      <c r="C851" s="139"/>
      <c r="D851" s="139"/>
      <c r="G851" s="331"/>
      <c r="H851" s="331"/>
      <c r="I851" s="331"/>
      <c r="J851" s="331"/>
      <c r="K851" s="331"/>
      <c r="O851" s="541"/>
      <c r="R851" s="139"/>
    </row>
    <row r="852">
      <c r="C852" s="139"/>
      <c r="D852" s="139"/>
      <c r="G852" s="331"/>
      <c r="H852" s="331"/>
      <c r="I852" s="331"/>
      <c r="J852" s="331"/>
      <c r="K852" s="331"/>
      <c r="O852" s="541"/>
      <c r="R852" s="139"/>
    </row>
    <row r="853">
      <c r="C853" s="139"/>
      <c r="D853" s="139"/>
      <c r="G853" s="331"/>
      <c r="H853" s="331"/>
      <c r="I853" s="331"/>
      <c r="J853" s="331"/>
      <c r="K853" s="331"/>
      <c r="O853" s="541"/>
      <c r="R853" s="139"/>
    </row>
    <row r="854">
      <c r="C854" s="139"/>
      <c r="D854" s="139"/>
      <c r="G854" s="331"/>
      <c r="H854" s="331"/>
      <c r="I854" s="331"/>
      <c r="J854" s="331"/>
      <c r="K854" s="331"/>
      <c r="O854" s="541"/>
      <c r="R854" s="139"/>
    </row>
    <row r="855">
      <c r="C855" s="139"/>
      <c r="D855" s="139"/>
      <c r="G855" s="331"/>
      <c r="H855" s="331"/>
      <c r="I855" s="331"/>
      <c r="J855" s="331"/>
      <c r="K855" s="331"/>
      <c r="O855" s="541"/>
      <c r="R855" s="139"/>
    </row>
    <row r="856">
      <c r="C856" s="139"/>
      <c r="D856" s="139"/>
      <c r="G856" s="331"/>
      <c r="H856" s="331"/>
      <c r="I856" s="331"/>
      <c r="J856" s="331"/>
      <c r="K856" s="331"/>
      <c r="O856" s="541"/>
      <c r="R856" s="139"/>
    </row>
    <row r="857">
      <c r="C857" s="139"/>
      <c r="D857" s="139"/>
      <c r="G857" s="331"/>
      <c r="H857" s="331"/>
      <c r="I857" s="331"/>
      <c r="J857" s="331"/>
      <c r="K857" s="331"/>
      <c r="O857" s="541"/>
      <c r="R857" s="139"/>
    </row>
    <row r="858">
      <c r="C858" s="139"/>
      <c r="D858" s="139"/>
      <c r="G858" s="331"/>
      <c r="H858" s="331"/>
      <c r="I858" s="331"/>
      <c r="J858" s="331"/>
      <c r="K858" s="331"/>
      <c r="O858" s="541"/>
      <c r="R858" s="139"/>
    </row>
    <row r="859">
      <c r="C859" s="139"/>
      <c r="D859" s="139"/>
      <c r="G859" s="331"/>
      <c r="H859" s="331"/>
      <c r="I859" s="331"/>
      <c r="J859" s="331"/>
      <c r="K859" s="331"/>
      <c r="O859" s="541"/>
      <c r="R859" s="139"/>
    </row>
    <row r="860">
      <c r="C860" s="139"/>
      <c r="D860" s="139"/>
      <c r="G860" s="331"/>
      <c r="H860" s="331"/>
      <c r="I860" s="331"/>
      <c r="J860" s="331"/>
      <c r="K860" s="331"/>
      <c r="O860" s="541"/>
      <c r="R860" s="139"/>
    </row>
    <row r="861">
      <c r="C861" s="139"/>
      <c r="D861" s="139"/>
      <c r="G861" s="331"/>
      <c r="H861" s="331"/>
      <c r="I861" s="331"/>
      <c r="J861" s="331"/>
      <c r="K861" s="331"/>
      <c r="O861" s="541"/>
      <c r="R861" s="139"/>
    </row>
    <row r="862">
      <c r="C862" s="139"/>
      <c r="D862" s="139"/>
      <c r="G862" s="331"/>
      <c r="H862" s="331"/>
      <c r="I862" s="331"/>
      <c r="J862" s="331"/>
      <c r="K862" s="331"/>
      <c r="O862" s="541"/>
      <c r="R862" s="139"/>
    </row>
    <row r="863">
      <c r="C863" s="139"/>
      <c r="D863" s="139"/>
      <c r="G863" s="331"/>
      <c r="H863" s="331"/>
      <c r="I863" s="331"/>
      <c r="J863" s="331"/>
      <c r="K863" s="331"/>
      <c r="O863" s="541"/>
      <c r="R863" s="139"/>
    </row>
    <row r="864">
      <c r="C864" s="139"/>
      <c r="D864" s="139"/>
      <c r="G864" s="331"/>
      <c r="H864" s="331"/>
      <c r="I864" s="331"/>
      <c r="J864" s="331"/>
      <c r="K864" s="331"/>
      <c r="O864" s="541"/>
      <c r="R864" s="139"/>
    </row>
    <row r="865">
      <c r="C865" s="139"/>
      <c r="D865" s="139"/>
      <c r="G865" s="331"/>
      <c r="H865" s="331"/>
      <c r="I865" s="331"/>
      <c r="J865" s="331"/>
      <c r="K865" s="331"/>
      <c r="O865" s="541"/>
      <c r="R865" s="139"/>
    </row>
    <row r="866">
      <c r="C866" s="139"/>
      <c r="D866" s="139"/>
      <c r="G866" s="331"/>
      <c r="H866" s="331"/>
      <c r="I866" s="331"/>
      <c r="J866" s="331"/>
      <c r="K866" s="331"/>
      <c r="O866" s="541"/>
      <c r="R866" s="139"/>
    </row>
    <row r="867">
      <c r="C867" s="139"/>
      <c r="D867" s="139"/>
      <c r="G867" s="331"/>
      <c r="H867" s="331"/>
      <c r="I867" s="331"/>
      <c r="J867" s="331"/>
      <c r="K867" s="331"/>
      <c r="O867" s="541"/>
      <c r="R867" s="139"/>
    </row>
    <row r="868">
      <c r="C868" s="139"/>
      <c r="D868" s="139"/>
      <c r="G868" s="331"/>
      <c r="H868" s="331"/>
      <c r="I868" s="331"/>
      <c r="J868" s="331"/>
      <c r="K868" s="331"/>
      <c r="O868" s="541"/>
      <c r="R868" s="139"/>
    </row>
    <row r="869">
      <c r="C869" s="139"/>
      <c r="D869" s="139"/>
      <c r="G869" s="331"/>
      <c r="H869" s="331"/>
      <c r="I869" s="331"/>
      <c r="J869" s="331"/>
      <c r="K869" s="331"/>
      <c r="O869" s="541"/>
      <c r="R869" s="139"/>
    </row>
    <row r="870">
      <c r="C870" s="139"/>
      <c r="D870" s="139"/>
      <c r="G870" s="331"/>
      <c r="H870" s="331"/>
      <c r="I870" s="331"/>
      <c r="J870" s="331"/>
      <c r="K870" s="331"/>
      <c r="O870" s="541"/>
      <c r="R870" s="139"/>
    </row>
    <row r="871">
      <c r="C871" s="139"/>
      <c r="D871" s="139"/>
      <c r="G871" s="331"/>
      <c r="H871" s="331"/>
      <c r="I871" s="331"/>
      <c r="J871" s="331"/>
      <c r="K871" s="331"/>
      <c r="O871" s="541"/>
      <c r="R871" s="139"/>
    </row>
    <row r="872">
      <c r="C872" s="139"/>
      <c r="D872" s="139"/>
      <c r="G872" s="331"/>
      <c r="H872" s="331"/>
      <c r="I872" s="331"/>
      <c r="J872" s="331"/>
      <c r="K872" s="331"/>
      <c r="O872" s="541"/>
      <c r="R872" s="139"/>
    </row>
    <row r="873">
      <c r="C873" s="139"/>
      <c r="D873" s="139"/>
      <c r="G873" s="331"/>
      <c r="H873" s="331"/>
      <c r="I873" s="331"/>
      <c r="J873" s="331"/>
      <c r="K873" s="331"/>
      <c r="O873" s="541"/>
      <c r="R873" s="139"/>
    </row>
    <row r="874">
      <c r="C874" s="139"/>
      <c r="D874" s="139"/>
      <c r="G874" s="331"/>
      <c r="H874" s="331"/>
      <c r="I874" s="331"/>
      <c r="J874" s="331"/>
      <c r="K874" s="331"/>
      <c r="O874" s="541"/>
      <c r="R874" s="139"/>
    </row>
    <row r="875">
      <c r="C875" s="139"/>
      <c r="D875" s="139"/>
      <c r="G875" s="331"/>
      <c r="H875" s="331"/>
      <c r="I875" s="331"/>
      <c r="J875" s="331"/>
      <c r="K875" s="331"/>
      <c r="O875" s="541"/>
      <c r="R875" s="139"/>
    </row>
    <row r="876">
      <c r="C876" s="139"/>
      <c r="D876" s="139"/>
      <c r="G876" s="331"/>
      <c r="H876" s="331"/>
      <c r="I876" s="331"/>
      <c r="J876" s="331"/>
      <c r="K876" s="331"/>
      <c r="O876" s="541"/>
      <c r="R876" s="139"/>
    </row>
    <row r="877">
      <c r="C877" s="139"/>
      <c r="D877" s="139"/>
      <c r="G877" s="331"/>
      <c r="H877" s="331"/>
      <c r="I877" s="331"/>
      <c r="J877" s="331"/>
      <c r="K877" s="331"/>
      <c r="O877" s="541"/>
      <c r="R877" s="139"/>
    </row>
    <row r="878">
      <c r="C878" s="139"/>
      <c r="D878" s="139"/>
      <c r="G878" s="331"/>
      <c r="H878" s="331"/>
      <c r="I878" s="331"/>
      <c r="J878" s="331"/>
      <c r="K878" s="331"/>
      <c r="O878" s="541"/>
      <c r="R878" s="139"/>
    </row>
    <row r="879">
      <c r="C879" s="139"/>
      <c r="D879" s="139"/>
      <c r="G879" s="331"/>
      <c r="H879" s="331"/>
      <c r="I879" s="331"/>
      <c r="J879" s="331"/>
      <c r="K879" s="331"/>
      <c r="O879" s="541"/>
      <c r="R879" s="139"/>
    </row>
    <row r="880">
      <c r="C880" s="139"/>
      <c r="D880" s="139"/>
      <c r="G880" s="331"/>
      <c r="H880" s="331"/>
      <c r="I880" s="331"/>
      <c r="J880" s="331"/>
      <c r="K880" s="331"/>
      <c r="O880" s="541"/>
      <c r="R880" s="139"/>
    </row>
    <row r="881">
      <c r="C881" s="139"/>
      <c r="D881" s="139"/>
      <c r="G881" s="331"/>
      <c r="H881" s="331"/>
      <c r="I881" s="331"/>
      <c r="J881" s="331"/>
      <c r="K881" s="331"/>
      <c r="O881" s="541"/>
      <c r="R881" s="139"/>
    </row>
    <row r="882">
      <c r="C882" s="139"/>
      <c r="D882" s="139"/>
      <c r="G882" s="331"/>
      <c r="H882" s="331"/>
      <c r="I882" s="331"/>
      <c r="J882" s="331"/>
      <c r="K882" s="331"/>
      <c r="O882" s="541"/>
      <c r="R882" s="139"/>
    </row>
    <row r="883">
      <c r="C883" s="139"/>
      <c r="D883" s="139"/>
      <c r="G883" s="331"/>
      <c r="H883" s="331"/>
      <c r="I883" s="331"/>
      <c r="J883" s="331"/>
      <c r="K883" s="331"/>
      <c r="O883" s="541"/>
      <c r="R883" s="139"/>
    </row>
    <row r="884">
      <c r="C884" s="139"/>
      <c r="D884" s="139"/>
      <c r="G884" s="331"/>
      <c r="H884" s="331"/>
      <c r="I884" s="331"/>
      <c r="J884" s="331"/>
      <c r="K884" s="331"/>
      <c r="O884" s="541"/>
      <c r="R884" s="139"/>
    </row>
    <row r="885">
      <c r="C885" s="139"/>
      <c r="D885" s="139"/>
      <c r="G885" s="331"/>
      <c r="H885" s="331"/>
      <c r="I885" s="331"/>
      <c r="J885" s="331"/>
      <c r="K885" s="331"/>
      <c r="O885" s="541"/>
      <c r="R885" s="139"/>
    </row>
    <row r="886">
      <c r="C886" s="139"/>
      <c r="D886" s="139"/>
      <c r="G886" s="331"/>
      <c r="H886" s="331"/>
      <c r="I886" s="331"/>
      <c r="J886" s="331"/>
      <c r="K886" s="331"/>
      <c r="O886" s="541"/>
      <c r="R886" s="139"/>
    </row>
    <row r="887">
      <c r="C887" s="139"/>
      <c r="D887" s="139"/>
      <c r="G887" s="331"/>
      <c r="H887" s="331"/>
      <c r="I887" s="331"/>
      <c r="J887" s="331"/>
      <c r="K887" s="331"/>
      <c r="O887" s="541"/>
      <c r="R887" s="139"/>
    </row>
    <row r="888">
      <c r="C888" s="139"/>
      <c r="D888" s="139"/>
      <c r="G888" s="331"/>
      <c r="H888" s="331"/>
      <c r="I888" s="331"/>
      <c r="J888" s="331"/>
      <c r="K888" s="331"/>
      <c r="O888" s="541"/>
      <c r="R888" s="139"/>
    </row>
    <row r="889">
      <c r="C889" s="139"/>
      <c r="D889" s="139"/>
      <c r="G889" s="331"/>
      <c r="H889" s="331"/>
      <c r="I889" s="331"/>
      <c r="J889" s="331"/>
      <c r="K889" s="331"/>
      <c r="O889" s="541"/>
      <c r="R889" s="139"/>
    </row>
    <row r="890">
      <c r="C890" s="139"/>
      <c r="D890" s="139"/>
      <c r="G890" s="331"/>
      <c r="H890" s="331"/>
      <c r="I890" s="331"/>
      <c r="J890" s="331"/>
      <c r="K890" s="331"/>
      <c r="O890" s="541"/>
      <c r="R890" s="139"/>
    </row>
    <row r="891">
      <c r="C891" s="139"/>
      <c r="D891" s="139"/>
      <c r="G891" s="331"/>
      <c r="H891" s="331"/>
      <c r="I891" s="331"/>
      <c r="J891" s="331"/>
      <c r="K891" s="331"/>
      <c r="O891" s="541"/>
      <c r="R891" s="139"/>
    </row>
    <row r="892">
      <c r="C892" s="139"/>
      <c r="D892" s="139"/>
      <c r="G892" s="331"/>
      <c r="H892" s="331"/>
      <c r="I892" s="331"/>
      <c r="J892" s="331"/>
      <c r="K892" s="331"/>
      <c r="O892" s="541"/>
      <c r="R892" s="139"/>
    </row>
    <row r="893">
      <c r="C893" s="139"/>
      <c r="D893" s="139"/>
      <c r="G893" s="331"/>
      <c r="H893" s="331"/>
      <c r="I893" s="331"/>
      <c r="J893" s="331"/>
      <c r="K893" s="331"/>
      <c r="O893" s="541"/>
      <c r="R893" s="139"/>
    </row>
    <row r="894">
      <c r="C894" s="139"/>
      <c r="D894" s="139"/>
      <c r="G894" s="331"/>
      <c r="H894" s="331"/>
      <c r="I894" s="331"/>
      <c r="J894" s="331"/>
      <c r="K894" s="331"/>
      <c r="O894" s="541"/>
      <c r="R894" s="139"/>
    </row>
    <row r="895">
      <c r="C895" s="139"/>
      <c r="D895" s="139"/>
      <c r="G895" s="331"/>
      <c r="H895" s="331"/>
      <c r="I895" s="331"/>
      <c r="J895" s="331"/>
      <c r="K895" s="331"/>
      <c r="O895" s="541"/>
      <c r="R895" s="139"/>
    </row>
    <row r="896">
      <c r="C896" s="139"/>
      <c r="D896" s="139"/>
      <c r="G896" s="331"/>
      <c r="H896" s="331"/>
      <c r="I896" s="331"/>
      <c r="J896" s="331"/>
      <c r="K896" s="331"/>
      <c r="O896" s="541"/>
      <c r="R896" s="139"/>
    </row>
    <row r="897">
      <c r="C897" s="139"/>
      <c r="D897" s="139"/>
      <c r="G897" s="331"/>
      <c r="H897" s="331"/>
      <c r="I897" s="331"/>
      <c r="J897" s="331"/>
      <c r="K897" s="331"/>
      <c r="O897" s="541"/>
      <c r="R897" s="139"/>
    </row>
    <row r="898">
      <c r="C898" s="139"/>
      <c r="D898" s="139"/>
      <c r="G898" s="331"/>
      <c r="H898" s="331"/>
      <c r="I898" s="331"/>
      <c r="J898" s="331"/>
      <c r="K898" s="331"/>
      <c r="O898" s="541"/>
      <c r="R898" s="139"/>
    </row>
    <row r="899">
      <c r="C899" s="139"/>
      <c r="D899" s="139"/>
      <c r="G899" s="331"/>
      <c r="H899" s="331"/>
      <c r="I899" s="331"/>
      <c r="J899" s="331"/>
      <c r="K899" s="331"/>
      <c r="O899" s="541"/>
      <c r="R899" s="139"/>
    </row>
    <row r="900">
      <c r="C900" s="139"/>
      <c r="D900" s="139"/>
      <c r="G900" s="331"/>
      <c r="H900" s="331"/>
      <c r="I900" s="331"/>
      <c r="J900" s="331"/>
      <c r="K900" s="331"/>
      <c r="O900" s="541"/>
      <c r="R900" s="139"/>
    </row>
    <row r="901">
      <c r="C901" s="139"/>
      <c r="D901" s="139"/>
      <c r="G901" s="331"/>
      <c r="H901" s="331"/>
      <c r="I901" s="331"/>
      <c r="J901" s="331"/>
      <c r="K901" s="331"/>
      <c r="O901" s="541"/>
      <c r="R901" s="139"/>
    </row>
    <row r="902">
      <c r="C902" s="139"/>
      <c r="D902" s="139"/>
      <c r="G902" s="331"/>
      <c r="H902" s="331"/>
      <c r="I902" s="331"/>
      <c r="J902" s="331"/>
      <c r="K902" s="331"/>
      <c r="O902" s="541"/>
      <c r="R902" s="139"/>
    </row>
    <row r="903">
      <c r="C903" s="139"/>
      <c r="D903" s="139"/>
      <c r="G903" s="331"/>
      <c r="H903" s="331"/>
      <c r="I903" s="331"/>
      <c r="J903" s="331"/>
      <c r="K903" s="331"/>
      <c r="O903" s="541"/>
      <c r="R903" s="139"/>
    </row>
    <row r="904">
      <c r="C904" s="139"/>
      <c r="D904" s="139"/>
      <c r="G904" s="331"/>
      <c r="H904" s="331"/>
      <c r="I904" s="331"/>
      <c r="J904" s="331"/>
      <c r="K904" s="331"/>
      <c r="O904" s="541"/>
      <c r="R904" s="139"/>
    </row>
    <row r="905">
      <c r="C905" s="139"/>
      <c r="D905" s="139"/>
      <c r="G905" s="331"/>
      <c r="H905" s="331"/>
      <c r="I905" s="331"/>
      <c r="J905" s="331"/>
      <c r="K905" s="331"/>
      <c r="O905" s="541"/>
      <c r="R905" s="139"/>
    </row>
    <row r="906">
      <c r="C906" s="139"/>
      <c r="D906" s="139"/>
      <c r="G906" s="331"/>
      <c r="H906" s="331"/>
      <c r="I906" s="331"/>
      <c r="J906" s="331"/>
      <c r="K906" s="331"/>
      <c r="O906" s="541"/>
      <c r="R906" s="139"/>
    </row>
    <row r="907">
      <c r="C907" s="139"/>
      <c r="D907" s="139"/>
      <c r="G907" s="331"/>
      <c r="H907" s="331"/>
      <c r="I907" s="331"/>
      <c r="J907" s="331"/>
      <c r="K907" s="331"/>
      <c r="O907" s="541"/>
      <c r="R907" s="139"/>
    </row>
    <row r="908">
      <c r="C908" s="139"/>
      <c r="D908" s="139"/>
      <c r="G908" s="331"/>
      <c r="H908" s="331"/>
      <c r="I908" s="331"/>
      <c r="J908" s="331"/>
      <c r="K908" s="331"/>
      <c r="O908" s="541"/>
      <c r="R908" s="139"/>
    </row>
    <row r="909">
      <c r="C909" s="139"/>
      <c r="D909" s="139"/>
      <c r="G909" s="331"/>
      <c r="H909" s="331"/>
      <c r="I909" s="331"/>
      <c r="J909" s="331"/>
      <c r="K909" s="331"/>
      <c r="O909" s="541"/>
      <c r="R909" s="139"/>
    </row>
    <row r="910">
      <c r="C910" s="139"/>
      <c r="D910" s="139"/>
      <c r="G910" s="331"/>
      <c r="H910" s="331"/>
      <c r="I910" s="331"/>
      <c r="J910" s="331"/>
      <c r="K910" s="331"/>
      <c r="O910" s="541"/>
      <c r="R910" s="139"/>
    </row>
    <row r="911">
      <c r="C911" s="139"/>
      <c r="D911" s="139"/>
      <c r="G911" s="331"/>
      <c r="H911" s="331"/>
      <c r="I911" s="331"/>
      <c r="J911" s="331"/>
      <c r="K911" s="331"/>
      <c r="O911" s="541"/>
      <c r="R911" s="139"/>
    </row>
    <row r="912">
      <c r="C912" s="139"/>
      <c r="D912" s="139"/>
      <c r="G912" s="331"/>
      <c r="H912" s="331"/>
      <c r="I912" s="331"/>
      <c r="J912" s="331"/>
      <c r="K912" s="331"/>
      <c r="O912" s="541"/>
      <c r="R912" s="139"/>
    </row>
    <row r="913">
      <c r="C913" s="139"/>
      <c r="D913" s="139"/>
      <c r="G913" s="331"/>
      <c r="H913" s="331"/>
      <c r="I913" s="331"/>
      <c r="J913" s="331"/>
      <c r="K913" s="331"/>
      <c r="O913" s="541"/>
      <c r="R913" s="139"/>
    </row>
    <row r="914">
      <c r="C914" s="139"/>
      <c r="D914" s="139"/>
      <c r="G914" s="331"/>
      <c r="H914" s="331"/>
      <c r="I914" s="331"/>
      <c r="J914" s="331"/>
      <c r="K914" s="331"/>
      <c r="O914" s="541"/>
      <c r="R914" s="139"/>
    </row>
    <row r="915">
      <c r="C915" s="139"/>
      <c r="D915" s="139"/>
      <c r="G915" s="331"/>
      <c r="H915" s="331"/>
      <c r="I915" s="331"/>
      <c r="J915" s="331"/>
      <c r="K915" s="331"/>
      <c r="O915" s="541"/>
      <c r="R915" s="139"/>
    </row>
    <row r="916">
      <c r="C916" s="139"/>
      <c r="D916" s="139"/>
      <c r="G916" s="331"/>
      <c r="H916" s="331"/>
      <c r="I916" s="331"/>
      <c r="J916" s="331"/>
      <c r="K916" s="331"/>
      <c r="O916" s="541"/>
      <c r="R916" s="139"/>
    </row>
    <row r="917">
      <c r="C917" s="139"/>
      <c r="D917" s="139"/>
      <c r="G917" s="331"/>
      <c r="H917" s="331"/>
      <c r="I917" s="331"/>
      <c r="J917" s="331"/>
      <c r="K917" s="331"/>
      <c r="O917" s="541"/>
      <c r="R917" s="139"/>
    </row>
    <row r="918">
      <c r="C918" s="139"/>
      <c r="D918" s="139"/>
      <c r="G918" s="331"/>
      <c r="H918" s="331"/>
      <c r="I918" s="331"/>
      <c r="J918" s="331"/>
      <c r="K918" s="331"/>
      <c r="O918" s="541"/>
      <c r="R918" s="139"/>
    </row>
    <row r="919">
      <c r="C919" s="139"/>
      <c r="D919" s="139"/>
      <c r="G919" s="331"/>
      <c r="H919" s="331"/>
      <c r="I919" s="331"/>
      <c r="J919" s="331"/>
      <c r="K919" s="331"/>
      <c r="O919" s="541"/>
      <c r="R919" s="139"/>
    </row>
    <row r="920">
      <c r="C920" s="139"/>
      <c r="D920" s="139"/>
      <c r="G920" s="331"/>
      <c r="H920" s="331"/>
      <c r="I920" s="331"/>
      <c r="J920" s="331"/>
      <c r="K920" s="331"/>
      <c r="O920" s="541"/>
      <c r="R920" s="139"/>
    </row>
    <row r="921">
      <c r="C921" s="139"/>
      <c r="D921" s="139"/>
      <c r="G921" s="331"/>
      <c r="H921" s="331"/>
      <c r="I921" s="331"/>
      <c r="J921" s="331"/>
      <c r="K921" s="331"/>
      <c r="O921" s="541"/>
      <c r="R921" s="139"/>
    </row>
    <row r="922">
      <c r="C922" s="139"/>
      <c r="D922" s="139"/>
      <c r="G922" s="331"/>
      <c r="H922" s="331"/>
      <c r="I922" s="331"/>
      <c r="J922" s="331"/>
      <c r="K922" s="331"/>
      <c r="O922" s="541"/>
      <c r="R922" s="139"/>
    </row>
    <row r="923">
      <c r="C923" s="139"/>
      <c r="D923" s="139"/>
      <c r="G923" s="331"/>
      <c r="H923" s="331"/>
      <c r="I923" s="331"/>
      <c r="J923" s="331"/>
      <c r="K923" s="331"/>
      <c r="O923" s="541"/>
      <c r="R923" s="139"/>
    </row>
    <row r="924">
      <c r="C924" s="139"/>
      <c r="D924" s="139"/>
      <c r="G924" s="331"/>
      <c r="H924" s="331"/>
      <c r="I924" s="331"/>
      <c r="J924" s="331"/>
      <c r="K924" s="331"/>
      <c r="O924" s="541"/>
      <c r="R924" s="139"/>
    </row>
    <row r="925">
      <c r="C925" s="139"/>
      <c r="D925" s="139"/>
      <c r="G925" s="331"/>
      <c r="H925" s="331"/>
      <c r="I925" s="331"/>
      <c r="J925" s="331"/>
      <c r="K925" s="331"/>
      <c r="O925" s="541"/>
      <c r="R925" s="139"/>
    </row>
    <row r="926">
      <c r="C926" s="139"/>
      <c r="D926" s="139"/>
      <c r="G926" s="331"/>
      <c r="H926" s="331"/>
      <c r="I926" s="331"/>
      <c r="J926" s="331"/>
      <c r="K926" s="331"/>
      <c r="O926" s="541"/>
      <c r="R926" s="139"/>
    </row>
    <row r="927">
      <c r="C927" s="139"/>
      <c r="D927" s="139"/>
      <c r="G927" s="331"/>
      <c r="H927" s="331"/>
      <c r="I927" s="331"/>
      <c r="J927" s="331"/>
      <c r="K927" s="331"/>
      <c r="O927" s="541"/>
      <c r="R927" s="139"/>
    </row>
    <row r="928">
      <c r="C928" s="139"/>
      <c r="D928" s="139"/>
      <c r="G928" s="331"/>
      <c r="H928" s="331"/>
      <c r="I928" s="331"/>
      <c r="J928" s="331"/>
      <c r="K928" s="331"/>
      <c r="O928" s="541"/>
      <c r="R928" s="139"/>
    </row>
    <row r="929">
      <c r="C929" s="139"/>
      <c r="D929" s="139"/>
      <c r="G929" s="331"/>
      <c r="H929" s="331"/>
      <c r="I929" s="331"/>
      <c r="J929" s="331"/>
      <c r="K929" s="331"/>
      <c r="O929" s="541"/>
      <c r="R929" s="139"/>
    </row>
    <row r="930">
      <c r="C930" s="139"/>
      <c r="D930" s="139"/>
      <c r="G930" s="331"/>
      <c r="H930" s="331"/>
      <c r="I930" s="331"/>
      <c r="J930" s="331"/>
      <c r="K930" s="331"/>
      <c r="O930" s="541"/>
      <c r="R930" s="139"/>
    </row>
    <row r="931">
      <c r="C931" s="139"/>
      <c r="D931" s="139"/>
      <c r="G931" s="331"/>
      <c r="H931" s="331"/>
      <c r="I931" s="331"/>
      <c r="J931" s="331"/>
      <c r="K931" s="331"/>
      <c r="O931" s="541"/>
      <c r="R931" s="139"/>
    </row>
    <row r="932">
      <c r="C932" s="139"/>
      <c r="D932" s="139"/>
      <c r="G932" s="331"/>
      <c r="H932" s="331"/>
      <c r="I932" s="331"/>
      <c r="J932" s="331"/>
      <c r="K932" s="331"/>
      <c r="O932" s="541"/>
      <c r="R932" s="139"/>
    </row>
    <row r="933">
      <c r="C933" s="139"/>
      <c r="D933" s="139"/>
      <c r="G933" s="331"/>
      <c r="H933" s="331"/>
      <c r="I933" s="331"/>
      <c r="J933" s="331"/>
      <c r="K933" s="331"/>
      <c r="O933" s="541"/>
      <c r="R933" s="139"/>
    </row>
    <row r="934">
      <c r="C934" s="139"/>
      <c r="D934" s="139"/>
      <c r="G934" s="331"/>
      <c r="H934" s="331"/>
      <c r="I934" s="331"/>
      <c r="J934" s="331"/>
      <c r="K934" s="331"/>
      <c r="O934" s="541"/>
      <c r="R934" s="139"/>
    </row>
    <row r="935">
      <c r="C935" s="139"/>
      <c r="D935" s="139"/>
      <c r="G935" s="331"/>
      <c r="H935" s="331"/>
      <c r="I935" s="331"/>
      <c r="J935" s="331"/>
      <c r="K935" s="331"/>
      <c r="O935" s="541"/>
      <c r="R935" s="139"/>
    </row>
    <row r="936">
      <c r="C936" s="139"/>
      <c r="D936" s="139"/>
      <c r="G936" s="331"/>
      <c r="H936" s="331"/>
      <c r="I936" s="331"/>
      <c r="J936" s="331"/>
      <c r="K936" s="331"/>
      <c r="O936" s="541"/>
      <c r="R936" s="139"/>
    </row>
    <row r="937">
      <c r="C937" s="139"/>
      <c r="D937" s="139"/>
      <c r="G937" s="331"/>
      <c r="H937" s="331"/>
      <c r="I937" s="331"/>
      <c r="J937" s="331"/>
      <c r="K937" s="331"/>
      <c r="O937" s="541"/>
      <c r="R937" s="139"/>
    </row>
    <row r="938">
      <c r="C938" s="139"/>
      <c r="D938" s="139"/>
      <c r="G938" s="331"/>
      <c r="H938" s="331"/>
      <c r="I938" s="331"/>
      <c r="J938" s="331"/>
      <c r="K938" s="331"/>
      <c r="O938" s="541"/>
      <c r="R938" s="139"/>
    </row>
    <row r="939">
      <c r="C939" s="139"/>
      <c r="D939" s="139"/>
      <c r="G939" s="331"/>
      <c r="H939" s="331"/>
      <c r="I939" s="331"/>
      <c r="J939" s="331"/>
      <c r="K939" s="331"/>
      <c r="O939" s="541"/>
      <c r="R939" s="139"/>
    </row>
    <row r="940">
      <c r="C940" s="139"/>
      <c r="D940" s="139"/>
      <c r="G940" s="331"/>
      <c r="H940" s="331"/>
      <c r="I940" s="331"/>
      <c r="J940" s="331"/>
      <c r="K940" s="331"/>
      <c r="O940" s="541"/>
      <c r="R940" s="139"/>
    </row>
    <row r="941">
      <c r="C941" s="139"/>
      <c r="D941" s="139"/>
      <c r="G941" s="331"/>
      <c r="H941" s="331"/>
      <c r="I941" s="331"/>
      <c r="J941" s="331"/>
      <c r="K941" s="331"/>
      <c r="O941" s="541"/>
      <c r="R941" s="139"/>
    </row>
    <row r="942">
      <c r="C942" s="139"/>
      <c r="D942" s="139"/>
      <c r="G942" s="331"/>
      <c r="H942" s="331"/>
      <c r="I942" s="331"/>
      <c r="J942" s="331"/>
      <c r="K942" s="331"/>
      <c r="O942" s="541"/>
      <c r="R942" s="139"/>
    </row>
    <row r="943">
      <c r="C943" s="139"/>
      <c r="D943" s="139"/>
      <c r="G943" s="331"/>
      <c r="H943" s="331"/>
      <c r="I943" s="331"/>
      <c r="J943" s="331"/>
      <c r="K943" s="331"/>
      <c r="O943" s="541"/>
      <c r="R943" s="139"/>
    </row>
    <row r="944">
      <c r="C944" s="139"/>
      <c r="D944" s="139"/>
      <c r="G944" s="331"/>
      <c r="H944" s="331"/>
      <c r="I944" s="331"/>
      <c r="J944" s="331"/>
      <c r="K944" s="331"/>
      <c r="O944" s="541"/>
      <c r="R944" s="139"/>
    </row>
    <row r="945">
      <c r="C945" s="139"/>
      <c r="D945" s="139"/>
      <c r="G945" s="331"/>
      <c r="H945" s="331"/>
      <c r="I945" s="331"/>
      <c r="J945" s="331"/>
      <c r="K945" s="331"/>
      <c r="O945" s="541"/>
      <c r="R945" s="139"/>
    </row>
    <row r="946">
      <c r="C946" s="139"/>
      <c r="D946" s="139"/>
      <c r="G946" s="331"/>
      <c r="H946" s="331"/>
      <c r="I946" s="331"/>
      <c r="J946" s="331"/>
      <c r="K946" s="331"/>
      <c r="O946" s="541"/>
      <c r="R946" s="139"/>
    </row>
    <row r="947">
      <c r="C947" s="139"/>
      <c r="D947" s="139"/>
      <c r="G947" s="331"/>
      <c r="H947" s="331"/>
      <c r="I947" s="331"/>
      <c r="J947" s="331"/>
      <c r="K947" s="331"/>
      <c r="O947" s="541"/>
      <c r="R947" s="139"/>
    </row>
    <row r="948">
      <c r="C948" s="139"/>
      <c r="D948" s="139"/>
      <c r="G948" s="331"/>
      <c r="H948" s="331"/>
      <c r="I948" s="331"/>
      <c r="J948" s="331"/>
      <c r="K948" s="331"/>
      <c r="O948" s="541"/>
      <c r="R948" s="139"/>
    </row>
    <row r="949">
      <c r="C949" s="139"/>
      <c r="D949" s="139"/>
      <c r="G949" s="331"/>
      <c r="H949" s="331"/>
      <c r="I949" s="331"/>
      <c r="J949" s="331"/>
      <c r="K949" s="331"/>
      <c r="O949" s="541"/>
      <c r="R949" s="139"/>
    </row>
    <row r="950">
      <c r="C950" s="139"/>
      <c r="D950" s="139"/>
      <c r="G950" s="331"/>
      <c r="H950" s="331"/>
      <c r="I950" s="331"/>
      <c r="J950" s="331"/>
      <c r="K950" s="331"/>
      <c r="O950" s="541"/>
      <c r="R950" s="139"/>
    </row>
    <row r="951">
      <c r="C951" s="139"/>
      <c r="D951" s="139"/>
      <c r="G951" s="331"/>
      <c r="H951" s="331"/>
      <c r="I951" s="331"/>
      <c r="J951" s="331"/>
      <c r="K951" s="331"/>
      <c r="O951" s="541"/>
      <c r="R951" s="139"/>
    </row>
    <row r="952">
      <c r="C952" s="139"/>
      <c r="D952" s="139"/>
      <c r="G952" s="331"/>
      <c r="H952" s="331"/>
      <c r="I952" s="331"/>
      <c r="J952" s="331"/>
      <c r="K952" s="331"/>
      <c r="O952" s="541"/>
      <c r="R952" s="139"/>
    </row>
    <row r="953">
      <c r="C953" s="139"/>
      <c r="D953" s="139"/>
      <c r="G953" s="331"/>
      <c r="H953" s="331"/>
      <c r="I953" s="331"/>
      <c r="J953" s="331"/>
      <c r="K953" s="331"/>
      <c r="O953" s="541"/>
      <c r="R953" s="139"/>
    </row>
    <row r="954">
      <c r="C954" s="139"/>
      <c r="D954" s="139"/>
      <c r="G954" s="331"/>
      <c r="H954" s="331"/>
      <c r="I954" s="331"/>
      <c r="J954" s="331"/>
      <c r="K954" s="331"/>
      <c r="O954" s="541"/>
      <c r="R954" s="139"/>
    </row>
    <row r="955">
      <c r="C955" s="139"/>
      <c r="D955" s="139"/>
      <c r="G955" s="331"/>
      <c r="H955" s="331"/>
      <c r="I955" s="331"/>
      <c r="J955" s="331"/>
      <c r="K955" s="331"/>
      <c r="O955" s="541"/>
      <c r="R955" s="139"/>
    </row>
    <row r="956">
      <c r="C956" s="139"/>
      <c r="D956" s="139"/>
      <c r="G956" s="331"/>
      <c r="H956" s="331"/>
      <c r="I956" s="331"/>
      <c r="J956" s="331"/>
      <c r="K956" s="331"/>
      <c r="O956" s="541"/>
      <c r="R956" s="139"/>
    </row>
    <row r="957">
      <c r="C957" s="139"/>
      <c r="D957" s="139"/>
      <c r="G957" s="331"/>
      <c r="H957" s="331"/>
      <c r="I957" s="331"/>
      <c r="J957" s="331"/>
      <c r="K957" s="331"/>
      <c r="O957" s="541"/>
      <c r="R957" s="139"/>
    </row>
    <row r="958">
      <c r="C958" s="139"/>
      <c r="D958" s="139"/>
      <c r="G958" s="331"/>
      <c r="H958" s="331"/>
      <c r="I958" s="331"/>
      <c r="J958" s="331"/>
      <c r="K958" s="331"/>
      <c r="O958" s="541"/>
      <c r="R958" s="139"/>
    </row>
    <row r="959">
      <c r="C959" s="139"/>
      <c r="D959" s="139"/>
      <c r="G959" s="331"/>
      <c r="H959" s="331"/>
      <c r="I959" s="331"/>
      <c r="J959" s="331"/>
      <c r="K959" s="331"/>
      <c r="O959" s="541"/>
      <c r="R959" s="139"/>
    </row>
    <row r="960">
      <c r="C960" s="139"/>
      <c r="D960" s="139"/>
      <c r="G960" s="331"/>
      <c r="H960" s="331"/>
      <c r="I960" s="331"/>
      <c r="J960" s="331"/>
      <c r="K960" s="331"/>
      <c r="O960" s="541"/>
      <c r="R960" s="139"/>
    </row>
    <row r="961">
      <c r="C961" s="139"/>
      <c r="D961" s="139"/>
      <c r="G961" s="331"/>
      <c r="H961" s="331"/>
      <c r="I961" s="331"/>
      <c r="J961" s="331"/>
      <c r="K961" s="331"/>
      <c r="O961" s="541"/>
      <c r="R961" s="139"/>
    </row>
    <row r="962">
      <c r="C962" s="139"/>
      <c r="D962" s="139"/>
      <c r="G962" s="331"/>
      <c r="H962" s="331"/>
      <c r="I962" s="331"/>
      <c r="J962" s="331"/>
      <c r="K962" s="331"/>
      <c r="O962" s="541"/>
      <c r="R962" s="139"/>
    </row>
    <row r="963">
      <c r="C963" s="139"/>
      <c r="D963" s="139"/>
      <c r="G963" s="331"/>
      <c r="H963" s="331"/>
      <c r="I963" s="331"/>
      <c r="J963" s="331"/>
      <c r="K963" s="331"/>
      <c r="O963" s="541"/>
      <c r="R963" s="139"/>
    </row>
    <row r="964">
      <c r="C964" s="139"/>
      <c r="D964" s="139"/>
      <c r="G964" s="331"/>
      <c r="H964" s="331"/>
      <c r="I964" s="331"/>
      <c r="J964" s="331"/>
      <c r="K964" s="331"/>
      <c r="O964" s="541"/>
      <c r="R964" s="139"/>
    </row>
    <row r="965">
      <c r="C965" s="139"/>
      <c r="D965" s="139"/>
      <c r="G965" s="331"/>
      <c r="H965" s="331"/>
      <c r="I965" s="331"/>
      <c r="J965" s="331"/>
      <c r="K965" s="331"/>
      <c r="O965" s="541"/>
      <c r="R965" s="139"/>
    </row>
    <row r="966">
      <c r="C966" s="139"/>
      <c r="D966" s="139"/>
      <c r="G966" s="331"/>
      <c r="H966" s="331"/>
      <c r="I966" s="331"/>
      <c r="J966" s="331"/>
      <c r="K966" s="331"/>
      <c r="O966" s="541"/>
      <c r="R966" s="139"/>
    </row>
    <row r="967">
      <c r="C967" s="139"/>
      <c r="D967" s="139"/>
      <c r="G967" s="331"/>
      <c r="H967" s="331"/>
      <c r="I967" s="331"/>
      <c r="J967" s="331"/>
      <c r="K967" s="331"/>
      <c r="O967" s="541"/>
      <c r="R967" s="139"/>
    </row>
    <row r="968">
      <c r="C968" s="139"/>
      <c r="D968" s="139"/>
      <c r="G968" s="331"/>
      <c r="H968" s="331"/>
      <c r="I968" s="331"/>
      <c r="J968" s="331"/>
      <c r="K968" s="331"/>
      <c r="O968" s="541"/>
      <c r="R968" s="139"/>
    </row>
    <row r="969">
      <c r="C969" s="139"/>
      <c r="D969" s="139"/>
      <c r="G969" s="331"/>
      <c r="H969" s="331"/>
      <c r="I969" s="331"/>
      <c r="J969" s="331"/>
      <c r="K969" s="331"/>
      <c r="O969" s="541"/>
      <c r="R969" s="139"/>
    </row>
    <row r="970">
      <c r="C970" s="139"/>
      <c r="D970" s="139"/>
      <c r="G970" s="331"/>
      <c r="H970" s="331"/>
      <c r="I970" s="331"/>
      <c r="J970" s="331"/>
      <c r="K970" s="331"/>
      <c r="O970" s="541"/>
      <c r="R970" s="139"/>
    </row>
    <row r="971">
      <c r="C971" s="139"/>
      <c r="D971" s="139"/>
      <c r="G971" s="331"/>
      <c r="H971" s="331"/>
      <c r="I971" s="331"/>
      <c r="J971" s="331"/>
      <c r="K971" s="331"/>
      <c r="O971" s="541"/>
      <c r="R971" s="139"/>
    </row>
    <row r="972">
      <c r="C972" s="139"/>
      <c r="D972" s="139"/>
      <c r="G972" s="331"/>
      <c r="H972" s="331"/>
      <c r="I972" s="331"/>
      <c r="J972" s="331"/>
      <c r="K972" s="331"/>
      <c r="O972" s="541"/>
      <c r="R972" s="139"/>
    </row>
    <row r="973">
      <c r="C973" s="139"/>
      <c r="D973" s="139"/>
      <c r="G973" s="331"/>
      <c r="H973" s="331"/>
      <c r="I973" s="331"/>
      <c r="J973" s="331"/>
      <c r="K973" s="331"/>
      <c r="O973" s="541"/>
      <c r="R973" s="139"/>
    </row>
    <row r="974">
      <c r="C974" s="139"/>
      <c r="D974" s="139"/>
      <c r="G974" s="331"/>
      <c r="H974" s="331"/>
      <c r="I974" s="331"/>
      <c r="J974" s="331"/>
      <c r="K974" s="331"/>
      <c r="O974" s="541"/>
      <c r="R974" s="139"/>
    </row>
    <row r="975">
      <c r="C975" s="139"/>
      <c r="D975" s="139"/>
      <c r="G975" s="331"/>
      <c r="H975" s="331"/>
      <c r="I975" s="331"/>
      <c r="J975" s="331"/>
      <c r="K975" s="331"/>
      <c r="O975" s="541"/>
      <c r="R975" s="139"/>
    </row>
    <row r="976">
      <c r="C976" s="139"/>
      <c r="D976" s="139"/>
      <c r="G976" s="331"/>
      <c r="H976" s="331"/>
      <c r="I976" s="331"/>
      <c r="J976" s="331"/>
      <c r="K976" s="331"/>
      <c r="O976" s="541"/>
      <c r="R976" s="139"/>
    </row>
    <row r="977">
      <c r="C977" s="139"/>
      <c r="D977" s="139"/>
      <c r="G977" s="331"/>
      <c r="H977" s="331"/>
      <c r="I977" s="331"/>
      <c r="J977" s="331"/>
      <c r="K977" s="331"/>
      <c r="O977" s="541"/>
      <c r="R977" s="139"/>
    </row>
    <row r="978">
      <c r="C978" s="139"/>
      <c r="D978" s="139"/>
      <c r="G978" s="331"/>
      <c r="H978" s="331"/>
      <c r="I978" s="331"/>
      <c r="J978" s="331"/>
      <c r="K978" s="331"/>
      <c r="O978" s="541"/>
      <c r="R978" s="139"/>
    </row>
    <row r="979">
      <c r="C979" s="139"/>
      <c r="D979" s="139"/>
      <c r="G979" s="331"/>
      <c r="H979" s="331"/>
      <c r="I979" s="331"/>
      <c r="J979" s="331"/>
      <c r="K979" s="331"/>
      <c r="O979" s="541"/>
      <c r="R979" s="139"/>
    </row>
    <row r="980">
      <c r="C980" s="139"/>
      <c r="D980" s="139"/>
      <c r="G980" s="331"/>
      <c r="H980" s="331"/>
      <c r="I980" s="331"/>
      <c r="J980" s="331"/>
      <c r="K980" s="331"/>
      <c r="O980" s="541"/>
      <c r="R980" s="139"/>
    </row>
    <row r="981">
      <c r="C981" s="139"/>
      <c r="D981" s="139"/>
      <c r="G981" s="331"/>
      <c r="H981" s="331"/>
      <c r="I981" s="331"/>
      <c r="J981" s="331"/>
      <c r="K981" s="331"/>
      <c r="O981" s="541"/>
      <c r="R981" s="139"/>
    </row>
    <row r="982">
      <c r="C982" s="139"/>
      <c r="D982" s="139"/>
      <c r="G982" s="331"/>
      <c r="H982" s="331"/>
      <c r="I982" s="331"/>
      <c r="J982" s="331"/>
      <c r="K982" s="331"/>
      <c r="O982" s="541"/>
      <c r="R982" s="139"/>
    </row>
    <row r="983">
      <c r="C983" s="139"/>
      <c r="D983" s="139"/>
      <c r="G983" s="331"/>
      <c r="H983" s="331"/>
      <c r="I983" s="331"/>
      <c r="J983" s="331"/>
      <c r="K983" s="331"/>
      <c r="O983" s="541"/>
      <c r="R983" s="139"/>
    </row>
    <row r="984">
      <c r="C984" s="139"/>
      <c r="D984" s="139"/>
      <c r="G984" s="331"/>
      <c r="H984" s="331"/>
      <c r="I984" s="331"/>
      <c r="J984" s="331"/>
      <c r="K984" s="331"/>
      <c r="O984" s="541"/>
      <c r="R984" s="139"/>
    </row>
    <row r="985">
      <c r="C985" s="139"/>
      <c r="D985" s="139"/>
      <c r="G985" s="331"/>
      <c r="H985" s="331"/>
      <c r="I985" s="331"/>
      <c r="J985" s="331"/>
      <c r="K985" s="331"/>
      <c r="O985" s="541"/>
      <c r="R985" s="139"/>
    </row>
    <row r="986">
      <c r="C986" s="139"/>
      <c r="D986" s="139"/>
      <c r="G986" s="331"/>
      <c r="H986" s="331"/>
      <c r="I986" s="331"/>
      <c r="J986" s="331"/>
      <c r="K986" s="331"/>
      <c r="O986" s="541"/>
      <c r="R986" s="139"/>
    </row>
    <row r="987">
      <c r="C987" s="139"/>
      <c r="D987" s="139"/>
      <c r="G987" s="331"/>
      <c r="H987" s="331"/>
      <c r="I987" s="331"/>
      <c r="J987" s="331"/>
      <c r="K987" s="331"/>
      <c r="O987" s="541"/>
      <c r="R987" s="139"/>
    </row>
    <row r="988">
      <c r="C988" s="139"/>
      <c r="D988" s="139"/>
      <c r="G988" s="331"/>
      <c r="H988" s="331"/>
      <c r="I988" s="331"/>
      <c r="J988" s="331"/>
      <c r="K988" s="331"/>
      <c r="O988" s="541"/>
      <c r="R988" s="139"/>
    </row>
    <row r="989">
      <c r="C989" s="139"/>
      <c r="D989" s="139"/>
      <c r="G989" s="331"/>
      <c r="H989" s="331"/>
      <c r="I989" s="331"/>
      <c r="J989" s="331"/>
      <c r="K989" s="331"/>
      <c r="O989" s="541"/>
      <c r="R989" s="139"/>
    </row>
    <row r="990">
      <c r="C990" s="139"/>
      <c r="D990" s="139"/>
      <c r="G990" s="331"/>
      <c r="H990" s="331"/>
      <c r="I990" s="331"/>
      <c r="J990" s="331"/>
      <c r="K990" s="331"/>
      <c r="O990" s="541"/>
      <c r="R990" s="139"/>
    </row>
    <row r="991">
      <c r="C991" s="139"/>
      <c r="D991" s="139"/>
      <c r="G991" s="331"/>
      <c r="H991" s="331"/>
      <c r="I991" s="331"/>
      <c r="J991" s="331"/>
      <c r="K991" s="331"/>
      <c r="O991" s="541"/>
      <c r="R991" s="139"/>
    </row>
    <row r="992">
      <c r="C992" s="139"/>
      <c r="D992" s="139"/>
      <c r="G992" s="331"/>
      <c r="H992" s="331"/>
      <c r="I992" s="331"/>
      <c r="J992" s="331"/>
      <c r="K992" s="331"/>
      <c r="O992" s="541"/>
      <c r="R992" s="139"/>
    </row>
    <row r="993">
      <c r="C993" s="139"/>
      <c r="D993" s="139"/>
      <c r="G993" s="331"/>
      <c r="H993" s="331"/>
      <c r="I993" s="331"/>
      <c r="J993" s="331"/>
      <c r="K993" s="331"/>
      <c r="O993" s="541"/>
      <c r="R993" s="139"/>
    </row>
    <row r="994">
      <c r="C994" s="139"/>
      <c r="D994" s="139"/>
      <c r="G994" s="331"/>
      <c r="H994" s="331"/>
      <c r="I994" s="331"/>
      <c r="J994" s="331"/>
      <c r="K994" s="331"/>
      <c r="O994" s="541"/>
      <c r="R994" s="139"/>
    </row>
    <row r="995">
      <c r="C995" s="139"/>
      <c r="D995" s="139"/>
      <c r="G995" s="331"/>
      <c r="H995" s="331"/>
      <c r="I995" s="331"/>
      <c r="J995" s="331"/>
      <c r="K995" s="331"/>
      <c r="O995" s="541"/>
      <c r="R995" s="139"/>
    </row>
    <row r="996">
      <c r="C996" s="139"/>
      <c r="D996" s="139"/>
      <c r="G996" s="331"/>
      <c r="H996" s="331"/>
      <c r="I996" s="331"/>
      <c r="J996" s="331"/>
      <c r="K996" s="331"/>
      <c r="O996" s="541"/>
      <c r="R996" s="139"/>
    </row>
    <row r="997">
      <c r="C997" s="139"/>
      <c r="D997" s="139"/>
      <c r="G997" s="331"/>
      <c r="H997" s="331"/>
      <c r="I997" s="331"/>
      <c r="J997" s="331"/>
      <c r="K997" s="331"/>
      <c r="O997" s="541"/>
      <c r="R997" s="139"/>
    </row>
    <row r="998">
      <c r="C998" s="139"/>
      <c r="D998" s="139"/>
      <c r="G998" s="331"/>
      <c r="H998" s="331"/>
      <c r="I998" s="331"/>
      <c r="J998" s="331"/>
      <c r="K998" s="331"/>
      <c r="O998" s="541"/>
      <c r="R998" s="139"/>
    </row>
    <row r="999">
      <c r="C999" s="139"/>
      <c r="D999" s="139"/>
      <c r="G999" s="331"/>
      <c r="H999" s="331"/>
      <c r="I999" s="331"/>
      <c r="J999" s="331"/>
      <c r="K999" s="331"/>
      <c r="O999" s="541"/>
      <c r="R999" s="139"/>
    </row>
    <row r="1000">
      <c r="C1000" s="139"/>
      <c r="D1000" s="139"/>
      <c r="G1000" s="331"/>
      <c r="H1000" s="331"/>
      <c r="I1000" s="331"/>
      <c r="J1000" s="331"/>
      <c r="K1000" s="331"/>
      <c r="O1000" s="541"/>
      <c r="R1000" s="139"/>
    </row>
    <row r="1001">
      <c r="C1001" s="139"/>
      <c r="D1001" s="139"/>
      <c r="G1001" s="331"/>
      <c r="H1001" s="331"/>
      <c r="I1001" s="331"/>
      <c r="J1001" s="331"/>
      <c r="K1001" s="331"/>
      <c r="O1001" s="541"/>
      <c r="R1001" s="139"/>
    </row>
    <row r="1002">
      <c r="C1002" s="139"/>
      <c r="D1002" s="139"/>
      <c r="G1002" s="331"/>
      <c r="H1002" s="331"/>
      <c r="I1002" s="331"/>
      <c r="J1002" s="331"/>
      <c r="K1002" s="331"/>
      <c r="O1002" s="541"/>
      <c r="R1002" s="139"/>
    </row>
    <row r="1003">
      <c r="C1003" s="139"/>
      <c r="D1003" s="139"/>
      <c r="G1003" s="331"/>
      <c r="H1003" s="331"/>
      <c r="I1003" s="331"/>
      <c r="J1003" s="331"/>
      <c r="K1003" s="331"/>
      <c r="O1003" s="541"/>
      <c r="R1003" s="139"/>
    </row>
  </sheetData>
  <mergeCells count="3">
    <mergeCell ref="L1:M1"/>
    <mergeCell ref="N1:O1"/>
    <mergeCell ref="J76:K76"/>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C4"/>
    <hyperlink r:id="rId2" ref="C5"/>
    <hyperlink r:id="rId3" ref="C6"/>
    <hyperlink r:id="rId4" ref="C7"/>
    <hyperlink r:id="rId5" ref="C8"/>
    <hyperlink r:id="rId6" ref="C9"/>
    <hyperlink r:id="rId7" ref="C10"/>
    <hyperlink r:id="rId8" ref="C11"/>
    <hyperlink r:id="rId9" ref="C12"/>
    <hyperlink r:id="rId10" ref="C13"/>
    <hyperlink r:id="rId11" ref="R13"/>
    <hyperlink r:id="rId12" ref="C15"/>
    <hyperlink r:id="rId13" ref="R15"/>
    <hyperlink r:id="rId14" ref="C16"/>
    <hyperlink r:id="rId15" ref="C17"/>
    <hyperlink r:id="rId16" ref="R17"/>
    <hyperlink r:id="rId17" ref="C18"/>
    <hyperlink r:id="rId18" ref="C19"/>
    <hyperlink r:id="rId19" ref="C20"/>
    <hyperlink r:id="rId20" ref="C21"/>
    <hyperlink r:id="rId21" ref="C22"/>
    <hyperlink r:id="rId22" ref="C23"/>
    <hyperlink r:id="rId23" ref="C24"/>
    <hyperlink r:id="rId24" ref="R24"/>
    <hyperlink r:id="rId25" ref="C25"/>
    <hyperlink r:id="rId26" ref="C26"/>
    <hyperlink r:id="rId27" ref="C27"/>
    <hyperlink r:id="rId28" ref="R27"/>
    <hyperlink r:id="rId29" ref="C28"/>
    <hyperlink r:id="rId30" ref="R28"/>
    <hyperlink r:id="rId31" ref="C29"/>
    <hyperlink r:id="rId32" ref="C30"/>
    <hyperlink r:id="rId33" ref="C31"/>
    <hyperlink r:id="rId34" ref="R31"/>
    <hyperlink r:id="rId35" ref="C32"/>
    <hyperlink r:id="rId36" ref="R32"/>
    <hyperlink r:id="rId37" ref="C33"/>
    <hyperlink r:id="rId38" ref="R33"/>
    <hyperlink r:id="rId39" ref="C34"/>
    <hyperlink r:id="rId40" ref="C35"/>
    <hyperlink r:id="rId41" ref="C37"/>
    <hyperlink r:id="rId42" ref="C38"/>
    <hyperlink r:id="rId43" ref="C39"/>
    <hyperlink r:id="rId44" ref="C40"/>
    <hyperlink r:id="rId45" ref="R40"/>
    <hyperlink r:id="rId46" ref="C41"/>
    <hyperlink r:id="rId47" ref="C42"/>
    <hyperlink r:id="rId48" ref="C43"/>
    <hyperlink r:id="rId49" ref="C44"/>
    <hyperlink r:id="rId50" ref="R44"/>
    <hyperlink r:id="rId51" ref="C45"/>
    <hyperlink r:id="rId52" ref="C46"/>
    <hyperlink r:id="rId53" ref="C47"/>
    <hyperlink r:id="rId54" ref="C48"/>
    <hyperlink r:id="rId55" ref="C49"/>
    <hyperlink r:id="rId56" ref="C50"/>
    <hyperlink r:id="rId57" ref="R50"/>
    <hyperlink r:id="rId58" ref="C51"/>
    <hyperlink r:id="rId59" ref="R51"/>
    <hyperlink r:id="rId60" ref="C52"/>
    <hyperlink r:id="rId61" ref="C53"/>
    <hyperlink r:id="rId62" ref="R53"/>
    <hyperlink r:id="rId63" ref="C54"/>
    <hyperlink r:id="rId64" ref="C55"/>
    <hyperlink r:id="rId65" ref="C56"/>
    <hyperlink r:id="rId66" ref="C57"/>
    <hyperlink r:id="rId67" ref="R57"/>
    <hyperlink r:id="rId68" ref="C58"/>
    <hyperlink r:id="rId69" ref="C59"/>
    <hyperlink r:id="rId70" ref="C60"/>
    <hyperlink r:id="rId71" ref="C62"/>
    <hyperlink r:id="rId72" ref="C63"/>
    <hyperlink r:id="rId73" ref="R63"/>
    <hyperlink r:id="rId74" ref="C65"/>
    <hyperlink r:id="rId75" ref="R65"/>
    <hyperlink r:id="rId76" ref="C66"/>
    <hyperlink r:id="rId77" ref="C67"/>
    <hyperlink r:id="rId78" ref="R67"/>
    <hyperlink r:id="rId79" ref="C68"/>
    <hyperlink r:id="rId80" ref="C70"/>
    <hyperlink r:id="rId81" ref="C71"/>
    <hyperlink r:id="rId82" ref="C73"/>
    <hyperlink r:id="rId83" ref="C74"/>
    <hyperlink r:id="rId84" ref="C75"/>
    <hyperlink r:id="rId85" ref="C76"/>
    <hyperlink r:id="rId86" ref="C77"/>
    <hyperlink r:id="rId87" ref="C78"/>
    <hyperlink r:id="rId88" ref="C79"/>
    <hyperlink r:id="rId89" ref="C81"/>
    <hyperlink r:id="rId90" ref="C82"/>
    <hyperlink r:id="rId91" ref="C83"/>
    <hyperlink r:id="rId92" ref="C84"/>
    <hyperlink r:id="rId93" ref="C85"/>
    <hyperlink r:id="rId94" ref="C86"/>
    <hyperlink r:id="rId95" ref="C87"/>
    <hyperlink r:id="rId96" ref="C88"/>
    <hyperlink r:id="rId97" ref="C90"/>
    <hyperlink r:id="rId98" ref="C91"/>
    <hyperlink r:id="rId99" ref="C92"/>
    <hyperlink r:id="rId100" ref="C94"/>
    <hyperlink r:id="rId101" ref="R94"/>
    <hyperlink r:id="rId102" ref="C95"/>
    <hyperlink r:id="rId103" ref="C96"/>
    <hyperlink r:id="rId104" ref="C97"/>
    <hyperlink r:id="rId105" ref="C98"/>
    <hyperlink r:id="rId106" ref="C99"/>
    <hyperlink r:id="rId107" ref="C100"/>
    <hyperlink r:id="rId108" ref="C101"/>
    <hyperlink r:id="rId109" ref="C102"/>
    <hyperlink r:id="rId110" ref="C103"/>
    <hyperlink r:id="rId111" ref="C104"/>
    <hyperlink r:id="rId112" ref="C105"/>
    <hyperlink r:id="rId113" ref="C106"/>
    <hyperlink r:id="rId114" ref="C107"/>
    <hyperlink r:id="rId115" ref="C108"/>
    <hyperlink r:id="rId116" ref="C110"/>
    <hyperlink r:id="rId117" ref="G110"/>
    <hyperlink r:id="rId118" ref="H110"/>
    <hyperlink r:id="rId119" ref="I110"/>
    <hyperlink r:id="rId120" ref="J110"/>
    <hyperlink r:id="rId121" ref="R110"/>
    <hyperlink r:id="rId122" ref="C111"/>
    <hyperlink r:id="rId123" ref="G111"/>
    <hyperlink r:id="rId124" ref="H111"/>
    <hyperlink r:id="rId125" ref="I111"/>
    <hyperlink r:id="rId126" ref="J111"/>
    <hyperlink r:id="rId127" ref="O111"/>
    <hyperlink r:id="rId128" ref="R111"/>
    <hyperlink r:id="rId129" ref="C112"/>
    <hyperlink r:id="rId130" ref="G112"/>
    <hyperlink r:id="rId131" ref="H112"/>
    <hyperlink r:id="rId132" ref="I112"/>
    <hyperlink r:id="rId133" ref="J112"/>
    <hyperlink r:id="rId134" ref="R112"/>
    <hyperlink r:id="rId135" ref="C113"/>
    <hyperlink r:id="rId136" ref="G113"/>
    <hyperlink r:id="rId137" ref="H113"/>
    <hyperlink r:id="rId138" ref="I113"/>
    <hyperlink r:id="rId139" ref="J113"/>
    <hyperlink r:id="rId140" ref="C114"/>
    <hyperlink r:id="rId141" ref="G114"/>
    <hyperlink r:id="rId142" ref="H114"/>
    <hyperlink r:id="rId143" ref="I114"/>
    <hyperlink r:id="rId144" ref="J114"/>
    <hyperlink r:id="rId145" ref="C115"/>
    <hyperlink r:id="rId146" ref="G115"/>
    <hyperlink r:id="rId147" ref="H115"/>
    <hyperlink r:id="rId148" ref="I115"/>
    <hyperlink r:id="rId149" ref="J115"/>
    <hyperlink r:id="rId150" ref="R115"/>
    <hyperlink r:id="rId151" ref="C116"/>
    <hyperlink r:id="rId152" ref="G116"/>
    <hyperlink r:id="rId153" ref="H116"/>
    <hyperlink r:id="rId154" ref="I116"/>
    <hyperlink r:id="rId155" ref="J116"/>
    <hyperlink r:id="rId156" ref="C117"/>
    <hyperlink r:id="rId157" ref="G117"/>
    <hyperlink r:id="rId158" ref="R117"/>
    <hyperlink r:id="rId159" ref="C118"/>
    <hyperlink r:id="rId160" ref="G118"/>
    <hyperlink r:id="rId161" ref="H118"/>
    <hyperlink r:id="rId162" ref="I118"/>
    <hyperlink r:id="rId163" ref="J118"/>
    <hyperlink r:id="rId164" ref="C119"/>
    <hyperlink r:id="rId165" ref="G119"/>
    <hyperlink r:id="rId166" ref="H119"/>
    <hyperlink r:id="rId167" ref="I119"/>
    <hyperlink r:id="rId168" ref="J119"/>
    <hyperlink r:id="rId169" ref="C120"/>
    <hyperlink r:id="rId170" ref="R120"/>
    <hyperlink r:id="rId171" ref="C121"/>
    <hyperlink r:id="rId172" ref="R121"/>
    <hyperlink r:id="rId173" ref="C122"/>
    <hyperlink r:id="rId174" ref="R122"/>
    <hyperlink r:id="rId175" ref="C123"/>
    <hyperlink r:id="rId176" ref="C124"/>
    <hyperlink r:id="rId177" ref="C125"/>
    <hyperlink r:id="rId178" ref="C126"/>
    <hyperlink r:id="rId179" ref="R126"/>
    <hyperlink r:id="rId180" ref="C127"/>
    <hyperlink r:id="rId181" ref="R127"/>
    <hyperlink r:id="rId182" ref="C128"/>
    <hyperlink r:id="rId183" ref="R128"/>
    <hyperlink r:id="rId184" ref="C129"/>
    <hyperlink r:id="rId185" ref="R129"/>
    <hyperlink r:id="rId186" ref="C130"/>
    <hyperlink r:id="rId187" ref="R130"/>
    <hyperlink r:id="rId188" ref="C131"/>
    <hyperlink r:id="rId189" ref="R131"/>
    <hyperlink r:id="rId190" ref="C132"/>
    <hyperlink r:id="rId191" ref="R132"/>
    <hyperlink r:id="rId192" ref="C133"/>
    <hyperlink r:id="rId193" ref="R133"/>
    <hyperlink r:id="rId194" ref="C134"/>
    <hyperlink r:id="rId195" ref="R134"/>
    <hyperlink r:id="rId196" ref="R135"/>
    <hyperlink r:id="rId197" ref="C136"/>
    <hyperlink r:id="rId198" ref="R136"/>
    <hyperlink r:id="rId199" ref="C137"/>
    <hyperlink r:id="rId200" ref="R137"/>
    <hyperlink r:id="rId201" ref="C138"/>
    <hyperlink r:id="rId202" ref="R138"/>
    <hyperlink r:id="rId203" ref="C139"/>
    <hyperlink r:id="rId204" ref="R139"/>
    <hyperlink r:id="rId205" ref="C140"/>
    <hyperlink r:id="rId206" ref="R140"/>
    <hyperlink r:id="rId207" ref="C141"/>
    <hyperlink r:id="rId208" ref="R141"/>
    <hyperlink r:id="rId209" ref="C142"/>
    <hyperlink r:id="rId210" ref="R142"/>
    <hyperlink r:id="rId211" ref="C143"/>
    <hyperlink r:id="rId212" ref="R143"/>
    <hyperlink r:id="rId213" ref="C144"/>
    <hyperlink r:id="rId214" ref="R144"/>
    <hyperlink r:id="rId215" ref="C145"/>
    <hyperlink r:id="rId216" ref="R145"/>
    <hyperlink r:id="rId217" ref="C146"/>
    <hyperlink r:id="rId218" ref="R146"/>
    <hyperlink r:id="rId219" ref="C147"/>
    <hyperlink r:id="rId220" ref="R147"/>
    <hyperlink r:id="rId221" ref="C148"/>
    <hyperlink r:id="rId222" ref="R148"/>
    <hyperlink r:id="rId223" ref="C150"/>
  </hyperlinks>
  <drawing r:id="rId224"/>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1" max="1" width="8.71"/>
    <col customWidth="1" min="2" max="2" width="9.29"/>
    <col customWidth="1" min="3" max="3" width="18.43"/>
    <col customWidth="1" min="5" max="5" width="7.71"/>
    <col customWidth="1" min="6" max="7" width="26.14"/>
    <col customWidth="1" min="8" max="8" width="20.29"/>
    <col customWidth="1" min="9" max="9" width="19.86"/>
    <col customWidth="1" min="10" max="10" width="17.71"/>
  </cols>
  <sheetData>
    <row r="1" ht="15.0" customHeight="1" outlineLevel="1">
      <c r="A1" s="1"/>
      <c r="B1" s="268" t="s">
        <v>1</v>
      </c>
      <c r="C1" s="268" t="s">
        <v>2</v>
      </c>
      <c r="D1" s="268"/>
      <c r="E1" s="5"/>
      <c r="F1" s="271" t="s">
        <v>1577</v>
      </c>
      <c r="G1" s="429" t="s">
        <v>4</v>
      </c>
      <c r="H1" s="429" t="s">
        <v>5</v>
      </c>
      <c r="I1" s="429" t="s">
        <v>6</v>
      </c>
      <c r="J1" s="429" t="s">
        <v>7</v>
      </c>
      <c r="K1" s="1" t="s">
        <v>8</v>
      </c>
      <c r="L1" s="272" t="s">
        <v>9</v>
      </c>
      <c r="N1" s="431" t="s">
        <v>14</v>
      </c>
      <c r="P1" s="432"/>
      <c r="Q1" s="432"/>
      <c r="R1" s="271"/>
      <c r="S1" s="434"/>
      <c r="T1" s="434"/>
      <c r="U1" s="434"/>
      <c r="V1" s="434"/>
      <c r="W1" s="434"/>
      <c r="X1" s="434"/>
      <c r="Y1" s="434"/>
      <c r="Z1" s="434"/>
      <c r="AA1" s="434"/>
      <c r="AB1" s="434"/>
      <c r="AC1" s="434"/>
      <c r="AD1" s="434"/>
    </row>
    <row r="2" ht="16.5" customHeight="1" outlineLevel="1">
      <c r="A2" s="21" t="s">
        <v>492</v>
      </c>
      <c r="B2" s="21"/>
      <c r="C2" s="21"/>
      <c r="D2" s="21"/>
      <c r="E2" s="5"/>
      <c r="F2" s="23">
        <v>43439.0</v>
      </c>
      <c r="G2" s="435">
        <v>43596.0</v>
      </c>
      <c r="H2" s="21">
        <f>G2-TODAY()</f>
        <v>-139</v>
      </c>
      <c r="I2" s="435">
        <v>43439.0</v>
      </c>
      <c r="J2" s="438">
        <v>43635.0</v>
      </c>
      <c r="K2" s="23"/>
      <c r="L2" s="275">
        <f>CountIFS($E:$E,"=Dem",$A:$A,"=House")</f>
        <v>88</v>
      </c>
      <c r="M2" s="276">
        <f>CountIFS($E:$E,"=Rep",$A:$A,"=House")</f>
        <v>57</v>
      </c>
      <c r="N2" s="275">
        <f>CountIFS($E:$E,"=Dem",$A:$A,"=Senate")</f>
        <v>21</v>
      </c>
      <c r="O2" s="276">
        <f>CountIFS($E:$E,"=Rep",$A:$A,"=Senate")</f>
        <v>14</v>
      </c>
      <c r="P2" s="432"/>
      <c r="Q2" s="432"/>
      <c r="R2" s="271"/>
      <c r="S2" s="434"/>
      <c r="T2" s="434"/>
      <c r="U2" s="434"/>
      <c r="V2" s="434"/>
      <c r="W2" s="434"/>
      <c r="X2" s="434"/>
      <c r="Y2" s="434"/>
      <c r="Z2" s="434"/>
      <c r="AA2" s="434"/>
      <c r="AB2" s="434"/>
      <c r="AC2" s="434"/>
      <c r="AD2" s="434"/>
    </row>
    <row r="3">
      <c r="A3" s="271" t="s">
        <v>29</v>
      </c>
      <c r="B3" s="271" t="s">
        <v>30</v>
      </c>
      <c r="C3" s="268" t="s">
        <v>799</v>
      </c>
      <c r="D3" s="268" t="s">
        <v>800</v>
      </c>
      <c r="E3" s="5" t="s">
        <v>33</v>
      </c>
      <c r="F3" s="1" t="s">
        <v>10</v>
      </c>
      <c r="G3" s="433" t="s">
        <v>34</v>
      </c>
      <c r="H3" s="433" t="s">
        <v>34</v>
      </c>
      <c r="I3" s="433" t="s">
        <v>34</v>
      </c>
      <c r="J3" s="433" t="s">
        <v>34</v>
      </c>
      <c r="K3" s="1" t="s">
        <v>35</v>
      </c>
      <c r="L3" s="277" t="s">
        <v>36</v>
      </c>
      <c r="M3" s="277" t="s">
        <v>37</v>
      </c>
      <c r="N3" s="277" t="s">
        <v>38</v>
      </c>
      <c r="O3" s="441" t="s">
        <v>39</v>
      </c>
      <c r="P3" s="443" t="s">
        <v>40</v>
      </c>
      <c r="Q3" s="443" t="s">
        <v>41</v>
      </c>
      <c r="R3" s="441" t="s">
        <v>42</v>
      </c>
      <c r="S3" s="434"/>
      <c r="T3" s="434"/>
      <c r="U3" s="434"/>
      <c r="V3" s="434"/>
      <c r="W3" s="434"/>
      <c r="X3" s="434"/>
      <c r="Y3" s="434"/>
      <c r="Z3" s="434"/>
      <c r="AA3" s="434"/>
      <c r="AB3" s="434"/>
      <c r="AC3" s="434"/>
      <c r="AD3" s="434"/>
    </row>
    <row r="4">
      <c r="A4" s="278" t="s">
        <v>44</v>
      </c>
      <c r="B4" s="444">
        <v>1.0</v>
      </c>
      <c r="C4" s="449" t="s">
        <v>5579</v>
      </c>
      <c r="D4" s="449" t="s">
        <v>5587</v>
      </c>
      <c r="E4" s="94" t="s">
        <v>49</v>
      </c>
      <c r="F4" s="451"/>
      <c r="G4" s="453" t="s">
        <v>5589</v>
      </c>
      <c r="H4" s="453" t="s">
        <v>5590</v>
      </c>
      <c r="I4" s="453" t="s">
        <v>5591</v>
      </c>
      <c r="J4" s="454"/>
      <c r="K4" s="321"/>
      <c r="L4" s="455"/>
      <c r="M4" s="456" t="s">
        <v>5592</v>
      </c>
      <c r="N4" s="321"/>
      <c r="O4" s="321"/>
      <c r="P4" s="457">
        <v>2012.0</v>
      </c>
      <c r="Q4" s="457">
        <v>2020.0</v>
      </c>
      <c r="R4" s="458" t="s">
        <v>5600</v>
      </c>
      <c r="S4" s="321"/>
      <c r="T4" s="321"/>
      <c r="U4" s="321"/>
      <c r="V4" s="321"/>
      <c r="W4" s="321"/>
      <c r="X4" s="321"/>
      <c r="Y4" s="321"/>
      <c r="Z4" s="321"/>
      <c r="AA4" s="321"/>
      <c r="AB4" s="321"/>
      <c r="AC4" s="321"/>
      <c r="AD4" s="321"/>
    </row>
    <row r="5">
      <c r="A5" s="278" t="s">
        <v>44</v>
      </c>
      <c r="B5" s="279">
        <v>2.0</v>
      </c>
      <c r="C5" s="280" t="s">
        <v>3644</v>
      </c>
      <c r="D5" s="280" t="s">
        <v>4840</v>
      </c>
      <c r="E5" s="94" t="s">
        <v>49</v>
      </c>
      <c r="F5" s="451"/>
      <c r="G5" s="460" t="s">
        <v>2796</v>
      </c>
      <c r="H5" s="461"/>
      <c r="I5" s="454"/>
      <c r="J5" s="454"/>
      <c r="K5" s="321"/>
      <c r="L5" s="455"/>
      <c r="M5" s="456" t="s">
        <v>5610</v>
      </c>
      <c r="N5" s="321"/>
      <c r="O5" s="321"/>
      <c r="P5" s="457">
        <v>2018.0</v>
      </c>
      <c r="Q5" s="457">
        <v>2026.0</v>
      </c>
      <c r="R5" s="458" t="s">
        <v>5611</v>
      </c>
      <c r="S5" s="321"/>
      <c r="T5" s="321"/>
      <c r="U5" s="321"/>
      <c r="V5" s="321"/>
      <c r="W5" s="321"/>
      <c r="X5" s="321"/>
      <c r="Y5" s="321"/>
      <c r="Z5" s="321"/>
      <c r="AA5" s="321"/>
      <c r="AB5" s="321"/>
      <c r="AC5" s="321"/>
      <c r="AD5" s="321"/>
    </row>
    <row r="6">
      <c r="A6" s="278" t="s">
        <v>44</v>
      </c>
      <c r="B6" s="279">
        <v>3.0</v>
      </c>
      <c r="C6" s="449" t="s">
        <v>5619</v>
      </c>
      <c r="D6" s="449" t="s">
        <v>5627</v>
      </c>
      <c r="E6" s="94" t="s">
        <v>49</v>
      </c>
      <c r="F6" s="451"/>
      <c r="G6" s="460" t="s">
        <v>5630</v>
      </c>
      <c r="H6" s="461"/>
      <c r="I6" s="454"/>
      <c r="J6" s="454"/>
      <c r="K6" s="321"/>
      <c r="L6" s="455"/>
      <c r="M6" s="456" t="s">
        <v>5631</v>
      </c>
      <c r="N6" s="321"/>
      <c r="O6" s="321"/>
      <c r="P6" s="457">
        <v>2014.0</v>
      </c>
      <c r="Q6" s="457">
        <v>2022.0</v>
      </c>
      <c r="R6" s="458" t="s">
        <v>5632</v>
      </c>
      <c r="S6" s="321"/>
      <c r="T6" s="321"/>
      <c r="U6" s="321"/>
      <c r="V6" s="321"/>
      <c r="W6" s="321"/>
      <c r="X6" s="321"/>
      <c r="Y6" s="321"/>
      <c r="Z6" s="321"/>
      <c r="AA6" s="321"/>
      <c r="AB6" s="321"/>
      <c r="AC6" s="321"/>
      <c r="AD6" s="321"/>
    </row>
    <row r="7">
      <c r="A7" s="278" t="s">
        <v>44</v>
      </c>
      <c r="B7" s="279">
        <v>4.0</v>
      </c>
      <c r="C7" s="449" t="s">
        <v>2249</v>
      </c>
      <c r="D7" s="449" t="s">
        <v>5641</v>
      </c>
      <c r="E7" s="94" t="s">
        <v>49</v>
      </c>
      <c r="F7" s="451"/>
      <c r="G7" s="462" t="s">
        <v>5642</v>
      </c>
      <c r="H7" s="461"/>
      <c r="I7" s="454"/>
      <c r="J7" s="454"/>
      <c r="K7" s="321"/>
      <c r="L7" s="455"/>
      <c r="M7" s="456" t="s">
        <v>5647</v>
      </c>
      <c r="N7" s="321"/>
      <c r="O7" s="321"/>
      <c r="P7" s="457">
        <v>2014.0</v>
      </c>
      <c r="Q7" s="457">
        <v>2022.0</v>
      </c>
      <c r="R7" s="458" t="s">
        <v>5632</v>
      </c>
      <c r="S7" s="321"/>
      <c r="T7" s="321"/>
      <c r="U7" s="321"/>
      <c r="V7" s="321"/>
      <c r="W7" s="321"/>
      <c r="X7" s="321"/>
      <c r="Y7" s="321"/>
      <c r="Z7" s="321"/>
      <c r="AA7" s="321"/>
      <c r="AB7" s="321"/>
      <c r="AC7" s="321"/>
      <c r="AD7" s="321"/>
    </row>
    <row r="8">
      <c r="A8" s="278" t="s">
        <v>44</v>
      </c>
      <c r="B8" s="279">
        <v>5.0</v>
      </c>
      <c r="C8" s="449" t="s">
        <v>2842</v>
      </c>
      <c r="D8" s="449" t="s">
        <v>5653</v>
      </c>
      <c r="E8" s="83" t="s">
        <v>53</v>
      </c>
      <c r="F8" s="451"/>
      <c r="G8" s="462" t="s">
        <v>2796</v>
      </c>
      <c r="H8" s="461"/>
      <c r="I8" s="454"/>
      <c r="J8" s="454"/>
      <c r="K8" s="321"/>
      <c r="L8" s="279"/>
      <c r="M8" s="456" t="s">
        <v>5654</v>
      </c>
      <c r="N8" s="321"/>
      <c r="O8" s="321"/>
      <c r="P8" s="457">
        <v>2014.0</v>
      </c>
      <c r="Q8" s="457">
        <v>2022.0</v>
      </c>
      <c r="R8" s="458" t="s">
        <v>5655</v>
      </c>
      <c r="S8" s="321"/>
      <c r="T8" s="321"/>
      <c r="U8" s="321"/>
      <c r="V8" s="321"/>
      <c r="W8" s="321"/>
      <c r="X8" s="321"/>
      <c r="Y8" s="321"/>
      <c r="Z8" s="321"/>
      <c r="AA8" s="321"/>
      <c r="AB8" s="321"/>
      <c r="AC8" s="321"/>
      <c r="AD8" s="321"/>
    </row>
    <row r="9">
      <c r="A9" s="278" t="s">
        <v>44</v>
      </c>
      <c r="B9" s="279">
        <v>6.0</v>
      </c>
      <c r="C9" s="280" t="s">
        <v>258</v>
      </c>
      <c r="D9" s="280" t="s">
        <v>5663</v>
      </c>
      <c r="E9" s="94" t="s">
        <v>49</v>
      </c>
      <c r="F9" s="451"/>
      <c r="G9" s="462" t="s">
        <v>5664</v>
      </c>
      <c r="H9" s="461"/>
      <c r="I9" s="454"/>
      <c r="J9" s="454"/>
      <c r="K9" s="321"/>
      <c r="L9" s="279"/>
      <c r="M9" s="456" t="s">
        <v>5665</v>
      </c>
      <c r="N9" s="321"/>
      <c r="O9" s="321"/>
      <c r="P9" s="457">
        <v>2018.0</v>
      </c>
      <c r="Q9" s="457">
        <v>2026.0</v>
      </c>
      <c r="R9" s="458" t="s">
        <v>5611</v>
      </c>
      <c r="S9" s="321"/>
      <c r="T9" s="321"/>
      <c r="U9" s="321"/>
      <c r="V9" s="321"/>
      <c r="W9" s="321"/>
      <c r="X9" s="321"/>
      <c r="Y9" s="321"/>
      <c r="Z9" s="321"/>
      <c r="AA9" s="321"/>
      <c r="AB9" s="321"/>
      <c r="AC9" s="321"/>
      <c r="AD9" s="321"/>
    </row>
    <row r="10">
      <c r="A10" s="278" t="s">
        <v>44</v>
      </c>
      <c r="B10" s="279">
        <v>7.0</v>
      </c>
      <c r="C10" s="280" t="s">
        <v>552</v>
      </c>
      <c r="D10" s="280" t="s">
        <v>5669</v>
      </c>
      <c r="E10" s="464" t="s">
        <v>49</v>
      </c>
      <c r="F10" s="451"/>
      <c r="G10" s="462" t="s">
        <v>5670</v>
      </c>
      <c r="H10" s="461"/>
      <c r="I10" s="454"/>
      <c r="J10" s="454"/>
      <c r="K10" s="321"/>
      <c r="L10" s="279"/>
      <c r="M10" s="456" t="s">
        <v>5672</v>
      </c>
      <c r="N10" s="321"/>
      <c r="O10" s="321"/>
      <c r="P10" s="457">
        <v>2018.0</v>
      </c>
      <c r="Q10" s="457">
        <v>2026.0</v>
      </c>
      <c r="R10" s="458" t="s">
        <v>5673</v>
      </c>
      <c r="S10" s="321"/>
      <c r="T10" s="321"/>
      <c r="U10" s="321"/>
      <c r="V10" s="321"/>
      <c r="W10" s="321"/>
      <c r="X10" s="321"/>
      <c r="Y10" s="321"/>
      <c r="Z10" s="321"/>
      <c r="AA10" s="321"/>
      <c r="AB10" s="321"/>
      <c r="AC10" s="321"/>
      <c r="AD10" s="321"/>
    </row>
    <row r="11">
      <c r="A11" s="278" t="s">
        <v>44</v>
      </c>
      <c r="B11" s="279">
        <v>8.0</v>
      </c>
      <c r="C11" s="449" t="s">
        <v>575</v>
      </c>
      <c r="D11" s="449" t="s">
        <v>5681</v>
      </c>
      <c r="E11" s="94" t="s">
        <v>49</v>
      </c>
      <c r="F11" s="451"/>
      <c r="G11" s="462" t="s">
        <v>781</v>
      </c>
      <c r="H11" s="461"/>
      <c r="I11" s="454"/>
      <c r="J11" s="454"/>
      <c r="K11" s="321"/>
      <c r="L11" s="279"/>
      <c r="M11" s="456" t="s">
        <v>5682</v>
      </c>
      <c r="N11" s="321"/>
      <c r="O11" s="321"/>
      <c r="P11" s="457">
        <v>2014.0</v>
      </c>
      <c r="Q11" s="457">
        <v>2022.0</v>
      </c>
      <c r="R11" s="458" t="s">
        <v>5683</v>
      </c>
      <c r="S11" s="321"/>
      <c r="T11" s="321"/>
      <c r="U11" s="321"/>
      <c r="V11" s="321"/>
      <c r="W11" s="321"/>
      <c r="X11" s="321"/>
      <c r="Y11" s="321"/>
      <c r="Z11" s="321"/>
      <c r="AA11" s="321"/>
      <c r="AB11" s="321"/>
      <c r="AC11" s="321"/>
      <c r="AD11" s="321"/>
    </row>
    <row r="12">
      <c r="A12" s="278" t="s">
        <v>44</v>
      </c>
      <c r="B12" s="279">
        <v>9.0</v>
      </c>
      <c r="C12" s="280" t="s">
        <v>5233</v>
      </c>
      <c r="D12" s="280" t="s">
        <v>5686</v>
      </c>
      <c r="E12" s="464" t="s">
        <v>49</v>
      </c>
      <c r="F12" s="451"/>
      <c r="G12" s="462" t="s">
        <v>5687</v>
      </c>
      <c r="H12" s="461"/>
      <c r="I12" s="454"/>
      <c r="J12" s="454"/>
      <c r="K12" s="321"/>
      <c r="L12" s="279"/>
      <c r="M12" s="456" t="s">
        <v>5688</v>
      </c>
      <c r="N12" s="321"/>
      <c r="O12" s="321"/>
      <c r="P12" s="457">
        <v>2018.0</v>
      </c>
      <c r="Q12" s="457">
        <v>2026.0</v>
      </c>
      <c r="R12" s="458" t="s">
        <v>5690</v>
      </c>
      <c r="S12" s="321"/>
      <c r="T12" s="321"/>
      <c r="U12" s="321"/>
      <c r="V12" s="321"/>
      <c r="W12" s="321"/>
      <c r="X12" s="321"/>
      <c r="Y12" s="321"/>
      <c r="Z12" s="321"/>
      <c r="AA12" s="321"/>
      <c r="AB12" s="321"/>
      <c r="AC12" s="321"/>
      <c r="AD12" s="321"/>
    </row>
    <row r="13">
      <c r="A13" s="278" t="s">
        <v>44</v>
      </c>
      <c r="B13" s="279">
        <v>10.0</v>
      </c>
      <c r="C13" s="280" t="s">
        <v>2189</v>
      </c>
      <c r="D13" s="280" t="s">
        <v>5696</v>
      </c>
      <c r="E13" s="464" t="s">
        <v>49</v>
      </c>
      <c r="F13" s="451"/>
      <c r="G13" s="462" t="s">
        <v>5697</v>
      </c>
      <c r="H13" s="465" t="s">
        <v>5698</v>
      </c>
      <c r="I13" s="454"/>
      <c r="J13" s="454"/>
      <c r="K13" s="321"/>
      <c r="L13" s="279"/>
      <c r="M13" s="456" t="s">
        <v>5701</v>
      </c>
      <c r="N13" s="321"/>
      <c r="O13" s="321"/>
      <c r="P13" s="457">
        <v>2018.0</v>
      </c>
      <c r="Q13" s="457">
        <v>2026.0</v>
      </c>
      <c r="R13" s="458" t="s">
        <v>5703</v>
      </c>
      <c r="S13" s="321"/>
      <c r="T13" s="321"/>
      <c r="U13" s="321"/>
      <c r="V13" s="321"/>
      <c r="W13" s="321"/>
      <c r="X13" s="321"/>
      <c r="Y13" s="321"/>
      <c r="Z13" s="321"/>
      <c r="AA13" s="321"/>
      <c r="AB13" s="321"/>
      <c r="AC13" s="321"/>
      <c r="AD13" s="321"/>
    </row>
    <row r="14">
      <c r="A14" s="278" t="s">
        <v>44</v>
      </c>
      <c r="B14" s="279">
        <v>11.0</v>
      </c>
      <c r="C14" s="449" t="s">
        <v>2780</v>
      </c>
      <c r="D14" s="449" t="s">
        <v>5707</v>
      </c>
      <c r="E14" s="94" t="s">
        <v>49</v>
      </c>
      <c r="F14" s="466" t="s">
        <v>1479</v>
      </c>
      <c r="G14" s="462" t="s">
        <v>5710</v>
      </c>
      <c r="H14" s="465" t="s">
        <v>5711</v>
      </c>
      <c r="I14" s="454"/>
      <c r="J14" s="454"/>
      <c r="K14" s="321"/>
      <c r="L14" s="279"/>
      <c r="M14" s="456" t="s">
        <v>5712</v>
      </c>
      <c r="N14" s="321"/>
      <c r="O14" s="321"/>
      <c r="P14" s="457">
        <v>2014.0</v>
      </c>
      <c r="Q14" s="457">
        <v>2022.0</v>
      </c>
      <c r="R14" s="458" t="s">
        <v>5713</v>
      </c>
      <c r="S14" s="321"/>
      <c r="T14" s="321"/>
      <c r="U14" s="321"/>
      <c r="V14" s="321"/>
      <c r="W14" s="321"/>
      <c r="X14" s="321"/>
      <c r="Y14" s="321"/>
      <c r="Z14" s="321"/>
      <c r="AA14" s="321"/>
      <c r="AB14" s="321"/>
      <c r="AC14" s="321"/>
      <c r="AD14" s="321"/>
    </row>
    <row r="15">
      <c r="A15" s="278" t="s">
        <v>44</v>
      </c>
      <c r="B15" s="279">
        <v>12.0</v>
      </c>
      <c r="C15" s="280" t="s">
        <v>1214</v>
      </c>
      <c r="D15" s="280" t="s">
        <v>5716</v>
      </c>
      <c r="E15" s="464" t="s">
        <v>49</v>
      </c>
      <c r="F15" s="451"/>
      <c r="G15" s="453" t="s">
        <v>5717</v>
      </c>
      <c r="H15" s="467"/>
      <c r="I15" s="454"/>
      <c r="J15" s="454"/>
      <c r="K15" s="321"/>
      <c r="L15" s="279"/>
      <c r="M15" s="456" t="s">
        <v>5721</v>
      </c>
      <c r="N15" s="321"/>
      <c r="O15" s="321"/>
      <c r="P15" s="457">
        <v>2018.0</v>
      </c>
      <c r="Q15" s="457">
        <v>2026.0</v>
      </c>
      <c r="R15" s="458" t="s">
        <v>5713</v>
      </c>
      <c r="S15" s="321"/>
      <c r="T15" s="321"/>
      <c r="U15" s="321"/>
      <c r="V15" s="321"/>
      <c r="W15" s="321"/>
      <c r="X15" s="321"/>
      <c r="Y15" s="321"/>
      <c r="Z15" s="321"/>
      <c r="AA15" s="321"/>
      <c r="AB15" s="321"/>
      <c r="AC15" s="321"/>
      <c r="AD15" s="321"/>
    </row>
    <row r="16">
      <c r="A16" s="278" t="s">
        <v>44</v>
      </c>
      <c r="B16" s="279">
        <v>13.0</v>
      </c>
      <c r="C16" s="280" t="s">
        <v>2149</v>
      </c>
      <c r="D16" s="280" t="s">
        <v>5723</v>
      </c>
      <c r="E16" s="94" t="s">
        <v>49</v>
      </c>
      <c r="F16" s="451"/>
      <c r="G16" s="462" t="s">
        <v>5670</v>
      </c>
      <c r="H16" s="461"/>
      <c r="I16" s="454"/>
      <c r="J16" s="454"/>
      <c r="K16" s="321"/>
      <c r="L16" s="279"/>
      <c r="M16" s="456" t="s">
        <v>5724</v>
      </c>
      <c r="N16" s="321"/>
      <c r="O16" s="321"/>
      <c r="P16" s="457">
        <v>2018.0</v>
      </c>
      <c r="Q16" s="457">
        <v>2026.0</v>
      </c>
      <c r="R16" s="458" t="s">
        <v>5725</v>
      </c>
      <c r="S16" s="321"/>
      <c r="T16" s="321"/>
      <c r="U16" s="321"/>
      <c r="V16" s="321"/>
      <c r="W16" s="321"/>
      <c r="X16" s="321"/>
      <c r="Y16" s="321"/>
      <c r="Z16" s="321"/>
      <c r="AA16" s="321"/>
      <c r="AB16" s="321"/>
      <c r="AC16" s="321"/>
      <c r="AD16" s="321"/>
    </row>
    <row r="17">
      <c r="A17" s="278" t="s">
        <v>44</v>
      </c>
      <c r="B17" s="279">
        <v>14.0</v>
      </c>
      <c r="C17" s="449" t="s">
        <v>3404</v>
      </c>
      <c r="D17" s="449" t="s">
        <v>4464</v>
      </c>
      <c r="E17" s="94" t="s">
        <v>49</v>
      </c>
      <c r="F17" s="451"/>
      <c r="G17" s="462" t="s">
        <v>5735</v>
      </c>
      <c r="H17" s="461"/>
      <c r="I17" s="454"/>
      <c r="J17" s="454"/>
      <c r="K17" s="321"/>
      <c r="L17" s="279"/>
      <c r="M17" s="456" t="s">
        <v>5736</v>
      </c>
      <c r="N17" s="321"/>
      <c r="O17" s="321"/>
      <c r="P17" s="457">
        <v>2016.0</v>
      </c>
      <c r="Q17" s="457">
        <v>2024.0</v>
      </c>
      <c r="R17" s="458" t="s">
        <v>5737</v>
      </c>
      <c r="S17" s="321"/>
      <c r="T17" s="321"/>
      <c r="U17" s="321"/>
      <c r="V17" s="321"/>
      <c r="W17" s="321"/>
      <c r="X17" s="321"/>
      <c r="Y17" s="321"/>
      <c r="Z17" s="321"/>
      <c r="AA17" s="321"/>
      <c r="AB17" s="321"/>
      <c r="AC17" s="321"/>
      <c r="AD17" s="321"/>
    </row>
    <row r="18">
      <c r="A18" s="278" t="s">
        <v>44</v>
      </c>
      <c r="B18" s="279">
        <v>15.0</v>
      </c>
      <c r="C18" s="449" t="s">
        <v>3040</v>
      </c>
      <c r="D18" s="449" t="s">
        <v>5738</v>
      </c>
      <c r="E18" s="94" t="s">
        <v>49</v>
      </c>
      <c r="F18" s="451"/>
      <c r="G18" s="462" t="s">
        <v>5739</v>
      </c>
      <c r="H18" s="462" t="s">
        <v>5664</v>
      </c>
      <c r="I18" s="454"/>
      <c r="J18" s="454"/>
      <c r="K18" s="321"/>
      <c r="L18" s="279"/>
      <c r="M18" s="456" t="s">
        <v>5740</v>
      </c>
      <c r="N18" s="321"/>
      <c r="O18" s="321"/>
      <c r="P18" s="457">
        <v>2016.0</v>
      </c>
      <c r="Q18" s="457">
        <v>2024.0</v>
      </c>
      <c r="R18" s="444" t="s">
        <v>5737</v>
      </c>
      <c r="S18" s="321"/>
      <c r="T18" s="321"/>
      <c r="U18" s="321"/>
      <c r="V18" s="321"/>
      <c r="W18" s="321"/>
      <c r="X18" s="321"/>
      <c r="Y18" s="321"/>
      <c r="Z18" s="321"/>
      <c r="AA18" s="321"/>
      <c r="AB18" s="321"/>
      <c r="AC18" s="321"/>
      <c r="AD18" s="321"/>
    </row>
    <row r="19">
      <c r="A19" s="278" t="s">
        <v>44</v>
      </c>
      <c r="B19" s="279">
        <v>16.0</v>
      </c>
      <c r="C19" s="449" t="s">
        <v>2139</v>
      </c>
      <c r="D19" s="449" t="s">
        <v>5748</v>
      </c>
      <c r="E19" s="83" t="s">
        <v>53</v>
      </c>
      <c r="F19" s="451"/>
      <c r="G19" s="462" t="s">
        <v>5687</v>
      </c>
      <c r="H19" s="461"/>
      <c r="I19" s="454"/>
      <c r="J19" s="454"/>
      <c r="K19" s="321"/>
      <c r="L19" s="279"/>
      <c r="M19" s="456" t="s">
        <v>5749</v>
      </c>
      <c r="N19" s="321"/>
      <c r="O19" s="321"/>
      <c r="P19" s="457">
        <v>2012.0</v>
      </c>
      <c r="Q19" s="457">
        <v>2020.0</v>
      </c>
      <c r="R19" s="458" t="s">
        <v>511</v>
      </c>
      <c r="S19" s="321"/>
      <c r="T19" s="321"/>
      <c r="U19" s="321"/>
      <c r="V19" s="321"/>
      <c r="W19" s="321"/>
      <c r="X19" s="321"/>
      <c r="Y19" s="321"/>
      <c r="Z19" s="321"/>
      <c r="AA19" s="321"/>
      <c r="AB19" s="321"/>
      <c r="AC19" s="321"/>
      <c r="AD19" s="321"/>
    </row>
    <row r="20">
      <c r="A20" s="278" t="s">
        <v>44</v>
      </c>
      <c r="B20" s="279">
        <v>17.0</v>
      </c>
      <c r="C20" s="449" t="s">
        <v>5752</v>
      </c>
      <c r="D20" s="449" t="s">
        <v>523</v>
      </c>
      <c r="E20" s="83" t="s">
        <v>53</v>
      </c>
      <c r="F20" s="451"/>
      <c r="G20" s="453" t="s">
        <v>5717</v>
      </c>
      <c r="H20" s="467"/>
      <c r="I20" s="454"/>
      <c r="J20" s="454"/>
      <c r="K20" s="321"/>
      <c r="L20" s="279"/>
      <c r="M20" s="456" t="s">
        <v>5756</v>
      </c>
      <c r="N20" s="321"/>
      <c r="O20" s="321"/>
      <c r="P20" s="457">
        <v>2014.0</v>
      </c>
      <c r="Q20" s="457">
        <v>2022.0</v>
      </c>
      <c r="R20" s="458" t="s">
        <v>5757</v>
      </c>
      <c r="S20" s="321"/>
      <c r="T20" s="321"/>
      <c r="U20" s="321"/>
      <c r="V20" s="321"/>
      <c r="W20" s="321"/>
      <c r="X20" s="321"/>
      <c r="Y20" s="321"/>
      <c r="Z20" s="321"/>
      <c r="AA20" s="321"/>
      <c r="AB20" s="321"/>
      <c r="AC20" s="321"/>
      <c r="AD20" s="321"/>
    </row>
    <row r="21">
      <c r="A21" s="278" t="s">
        <v>44</v>
      </c>
      <c r="B21" s="279">
        <v>18.0</v>
      </c>
      <c r="C21" s="449" t="s">
        <v>5758</v>
      </c>
      <c r="D21" s="449" t="s">
        <v>5760</v>
      </c>
      <c r="E21" s="94" t="s">
        <v>49</v>
      </c>
      <c r="F21" s="451"/>
      <c r="G21" s="453" t="s">
        <v>5717</v>
      </c>
      <c r="H21" s="465" t="s">
        <v>5761</v>
      </c>
      <c r="I21" s="454"/>
      <c r="J21" s="454"/>
      <c r="K21" s="321"/>
      <c r="L21" s="279"/>
      <c r="M21" s="456" t="s">
        <v>5762</v>
      </c>
      <c r="N21" s="321"/>
      <c r="O21" s="321"/>
      <c r="P21" s="457">
        <v>2012.0</v>
      </c>
      <c r="Q21" s="457">
        <v>2020.0</v>
      </c>
      <c r="R21" s="458" t="s">
        <v>4757</v>
      </c>
      <c r="S21" s="321"/>
      <c r="T21" s="321"/>
      <c r="U21" s="321"/>
      <c r="V21" s="321"/>
      <c r="W21" s="321"/>
      <c r="X21" s="321"/>
      <c r="Y21" s="321"/>
      <c r="Z21" s="321"/>
      <c r="AA21" s="321"/>
      <c r="AB21" s="321"/>
      <c r="AC21" s="321"/>
      <c r="AD21" s="321"/>
    </row>
    <row r="22">
      <c r="A22" s="278" t="s">
        <v>44</v>
      </c>
      <c r="B22" s="279">
        <v>19.0</v>
      </c>
      <c r="C22" s="449" t="s">
        <v>896</v>
      </c>
      <c r="D22" s="449" t="s">
        <v>2748</v>
      </c>
      <c r="E22" s="83" t="s">
        <v>53</v>
      </c>
      <c r="F22" s="451"/>
      <c r="G22" s="453" t="s">
        <v>5766</v>
      </c>
      <c r="H22" s="461"/>
      <c r="I22" s="454"/>
      <c r="J22" s="454"/>
      <c r="K22" s="321"/>
      <c r="L22" s="279"/>
      <c r="M22" s="456" t="s">
        <v>5767</v>
      </c>
      <c r="N22" s="321"/>
      <c r="O22" s="321"/>
      <c r="P22" s="468" t="s">
        <v>5768</v>
      </c>
      <c r="Q22" s="457">
        <v>2022.0</v>
      </c>
      <c r="R22" s="458" t="s">
        <v>4757</v>
      </c>
      <c r="S22" s="321"/>
      <c r="T22" s="321"/>
      <c r="U22" s="321"/>
      <c r="V22" s="321"/>
      <c r="W22" s="321"/>
      <c r="X22" s="321"/>
      <c r="Y22" s="321"/>
      <c r="Z22" s="321"/>
      <c r="AA22" s="321"/>
      <c r="AB22" s="321"/>
      <c r="AC22" s="321"/>
      <c r="AD22" s="321"/>
    </row>
    <row r="23">
      <c r="A23" s="278" t="s">
        <v>44</v>
      </c>
      <c r="B23" s="279">
        <v>20.0</v>
      </c>
      <c r="C23" s="280" t="s">
        <v>5772</v>
      </c>
      <c r="D23" s="280" t="s">
        <v>5773</v>
      </c>
      <c r="E23" s="83" t="s">
        <v>53</v>
      </c>
      <c r="F23" s="451"/>
      <c r="G23" s="462" t="s">
        <v>5687</v>
      </c>
      <c r="H23" s="462" t="s">
        <v>5664</v>
      </c>
      <c r="I23" s="454"/>
      <c r="J23" s="454"/>
      <c r="K23" s="321"/>
      <c r="L23" s="279"/>
      <c r="M23" s="456" t="s">
        <v>5774</v>
      </c>
      <c r="N23" s="321"/>
      <c r="O23" s="321"/>
      <c r="P23" s="457">
        <v>2018.0</v>
      </c>
      <c r="Q23" s="457">
        <v>2026.0</v>
      </c>
      <c r="R23" s="458" t="s">
        <v>5775</v>
      </c>
      <c r="S23" s="321"/>
      <c r="T23" s="321"/>
      <c r="U23" s="321"/>
      <c r="V23" s="321"/>
      <c r="W23" s="321"/>
      <c r="X23" s="321"/>
      <c r="Y23" s="321"/>
      <c r="Z23" s="321"/>
      <c r="AA23" s="321"/>
      <c r="AB23" s="321"/>
      <c r="AC23" s="321"/>
      <c r="AD23" s="321"/>
    </row>
    <row r="24">
      <c r="A24" s="278" t="s">
        <v>44</v>
      </c>
      <c r="B24" s="279">
        <v>21.0</v>
      </c>
      <c r="C24" s="449" t="s">
        <v>5777</v>
      </c>
      <c r="D24" s="449" t="s">
        <v>2886</v>
      </c>
      <c r="E24" s="83" t="s">
        <v>53</v>
      </c>
      <c r="F24" s="451"/>
      <c r="G24" s="462" t="s">
        <v>5697</v>
      </c>
      <c r="H24" s="461"/>
      <c r="I24" s="454"/>
      <c r="J24" s="454"/>
      <c r="K24" s="321"/>
      <c r="L24" s="279"/>
      <c r="M24" s="469" t="s">
        <v>5782</v>
      </c>
      <c r="N24" s="321"/>
      <c r="O24" s="321"/>
      <c r="P24" s="457">
        <v>2016.0</v>
      </c>
      <c r="Q24" s="457">
        <v>2024.0</v>
      </c>
      <c r="R24" s="458" t="s">
        <v>5783</v>
      </c>
      <c r="S24" s="321"/>
      <c r="T24" s="321"/>
      <c r="U24" s="321"/>
      <c r="V24" s="321"/>
      <c r="W24" s="321"/>
      <c r="X24" s="321"/>
      <c r="Y24" s="321"/>
      <c r="Z24" s="321"/>
      <c r="AA24" s="321"/>
      <c r="AB24" s="321"/>
      <c r="AC24" s="321"/>
      <c r="AD24" s="321"/>
    </row>
    <row r="25">
      <c r="A25" s="278" t="s">
        <v>44</v>
      </c>
      <c r="B25" s="279">
        <v>22.0</v>
      </c>
      <c r="C25" s="280" t="s">
        <v>91</v>
      </c>
      <c r="D25" s="280" t="s">
        <v>5791</v>
      </c>
      <c r="E25" s="83" t="s">
        <v>53</v>
      </c>
      <c r="F25" s="451"/>
      <c r="G25" s="453" t="s">
        <v>5717</v>
      </c>
      <c r="H25" s="461"/>
      <c r="I25" s="454"/>
      <c r="J25" s="454"/>
      <c r="K25" s="321"/>
      <c r="L25" s="279"/>
      <c r="M25" s="469" t="s">
        <v>5792</v>
      </c>
      <c r="N25" s="321"/>
      <c r="O25" s="321"/>
      <c r="P25" s="457">
        <v>2018.0</v>
      </c>
      <c r="Q25" s="457">
        <v>2026.0</v>
      </c>
      <c r="R25" s="458" t="s">
        <v>5793</v>
      </c>
      <c r="S25" s="321"/>
      <c r="T25" s="321"/>
      <c r="U25" s="321"/>
      <c r="V25" s="321"/>
      <c r="W25" s="321"/>
      <c r="X25" s="321"/>
      <c r="Y25" s="321"/>
      <c r="Z25" s="321"/>
      <c r="AA25" s="321"/>
      <c r="AB25" s="321"/>
      <c r="AC25" s="321"/>
      <c r="AD25" s="321"/>
    </row>
    <row r="26">
      <c r="A26" s="278" t="s">
        <v>44</v>
      </c>
      <c r="B26" s="279">
        <v>23.0</v>
      </c>
      <c r="C26" s="449" t="s">
        <v>4328</v>
      </c>
      <c r="D26" s="449" t="s">
        <v>5801</v>
      </c>
      <c r="E26" s="83" t="s">
        <v>53</v>
      </c>
      <c r="F26" s="451"/>
      <c r="G26" s="462" t="s">
        <v>5802</v>
      </c>
      <c r="H26" s="465" t="s">
        <v>5803</v>
      </c>
      <c r="I26" s="454"/>
      <c r="J26" s="454"/>
      <c r="K26" s="321"/>
      <c r="L26" s="279"/>
      <c r="M26" s="456" t="s">
        <v>5804</v>
      </c>
      <c r="N26" s="321"/>
      <c r="O26" s="321"/>
      <c r="P26" s="468" t="s">
        <v>5768</v>
      </c>
      <c r="Q26" s="457">
        <v>2022.0</v>
      </c>
      <c r="R26" s="458" t="s">
        <v>5805</v>
      </c>
      <c r="S26" s="321"/>
      <c r="T26" s="321"/>
      <c r="U26" s="321"/>
      <c r="V26" s="321"/>
      <c r="W26" s="321"/>
      <c r="X26" s="321"/>
      <c r="Y26" s="321"/>
      <c r="Z26" s="321"/>
      <c r="AA26" s="321"/>
      <c r="AB26" s="321"/>
      <c r="AC26" s="321"/>
      <c r="AD26" s="321"/>
    </row>
    <row r="27">
      <c r="A27" s="278" t="s">
        <v>44</v>
      </c>
      <c r="B27" s="279">
        <v>24.0</v>
      </c>
      <c r="C27" s="449" t="s">
        <v>91</v>
      </c>
      <c r="D27" s="449" t="s">
        <v>2976</v>
      </c>
      <c r="E27" s="94" t="s">
        <v>49</v>
      </c>
      <c r="F27" s="451"/>
      <c r="G27" s="462" t="s">
        <v>2667</v>
      </c>
      <c r="H27" s="465" t="s">
        <v>578</v>
      </c>
      <c r="I27" s="460" t="s">
        <v>5811</v>
      </c>
      <c r="J27" s="454"/>
      <c r="K27" s="321"/>
      <c r="L27" s="279"/>
      <c r="M27" s="456" t="s">
        <v>5812</v>
      </c>
      <c r="N27" s="321"/>
      <c r="O27" s="321"/>
      <c r="P27" s="468" t="s">
        <v>5813</v>
      </c>
      <c r="Q27" s="457">
        <v>2022.0</v>
      </c>
      <c r="R27" s="458" t="s">
        <v>5815</v>
      </c>
      <c r="S27" s="321"/>
      <c r="T27" s="321"/>
      <c r="U27" s="321"/>
      <c r="V27" s="321"/>
      <c r="W27" s="321"/>
      <c r="X27" s="321"/>
      <c r="Y27" s="321"/>
      <c r="Z27" s="321"/>
      <c r="AA27" s="321"/>
      <c r="AB27" s="321"/>
      <c r="AC27" s="321"/>
      <c r="AD27" s="321"/>
    </row>
    <row r="28">
      <c r="A28" s="278" t="s">
        <v>44</v>
      </c>
      <c r="B28" s="279">
        <v>25.0</v>
      </c>
      <c r="C28" s="449" t="s">
        <v>1914</v>
      </c>
      <c r="D28" s="449" t="s">
        <v>200</v>
      </c>
      <c r="E28" s="83" t="s">
        <v>53</v>
      </c>
      <c r="F28" s="451"/>
      <c r="G28" s="462" t="s">
        <v>5823</v>
      </c>
      <c r="H28" s="461"/>
      <c r="I28" s="454"/>
      <c r="J28" s="454"/>
      <c r="K28" s="321"/>
      <c r="L28" s="279"/>
      <c r="M28" s="456" t="s">
        <v>5824</v>
      </c>
      <c r="N28" s="321"/>
      <c r="O28" s="321"/>
      <c r="P28" s="457">
        <v>2014.0</v>
      </c>
      <c r="Q28" s="457">
        <v>2022.0</v>
      </c>
      <c r="R28" s="458" t="s">
        <v>5815</v>
      </c>
      <c r="S28" s="321"/>
      <c r="T28" s="321"/>
      <c r="U28" s="321"/>
      <c r="V28" s="321"/>
      <c r="W28" s="321"/>
      <c r="X28" s="321"/>
      <c r="Y28" s="321"/>
      <c r="Z28" s="321"/>
      <c r="AA28" s="321"/>
      <c r="AB28" s="321"/>
      <c r="AC28" s="321"/>
      <c r="AD28" s="321"/>
    </row>
    <row r="29">
      <c r="A29" s="278" t="s">
        <v>44</v>
      </c>
      <c r="B29" s="279">
        <v>26.0</v>
      </c>
      <c r="C29" s="449" t="s">
        <v>5828</v>
      </c>
      <c r="D29" s="449" t="s">
        <v>1990</v>
      </c>
      <c r="E29" s="94" t="s">
        <v>49</v>
      </c>
      <c r="F29" s="451"/>
      <c r="G29" s="470" t="s">
        <v>5687</v>
      </c>
      <c r="H29" s="467"/>
      <c r="I29" s="454"/>
      <c r="J29" s="454"/>
      <c r="K29" s="321"/>
      <c r="L29" s="279"/>
      <c r="M29" s="456" t="s">
        <v>5833</v>
      </c>
      <c r="N29" s="321"/>
      <c r="O29" s="321"/>
      <c r="P29" s="457">
        <v>2016.0</v>
      </c>
      <c r="Q29" s="457">
        <v>2024.0</v>
      </c>
      <c r="R29" s="458" t="s">
        <v>5835</v>
      </c>
      <c r="S29" s="321"/>
      <c r="T29" s="321"/>
      <c r="U29" s="321"/>
      <c r="V29" s="321"/>
      <c r="W29" s="321"/>
      <c r="X29" s="321"/>
      <c r="Y29" s="321"/>
      <c r="Z29" s="321"/>
      <c r="AA29" s="321"/>
      <c r="AB29" s="321"/>
      <c r="AC29" s="321"/>
      <c r="AD29" s="321"/>
    </row>
    <row r="30">
      <c r="A30" s="278" t="s">
        <v>44</v>
      </c>
      <c r="B30" s="279">
        <v>27.0</v>
      </c>
      <c r="C30" s="449" t="s">
        <v>80</v>
      </c>
      <c r="D30" s="449" t="s">
        <v>5842</v>
      </c>
      <c r="E30" s="94" t="s">
        <v>49</v>
      </c>
      <c r="F30" s="451"/>
      <c r="G30" s="462" t="s">
        <v>3429</v>
      </c>
      <c r="H30" s="461"/>
      <c r="I30" s="454"/>
      <c r="J30" s="454"/>
      <c r="K30" s="321"/>
      <c r="L30" s="279"/>
      <c r="M30" s="456" t="s">
        <v>5843</v>
      </c>
      <c r="N30" s="321"/>
      <c r="O30" s="321"/>
      <c r="P30" s="457">
        <v>2012.0</v>
      </c>
      <c r="Q30" s="457">
        <v>2020.0</v>
      </c>
      <c r="R30" s="458" t="s">
        <v>5835</v>
      </c>
      <c r="S30" s="321"/>
      <c r="T30" s="321"/>
      <c r="U30" s="321"/>
      <c r="V30" s="321"/>
      <c r="W30" s="321"/>
      <c r="X30" s="321"/>
      <c r="Y30" s="321"/>
      <c r="Z30" s="321"/>
      <c r="AA30" s="321"/>
      <c r="AB30" s="321"/>
      <c r="AC30" s="321"/>
      <c r="AD30" s="321"/>
    </row>
    <row r="31">
      <c r="A31" s="278" t="s">
        <v>44</v>
      </c>
      <c r="B31" s="279">
        <v>28.0</v>
      </c>
      <c r="C31" s="280" t="s">
        <v>575</v>
      </c>
      <c r="D31" s="280" t="s">
        <v>5846</v>
      </c>
      <c r="E31" s="464" t="s">
        <v>49</v>
      </c>
      <c r="F31" s="451"/>
      <c r="G31" s="462" t="s">
        <v>5802</v>
      </c>
      <c r="H31" s="465" t="s">
        <v>5848</v>
      </c>
      <c r="I31" s="454"/>
      <c r="J31" s="454"/>
      <c r="K31" s="321"/>
      <c r="L31" s="279"/>
      <c r="M31" s="456" t="s">
        <v>5849</v>
      </c>
      <c r="N31" s="321"/>
      <c r="O31" s="321"/>
      <c r="P31" s="457">
        <v>2018.0</v>
      </c>
      <c r="Q31" s="457">
        <v>2026.0</v>
      </c>
      <c r="R31" s="458" t="s">
        <v>5850</v>
      </c>
      <c r="S31" s="321"/>
      <c r="T31" s="321"/>
      <c r="U31" s="321"/>
      <c r="V31" s="321"/>
      <c r="W31" s="321"/>
      <c r="X31" s="321"/>
      <c r="Y31" s="321"/>
      <c r="Z31" s="321"/>
      <c r="AA31" s="321"/>
      <c r="AB31" s="321"/>
      <c r="AC31" s="321"/>
      <c r="AD31" s="321"/>
    </row>
    <row r="32">
      <c r="A32" s="278" t="s">
        <v>44</v>
      </c>
      <c r="B32" s="279">
        <v>29.0</v>
      </c>
      <c r="C32" s="280" t="s">
        <v>5855</v>
      </c>
      <c r="D32" s="280" t="s">
        <v>5856</v>
      </c>
      <c r="E32" s="464" t="s">
        <v>49</v>
      </c>
      <c r="F32" s="451"/>
      <c r="G32" s="453" t="s">
        <v>5766</v>
      </c>
      <c r="H32" s="461"/>
      <c r="I32" s="454"/>
      <c r="J32" s="454"/>
      <c r="K32" s="321"/>
      <c r="L32" s="279"/>
      <c r="M32" s="456" t="s">
        <v>5857</v>
      </c>
      <c r="N32" s="321"/>
      <c r="O32" s="321"/>
      <c r="P32" s="457">
        <v>2018.0</v>
      </c>
      <c r="Q32" s="457">
        <v>2026.0</v>
      </c>
      <c r="R32" s="458" t="s">
        <v>5850</v>
      </c>
      <c r="S32" s="321"/>
      <c r="T32" s="321"/>
      <c r="U32" s="321"/>
      <c r="V32" s="321"/>
      <c r="W32" s="321"/>
      <c r="X32" s="321"/>
      <c r="Y32" s="321"/>
      <c r="Z32" s="321"/>
      <c r="AA32" s="321"/>
      <c r="AB32" s="321"/>
      <c r="AC32" s="321"/>
      <c r="AD32" s="321"/>
    </row>
    <row r="33">
      <c r="A33" s="278" t="s">
        <v>44</v>
      </c>
      <c r="B33" s="279">
        <v>30.0</v>
      </c>
      <c r="C33" s="280" t="s">
        <v>2560</v>
      </c>
      <c r="D33" s="280" t="s">
        <v>2533</v>
      </c>
      <c r="E33" s="94" t="s">
        <v>49</v>
      </c>
      <c r="F33" s="451"/>
      <c r="G33" s="462" t="s">
        <v>5591</v>
      </c>
      <c r="H33" s="461"/>
      <c r="I33" s="454"/>
      <c r="J33" s="454"/>
      <c r="K33" s="321"/>
      <c r="L33" s="279"/>
      <c r="M33" s="456" t="s">
        <v>5864</v>
      </c>
      <c r="N33" s="321"/>
      <c r="O33" s="321"/>
      <c r="P33" s="457">
        <v>2018.0</v>
      </c>
      <c r="Q33" s="457">
        <v>2026.0</v>
      </c>
      <c r="R33" s="458" t="s">
        <v>5865</v>
      </c>
      <c r="S33" s="321"/>
      <c r="T33" s="321"/>
      <c r="U33" s="321"/>
      <c r="V33" s="321"/>
      <c r="W33" s="321"/>
      <c r="X33" s="321"/>
      <c r="Y33" s="321"/>
      <c r="Z33" s="321"/>
      <c r="AA33" s="321"/>
      <c r="AB33" s="321"/>
      <c r="AC33" s="321"/>
      <c r="AD33" s="321"/>
    </row>
    <row r="34">
      <c r="A34" s="278" t="s">
        <v>44</v>
      </c>
      <c r="B34" s="279">
        <v>31.0</v>
      </c>
      <c r="C34" s="449" t="s">
        <v>1771</v>
      </c>
      <c r="D34" s="449" t="s">
        <v>5874</v>
      </c>
      <c r="E34" s="94" t="s">
        <v>49</v>
      </c>
      <c r="F34" s="451"/>
      <c r="G34" s="462" t="s">
        <v>781</v>
      </c>
      <c r="H34" s="462" t="s">
        <v>5823</v>
      </c>
      <c r="I34" s="454"/>
      <c r="J34" s="454"/>
      <c r="K34" s="321"/>
      <c r="L34" s="279"/>
      <c r="M34" s="456" t="s">
        <v>5875</v>
      </c>
      <c r="N34" s="321"/>
      <c r="O34" s="321"/>
      <c r="P34" s="457">
        <v>2016.0</v>
      </c>
      <c r="Q34" s="457">
        <v>2024.0</v>
      </c>
      <c r="R34" s="458" t="s">
        <v>5876</v>
      </c>
      <c r="S34" s="321"/>
      <c r="T34" s="321"/>
      <c r="U34" s="321"/>
      <c r="V34" s="321"/>
      <c r="W34" s="321"/>
      <c r="X34" s="321"/>
      <c r="Y34" s="321"/>
      <c r="Z34" s="321"/>
      <c r="AA34" s="321"/>
      <c r="AB34" s="321"/>
      <c r="AC34" s="321"/>
      <c r="AD34" s="321"/>
    </row>
    <row r="35">
      <c r="A35" s="278" t="s">
        <v>44</v>
      </c>
      <c r="B35" s="279">
        <v>32.0</v>
      </c>
      <c r="C35" s="280" t="s">
        <v>575</v>
      </c>
      <c r="D35" s="280" t="s">
        <v>5882</v>
      </c>
      <c r="E35" s="94" t="s">
        <v>49</v>
      </c>
      <c r="F35" s="451"/>
      <c r="G35" s="462" t="s">
        <v>5884</v>
      </c>
      <c r="H35" s="461"/>
      <c r="I35" s="454"/>
      <c r="J35" s="454"/>
      <c r="K35" s="321"/>
      <c r="L35" s="279"/>
      <c r="M35" s="456" t="s">
        <v>5886</v>
      </c>
      <c r="N35" s="321"/>
      <c r="O35" s="321"/>
      <c r="P35" s="457">
        <v>2018.0</v>
      </c>
      <c r="Q35" s="457">
        <v>2026.0</v>
      </c>
      <c r="R35" s="458" t="s">
        <v>5876</v>
      </c>
      <c r="S35" s="321"/>
      <c r="T35" s="321"/>
      <c r="U35" s="321"/>
      <c r="V35" s="321"/>
      <c r="W35" s="321"/>
      <c r="X35" s="321"/>
      <c r="Y35" s="321"/>
      <c r="Z35" s="321"/>
      <c r="AA35" s="321"/>
      <c r="AB35" s="321"/>
      <c r="AC35" s="321"/>
      <c r="AD35" s="321"/>
    </row>
    <row r="36">
      <c r="A36" s="278" t="s">
        <v>44</v>
      </c>
      <c r="B36" s="279">
        <v>33.0</v>
      </c>
      <c r="C36" s="280" t="s">
        <v>1214</v>
      </c>
      <c r="D36" s="280" t="s">
        <v>5887</v>
      </c>
      <c r="E36" s="464" t="s">
        <v>49</v>
      </c>
      <c r="F36" s="451"/>
      <c r="G36" s="462" t="s">
        <v>5823</v>
      </c>
      <c r="H36" s="465" t="s">
        <v>2667</v>
      </c>
      <c r="I36" s="454"/>
      <c r="J36" s="454"/>
      <c r="K36" s="321"/>
      <c r="L36" s="279"/>
      <c r="M36" s="456" t="s">
        <v>5888</v>
      </c>
      <c r="N36" s="321"/>
      <c r="O36" s="321"/>
      <c r="P36" s="457">
        <v>2018.0</v>
      </c>
      <c r="Q36" s="457">
        <v>2026.0</v>
      </c>
      <c r="R36" s="458" t="s">
        <v>5876</v>
      </c>
      <c r="S36" s="321"/>
      <c r="T36" s="321"/>
      <c r="U36" s="321"/>
      <c r="V36" s="321"/>
      <c r="W36" s="321"/>
      <c r="X36" s="321"/>
      <c r="Y36" s="321"/>
      <c r="Z36" s="321"/>
      <c r="AA36" s="321"/>
      <c r="AB36" s="321"/>
      <c r="AC36" s="321"/>
      <c r="AD36" s="321"/>
    </row>
    <row r="37">
      <c r="A37" s="278" t="s">
        <v>44</v>
      </c>
      <c r="B37" s="279">
        <v>34.0</v>
      </c>
      <c r="C37" s="449" t="s">
        <v>80</v>
      </c>
      <c r="D37" s="449" t="s">
        <v>5897</v>
      </c>
      <c r="E37" s="94" t="s">
        <v>49</v>
      </c>
      <c r="F37" s="451"/>
      <c r="G37" s="471" t="s">
        <v>5898</v>
      </c>
      <c r="H37" s="467"/>
      <c r="I37" s="454"/>
      <c r="J37" s="454"/>
      <c r="K37" s="321"/>
      <c r="L37" s="279"/>
      <c r="M37" s="456" t="s">
        <v>5900</v>
      </c>
      <c r="N37" s="321"/>
      <c r="O37" s="321"/>
      <c r="P37" s="457">
        <v>2012.0</v>
      </c>
      <c r="Q37" s="457">
        <v>2020.0</v>
      </c>
      <c r="R37" s="458" t="s">
        <v>5901</v>
      </c>
      <c r="S37" s="321"/>
      <c r="T37" s="321"/>
      <c r="U37" s="321"/>
      <c r="V37" s="321"/>
      <c r="W37" s="321"/>
      <c r="X37" s="321"/>
      <c r="Y37" s="321"/>
      <c r="Z37" s="321"/>
      <c r="AA37" s="321"/>
      <c r="AB37" s="321"/>
      <c r="AC37" s="321"/>
      <c r="AD37" s="321"/>
    </row>
    <row r="38">
      <c r="A38" s="278" t="s">
        <v>44</v>
      </c>
      <c r="B38" s="279">
        <v>35.0</v>
      </c>
      <c r="C38" s="472" t="s">
        <v>1375</v>
      </c>
      <c r="D38" s="472" t="s">
        <v>5905</v>
      </c>
      <c r="E38" s="464" t="s">
        <v>49</v>
      </c>
      <c r="F38" s="451"/>
      <c r="G38" s="462" t="s">
        <v>5591</v>
      </c>
      <c r="H38" s="461"/>
      <c r="I38" s="454"/>
      <c r="J38" s="454"/>
      <c r="K38" s="321"/>
      <c r="L38" s="321"/>
      <c r="M38" s="456" t="s">
        <v>5909</v>
      </c>
      <c r="N38" s="321"/>
      <c r="O38" s="321"/>
      <c r="P38" s="468" t="s">
        <v>5910</v>
      </c>
      <c r="Q38" s="457">
        <v>2026.0</v>
      </c>
      <c r="R38" s="284"/>
      <c r="S38" s="321"/>
      <c r="T38" s="321"/>
      <c r="U38" s="321"/>
      <c r="V38" s="321"/>
      <c r="W38" s="321"/>
      <c r="X38" s="321"/>
      <c r="Y38" s="321"/>
      <c r="Z38" s="321"/>
      <c r="AA38" s="321"/>
      <c r="AB38" s="321"/>
      <c r="AC38" s="321"/>
      <c r="AD38" s="321"/>
    </row>
    <row r="39">
      <c r="A39" s="278" t="s">
        <v>44</v>
      </c>
      <c r="B39" s="279">
        <v>36.0</v>
      </c>
      <c r="C39" s="280" t="s">
        <v>2490</v>
      </c>
      <c r="D39" s="280" t="s">
        <v>5912</v>
      </c>
      <c r="E39" s="464" t="s">
        <v>49</v>
      </c>
      <c r="F39" s="451"/>
      <c r="G39" s="462" t="s">
        <v>5697</v>
      </c>
      <c r="H39" s="453" t="s">
        <v>5717</v>
      </c>
      <c r="I39" s="454"/>
      <c r="J39" s="454"/>
      <c r="K39" s="321"/>
      <c r="L39" s="279"/>
      <c r="M39" s="456" t="s">
        <v>5913</v>
      </c>
      <c r="N39" s="321"/>
      <c r="O39" s="321"/>
      <c r="P39" s="457">
        <v>2018.0</v>
      </c>
      <c r="Q39" s="457">
        <v>2026.0</v>
      </c>
      <c r="R39" s="458" t="s">
        <v>5914</v>
      </c>
      <c r="S39" s="321"/>
      <c r="T39" s="321"/>
      <c r="U39" s="321"/>
      <c r="V39" s="321"/>
      <c r="W39" s="321"/>
      <c r="X39" s="321"/>
      <c r="Y39" s="321"/>
      <c r="Z39" s="321"/>
      <c r="AA39" s="321"/>
      <c r="AB39" s="321"/>
      <c r="AC39" s="321"/>
      <c r="AD39" s="321"/>
    </row>
    <row r="40">
      <c r="A40" s="278" t="s">
        <v>44</v>
      </c>
      <c r="B40" s="279">
        <v>37.0</v>
      </c>
      <c r="C40" s="449" t="s">
        <v>1112</v>
      </c>
      <c r="D40" s="449" t="s">
        <v>1238</v>
      </c>
      <c r="E40" s="94" t="s">
        <v>49</v>
      </c>
      <c r="F40" s="451"/>
      <c r="G40" s="462" t="s">
        <v>5697</v>
      </c>
      <c r="H40" s="462" t="s">
        <v>5924</v>
      </c>
      <c r="I40" s="454"/>
      <c r="J40" s="454"/>
      <c r="K40" s="321"/>
      <c r="L40" s="279"/>
      <c r="M40" s="456" t="s">
        <v>5925</v>
      </c>
      <c r="N40" s="321"/>
      <c r="O40" s="321"/>
      <c r="P40" s="457">
        <v>2012.0</v>
      </c>
      <c r="Q40" s="457">
        <v>2020.0</v>
      </c>
      <c r="R40" s="458" t="s">
        <v>5914</v>
      </c>
      <c r="S40" s="321"/>
      <c r="T40" s="321"/>
      <c r="U40" s="321"/>
      <c r="V40" s="321"/>
      <c r="W40" s="321"/>
      <c r="X40" s="321"/>
      <c r="Y40" s="321"/>
      <c r="Z40" s="321"/>
      <c r="AA40" s="321"/>
      <c r="AB40" s="321"/>
      <c r="AC40" s="321"/>
      <c r="AD40" s="321"/>
    </row>
    <row r="41">
      <c r="A41" s="278" t="s">
        <v>44</v>
      </c>
      <c r="B41" s="279">
        <v>38.0</v>
      </c>
      <c r="C41" s="449" t="s">
        <v>896</v>
      </c>
      <c r="D41" s="449" t="s">
        <v>5927</v>
      </c>
      <c r="E41" s="94" t="s">
        <v>49</v>
      </c>
      <c r="F41" s="466" t="s">
        <v>176</v>
      </c>
      <c r="G41" s="453" t="s">
        <v>5928</v>
      </c>
      <c r="H41" s="467"/>
      <c r="I41" s="454"/>
      <c r="J41" s="454"/>
      <c r="K41" s="321"/>
      <c r="L41" s="279"/>
      <c r="M41" s="456" t="s">
        <v>5929</v>
      </c>
      <c r="N41" s="321"/>
      <c r="O41" s="321"/>
      <c r="P41" s="457">
        <v>2012.0</v>
      </c>
      <c r="Q41" s="457">
        <v>2020.0</v>
      </c>
      <c r="R41" s="458" t="s">
        <v>5914</v>
      </c>
      <c r="S41" s="321"/>
      <c r="T41" s="321"/>
      <c r="U41" s="321"/>
      <c r="V41" s="321"/>
      <c r="W41" s="321"/>
      <c r="X41" s="321"/>
      <c r="Y41" s="321"/>
      <c r="Z41" s="321"/>
      <c r="AA41" s="321"/>
      <c r="AB41" s="321"/>
      <c r="AC41" s="321"/>
      <c r="AD41" s="321"/>
    </row>
    <row r="42">
      <c r="A42" s="278" t="s">
        <v>44</v>
      </c>
      <c r="B42" s="279">
        <v>39.0</v>
      </c>
      <c r="C42" s="449" t="s">
        <v>2490</v>
      </c>
      <c r="D42" s="449" t="s">
        <v>5934</v>
      </c>
      <c r="E42" s="94" t="s">
        <v>49</v>
      </c>
      <c r="F42" s="451"/>
      <c r="G42" s="462" t="s">
        <v>5591</v>
      </c>
      <c r="H42" s="461"/>
      <c r="I42" s="454"/>
      <c r="J42" s="454"/>
      <c r="K42" s="321"/>
      <c r="L42" s="279"/>
      <c r="M42" s="456" t="s">
        <v>5935</v>
      </c>
      <c r="N42" s="321"/>
      <c r="O42" s="321"/>
      <c r="P42" s="457">
        <v>2016.0</v>
      </c>
      <c r="Q42" s="457">
        <v>2024.0</v>
      </c>
      <c r="R42" s="458" t="s">
        <v>5914</v>
      </c>
      <c r="S42" s="321"/>
      <c r="T42" s="321"/>
      <c r="U42" s="321"/>
      <c r="V42" s="321"/>
      <c r="W42" s="321"/>
      <c r="X42" s="321"/>
      <c r="Y42" s="321"/>
      <c r="Z42" s="321"/>
      <c r="AA42" s="321"/>
      <c r="AB42" s="321"/>
      <c r="AC42" s="321"/>
      <c r="AD42" s="321"/>
    </row>
    <row r="43">
      <c r="A43" s="278" t="s">
        <v>44</v>
      </c>
      <c r="B43" s="279">
        <v>40.0</v>
      </c>
      <c r="C43" s="449" t="s">
        <v>2383</v>
      </c>
      <c r="D43" s="280" t="s">
        <v>5941</v>
      </c>
      <c r="E43" s="94" t="s">
        <v>49</v>
      </c>
      <c r="F43" s="451"/>
      <c r="G43" s="462" t="s">
        <v>781</v>
      </c>
      <c r="H43" s="462" t="s">
        <v>2796</v>
      </c>
      <c r="I43" s="460"/>
      <c r="J43" s="454"/>
      <c r="K43" s="321"/>
      <c r="L43" s="279"/>
      <c r="M43" s="456" t="s">
        <v>5942</v>
      </c>
      <c r="N43" s="321"/>
      <c r="O43" s="321"/>
      <c r="P43" s="457">
        <v>2016.0</v>
      </c>
      <c r="Q43" s="457">
        <v>2024.0</v>
      </c>
      <c r="R43" s="458" t="s">
        <v>5914</v>
      </c>
      <c r="S43" s="321"/>
      <c r="T43" s="321"/>
      <c r="U43" s="321"/>
      <c r="V43" s="321"/>
      <c r="W43" s="321"/>
      <c r="X43" s="321"/>
      <c r="Y43" s="321"/>
      <c r="Z43" s="321"/>
      <c r="AA43" s="321"/>
      <c r="AB43" s="321"/>
      <c r="AC43" s="321"/>
      <c r="AD43" s="321"/>
    </row>
    <row r="44">
      <c r="A44" s="278" t="s">
        <v>44</v>
      </c>
      <c r="B44" s="279">
        <v>41.0</v>
      </c>
      <c r="C44" s="449" t="s">
        <v>5947</v>
      </c>
      <c r="D44" s="449" t="s">
        <v>5950</v>
      </c>
      <c r="E44" s="94" t="s">
        <v>49</v>
      </c>
      <c r="F44" s="451"/>
      <c r="G44" s="471" t="s">
        <v>5951</v>
      </c>
      <c r="H44" s="465" t="s">
        <v>5952</v>
      </c>
      <c r="I44" s="454"/>
      <c r="J44" s="454"/>
      <c r="K44" s="321"/>
      <c r="L44" s="279"/>
      <c r="M44" s="456" t="s">
        <v>5953</v>
      </c>
      <c r="N44" s="321"/>
      <c r="O44" s="321"/>
      <c r="P44" s="457">
        <v>2012.0</v>
      </c>
      <c r="Q44" s="457">
        <v>2020.0</v>
      </c>
      <c r="R44" s="458" t="s">
        <v>5914</v>
      </c>
      <c r="S44" s="321"/>
      <c r="T44" s="321"/>
      <c r="U44" s="321"/>
      <c r="V44" s="321"/>
      <c r="W44" s="321"/>
      <c r="X44" s="321"/>
      <c r="Y44" s="321"/>
      <c r="Z44" s="321"/>
      <c r="AA44" s="321"/>
      <c r="AB44" s="321"/>
      <c r="AC44" s="321"/>
      <c r="AD44" s="321"/>
    </row>
    <row r="45">
      <c r="A45" s="278" t="s">
        <v>44</v>
      </c>
      <c r="B45" s="279">
        <v>42.0</v>
      </c>
      <c r="C45" s="449" t="s">
        <v>5957</v>
      </c>
      <c r="D45" s="449" t="s">
        <v>5959</v>
      </c>
      <c r="E45" s="94" t="s">
        <v>49</v>
      </c>
      <c r="F45" s="451"/>
      <c r="G45" s="462" t="s">
        <v>4125</v>
      </c>
      <c r="H45" s="461"/>
      <c r="I45" s="454"/>
      <c r="J45" s="454"/>
      <c r="K45" s="321"/>
      <c r="L45" s="279"/>
      <c r="M45" s="456" t="s">
        <v>5960</v>
      </c>
      <c r="N45" s="321"/>
      <c r="O45" s="321"/>
      <c r="P45" s="457">
        <v>2016.0</v>
      </c>
      <c r="Q45" s="457">
        <v>2024.0</v>
      </c>
      <c r="R45" s="458" t="s">
        <v>5914</v>
      </c>
      <c r="S45" s="321"/>
      <c r="T45" s="321"/>
      <c r="U45" s="321"/>
      <c r="V45" s="321"/>
      <c r="W45" s="321"/>
      <c r="X45" s="321"/>
      <c r="Y45" s="321"/>
      <c r="Z45" s="321"/>
      <c r="AA45" s="321"/>
      <c r="AB45" s="321"/>
      <c r="AC45" s="321"/>
      <c r="AD45" s="321"/>
    </row>
    <row r="46">
      <c r="A46" s="278" t="s">
        <v>44</v>
      </c>
      <c r="B46" s="279">
        <v>43.0</v>
      </c>
      <c r="C46" s="280" t="s">
        <v>2705</v>
      </c>
      <c r="D46" s="280" t="s">
        <v>5963</v>
      </c>
      <c r="E46" s="94" t="s">
        <v>49</v>
      </c>
      <c r="F46" s="451"/>
      <c r="G46" s="453" t="s">
        <v>5766</v>
      </c>
      <c r="H46" s="467"/>
      <c r="I46" s="454"/>
      <c r="J46" s="454"/>
      <c r="K46" s="321"/>
      <c r="L46" s="279"/>
      <c r="M46" s="456" t="s">
        <v>5965</v>
      </c>
      <c r="N46" s="321"/>
      <c r="O46" s="321"/>
      <c r="P46" s="457">
        <v>2018.0</v>
      </c>
      <c r="Q46" s="457">
        <v>2026.0</v>
      </c>
      <c r="R46" s="458" t="s">
        <v>5914</v>
      </c>
      <c r="S46" s="321"/>
      <c r="T46" s="321"/>
      <c r="U46" s="321"/>
      <c r="V46" s="321"/>
      <c r="W46" s="321"/>
      <c r="X46" s="321"/>
      <c r="Y46" s="321"/>
      <c r="Z46" s="321"/>
      <c r="AA46" s="321"/>
      <c r="AB46" s="321"/>
      <c r="AC46" s="321"/>
      <c r="AD46" s="321"/>
    </row>
    <row r="47">
      <c r="A47" s="278" t="s">
        <v>44</v>
      </c>
      <c r="B47" s="279">
        <v>44.0</v>
      </c>
      <c r="C47" s="449" t="s">
        <v>493</v>
      </c>
      <c r="D47" s="449" t="s">
        <v>4752</v>
      </c>
      <c r="E47" s="94" t="s">
        <v>49</v>
      </c>
      <c r="F47" s="451"/>
      <c r="G47" s="462" t="s">
        <v>5802</v>
      </c>
      <c r="H47" s="453" t="s">
        <v>5951</v>
      </c>
      <c r="I47" s="454"/>
      <c r="J47" s="454"/>
      <c r="K47" s="321"/>
      <c r="L47" s="279"/>
      <c r="M47" s="456" t="s">
        <v>5972</v>
      </c>
      <c r="N47" s="321"/>
      <c r="O47" s="321"/>
      <c r="P47" s="457">
        <v>2014.0</v>
      </c>
      <c r="Q47" s="457">
        <v>2022.0</v>
      </c>
      <c r="R47" s="458" t="s">
        <v>5973</v>
      </c>
      <c r="S47" s="321"/>
      <c r="T47" s="321"/>
      <c r="U47" s="321"/>
      <c r="V47" s="321"/>
      <c r="W47" s="321"/>
      <c r="X47" s="321"/>
      <c r="Y47" s="321"/>
      <c r="Z47" s="321"/>
      <c r="AA47" s="321"/>
      <c r="AB47" s="321"/>
      <c r="AC47" s="321"/>
      <c r="AD47" s="321"/>
    </row>
    <row r="48">
      <c r="A48" s="278" t="s">
        <v>44</v>
      </c>
      <c r="B48" s="279">
        <v>45.0</v>
      </c>
      <c r="C48" s="449" t="s">
        <v>3296</v>
      </c>
      <c r="D48" s="449" t="s">
        <v>5978</v>
      </c>
      <c r="E48" s="94" t="s">
        <v>49</v>
      </c>
      <c r="F48" s="451"/>
      <c r="G48" s="453" t="s">
        <v>5766</v>
      </c>
      <c r="H48" s="461"/>
      <c r="I48" s="454"/>
      <c r="J48" s="454"/>
      <c r="K48" s="321"/>
      <c r="L48" s="279"/>
      <c r="M48" s="456" t="s">
        <v>5979</v>
      </c>
      <c r="N48" s="321"/>
      <c r="O48" s="321"/>
      <c r="P48" s="457">
        <v>2016.0</v>
      </c>
      <c r="Q48" s="457">
        <v>2024.0</v>
      </c>
      <c r="R48" s="458" t="s">
        <v>5980</v>
      </c>
      <c r="S48" s="321"/>
      <c r="T48" s="321"/>
      <c r="U48" s="321"/>
      <c r="V48" s="321"/>
      <c r="W48" s="321"/>
      <c r="X48" s="321"/>
      <c r="Y48" s="321"/>
      <c r="Z48" s="321"/>
      <c r="AA48" s="321"/>
      <c r="AB48" s="321"/>
      <c r="AC48" s="321"/>
      <c r="AD48" s="321"/>
    </row>
    <row r="49">
      <c r="A49" s="278" t="s">
        <v>44</v>
      </c>
      <c r="B49" s="279">
        <v>46.0</v>
      </c>
      <c r="C49" s="475" t="s">
        <v>5981</v>
      </c>
      <c r="D49" s="475" t="s">
        <v>5987</v>
      </c>
      <c r="E49" s="94" t="s">
        <v>49</v>
      </c>
      <c r="F49" s="321"/>
      <c r="G49" s="462" t="s">
        <v>5823</v>
      </c>
      <c r="H49" s="461"/>
      <c r="I49" s="454"/>
      <c r="J49" s="454"/>
      <c r="K49" s="321"/>
      <c r="L49" s="279"/>
      <c r="M49" s="477" t="s">
        <v>5988</v>
      </c>
      <c r="N49" s="321"/>
      <c r="O49" s="321"/>
      <c r="P49" s="457">
        <v>2018.0</v>
      </c>
      <c r="Q49" s="457">
        <v>2026.0</v>
      </c>
      <c r="R49" s="458" t="s">
        <v>5993</v>
      </c>
      <c r="S49" s="321"/>
      <c r="T49" s="321"/>
      <c r="U49" s="321"/>
      <c r="V49" s="321"/>
      <c r="W49" s="321"/>
      <c r="X49" s="321"/>
      <c r="Y49" s="321"/>
      <c r="Z49" s="321"/>
      <c r="AA49" s="321"/>
      <c r="AB49" s="321"/>
      <c r="AC49" s="321"/>
      <c r="AD49" s="321"/>
    </row>
    <row r="50">
      <c r="A50" s="278" t="s">
        <v>44</v>
      </c>
      <c r="B50" s="279">
        <v>47.0</v>
      </c>
      <c r="C50" s="449" t="s">
        <v>2084</v>
      </c>
      <c r="D50" s="449" t="s">
        <v>1336</v>
      </c>
      <c r="E50" s="94" t="s">
        <v>49</v>
      </c>
      <c r="F50" s="451"/>
      <c r="G50" s="462" t="s">
        <v>5823</v>
      </c>
      <c r="H50" s="465" t="s">
        <v>688</v>
      </c>
      <c r="I50" s="460" t="s">
        <v>5999</v>
      </c>
      <c r="J50" s="454"/>
      <c r="K50" s="321"/>
      <c r="L50" s="279"/>
      <c r="M50" s="456" t="s">
        <v>6000</v>
      </c>
      <c r="N50" s="321"/>
      <c r="O50" s="321"/>
      <c r="P50" s="457">
        <v>2012.0</v>
      </c>
      <c r="Q50" s="457">
        <v>2020.0</v>
      </c>
      <c r="R50" s="458" t="s">
        <v>6001</v>
      </c>
      <c r="S50" s="321"/>
      <c r="T50" s="321"/>
      <c r="U50" s="321"/>
      <c r="V50" s="321"/>
      <c r="W50" s="321"/>
      <c r="X50" s="321"/>
      <c r="Y50" s="321"/>
      <c r="Z50" s="321"/>
      <c r="AA50" s="321"/>
      <c r="AB50" s="321"/>
      <c r="AC50" s="321"/>
      <c r="AD50" s="321"/>
    </row>
    <row r="51">
      <c r="A51" s="278" t="s">
        <v>44</v>
      </c>
      <c r="B51" s="279">
        <v>48.0</v>
      </c>
      <c r="C51" s="449" t="s">
        <v>171</v>
      </c>
      <c r="D51" s="449" t="s">
        <v>6007</v>
      </c>
      <c r="E51" s="94" t="s">
        <v>49</v>
      </c>
      <c r="F51" s="478" t="s">
        <v>1056</v>
      </c>
      <c r="G51" s="462"/>
      <c r="H51" s="461"/>
      <c r="I51" s="454"/>
      <c r="J51" s="454"/>
      <c r="K51" s="321"/>
      <c r="L51" s="279"/>
      <c r="M51" s="321"/>
      <c r="N51" s="321"/>
      <c r="O51" s="321"/>
      <c r="P51" s="457">
        <v>2012.0</v>
      </c>
      <c r="Q51" s="457">
        <v>2020.0</v>
      </c>
      <c r="R51" s="458" t="s">
        <v>6008</v>
      </c>
      <c r="S51" s="321"/>
      <c r="T51" s="321"/>
      <c r="U51" s="321"/>
      <c r="V51" s="321"/>
      <c r="W51" s="321"/>
      <c r="X51" s="321"/>
      <c r="Y51" s="321"/>
      <c r="Z51" s="321"/>
      <c r="AA51" s="321"/>
      <c r="AB51" s="321"/>
      <c r="AC51" s="321"/>
      <c r="AD51" s="321"/>
    </row>
    <row r="52">
      <c r="A52" s="278" t="s">
        <v>44</v>
      </c>
      <c r="B52" s="279">
        <v>49.0</v>
      </c>
      <c r="C52" s="449" t="s">
        <v>4497</v>
      </c>
      <c r="D52" s="449" t="s">
        <v>6016</v>
      </c>
      <c r="E52" s="94" t="s">
        <v>49</v>
      </c>
      <c r="F52" s="451"/>
      <c r="G52" s="471" t="s">
        <v>6017</v>
      </c>
      <c r="H52" s="461"/>
      <c r="I52" s="454"/>
      <c r="J52" s="454"/>
      <c r="K52" s="321"/>
      <c r="L52" s="279"/>
      <c r="M52" s="477" t="s">
        <v>6018</v>
      </c>
      <c r="N52" s="321"/>
      <c r="O52" s="321"/>
      <c r="P52" s="457">
        <v>2012.0</v>
      </c>
      <c r="Q52" s="457">
        <v>2020.0</v>
      </c>
      <c r="R52" s="458" t="s">
        <v>6021</v>
      </c>
      <c r="S52" s="321"/>
      <c r="T52" s="321"/>
      <c r="U52" s="321"/>
      <c r="V52" s="321"/>
      <c r="W52" s="321"/>
      <c r="X52" s="321"/>
      <c r="Y52" s="321"/>
      <c r="Z52" s="321"/>
      <c r="AA52" s="321"/>
      <c r="AB52" s="321"/>
      <c r="AC52" s="321"/>
      <c r="AD52" s="321"/>
    </row>
    <row r="53">
      <c r="A53" s="278" t="s">
        <v>44</v>
      </c>
      <c r="B53" s="279">
        <v>50.0</v>
      </c>
      <c r="C53" s="449" t="s">
        <v>588</v>
      </c>
      <c r="D53" s="449" t="s">
        <v>6027</v>
      </c>
      <c r="E53" s="94" t="s">
        <v>49</v>
      </c>
      <c r="F53" s="451"/>
      <c r="G53" s="460" t="s">
        <v>6028</v>
      </c>
      <c r="H53" s="461"/>
      <c r="I53" s="454"/>
      <c r="J53" s="454"/>
      <c r="K53" s="321"/>
      <c r="L53" s="279"/>
      <c r="M53" s="477" t="s">
        <v>6030</v>
      </c>
      <c r="N53" s="321"/>
      <c r="O53" s="321"/>
      <c r="P53" s="457">
        <v>2014.0</v>
      </c>
      <c r="Q53" s="457">
        <v>2022.0</v>
      </c>
      <c r="R53" s="458" t="s">
        <v>6021</v>
      </c>
      <c r="S53" s="321"/>
      <c r="T53" s="321"/>
      <c r="U53" s="321"/>
      <c r="V53" s="321"/>
      <c r="W53" s="321"/>
      <c r="X53" s="321"/>
      <c r="Y53" s="321"/>
      <c r="Z53" s="321"/>
      <c r="AA53" s="321"/>
      <c r="AB53" s="321"/>
      <c r="AC53" s="321"/>
      <c r="AD53" s="321"/>
    </row>
    <row r="54">
      <c r="A54" s="278" t="s">
        <v>44</v>
      </c>
      <c r="B54" s="279">
        <v>51.0</v>
      </c>
      <c r="C54" s="449" t="s">
        <v>2426</v>
      </c>
      <c r="D54" s="449" t="s">
        <v>6039</v>
      </c>
      <c r="E54" s="94" t="s">
        <v>49</v>
      </c>
      <c r="F54" s="451"/>
      <c r="G54" s="462" t="s">
        <v>6040</v>
      </c>
      <c r="H54" s="465" t="s">
        <v>5999</v>
      </c>
      <c r="I54" s="454"/>
      <c r="J54" s="454"/>
      <c r="K54" s="321"/>
      <c r="L54" s="279"/>
      <c r="M54" s="477" t="s">
        <v>6042</v>
      </c>
      <c r="N54" s="321"/>
      <c r="O54" s="321"/>
      <c r="P54" s="457">
        <v>2014.0</v>
      </c>
      <c r="Q54" s="457">
        <v>2022.0</v>
      </c>
      <c r="R54" s="458" t="s">
        <v>6045</v>
      </c>
      <c r="S54" s="321"/>
      <c r="T54" s="321"/>
      <c r="U54" s="321"/>
      <c r="V54" s="321"/>
      <c r="W54" s="321"/>
      <c r="X54" s="321"/>
      <c r="Y54" s="321"/>
      <c r="Z54" s="321"/>
      <c r="AA54" s="321"/>
      <c r="AB54" s="321"/>
      <c r="AC54" s="321"/>
      <c r="AD54" s="321"/>
    </row>
    <row r="55">
      <c r="A55" s="278" t="s">
        <v>44</v>
      </c>
      <c r="B55" s="279">
        <v>52.0</v>
      </c>
      <c r="C55" s="449" t="s">
        <v>191</v>
      </c>
      <c r="D55" s="449" t="s">
        <v>6050</v>
      </c>
      <c r="E55" s="94" t="s">
        <v>49</v>
      </c>
      <c r="F55" s="451"/>
      <c r="G55" s="462" t="s">
        <v>6051</v>
      </c>
      <c r="H55" s="453" t="s">
        <v>5766</v>
      </c>
      <c r="I55" s="454"/>
      <c r="J55" s="454"/>
      <c r="K55" s="321"/>
      <c r="L55" s="279"/>
      <c r="M55" s="477" t="s">
        <v>6052</v>
      </c>
      <c r="N55" s="321"/>
      <c r="O55" s="321"/>
      <c r="P55" s="457">
        <v>2012.0</v>
      </c>
      <c r="Q55" s="457">
        <v>2020.0</v>
      </c>
      <c r="R55" s="458" t="s">
        <v>3663</v>
      </c>
      <c r="S55" s="321"/>
      <c r="T55" s="321"/>
      <c r="U55" s="321"/>
      <c r="V55" s="321"/>
      <c r="W55" s="321"/>
      <c r="X55" s="321"/>
      <c r="Y55" s="321"/>
      <c r="Z55" s="321"/>
      <c r="AA55" s="321"/>
      <c r="AB55" s="321"/>
      <c r="AC55" s="321"/>
      <c r="AD55" s="321"/>
    </row>
    <row r="56">
      <c r="A56" s="278" t="s">
        <v>44</v>
      </c>
      <c r="B56" s="279">
        <v>53.0</v>
      </c>
      <c r="C56" s="280" t="s">
        <v>6056</v>
      </c>
      <c r="D56" s="280" t="s">
        <v>6057</v>
      </c>
      <c r="E56" s="464" t="s">
        <v>49</v>
      </c>
      <c r="F56" s="451"/>
      <c r="G56" s="462" t="s">
        <v>6058</v>
      </c>
      <c r="H56" s="461"/>
      <c r="I56" s="454"/>
      <c r="J56" s="454"/>
      <c r="K56" s="321"/>
      <c r="L56" s="279"/>
      <c r="M56" s="477" t="s">
        <v>6059</v>
      </c>
      <c r="N56" s="321"/>
      <c r="O56" s="321"/>
      <c r="P56" s="457">
        <v>2018.0</v>
      </c>
      <c r="Q56" s="457">
        <v>2026.0</v>
      </c>
      <c r="R56" s="458" t="s">
        <v>6065</v>
      </c>
      <c r="S56" s="321"/>
      <c r="T56" s="321"/>
      <c r="U56" s="321"/>
      <c r="V56" s="321"/>
      <c r="W56" s="321"/>
      <c r="X56" s="321"/>
      <c r="Y56" s="321"/>
      <c r="Z56" s="321"/>
      <c r="AA56" s="321"/>
      <c r="AB56" s="321"/>
      <c r="AC56" s="321"/>
      <c r="AD56" s="321"/>
    </row>
    <row r="57">
      <c r="A57" s="278" t="s">
        <v>44</v>
      </c>
      <c r="B57" s="279">
        <v>54.0</v>
      </c>
      <c r="C57" s="449" t="s">
        <v>932</v>
      </c>
      <c r="D57" s="449" t="s">
        <v>6069</v>
      </c>
      <c r="E57" s="94" t="s">
        <v>49</v>
      </c>
      <c r="F57" s="451"/>
      <c r="G57" s="462" t="s">
        <v>6070</v>
      </c>
      <c r="H57" s="461"/>
      <c r="I57" s="454"/>
      <c r="J57" s="454"/>
      <c r="K57" s="321"/>
      <c r="L57" s="279"/>
      <c r="M57" s="477" t="s">
        <v>6071</v>
      </c>
      <c r="N57" s="321"/>
      <c r="O57" s="321"/>
      <c r="P57" s="457">
        <v>2014.0</v>
      </c>
      <c r="Q57" s="457">
        <v>2022.0</v>
      </c>
      <c r="R57" s="458" t="s">
        <v>6074</v>
      </c>
      <c r="S57" s="321"/>
      <c r="T57" s="321"/>
      <c r="U57" s="321"/>
      <c r="V57" s="321"/>
      <c r="W57" s="321"/>
      <c r="X57" s="321"/>
      <c r="Y57" s="321"/>
      <c r="Z57" s="321"/>
      <c r="AA57" s="321"/>
      <c r="AB57" s="321"/>
      <c r="AC57" s="321"/>
      <c r="AD57" s="321"/>
    </row>
    <row r="58">
      <c r="A58" s="278" t="s">
        <v>44</v>
      </c>
      <c r="B58" s="279">
        <v>55.0</v>
      </c>
      <c r="C58" s="449" t="s">
        <v>6075</v>
      </c>
      <c r="D58" s="449" t="s">
        <v>665</v>
      </c>
      <c r="E58" s="94" t="s">
        <v>49</v>
      </c>
      <c r="F58" s="451"/>
      <c r="G58" s="462" t="s">
        <v>6078</v>
      </c>
      <c r="H58" s="461"/>
      <c r="I58" s="454"/>
      <c r="J58" s="454"/>
      <c r="K58" s="321"/>
      <c r="L58" s="279"/>
      <c r="M58" s="477" t="s">
        <v>6079</v>
      </c>
      <c r="N58" s="321"/>
      <c r="O58" s="321"/>
      <c r="P58" s="468" t="s">
        <v>6080</v>
      </c>
      <c r="Q58" s="457">
        <v>2024.0</v>
      </c>
      <c r="R58" s="458" t="s">
        <v>6081</v>
      </c>
      <c r="S58" s="321"/>
      <c r="T58" s="321"/>
      <c r="U58" s="321"/>
      <c r="V58" s="321"/>
      <c r="W58" s="321"/>
      <c r="X58" s="321"/>
      <c r="Y58" s="321"/>
      <c r="Z58" s="321"/>
      <c r="AA58" s="321"/>
      <c r="AB58" s="321"/>
      <c r="AC58" s="321"/>
      <c r="AD58" s="321"/>
    </row>
    <row r="59">
      <c r="A59" s="278" t="s">
        <v>44</v>
      </c>
      <c r="B59" s="279">
        <v>56.0</v>
      </c>
      <c r="C59" s="449" t="s">
        <v>1291</v>
      </c>
      <c r="D59" s="449" t="s">
        <v>3835</v>
      </c>
      <c r="E59" s="83" t="s">
        <v>53</v>
      </c>
      <c r="F59" s="451"/>
      <c r="G59" s="462" t="s">
        <v>6086</v>
      </c>
      <c r="H59" s="465" t="s">
        <v>5589</v>
      </c>
      <c r="I59" s="454"/>
      <c r="J59" s="454"/>
      <c r="K59" s="321"/>
      <c r="L59" s="279"/>
      <c r="M59" s="477" t="s">
        <v>6087</v>
      </c>
      <c r="N59" s="321"/>
      <c r="O59" s="321"/>
      <c r="P59" s="468" t="s">
        <v>6090</v>
      </c>
      <c r="Q59" s="457">
        <v>2024.0</v>
      </c>
      <c r="R59" s="458" t="s">
        <v>6091</v>
      </c>
      <c r="S59" s="321"/>
      <c r="T59" s="321"/>
      <c r="U59" s="321"/>
      <c r="V59" s="321"/>
      <c r="W59" s="321"/>
      <c r="X59" s="321"/>
      <c r="Y59" s="321"/>
      <c r="Z59" s="321"/>
      <c r="AA59" s="321"/>
      <c r="AB59" s="321"/>
      <c r="AC59" s="321"/>
      <c r="AD59" s="321"/>
    </row>
    <row r="60">
      <c r="A60" s="278" t="s">
        <v>44</v>
      </c>
      <c r="B60" s="279">
        <v>57.0</v>
      </c>
      <c r="C60" s="280" t="s">
        <v>561</v>
      </c>
      <c r="D60" s="280" t="s">
        <v>456</v>
      </c>
      <c r="E60" s="83" t="s">
        <v>53</v>
      </c>
      <c r="F60" s="451"/>
      <c r="G60" s="462" t="s">
        <v>578</v>
      </c>
      <c r="H60" s="461"/>
      <c r="I60" s="454"/>
      <c r="J60" s="454"/>
      <c r="K60" s="321"/>
      <c r="L60" s="279"/>
      <c r="M60" s="477" t="s">
        <v>6092</v>
      </c>
      <c r="N60" s="321"/>
      <c r="O60" s="321"/>
      <c r="P60" s="457">
        <v>2018.0</v>
      </c>
      <c r="Q60" s="457">
        <v>2026.0</v>
      </c>
      <c r="R60" s="458" t="s">
        <v>4028</v>
      </c>
      <c r="S60" s="321"/>
      <c r="T60" s="321"/>
      <c r="U60" s="321"/>
      <c r="V60" s="321"/>
      <c r="W60" s="321"/>
      <c r="X60" s="321"/>
      <c r="Y60" s="321"/>
      <c r="Z60" s="321"/>
      <c r="AA60" s="321"/>
      <c r="AB60" s="321"/>
      <c r="AC60" s="321"/>
      <c r="AD60" s="321"/>
    </row>
    <row r="61">
      <c r="A61" s="278" t="s">
        <v>44</v>
      </c>
      <c r="B61" s="279">
        <v>58.0</v>
      </c>
      <c r="C61" s="449" t="s">
        <v>930</v>
      </c>
      <c r="D61" s="449" t="s">
        <v>6102</v>
      </c>
      <c r="E61" s="94" t="s">
        <v>49</v>
      </c>
      <c r="F61" s="479"/>
      <c r="G61" s="462" t="s">
        <v>6017</v>
      </c>
      <c r="H61" s="461"/>
      <c r="I61" s="454"/>
      <c r="J61" s="454"/>
      <c r="K61" s="321"/>
      <c r="L61" s="279"/>
      <c r="M61" s="477" t="s">
        <v>6105</v>
      </c>
      <c r="N61" s="321"/>
      <c r="O61" s="321"/>
      <c r="P61" s="457">
        <v>2016.0</v>
      </c>
      <c r="Q61" s="457">
        <v>2024.0</v>
      </c>
      <c r="R61" s="458" t="s">
        <v>3735</v>
      </c>
      <c r="S61" s="321"/>
      <c r="T61" s="321"/>
      <c r="U61" s="321"/>
      <c r="V61" s="321"/>
      <c r="W61" s="321"/>
      <c r="X61" s="321"/>
      <c r="Y61" s="321"/>
      <c r="Z61" s="321"/>
      <c r="AA61" s="321"/>
      <c r="AB61" s="321"/>
      <c r="AC61" s="321"/>
      <c r="AD61" s="321"/>
    </row>
    <row r="62">
      <c r="A62" s="278" t="s">
        <v>44</v>
      </c>
      <c r="B62" s="279">
        <v>59.0</v>
      </c>
      <c r="C62" s="280" t="s">
        <v>6107</v>
      </c>
      <c r="D62" s="280" t="s">
        <v>6108</v>
      </c>
      <c r="E62" s="94" t="s">
        <v>49</v>
      </c>
      <c r="F62" s="451"/>
      <c r="G62" s="462" t="s">
        <v>688</v>
      </c>
      <c r="H62" s="465" t="s">
        <v>6109</v>
      </c>
      <c r="I62" s="454"/>
      <c r="J62" s="454"/>
      <c r="K62" s="321"/>
      <c r="L62" s="279"/>
      <c r="M62" s="477" t="s">
        <v>6110</v>
      </c>
      <c r="N62" s="321"/>
      <c r="O62" s="321"/>
      <c r="P62" s="468" t="s">
        <v>6115</v>
      </c>
      <c r="Q62" s="457">
        <v>2026.0</v>
      </c>
      <c r="R62" s="458" t="s">
        <v>3735</v>
      </c>
      <c r="S62" s="321"/>
      <c r="T62" s="321"/>
      <c r="U62" s="321"/>
      <c r="V62" s="321"/>
      <c r="W62" s="321"/>
      <c r="X62" s="321"/>
      <c r="Y62" s="321"/>
      <c r="Z62" s="321"/>
      <c r="AA62" s="321"/>
      <c r="AB62" s="321"/>
      <c r="AC62" s="321"/>
      <c r="AD62" s="321"/>
    </row>
    <row r="63">
      <c r="A63" s="278" t="s">
        <v>44</v>
      </c>
      <c r="B63" s="279">
        <v>60.0</v>
      </c>
      <c r="C63" s="280" t="s">
        <v>6117</v>
      </c>
      <c r="D63" s="280" t="s">
        <v>2852</v>
      </c>
      <c r="E63" s="94" t="s">
        <v>49</v>
      </c>
      <c r="F63" s="451"/>
      <c r="G63" s="462" t="s">
        <v>5687</v>
      </c>
      <c r="H63" s="461"/>
      <c r="I63" s="454"/>
      <c r="J63" s="454"/>
      <c r="K63" s="321"/>
      <c r="L63" s="279"/>
      <c r="M63" s="477" t="s">
        <v>6118</v>
      </c>
      <c r="N63" s="321"/>
      <c r="O63" s="321"/>
      <c r="P63" s="457">
        <v>2018.0</v>
      </c>
      <c r="Q63" s="457">
        <v>2026.0</v>
      </c>
      <c r="R63" s="458" t="s">
        <v>3735</v>
      </c>
      <c r="S63" s="321"/>
      <c r="T63" s="321"/>
      <c r="U63" s="321"/>
      <c r="V63" s="321"/>
      <c r="W63" s="321"/>
      <c r="X63" s="321"/>
      <c r="Y63" s="321"/>
      <c r="Z63" s="321"/>
      <c r="AA63" s="321"/>
      <c r="AB63" s="321"/>
      <c r="AC63" s="321"/>
      <c r="AD63" s="321"/>
    </row>
    <row r="64">
      <c r="A64" s="278" t="s">
        <v>44</v>
      </c>
      <c r="B64" s="279">
        <v>61.0</v>
      </c>
      <c r="C64" s="449" t="s">
        <v>5777</v>
      </c>
      <c r="D64" s="449" t="s">
        <v>1141</v>
      </c>
      <c r="E64" s="94" t="s">
        <v>49</v>
      </c>
      <c r="F64" s="451"/>
      <c r="G64" s="462" t="s">
        <v>6124</v>
      </c>
      <c r="H64" s="461"/>
      <c r="I64" s="454"/>
      <c r="J64" s="454"/>
      <c r="K64" s="321"/>
      <c r="L64" s="279"/>
      <c r="M64" s="477" t="s">
        <v>6125</v>
      </c>
      <c r="N64" s="321"/>
      <c r="O64" s="321"/>
      <c r="P64" s="457">
        <v>2014.0</v>
      </c>
      <c r="Q64" s="457">
        <v>2022.0</v>
      </c>
      <c r="R64" s="458" t="s">
        <v>3735</v>
      </c>
      <c r="S64" s="321"/>
      <c r="T64" s="321"/>
      <c r="U64" s="321"/>
      <c r="V64" s="321"/>
      <c r="W64" s="321"/>
      <c r="X64" s="321"/>
      <c r="Y64" s="321"/>
      <c r="Z64" s="321"/>
      <c r="AA64" s="321"/>
      <c r="AB64" s="321"/>
      <c r="AC64" s="321"/>
      <c r="AD64" s="321"/>
    </row>
    <row r="65">
      <c r="A65" s="278" t="s">
        <v>44</v>
      </c>
      <c r="B65" s="279">
        <v>62.0</v>
      </c>
      <c r="C65" s="449" t="s">
        <v>6130</v>
      </c>
      <c r="D65" s="449" t="s">
        <v>6132</v>
      </c>
      <c r="E65" s="94" t="s">
        <v>49</v>
      </c>
      <c r="F65" s="451"/>
      <c r="G65" s="462" t="s">
        <v>6124</v>
      </c>
      <c r="H65" s="467"/>
      <c r="I65" s="454"/>
      <c r="J65" s="454"/>
      <c r="K65" s="321"/>
      <c r="L65" s="279"/>
      <c r="M65" s="477" t="s">
        <v>6137</v>
      </c>
      <c r="N65" s="321"/>
      <c r="O65" s="321"/>
      <c r="P65" s="457">
        <v>2014.0</v>
      </c>
      <c r="Q65" s="457">
        <v>2022.0</v>
      </c>
      <c r="R65" s="458" t="s">
        <v>6139</v>
      </c>
      <c r="S65" s="321"/>
      <c r="T65" s="321"/>
      <c r="U65" s="321"/>
      <c r="V65" s="321"/>
      <c r="W65" s="321"/>
      <c r="X65" s="321"/>
      <c r="Y65" s="321"/>
      <c r="Z65" s="321"/>
      <c r="AA65" s="321"/>
      <c r="AB65" s="321"/>
      <c r="AC65" s="321"/>
      <c r="AD65" s="321"/>
    </row>
    <row r="66">
      <c r="A66" s="278" t="s">
        <v>44</v>
      </c>
      <c r="B66" s="279">
        <v>63.0</v>
      </c>
      <c r="C66" s="449" t="s">
        <v>1193</v>
      </c>
      <c r="D66" s="449" t="s">
        <v>6141</v>
      </c>
      <c r="E66" s="83" t="s">
        <v>53</v>
      </c>
      <c r="F66" s="451"/>
      <c r="G66" s="462" t="s">
        <v>5687</v>
      </c>
      <c r="H66" s="461"/>
      <c r="I66" s="454"/>
      <c r="J66" s="454"/>
      <c r="K66" s="321"/>
      <c r="L66" s="279"/>
      <c r="M66" s="477" t="s">
        <v>6142</v>
      </c>
      <c r="N66" s="321"/>
      <c r="O66" s="321"/>
      <c r="P66" s="468" t="s">
        <v>6145</v>
      </c>
      <c r="Q66" s="457">
        <v>2022.0</v>
      </c>
      <c r="R66" s="458" t="s">
        <v>6139</v>
      </c>
      <c r="S66" s="321"/>
      <c r="T66" s="321"/>
      <c r="U66" s="321"/>
      <c r="V66" s="321"/>
      <c r="W66" s="321"/>
      <c r="X66" s="321"/>
      <c r="Y66" s="321"/>
      <c r="Z66" s="321"/>
      <c r="AA66" s="321"/>
      <c r="AB66" s="321"/>
      <c r="AC66" s="321"/>
      <c r="AD66" s="321"/>
    </row>
    <row r="67">
      <c r="A67" s="278" t="s">
        <v>44</v>
      </c>
      <c r="B67" s="279">
        <v>64.0</v>
      </c>
      <c r="C67" s="449" t="s">
        <v>6146</v>
      </c>
      <c r="D67" s="449" t="s">
        <v>6147</v>
      </c>
      <c r="E67" s="94" t="s">
        <v>49</v>
      </c>
      <c r="F67" s="451"/>
      <c r="G67" s="462" t="s">
        <v>578</v>
      </c>
      <c r="H67" s="461"/>
      <c r="I67" s="454"/>
      <c r="J67" s="454"/>
      <c r="K67" s="321"/>
      <c r="L67" s="279"/>
      <c r="M67" s="477" t="s">
        <v>6149</v>
      </c>
      <c r="N67" s="321"/>
      <c r="O67" s="321"/>
      <c r="P67" s="457">
        <v>2016.0</v>
      </c>
      <c r="Q67" s="457">
        <v>2024.0</v>
      </c>
      <c r="R67" s="458" t="s">
        <v>6139</v>
      </c>
      <c r="S67" s="321"/>
      <c r="T67" s="321"/>
      <c r="U67" s="321"/>
      <c r="V67" s="321"/>
      <c r="W67" s="321"/>
      <c r="X67" s="321"/>
      <c r="Y67" s="321"/>
      <c r="Z67" s="321"/>
      <c r="AA67" s="321"/>
      <c r="AB67" s="321"/>
      <c r="AC67" s="321"/>
      <c r="AD67" s="321"/>
    </row>
    <row r="68">
      <c r="A68" s="278" t="s">
        <v>44</v>
      </c>
      <c r="B68" s="279">
        <v>65.0</v>
      </c>
      <c r="C68" s="280" t="s">
        <v>2969</v>
      </c>
      <c r="D68" s="280" t="s">
        <v>6152</v>
      </c>
      <c r="E68" s="83" t="s">
        <v>53</v>
      </c>
      <c r="F68" s="451"/>
      <c r="G68" s="462" t="s">
        <v>5951</v>
      </c>
      <c r="H68" s="465" t="s">
        <v>6153</v>
      </c>
      <c r="I68" s="454"/>
      <c r="J68" s="454"/>
      <c r="K68" s="321"/>
      <c r="L68" s="279"/>
      <c r="M68" s="477" t="s">
        <v>6154</v>
      </c>
      <c r="N68" s="321"/>
      <c r="O68" s="321"/>
      <c r="P68" s="457">
        <v>2018.0</v>
      </c>
      <c r="Q68" s="457">
        <v>2026.0</v>
      </c>
      <c r="R68" s="458" t="s">
        <v>6160</v>
      </c>
      <c r="S68" s="321"/>
      <c r="T68" s="321"/>
      <c r="U68" s="321"/>
      <c r="V68" s="321"/>
      <c r="W68" s="321"/>
      <c r="X68" s="321"/>
      <c r="Y68" s="321"/>
      <c r="Z68" s="321"/>
      <c r="AA68" s="321"/>
      <c r="AB68" s="321"/>
      <c r="AC68" s="321"/>
      <c r="AD68" s="321"/>
    </row>
    <row r="69">
      <c r="A69" s="278" t="s">
        <v>44</v>
      </c>
      <c r="B69" s="279">
        <v>66.0</v>
      </c>
      <c r="C69" s="449" t="s">
        <v>6166</v>
      </c>
      <c r="D69" s="449" t="s">
        <v>6171</v>
      </c>
      <c r="E69" s="94" t="s">
        <v>49</v>
      </c>
      <c r="F69" s="451"/>
      <c r="G69" s="462" t="s">
        <v>6172</v>
      </c>
      <c r="H69" s="465" t="s">
        <v>6173</v>
      </c>
      <c r="I69" s="460" t="s">
        <v>6086</v>
      </c>
      <c r="J69" s="454"/>
      <c r="K69" s="321"/>
      <c r="L69" s="279"/>
      <c r="M69" s="477" t="s">
        <v>6174</v>
      </c>
      <c r="N69" s="321"/>
      <c r="O69" s="321"/>
      <c r="P69" s="457">
        <v>2016.0</v>
      </c>
      <c r="Q69" s="457">
        <v>2024.0</v>
      </c>
      <c r="R69" s="458" t="s">
        <v>2609</v>
      </c>
      <c r="S69" s="321"/>
      <c r="T69" s="321"/>
      <c r="U69" s="321"/>
      <c r="V69" s="321"/>
      <c r="W69" s="321"/>
      <c r="X69" s="321"/>
      <c r="Y69" s="321"/>
      <c r="Z69" s="321"/>
      <c r="AA69" s="321"/>
      <c r="AB69" s="321"/>
      <c r="AC69" s="321"/>
      <c r="AD69" s="321"/>
    </row>
    <row r="70">
      <c r="A70" s="278" t="s">
        <v>44</v>
      </c>
      <c r="B70" s="279">
        <v>67.0</v>
      </c>
      <c r="C70" s="449" t="s">
        <v>1446</v>
      </c>
      <c r="D70" s="449" t="s">
        <v>1763</v>
      </c>
      <c r="E70" s="83" t="s">
        <v>53</v>
      </c>
      <c r="F70" s="479"/>
      <c r="G70" s="462" t="s">
        <v>6187</v>
      </c>
      <c r="H70" s="465" t="s">
        <v>6188</v>
      </c>
      <c r="I70" s="460" t="s">
        <v>5591</v>
      </c>
      <c r="J70" s="454"/>
      <c r="K70" s="321"/>
      <c r="L70" s="279"/>
      <c r="M70" s="477" t="s">
        <v>6190</v>
      </c>
      <c r="N70" s="321"/>
      <c r="O70" s="321"/>
      <c r="P70" s="468" t="s">
        <v>6193</v>
      </c>
      <c r="Q70" s="457">
        <v>2022.0</v>
      </c>
      <c r="R70" s="458" t="s">
        <v>658</v>
      </c>
      <c r="S70" s="321"/>
      <c r="T70" s="321"/>
      <c r="U70" s="321"/>
      <c r="V70" s="321"/>
      <c r="W70" s="321"/>
      <c r="X70" s="321"/>
      <c r="Y70" s="321"/>
      <c r="Z70" s="321"/>
      <c r="AA70" s="321"/>
      <c r="AB70" s="321"/>
      <c r="AC70" s="321"/>
      <c r="AD70" s="321"/>
    </row>
    <row r="71">
      <c r="A71" s="278" t="s">
        <v>44</v>
      </c>
      <c r="B71" s="279">
        <v>68.0</v>
      </c>
      <c r="C71" s="449" t="s">
        <v>1112</v>
      </c>
      <c r="D71" s="449" t="s">
        <v>6211</v>
      </c>
      <c r="E71" s="83" t="s">
        <v>53</v>
      </c>
      <c r="F71" s="479"/>
      <c r="G71" s="462" t="s">
        <v>6212</v>
      </c>
      <c r="H71" s="465" t="s">
        <v>578</v>
      </c>
      <c r="I71" s="454"/>
      <c r="J71" s="454"/>
      <c r="K71" s="321"/>
      <c r="L71" s="279"/>
      <c r="M71" s="477" t="s">
        <v>6216</v>
      </c>
      <c r="N71" s="321"/>
      <c r="O71" s="321"/>
      <c r="P71" s="468" t="s">
        <v>6226</v>
      </c>
      <c r="Q71" s="457">
        <v>2024.0</v>
      </c>
      <c r="R71" s="458" t="s">
        <v>6228</v>
      </c>
      <c r="S71" s="321"/>
      <c r="T71" s="321"/>
      <c r="U71" s="321"/>
      <c r="V71" s="321"/>
      <c r="W71" s="321"/>
      <c r="X71" s="321"/>
      <c r="Y71" s="321"/>
      <c r="Z71" s="321"/>
      <c r="AA71" s="321"/>
      <c r="AB71" s="321"/>
      <c r="AC71" s="321"/>
      <c r="AD71" s="321"/>
    </row>
    <row r="72">
      <c r="A72" s="278" t="s">
        <v>44</v>
      </c>
      <c r="B72" s="279">
        <v>69.0</v>
      </c>
      <c r="C72" s="449" t="s">
        <v>669</v>
      </c>
      <c r="D72" s="449" t="s">
        <v>6270</v>
      </c>
      <c r="E72" s="497" t="s">
        <v>243</v>
      </c>
      <c r="F72" s="451"/>
      <c r="G72" s="462" t="s">
        <v>5811</v>
      </c>
      <c r="H72" s="461"/>
      <c r="I72" s="454"/>
      <c r="J72" s="454"/>
      <c r="K72" s="321"/>
      <c r="L72" s="279"/>
      <c r="M72" s="477" t="s">
        <v>6280</v>
      </c>
      <c r="N72" s="321"/>
      <c r="O72" s="321"/>
      <c r="P72" s="457">
        <v>2018.0</v>
      </c>
      <c r="Q72" s="457">
        <v>2026.0</v>
      </c>
      <c r="R72" s="458" t="s">
        <v>6292</v>
      </c>
      <c r="S72" s="321"/>
      <c r="T72" s="321"/>
      <c r="U72" s="321"/>
      <c r="V72" s="321"/>
      <c r="W72" s="321"/>
      <c r="X72" s="321"/>
      <c r="Y72" s="321"/>
      <c r="Z72" s="321"/>
      <c r="AA72" s="321"/>
      <c r="AB72" s="321"/>
      <c r="AC72" s="321"/>
      <c r="AD72" s="321"/>
    </row>
    <row r="73">
      <c r="A73" s="278" t="s">
        <v>44</v>
      </c>
      <c r="B73" s="279">
        <v>70.0</v>
      </c>
      <c r="C73" s="449" t="s">
        <v>6305</v>
      </c>
      <c r="D73" s="449" t="s">
        <v>230</v>
      </c>
      <c r="E73" s="83" t="s">
        <v>53</v>
      </c>
      <c r="F73" s="451"/>
      <c r="G73" s="462" t="s">
        <v>2667</v>
      </c>
      <c r="H73" s="465" t="s">
        <v>5951</v>
      </c>
      <c r="I73" s="454"/>
      <c r="J73" s="454"/>
      <c r="K73" s="321"/>
      <c r="L73" s="279"/>
      <c r="M73" s="477" t="s">
        <v>6322</v>
      </c>
      <c r="N73" s="321"/>
      <c r="O73" s="321"/>
      <c r="P73" s="457">
        <v>2014.0</v>
      </c>
      <c r="Q73" s="457">
        <v>2022.0</v>
      </c>
      <c r="R73" s="458" t="s">
        <v>6338</v>
      </c>
      <c r="S73" s="321"/>
      <c r="T73" s="321"/>
      <c r="U73" s="321"/>
      <c r="V73" s="321"/>
      <c r="W73" s="321"/>
      <c r="X73" s="321"/>
      <c r="Y73" s="321"/>
      <c r="Z73" s="321"/>
      <c r="AA73" s="321"/>
      <c r="AB73" s="321"/>
      <c r="AC73" s="321"/>
      <c r="AD73" s="321"/>
    </row>
    <row r="74">
      <c r="A74" s="278" t="s">
        <v>44</v>
      </c>
      <c r="B74" s="279">
        <v>71.0</v>
      </c>
      <c r="C74" s="280" t="s">
        <v>6350</v>
      </c>
      <c r="D74" s="280" t="s">
        <v>6351</v>
      </c>
      <c r="E74" s="83" t="s">
        <v>53</v>
      </c>
      <c r="F74" s="451"/>
      <c r="G74" s="462" t="s">
        <v>5951</v>
      </c>
      <c r="H74" s="465" t="s">
        <v>6352</v>
      </c>
      <c r="I74" s="454"/>
      <c r="J74" s="454"/>
      <c r="K74" s="321"/>
      <c r="L74" s="279"/>
      <c r="M74" s="477" t="s">
        <v>6353</v>
      </c>
      <c r="N74" s="321"/>
      <c r="O74" s="321"/>
      <c r="P74" s="457">
        <v>2018.0</v>
      </c>
      <c r="Q74" s="457">
        <v>2026.0</v>
      </c>
      <c r="R74" s="458" t="s">
        <v>6360</v>
      </c>
      <c r="S74" s="321"/>
      <c r="T74" s="321"/>
      <c r="U74" s="321"/>
      <c r="V74" s="321"/>
      <c r="W74" s="321"/>
      <c r="X74" s="321"/>
      <c r="Y74" s="321"/>
      <c r="Z74" s="321"/>
      <c r="AA74" s="321"/>
      <c r="AB74" s="321"/>
      <c r="AC74" s="321"/>
      <c r="AD74" s="321"/>
    </row>
    <row r="75">
      <c r="A75" s="278" t="s">
        <v>44</v>
      </c>
      <c r="B75" s="279">
        <v>72.0</v>
      </c>
      <c r="C75" s="449" t="s">
        <v>2554</v>
      </c>
      <c r="D75" s="449" t="s">
        <v>255</v>
      </c>
      <c r="E75" s="83" t="s">
        <v>53</v>
      </c>
      <c r="F75" s="466" t="s">
        <v>6400</v>
      </c>
      <c r="G75" s="462" t="s">
        <v>6403</v>
      </c>
      <c r="H75" s="465" t="s">
        <v>6352</v>
      </c>
      <c r="I75" s="454"/>
      <c r="J75" s="454"/>
      <c r="K75" s="321"/>
      <c r="L75" s="279"/>
      <c r="M75" s="477" t="s">
        <v>6406</v>
      </c>
      <c r="N75" s="321"/>
      <c r="O75" s="321"/>
      <c r="P75" s="457">
        <v>2014.0</v>
      </c>
      <c r="Q75" s="457">
        <v>2022.0</v>
      </c>
      <c r="R75" s="458" t="s">
        <v>6424</v>
      </c>
      <c r="S75" s="321"/>
      <c r="T75" s="321"/>
      <c r="U75" s="321"/>
      <c r="V75" s="321"/>
      <c r="W75" s="321"/>
      <c r="X75" s="321"/>
      <c r="Y75" s="321"/>
      <c r="Z75" s="321"/>
      <c r="AA75" s="321"/>
      <c r="AB75" s="321"/>
      <c r="AC75" s="321"/>
      <c r="AD75" s="321"/>
    </row>
    <row r="76">
      <c r="A76" s="278" t="s">
        <v>44</v>
      </c>
      <c r="B76" s="279">
        <v>73.0</v>
      </c>
      <c r="C76" s="280" t="s">
        <v>278</v>
      </c>
      <c r="D76" s="280" t="s">
        <v>6445</v>
      </c>
      <c r="E76" s="83" t="s">
        <v>53</v>
      </c>
      <c r="F76" s="451"/>
      <c r="G76" s="462" t="s">
        <v>688</v>
      </c>
      <c r="H76" s="465" t="s">
        <v>5999</v>
      </c>
      <c r="I76" s="454"/>
      <c r="J76" s="454"/>
      <c r="K76" s="321"/>
      <c r="L76" s="279"/>
      <c r="M76" s="477" t="s">
        <v>6446</v>
      </c>
      <c r="N76" s="321"/>
      <c r="O76" s="321"/>
      <c r="P76" s="457">
        <v>2018.0</v>
      </c>
      <c r="Q76" s="457">
        <v>2026.0</v>
      </c>
      <c r="R76" s="458" t="s">
        <v>3947</v>
      </c>
      <c r="S76" s="321"/>
      <c r="T76" s="321"/>
      <c r="U76" s="321"/>
      <c r="V76" s="321"/>
      <c r="W76" s="321"/>
      <c r="X76" s="321"/>
      <c r="Y76" s="321"/>
      <c r="Z76" s="321"/>
      <c r="AA76" s="321"/>
      <c r="AB76" s="321"/>
      <c r="AC76" s="321"/>
      <c r="AD76" s="321"/>
    </row>
    <row r="77">
      <c r="A77" s="278" t="s">
        <v>44</v>
      </c>
      <c r="B77" s="279">
        <v>74.0</v>
      </c>
      <c r="C77" s="449" t="s">
        <v>6469</v>
      </c>
      <c r="D77" s="449" t="s">
        <v>2564</v>
      </c>
      <c r="E77" s="94" t="s">
        <v>49</v>
      </c>
      <c r="F77" s="479"/>
      <c r="G77" s="462" t="s">
        <v>6078</v>
      </c>
      <c r="H77" s="461"/>
      <c r="I77" s="454"/>
      <c r="J77" s="454"/>
      <c r="K77" s="321"/>
      <c r="L77" s="279"/>
      <c r="M77" s="477" t="s">
        <v>6475</v>
      </c>
      <c r="N77" s="321"/>
      <c r="O77" s="321"/>
      <c r="P77" s="457">
        <v>2016.0</v>
      </c>
      <c r="Q77" s="457">
        <v>2024.0</v>
      </c>
      <c r="R77" s="458" t="s">
        <v>1013</v>
      </c>
      <c r="S77" s="321"/>
      <c r="T77" s="321"/>
      <c r="U77" s="321"/>
      <c r="V77" s="321"/>
      <c r="W77" s="321"/>
      <c r="X77" s="321"/>
      <c r="Y77" s="321"/>
      <c r="Z77" s="321"/>
      <c r="AA77" s="321"/>
      <c r="AB77" s="321"/>
      <c r="AC77" s="321"/>
      <c r="AD77" s="321"/>
    </row>
    <row r="78">
      <c r="A78" s="278" t="s">
        <v>44</v>
      </c>
      <c r="B78" s="279">
        <v>75.0</v>
      </c>
      <c r="C78" s="280" t="s">
        <v>2506</v>
      </c>
      <c r="D78" s="280" t="s">
        <v>617</v>
      </c>
      <c r="E78" s="83" t="s">
        <v>53</v>
      </c>
      <c r="F78" s="451"/>
      <c r="G78" s="462" t="s">
        <v>6124</v>
      </c>
      <c r="H78" s="465" t="s">
        <v>5591</v>
      </c>
      <c r="I78" s="454"/>
      <c r="J78" s="454"/>
      <c r="K78" s="321"/>
      <c r="L78" s="279"/>
      <c r="M78" s="477" t="s">
        <v>6491</v>
      </c>
      <c r="N78" s="321"/>
      <c r="O78" s="321"/>
      <c r="P78" s="457">
        <v>2018.0</v>
      </c>
      <c r="Q78" s="457">
        <v>2026.0</v>
      </c>
      <c r="R78" s="458" t="s">
        <v>3193</v>
      </c>
      <c r="S78" s="321"/>
      <c r="T78" s="321"/>
      <c r="U78" s="321"/>
      <c r="V78" s="321"/>
      <c r="W78" s="321"/>
      <c r="X78" s="321"/>
      <c r="Y78" s="321"/>
      <c r="Z78" s="321"/>
      <c r="AA78" s="321"/>
      <c r="AB78" s="321"/>
      <c r="AC78" s="321"/>
      <c r="AD78" s="321"/>
    </row>
    <row r="79">
      <c r="A79" s="278" t="s">
        <v>44</v>
      </c>
      <c r="B79" s="279">
        <v>76.0</v>
      </c>
      <c r="C79" s="475" t="s">
        <v>2194</v>
      </c>
      <c r="D79" s="475" t="s">
        <v>6530</v>
      </c>
      <c r="E79" s="83" t="s">
        <v>53</v>
      </c>
      <c r="F79" s="479"/>
      <c r="G79" s="462" t="s">
        <v>5951</v>
      </c>
      <c r="H79" s="461"/>
      <c r="I79" s="454"/>
      <c r="J79" s="454"/>
      <c r="K79" s="321"/>
      <c r="L79" s="279"/>
      <c r="M79" s="477" t="s">
        <v>6531</v>
      </c>
      <c r="N79" s="321"/>
      <c r="O79" s="321"/>
      <c r="P79" s="468" t="s">
        <v>6536</v>
      </c>
      <c r="Q79" s="457">
        <v>2026.0</v>
      </c>
      <c r="R79" s="458" t="s">
        <v>6538</v>
      </c>
      <c r="S79" s="321"/>
      <c r="T79" s="321"/>
      <c r="U79" s="321"/>
      <c r="V79" s="321"/>
      <c r="W79" s="321"/>
      <c r="X79" s="321"/>
      <c r="Y79" s="321"/>
      <c r="Z79" s="321"/>
      <c r="AA79" s="321"/>
      <c r="AB79" s="321"/>
      <c r="AC79" s="321"/>
      <c r="AD79" s="321"/>
    </row>
    <row r="80">
      <c r="A80" s="278" t="s">
        <v>44</v>
      </c>
      <c r="B80" s="279">
        <v>77.0</v>
      </c>
      <c r="C80" s="449" t="s">
        <v>2490</v>
      </c>
      <c r="D80" s="449" t="s">
        <v>6545</v>
      </c>
      <c r="E80" s="83" t="s">
        <v>53</v>
      </c>
      <c r="F80" s="451"/>
      <c r="G80" s="470" t="s">
        <v>578</v>
      </c>
      <c r="H80" s="467"/>
      <c r="I80" s="454"/>
      <c r="J80" s="454"/>
      <c r="K80" s="321"/>
      <c r="L80" s="279"/>
      <c r="M80" s="477" t="s">
        <v>6546</v>
      </c>
      <c r="N80" s="321"/>
      <c r="O80" s="321"/>
      <c r="P80" s="457">
        <v>2016.0</v>
      </c>
      <c r="Q80" s="457">
        <v>2024.0</v>
      </c>
      <c r="R80" s="458" t="s">
        <v>6552</v>
      </c>
      <c r="S80" s="321"/>
      <c r="T80" s="321"/>
      <c r="U80" s="321"/>
      <c r="V80" s="321"/>
      <c r="W80" s="321"/>
      <c r="X80" s="321"/>
      <c r="Y80" s="321"/>
      <c r="Z80" s="321"/>
      <c r="AA80" s="321"/>
      <c r="AB80" s="321"/>
      <c r="AC80" s="321"/>
      <c r="AD80" s="321"/>
    </row>
    <row r="81">
      <c r="A81" s="278" t="s">
        <v>44</v>
      </c>
      <c r="B81" s="279">
        <v>78.0</v>
      </c>
      <c r="C81" s="449" t="s">
        <v>2629</v>
      </c>
      <c r="D81" s="449" t="s">
        <v>6557</v>
      </c>
      <c r="E81" s="94" t="s">
        <v>49</v>
      </c>
      <c r="F81" s="451"/>
      <c r="G81" s="462" t="s">
        <v>6558</v>
      </c>
      <c r="H81" s="465" t="s">
        <v>6559</v>
      </c>
      <c r="I81" s="454"/>
      <c r="J81" s="454"/>
      <c r="K81" s="321"/>
      <c r="L81" s="279"/>
      <c r="M81" s="477" t="s">
        <v>6560</v>
      </c>
      <c r="N81" s="321"/>
      <c r="O81" s="321"/>
      <c r="P81" s="457">
        <v>2012.0</v>
      </c>
      <c r="Q81" s="457">
        <v>2020.0</v>
      </c>
      <c r="R81" s="458" t="s">
        <v>6562</v>
      </c>
      <c r="S81" s="321"/>
      <c r="T81" s="321"/>
      <c r="U81" s="321"/>
      <c r="V81" s="321"/>
      <c r="W81" s="321"/>
      <c r="X81" s="321"/>
      <c r="Y81" s="321"/>
      <c r="Z81" s="321"/>
      <c r="AA81" s="321"/>
      <c r="AB81" s="321"/>
      <c r="AC81" s="321"/>
      <c r="AD81" s="321"/>
    </row>
    <row r="82">
      <c r="A82" s="278" t="s">
        <v>44</v>
      </c>
      <c r="B82" s="279">
        <v>79.0</v>
      </c>
      <c r="C82" s="449" t="s">
        <v>2507</v>
      </c>
      <c r="D82" s="449" t="s">
        <v>6574</v>
      </c>
      <c r="E82" s="83" t="s">
        <v>53</v>
      </c>
      <c r="F82" s="451"/>
      <c r="G82" s="462" t="s">
        <v>2667</v>
      </c>
      <c r="H82" s="465" t="s">
        <v>6559</v>
      </c>
      <c r="I82" s="454"/>
      <c r="J82" s="454"/>
      <c r="K82" s="321"/>
      <c r="L82" s="279"/>
      <c r="M82" s="477" t="s">
        <v>6577</v>
      </c>
      <c r="N82" s="321"/>
      <c r="O82" s="321"/>
      <c r="P82" s="457">
        <v>2014.0</v>
      </c>
      <c r="Q82" s="457">
        <v>2022.0</v>
      </c>
      <c r="R82" s="458" t="s">
        <v>6586</v>
      </c>
      <c r="S82" s="321"/>
      <c r="T82" s="321"/>
      <c r="U82" s="321"/>
      <c r="V82" s="321"/>
      <c r="W82" s="321"/>
      <c r="X82" s="321"/>
      <c r="Y82" s="321"/>
      <c r="Z82" s="321"/>
      <c r="AA82" s="321"/>
      <c r="AB82" s="321"/>
      <c r="AC82" s="321"/>
      <c r="AD82" s="321"/>
    </row>
    <row r="83">
      <c r="A83" s="278" t="s">
        <v>44</v>
      </c>
      <c r="B83" s="279">
        <v>80.0</v>
      </c>
      <c r="C83" s="449" t="s">
        <v>1112</v>
      </c>
      <c r="D83" s="449" t="s">
        <v>6589</v>
      </c>
      <c r="E83" s="83" t="s">
        <v>53</v>
      </c>
      <c r="F83" s="451"/>
      <c r="G83" s="462" t="s">
        <v>5591</v>
      </c>
      <c r="H83" s="461"/>
      <c r="I83" s="454"/>
      <c r="J83" s="454"/>
      <c r="K83" s="321"/>
      <c r="L83" s="279"/>
      <c r="M83" s="477" t="s">
        <v>6590</v>
      </c>
      <c r="N83" s="321"/>
      <c r="O83" s="321"/>
      <c r="P83" s="457">
        <v>2016.0</v>
      </c>
      <c r="Q83" s="457">
        <v>2024.0</v>
      </c>
      <c r="R83" s="458" t="s">
        <v>6592</v>
      </c>
      <c r="S83" s="321"/>
      <c r="T83" s="321"/>
      <c r="U83" s="321"/>
      <c r="V83" s="321"/>
      <c r="W83" s="321"/>
      <c r="X83" s="321"/>
      <c r="Y83" s="321"/>
      <c r="Z83" s="321"/>
      <c r="AA83" s="321"/>
      <c r="AB83" s="321"/>
      <c r="AC83" s="321"/>
      <c r="AD83" s="321"/>
    </row>
    <row r="84">
      <c r="A84" s="278" t="s">
        <v>44</v>
      </c>
      <c r="B84" s="279">
        <v>81.0</v>
      </c>
      <c r="C84" s="449" t="s">
        <v>373</v>
      </c>
      <c r="D84" s="449" t="s">
        <v>6594</v>
      </c>
      <c r="E84" s="94" t="s">
        <v>49</v>
      </c>
      <c r="F84" s="451"/>
      <c r="G84" s="513" t="s">
        <v>6595</v>
      </c>
      <c r="H84" s="465" t="s">
        <v>5999</v>
      </c>
      <c r="I84" s="454"/>
      <c r="J84" s="454"/>
      <c r="K84" s="321"/>
      <c r="L84" s="279"/>
      <c r="M84" s="477" t="s">
        <v>6596</v>
      </c>
      <c r="N84" s="321"/>
      <c r="O84" s="321"/>
      <c r="P84" s="457">
        <v>2012.0</v>
      </c>
      <c r="Q84" s="457">
        <v>2020.0</v>
      </c>
      <c r="R84" s="458" t="s">
        <v>6597</v>
      </c>
      <c r="S84" s="321"/>
      <c r="T84" s="321"/>
      <c r="U84" s="321"/>
      <c r="V84" s="321"/>
      <c r="W84" s="321"/>
      <c r="X84" s="321"/>
      <c r="Y84" s="321"/>
      <c r="Z84" s="321"/>
      <c r="AA84" s="321"/>
      <c r="AB84" s="321"/>
      <c r="AC84" s="321"/>
      <c r="AD84" s="321"/>
    </row>
    <row r="85">
      <c r="A85" s="278" t="s">
        <v>44</v>
      </c>
      <c r="B85" s="279">
        <v>82.0</v>
      </c>
      <c r="C85" s="449" t="s">
        <v>4892</v>
      </c>
      <c r="D85" s="449" t="s">
        <v>6599</v>
      </c>
      <c r="E85" s="514" t="s">
        <v>6600</v>
      </c>
      <c r="F85" s="479"/>
      <c r="G85" s="462" t="s">
        <v>5999</v>
      </c>
      <c r="H85" s="461"/>
      <c r="I85" s="454"/>
      <c r="J85" s="454"/>
      <c r="K85" s="321"/>
      <c r="L85" s="279"/>
      <c r="M85" s="477" t="s">
        <v>6602</v>
      </c>
      <c r="N85" s="321"/>
      <c r="O85" s="321"/>
      <c r="P85" s="457">
        <v>2016.0</v>
      </c>
      <c r="Q85" s="457">
        <v>2024.0</v>
      </c>
      <c r="R85" s="458" t="s">
        <v>6605</v>
      </c>
      <c r="S85" s="321"/>
      <c r="T85" s="321"/>
      <c r="U85" s="321"/>
      <c r="V85" s="321"/>
      <c r="W85" s="321"/>
      <c r="X85" s="321"/>
      <c r="Y85" s="321"/>
      <c r="Z85" s="321"/>
      <c r="AA85" s="321"/>
      <c r="AB85" s="321"/>
      <c r="AC85" s="321"/>
      <c r="AD85" s="321"/>
    </row>
    <row r="86">
      <c r="A86" s="278" t="s">
        <v>44</v>
      </c>
      <c r="B86" s="279">
        <v>83.0</v>
      </c>
      <c r="C86" s="475" t="s">
        <v>6608</v>
      </c>
      <c r="D86" s="475" t="s">
        <v>6610</v>
      </c>
      <c r="E86" s="94" t="s">
        <v>49</v>
      </c>
      <c r="F86" s="479"/>
      <c r="G86" s="462" t="s">
        <v>781</v>
      </c>
      <c r="H86" s="461"/>
      <c r="I86" s="454"/>
      <c r="J86" s="454"/>
      <c r="K86" s="321"/>
      <c r="L86" s="279"/>
      <c r="M86" s="518" t="s">
        <v>6611</v>
      </c>
      <c r="N86" s="321"/>
      <c r="O86" s="321"/>
      <c r="P86" s="457">
        <v>2018.0</v>
      </c>
      <c r="Q86" s="457">
        <v>2026.0</v>
      </c>
      <c r="R86" s="458" t="s">
        <v>6613</v>
      </c>
      <c r="S86" s="321"/>
      <c r="T86" s="321"/>
      <c r="U86" s="321"/>
      <c r="V86" s="321"/>
      <c r="W86" s="321"/>
      <c r="X86" s="321"/>
      <c r="Y86" s="321"/>
      <c r="Z86" s="321"/>
      <c r="AA86" s="321"/>
      <c r="AB86" s="321"/>
      <c r="AC86" s="321"/>
      <c r="AD86" s="321"/>
    </row>
    <row r="87">
      <c r="A87" s="278" t="s">
        <v>44</v>
      </c>
      <c r="B87" s="279">
        <v>84.0</v>
      </c>
      <c r="C87" s="449" t="s">
        <v>4913</v>
      </c>
      <c r="D87" s="449" t="s">
        <v>646</v>
      </c>
      <c r="E87" s="94" t="s">
        <v>49</v>
      </c>
      <c r="F87" s="479"/>
      <c r="G87" s="462" t="s">
        <v>6616</v>
      </c>
      <c r="H87" s="461"/>
      <c r="I87" s="454"/>
      <c r="J87" s="454"/>
      <c r="K87" s="321"/>
      <c r="L87" s="279"/>
      <c r="M87" s="477" t="s">
        <v>6617</v>
      </c>
      <c r="N87" s="321"/>
      <c r="O87" s="321"/>
      <c r="P87" s="457">
        <v>2014.0</v>
      </c>
      <c r="Q87" s="457">
        <v>2022.0</v>
      </c>
      <c r="R87" s="458" t="s">
        <v>6618</v>
      </c>
      <c r="S87" s="321"/>
      <c r="T87" s="321"/>
      <c r="U87" s="321"/>
      <c r="V87" s="321"/>
      <c r="W87" s="321"/>
      <c r="X87" s="321"/>
      <c r="Y87" s="321"/>
      <c r="Z87" s="321"/>
      <c r="AA87" s="321"/>
      <c r="AB87" s="321"/>
      <c r="AC87" s="321"/>
      <c r="AD87" s="321"/>
    </row>
    <row r="88">
      <c r="A88" s="278" t="s">
        <v>44</v>
      </c>
      <c r="B88" s="279">
        <v>85.0</v>
      </c>
      <c r="C88" s="449" t="s">
        <v>3404</v>
      </c>
      <c r="D88" s="449" t="s">
        <v>6622</v>
      </c>
      <c r="E88" s="94" t="s">
        <v>49</v>
      </c>
      <c r="F88" s="451"/>
      <c r="G88" s="462" t="s">
        <v>5591</v>
      </c>
      <c r="H88" s="461"/>
      <c r="I88" s="454"/>
      <c r="J88" s="454"/>
      <c r="K88" s="321"/>
      <c r="L88" s="279"/>
      <c r="M88" s="477" t="s">
        <v>6623</v>
      </c>
      <c r="N88" s="321"/>
      <c r="O88" s="321"/>
      <c r="P88" s="457">
        <v>2014.0</v>
      </c>
      <c r="Q88" s="457">
        <v>2022.0</v>
      </c>
      <c r="R88" s="458" t="s">
        <v>6625</v>
      </c>
      <c r="S88" s="321"/>
      <c r="T88" s="321"/>
      <c r="U88" s="321"/>
      <c r="V88" s="321"/>
      <c r="W88" s="321"/>
      <c r="X88" s="321"/>
      <c r="Y88" s="321"/>
      <c r="Z88" s="321"/>
      <c r="AA88" s="321"/>
      <c r="AB88" s="321"/>
      <c r="AC88" s="321"/>
      <c r="AD88" s="321"/>
    </row>
    <row r="89">
      <c r="A89" s="278" t="s">
        <v>44</v>
      </c>
      <c r="B89" s="279">
        <v>86.0</v>
      </c>
      <c r="C89" s="280" t="s">
        <v>786</v>
      </c>
      <c r="D89" s="280" t="s">
        <v>5707</v>
      </c>
      <c r="E89" s="83" t="s">
        <v>53</v>
      </c>
      <c r="F89" s="451"/>
      <c r="G89" s="462" t="s">
        <v>6626</v>
      </c>
      <c r="H89" s="461"/>
      <c r="I89" s="454"/>
      <c r="J89" s="454"/>
      <c r="K89" s="321"/>
      <c r="L89" s="279"/>
      <c r="M89" s="477" t="s">
        <v>6627</v>
      </c>
      <c r="N89" s="321"/>
      <c r="O89" s="321"/>
      <c r="P89" s="457">
        <v>2018.0</v>
      </c>
      <c r="Q89" s="457">
        <v>2026.0</v>
      </c>
      <c r="R89" s="458" t="s">
        <v>6625</v>
      </c>
      <c r="S89" s="321"/>
      <c r="T89" s="321"/>
      <c r="U89" s="321"/>
      <c r="V89" s="321"/>
      <c r="W89" s="321"/>
      <c r="X89" s="321"/>
      <c r="Y89" s="321"/>
      <c r="Z89" s="321"/>
      <c r="AA89" s="321"/>
      <c r="AB89" s="321"/>
      <c r="AC89" s="321"/>
      <c r="AD89" s="321"/>
    </row>
    <row r="90">
      <c r="A90" s="278" t="s">
        <v>44</v>
      </c>
      <c r="B90" s="279">
        <v>87.0</v>
      </c>
      <c r="C90" s="449" t="s">
        <v>5184</v>
      </c>
      <c r="D90" s="449" t="s">
        <v>6629</v>
      </c>
      <c r="E90" s="83" t="s">
        <v>53</v>
      </c>
      <c r="F90" s="451"/>
      <c r="G90" s="462" t="s">
        <v>6630</v>
      </c>
      <c r="H90" s="461"/>
      <c r="I90" s="454"/>
      <c r="J90" s="454"/>
      <c r="K90" s="321"/>
      <c r="L90" s="279"/>
      <c r="M90" s="477" t="s">
        <v>6631</v>
      </c>
      <c r="N90" s="321"/>
      <c r="O90" s="321"/>
      <c r="P90" s="457">
        <v>2014.0</v>
      </c>
      <c r="Q90" s="457">
        <v>2022.0</v>
      </c>
      <c r="R90" s="458" t="s">
        <v>6634</v>
      </c>
      <c r="S90" s="321"/>
      <c r="T90" s="321"/>
      <c r="U90" s="321"/>
      <c r="V90" s="321"/>
      <c r="W90" s="321"/>
      <c r="X90" s="321"/>
      <c r="Y90" s="321"/>
      <c r="Z90" s="321"/>
      <c r="AA90" s="321"/>
      <c r="AB90" s="321"/>
      <c r="AC90" s="321"/>
      <c r="AD90" s="321"/>
    </row>
    <row r="91">
      <c r="A91" s="278" t="s">
        <v>44</v>
      </c>
      <c r="B91" s="279">
        <v>88.0</v>
      </c>
      <c r="C91" s="280" t="s">
        <v>6635</v>
      </c>
      <c r="D91" s="280" t="s">
        <v>6636</v>
      </c>
      <c r="E91" s="464" t="s">
        <v>49</v>
      </c>
      <c r="F91" s="451"/>
      <c r="G91" s="462" t="s">
        <v>6212</v>
      </c>
      <c r="H91" s="465" t="s">
        <v>6637</v>
      </c>
      <c r="I91" s="454"/>
      <c r="J91" s="454"/>
      <c r="K91" s="321"/>
      <c r="L91" s="279"/>
      <c r="M91" s="477" t="s">
        <v>6638</v>
      </c>
      <c r="N91" s="321"/>
      <c r="O91" s="321"/>
      <c r="P91" s="457">
        <v>2018.0</v>
      </c>
      <c r="Q91" s="457">
        <v>2026.0</v>
      </c>
      <c r="R91" s="458" t="s">
        <v>6639</v>
      </c>
      <c r="S91" s="321"/>
      <c r="T91" s="321"/>
      <c r="U91" s="321"/>
      <c r="V91" s="321"/>
      <c r="W91" s="321"/>
      <c r="X91" s="321"/>
      <c r="Y91" s="321"/>
      <c r="Z91" s="321"/>
      <c r="AA91" s="321"/>
      <c r="AB91" s="321"/>
      <c r="AC91" s="321"/>
      <c r="AD91" s="321"/>
    </row>
    <row r="92">
      <c r="A92" s="278" t="s">
        <v>44</v>
      </c>
      <c r="B92" s="279">
        <v>89.0</v>
      </c>
      <c r="C92" s="475" t="s">
        <v>2202</v>
      </c>
      <c r="D92" s="475" t="s">
        <v>3547</v>
      </c>
      <c r="E92" s="94" t="s">
        <v>49</v>
      </c>
      <c r="F92" s="479"/>
      <c r="G92" s="462" t="s">
        <v>2796</v>
      </c>
      <c r="H92" s="461"/>
      <c r="I92" s="454"/>
      <c r="J92" s="454"/>
      <c r="K92" s="321"/>
      <c r="L92" s="279"/>
      <c r="M92" s="477" t="s">
        <v>6642</v>
      </c>
      <c r="N92" s="321"/>
      <c r="O92" s="321"/>
      <c r="P92" s="457">
        <v>2018.0</v>
      </c>
      <c r="Q92" s="457">
        <v>2026.0</v>
      </c>
      <c r="R92" s="458" t="s">
        <v>6643</v>
      </c>
      <c r="S92" s="321"/>
      <c r="T92" s="321"/>
      <c r="U92" s="321"/>
      <c r="V92" s="321"/>
      <c r="W92" s="321"/>
      <c r="X92" s="321"/>
      <c r="Y92" s="321"/>
      <c r="Z92" s="321"/>
      <c r="AA92" s="321"/>
      <c r="AB92" s="321"/>
      <c r="AC92" s="321"/>
      <c r="AD92" s="321"/>
    </row>
    <row r="93">
      <c r="A93" s="278" t="s">
        <v>44</v>
      </c>
      <c r="B93" s="279">
        <v>90.0</v>
      </c>
      <c r="C93" s="449" t="s">
        <v>2490</v>
      </c>
      <c r="D93" s="449" t="s">
        <v>2312</v>
      </c>
      <c r="E93" s="94" t="s">
        <v>49</v>
      </c>
      <c r="F93" s="451"/>
      <c r="G93" s="462" t="s">
        <v>5630</v>
      </c>
      <c r="H93" s="465" t="s">
        <v>6173</v>
      </c>
      <c r="I93" s="454"/>
      <c r="J93" s="454"/>
      <c r="K93" s="321"/>
      <c r="L93" s="279"/>
      <c r="M93" s="477" t="s">
        <v>6645</v>
      </c>
      <c r="N93" s="321"/>
      <c r="O93" s="321"/>
      <c r="P93" s="457">
        <v>2012.0</v>
      </c>
      <c r="Q93" s="457">
        <v>2020.0</v>
      </c>
      <c r="R93" s="458" t="s">
        <v>6646</v>
      </c>
      <c r="S93" s="321"/>
      <c r="T93" s="321"/>
      <c r="U93" s="321"/>
      <c r="V93" s="321"/>
      <c r="W93" s="321"/>
      <c r="X93" s="321"/>
      <c r="Y93" s="321"/>
      <c r="Z93" s="321"/>
      <c r="AA93" s="321"/>
      <c r="AB93" s="321"/>
      <c r="AC93" s="321"/>
      <c r="AD93" s="321"/>
    </row>
    <row r="94">
      <c r="A94" s="278" t="s">
        <v>44</v>
      </c>
      <c r="B94" s="279">
        <v>91.0</v>
      </c>
      <c r="C94" s="280" t="s">
        <v>683</v>
      </c>
      <c r="D94" s="280" t="s">
        <v>6648</v>
      </c>
      <c r="E94" s="497" t="s">
        <v>243</v>
      </c>
      <c r="F94" s="451"/>
      <c r="G94" s="462" t="s">
        <v>781</v>
      </c>
      <c r="H94" s="465" t="s">
        <v>5811</v>
      </c>
      <c r="I94" s="454"/>
      <c r="J94" s="454"/>
      <c r="K94" s="321"/>
      <c r="L94" s="279"/>
      <c r="M94" s="477" t="s">
        <v>6649</v>
      </c>
      <c r="N94" s="321"/>
      <c r="O94" s="321"/>
      <c r="P94" s="457">
        <v>2018.0</v>
      </c>
      <c r="Q94" s="457">
        <v>2026.0</v>
      </c>
      <c r="R94" s="458" t="s">
        <v>6650</v>
      </c>
      <c r="S94" s="321"/>
      <c r="T94" s="321"/>
      <c r="U94" s="321"/>
      <c r="V94" s="321"/>
      <c r="W94" s="321"/>
      <c r="X94" s="321"/>
      <c r="Y94" s="321"/>
      <c r="Z94" s="321"/>
      <c r="AA94" s="321"/>
      <c r="AB94" s="321"/>
      <c r="AC94" s="321"/>
      <c r="AD94" s="321"/>
    </row>
    <row r="95">
      <c r="A95" s="278" t="s">
        <v>44</v>
      </c>
      <c r="B95" s="279">
        <v>92.0</v>
      </c>
      <c r="C95" s="475" t="s">
        <v>1375</v>
      </c>
      <c r="D95" s="475" t="s">
        <v>6653</v>
      </c>
      <c r="E95" s="94" t="s">
        <v>49</v>
      </c>
      <c r="F95" s="479"/>
      <c r="G95" s="462" t="s">
        <v>5687</v>
      </c>
      <c r="H95" s="461"/>
      <c r="I95" s="454"/>
      <c r="J95" s="454"/>
      <c r="K95" s="321"/>
      <c r="L95" s="279"/>
      <c r="M95" s="477" t="s">
        <v>6654</v>
      </c>
      <c r="N95" s="321"/>
      <c r="O95" s="321"/>
      <c r="P95" s="457">
        <v>2018.0</v>
      </c>
      <c r="Q95" s="457">
        <v>2026.0</v>
      </c>
      <c r="R95" s="458" t="s">
        <v>6655</v>
      </c>
      <c r="S95" s="321"/>
      <c r="T95" s="321"/>
      <c r="U95" s="321"/>
      <c r="V95" s="321"/>
      <c r="W95" s="321"/>
      <c r="X95" s="321"/>
      <c r="Y95" s="321"/>
      <c r="Z95" s="321"/>
      <c r="AA95" s="321"/>
      <c r="AB95" s="321"/>
      <c r="AC95" s="321"/>
      <c r="AD95" s="321"/>
    </row>
    <row r="96">
      <c r="A96" s="278" t="s">
        <v>44</v>
      </c>
      <c r="B96" s="279">
        <v>93.0</v>
      </c>
      <c r="C96" s="449" t="s">
        <v>2560</v>
      </c>
      <c r="D96" s="449" t="s">
        <v>6658</v>
      </c>
      <c r="E96" s="94" t="s">
        <v>49</v>
      </c>
      <c r="F96" s="451"/>
      <c r="G96" s="462" t="s">
        <v>6659</v>
      </c>
      <c r="H96" s="465" t="s">
        <v>6660</v>
      </c>
      <c r="I96" s="454"/>
      <c r="J96" s="454"/>
      <c r="K96" s="321"/>
      <c r="L96" s="279"/>
      <c r="M96" s="477" t="s">
        <v>6661</v>
      </c>
      <c r="N96" s="321"/>
      <c r="O96" s="321"/>
      <c r="P96" s="468" t="s">
        <v>5768</v>
      </c>
      <c r="Q96" s="457">
        <v>2022.0</v>
      </c>
      <c r="R96" s="458" t="s">
        <v>6662</v>
      </c>
      <c r="S96" s="321"/>
      <c r="T96" s="321"/>
      <c r="U96" s="321"/>
      <c r="V96" s="321"/>
      <c r="W96" s="321"/>
      <c r="X96" s="321"/>
      <c r="Y96" s="321"/>
      <c r="Z96" s="321"/>
      <c r="AA96" s="321"/>
      <c r="AB96" s="321"/>
      <c r="AC96" s="321"/>
      <c r="AD96" s="321"/>
    </row>
    <row r="97">
      <c r="A97" s="278" t="s">
        <v>44</v>
      </c>
      <c r="B97" s="279">
        <v>94.0</v>
      </c>
      <c r="C97" s="280" t="s">
        <v>1214</v>
      </c>
      <c r="D97" s="280" t="s">
        <v>6664</v>
      </c>
      <c r="E97" s="464" t="s">
        <v>49</v>
      </c>
      <c r="F97" s="451"/>
      <c r="G97" s="462" t="s">
        <v>6630</v>
      </c>
      <c r="H97" s="461"/>
      <c r="I97" s="454"/>
      <c r="J97" s="454"/>
      <c r="K97" s="321"/>
      <c r="L97" s="279"/>
      <c r="M97" s="477" t="s">
        <v>6665</v>
      </c>
      <c r="N97" s="321"/>
      <c r="O97" s="321"/>
      <c r="P97" s="457">
        <v>2018.0</v>
      </c>
      <c r="Q97" s="457">
        <v>2026.0</v>
      </c>
      <c r="R97" s="458" t="s">
        <v>6666</v>
      </c>
      <c r="S97" s="321"/>
      <c r="T97" s="321"/>
      <c r="U97" s="321"/>
      <c r="V97" s="321"/>
      <c r="W97" s="321"/>
      <c r="X97" s="321"/>
      <c r="Y97" s="321"/>
      <c r="Z97" s="321"/>
      <c r="AA97" s="321"/>
      <c r="AB97" s="321"/>
      <c r="AC97" s="321"/>
      <c r="AD97" s="321"/>
    </row>
    <row r="98">
      <c r="A98" s="278" t="s">
        <v>44</v>
      </c>
      <c r="B98" s="279">
        <v>95.0</v>
      </c>
      <c r="C98" s="280" t="s">
        <v>1058</v>
      </c>
      <c r="D98" s="280" t="s">
        <v>6668</v>
      </c>
      <c r="E98" s="497" t="s">
        <v>243</v>
      </c>
      <c r="F98" s="451"/>
      <c r="G98" s="462" t="s">
        <v>6188</v>
      </c>
      <c r="H98" s="465" t="s">
        <v>6669</v>
      </c>
      <c r="I98" s="454"/>
      <c r="J98" s="454"/>
      <c r="K98" s="321"/>
      <c r="L98" s="279"/>
      <c r="M98" s="477" t="s">
        <v>6670</v>
      </c>
      <c r="N98" s="321"/>
      <c r="O98" s="321"/>
      <c r="P98" s="457">
        <v>2018.0</v>
      </c>
      <c r="Q98" s="457">
        <v>2026.0</v>
      </c>
      <c r="R98" s="458" t="s">
        <v>646</v>
      </c>
      <c r="S98" s="321"/>
      <c r="T98" s="321"/>
      <c r="U98" s="321"/>
      <c r="V98" s="321"/>
      <c r="W98" s="321"/>
      <c r="X98" s="321"/>
      <c r="Y98" s="321"/>
      <c r="Z98" s="321"/>
      <c r="AA98" s="321"/>
      <c r="AB98" s="321"/>
      <c r="AC98" s="321"/>
      <c r="AD98" s="321"/>
    </row>
    <row r="99">
      <c r="A99" s="278" t="s">
        <v>44</v>
      </c>
      <c r="B99" s="279">
        <v>96.0</v>
      </c>
      <c r="C99" s="449" t="s">
        <v>6673</v>
      </c>
      <c r="D99" s="449" t="s">
        <v>6674</v>
      </c>
      <c r="E99" s="94" t="s">
        <v>49</v>
      </c>
      <c r="F99" s="479"/>
      <c r="G99" s="462" t="s">
        <v>6173</v>
      </c>
      <c r="H99" s="465" t="s">
        <v>6086</v>
      </c>
      <c r="I99" s="454"/>
      <c r="J99" s="454"/>
      <c r="K99" s="321"/>
      <c r="L99" s="279"/>
      <c r="M99" s="477" t="s">
        <v>6675</v>
      </c>
      <c r="N99" s="321"/>
      <c r="O99" s="321"/>
      <c r="P99" s="457">
        <v>2016.0</v>
      </c>
      <c r="Q99" s="457">
        <v>2024.0</v>
      </c>
      <c r="R99" s="458" t="s">
        <v>6676</v>
      </c>
      <c r="S99" s="321"/>
      <c r="T99" s="321"/>
      <c r="U99" s="321"/>
      <c r="V99" s="321"/>
      <c r="W99" s="321"/>
      <c r="X99" s="321"/>
      <c r="Y99" s="321"/>
      <c r="Z99" s="321"/>
      <c r="AA99" s="321"/>
      <c r="AB99" s="321"/>
      <c r="AC99" s="321"/>
      <c r="AD99" s="321"/>
    </row>
    <row r="100">
      <c r="A100" s="278" t="s">
        <v>44</v>
      </c>
      <c r="B100" s="279">
        <v>97.0</v>
      </c>
      <c r="C100" s="280" t="s">
        <v>2084</v>
      </c>
      <c r="D100" s="280" t="s">
        <v>6679</v>
      </c>
      <c r="E100" s="94" t="s">
        <v>49</v>
      </c>
      <c r="F100" s="451"/>
      <c r="G100" s="462" t="s">
        <v>6626</v>
      </c>
      <c r="H100" s="461"/>
      <c r="I100" s="454"/>
      <c r="J100" s="454"/>
      <c r="K100" s="321"/>
      <c r="L100" s="279"/>
      <c r="M100" s="477" t="s">
        <v>6680</v>
      </c>
      <c r="N100" s="321"/>
      <c r="O100" s="321"/>
      <c r="P100" s="457">
        <v>2018.0</v>
      </c>
      <c r="Q100" s="457">
        <v>2026.0</v>
      </c>
      <c r="R100" s="458" t="s">
        <v>6682</v>
      </c>
      <c r="S100" s="321"/>
      <c r="T100" s="321"/>
      <c r="U100" s="321"/>
      <c r="V100" s="321"/>
      <c r="W100" s="321"/>
      <c r="X100" s="321"/>
      <c r="Y100" s="321"/>
      <c r="Z100" s="321"/>
      <c r="AA100" s="321"/>
      <c r="AB100" s="321"/>
      <c r="AC100" s="321"/>
      <c r="AD100" s="321"/>
    </row>
    <row r="101">
      <c r="A101" s="278" t="s">
        <v>44</v>
      </c>
      <c r="B101" s="279">
        <v>98.0</v>
      </c>
      <c r="C101" s="449" t="s">
        <v>45</v>
      </c>
      <c r="D101" s="449" t="s">
        <v>6685</v>
      </c>
      <c r="E101" s="94" t="s">
        <v>49</v>
      </c>
      <c r="F101" s="479"/>
      <c r="G101" s="462" t="s">
        <v>5591</v>
      </c>
      <c r="H101" s="461"/>
      <c r="I101" s="454"/>
      <c r="J101" s="454"/>
      <c r="K101" s="321"/>
      <c r="L101" s="279"/>
      <c r="M101" s="477" t="s">
        <v>6686</v>
      </c>
      <c r="N101" s="321"/>
      <c r="O101" s="321"/>
      <c r="P101" s="457">
        <v>2018.0</v>
      </c>
      <c r="Q101" s="457">
        <v>2026.0</v>
      </c>
      <c r="R101" s="458" t="s">
        <v>6690</v>
      </c>
      <c r="S101" s="321"/>
      <c r="T101" s="321"/>
      <c r="U101" s="321"/>
      <c r="V101" s="321"/>
      <c r="W101" s="321"/>
      <c r="X101" s="321"/>
      <c r="Y101" s="321"/>
      <c r="Z101" s="321"/>
      <c r="AA101" s="321"/>
      <c r="AB101" s="321"/>
      <c r="AC101" s="321"/>
      <c r="AD101" s="321"/>
    </row>
    <row r="102">
      <c r="A102" s="278" t="s">
        <v>44</v>
      </c>
      <c r="B102" s="279">
        <v>99.0</v>
      </c>
      <c r="C102" s="449" t="s">
        <v>6691</v>
      </c>
      <c r="D102" s="449" t="s">
        <v>5851</v>
      </c>
      <c r="E102" s="83" t="s">
        <v>53</v>
      </c>
      <c r="F102" s="479"/>
      <c r="G102" s="462" t="s">
        <v>6669</v>
      </c>
      <c r="H102" s="465" t="s">
        <v>5811</v>
      </c>
      <c r="I102" s="454"/>
      <c r="J102" s="454"/>
      <c r="K102" s="321"/>
      <c r="L102" s="279"/>
      <c r="M102" s="477" t="s">
        <v>6692</v>
      </c>
      <c r="N102" s="321"/>
      <c r="O102" s="321"/>
      <c r="P102" s="457">
        <v>2014.0</v>
      </c>
      <c r="Q102" s="457">
        <v>2022.0</v>
      </c>
      <c r="R102" s="458" t="s">
        <v>6694</v>
      </c>
      <c r="S102" s="321"/>
      <c r="T102" s="321"/>
      <c r="U102" s="321"/>
      <c r="V102" s="321"/>
      <c r="W102" s="321"/>
      <c r="X102" s="321"/>
      <c r="Y102" s="321"/>
      <c r="Z102" s="321"/>
      <c r="AA102" s="321"/>
      <c r="AB102" s="321"/>
      <c r="AC102" s="321"/>
      <c r="AD102" s="321"/>
    </row>
    <row r="103">
      <c r="A103" s="278" t="s">
        <v>44</v>
      </c>
      <c r="B103" s="279">
        <v>100.0</v>
      </c>
      <c r="C103" s="280" t="s">
        <v>100</v>
      </c>
      <c r="D103" s="280" t="s">
        <v>6696</v>
      </c>
      <c r="E103" s="83" t="s">
        <v>53</v>
      </c>
      <c r="F103" s="451"/>
      <c r="G103" s="462" t="s">
        <v>5823</v>
      </c>
      <c r="H103" s="461"/>
      <c r="I103" s="454"/>
      <c r="J103" s="454"/>
      <c r="K103" s="321"/>
      <c r="L103" s="279"/>
      <c r="M103" s="477" t="s">
        <v>6697</v>
      </c>
      <c r="N103" s="321"/>
      <c r="O103" s="321"/>
      <c r="P103" s="457">
        <v>2018.0</v>
      </c>
      <c r="Q103" s="457">
        <v>2026.0</v>
      </c>
      <c r="R103" s="458" t="s">
        <v>6699</v>
      </c>
      <c r="S103" s="321"/>
      <c r="T103" s="321"/>
      <c r="U103" s="321"/>
      <c r="V103" s="321"/>
      <c r="W103" s="321"/>
      <c r="X103" s="321"/>
      <c r="Y103" s="321"/>
      <c r="Z103" s="321"/>
      <c r="AA103" s="321"/>
      <c r="AB103" s="321"/>
      <c r="AC103" s="321"/>
      <c r="AD103" s="321"/>
    </row>
    <row r="104">
      <c r="A104" s="278" t="s">
        <v>44</v>
      </c>
      <c r="B104" s="279">
        <v>101.0</v>
      </c>
      <c r="C104" s="449" t="s">
        <v>108</v>
      </c>
      <c r="D104" s="449" t="s">
        <v>6700</v>
      </c>
      <c r="E104" s="83" t="s">
        <v>53</v>
      </c>
      <c r="F104" s="451"/>
      <c r="G104" s="462" t="s">
        <v>781</v>
      </c>
      <c r="H104" s="461"/>
      <c r="I104" s="454"/>
      <c r="J104" s="454"/>
      <c r="K104" s="321"/>
      <c r="L104" s="279"/>
      <c r="M104" s="477" t="s">
        <v>6703</v>
      </c>
      <c r="N104" s="321"/>
      <c r="O104" s="321"/>
      <c r="P104" s="457">
        <v>2016.0</v>
      </c>
      <c r="Q104" s="457">
        <v>2024.0</v>
      </c>
      <c r="R104" s="458" t="s">
        <v>6704</v>
      </c>
      <c r="S104" s="321"/>
      <c r="T104" s="321"/>
      <c r="U104" s="321"/>
      <c r="V104" s="321"/>
      <c r="W104" s="321"/>
      <c r="X104" s="321"/>
      <c r="Y104" s="321"/>
      <c r="Z104" s="321"/>
      <c r="AA104" s="321"/>
      <c r="AB104" s="321"/>
      <c r="AC104" s="321"/>
      <c r="AD104" s="321"/>
    </row>
    <row r="105">
      <c r="A105" s="278" t="s">
        <v>44</v>
      </c>
      <c r="B105" s="279">
        <v>102.0</v>
      </c>
      <c r="C105" s="280" t="s">
        <v>6707</v>
      </c>
      <c r="D105" s="280" t="s">
        <v>851</v>
      </c>
      <c r="E105" s="83" t="s">
        <v>53</v>
      </c>
      <c r="F105" s="451"/>
      <c r="G105" s="462" t="s">
        <v>2796</v>
      </c>
      <c r="H105" s="461"/>
      <c r="I105" s="454"/>
      <c r="J105" s="454"/>
      <c r="K105" s="321"/>
      <c r="L105" s="279"/>
      <c r="M105" s="477" t="s">
        <v>6708</v>
      </c>
      <c r="N105" s="321"/>
      <c r="O105" s="321"/>
      <c r="P105" s="457">
        <v>2018.0</v>
      </c>
      <c r="Q105" s="457">
        <v>2026.0</v>
      </c>
      <c r="R105" s="458" t="s">
        <v>6711</v>
      </c>
      <c r="S105" s="321"/>
      <c r="T105" s="321"/>
      <c r="U105" s="321"/>
      <c r="V105" s="321"/>
      <c r="W105" s="321"/>
      <c r="X105" s="321"/>
      <c r="Y105" s="321"/>
      <c r="Z105" s="321"/>
      <c r="AA105" s="321"/>
      <c r="AB105" s="321"/>
      <c r="AC105" s="321"/>
      <c r="AD105" s="321"/>
    </row>
    <row r="106">
      <c r="A106" s="278" t="s">
        <v>44</v>
      </c>
      <c r="B106" s="279">
        <v>103.0</v>
      </c>
      <c r="C106" s="449" t="s">
        <v>1040</v>
      </c>
      <c r="D106" s="449" t="s">
        <v>607</v>
      </c>
      <c r="E106" s="83" t="s">
        <v>53</v>
      </c>
      <c r="F106" s="451"/>
      <c r="G106" s="470" t="s">
        <v>5811</v>
      </c>
      <c r="H106" s="467"/>
      <c r="I106" s="454"/>
      <c r="J106" s="454"/>
      <c r="K106" s="321"/>
      <c r="L106" s="279"/>
      <c r="M106" s="477" t="s">
        <v>6715</v>
      </c>
      <c r="N106" s="321"/>
      <c r="O106" s="321"/>
      <c r="P106" s="457">
        <v>2012.0</v>
      </c>
      <c r="Q106" s="457">
        <v>2020.0</v>
      </c>
      <c r="R106" s="458" t="s">
        <v>6716</v>
      </c>
      <c r="S106" s="321"/>
      <c r="T106" s="321"/>
      <c r="U106" s="321"/>
      <c r="V106" s="321"/>
      <c r="W106" s="321"/>
      <c r="X106" s="321"/>
      <c r="Y106" s="321"/>
      <c r="Z106" s="321"/>
      <c r="AA106" s="321"/>
      <c r="AB106" s="321"/>
      <c r="AC106" s="321"/>
      <c r="AD106" s="321"/>
    </row>
    <row r="107">
      <c r="A107" s="278" t="s">
        <v>44</v>
      </c>
      <c r="B107" s="279">
        <v>104.0</v>
      </c>
      <c r="C107" s="280" t="s">
        <v>1897</v>
      </c>
      <c r="D107" s="280" t="s">
        <v>271</v>
      </c>
      <c r="E107" s="83" t="s">
        <v>53</v>
      </c>
      <c r="F107" s="451"/>
      <c r="G107" s="470" t="s">
        <v>6718</v>
      </c>
      <c r="H107" s="467"/>
      <c r="I107" s="454"/>
      <c r="J107" s="454"/>
      <c r="K107" s="321"/>
      <c r="L107" s="279"/>
      <c r="M107" s="477" t="s">
        <v>6719</v>
      </c>
      <c r="N107" s="321"/>
      <c r="O107" s="321"/>
      <c r="P107" s="457">
        <v>2018.0</v>
      </c>
      <c r="Q107" s="457">
        <v>2026.0</v>
      </c>
      <c r="R107" s="458" t="s">
        <v>675</v>
      </c>
      <c r="S107" s="321"/>
      <c r="T107" s="321"/>
      <c r="U107" s="321"/>
      <c r="V107" s="321"/>
      <c r="W107" s="321"/>
      <c r="X107" s="321"/>
      <c r="Y107" s="321"/>
      <c r="Z107" s="321"/>
      <c r="AA107" s="321"/>
      <c r="AB107" s="321"/>
      <c r="AC107" s="321"/>
      <c r="AD107" s="321"/>
    </row>
    <row r="108">
      <c r="A108" s="278" t="s">
        <v>44</v>
      </c>
      <c r="B108" s="279">
        <v>105.0</v>
      </c>
      <c r="C108" s="449" t="s">
        <v>28</v>
      </c>
      <c r="D108" s="449" t="s">
        <v>6723</v>
      </c>
      <c r="E108" s="83" t="s">
        <v>53</v>
      </c>
      <c r="F108" s="451"/>
      <c r="G108" s="453" t="s">
        <v>5766</v>
      </c>
      <c r="H108" s="461"/>
      <c r="I108" s="454"/>
      <c r="J108" s="454"/>
      <c r="K108" s="321"/>
      <c r="L108" s="279"/>
      <c r="M108" s="477" t="s">
        <v>6724</v>
      </c>
      <c r="N108" s="321"/>
      <c r="O108" s="321"/>
      <c r="P108" s="457">
        <v>2014.0</v>
      </c>
      <c r="Q108" s="457">
        <v>2022.0</v>
      </c>
      <c r="R108" s="458" t="s">
        <v>6725</v>
      </c>
      <c r="S108" s="321"/>
      <c r="T108" s="321"/>
      <c r="U108" s="321"/>
      <c r="V108" s="321"/>
      <c r="W108" s="321"/>
      <c r="X108" s="321"/>
      <c r="Y108" s="321"/>
      <c r="Z108" s="321"/>
      <c r="AA108" s="321"/>
      <c r="AB108" s="321"/>
      <c r="AC108" s="321"/>
      <c r="AD108" s="321"/>
    </row>
    <row r="109">
      <c r="A109" s="278" t="s">
        <v>44</v>
      </c>
      <c r="B109" s="279">
        <v>106.0</v>
      </c>
      <c r="C109" s="449" t="s">
        <v>45</v>
      </c>
      <c r="D109" s="449" t="s">
        <v>6729</v>
      </c>
      <c r="E109" s="83" t="s">
        <v>53</v>
      </c>
      <c r="F109" s="451"/>
      <c r="G109" s="462" t="s">
        <v>5999</v>
      </c>
      <c r="H109" s="461"/>
      <c r="I109" s="454"/>
      <c r="J109" s="454"/>
      <c r="K109" s="321"/>
      <c r="L109" s="279"/>
      <c r="M109" s="477" t="s">
        <v>6730</v>
      </c>
      <c r="N109" s="321"/>
      <c r="O109" s="321"/>
      <c r="P109" s="457">
        <v>2016.0</v>
      </c>
      <c r="Q109" s="457">
        <v>2024.0</v>
      </c>
      <c r="R109" s="458" t="s">
        <v>6732</v>
      </c>
      <c r="S109" s="321"/>
      <c r="T109" s="321"/>
      <c r="U109" s="321"/>
      <c r="V109" s="321"/>
      <c r="W109" s="321"/>
      <c r="X109" s="321"/>
      <c r="Y109" s="321"/>
      <c r="Z109" s="321"/>
      <c r="AA109" s="321"/>
      <c r="AB109" s="321"/>
      <c r="AC109" s="321"/>
      <c r="AD109" s="321"/>
    </row>
    <row r="110">
      <c r="A110" s="278" t="s">
        <v>44</v>
      </c>
      <c r="B110" s="279">
        <v>107.0</v>
      </c>
      <c r="C110" s="449" t="s">
        <v>3369</v>
      </c>
      <c r="D110" s="449" t="s">
        <v>1763</v>
      </c>
      <c r="E110" s="94" t="s">
        <v>49</v>
      </c>
      <c r="F110" s="451"/>
      <c r="G110" s="462" t="s">
        <v>6188</v>
      </c>
      <c r="H110" s="465" t="s">
        <v>578</v>
      </c>
      <c r="I110" s="454"/>
      <c r="J110" s="454"/>
      <c r="K110" s="321"/>
      <c r="L110" s="279"/>
      <c r="M110" s="477" t="s">
        <v>6737</v>
      </c>
      <c r="N110" s="321"/>
      <c r="O110" s="321"/>
      <c r="P110" s="457">
        <v>2016.0</v>
      </c>
      <c r="Q110" s="457">
        <v>2024.0</v>
      </c>
      <c r="R110" s="458" t="s">
        <v>6739</v>
      </c>
      <c r="S110" s="321"/>
      <c r="T110" s="321"/>
      <c r="U110" s="321"/>
      <c r="V110" s="321"/>
      <c r="W110" s="321"/>
      <c r="X110" s="321"/>
      <c r="Y110" s="321"/>
      <c r="Z110" s="321"/>
      <c r="AA110" s="321"/>
      <c r="AB110" s="321"/>
      <c r="AC110" s="321"/>
      <c r="AD110" s="321"/>
    </row>
    <row r="111">
      <c r="A111" s="278" t="s">
        <v>44</v>
      </c>
      <c r="B111" s="279">
        <v>108.0</v>
      </c>
      <c r="C111" s="280" t="s">
        <v>311</v>
      </c>
      <c r="D111" s="280" t="s">
        <v>6740</v>
      </c>
      <c r="E111" s="83" t="s">
        <v>53</v>
      </c>
      <c r="F111" s="451"/>
      <c r="G111" s="462" t="s">
        <v>6626</v>
      </c>
      <c r="H111" s="461"/>
      <c r="I111" s="454"/>
      <c r="J111" s="454"/>
      <c r="K111" s="321"/>
      <c r="L111" s="279"/>
      <c r="M111" s="477" t="s">
        <v>6741</v>
      </c>
      <c r="N111" s="321"/>
      <c r="O111" s="321"/>
      <c r="P111" s="457">
        <v>2018.0</v>
      </c>
      <c r="Q111" s="457">
        <v>2026.0</v>
      </c>
      <c r="R111" s="458" t="s">
        <v>3913</v>
      </c>
      <c r="S111" s="321"/>
      <c r="T111" s="321"/>
      <c r="U111" s="321"/>
      <c r="V111" s="321"/>
      <c r="W111" s="321"/>
      <c r="X111" s="321"/>
      <c r="Y111" s="321"/>
      <c r="Z111" s="321"/>
      <c r="AA111" s="321"/>
      <c r="AB111" s="321"/>
      <c r="AC111" s="321"/>
      <c r="AD111" s="321"/>
    </row>
    <row r="112">
      <c r="A112" s="278" t="s">
        <v>44</v>
      </c>
      <c r="B112" s="279">
        <v>109.0</v>
      </c>
      <c r="C112" s="280" t="s">
        <v>1193</v>
      </c>
      <c r="D112" s="280" t="s">
        <v>6034</v>
      </c>
      <c r="E112" s="94" t="s">
        <v>49</v>
      </c>
      <c r="F112" s="451"/>
      <c r="G112" s="462" t="s">
        <v>578</v>
      </c>
      <c r="H112" s="461"/>
      <c r="I112" s="454"/>
      <c r="J112" s="454"/>
      <c r="K112" s="321"/>
      <c r="L112" s="279"/>
      <c r="M112" s="477" t="s">
        <v>6745</v>
      </c>
      <c r="N112" s="321"/>
      <c r="O112" s="321"/>
      <c r="P112" s="457">
        <v>2018.0</v>
      </c>
      <c r="Q112" s="457">
        <v>2026.0</v>
      </c>
      <c r="R112" s="458" t="s">
        <v>6746</v>
      </c>
      <c r="S112" s="321"/>
      <c r="T112" s="321"/>
      <c r="U112" s="321"/>
      <c r="V112" s="321"/>
      <c r="W112" s="321"/>
      <c r="X112" s="321"/>
      <c r="Y112" s="321"/>
      <c r="Z112" s="321"/>
      <c r="AA112" s="321"/>
      <c r="AB112" s="321"/>
      <c r="AC112" s="321"/>
      <c r="AD112" s="321"/>
    </row>
    <row r="113">
      <c r="A113" s="278" t="s">
        <v>44</v>
      </c>
      <c r="B113" s="279">
        <v>110.0</v>
      </c>
      <c r="C113" s="449" t="s">
        <v>84</v>
      </c>
      <c r="D113" s="449" t="s">
        <v>4084</v>
      </c>
      <c r="E113" s="94" t="s">
        <v>49</v>
      </c>
      <c r="F113" s="451"/>
      <c r="G113" s="462" t="s">
        <v>2796</v>
      </c>
      <c r="H113" s="461"/>
      <c r="I113" s="454"/>
      <c r="J113" s="454"/>
      <c r="K113" s="321"/>
      <c r="L113" s="279"/>
      <c r="M113" s="477" t="s">
        <v>6751</v>
      </c>
      <c r="N113" s="321"/>
      <c r="O113" s="321"/>
      <c r="P113" s="457">
        <v>2016.0</v>
      </c>
      <c r="Q113" s="457">
        <v>2024.0</v>
      </c>
      <c r="R113" s="458" t="s">
        <v>6746</v>
      </c>
      <c r="S113" s="321"/>
      <c r="T113" s="321"/>
      <c r="U113" s="321"/>
      <c r="V113" s="321"/>
      <c r="W113" s="321"/>
      <c r="X113" s="321"/>
      <c r="Y113" s="321"/>
      <c r="Z113" s="321"/>
      <c r="AA113" s="321"/>
      <c r="AB113" s="321"/>
      <c r="AC113" s="321"/>
      <c r="AD113" s="321"/>
    </row>
    <row r="114">
      <c r="A114" s="278" t="s">
        <v>44</v>
      </c>
      <c r="B114" s="279">
        <v>111.0</v>
      </c>
      <c r="C114" s="280" t="s">
        <v>5231</v>
      </c>
      <c r="D114" s="280" t="s">
        <v>4099</v>
      </c>
      <c r="E114" s="83" t="s">
        <v>53</v>
      </c>
      <c r="F114" s="451"/>
      <c r="G114" s="462" t="s">
        <v>2667</v>
      </c>
      <c r="H114" s="465" t="s">
        <v>5687</v>
      </c>
      <c r="I114" s="454"/>
      <c r="J114" s="454"/>
      <c r="K114" s="321"/>
      <c r="L114" s="279"/>
      <c r="M114" s="477" t="s">
        <v>6753</v>
      </c>
      <c r="N114" s="321"/>
      <c r="O114" s="321"/>
      <c r="P114" s="468" t="s">
        <v>6755</v>
      </c>
      <c r="Q114" s="457">
        <v>2026.0</v>
      </c>
      <c r="R114" s="458" t="s">
        <v>6756</v>
      </c>
      <c r="S114" s="321"/>
      <c r="T114" s="321"/>
      <c r="U114" s="321"/>
      <c r="V114" s="321"/>
      <c r="W114" s="321"/>
      <c r="X114" s="321"/>
      <c r="Y114" s="321"/>
      <c r="Z114" s="321"/>
      <c r="AA114" s="321"/>
      <c r="AB114" s="321"/>
      <c r="AC114" s="321"/>
      <c r="AD114" s="321"/>
    </row>
    <row r="115">
      <c r="A115" s="278" t="s">
        <v>44</v>
      </c>
      <c r="B115" s="279">
        <v>112.0</v>
      </c>
      <c r="C115" s="449" t="s">
        <v>561</v>
      </c>
      <c r="D115" s="449" t="s">
        <v>6759</v>
      </c>
      <c r="E115" s="83" t="s">
        <v>53</v>
      </c>
      <c r="F115" s="451"/>
      <c r="G115" s="462" t="s">
        <v>5589</v>
      </c>
      <c r="H115" s="465" t="s">
        <v>6669</v>
      </c>
      <c r="I115" s="460" t="s">
        <v>5670</v>
      </c>
      <c r="J115" s="454"/>
      <c r="K115" s="321"/>
      <c r="L115" s="279"/>
      <c r="M115" s="477" t="s">
        <v>6760</v>
      </c>
      <c r="N115" s="321"/>
      <c r="O115" s="321"/>
      <c r="P115" s="457">
        <v>2014.0</v>
      </c>
      <c r="Q115" s="457">
        <v>2022.0</v>
      </c>
      <c r="R115" s="458" t="s">
        <v>6762</v>
      </c>
      <c r="S115" s="321"/>
      <c r="T115" s="321"/>
      <c r="U115" s="321"/>
      <c r="V115" s="321"/>
      <c r="W115" s="321"/>
      <c r="X115" s="321"/>
      <c r="Y115" s="321"/>
      <c r="Z115" s="321"/>
      <c r="AA115" s="321"/>
      <c r="AB115" s="321"/>
      <c r="AC115" s="321"/>
      <c r="AD115" s="321"/>
    </row>
    <row r="116">
      <c r="A116" s="278" t="s">
        <v>44</v>
      </c>
      <c r="B116" s="279">
        <v>113.0</v>
      </c>
      <c r="C116" s="280" t="s">
        <v>45</v>
      </c>
      <c r="D116" s="280" t="s">
        <v>5784</v>
      </c>
      <c r="E116" s="464" t="s">
        <v>49</v>
      </c>
      <c r="F116" s="451"/>
      <c r="G116" s="462" t="s">
        <v>6086</v>
      </c>
      <c r="H116" s="461"/>
      <c r="I116" s="454"/>
      <c r="J116" s="454"/>
      <c r="K116" s="321"/>
      <c r="L116" s="279"/>
      <c r="M116" s="477" t="s">
        <v>6765</v>
      </c>
      <c r="N116" s="321"/>
      <c r="O116" s="321"/>
      <c r="P116" s="457">
        <v>2018.0</v>
      </c>
      <c r="Q116" s="457">
        <v>2026.0</v>
      </c>
      <c r="R116" s="458" t="s">
        <v>6766</v>
      </c>
      <c r="S116" s="321"/>
      <c r="T116" s="321"/>
      <c r="U116" s="321"/>
      <c r="V116" s="321"/>
      <c r="W116" s="321"/>
      <c r="X116" s="321"/>
      <c r="Y116" s="321"/>
      <c r="Z116" s="321"/>
      <c r="AA116" s="321"/>
      <c r="AB116" s="321"/>
      <c r="AC116" s="321"/>
      <c r="AD116" s="321"/>
    </row>
    <row r="117">
      <c r="A117" s="278" t="s">
        <v>44</v>
      </c>
      <c r="B117" s="279">
        <v>114.0</v>
      </c>
      <c r="C117" s="280" t="s">
        <v>179</v>
      </c>
      <c r="D117" s="280" t="s">
        <v>293</v>
      </c>
      <c r="E117" s="83" t="s">
        <v>53</v>
      </c>
      <c r="F117" s="451"/>
      <c r="G117" s="462" t="s">
        <v>6669</v>
      </c>
      <c r="H117" s="461"/>
      <c r="I117" s="454"/>
      <c r="J117" s="454"/>
      <c r="K117" s="321"/>
      <c r="L117" s="279"/>
      <c r="M117" s="477" t="s">
        <v>6768</v>
      </c>
      <c r="N117" s="321"/>
      <c r="O117" s="321"/>
      <c r="P117" s="457">
        <v>2018.0</v>
      </c>
      <c r="Q117" s="457">
        <v>2026.0</v>
      </c>
      <c r="R117" s="458" t="s">
        <v>3194</v>
      </c>
      <c r="S117" s="321"/>
      <c r="T117" s="321"/>
      <c r="U117" s="321"/>
      <c r="V117" s="321"/>
      <c r="W117" s="321"/>
      <c r="X117" s="321"/>
      <c r="Y117" s="321"/>
      <c r="Z117" s="321"/>
      <c r="AA117" s="321"/>
      <c r="AB117" s="321"/>
      <c r="AC117" s="321"/>
      <c r="AD117" s="321"/>
    </row>
    <row r="118">
      <c r="A118" s="278" t="s">
        <v>44</v>
      </c>
      <c r="B118" s="279">
        <v>115.0</v>
      </c>
      <c r="C118" s="280" t="s">
        <v>6769</v>
      </c>
      <c r="D118" s="280" t="s">
        <v>6770</v>
      </c>
      <c r="E118" s="531" t="s">
        <v>53</v>
      </c>
      <c r="F118" s="451"/>
      <c r="G118" s="462" t="s">
        <v>6212</v>
      </c>
      <c r="H118" s="465" t="s">
        <v>5999</v>
      </c>
      <c r="I118" s="454"/>
      <c r="J118" s="454"/>
      <c r="K118" s="321"/>
      <c r="L118" s="279"/>
      <c r="M118" s="477" t="s">
        <v>6772</v>
      </c>
      <c r="N118" s="321"/>
      <c r="O118" s="321"/>
      <c r="P118" s="457">
        <v>2018.0</v>
      </c>
      <c r="Q118" s="457">
        <v>2026.0</v>
      </c>
      <c r="R118" s="458" t="s">
        <v>6774</v>
      </c>
      <c r="S118" s="321"/>
      <c r="T118" s="321"/>
      <c r="U118" s="321"/>
      <c r="V118" s="321"/>
      <c r="W118" s="321"/>
      <c r="X118" s="321"/>
      <c r="Y118" s="321"/>
      <c r="Z118" s="321"/>
      <c r="AA118" s="321"/>
      <c r="AB118" s="321"/>
      <c r="AC118" s="321"/>
      <c r="AD118" s="321"/>
    </row>
    <row r="119">
      <c r="A119" s="278" t="s">
        <v>44</v>
      </c>
      <c r="B119" s="279">
        <v>116.0</v>
      </c>
      <c r="C119" s="449" t="s">
        <v>1112</v>
      </c>
      <c r="D119" s="449" t="s">
        <v>6776</v>
      </c>
      <c r="E119" s="83" t="s">
        <v>53</v>
      </c>
      <c r="F119" s="451"/>
      <c r="G119" s="462" t="s">
        <v>5823</v>
      </c>
      <c r="H119" s="461"/>
      <c r="I119" s="454"/>
      <c r="J119" s="454"/>
      <c r="K119" s="321"/>
      <c r="L119" s="279"/>
      <c r="M119" s="477" t="s">
        <v>6777</v>
      </c>
      <c r="N119" s="321"/>
      <c r="O119" s="321"/>
      <c r="P119" s="457">
        <v>2014.0</v>
      </c>
      <c r="Q119" s="457">
        <v>2022.0</v>
      </c>
      <c r="R119" s="458" t="s">
        <v>6779</v>
      </c>
      <c r="S119" s="321"/>
      <c r="T119" s="321"/>
      <c r="U119" s="321"/>
      <c r="V119" s="321"/>
      <c r="W119" s="321"/>
      <c r="X119" s="321"/>
      <c r="Y119" s="321"/>
      <c r="Z119" s="321"/>
      <c r="AA119" s="321"/>
      <c r="AB119" s="321"/>
      <c r="AC119" s="321"/>
      <c r="AD119" s="321"/>
    </row>
    <row r="120">
      <c r="A120" s="278" t="s">
        <v>44</v>
      </c>
      <c r="B120" s="279">
        <v>117.0</v>
      </c>
      <c r="C120" s="449" t="s">
        <v>1466</v>
      </c>
      <c r="D120" s="449" t="s">
        <v>4842</v>
      </c>
      <c r="E120" s="83" t="s">
        <v>53</v>
      </c>
      <c r="F120" s="479"/>
      <c r="G120" s="462" t="s">
        <v>5811</v>
      </c>
      <c r="H120" s="461"/>
      <c r="I120" s="454"/>
      <c r="J120" s="454"/>
      <c r="K120" s="321"/>
      <c r="L120" s="279"/>
      <c r="M120" s="477" t="s">
        <v>6783</v>
      </c>
      <c r="N120" s="321"/>
      <c r="O120" s="321"/>
      <c r="P120" s="457">
        <v>2014.0</v>
      </c>
      <c r="Q120" s="457">
        <v>2022.0</v>
      </c>
      <c r="R120" s="458" t="s">
        <v>264</v>
      </c>
      <c r="S120" s="321"/>
      <c r="T120" s="321"/>
      <c r="U120" s="321"/>
      <c r="V120" s="321"/>
      <c r="W120" s="321"/>
      <c r="X120" s="321"/>
      <c r="Y120" s="321"/>
      <c r="Z120" s="321"/>
      <c r="AA120" s="321"/>
      <c r="AB120" s="321"/>
      <c r="AC120" s="321"/>
      <c r="AD120" s="321"/>
    </row>
    <row r="121">
      <c r="A121" s="278" t="s">
        <v>44</v>
      </c>
      <c r="B121" s="279">
        <v>118.0</v>
      </c>
      <c r="C121" s="449" t="s">
        <v>1626</v>
      </c>
      <c r="D121" s="449" t="s">
        <v>6786</v>
      </c>
      <c r="E121" s="83" t="s">
        <v>53</v>
      </c>
      <c r="F121" s="479"/>
      <c r="G121" s="462" t="s">
        <v>6718</v>
      </c>
      <c r="H121" s="461"/>
      <c r="I121" s="454"/>
      <c r="J121" s="454"/>
      <c r="K121" s="321"/>
      <c r="L121" s="279"/>
      <c r="M121" s="477" t="s">
        <v>6787</v>
      </c>
      <c r="N121" s="321"/>
      <c r="O121" s="321"/>
      <c r="P121" s="457">
        <v>2016.0</v>
      </c>
      <c r="Q121" s="457">
        <v>2024.0</v>
      </c>
      <c r="R121" s="458" t="s">
        <v>6788</v>
      </c>
      <c r="S121" s="321"/>
      <c r="T121" s="321"/>
      <c r="U121" s="321"/>
      <c r="V121" s="321"/>
      <c r="W121" s="321"/>
      <c r="X121" s="321"/>
      <c r="Y121" s="321"/>
      <c r="Z121" s="321"/>
      <c r="AA121" s="321"/>
      <c r="AB121" s="321"/>
      <c r="AC121" s="321"/>
      <c r="AD121" s="321"/>
    </row>
    <row r="122">
      <c r="A122" s="278" t="s">
        <v>44</v>
      </c>
      <c r="B122" s="279">
        <v>119.0</v>
      </c>
      <c r="C122" s="449" t="s">
        <v>679</v>
      </c>
      <c r="D122" s="449" t="s">
        <v>6792</v>
      </c>
      <c r="E122" s="83" t="s">
        <v>53</v>
      </c>
      <c r="F122" s="479"/>
      <c r="G122" s="462" t="s">
        <v>6086</v>
      </c>
      <c r="H122" s="461"/>
      <c r="I122" s="454"/>
      <c r="J122" s="454"/>
      <c r="K122" s="321"/>
      <c r="L122" s="279"/>
      <c r="M122" s="477" t="s">
        <v>6794</v>
      </c>
      <c r="N122" s="321"/>
      <c r="O122" s="321"/>
      <c r="P122" s="457">
        <v>2014.0</v>
      </c>
      <c r="Q122" s="457">
        <v>2022.0</v>
      </c>
      <c r="R122" s="458" t="s">
        <v>6795</v>
      </c>
      <c r="S122" s="321"/>
      <c r="T122" s="321"/>
      <c r="U122" s="321"/>
      <c r="V122" s="321"/>
      <c r="W122" s="321"/>
      <c r="X122" s="321"/>
      <c r="Y122" s="321"/>
      <c r="Z122" s="321"/>
      <c r="AA122" s="321"/>
      <c r="AB122" s="321"/>
      <c r="AC122" s="321"/>
      <c r="AD122" s="321"/>
    </row>
    <row r="123">
      <c r="A123" s="278" t="s">
        <v>44</v>
      </c>
      <c r="B123" s="279">
        <v>120.0</v>
      </c>
      <c r="C123" s="449" t="s">
        <v>6798</v>
      </c>
      <c r="D123" s="449" t="s">
        <v>6799</v>
      </c>
      <c r="E123" s="533" t="s">
        <v>243</v>
      </c>
      <c r="F123" s="451"/>
      <c r="G123" s="453" t="s">
        <v>5766</v>
      </c>
      <c r="H123" s="461"/>
      <c r="I123" s="454"/>
      <c r="J123" s="454"/>
      <c r="K123" s="321"/>
      <c r="L123" s="279"/>
      <c r="M123" s="477" t="s">
        <v>6800</v>
      </c>
      <c r="N123" s="321"/>
      <c r="O123" s="321"/>
      <c r="P123" s="457">
        <v>2014.0</v>
      </c>
      <c r="Q123" s="457">
        <v>2022.0</v>
      </c>
      <c r="R123" s="458" t="s">
        <v>6802</v>
      </c>
      <c r="S123" s="321"/>
      <c r="T123" s="321"/>
      <c r="U123" s="321"/>
      <c r="V123" s="321"/>
      <c r="W123" s="321"/>
      <c r="X123" s="321"/>
      <c r="Y123" s="321"/>
      <c r="Z123" s="321"/>
      <c r="AA123" s="321"/>
      <c r="AB123" s="321"/>
      <c r="AC123" s="321"/>
      <c r="AD123" s="321"/>
    </row>
    <row r="124">
      <c r="A124" s="278" t="s">
        <v>44</v>
      </c>
      <c r="B124" s="279">
        <v>121.0</v>
      </c>
      <c r="C124" s="449" t="s">
        <v>199</v>
      </c>
      <c r="D124" s="449" t="s">
        <v>6805</v>
      </c>
      <c r="E124" s="83" t="s">
        <v>53</v>
      </c>
      <c r="F124" s="479"/>
      <c r="G124" s="462" t="s">
        <v>6626</v>
      </c>
      <c r="H124" s="461"/>
      <c r="I124" s="454"/>
      <c r="J124" s="454"/>
      <c r="K124" s="321"/>
      <c r="L124" s="279"/>
      <c r="M124" s="477" t="s">
        <v>6807</v>
      </c>
      <c r="N124" s="321"/>
      <c r="O124" s="321"/>
      <c r="P124" s="457">
        <v>2018.0</v>
      </c>
      <c r="Q124" s="457">
        <v>2026.0</v>
      </c>
      <c r="R124" s="458" t="s">
        <v>6808</v>
      </c>
      <c r="S124" s="321"/>
      <c r="T124" s="321"/>
      <c r="U124" s="321"/>
      <c r="V124" s="321"/>
      <c r="W124" s="321"/>
      <c r="X124" s="321"/>
      <c r="Y124" s="321"/>
      <c r="Z124" s="321"/>
      <c r="AA124" s="321"/>
      <c r="AB124" s="321"/>
      <c r="AC124" s="321"/>
      <c r="AD124" s="321"/>
    </row>
    <row r="125">
      <c r="A125" s="278" t="s">
        <v>44</v>
      </c>
      <c r="B125" s="279">
        <v>122.0</v>
      </c>
      <c r="C125" s="449" t="s">
        <v>22</v>
      </c>
      <c r="D125" s="449" t="s">
        <v>6811</v>
      </c>
      <c r="E125" s="94" t="s">
        <v>49</v>
      </c>
      <c r="F125" s="451"/>
      <c r="G125" s="462" t="s">
        <v>5951</v>
      </c>
      <c r="H125" s="461"/>
      <c r="I125" s="454"/>
      <c r="J125" s="454"/>
      <c r="K125" s="321"/>
      <c r="L125" s="279"/>
      <c r="M125" s="477" t="s">
        <v>6812</v>
      </c>
      <c r="N125" s="321"/>
      <c r="O125" s="321"/>
      <c r="P125" s="457">
        <v>2014.0</v>
      </c>
      <c r="Q125" s="457">
        <v>2022.0</v>
      </c>
      <c r="R125" s="458" t="s">
        <v>6814</v>
      </c>
      <c r="S125" s="321"/>
      <c r="T125" s="321"/>
      <c r="U125" s="321"/>
      <c r="V125" s="321"/>
      <c r="W125" s="321"/>
      <c r="X125" s="321"/>
      <c r="Y125" s="321"/>
      <c r="Z125" s="321"/>
      <c r="AA125" s="321"/>
      <c r="AB125" s="321"/>
      <c r="AC125" s="321"/>
      <c r="AD125" s="321"/>
    </row>
    <row r="126">
      <c r="A126" s="278" t="s">
        <v>44</v>
      </c>
      <c r="B126" s="279">
        <v>123.0</v>
      </c>
      <c r="C126" s="449" t="s">
        <v>2780</v>
      </c>
      <c r="D126" s="449" t="s">
        <v>6817</v>
      </c>
      <c r="E126" s="94" t="s">
        <v>49</v>
      </c>
      <c r="F126" s="451"/>
      <c r="G126" s="462" t="s">
        <v>5687</v>
      </c>
      <c r="H126" s="461"/>
      <c r="I126" s="454"/>
      <c r="J126" s="454"/>
      <c r="K126" s="321"/>
      <c r="L126" s="279"/>
      <c r="M126" s="477" t="s">
        <v>6818</v>
      </c>
      <c r="N126" s="321"/>
      <c r="O126" s="321"/>
      <c r="P126" s="457">
        <v>2012.0</v>
      </c>
      <c r="Q126" s="457">
        <v>2020.0</v>
      </c>
      <c r="R126" s="458" t="s">
        <v>6819</v>
      </c>
      <c r="S126" s="321"/>
      <c r="T126" s="321"/>
      <c r="U126" s="321"/>
      <c r="V126" s="321"/>
      <c r="W126" s="321"/>
      <c r="X126" s="321"/>
      <c r="Y126" s="321"/>
      <c r="Z126" s="321"/>
      <c r="AA126" s="321"/>
      <c r="AB126" s="321"/>
      <c r="AC126" s="321"/>
      <c r="AD126" s="321"/>
    </row>
    <row r="127">
      <c r="A127" s="278" t="s">
        <v>44</v>
      </c>
      <c r="B127" s="279">
        <v>124.0</v>
      </c>
      <c r="C127" s="280" t="s">
        <v>6821</v>
      </c>
      <c r="D127" s="280"/>
      <c r="E127" s="535"/>
      <c r="F127" s="451"/>
      <c r="G127" s="462"/>
      <c r="H127" s="461"/>
      <c r="I127" s="454"/>
      <c r="J127" s="454"/>
      <c r="K127" s="321"/>
      <c r="L127" s="279"/>
      <c r="M127" s="321"/>
      <c r="N127" s="321"/>
      <c r="O127" s="321"/>
      <c r="P127" s="536"/>
      <c r="Q127" s="538"/>
      <c r="R127" s="458" t="s">
        <v>6825</v>
      </c>
      <c r="S127" s="321"/>
      <c r="T127" s="321"/>
      <c r="U127" s="321"/>
      <c r="V127" s="321"/>
      <c r="W127" s="321"/>
      <c r="X127" s="321"/>
      <c r="Y127" s="321"/>
      <c r="Z127" s="321"/>
      <c r="AA127" s="321"/>
      <c r="AB127" s="321"/>
      <c r="AC127" s="321"/>
      <c r="AD127" s="321"/>
    </row>
    <row r="128">
      <c r="A128" s="278" t="s">
        <v>44</v>
      </c>
      <c r="B128" s="279">
        <v>125.0</v>
      </c>
      <c r="C128" s="449" t="s">
        <v>1214</v>
      </c>
      <c r="D128" s="449" t="s">
        <v>6829</v>
      </c>
      <c r="E128" s="94" t="s">
        <v>49</v>
      </c>
      <c r="F128" s="451"/>
      <c r="G128" s="462" t="s">
        <v>6830</v>
      </c>
      <c r="H128" s="461"/>
      <c r="I128" s="454"/>
      <c r="J128" s="454"/>
      <c r="K128" s="321"/>
      <c r="L128" s="279"/>
      <c r="M128" s="477" t="s">
        <v>6831</v>
      </c>
      <c r="N128" s="321"/>
      <c r="O128" s="321"/>
      <c r="P128" s="457">
        <v>2012.0</v>
      </c>
      <c r="Q128" s="457">
        <v>2020.0</v>
      </c>
      <c r="R128" s="458" t="s">
        <v>6825</v>
      </c>
      <c r="S128" s="321"/>
      <c r="T128" s="321"/>
      <c r="U128" s="321"/>
      <c r="V128" s="321"/>
      <c r="W128" s="321"/>
      <c r="X128" s="321"/>
      <c r="Y128" s="321"/>
      <c r="Z128" s="321"/>
      <c r="AA128" s="321"/>
      <c r="AB128" s="321"/>
      <c r="AC128" s="321"/>
      <c r="AD128" s="321"/>
    </row>
    <row r="129">
      <c r="A129" s="278" t="s">
        <v>44</v>
      </c>
      <c r="B129" s="279">
        <v>126.0</v>
      </c>
      <c r="C129" s="449" t="s">
        <v>278</v>
      </c>
      <c r="D129" s="449" t="s">
        <v>6835</v>
      </c>
      <c r="E129" s="94" t="s">
        <v>49</v>
      </c>
      <c r="F129" s="451"/>
      <c r="G129" s="462" t="s">
        <v>5999</v>
      </c>
      <c r="H129" s="461"/>
      <c r="I129" s="454"/>
      <c r="J129" s="454"/>
      <c r="K129" s="321"/>
      <c r="L129" s="279"/>
      <c r="M129" s="477" t="s">
        <v>6836</v>
      </c>
      <c r="N129" s="321"/>
      <c r="O129" s="321"/>
      <c r="P129" s="457">
        <v>2012.0</v>
      </c>
      <c r="Q129" s="457">
        <v>2020.0</v>
      </c>
      <c r="R129" s="458" t="s">
        <v>6825</v>
      </c>
      <c r="S129" s="321"/>
      <c r="T129" s="321"/>
      <c r="U129" s="321"/>
      <c r="V129" s="321"/>
      <c r="W129" s="321"/>
      <c r="X129" s="321"/>
      <c r="Y129" s="321"/>
      <c r="Z129" s="321"/>
      <c r="AA129" s="321"/>
      <c r="AB129" s="321"/>
      <c r="AC129" s="321"/>
      <c r="AD129" s="321"/>
    </row>
    <row r="130">
      <c r="A130" s="278" t="s">
        <v>44</v>
      </c>
      <c r="B130" s="279">
        <v>127.0</v>
      </c>
      <c r="C130" s="449" t="s">
        <v>384</v>
      </c>
      <c r="D130" s="449" t="s">
        <v>6840</v>
      </c>
      <c r="E130" s="94" t="s">
        <v>49</v>
      </c>
      <c r="F130" s="451"/>
      <c r="G130" s="462" t="s">
        <v>781</v>
      </c>
      <c r="H130" s="461"/>
      <c r="I130" s="454"/>
      <c r="J130" s="454"/>
      <c r="K130" s="321"/>
      <c r="L130" s="279"/>
      <c r="M130" s="477" t="s">
        <v>6841</v>
      </c>
      <c r="N130" s="321"/>
      <c r="O130" s="321"/>
      <c r="P130" s="457">
        <v>2016.0</v>
      </c>
      <c r="Q130" s="457">
        <v>2024.0</v>
      </c>
      <c r="R130" s="458" t="s">
        <v>6825</v>
      </c>
      <c r="S130" s="321"/>
      <c r="T130" s="321"/>
      <c r="U130" s="321"/>
      <c r="V130" s="321"/>
      <c r="W130" s="321"/>
      <c r="X130" s="321"/>
      <c r="Y130" s="321"/>
      <c r="Z130" s="321"/>
      <c r="AA130" s="321"/>
      <c r="AB130" s="321"/>
      <c r="AC130" s="321"/>
      <c r="AD130" s="321"/>
    </row>
    <row r="131">
      <c r="A131" s="278" t="s">
        <v>44</v>
      </c>
      <c r="B131" s="279">
        <v>128.0</v>
      </c>
      <c r="C131" s="280" t="s">
        <v>802</v>
      </c>
      <c r="D131" s="280" t="s">
        <v>6843</v>
      </c>
      <c r="E131" s="464" t="s">
        <v>49</v>
      </c>
      <c r="F131" s="451"/>
      <c r="G131" s="462" t="s">
        <v>6844</v>
      </c>
      <c r="H131" s="461"/>
      <c r="I131" s="454"/>
      <c r="J131" s="454"/>
      <c r="K131" s="321"/>
      <c r="L131" s="279"/>
      <c r="M131" s="477" t="s">
        <v>6845</v>
      </c>
      <c r="N131" s="321"/>
      <c r="O131" s="321"/>
      <c r="P131" s="468" t="s">
        <v>6846</v>
      </c>
      <c r="Q131" s="457">
        <v>2026.0</v>
      </c>
      <c r="R131" s="458" t="s">
        <v>6847</v>
      </c>
      <c r="S131" s="321"/>
      <c r="T131" s="321"/>
      <c r="U131" s="321"/>
      <c r="V131" s="321"/>
      <c r="W131" s="321"/>
      <c r="X131" s="321"/>
      <c r="Y131" s="321"/>
      <c r="Z131" s="321"/>
      <c r="AA131" s="321"/>
      <c r="AB131" s="321"/>
      <c r="AC131" s="321"/>
      <c r="AD131" s="321"/>
    </row>
    <row r="132">
      <c r="A132" s="278" t="s">
        <v>44</v>
      </c>
      <c r="B132" s="279">
        <v>129.0</v>
      </c>
      <c r="C132" s="449" t="s">
        <v>367</v>
      </c>
      <c r="D132" s="449" t="s">
        <v>6849</v>
      </c>
      <c r="E132" s="83" t="s">
        <v>53</v>
      </c>
      <c r="F132" s="451"/>
      <c r="G132" s="470" t="s">
        <v>6850</v>
      </c>
      <c r="H132" s="467"/>
      <c r="I132" s="454"/>
      <c r="J132" s="454"/>
      <c r="K132" s="321"/>
      <c r="L132" s="279"/>
      <c r="M132" s="477" t="s">
        <v>6851</v>
      </c>
      <c r="N132" s="321"/>
      <c r="O132" s="321"/>
      <c r="P132" s="457">
        <v>2014.0</v>
      </c>
      <c r="Q132" s="457">
        <v>2022.0</v>
      </c>
      <c r="R132" s="458" t="s">
        <v>6852</v>
      </c>
      <c r="S132" s="321"/>
      <c r="T132" s="321"/>
      <c r="U132" s="321"/>
      <c r="V132" s="321"/>
      <c r="W132" s="321"/>
      <c r="X132" s="321"/>
      <c r="Y132" s="321"/>
      <c r="Z132" s="321"/>
      <c r="AA132" s="321"/>
      <c r="AB132" s="321"/>
      <c r="AC132" s="321"/>
      <c r="AD132" s="321"/>
    </row>
    <row r="133">
      <c r="A133" s="278" t="s">
        <v>44</v>
      </c>
      <c r="B133" s="279">
        <v>130.0</v>
      </c>
      <c r="C133" s="449" t="s">
        <v>1112</v>
      </c>
      <c r="D133" s="449" t="s">
        <v>530</v>
      </c>
      <c r="E133" s="83" t="s">
        <v>53</v>
      </c>
      <c r="F133" s="451"/>
      <c r="G133" s="470" t="s">
        <v>6850</v>
      </c>
      <c r="H133" s="461"/>
      <c r="I133" s="454"/>
      <c r="J133" s="454"/>
      <c r="K133" s="321"/>
      <c r="L133" s="279"/>
      <c r="M133" s="477" t="s">
        <v>6855</v>
      </c>
      <c r="N133" s="321"/>
      <c r="O133" s="321"/>
      <c r="P133" s="457">
        <v>2012.0</v>
      </c>
      <c r="Q133" s="457">
        <v>2020.0</v>
      </c>
      <c r="R133" s="458" t="s">
        <v>6856</v>
      </c>
      <c r="S133" s="321"/>
      <c r="T133" s="321"/>
      <c r="U133" s="321"/>
      <c r="V133" s="321"/>
      <c r="W133" s="321"/>
      <c r="X133" s="321"/>
      <c r="Y133" s="321"/>
      <c r="Z133" s="321"/>
      <c r="AA133" s="321"/>
      <c r="AB133" s="321"/>
      <c r="AC133" s="321"/>
      <c r="AD133" s="321"/>
    </row>
    <row r="134">
      <c r="A134" s="278" t="s">
        <v>44</v>
      </c>
      <c r="B134" s="279">
        <v>131.0</v>
      </c>
      <c r="C134" s="280" t="s">
        <v>2324</v>
      </c>
      <c r="D134" s="280" t="s">
        <v>6858</v>
      </c>
      <c r="E134" s="83" t="s">
        <v>53</v>
      </c>
      <c r="F134" s="451"/>
      <c r="G134" s="462" t="s">
        <v>5630</v>
      </c>
      <c r="H134" s="461"/>
      <c r="I134" s="454"/>
      <c r="J134" s="454"/>
      <c r="K134" s="321"/>
      <c r="L134" s="279"/>
      <c r="M134" s="477" t="s">
        <v>6859</v>
      </c>
      <c r="N134" s="321"/>
      <c r="O134" s="321"/>
      <c r="P134" s="457">
        <v>2018.0</v>
      </c>
      <c r="Q134" s="457">
        <v>2026.0</v>
      </c>
      <c r="R134" s="458" t="s">
        <v>6860</v>
      </c>
      <c r="S134" s="321"/>
      <c r="T134" s="321"/>
      <c r="U134" s="321"/>
      <c r="V134" s="321"/>
      <c r="W134" s="321"/>
      <c r="X134" s="321"/>
      <c r="Y134" s="321"/>
      <c r="Z134" s="321"/>
      <c r="AA134" s="321"/>
      <c r="AB134" s="321"/>
      <c r="AC134" s="321"/>
      <c r="AD134" s="321"/>
    </row>
    <row r="135">
      <c r="A135" s="278" t="s">
        <v>44</v>
      </c>
      <c r="B135" s="279">
        <v>132.0</v>
      </c>
      <c r="C135" s="280" t="s">
        <v>1648</v>
      </c>
      <c r="D135" s="280" t="s">
        <v>6861</v>
      </c>
      <c r="E135" s="94" t="s">
        <v>49</v>
      </c>
      <c r="F135" s="451"/>
      <c r="G135" s="462" t="s">
        <v>6630</v>
      </c>
      <c r="H135" s="461"/>
      <c r="I135" s="454"/>
      <c r="J135" s="454"/>
      <c r="K135" s="321"/>
      <c r="L135" s="279"/>
      <c r="M135" s="477" t="s">
        <v>6862</v>
      </c>
      <c r="N135" s="321"/>
      <c r="O135" s="321"/>
      <c r="P135" s="457">
        <v>2018.0</v>
      </c>
      <c r="Q135" s="457">
        <v>2026.0</v>
      </c>
      <c r="R135" s="458" t="s">
        <v>6863</v>
      </c>
      <c r="S135" s="321"/>
      <c r="T135" s="321"/>
      <c r="U135" s="321"/>
      <c r="V135" s="321"/>
      <c r="W135" s="321"/>
      <c r="X135" s="321"/>
      <c r="Y135" s="321"/>
      <c r="Z135" s="321"/>
      <c r="AA135" s="321"/>
      <c r="AB135" s="321"/>
      <c r="AC135" s="321"/>
      <c r="AD135" s="321"/>
    </row>
    <row r="136">
      <c r="A136" s="278" t="s">
        <v>44</v>
      </c>
      <c r="B136" s="279">
        <v>133.0</v>
      </c>
      <c r="C136" s="280" t="s">
        <v>210</v>
      </c>
      <c r="D136" s="280" t="s">
        <v>6864</v>
      </c>
      <c r="E136" s="464" t="s">
        <v>49</v>
      </c>
      <c r="F136" s="451"/>
      <c r="G136" s="462" t="s">
        <v>6844</v>
      </c>
      <c r="H136" s="461"/>
      <c r="I136" s="454"/>
      <c r="J136" s="454"/>
      <c r="K136" s="321"/>
      <c r="L136" s="279"/>
      <c r="M136" s="477" t="s">
        <v>6865</v>
      </c>
      <c r="N136" s="321"/>
      <c r="O136" s="321"/>
      <c r="P136" s="457">
        <v>2018.0</v>
      </c>
      <c r="Q136" s="457">
        <v>2026.0</v>
      </c>
      <c r="R136" s="458" t="s">
        <v>6866</v>
      </c>
      <c r="S136" s="321"/>
      <c r="T136" s="321"/>
      <c r="U136" s="321"/>
      <c r="V136" s="321"/>
      <c r="W136" s="321"/>
      <c r="X136" s="321"/>
      <c r="Y136" s="321"/>
      <c r="Z136" s="321"/>
      <c r="AA136" s="321"/>
      <c r="AB136" s="321"/>
      <c r="AC136" s="321"/>
      <c r="AD136" s="321"/>
    </row>
    <row r="137">
      <c r="A137" s="278" t="s">
        <v>44</v>
      </c>
      <c r="B137" s="279">
        <v>134.0</v>
      </c>
      <c r="C137" s="280" t="s">
        <v>6868</v>
      </c>
      <c r="D137" s="280" t="s">
        <v>6869</v>
      </c>
      <c r="E137" s="94" t="s">
        <v>49</v>
      </c>
      <c r="F137" s="451"/>
      <c r="G137" s="462" t="s">
        <v>5630</v>
      </c>
      <c r="H137" s="461"/>
      <c r="I137" s="454"/>
      <c r="J137" s="454"/>
      <c r="K137" s="321"/>
      <c r="L137" s="279"/>
      <c r="M137" s="477" t="s">
        <v>6870</v>
      </c>
      <c r="N137" s="321"/>
      <c r="O137" s="321"/>
      <c r="P137" s="457">
        <v>2018.0</v>
      </c>
      <c r="Q137" s="457">
        <v>2026.0</v>
      </c>
      <c r="R137" s="458" t="s">
        <v>6871</v>
      </c>
      <c r="S137" s="321"/>
      <c r="T137" s="321"/>
      <c r="U137" s="321"/>
      <c r="V137" s="321"/>
      <c r="W137" s="321"/>
      <c r="X137" s="321"/>
      <c r="Y137" s="321"/>
      <c r="Z137" s="321"/>
      <c r="AA137" s="321"/>
      <c r="AB137" s="321"/>
      <c r="AC137" s="321"/>
      <c r="AD137" s="321"/>
    </row>
    <row r="138">
      <c r="A138" s="278" t="s">
        <v>44</v>
      </c>
      <c r="B138" s="279">
        <v>135.0</v>
      </c>
      <c r="C138" s="449" t="s">
        <v>1331</v>
      </c>
      <c r="D138" s="449" t="s">
        <v>6872</v>
      </c>
      <c r="E138" s="94" t="s">
        <v>49</v>
      </c>
      <c r="F138" s="451"/>
      <c r="G138" s="462" t="s">
        <v>5951</v>
      </c>
      <c r="H138" s="465" t="s">
        <v>6873</v>
      </c>
      <c r="I138" s="454"/>
      <c r="J138" s="454"/>
      <c r="K138" s="321"/>
      <c r="L138" s="279"/>
      <c r="M138" s="477" t="s">
        <v>6874</v>
      </c>
      <c r="N138" s="321"/>
      <c r="O138" s="321"/>
      <c r="P138" s="457">
        <v>2012.0</v>
      </c>
      <c r="Q138" s="457">
        <v>2020.0</v>
      </c>
      <c r="R138" s="458" t="s">
        <v>6876</v>
      </c>
      <c r="S138" s="321"/>
      <c r="T138" s="321"/>
      <c r="U138" s="321"/>
      <c r="V138" s="321"/>
      <c r="W138" s="321"/>
      <c r="X138" s="321"/>
      <c r="Y138" s="321"/>
      <c r="Z138" s="321"/>
      <c r="AA138" s="321"/>
      <c r="AB138" s="321"/>
      <c r="AC138" s="321"/>
      <c r="AD138" s="321"/>
    </row>
    <row r="139">
      <c r="A139" s="278" t="s">
        <v>44</v>
      </c>
      <c r="B139" s="279">
        <v>136.0</v>
      </c>
      <c r="C139" s="280" t="s">
        <v>1058</v>
      </c>
      <c r="D139" s="280" t="s">
        <v>6878</v>
      </c>
      <c r="E139" s="83" t="s">
        <v>53</v>
      </c>
      <c r="F139" s="451"/>
      <c r="G139" s="462" t="s">
        <v>5630</v>
      </c>
      <c r="H139" s="461"/>
      <c r="I139" s="454"/>
      <c r="J139" s="454"/>
      <c r="K139" s="321"/>
      <c r="L139" s="279"/>
      <c r="M139" s="477" t="s">
        <v>6879</v>
      </c>
      <c r="N139" s="321"/>
      <c r="O139" s="321"/>
      <c r="P139" s="457">
        <v>2018.0</v>
      </c>
      <c r="Q139" s="457">
        <v>2026.0</v>
      </c>
      <c r="R139" s="458" t="s">
        <v>6880</v>
      </c>
      <c r="S139" s="321"/>
      <c r="T139" s="321"/>
      <c r="U139" s="321"/>
      <c r="V139" s="321"/>
      <c r="W139" s="321"/>
      <c r="X139" s="321"/>
      <c r="Y139" s="321"/>
      <c r="Z139" s="321"/>
      <c r="AA139" s="321"/>
      <c r="AB139" s="321"/>
      <c r="AC139" s="321"/>
      <c r="AD139" s="321"/>
    </row>
    <row r="140">
      <c r="A140" s="278" t="s">
        <v>44</v>
      </c>
      <c r="B140" s="279">
        <v>137.0</v>
      </c>
      <c r="C140" s="449" t="s">
        <v>572</v>
      </c>
      <c r="D140" s="449" t="s">
        <v>2831</v>
      </c>
      <c r="E140" s="83" t="s">
        <v>53</v>
      </c>
      <c r="F140" s="479"/>
      <c r="G140" s="462" t="s">
        <v>5591</v>
      </c>
      <c r="H140" s="461"/>
      <c r="I140" s="454"/>
      <c r="J140" s="454"/>
      <c r="K140" s="321"/>
      <c r="L140" s="279"/>
      <c r="M140" s="477" t="s">
        <v>6884</v>
      </c>
      <c r="N140" s="321"/>
      <c r="O140" s="321"/>
      <c r="P140" s="457">
        <v>2012.0</v>
      </c>
      <c r="Q140" s="457">
        <v>2020.0</v>
      </c>
      <c r="R140" s="458" t="s">
        <v>6885</v>
      </c>
      <c r="S140" s="321"/>
      <c r="T140" s="321"/>
      <c r="U140" s="321"/>
      <c r="V140" s="321"/>
      <c r="W140" s="321"/>
      <c r="X140" s="321"/>
      <c r="Y140" s="321"/>
      <c r="Z140" s="321"/>
      <c r="AA140" s="321"/>
      <c r="AB140" s="321"/>
      <c r="AC140" s="321"/>
      <c r="AD140" s="321"/>
    </row>
    <row r="141">
      <c r="A141" s="278" t="s">
        <v>44</v>
      </c>
      <c r="B141" s="279">
        <v>138.0</v>
      </c>
      <c r="C141" s="449" t="s">
        <v>1134</v>
      </c>
      <c r="D141" s="449" t="s">
        <v>5504</v>
      </c>
      <c r="E141" s="94" t="s">
        <v>49</v>
      </c>
      <c r="F141" s="451"/>
      <c r="G141" s="462" t="s">
        <v>5630</v>
      </c>
      <c r="H141" s="461"/>
      <c r="I141" s="454"/>
      <c r="J141" s="454"/>
      <c r="K141" s="321"/>
      <c r="L141" s="279"/>
      <c r="M141" s="477" t="s">
        <v>6890</v>
      </c>
      <c r="N141" s="321"/>
      <c r="O141" s="321"/>
      <c r="P141" s="457">
        <v>2014.0</v>
      </c>
      <c r="Q141" s="457">
        <v>2022.0</v>
      </c>
      <c r="R141" s="458" t="s">
        <v>6892</v>
      </c>
      <c r="S141" s="321"/>
      <c r="T141" s="321"/>
      <c r="U141" s="321"/>
      <c r="V141" s="321"/>
      <c r="W141" s="321"/>
      <c r="X141" s="321"/>
      <c r="Y141" s="321"/>
      <c r="Z141" s="321"/>
      <c r="AA141" s="321"/>
      <c r="AB141" s="321"/>
      <c r="AC141" s="321"/>
      <c r="AD141" s="321"/>
    </row>
    <row r="142">
      <c r="A142" s="278" t="s">
        <v>44</v>
      </c>
      <c r="B142" s="279">
        <v>139.0</v>
      </c>
      <c r="C142" s="449" t="s">
        <v>1058</v>
      </c>
      <c r="D142" s="449" t="s">
        <v>6893</v>
      </c>
      <c r="E142" s="83" t="s">
        <v>53</v>
      </c>
      <c r="F142" s="451"/>
      <c r="G142" s="462" t="s">
        <v>6558</v>
      </c>
      <c r="H142" s="465" t="s">
        <v>6894</v>
      </c>
      <c r="I142" s="460" t="s">
        <v>5811</v>
      </c>
      <c r="J142" s="454"/>
      <c r="K142" s="321"/>
      <c r="L142" s="279"/>
      <c r="M142" s="477" t="s">
        <v>6895</v>
      </c>
      <c r="N142" s="321"/>
      <c r="O142" s="321"/>
      <c r="P142" s="457">
        <v>2014.0</v>
      </c>
      <c r="Q142" s="457">
        <v>2022.0</v>
      </c>
      <c r="R142" s="458" t="s">
        <v>6897</v>
      </c>
      <c r="S142" s="321"/>
      <c r="T142" s="321"/>
      <c r="U142" s="321"/>
      <c r="V142" s="321"/>
      <c r="W142" s="321"/>
      <c r="X142" s="321"/>
      <c r="Y142" s="321"/>
      <c r="Z142" s="321"/>
      <c r="AA142" s="321"/>
      <c r="AB142" s="321"/>
      <c r="AC142" s="321"/>
      <c r="AD142" s="321"/>
    </row>
    <row r="143">
      <c r="A143" s="278" t="s">
        <v>44</v>
      </c>
      <c r="B143" s="279">
        <v>140.0</v>
      </c>
      <c r="C143" s="449" t="s">
        <v>2560</v>
      </c>
      <c r="D143" s="449" t="s">
        <v>1329</v>
      </c>
      <c r="E143" s="94" t="s">
        <v>49</v>
      </c>
      <c r="F143" s="451"/>
      <c r="G143" s="462" t="s">
        <v>2667</v>
      </c>
      <c r="H143" s="465" t="s">
        <v>2796</v>
      </c>
      <c r="I143" s="454"/>
      <c r="J143" s="454"/>
      <c r="K143" s="321"/>
      <c r="L143" s="279"/>
      <c r="M143" s="477" t="s">
        <v>6899</v>
      </c>
      <c r="N143" s="321"/>
      <c r="O143" s="321"/>
      <c r="P143" s="457">
        <v>2016.0</v>
      </c>
      <c r="Q143" s="457">
        <v>2024.0</v>
      </c>
      <c r="R143" s="458" t="s">
        <v>6901</v>
      </c>
      <c r="S143" s="321"/>
      <c r="T143" s="321"/>
      <c r="U143" s="321"/>
      <c r="V143" s="321"/>
      <c r="W143" s="321"/>
      <c r="X143" s="321"/>
      <c r="Y143" s="321"/>
      <c r="Z143" s="321"/>
      <c r="AA143" s="321"/>
      <c r="AB143" s="321"/>
      <c r="AC143" s="321"/>
      <c r="AD143" s="321"/>
    </row>
    <row r="144">
      <c r="A144" s="278" t="s">
        <v>44</v>
      </c>
      <c r="B144" s="279">
        <v>141.0</v>
      </c>
      <c r="C144" s="280" t="s">
        <v>2724</v>
      </c>
      <c r="D144" s="280" t="s">
        <v>6903</v>
      </c>
      <c r="E144" s="83" t="s">
        <v>53</v>
      </c>
      <c r="F144" s="451"/>
      <c r="G144" s="462" t="s">
        <v>2796</v>
      </c>
      <c r="H144" s="465" t="s">
        <v>6904</v>
      </c>
      <c r="I144" s="454"/>
      <c r="J144" s="454"/>
      <c r="K144" s="321"/>
      <c r="L144" s="279"/>
      <c r="M144" s="543" t="s">
        <v>6905</v>
      </c>
      <c r="N144" s="321"/>
      <c r="O144" s="321"/>
      <c r="P144" s="457">
        <v>2018.0</v>
      </c>
      <c r="Q144" s="457">
        <v>2026.0</v>
      </c>
      <c r="R144" s="458" t="s">
        <v>6907</v>
      </c>
      <c r="S144" s="321"/>
      <c r="T144" s="321"/>
      <c r="U144" s="321"/>
      <c r="V144" s="321"/>
      <c r="W144" s="321"/>
      <c r="X144" s="321"/>
      <c r="Y144" s="321"/>
      <c r="Z144" s="321"/>
      <c r="AA144" s="321"/>
      <c r="AB144" s="321"/>
      <c r="AC144" s="321"/>
      <c r="AD144" s="321"/>
    </row>
    <row r="145">
      <c r="A145" s="278" t="s">
        <v>44</v>
      </c>
      <c r="B145" s="279">
        <v>142.0</v>
      </c>
      <c r="C145" s="449" t="s">
        <v>5152</v>
      </c>
      <c r="D145" s="449" t="s">
        <v>6909</v>
      </c>
      <c r="E145" s="83" t="s">
        <v>53</v>
      </c>
      <c r="F145" s="479"/>
      <c r="G145" s="462" t="s">
        <v>5999</v>
      </c>
      <c r="H145" s="465" t="s">
        <v>6212</v>
      </c>
      <c r="I145" s="454"/>
      <c r="J145" s="454"/>
      <c r="K145" s="321"/>
      <c r="L145" s="279"/>
      <c r="M145" s="477" t="s">
        <v>6910</v>
      </c>
      <c r="N145" s="321"/>
      <c r="O145" s="321"/>
      <c r="P145" s="457">
        <v>2014.0</v>
      </c>
      <c r="Q145" s="457">
        <v>2022.0</v>
      </c>
      <c r="R145" s="458" t="s">
        <v>279</v>
      </c>
      <c r="S145" s="321"/>
      <c r="T145" s="321"/>
      <c r="U145" s="321"/>
      <c r="V145" s="321"/>
      <c r="W145" s="321"/>
      <c r="X145" s="321"/>
      <c r="Y145" s="321"/>
      <c r="Z145" s="321"/>
      <c r="AA145" s="321"/>
      <c r="AB145" s="321"/>
      <c r="AC145" s="321"/>
      <c r="AD145" s="321"/>
    </row>
    <row r="146">
      <c r="A146" s="278" t="s">
        <v>44</v>
      </c>
      <c r="B146" s="279">
        <v>143.0</v>
      </c>
      <c r="C146" s="449" t="s">
        <v>1505</v>
      </c>
      <c r="D146" s="449" t="s">
        <v>3550</v>
      </c>
      <c r="E146" s="94" t="s">
        <v>49</v>
      </c>
      <c r="F146" s="451"/>
      <c r="G146" s="462" t="s">
        <v>5687</v>
      </c>
      <c r="H146" s="461"/>
      <c r="I146" s="454"/>
      <c r="J146" s="454"/>
      <c r="K146" s="321"/>
      <c r="L146" s="279"/>
      <c r="M146" s="477" t="s">
        <v>6914</v>
      </c>
      <c r="N146" s="321"/>
      <c r="O146" s="321"/>
      <c r="P146" s="457">
        <v>2012.0</v>
      </c>
      <c r="Q146" s="457">
        <v>2020.0</v>
      </c>
      <c r="R146" s="458" t="s">
        <v>6916</v>
      </c>
      <c r="S146" s="321"/>
      <c r="T146" s="321"/>
      <c r="U146" s="321"/>
      <c r="V146" s="321"/>
      <c r="W146" s="321"/>
      <c r="X146" s="321"/>
      <c r="Y146" s="321"/>
      <c r="Z146" s="321"/>
      <c r="AA146" s="321"/>
      <c r="AB146" s="321"/>
      <c r="AC146" s="321"/>
      <c r="AD146" s="321"/>
    </row>
    <row r="147">
      <c r="A147" s="278" t="s">
        <v>44</v>
      </c>
      <c r="B147" s="279">
        <v>144.0</v>
      </c>
      <c r="C147" s="475" t="s">
        <v>823</v>
      </c>
      <c r="D147" s="475" t="s">
        <v>6918</v>
      </c>
      <c r="E147" s="83" t="s">
        <v>53</v>
      </c>
      <c r="F147" s="479"/>
      <c r="G147" s="462" t="s">
        <v>6919</v>
      </c>
      <c r="H147" s="461"/>
      <c r="I147" s="454"/>
      <c r="J147" s="454"/>
      <c r="K147" s="321"/>
      <c r="L147" s="279"/>
      <c r="M147" s="477" t="s">
        <v>6920</v>
      </c>
      <c r="N147" s="321"/>
      <c r="O147" s="321"/>
      <c r="P147" s="457">
        <v>2018.0</v>
      </c>
      <c r="Q147" s="457">
        <v>2026.0</v>
      </c>
      <c r="R147" s="458" t="s">
        <v>6922</v>
      </c>
      <c r="S147" s="321"/>
      <c r="T147" s="321"/>
      <c r="U147" s="321"/>
      <c r="V147" s="321"/>
      <c r="W147" s="321"/>
      <c r="X147" s="321"/>
      <c r="Y147" s="321"/>
      <c r="Z147" s="321"/>
      <c r="AA147" s="321"/>
      <c r="AB147" s="321"/>
      <c r="AC147" s="321"/>
      <c r="AD147" s="321"/>
    </row>
    <row r="148">
      <c r="A148" s="278" t="s">
        <v>44</v>
      </c>
      <c r="B148" s="279">
        <v>145.0</v>
      </c>
      <c r="C148" s="449" t="s">
        <v>173</v>
      </c>
      <c r="D148" s="449" t="s">
        <v>6925</v>
      </c>
      <c r="E148" s="83" t="s">
        <v>53</v>
      </c>
      <c r="F148" s="451"/>
      <c r="G148" s="462" t="s">
        <v>5823</v>
      </c>
      <c r="H148" s="465" t="s">
        <v>6173</v>
      </c>
      <c r="I148" s="454"/>
      <c r="J148" s="454"/>
      <c r="K148" s="321"/>
      <c r="L148" s="279"/>
      <c r="M148" s="477" t="s">
        <v>6926</v>
      </c>
      <c r="N148" s="321"/>
      <c r="O148" s="321"/>
      <c r="P148" s="457">
        <v>2016.0</v>
      </c>
      <c r="Q148" s="457">
        <v>2024.0</v>
      </c>
      <c r="R148" s="458" t="s">
        <v>6927</v>
      </c>
      <c r="S148" s="321"/>
      <c r="T148" s="321"/>
      <c r="U148" s="321"/>
      <c r="V148" s="321"/>
      <c r="W148" s="321"/>
      <c r="X148" s="321"/>
      <c r="Y148" s="321"/>
      <c r="Z148" s="321"/>
      <c r="AA148" s="321"/>
      <c r="AB148" s="321"/>
      <c r="AC148" s="321"/>
      <c r="AD148" s="321"/>
    </row>
    <row r="149">
      <c r="A149" s="278" t="s">
        <v>44</v>
      </c>
      <c r="B149" s="279">
        <v>146.0</v>
      </c>
      <c r="C149" s="449" t="s">
        <v>5389</v>
      </c>
      <c r="D149" s="449" t="s">
        <v>6034</v>
      </c>
      <c r="E149" s="83" t="s">
        <v>53</v>
      </c>
      <c r="F149" s="451"/>
      <c r="G149" s="462" t="s">
        <v>688</v>
      </c>
      <c r="H149" s="465" t="s">
        <v>578</v>
      </c>
      <c r="I149" s="454"/>
      <c r="J149" s="454"/>
      <c r="K149" s="321"/>
      <c r="L149" s="279"/>
      <c r="M149" s="477" t="s">
        <v>6929</v>
      </c>
      <c r="N149" s="321"/>
      <c r="O149" s="321"/>
      <c r="P149" s="457">
        <v>2014.0</v>
      </c>
      <c r="Q149" s="457">
        <v>2022.0</v>
      </c>
      <c r="R149" s="458" t="s">
        <v>3938</v>
      </c>
      <c r="S149" s="321"/>
      <c r="T149" s="321"/>
      <c r="U149" s="321"/>
      <c r="V149" s="321"/>
      <c r="W149" s="321"/>
      <c r="X149" s="321"/>
      <c r="Y149" s="321"/>
      <c r="Z149" s="321"/>
      <c r="AA149" s="321"/>
      <c r="AB149" s="321"/>
      <c r="AC149" s="321"/>
      <c r="AD149" s="321"/>
    </row>
    <row r="150">
      <c r="A150" s="278" t="s">
        <v>44</v>
      </c>
      <c r="B150" s="279">
        <v>147.0</v>
      </c>
      <c r="C150" s="449" t="s">
        <v>4516</v>
      </c>
      <c r="D150" s="449" t="s">
        <v>3220</v>
      </c>
      <c r="E150" s="83" t="s">
        <v>53</v>
      </c>
      <c r="F150" s="466" t="s">
        <v>6933</v>
      </c>
      <c r="G150" s="462" t="s">
        <v>6403</v>
      </c>
      <c r="H150" s="461"/>
      <c r="I150" s="454"/>
      <c r="J150" s="454"/>
      <c r="K150" s="321"/>
      <c r="L150" s="279"/>
      <c r="M150" s="477" t="s">
        <v>6934</v>
      </c>
      <c r="N150" s="321"/>
      <c r="O150" s="321"/>
      <c r="P150" s="457">
        <v>2016.0</v>
      </c>
      <c r="Q150" s="457">
        <v>2024.0</v>
      </c>
      <c r="R150" s="458" t="s">
        <v>6935</v>
      </c>
      <c r="S150" s="321"/>
      <c r="T150" s="321"/>
      <c r="U150" s="321"/>
      <c r="V150" s="321"/>
      <c r="W150" s="321"/>
      <c r="X150" s="321"/>
      <c r="Y150" s="321"/>
      <c r="Z150" s="321"/>
      <c r="AA150" s="321"/>
      <c r="AB150" s="321"/>
      <c r="AC150" s="321"/>
      <c r="AD150" s="321"/>
    </row>
    <row r="151">
      <c r="A151" s="278" t="s">
        <v>44</v>
      </c>
      <c r="B151" s="279">
        <v>148.0</v>
      </c>
      <c r="C151" s="449" t="s">
        <v>108</v>
      </c>
      <c r="D151" s="449" t="s">
        <v>6938</v>
      </c>
      <c r="E151" s="94" t="s">
        <v>49</v>
      </c>
      <c r="F151" s="451"/>
      <c r="G151" s="462" t="s">
        <v>6669</v>
      </c>
      <c r="H151" s="465" t="s">
        <v>6939</v>
      </c>
      <c r="I151" s="454"/>
      <c r="J151" s="454"/>
      <c r="K151" s="321"/>
      <c r="L151" s="279"/>
      <c r="M151" s="477" t="s">
        <v>6940</v>
      </c>
      <c r="N151" s="321"/>
      <c r="O151" s="321"/>
      <c r="P151" s="457">
        <v>2016.0</v>
      </c>
      <c r="Q151" s="457">
        <v>2024.0</v>
      </c>
      <c r="R151" s="458" t="s">
        <v>6942</v>
      </c>
      <c r="S151" s="321"/>
      <c r="T151" s="321"/>
      <c r="U151" s="321"/>
      <c r="V151" s="321"/>
      <c r="W151" s="321"/>
      <c r="X151" s="321"/>
      <c r="Y151" s="321"/>
      <c r="Z151" s="321"/>
      <c r="AA151" s="321"/>
      <c r="AB151" s="321"/>
      <c r="AC151" s="321"/>
      <c r="AD151" s="321"/>
    </row>
    <row r="152">
      <c r="A152" s="278" t="s">
        <v>44</v>
      </c>
      <c r="B152" s="279">
        <v>149.0</v>
      </c>
      <c r="C152" s="280" t="s">
        <v>278</v>
      </c>
      <c r="D152" s="280" t="s">
        <v>6944</v>
      </c>
      <c r="E152" s="83" t="s">
        <v>53</v>
      </c>
      <c r="F152" s="451"/>
      <c r="G152" s="470" t="s">
        <v>781</v>
      </c>
      <c r="H152" s="467"/>
      <c r="I152" s="454"/>
      <c r="J152" s="454"/>
      <c r="K152" s="321"/>
      <c r="L152" s="279"/>
      <c r="M152" s="477" t="s">
        <v>6945</v>
      </c>
      <c r="N152" s="321"/>
      <c r="O152" s="321"/>
      <c r="P152" s="457">
        <v>2018.0</v>
      </c>
      <c r="Q152" s="457">
        <v>2026.0</v>
      </c>
      <c r="R152" s="458" t="s">
        <v>6947</v>
      </c>
      <c r="S152" s="321"/>
      <c r="T152" s="321"/>
      <c r="U152" s="321"/>
      <c r="V152" s="321"/>
      <c r="W152" s="321"/>
      <c r="X152" s="321"/>
      <c r="Y152" s="321"/>
      <c r="Z152" s="321"/>
      <c r="AA152" s="321"/>
      <c r="AB152" s="321"/>
      <c r="AC152" s="321"/>
      <c r="AD152" s="321"/>
    </row>
    <row r="153">
      <c r="A153" s="278" t="s">
        <v>44</v>
      </c>
      <c r="B153" s="279">
        <v>150.0</v>
      </c>
      <c r="C153" s="449" t="s">
        <v>2659</v>
      </c>
      <c r="D153" s="449" t="s">
        <v>456</v>
      </c>
      <c r="E153" s="94" t="s">
        <v>49</v>
      </c>
      <c r="F153" s="451"/>
      <c r="G153" s="462" t="s">
        <v>6949</v>
      </c>
      <c r="H153" s="465" t="s">
        <v>6950</v>
      </c>
      <c r="I153" s="454"/>
      <c r="J153" s="454"/>
      <c r="K153" s="321"/>
      <c r="L153" s="279"/>
      <c r="M153" s="477" t="s">
        <v>6951</v>
      </c>
      <c r="N153" s="321"/>
      <c r="O153" s="321"/>
      <c r="P153" s="457">
        <v>2014.0</v>
      </c>
      <c r="Q153" s="457">
        <v>2022.0</v>
      </c>
      <c r="R153" s="458" t="s">
        <v>5569</v>
      </c>
      <c r="S153" s="321"/>
      <c r="T153" s="321"/>
      <c r="U153" s="321"/>
      <c r="V153" s="321"/>
      <c r="W153" s="321"/>
      <c r="X153" s="321"/>
      <c r="Y153" s="321"/>
      <c r="Z153" s="321"/>
      <c r="AA153" s="321"/>
      <c r="AB153" s="321"/>
      <c r="AC153" s="321"/>
      <c r="AD153" s="321"/>
    </row>
    <row r="154">
      <c r="A154" s="278" t="s">
        <v>44</v>
      </c>
      <c r="B154" s="279">
        <v>151.0</v>
      </c>
      <c r="C154" s="449" t="s">
        <v>278</v>
      </c>
      <c r="D154" s="449" t="s">
        <v>456</v>
      </c>
      <c r="E154" s="94" t="s">
        <v>49</v>
      </c>
      <c r="F154" s="451"/>
      <c r="G154" s="462" t="s">
        <v>6949</v>
      </c>
      <c r="H154" s="465" t="s">
        <v>6954</v>
      </c>
      <c r="I154" s="454"/>
      <c r="J154" s="454"/>
      <c r="K154" s="321"/>
      <c r="L154" s="279"/>
      <c r="M154" s="477" t="s">
        <v>6955</v>
      </c>
      <c r="N154" s="321"/>
      <c r="O154" s="321"/>
      <c r="P154" s="468" t="s">
        <v>6957</v>
      </c>
      <c r="Q154" s="457">
        <v>2022.0</v>
      </c>
      <c r="R154" s="458" t="s">
        <v>6958</v>
      </c>
      <c r="S154" s="321"/>
      <c r="T154" s="321"/>
      <c r="U154" s="321"/>
      <c r="V154" s="321"/>
      <c r="W154" s="321"/>
      <c r="X154" s="321"/>
      <c r="Y154" s="321"/>
      <c r="Z154" s="321"/>
      <c r="AA154" s="321"/>
      <c r="AB154" s="321"/>
      <c r="AC154" s="321"/>
      <c r="AD154" s="321"/>
    </row>
    <row r="155">
      <c r="A155" s="305"/>
      <c r="B155" s="305"/>
      <c r="C155" s="305"/>
      <c r="D155" s="305"/>
      <c r="E155" s="305"/>
      <c r="F155" s="305"/>
      <c r="G155" s="544"/>
      <c r="H155" s="544"/>
      <c r="I155" s="544"/>
      <c r="J155" s="544"/>
      <c r="K155" s="544"/>
      <c r="L155" s="305"/>
      <c r="M155" s="305"/>
      <c r="N155" s="305"/>
      <c r="O155" s="305"/>
      <c r="P155" s="538"/>
      <c r="Q155" s="538"/>
      <c r="R155" s="308"/>
      <c r="S155" s="305"/>
      <c r="T155" s="305"/>
      <c r="U155" s="305"/>
      <c r="V155" s="305"/>
      <c r="W155" s="305"/>
      <c r="X155" s="305"/>
      <c r="Y155" s="305"/>
      <c r="Z155" s="305"/>
      <c r="AA155" s="305"/>
      <c r="AB155" s="305"/>
      <c r="AC155" s="305"/>
      <c r="AD155" s="305"/>
    </row>
    <row r="156">
      <c r="A156" s="278" t="s">
        <v>286</v>
      </c>
      <c r="B156" s="279">
        <v>1.0</v>
      </c>
      <c r="C156" s="449" t="s">
        <v>3163</v>
      </c>
      <c r="D156" s="449" t="s">
        <v>567</v>
      </c>
      <c r="E156" s="94" t="s">
        <v>49</v>
      </c>
      <c r="F156" s="278" t="s">
        <v>1156</v>
      </c>
      <c r="G156" s="462"/>
      <c r="H156" s="461"/>
      <c r="I156" s="454"/>
      <c r="J156" s="454"/>
      <c r="K156" s="321"/>
      <c r="L156" s="545" t="s">
        <v>6962</v>
      </c>
      <c r="M156" s="546" t="s">
        <v>6963</v>
      </c>
      <c r="N156" s="321"/>
      <c r="O156" s="278" t="s">
        <v>6965</v>
      </c>
      <c r="P156" s="284"/>
      <c r="Q156" s="205">
        <v>2024.0</v>
      </c>
      <c r="R156" s="458" t="s">
        <v>6966</v>
      </c>
      <c r="S156" s="321"/>
      <c r="T156" s="321"/>
      <c r="U156" s="321"/>
      <c r="V156" s="321"/>
      <c r="W156" s="321"/>
      <c r="X156" s="321"/>
      <c r="Y156" s="321"/>
      <c r="Z156" s="321"/>
      <c r="AA156" s="321"/>
      <c r="AB156" s="321"/>
      <c r="AC156" s="321"/>
      <c r="AD156" s="321"/>
    </row>
    <row r="157">
      <c r="A157" s="278" t="s">
        <v>286</v>
      </c>
      <c r="B157" s="279">
        <v>2.0</v>
      </c>
      <c r="C157" s="449" t="s">
        <v>2490</v>
      </c>
      <c r="D157" s="449" t="s">
        <v>196</v>
      </c>
      <c r="E157" s="94" t="s">
        <v>49</v>
      </c>
      <c r="F157" s="479"/>
      <c r="G157" s="547" t="s">
        <v>5823</v>
      </c>
      <c r="H157" s="547" t="s">
        <v>877</v>
      </c>
      <c r="I157" s="538"/>
      <c r="J157" s="454"/>
      <c r="K157" s="321"/>
      <c r="L157" s="545" t="s">
        <v>6962</v>
      </c>
      <c r="M157" s="546" t="s">
        <v>6969</v>
      </c>
      <c r="N157" s="321"/>
      <c r="O157" s="468" t="s">
        <v>6972</v>
      </c>
      <c r="P157" s="284"/>
      <c r="Q157" s="205">
        <v>2024.0</v>
      </c>
      <c r="R157" s="444" t="s">
        <v>6966</v>
      </c>
      <c r="S157" s="321"/>
      <c r="T157" s="321"/>
      <c r="U157" s="321"/>
      <c r="V157" s="321"/>
      <c r="W157" s="321"/>
      <c r="X157" s="321"/>
      <c r="Y157" s="321"/>
      <c r="Z157" s="321"/>
      <c r="AA157" s="321"/>
      <c r="AB157" s="321"/>
      <c r="AC157" s="321"/>
      <c r="AD157" s="321"/>
    </row>
    <row r="158">
      <c r="A158" s="278" t="s">
        <v>286</v>
      </c>
      <c r="B158" s="279">
        <v>3.0</v>
      </c>
      <c r="C158" s="280" t="s">
        <v>6973</v>
      </c>
      <c r="D158" s="280" t="s">
        <v>6974</v>
      </c>
      <c r="E158" s="83" t="s">
        <v>53</v>
      </c>
      <c r="F158" s="451"/>
      <c r="G158" s="548"/>
      <c r="H158" s="549"/>
      <c r="I158" s="538"/>
      <c r="J158" s="454"/>
      <c r="K158" s="321"/>
      <c r="L158" s="545" t="s">
        <v>6975</v>
      </c>
      <c r="M158" s="550" t="s">
        <v>6976</v>
      </c>
      <c r="N158" s="321"/>
      <c r="O158" s="457">
        <v>2018.0</v>
      </c>
      <c r="P158" s="284"/>
      <c r="Q158" s="205">
        <v>2026.0</v>
      </c>
      <c r="R158" s="458" t="s">
        <v>6978</v>
      </c>
      <c r="S158" s="321"/>
      <c r="T158" s="321"/>
      <c r="U158" s="321"/>
      <c r="V158" s="321"/>
      <c r="W158" s="321"/>
      <c r="X158" s="321"/>
      <c r="Y158" s="321"/>
      <c r="Z158" s="321"/>
      <c r="AA158" s="321"/>
      <c r="AB158" s="321"/>
      <c r="AC158" s="321"/>
      <c r="AD158" s="321"/>
    </row>
    <row r="159">
      <c r="A159" s="278" t="s">
        <v>286</v>
      </c>
      <c r="B159" s="279">
        <v>4.0</v>
      </c>
      <c r="C159" s="449" t="s">
        <v>679</v>
      </c>
      <c r="D159" s="449" t="s">
        <v>1254</v>
      </c>
      <c r="E159" s="83" t="s">
        <v>53</v>
      </c>
      <c r="F159" s="479"/>
      <c r="G159" s="547" t="s">
        <v>6982</v>
      </c>
      <c r="H159" s="547" t="s">
        <v>6983</v>
      </c>
      <c r="I159" s="547" t="s">
        <v>6984</v>
      </c>
      <c r="J159" s="454"/>
      <c r="K159" s="321"/>
      <c r="L159" s="545" t="s">
        <v>6985</v>
      </c>
      <c r="M159" s="551" t="s">
        <v>6986</v>
      </c>
      <c r="N159" s="321"/>
      <c r="O159" s="457">
        <v>2014.0</v>
      </c>
      <c r="P159" s="284"/>
      <c r="Q159" s="205">
        <v>2022.0</v>
      </c>
      <c r="R159" s="458" t="s">
        <v>6987</v>
      </c>
      <c r="S159" s="321"/>
      <c r="T159" s="321"/>
      <c r="U159" s="321"/>
      <c r="V159" s="321"/>
      <c r="W159" s="321"/>
      <c r="X159" s="321"/>
      <c r="Y159" s="321"/>
      <c r="Z159" s="321"/>
      <c r="AA159" s="321"/>
      <c r="AB159" s="321"/>
      <c r="AC159" s="321"/>
      <c r="AD159" s="321"/>
    </row>
    <row r="160">
      <c r="A160" s="278" t="s">
        <v>286</v>
      </c>
      <c r="B160" s="279">
        <v>5.0</v>
      </c>
      <c r="C160" s="449" t="s">
        <v>930</v>
      </c>
      <c r="D160" s="449" t="s">
        <v>6991</v>
      </c>
      <c r="E160" s="94" t="s">
        <v>49</v>
      </c>
      <c r="F160" s="479"/>
      <c r="G160" s="547" t="s">
        <v>6992</v>
      </c>
      <c r="H160" s="547" t="s">
        <v>6993</v>
      </c>
      <c r="I160" s="538"/>
      <c r="J160" s="454"/>
      <c r="K160" s="321"/>
      <c r="L160" s="545" t="s">
        <v>6962</v>
      </c>
      <c r="M160" s="551" t="s">
        <v>6994</v>
      </c>
      <c r="N160" s="321"/>
      <c r="O160" s="457">
        <v>2014.0</v>
      </c>
      <c r="P160" s="284"/>
      <c r="Q160" s="205">
        <v>2022.0</v>
      </c>
      <c r="R160" s="458" t="s">
        <v>6996</v>
      </c>
      <c r="S160" s="321"/>
      <c r="T160" s="321"/>
      <c r="U160" s="321"/>
      <c r="V160" s="321"/>
      <c r="W160" s="321"/>
      <c r="X160" s="321"/>
      <c r="Y160" s="321"/>
      <c r="Z160" s="321"/>
      <c r="AA160" s="321"/>
      <c r="AB160" s="321"/>
      <c r="AC160" s="321"/>
      <c r="AD160" s="321"/>
    </row>
    <row r="161">
      <c r="A161" s="278" t="s">
        <v>286</v>
      </c>
      <c r="B161" s="279">
        <v>6.0</v>
      </c>
      <c r="C161" s="280" t="s">
        <v>6997</v>
      </c>
      <c r="D161" s="280" t="s">
        <v>89</v>
      </c>
      <c r="E161" s="83" t="s">
        <v>53</v>
      </c>
      <c r="F161" s="451"/>
      <c r="G161" s="547" t="s">
        <v>2796</v>
      </c>
      <c r="H161" s="549"/>
      <c r="I161" s="538"/>
      <c r="J161" s="454"/>
      <c r="K161" s="321"/>
      <c r="L161" s="545" t="s">
        <v>6975</v>
      </c>
      <c r="M161" s="545" t="s">
        <v>6998</v>
      </c>
      <c r="N161" s="321"/>
      <c r="O161" s="457">
        <v>2018.0</v>
      </c>
      <c r="P161" s="284"/>
      <c r="Q161" s="205">
        <v>2026.0</v>
      </c>
      <c r="R161" s="458" t="s">
        <v>277</v>
      </c>
      <c r="S161" s="321"/>
      <c r="T161" s="321"/>
      <c r="U161" s="321"/>
      <c r="V161" s="321"/>
      <c r="W161" s="321"/>
      <c r="X161" s="321"/>
      <c r="Y161" s="321"/>
      <c r="Z161" s="321"/>
      <c r="AA161" s="321"/>
      <c r="AB161" s="321"/>
      <c r="AC161" s="321"/>
      <c r="AD161" s="321"/>
    </row>
    <row r="162">
      <c r="A162" s="278" t="s">
        <v>286</v>
      </c>
      <c r="B162" s="279">
        <v>7.0</v>
      </c>
      <c r="C162" s="280" t="s">
        <v>4971</v>
      </c>
      <c r="D162" s="280" t="s">
        <v>7000</v>
      </c>
      <c r="E162" s="464" t="s">
        <v>49</v>
      </c>
      <c r="F162" s="451"/>
      <c r="G162" s="548"/>
      <c r="H162" s="549"/>
      <c r="I162" s="538"/>
      <c r="J162" s="454"/>
      <c r="K162" s="321"/>
      <c r="L162" s="545" t="s">
        <v>6975</v>
      </c>
      <c r="M162" s="546" t="s">
        <v>7001</v>
      </c>
      <c r="N162" s="321"/>
      <c r="O162" s="457">
        <v>2018.0</v>
      </c>
      <c r="P162" s="284"/>
      <c r="Q162" s="205">
        <v>2026.0</v>
      </c>
      <c r="R162" s="458" t="s">
        <v>6880</v>
      </c>
      <c r="S162" s="321"/>
      <c r="T162" s="321"/>
      <c r="U162" s="321"/>
      <c r="V162" s="321"/>
      <c r="W162" s="321"/>
      <c r="X162" s="321"/>
      <c r="Y162" s="321"/>
      <c r="Z162" s="321"/>
      <c r="AA162" s="321"/>
      <c r="AB162" s="321"/>
      <c r="AC162" s="321"/>
      <c r="AD162" s="321"/>
    </row>
    <row r="163">
      <c r="A163" s="278" t="s">
        <v>286</v>
      </c>
      <c r="B163" s="279">
        <v>8.0</v>
      </c>
      <c r="C163" s="449" t="s">
        <v>2689</v>
      </c>
      <c r="D163" s="449" t="s">
        <v>7005</v>
      </c>
      <c r="E163" s="83" t="s">
        <v>53</v>
      </c>
      <c r="F163" s="451"/>
      <c r="G163" s="547" t="s">
        <v>5823</v>
      </c>
      <c r="H163" s="549"/>
      <c r="I163" s="538"/>
      <c r="J163" s="454"/>
      <c r="K163" s="321"/>
      <c r="L163" s="545" t="s">
        <v>6975</v>
      </c>
      <c r="M163" s="546" t="s">
        <v>7006</v>
      </c>
      <c r="N163" s="321"/>
      <c r="O163" s="457">
        <v>2014.0</v>
      </c>
      <c r="P163" s="284"/>
      <c r="Q163" s="205">
        <v>2022.0</v>
      </c>
      <c r="R163" s="444" t="s">
        <v>6880</v>
      </c>
      <c r="S163" s="321"/>
      <c r="T163" s="321"/>
      <c r="U163" s="321"/>
      <c r="V163" s="321"/>
      <c r="W163" s="321"/>
      <c r="X163" s="321"/>
      <c r="Y163" s="321"/>
      <c r="Z163" s="321"/>
      <c r="AA163" s="321"/>
      <c r="AB163" s="321"/>
      <c r="AC163" s="321"/>
      <c r="AD163" s="321"/>
    </row>
    <row r="164">
      <c r="A164" s="278" t="s">
        <v>286</v>
      </c>
      <c r="B164" s="279">
        <v>9.0</v>
      </c>
      <c r="C164" s="449" t="s">
        <v>7007</v>
      </c>
      <c r="D164" s="449" t="s">
        <v>7008</v>
      </c>
      <c r="E164" s="94" t="s">
        <v>49</v>
      </c>
      <c r="F164" s="451"/>
      <c r="G164" s="547" t="s">
        <v>3045</v>
      </c>
      <c r="H164" s="547" t="s">
        <v>5717</v>
      </c>
      <c r="I164" s="538"/>
      <c r="J164" s="454"/>
      <c r="K164" s="321"/>
      <c r="L164" s="545" t="s">
        <v>6962</v>
      </c>
      <c r="M164" s="546" t="s">
        <v>7009</v>
      </c>
      <c r="N164" s="321"/>
      <c r="O164" s="457">
        <v>2012.0</v>
      </c>
      <c r="P164" s="284"/>
      <c r="Q164" s="205">
        <v>2020.0</v>
      </c>
      <c r="R164" s="458" t="s">
        <v>6996</v>
      </c>
      <c r="S164" s="321"/>
      <c r="T164" s="321"/>
      <c r="U164" s="321"/>
      <c r="V164" s="321"/>
      <c r="W164" s="321"/>
      <c r="X164" s="321"/>
      <c r="Y164" s="321"/>
      <c r="Z164" s="321"/>
      <c r="AA164" s="321"/>
      <c r="AB164" s="321"/>
      <c r="AC164" s="321"/>
      <c r="AD164" s="321"/>
    </row>
    <row r="165">
      <c r="A165" s="278" t="s">
        <v>286</v>
      </c>
      <c r="B165" s="279">
        <v>10.0</v>
      </c>
      <c r="C165" s="280" t="s">
        <v>7012</v>
      </c>
      <c r="D165" s="280" t="s">
        <v>7013</v>
      </c>
      <c r="E165" s="83" t="s">
        <v>53</v>
      </c>
      <c r="F165" s="451"/>
      <c r="G165" s="547" t="s">
        <v>5766</v>
      </c>
      <c r="H165" s="547" t="s">
        <v>5591</v>
      </c>
      <c r="I165" s="538"/>
      <c r="J165" s="454"/>
      <c r="K165" s="321"/>
      <c r="L165" s="545" t="s">
        <v>6975</v>
      </c>
      <c r="M165" s="545" t="s">
        <v>7014</v>
      </c>
      <c r="N165" s="321"/>
      <c r="O165" s="457">
        <v>2018.0</v>
      </c>
      <c r="P165" s="284"/>
      <c r="Q165" s="205">
        <v>2026.0</v>
      </c>
      <c r="R165" s="444" t="s">
        <v>6996</v>
      </c>
      <c r="S165" s="321"/>
      <c r="T165" s="321"/>
      <c r="U165" s="321"/>
      <c r="V165" s="321"/>
      <c r="W165" s="321"/>
      <c r="X165" s="321"/>
      <c r="Y165" s="321"/>
      <c r="Z165" s="321"/>
      <c r="AA165" s="321"/>
      <c r="AB165" s="321"/>
      <c r="AC165" s="321"/>
      <c r="AD165" s="321"/>
    </row>
    <row r="166">
      <c r="A166" s="278" t="s">
        <v>286</v>
      </c>
      <c r="B166" s="279">
        <v>11.0</v>
      </c>
      <c r="C166" s="280" t="s">
        <v>2994</v>
      </c>
      <c r="D166" s="280" t="s">
        <v>7016</v>
      </c>
      <c r="E166" s="464" t="s">
        <v>49</v>
      </c>
      <c r="F166" s="451"/>
      <c r="G166" s="547" t="s">
        <v>6017</v>
      </c>
      <c r="H166" s="547" t="s">
        <v>5999</v>
      </c>
      <c r="I166" s="538"/>
      <c r="J166" s="454"/>
      <c r="K166" s="321"/>
      <c r="L166" s="545" t="s">
        <v>6962</v>
      </c>
      <c r="M166" s="545" t="s">
        <v>7017</v>
      </c>
      <c r="N166" s="321"/>
      <c r="O166" s="457">
        <v>2018.0</v>
      </c>
      <c r="P166" s="284"/>
      <c r="Q166" s="205">
        <v>2026.0</v>
      </c>
      <c r="R166" s="458" t="s">
        <v>7018</v>
      </c>
      <c r="S166" s="321"/>
      <c r="T166" s="321"/>
      <c r="U166" s="321"/>
      <c r="V166" s="321"/>
      <c r="W166" s="321"/>
      <c r="X166" s="321"/>
      <c r="Y166" s="321"/>
      <c r="Z166" s="321"/>
      <c r="AA166" s="321"/>
      <c r="AB166" s="321"/>
      <c r="AC166" s="321"/>
      <c r="AD166" s="321"/>
    </row>
    <row r="167">
      <c r="A167" s="278" t="s">
        <v>286</v>
      </c>
      <c r="B167" s="279">
        <v>12.0</v>
      </c>
      <c r="C167" s="449" t="s">
        <v>108</v>
      </c>
      <c r="D167" s="449" t="s">
        <v>7020</v>
      </c>
      <c r="E167" s="94" t="s">
        <v>49</v>
      </c>
      <c r="F167" s="451"/>
      <c r="G167" s="547" t="s">
        <v>5590</v>
      </c>
      <c r="H167" s="547" t="s">
        <v>6040</v>
      </c>
      <c r="I167" s="538"/>
      <c r="J167" s="454"/>
      <c r="K167" s="321"/>
      <c r="L167" s="545" t="s">
        <v>6962</v>
      </c>
      <c r="M167" s="551" t="s">
        <v>7021</v>
      </c>
      <c r="N167" s="321"/>
      <c r="O167" s="457">
        <v>2014.0</v>
      </c>
      <c r="P167" s="284"/>
      <c r="Q167" s="205">
        <v>2022.0</v>
      </c>
      <c r="R167" s="458" t="s">
        <v>6694</v>
      </c>
      <c r="S167" s="321"/>
      <c r="T167" s="321"/>
      <c r="U167" s="321"/>
      <c r="V167" s="321"/>
      <c r="W167" s="321"/>
      <c r="X167" s="321"/>
      <c r="Y167" s="321"/>
      <c r="Z167" s="321"/>
      <c r="AA167" s="321"/>
      <c r="AB167" s="321"/>
      <c r="AC167" s="321"/>
      <c r="AD167" s="321"/>
    </row>
    <row r="168">
      <c r="A168" s="278" t="s">
        <v>286</v>
      </c>
      <c r="B168" s="279">
        <v>13.0</v>
      </c>
      <c r="C168" s="449" t="s">
        <v>6243</v>
      </c>
      <c r="D168" s="449" t="s">
        <v>7023</v>
      </c>
      <c r="E168" s="83" t="s">
        <v>53</v>
      </c>
      <c r="F168" s="546" t="s">
        <v>7024</v>
      </c>
      <c r="G168" s="547" t="s">
        <v>5630</v>
      </c>
      <c r="H168" s="549"/>
      <c r="I168" s="538"/>
      <c r="J168" s="454"/>
      <c r="K168" s="321"/>
      <c r="L168" s="545" t="s">
        <v>6975</v>
      </c>
      <c r="M168" s="546" t="s">
        <v>7025</v>
      </c>
      <c r="N168" s="321"/>
      <c r="O168" s="468" t="s">
        <v>7027</v>
      </c>
      <c r="P168" s="284"/>
      <c r="Q168" s="205">
        <v>2024.0</v>
      </c>
      <c r="R168" s="458" t="s">
        <v>279</v>
      </c>
      <c r="S168" s="321"/>
      <c r="T168" s="321"/>
      <c r="U168" s="321"/>
      <c r="V168" s="321"/>
      <c r="W168" s="321"/>
      <c r="X168" s="321"/>
      <c r="Y168" s="321"/>
      <c r="Z168" s="321"/>
      <c r="AA168" s="321"/>
      <c r="AB168" s="321"/>
      <c r="AC168" s="321"/>
      <c r="AD168" s="321"/>
    </row>
    <row r="169">
      <c r="A169" s="278" t="s">
        <v>286</v>
      </c>
      <c r="B169" s="279">
        <v>14.0</v>
      </c>
      <c r="C169" s="449" t="s">
        <v>7030</v>
      </c>
      <c r="D169" s="449" t="s">
        <v>7034</v>
      </c>
      <c r="E169" s="94" t="s">
        <v>49</v>
      </c>
      <c r="F169" s="451"/>
      <c r="G169" s="547" t="s">
        <v>781</v>
      </c>
      <c r="H169" s="547" t="s">
        <v>7035</v>
      </c>
      <c r="I169" s="538"/>
      <c r="J169" s="454"/>
      <c r="K169" s="321"/>
      <c r="L169" s="545" t="s">
        <v>6962</v>
      </c>
      <c r="M169" s="546" t="s">
        <v>7036</v>
      </c>
      <c r="N169" s="321"/>
      <c r="O169" s="457">
        <v>2016.0</v>
      </c>
      <c r="P169" s="284"/>
      <c r="Q169" s="205">
        <v>2024.0</v>
      </c>
      <c r="R169" s="458" t="s">
        <v>7037</v>
      </c>
      <c r="S169" s="321"/>
      <c r="T169" s="321"/>
      <c r="U169" s="321"/>
      <c r="V169" s="321"/>
      <c r="W169" s="321"/>
      <c r="X169" s="321"/>
      <c r="Y169" s="321"/>
      <c r="Z169" s="321"/>
      <c r="AA169" s="321"/>
      <c r="AB169" s="321"/>
      <c r="AC169" s="321"/>
      <c r="AD169" s="321"/>
    </row>
    <row r="170">
      <c r="A170" s="278" t="s">
        <v>286</v>
      </c>
      <c r="B170" s="279">
        <v>15.0</v>
      </c>
      <c r="C170" s="280" t="s">
        <v>896</v>
      </c>
      <c r="D170" s="280" t="s">
        <v>7039</v>
      </c>
      <c r="E170" s="83" t="s">
        <v>53</v>
      </c>
      <c r="F170" s="451"/>
      <c r="G170" s="548"/>
      <c r="H170" s="549"/>
      <c r="I170" s="538"/>
      <c r="J170" s="454"/>
      <c r="K170" s="321"/>
      <c r="L170" s="545" t="s">
        <v>6975</v>
      </c>
      <c r="M170" s="546" t="s">
        <v>7040</v>
      </c>
      <c r="N170" s="321"/>
      <c r="O170" s="457">
        <v>2018.0</v>
      </c>
      <c r="P170" s="284"/>
      <c r="Q170" s="205">
        <v>2026.0</v>
      </c>
      <c r="R170" s="444" t="s">
        <v>7037</v>
      </c>
      <c r="S170" s="321"/>
      <c r="T170" s="321"/>
      <c r="U170" s="321"/>
      <c r="V170" s="321"/>
      <c r="W170" s="321"/>
      <c r="X170" s="321"/>
      <c r="Y170" s="321"/>
      <c r="Z170" s="321"/>
      <c r="AA170" s="321"/>
      <c r="AB170" s="321"/>
      <c r="AC170" s="321"/>
      <c r="AD170" s="321"/>
    </row>
    <row r="171">
      <c r="A171" s="278" t="s">
        <v>286</v>
      </c>
      <c r="B171" s="279">
        <v>16.0</v>
      </c>
      <c r="C171" s="449" t="s">
        <v>45</v>
      </c>
      <c r="D171" s="449" t="s">
        <v>7045</v>
      </c>
      <c r="E171" s="83" t="s">
        <v>53</v>
      </c>
      <c r="F171" s="479"/>
      <c r="G171" s="547" t="s">
        <v>5999</v>
      </c>
      <c r="H171" s="549"/>
      <c r="I171" s="538"/>
      <c r="J171" s="454"/>
      <c r="K171" s="321"/>
      <c r="L171" s="545" t="s">
        <v>6985</v>
      </c>
      <c r="M171" s="551" t="s">
        <v>7046</v>
      </c>
      <c r="N171" s="321"/>
      <c r="O171" s="457">
        <v>2014.0</v>
      </c>
      <c r="P171" s="284"/>
      <c r="Q171" s="205">
        <v>2022.0</v>
      </c>
      <c r="R171" s="444" t="s">
        <v>7037</v>
      </c>
      <c r="S171" s="321"/>
      <c r="T171" s="321"/>
      <c r="U171" s="321"/>
      <c r="V171" s="321"/>
      <c r="W171" s="321"/>
      <c r="X171" s="321"/>
      <c r="Y171" s="321"/>
      <c r="Z171" s="321"/>
      <c r="AA171" s="321"/>
      <c r="AB171" s="321"/>
      <c r="AC171" s="321"/>
      <c r="AD171" s="321"/>
    </row>
    <row r="172">
      <c r="A172" s="278" t="s">
        <v>286</v>
      </c>
      <c r="B172" s="279">
        <v>17.0</v>
      </c>
      <c r="C172" s="280" t="s">
        <v>1054</v>
      </c>
      <c r="D172" s="280" t="s">
        <v>4384</v>
      </c>
      <c r="E172" s="83" t="s">
        <v>53</v>
      </c>
      <c r="F172" s="479"/>
      <c r="G172" s="548"/>
      <c r="H172" s="549"/>
      <c r="I172" s="538"/>
      <c r="J172" s="454"/>
      <c r="K172" s="321"/>
      <c r="L172" s="545" t="s">
        <v>6975</v>
      </c>
      <c r="M172" s="550" t="s">
        <v>7048</v>
      </c>
      <c r="N172" s="321"/>
      <c r="O172" s="457">
        <v>2018.0</v>
      </c>
      <c r="P172" s="284"/>
      <c r="Q172" s="205">
        <v>2026.0</v>
      </c>
      <c r="R172" s="458" t="s">
        <v>2670</v>
      </c>
      <c r="S172" s="321"/>
      <c r="T172" s="321"/>
      <c r="U172" s="321"/>
      <c r="V172" s="321"/>
      <c r="W172" s="321"/>
      <c r="X172" s="321"/>
      <c r="Y172" s="321"/>
      <c r="Z172" s="321"/>
      <c r="AA172" s="321"/>
      <c r="AB172" s="321"/>
      <c r="AC172" s="321"/>
      <c r="AD172" s="321"/>
    </row>
    <row r="173">
      <c r="A173" s="278" t="s">
        <v>286</v>
      </c>
      <c r="B173" s="279">
        <v>18.0</v>
      </c>
      <c r="C173" s="449" t="s">
        <v>432</v>
      </c>
      <c r="D173" s="449" t="s">
        <v>7058</v>
      </c>
      <c r="E173" s="83" t="s">
        <v>53</v>
      </c>
      <c r="F173" s="451"/>
      <c r="G173" s="547" t="s">
        <v>781</v>
      </c>
      <c r="H173" s="547" t="s">
        <v>6984</v>
      </c>
      <c r="I173" s="538"/>
      <c r="J173" s="454"/>
      <c r="K173" s="321"/>
      <c r="L173" s="545" t="s">
        <v>6975</v>
      </c>
      <c r="M173" s="545" t="s">
        <v>7060</v>
      </c>
      <c r="N173" s="321"/>
      <c r="O173" s="457">
        <v>2016.0</v>
      </c>
      <c r="P173" s="284"/>
      <c r="Q173" s="205">
        <v>2024.0</v>
      </c>
      <c r="R173" s="458" t="s">
        <v>6424</v>
      </c>
      <c r="S173" s="321"/>
      <c r="T173" s="321"/>
      <c r="U173" s="321"/>
      <c r="V173" s="321"/>
      <c r="W173" s="321"/>
      <c r="X173" s="321"/>
      <c r="Y173" s="321"/>
      <c r="Z173" s="321"/>
      <c r="AA173" s="321"/>
      <c r="AB173" s="321"/>
      <c r="AC173" s="321"/>
      <c r="AD173" s="321"/>
    </row>
    <row r="174">
      <c r="A174" s="278" t="s">
        <v>286</v>
      </c>
      <c r="B174" s="279">
        <v>19.0</v>
      </c>
      <c r="C174" s="449" t="s">
        <v>930</v>
      </c>
      <c r="D174" s="449" t="s">
        <v>7069</v>
      </c>
      <c r="E174" s="83" t="s">
        <v>53</v>
      </c>
      <c r="F174" s="451"/>
      <c r="G174" s="547" t="s">
        <v>5951</v>
      </c>
      <c r="H174" s="549"/>
      <c r="I174" s="538"/>
      <c r="J174" s="454"/>
      <c r="K174" s="321"/>
      <c r="L174" s="545" t="s">
        <v>6975</v>
      </c>
      <c r="M174" s="551" t="s">
        <v>7071</v>
      </c>
      <c r="N174" s="321"/>
      <c r="O174" s="457">
        <v>2012.0</v>
      </c>
      <c r="P174" s="284"/>
      <c r="Q174" s="205">
        <v>2020.0</v>
      </c>
      <c r="R174" s="444" t="s">
        <v>6424</v>
      </c>
      <c r="S174" s="321"/>
      <c r="T174" s="321"/>
      <c r="U174" s="321"/>
      <c r="V174" s="321"/>
      <c r="W174" s="321"/>
      <c r="X174" s="321"/>
      <c r="Y174" s="321"/>
      <c r="Z174" s="321"/>
      <c r="AA174" s="321"/>
      <c r="AB174" s="321"/>
      <c r="AC174" s="321"/>
      <c r="AD174" s="321"/>
    </row>
    <row r="175">
      <c r="A175" s="278" t="s">
        <v>286</v>
      </c>
      <c r="B175" s="279">
        <v>20.0</v>
      </c>
      <c r="C175" s="280" t="s">
        <v>3012</v>
      </c>
      <c r="D175" s="280" t="s">
        <v>7076</v>
      </c>
      <c r="E175" s="94" t="s">
        <v>49</v>
      </c>
      <c r="F175" s="479"/>
      <c r="G175" s="548"/>
      <c r="H175" s="549"/>
      <c r="I175" s="538"/>
      <c r="J175" s="454"/>
      <c r="K175" s="321"/>
      <c r="L175" s="545" t="s">
        <v>6962</v>
      </c>
      <c r="M175" s="545" t="s">
        <v>7077</v>
      </c>
      <c r="N175" s="321"/>
      <c r="O175" s="457">
        <v>2018.0</v>
      </c>
      <c r="P175" s="284"/>
      <c r="Q175" s="205">
        <v>2026.0</v>
      </c>
      <c r="R175" s="458" t="s">
        <v>7078</v>
      </c>
      <c r="S175" s="321"/>
      <c r="T175" s="321"/>
      <c r="U175" s="321"/>
      <c r="V175" s="321"/>
      <c r="W175" s="321"/>
      <c r="X175" s="321"/>
      <c r="Y175" s="321"/>
      <c r="Z175" s="321"/>
      <c r="AA175" s="321"/>
      <c r="AB175" s="321"/>
      <c r="AC175" s="321"/>
      <c r="AD175" s="321"/>
    </row>
    <row r="176">
      <c r="A176" s="278" t="s">
        <v>286</v>
      </c>
      <c r="B176" s="279">
        <v>21.0</v>
      </c>
      <c r="C176" s="449" t="s">
        <v>5573</v>
      </c>
      <c r="D176" s="449" t="s">
        <v>7081</v>
      </c>
      <c r="E176" s="94" t="s">
        <v>49</v>
      </c>
      <c r="F176" s="546" t="s">
        <v>7082</v>
      </c>
      <c r="G176" s="547" t="s">
        <v>6984</v>
      </c>
      <c r="H176" s="549"/>
      <c r="I176" s="538"/>
      <c r="J176" s="454"/>
      <c r="K176" s="321"/>
      <c r="L176" s="545" t="s">
        <v>6962</v>
      </c>
      <c r="M176" s="551" t="s">
        <v>7085</v>
      </c>
      <c r="N176" s="321"/>
      <c r="O176" s="457">
        <v>2014.0</v>
      </c>
      <c r="P176" s="284"/>
      <c r="Q176" s="205">
        <v>2022.0</v>
      </c>
      <c r="R176" s="444" t="s">
        <v>7078</v>
      </c>
      <c r="S176" s="321"/>
      <c r="T176" s="321"/>
      <c r="U176" s="321"/>
      <c r="V176" s="321"/>
      <c r="W176" s="321"/>
      <c r="X176" s="321"/>
      <c r="Y176" s="321"/>
      <c r="Z176" s="321"/>
      <c r="AA176" s="321"/>
      <c r="AB176" s="321"/>
      <c r="AC176" s="321"/>
      <c r="AD176" s="321"/>
    </row>
    <row r="177">
      <c r="A177" s="278" t="s">
        <v>286</v>
      </c>
      <c r="B177" s="279">
        <v>22.0</v>
      </c>
      <c r="C177" s="280" t="s">
        <v>2512</v>
      </c>
      <c r="D177" s="280" t="s">
        <v>7089</v>
      </c>
      <c r="E177" s="83" t="s">
        <v>53</v>
      </c>
      <c r="F177" s="546" t="s">
        <v>7090</v>
      </c>
      <c r="G177" s="547" t="s">
        <v>6984</v>
      </c>
      <c r="H177" s="549"/>
      <c r="I177" s="538"/>
      <c r="J177" s="454"/>
      <c r="K177" s="321"/>
      <c r="L177" s="545" t="s">
        <v>6975</v>
      </c>
      <c r="M177" s="545" t="s">
        <v>7094</v>
      </c>
      <c r="N177" s="321"/>
      <c r="O177" s="457">
        <v>2018.0</v>
      </c>
      <c r="P177" s="284"/>
      <c r="Q177" s="205">
        <v>2026.0</v>
      </c>
      <c r="R177" s="444" t="s">
        <v>7078</v>
      </c>
      <c r="S177" s="321"/>
      <c r="T177" s="321"/>
      <c r="U177" s="321"/>
      <c r="V177" s="321"/>
      <c r="W177" s="321"/>
      <c r="X177" s="321"/>
      <c r="Y177" s="321"/>
      <c r="Z177" s="321"/>
      <c r="AA177" s="321"/>
      <c r="AB177" s="321"/>
      <c r="AC177" s="321"/>
      <c r="AD177" s="321"/>
    </row>
    <row r="178">
      <c r="A178" s="278" t="s">
        <v>286</v>
      </c>
      <c r="B178" s="279">
        <v>23.0</v>
      </c>
      <c r="C178" s="449" t="s">
        <v>1685</v>
      </c>
      <c r="D178" s="449" t="s">
        <v>7098</v>
      </c>
      <c r="E178" s="94" t="s">
        <v>49</v>
      </c>
      <c r="F178" s="546" t="s">
        <v>7100</v>
      </c>
      <c r="G178" s="547" t="s">
        <v>5630</v>
      </c>
      <c r="H178" s="549"/>
      <c r="I178" s="538"/>
      <c r="J178" s="454"/>
      <c r="K178" s="321"/>
      <c r="L178" s="444" t="s">
        <v>6962</v>
      </c>
      <c r="M178" s="546" t="s">
        <v>7104</v>
      </c>
      <c r="N178" s="321"/>
      <c r="O178" s="468" t="s">
        <v>7107</v>
      </c>
      <c r="P178" s="284"/>
      <c r="Q178" s="205">
        <v>2024.0</v>
      </c>
      <c r="R178" s="458" t="s">
        <v>7108</v>
      </c>
      <c r="S178" s="321"/>
      <c r="T178" s="321"/>
      <c r="U178" s="321"/>
      <c r="V178" s="321"/>
      <c r="W178" s="321"/>
      <c r="X178" s="321"/>
      <c r="Y178" s="321"/>
      <c r="Z178" s="321"/>
      <c r="AA178" s="321"/>
      <c r="AB178" s="321"/>
      <c r="AC178" s="321"/>
      <c r="AD178" s="321"/>
    </row>
    <row r="179">
      <c r="A179" s="278" t="s">
        <v>286</v>
      </c>
      <c r="B179" s="279">
        <v>24.0</v>
      </c>
      <c r="C179" s="449" t="s">
        <v>7111</v>
      </c>
      <c r="D179" s="449" t="s">
        <v>3357</v>
      </c>
      <c r="E179" s="94" t="s">
        <v>49</v>
      </c>
      <c r="F179" s="451"/>
      <c r="G179" s="548"/>
      <c r="H179" s="549"/>
      <c r="I179" s="538"/>
      <c r="J179" s="454"/>
      <c r="K179" s="321"/>
      <c r="L179" s="545" t="s">
        <v>6962</v>
      </c>
      <c r="M179" s="546" t="s">
        <v>7112</v>
      </c>
      <c r="N179" s="321"/>
      <c r="O179" s="457">
        <v>2016.0</v>
      </c>
      <c r="P179" s="284"/>
      <c r="Q179" s="205">
        <v>2024.0</v>
      </c>
      <c r="R179" s="458" t="s">
        <v>5980</v>
      </c>
      <c r="S179" s="321"/>
      <c r="T179" s="321"/>
      <c r="U179" s="321"/>
      <c r="V179" s="321"/>
      <c r="W179" s="321"/>
      <c r="X179" s="321"/>
      <c r="Y179" s="321"/>
      <c r="Z179" s="321"/>
      <c r="AA179" s="321"/>
      <c r="AB179" s="321"/>
      <c r="AC179" s="321"/>
      <c r="AD179" s="321"/>
    </row>
    <row r="180">
      <c r="A180" s="278" t="s">
        <v>286</v>
      </c>
      <c r="B180" s="279">
        <v>25.0</v>
      </c>
      <c r="C180" s="449" t="s">
        <v>120</v>
      </c>
      <c r="D180" s="449" t="s">
        <v>7121</v>
      </c>
      <c r="E180" s="94" t="s">
        <v>49</v>
      </c>
      <c r="F180" s="451"/>
      <c r="G180" s="547" t="s">
        <v>5898</v>
      </c>
      <c r="H180" s="549"/>
      <c r="I180" s="538"/>
      <c r="J180" s="454"/>
      <c r="K180" s="321"/>
      <c r="L180" s="545" t="s">
        <v>6962</v>
      </c>
      <c r="M180" s="546" t="s">
        <v>7122</v>
      </c>
      <c r="N180" s="321"/>
      <c r="O180" s="554" t="s">
        <v>7127</v>
      </c>
      <c r="P180" s="284"/>
      <c r="Q180" s="205">
        <v>2022.0</v>
      </c>
      <c r="R180" s="444" t="s">
        <v>5980</v>
      </c>
      <c r="S180" s="321"/>
      <c r="T180" s="321"/>
      <c r="U180" s="321"/>
      <c r="V180" s="321"/>
      <c r="W180" s="321"/>
      <c r="X180" s="321"/>
      <c r="Y180" s="321"/>
      <c r="Z180" s="321"/>
      <c r="AA180" s="321"/>
      <c r="AB180" s="321"/>
      <c r="AC180" s="321"/>
      <c r="AD180" s="321"/>
    </row>
    <row r="181">
      <c r="A181" s="278" t="s">
        <v>286</v>
      </c>
      <c r="B181" s="279">
        <v>26.0</v>
      </c>
      <c r="C181" s="449" t="s">
        <v>325</v>
      </c>
      <c r="D181" s="449" t="s">
        <v>3034</v>
      </c>
      <c r="E181" s="94" t="s">
        <v>49</v>
      </c>
      <c r="F181" s="451"/>
      <c r="G181" s="547" t="s">
        <v>7138</v>
      </c>
      <c r="H181" s="547" t="s">
        <v>536</v>
      </c>
      <c r="I181" s="538"/>
      <c r="J181" s="454"/>
      <c r="K181" s="321"/>
      <c r="L181" s="545" t="s">
        <v>7139</v>
      </c>
      <c r="M181" s="551" t="s">
        <v>7140</v>
      </c>
      <c r="N181" s="321"/>
      <c r="O181" s="457" t="s">
        <v>7144</v>
      </c>
      <c r="P181" s="284"/>
      <c r="Q181" s="205">
        <v>2022.0</v>
      </c>
      <c r="R181" s="444" t="s">
        <v>5980</v>
      </c>
      <c r="S181" s="321"/>
      <c r="T181" s="321"/>
      <c r="U181" s="321"/>
      <c r="V181" s="321"/>
      <c r="W181" s="321"/>
      <c r="X181" s="321"/>
      <c r="Y181" s="321"/>
      <c r="Z181" s="321"/>
      <c r="AA181" s="321"/>
      <c r="AB181" s="321"/>
      <c r="AC181" s="321"/>
      <c r="AD181" s="321"/>
    </row>
    <row r="182">
      <c r="A182" s="278" t="s">
        <v>286</v>
      </c>
      <c r="B182" s="279">
        <v>27.0</v>
      </c>
      <c r="C182" s="449" t="s">
        <v>195</v>
      </c>
      <c r="D182" s="449" t="s">
        <v>7146</v>
      </c>
      <c r="E182" s="94" t="s">
        <v>49</v>
      </c>
      <c r="F182" s="451"/>
      <c r="G182" s="547" t="s">
        <v>7147</v>
      </c>
      <c r="H182" s="547" t="s">
        <v>578</v>
      </c>
      <c r="I182" s="538"/>
      <c r="J182" s="454"/>
      <c r="K182" s="321"/>
      <c r="L182" s="545" t="s">
        <v>6962</v>
      </c>
      <c r="M182" s="546" t="s">
        <v>7149</v>
      </c>
      <c r="N182" s="321"/>
      <c r="O182" s="457">
        <v>2016.0</v>
      </c>
      <c r="P182" s="284"/>
      <c r="Q182" s="205">
        <v>2024.0</v>
      </c>
      <c r="R182" s="444" t="s">
        <v>5980</v>
      </c>
      <c r="S182" s="321"/>
      <c r="T182" s="321"/>
      <c r="U182" s="321"/>
      <c r="V182" s="321"/>
      <c r="W182" s="321"/>
      <c r="X182" s="321"/>
      <c r="Y182" s="321"/>
      <c r="Z182" s="321"/>
      <c r="AA182" s="321"/>
      <c r="AB182" s="321"/>
      <c r="AC182" s="321"/>
      <c r="AD182" s="321"/>
    </row>
    <row r="183">
      <c r="A183" s="278" t="s">
        <v>286</v>
      </c>
      <c r="B183" s="279">
        <v>28.0</v>
      </c>
      <c r="C183" s="280" t="s">
        <v>1255</v>
      </c>
      <c r="D183" s="280" t="s">
        <v>7154</v>
      </c>
      <c r="E183" s="94" t="s">
        <v>49</v>
      </c>
      <c r="F183" s="451"/>
      <c r="G183" s="547" t="s">
        <v>5951</v>
      </c>
      <c r="H183" s="547" t="s">
        <v>7155</v>
      </c>
      <c r="I183" s="547" t="s">
        <v>5687</v>
      </c>
      <c r="J183" s="454"/>
      <c r="K183" s="321"/>
      <c r="L183" s="545" t="s">
        <v>6962</v>
      </c>
      <c r="M183" s="545" t="s">
        <v>7157</v>
      </c>
      <c r="N183" s="321"/>
      <c r="O183" s="457">
        <v>2018.0</v>
      </c>
      <c r="P183" s="284"/>
      <c r="Q183" s="205">
        <v>2026.0</v>
      </c>
      <c r="R183" s="444" t="s">
        <v>5980</v>
      </c>
      <c r="S183" s="321"/>
      <c r="T183" s="321"/>
      <c r="U183" s="321"/>
      <c r="V183" s="321"/>
      <c r="W183" s="321"/>
      <c r="X183" s="321"/>
      <c r="Y183" s="321"/>
      <c r="Z183" s="321"/>
      <c r="AA183" s="321"/>
      <c r="AB183" s="321"/>
      <c r="AC183" s="321"/>
      <c r="AD183" s="321"/>
    </row>
    <row r="184">
      <c r="A184" s="278" t="s">
        <v>286</v>
      </c>
      <c r="B184" s="279">
        <v>29.0</v>
      </c>
      <c r="C184" s="449" t="s">
        <v>1340</v>
      </c>
      <c r="D184" s="449" t="s">
        <v>7160</v>
      </c>
      <c r="E184" s="94" t="s">
        <v>49</v>
      </c>
      <c r="F184" s="451"/>
      <c r="G184" s="547" t="s">
        <v>7161</v>
      </c>
      <c r="H184" s="547" t="s">
        <v>5766</v>
      </c>
      <c r="I184" s="538"/>
      <c r="J184" s="454"/>
      <c r="K184" s="321"/>
      <c r="L184" s="545" t="s">
        <v>6962</v>
      </c>
      <c r="M184" s="551" t="s">
        <v>7164</v>
      </c>
      <c r="N184" s="321"/>
      <c r="O184" s="457">
        <v>2012.0</v>
      </c>
      <c r="P184" s="284"/>
      <c r="Q184" s="205">
        <v>2020.0</v>
      </c>
      <c r="R184" s="444" t="s">
        <v>5980</v>
      </c>
      <c r="S184" s="321"/>
      <c r="T184" s="321"/>
      <c r="U184" s="321"/>
      <c r="V184" s="321"/>
      <c r="W184" s="321"/>
      <c r="X184" s="321"/>
      <c r="Y184" s="321"/>
      <c r="Z184" s="321"/>
      <c r="AA184" s="321"/>
      <c r="AB184" s="321"/>
      <c r="AC184" s="321"/>
      <c r="AD184" s="321"/>
    </row>
    <row r="185">
      <c r="A185" s="278" t="s">
        <v>286</v>
      </c>
      <c r="B185" s="279">
        <v>30.0</v>
      </c>
      <c r="C185" s="280" t="s">
        <v>978</v>
      </c>
      <c r="D185" s="280" t="s">
        <v>7154</v>
      </c>
      <c r="E185" s="94" t="s">
        <v>49</v>
      </c>
      <c r="F185" s="479"/>
      <c r="G185" s="547" t="s">
        <v>5951</v>
      </c>
      <c r="H185" s="547" t="s">
        <v>7155</v>
      </c>
      <c r="I185" s="547" t="s">
        <v>5687</v>
      </c>
      <c r="J185" s="454"/>
      <c r="K185" s="321"/>
      <c r="L185" s="545" t="s">
        <v>6962</v>
      </c>
      <c r="M185" s="545" t="s">
        <v>7167</v>
      </c>
      <c r="N185" s="321"/>
      <c r="O185" s="457">
        <v>2018.0</v>
      </c>
      <c r="P185" s="284"/>
      <c r="Q185" s="205">
        <v>2026.0</v>
      </c>
      <c r="R185" s="444" t="s">
        <v>5980</v>
      </c>
      <c r="S185" s="321"/>
      <c r="T185" s="321"/>
      <c r="U185" s="321"/>
      <c r="V185" s="321"/>
      <c r="W185" s="321"/>
      <c r="X185" s="321"/>
      <c r="Y185" s="321"/>
      <c r="Z185" s="321"/>
      <c r="AA185" s="321"/>
      <c r="AB185" s="321"/>
      <c r="AC185" s="321"/>
      <c r="AD185" s="321"/>
    </row>
    <row r="186">
      <c r="A186" s="278" t="s">
        <v>286</v>
      </c>
      <c r="B186" s="279">
        <v>31.0</v>
      </c>
      <c r="C186" s="449" t="s">
        <v>786</v>
      </c>
      <c r="D186" s="449" t="s">
        <v>7169</v>
      </c>
      <c r="E186" s="94" t="s">
        <v>49</v>
      </c>
      <c r="F186" s="451"/>
      <c r="G186" s="547" t="s">
        <v>6173</v>
      </c>
      <c r="H186" s="547" t="s">
        <v>7170</v>
      </c>
      <c r="I186" s="538"/>
      <c r="J186" s="454"/>
      <c r="K186" s="321"/>
      <c r="L186" s="545" t="s">
        <v>6962</v>
      </c>
      <c r="M186" s="546" t="s">
        <v>7171</v>
      </c>
      <c r="N186" s="321"/>
      <c r="O186" s="457">
        <v>2016.0</v>
      </c>
      <c r="P186" s="284"/>
      <c r="Q186" s="205">
        <v>2024.0</v>
      </c>
      <c r="R186" s="444" t="s">
        <v>5632</v>
      </c>
      <c r="S186" s="321"/>
      <c r="T186" s="321"/>
      <c r="U186" s="321"/>
      <c r="V186" s="321"/>
      <c r="W186" s="321"/>
      <c r="X186" s="321"/>
      <c r="Y186" s="321"/>
      <c r="Z186" s="321"/>
      <c r="AA186" s="321"/>
      <c r="AB186" s="321"/>
      <c r="AC186" s="321"/>
      <c r="AD186" s="321"/>
    </row>
    <row r="187">
      <c r="A187" s="278" t="s">
        <v>286</v>
      </c>
      <c r="B187" s="279">
        <v>32.0</v>
      </c>
      <c r="C187" s="449" t="s">
        <v>1446</v>
      </c>
      <c r="D187" s="449" t="s">
        <v>7179</v>
      </c>
      <c r="E187" s="94" t="s">
        <v>49</v>
      </c>
      <c r="F187" s="451"/>
      <c r="G187" s="547" t="s">
        <v>6616</v>
      </c>
      <c r="H187" s="547" t="s">
        <v>6983</v>
      </c>
      <c r="I187" s="538"/>
      <c r="J187" s="454"/>
      <c r="K187" s="321"/>
      <c r="L187" s="545" t="s">
        <v>7139</v>
      </c>
      <c r="M187" s="546" t="s">
        <v>7182</v>
      </c>
      <c r="N187" s="321"/>
      <c r="O187" s="555">
        <v>43175.0</v>
      </c>
      <c r="P187" s="284"/>
      <c r="Q187" s="205">
        <v>2022.0</v>
      </c>
      <c r="R187" s="444" t="s">
        <v>5632</v>
      </c>
      <c r="S187" s="321"/>
      <c r="T187" s="321"/>
      <c r="U187" s="321"/>
      <c r="V187" s="321"/>
      <c r="W187" s="321"/>
      <c r="X187" s="321"/>
      <c r="Y187" s="321"/>
      <c r="Z187" s="321"/>
      <c r="AA187" s="321"/>
      <c r="AB187" s="321"/>
      <c r="AC187" s="321"/>
      <c r="AD187" s="321"/>
    </row>
    <row r="188">
      <c r="A188" s="278" t="s">
        <v>286</v>
      </c>
      <c r="B188" s="279">
        <v>33.0</v>
      </c>
      <c r="C188" s="449" t="s">
        <v>108</v>
      </c>
      <c r="D188" s="449" t="s">
        <v>7190</v>
      </c>
      <c r="E188" s="83" t="s">
        <v>53</v>
      </c>
      <c r="F188" s="451"/>
      <c r="G188" s="547" t="s">
        <v>5590</v>
      </c>
      <c r="H188" s="549"/>
      <c r="I188" s="538"/>
      <c r="J188" s="454"/>
      <c r="K188" s="321"/>
      <c r="L188" s="545" t="s">
        <v>6975</v>
      </c>
      <c r="M188" s="556" t="s">
        <v>7191</v>
      </c>
      <c r="N188" s="321"/>
      <c r="O188" s="457">
        <v>2012.0</v>
      </c>
      <c r="P188" s="284"/>
      <c r="Q188" s="205">
        <v>2022.0</v>
      </c>
      <c r="R188" s="444" t="s">
        <v>5632</v>
      </c>
      <c r="S188" s="321"/>
      <c r="T188" s="321"/>
      <c r="U188" s="321"/>
      <c r="V188" s="321"/>
      <c r="W188" s="321"/>
      <c r="X188" s="321"/>
      <c r="Y188" s="321"/>
      <c r="Z188" s="321"/>
      <c r="AA188" s="321"/>
      <c r="AB188" s="321"/>
      <c r="AC188" s="321"/>
      <c r="AD188" s="321"/>
    </row>
    <row r="189">
      <c r="A189" s="278" t="s">
        <v>286</v>
      </c>
      <c r="B189" s="279">
        <v>34.0</v>
      </c>
      <c r="C189" s="280" t="s">
        <v>1134</v>
      </c>
      <c r="D189" s="280" t="s">
        <v>5716</v>
      </c>
      <c r="E189" s="83" t="s">
        <v>53</v>
      </c>
      <c r="F189" s="451"/>
      <c r="G189" s="547" t="s">
        <v>6173</v>
      </c>
      <c r="H189" s="547" t="s">
        <v>5717</v>
      </c>
      <c r="I189" s="538"/>
      <c r="J189" s="454"/>
      <c r="K189" s="321"/>
      <c r="L189" s="545" t="s">
        <v>6975</v>
      </c>
      <c r="M189" s="545" t="s">
        <v>7195</v>
      </c>
      <c r="N189" s="321"/>
      <c r="O189" s="457">
        <v>2018.0</v>
      </c>
      <c r="P189" s="284"/>
      <c r="Q189" s="205">
        <v>2026.0</v>
      </c>
      <c r="R189" s="444" t="s">
        <v>5632</v>
      </c>
      <c r="S189" s="321"/>
      <c r="T189" s="321"/>
      <c r="U189" s="321"/>
      <c r="V189" s="321"/>
      <c r="W189" s="321"/>
      <c r="X189" s="321"/>
      <c r="Y189" s="321"/>
      <c r="Z189" s="321"/>
      <c r="AA189" s="321"/>
      <c r="AB189" s="321"/>
      <c r="AC189" s="321"/>
      <c r="AD189" s="321"/>
    </row>
    <row r="190">
      <c r="A190" s="278" t="s">
        <v>286</v>
      </c>
      <c r="B190" s="279">
        <v>35.0</v>
      </c>
      <c r="C190" s="280" t="s">
        <v>91</v>
      </c>
      <c r="D190" s="280" t="s">
        <v>572</v>
      </c>
      <c r="E190" s="94" t="s">
        <v>49</v>
      </c>
      <c r="F190" s="451"/>
      <c r="G190" s="547" t="s">
        <v>7197</v>
      </c>
      <c r="H190" s="547" t="s">
        <v>5591</v>
      </c>
      <c r="I190" s="538"/>
      <c r="J190" s="454"/>
      <c r="K190" s="321"/>
      <c r="L190" s="545" t="s">
        <v>6962</v>
      </c>
      <c r="M190" s="546" t="s">
        <v>7200</v>
      </c>
      <c r="N190" s="321"/>
      <c r="O190" s="457">
        <v>2018.0</v>
      </c>
      <c r="P190" s="284"/>
      <c r="Q190" s="205">
        <v>2026.0</v>
      </c>
      <c r="R190" s="444" t="s">
        <v>5632</v>
      </c>
      <c r="S190" s="321"/>
      <c r="T190" s="321"/>
      <c r="U190" s="321"/>
      <c r="V190" s="321"/>
      <c r="W190" s="321"/>
      <c r="X190" s="321"/>
      <c r="Y190" s="321"/>
      <c r="Z190" s="321"/>
      <c r="AA190" s="321"/>
      <c r="AB190" s="321"/>
      <c r="AC190" s="321"/>
      <c r="AD190" s="321"/>
    </row>
    <row r="191">
      <c r="A191" s="305"/>
      <c r="B191" s="305"/>
      <c r="C191" s="305"/>
      <c r="D191" s="305"/>
      <c r="E191" s="305"/>
      <c r="F191" s="305"/>
      <c r="G191" s="544"/>
      <c r="H191" s="544"/>
      <c r="I191" s="544"/>
      <c r="J191" s="544"/>
      <c r="K191" s="305"/>
      <c r="L191" s="305"/>
      <c r="M191" s="305"/>
      <c r="N191" s="305"/>
      <c r="O191" s="305"/>
      <c r="P191" s="305"/>
      <c r="Q191" s="305"/>
      <c r="R191" s="305"/>
      <c r="S191" s="305"/>
      <c r="T191" s="305"/>
      <c r="U191" s="305"/>
      <c r="V191" s="305"/>
      <c r="W191" s="305"/>
      <c r="X191" s="305"/>
      <c r="Y191" s="305"/>
      <c r="Z191" s="305"/>
      <c r="AA191" s="305"/>
      <c r="AB191" s="305"/>
      <c r="AC191" s="305"/>
      <c r="AD191" s="305"/>
    </row>
    <row r="192">
      <c r="A192" s="278" t="s">
        <v>421</v>
      </c>
      <c r="B192" s="321"/>
      <c r="C192" s="278" t="s">
        <v>1930</v>
      </c>
      <c r="D192" s="278" t="s">
        <v>5314</v>
      </c>
      <c r="E192" s="94" t="s">
        <v>49</v>
      </c>
      <c r="F192" s="321"/>
      <c r="G192" s="454"/>
      <c r="H192" s="454"/>
      <c r="I192" s="454"/>
      <c r="J192" s="454"/>
      <c r="K192" s="321"/>
      <c r="L192" s="321"/>
      <c r="M192" s="321"/>
      <c r="N192" s="321"/>
      <c r="O192" s="321"/>
      <c r="P192" s="321"/>
      <c r="Q192" s="321"/>
      <c r="R192" s="321"/>
      <c r="S192" s="321"/>
      <c r="T192" s="321"/>
      <c r="U192" s="321"/>
      <c r="V192" s="321"/>
      <c r="W192" s="321"/>
      <c r="X192" s="321"/>
      <c r="Y192" s="321"/>
      <c r="Z192" s="321"/>
      <c r="AA192" s="321"/>
      <c r="AB192" s="321"/>
      <c r="AC192" s="321"/>
      <c r="AD192" s="321"/>
    </row>
    <row r="193">
      <c r="A193" s="305"/>
      <c r="B193" s="305"/>
      <c r="C193" s="305"/>
      <c r="D193" s="305"/>
      <c r="E193" s="305"/>
      <c r="F193" s="305"/>
      <c r="G193" s="544"/>
      <c r="H193" s="544"/>
      <c r="I193" s="544"/>
      <c r="J193" s="544"/>
      <c r="K193" s="305"/>
      <c r="L193" s="305"/>
      <c r="M193" s="305"/>
      <c r="N193" s="305"/>
      <c r="O193" s="305"/>
      <c r="P193" s="305"/>
      <c r="Q193" s="305"/>
      <c r="R193" s="305"/>
      <c r="S193" s="305"/>
      <c r="T193" s="305"/>
      <c r="U193" s="305"/>
      <c r="V193" s="305"/>
      <c r="W193" s="305"/>
      <c r="X193" s="305"/>
      <c r="Y193" s="305"/>
      <c r="Z193" s="305"/>
      <c r="AA193" s="305"/>
      <c r="AB193" s="305"/>
      <c r="AC193" s="305"/>
      <c r="AD193" s="305"/>
    </row>
    <row r="194">
      <c r="A194" s="278" t="s">
        <v>427</v>
      </c>
      <c r="B194" s="321"/>
      <c r="C194" s="278" t="s">
        <v>7207</v>
      </c>
      <c r="D194" s="278" t="s">
        <v>7208</v>
      </c>
      <c r="E194" s="94" t="s">
        <v>49</v>
      </c>
      <c r="F194" s="321"/>
      <c r="G194" s="454"/>
      <c r="H194" s="454"/>
      <c r="I194" s="454"/>
      <c r="J194" s="454"/>
      <c r="K194" s="321"/>
      <c r="L194" s="321"/>
      <c r="M194" s="321"/>
      <c r="N194" s="321"/>
      <c r="O194" s="321"/>
      <c r="P194" s="321"/>
      <c r="Q194" s="321"/>
      <c r="R194" s="321"/>
      <c r="S194" s="321"/>
      <c r="T194" s="321"/>
      <c r="U194" s="321"/>
      <c r="V194" s="321"/>
      <c r="W194" s="321"/>
      <c r="X194" s="321"/>
      <c r="Y194" s="321"/>
      <c r="Z194" s="321"/>
      <c r="AA194" s="321"/>
      <c r="AB194" s="321"/>
      <c r="AC194" s="321"/>
      <c r="AD194" s="321"/>
    </row>
    <row r="195">
      <c r="A195" s="278" t="s">
        <v>427</v>
      </c>
      <c r="B195" s="321"/>
      <c r="C195" s="278" t="s">
        <v>2285</v>
      </c>
      <c r="D195" s="278" t="s">
        <v>6887</v>
      </c>
      <c r="E195" s="94" t="s">
        <v>49</v>
      </c>
      <c r="F195" s="321"/>
      <c r="G195" s="454"/>
      <c r="H195" s="454"/>
      <c r="I195" s="454"/>
      <c r="J195" s="454"/>
      <c r="K195" s="321"/>
      <c r="L195" s="321"/>
      <c r="M195" s="321"/>
      <c r="N195" s="321"/>
      <c r="O195" s="321"/>
      <c r="P195" s="321"/>
      <c r="Q195" s="321"/>
      <c r="R195" s="321"/>
      <c r="S195" s="321"/>
      <c r="T195" s="321"/>
      <c r="U195" s="321"/>
      <c r="V195" s="321"/>
      <c r="W195" s="321"/>
      <c r="X195" s="321"/>
      <c r="Y195" s="321"/>
      <c r="Z195" s="321"/>
      <c r="AA195" s="321"/>
      <c r="AB195" s="321"/>
      <c r="AC195" s="321"/>
      <c r="AD195" s="321"/>
    </row>
    <row r="196">
      <c r="A196" s="305"/>
      <c r="B196" s="305"/>
      <c r="C196" s="305"/>
      <c r="D196" s="305"/>
      <c r="E196" s="305"/>
      <c r="F196" s="305"/>
      <c r="G196" s="544"/>
      <c r="H196" s="544"/>
      <c r="I196" s="544"/>
      <c r="J196" s="544"/>
      <c r="K196" s="305"/>
      <c r="L196" s="305"/>
      <c r="M196" s="305"/>
      <c r="N196" s="305"/>
      <c r="O196" s="305"/>
      <c r="P196" s="305"/>
      <c r="Q196" s="305"/>
      <c r="R196" s="305"/>
      <c r="S196" s="305"/>
      <c r="T196" s="305"/>
      <c r="U196" s="305"/>
      <c r="V196" s="305"/>
      <c r="W196" s="305"/>
      <c r="X196" s="305"/>
      <c r="Y196" s="305"/>
      <c r="Z196" s="305"/>
      <c r="AA196" s="305"/>
      <c r="AB196" s="305"/>
      <c r="AC196" s="305"/>
      <c r="AD196" s="305"/>
    </row>
    <row r="197">
      <c r="A197" s="278" t="s">
        <v>430</v>
      </c>
      <c r="B197" s="321"/>
      <c r="C197" s="278" t="s">
        <v>1446</v>
      </c>
      <c r="D197" s="278" t="s">
        <v>137</v>
      </c>
      <c r="E197" s="83" t="s">
        <v>53</v>
      </c>
      <c r="F197" s="321"/>
      <c r="G197" s="454"/>
      <c r="H197" s="454"/>
      <c r="I197" s="454"/>
      <c r="J197" s="454"/>
      <c r="K197" s="321"/>
      <c r="L197" s="321"/>
      <c r="M197" s="321"/>
      <c r="N197" s="321"/>
      <c r="O197" s="321"/>
      <c r="P197" s="321"/>
      <c r="Q197" s="321"/>
      <c r="R197" s="321"/>
      <c r="S197" s="321"/>
      <c r="T197" s="321"/>
      <c r="U197" s="321"/>
      <c r="V197" s="321"/>
      <c r="W197" s="321"/>
      <c r="X197" s="321"/>
      <c r="Y197" s="321"/>
      <c r="Z197" s="321"/>
      <c r="AA197" s="321"/>
      <c r="AB197" s="321"/>
      <c r="AC197" s="321"/>
      <c r="AD197" s="321"/>
    </row>
    <row r="198">
      <c r="A198" s="278" t="s">
        <v>430</v>
      </c>
      <c r="B198" s="321"/>
      <c r="C198" s="278" t="s">
        <v>3176</v>
      </c>
      <c r="D198" s="278" t="s">
        <v>5219</v>
      </c>
      <c r="E198" s="557" t="s">
        <v>5529</v>
      </c>
      <c r="F198" s="321"/>
      <c r="G198" s="454"/>
      <c r="H198" s="454"/>
      <c r="I198" s="454"/>
      <c r="J198" s="454"/>
      <c r="K198" s="321"/>
      <c r="L198" s="321"/>
      <c r="M198" s="321"/>
      <c r="N198" s="321"/>
      <c r="O198" s="321"/>
      <c r="P198" s="321"/>
      <c r="Q198" s="321"/>
      <c r="R198" s="321"/>
      <c r="S198" s="321"/>
      <c r="T198" s="321"/>
      <c r="U198" s="321"/>
      <c r="V198" s="321"/>
      <c r="W198" s="321"/>
      <c r="X198" s="321"/>
      <c r="Y198" s="321"/>
      <c r="Z198" s="321"/>
      <c r="AA198" s="321"/>
      <c r="AB198" s="321"/>
      <c r="AC198" s="321"/>
      <c r="AD198" s="321"/>
    </row>
    <row r="199">
      <c r="A199" s="305"/>
      <c r="B199" s="305"/>
      <c r="C199" s="305"/>
      <c r="D199" s="305"/>
      <c r="E199" s="305"/>
      <c r="F199" s="305"/>
      <c r="G199" s="544"/>
      <c r="H199" s="544"/>
      <c r="I199" s="544"/>
      <c r="J199" s="544"/>
      <c r="K199" s="305"/>
      <c r="L199" s="305"/>
      <c r="M199" s="305"/>
      <c r="N199" s="305"/>
      <c r="O199" s="305"/>
      <c r="P199" s="305"/>
      <c r="Q199" s="305"/>
      <c r="R199" s="305"/>
      <c r="S199" s="305"/>
      <c r="T199" s="305"/>
      <c r="U199" s="305"/>
      <c r="V199" s="305"/>
      <c r="W199" s="305"/>
      <c r="X199" s="305"/>
      <c r="Y199" s="305"/>
      <c r="Z199" s="305"/>
      <c r="AA199" s="305"/>
      <c r="AB199" s="305"/>
      <c r="AC199" s="305"/>
      <c r="AD199" s="305"/>
    </row>
    <row r="200">
      <c r="A200" s="278" t="s">
        <v>438</v>
      </c>
      <c r="B200" s="321"/>
      <c r="C200" s="278" t="s">
        <v>7214</v>
      </c>
      <c r="D200" s="278"/>
      <c r="E200" s="321"/>
      <c r="F200" s="321"/>
      <c r="G200" s="454"/>
      <c r="H200" s="454"/>
      <c r="I200" s="454"/>
      <c r="J200" s="454"/>
      <c r="K200" s="321"/>
      <c r="L200" s="321"/>
      <c r="M200" s="321"/>
      <c r="N200" s="321"/>
      <c r="O200" s="321"/>
      <c r="P200" s="321"/>
      <c r="Q200" s="321"/>
      <c r="R200" s="321"/>
      <c r="S200" s="321"/>
      <c r="T200" s="321"/>
      <c r="U200" s="321"/>
      <c r="V200" s="321"/>
      <c r="W200" s="321"/>
      <c r="X200" s="321"/>
      <c r="Y200" s="321"/>
      <c r="Z200" s="321"/>
      <c r="AA200" s="321"/>
      <c r="AB200" s="321"/>
      <c r="AC200" s="321"/>
      <c r="AD200" s="321"/>
    </row>
    <row r="201">
      <c r="A201" s="305"/>
      <c r="B201" s="305"/>
      <c r="C201" s="305"/>
      <c r="D201" s="305"/>
      <c r="E201" s="305"/>
      <c r="F201" s="305"/>
      <c r="G201" s="544"/>
      <c r="H201" s="544"/>
      <c r="I201" s="544"/>
      <c r="J201" s="544"/>
      <c r="K201" s="305"/>
      <c r="L201" s="305"/>
      <c r="M201" s="305"/>
      <c r="N201" s="305"/>
      <c r="O201" s="305"/>
      <c r="P201" s="305"/>
      <c r="Q201" s="305"/>
      <c r="R201" s="305"/>
      <c r="S201" s="305"/>
      <c r="T201" s="305"/>
      <c r="U201" s="305"/>
      <c r="V201" s="305"/>
      <c r="W201" s="305"/>
      <c r="X201" s="305"/>
      <c r="Y201" s="305"/>
      <c r="Z201" s="305"/>
      <c r="AA201" s="305"/>
      <c r="AB201" s="305"/>
      <c r="AC201" s="305"/>
      <c r="AD201" s="305"/>
    </row>
    <row r="202">
      <c r="A202" s="321"/>
      <c r="B202" s="321"/>
      <c r="C202" s="321"/>
      <c r="D202" s="321"/>
      <c r="E202" s="321"/>
      <c r="F202" s="321"/>
      <c r="G202" s="454"/>
      <c r="H202" s="454"/>
      <c r="I202" s="454"/>
      <c r="J202" s="454"/>
      <c r="K202" s="321"/>
      <c r="L202" s="321"/>
      <c r="M202" s="321"/>
      <c r="N202" s="321"/>
      <c r="O202" s="321"/>
      <c r="P202" s="321"/>
      <c r="Q202" s="321"/>
      <c r="R202" s="321"/>
      <c r="S202" s="321"/>
      <c r="T202" s="321"/>
      <c r="U202" s="321"/>
      <c r="V202" s="321"/>
      <c r="W202" s="321"/>
      <c r="X202" s="321"/>
      <c r="Y202" s="321"/>
      <c r="Z202" s="321"/>
      <c r="AA202" s="321"/>
      <c r="AB202" s="321"/>
      <c r="AC202" s="321"/>
      <c r="AD202" s="321"/>
    </row>
    <row r="203">
      <c r="A203" s="321"/>
      <c r="B203" s="321"/>
      <c r="C203" s="321"/>
      <c r="D203" s="321"/>
      <c r="E203" s="321"/>
      <c r="F203" s="321"/>
      <c r="G203" s="454"/>
      <c r="H203" s="454"/>
      <c r="I203" s="454"/>
      <c r="J203" s="454"/>
      <c r="K203" s="321"/>
      <c r="L203" s="321"/>
      <c r="M203" s="321"/>
      <c r="N203" s="321"/>
      <c r="O203" s="321"/>
      <c r="P203" s="321"/>
      <c r="Q203" s="321"/>
      <c r="R203" s="321"/>
      <c r="S203" s="321"/>
      <c r="T203" s="321"/>
      <c r="U203" s="321"/>
      <c r="V203" s="321"/>
      <c r="W203" s="321"/>
      <c r="X203" s="321"/>
      <c r="Y203" s="321"/>
      <c r="Z203" s="321"/>
      <c r="AA203" s="321"/>
      <c r="AB203" s="321"/>
      <c r="AC203" s="321"/>
      <c r="AD203" s="321"/>
    </row>
    <row r="204">
      <c r="A204" s="321"/>
      <c r="B204" s="321"/>
      <c r="C204" s="321"/>
      <c r="D204" s="321"/>
      <c r="E204" s="321"/>
      <c r="F204" s="321"/>
      <c r="G204" s="454"/>
      <c r="H204" s="454"/>
      <c r="I204" s="454"/>
      <c r="J204" s="454"/>
      <c r="K204" s="321"/>
      <c r="L204" s="321"/>
      <c r="M204" s="321"/>
      <c r="N204" s="321"/>
      <c r="O204" s="321"/>
      <c r="P204" s="321"/>
      <c r="Q204" s="321"/>
      <c r="R204" s="321"/>
      <c r="S204" s="321"/>
      <c r="T204" s="321"/>
      <c r="U204" s="321"/>
      <c r="V204" s="321"/>
      <c r="W204" s="321"/>
      <c r="X204" s="321"/>
      <c r="Y204" s="321"/>
      <c r="Z204" s="321"/>
      <c r="AA204" s="321"/>
      <c r="AB204" s="321"/>
      <c r="AC204" s="321"/>
      <c r="AD204" s="321"/>
    </row>
    <row r="205">
      <c r="A205" s="321"/>
      <c r="B205" s="321"/>
      <c r="C205" s="321"/>
      <c r="D205" s="321"/>
      <c r="E205" s="321"/>
      <c r="F205" s="321"/>
      <c r="G205" s="454"/>
      <c r="H205" s="454"/>
      <c r="I205" s="454"/>
      <c r="J205" s="454"/>
      <c r="K205" s="321"/>
      <c r="L205" s="321"/>
      <c r="M205" s="321"/>
      <c r="N205" s="321"/>
      <c r="O205" s="321"/>
      <c r="P205" s="321"/>
      <c r="Q205" s="321"/>
      <c r="R205" s="321"/>
      <c r="S205" s="321"/>
      <c r="T205" s="321"/>
      <c r="U205" s="321"/>
      <c r="V205" s="321"/>
      <c r="W205" s="321"/>
      <c r="X205" s="321"/>
      <c r="Y205" s="321"/>
      <c r="Z205" s="321"/>
      <c r="AA205" s="321"/>
      <c r="AB205" s="321"/>
      <c r="AC205" s="321"/>
      <c r="AD205" s="321"/>
    </row>
    <row r="206">
      <c r="A206" s="321"/>
      <c r="B206" s="321"/>
      <c r="C206" s="321"/>
      <c r="D206" s="321"/>
      <c r="E206" s="321"/>
      <c r="F206" s="321"/>
      <c r="G206" s="454"/>
      <c r="H206" s="454"/>
      <c r="I206" s="454"/>
      <c r="J206" s="454"/>
      <c r="K206" s="321"/>
      <c r="L206" s="321"/>
      <c r="M206" s="321"/>
      <c r="N206" s="321"/>
      <c r="O206" s="321"/>
      <c r="P206" s="321"/>
      <c r="Q206" s="321"/>
      <c r="R206" s="321"/>
      <c r="S206" s="321"/>
      <c r="T206" s="321"/>
      <c r="U206" s="321"/>
      <c r="V206" s="321"/>
      <c r="W206" s="321"/>
      <c r="X206" s="321"/>
      <c r="Y206" s="321"/>
      <c r="Z206" s="321"/>
      <c r="AA206" s="321"/>
      <c r="AB206" s="321"/>
      <c r="AC206" s="321"/>
      <c r="AD206" s="321"/>
    </row>
    <row r="207">
      <c r="A207" s="321"/>
      <c r="B207" s="321"/>
      <c r="C207" s="321"/>
      <c r="D207" s="321"/>
      <c r="E207" s="321"/>
      <c r="F207" s="321"/>
      <c r="G207" s="454"/>
      <c r="H207" s="454"/>
      <c r="I207" s="454"/>
      <c r="J207" s="454"/>
      <c r="K207" s="321"/>
      <c r="L207" s="321"/>
      <c r="M207" s="321"/>
      <c r="N207" s="321"/>
      <c r="O207" s="321"/>
      <c r="P207" s="321"/>
      <c r="Q207" s="321"/>
      <c r="R207" s="321"/>
      <c r="S207" s="321"/>
      <c r="T207" s="321"/>
      <c r="U207" s="321"/>
      <c r="V207" s="321"/>
      <c r="W207" s="321"/>
      <c r="X207" s="321"/>
      <c r="Y207" s="321"/>
      <c r="Z207" s="321"/>
      <c r="AA207" s="321"/>
      <c r="AB207" s="321"/>
      <c r="AC207" s="321"/>
      <c r="AD207" s="321"/>
    </row>
    <row r="208">
      <c r="A208" s="321"/>
      <c r="B208" s="321"/>
      <c r="C208" s="321"/>
      <c r="D208" s="321"/>
      <c r="E208" s="321"/>
      <c r="F208" s="321"/>
      <c r="G208" s="454"/>
      <c r="H208" s="454"/>
      <c r="I208" s="454"/>
      <c r="J208" s="454"/>
      <c r="K208" s="321"/>
      <c r="L208" s="321"/>
      <c r="M208" s="321"/>
      <c r="N208" s="321"/>
      <c r="O208" s="321"/>
      <c r="P208" s="321"/>
      <c r="Q208" s="321"/>
      <c r="R208" s="321"/>
      <c r="S208" s="321"/>
      <c r="T208" s="321"/>
      <c r="U208" s="321"/>
      <c r="V208" s="321"/>
      <c r="W208" s="321"/>
      <c r="X208" s="321"/>
      <c r="Y208" s="321"/>
      <c r="Z208" s="321"/>
      <c r="AA208" s="321"/>
      <c r="AB208" s="321"/>
      <c r="AC208" s="321"/>
      <c r="AD208" s="321"/>
    </row>
    <row r="209">
      <c r="A209" s="321"/>
      <c r="B209" s="321"/>
      <c r="C209" s="321"/>
      <c r="D209" s="321"/>
      <c r="E209" s="321"/>
      <c r="F209" s="321"/>
      <c r="G209" s="454"/>
      <c r="H209" s="454"/>
      <c r="I209" s="454"/>
      <c r="J209" s="454"/>
      <c r="K209" s="321"/>
      <c r="L209" s="321"/>
      <c r="M209" s="321"/>
      <c r="N209" s="321"/>
      <c r="O209" s="321"/>
      <c r="P209" s="321"/>
      <c r="Q209" s="321"/>
      <c r="R209" s="321"/>
      <c r="S209" s="321"/>
      <c r="T209" s="321"/>
      <c r="U209" s="321"/>
      <c r="V209" s="321"/>
      <c r="W209" s="321"/>
      <c r="X209" s="321"/>
      <c r="Y209" s="321"/>
      <c r="Z209" s="321"/>
      <c r="AA209" s="321"/>
      <c r="AB209" s="321"/>
      <c r="AC209" s="321"/>
      <c r="AD209" s="321"/>
    </row>
    <row r="210">
      <c r="A210" s="321"/>
      <c r="B210" s="321"/>
      <c r="C210" s="321"/>
      <c r="D210" s="321"/>
      <c r="E210" s="321"/>
      <c r="F210" s="321"/>
      <c r="G210" s="454"/>
      <c r="H210" s="454"/>
      <c r="I210" s="454"/>
      <c r="J210" s="454"/>
      <c r="K210" s="321"/>
      <c r="L210" s="321"/>
      <c r="M210" s="321"/>
      <c r="N210" s="321"/>
      <c r="O210" s="321"/>
      <c r="P210" s="321"/>
      <c r="Q210" s="321"/>
      <c r="R210" s="321"/>
      <c r="S210" s="321"/>
      <c r="T210" s="321"/>
      <c r="U210" s="321"/>
      <c r="V210" s="321"/>
      <c r="W210" s="321"/>
      <c r="X210" s="321"/>
      <c r="Y210" s="321"/>
      <c r="Z210" s="321"/>
      <c r="AA210" s="321"/>
      <c r="AB210" s="321"/>
      <c r="AC210" s="321"/>
      <c r="AD210" s="321"/>
    </row>
    <row r="211">
      <c r="A211" s="321"/>
      <c r="B211" s="321"/>
      <c r="C211" s="321"/>
      <c r="D211" s="321"/>
      <c r="E211" s="321"/>
      <c r="F211" s="321"/>
      <c r="G211" s="454"/>
      <c r="H211" s="454"/>
      <c r="I211" s="454"/>
      <c r="J211" s="454"/>
      <c r="K211" s="321"/>
      <c r="L211" s="321"/>
      <c r="M211" s="321"/>
      <c r="N211" s="321"/>
      <c r="O211" s="321"/>
      <c r="P211" s="321"/>
      <c r="Q211" s="321"/>
      <c r="R211" s="321"/>
      <c r="S211" s="321"/>
      <c r="T211" s="321"/>
      <c r="U211" s="321"/>
      <c r="V211" s="321"/>
      <c r="W211" s="321"/>
      <c r="X211" s="321"/>
      <c r="Y211" s="321"/>
      <c r="Z211" s="321"/>
      <c r="AA211" s="321"/>
      <c r="AB211" s="321"/>
      <c r="AC211" s="321"/>
      <c r="AD211" s="321"/>
    </row>
    <row r="212">
      <c r="A212" s="321"/>
      <c r="B212" s="321"/>
      <c r="C212" s="321"/>
      <c r="D212" s="321"/>
      <c r="E212" s="321"/>
      <c r="F212" s="321"/>
      <c r="G212" s="454"/>
      <c r="H212" s="454"/>
      <c r="I212" s="454"/>
      <c r="J212" s="454"/>
      <c r="K212" s="321"/>
      <c r="L212" s="321"/>
      <c r="M212" s="321"/>
      <c r="N212" s="321"/>
      <c r="O212" s="321"/>
      <c r="P212" s="321"/>
      <c r="Q212" s="321"/>
      <c r="R212" s="321"/>
      <c r="S212" s="321"/>
      <c r="T212" s="321"/>
      <c r="U212" s="321"/>
      <c r="V212" s="321"/>
      <c r="W212" s="321"/>
      <c r="X212" s="321"/>
      <c r="Y212" s="321"/>
      <c r="Z212" s="321"/>
      <c r="AA212" s="321"/>
      <c r="AB212" s="321"/>
      <c r="AC212" s="321"/>
      <c r="AD212" s="321"/>
    </row>
    <row r="213">
      <c r="A213" s="321"/>
      <c r="B213" s="321"/>
      <c r="C213" s="321"/>
      <c r="D213" s="321"/>
      <c r="E213" s="321"/>
      <c r="F213" s="321"/>
      <c r="G213" s="454"/>
      <c r="H213" s="454"/>
      <c r="I213" s="454"/>
      <c r="J213" s="454"/>
      <c r="K213" s="321"/>
      <c r="L213" s="321"/>
      <c r="M213" s="321"/>
      <c r="N213" s="321"/>
      <c r="O213" s="321"/>
      <c r="P213" s="321"/>
      <c r="Q213" s="321"/>
      <c r="R213" s="321"/>
      <c r="S213" s="321"/>
      <c r="T213" s="321"/>
      <c r="U213" s="321"/>
      <c r="V213" s="321"/>
      <c r="W213" s="321"/>
      <c r="X213" s="321"/>
      <c r="Y213" s="321"/>
      <c r="Z213" s="321"/>
      <c r="AA213" s="321"/>
      <c r="AB213" s="321"/>
      <c r="AC213" s="321"/>
      <c r="AD213" s="321"/>
    </row>
    <row r="214">
      <c r="A214" s="321"/>
      <c r="B214" s="321"/>
      <c r="C214" s="321"/>
      <c r="D214" s="321"/>
      <c r="E214" s="321"/>
      <c r="F214" s="321"/>
      <c r="G214" s="454"/>
      <c r="H214" s="454"/>
      <c r="I214" s="454"/>
      <c r="J214" s="454"/>
      <c r="K214" s="321"/>
      <c r="L214" s="321"/>
      <c r="M214" s="321"/>
      <c r="N214" s="321"/>
      <c r="O214" s="321"/>
      <c r="P214" s="321"/>
      <c r="Q214" s="321"/>
      <c r="R214" s="321"/>
      <c r="S214" s="321"/>
      <c r="T214" s="321"/>
      <c r="U214" s="321"/>
      <c r="V214" s="321"/>
      <c r="W214" s="321"/>
      <c r="X214" s="321"/>
      <c r="Y214" s="321"/>
      <c r="Z214" s="321"/>
      <c r="AA214" s="321"/>
      <c r="AB214" s="321"/>
      <c r="AC214" s="321"/>
      <c r="AD214" s="321"/>
    </row>
    <row r="215">
      <c r="A215" s="321"/>
      <c r="B215" s="321"/>
      <c r="C215" s="321"/>
      <c r="D215" s="321"/>
      <c r="E215" s="321"/>
      <c r="F215" s="321"/>
      <c r="G215" s="454"/>
      <c r="H215" s="454"/>
      <c r="I215" s="454"/>
      <c r="J215" s="454"/>
      <c r="K215" s="321"/>
      <c r="L215" s="321"/>
      <c r="M215" s="321"/>
      <c r="N215" s="321"/>
      <c r="O215" s="321"/>
      <c r="P215" s="321"/>
      <c r="Q215" s="321"/>
      <c r="R215" s="321"/>
      <c r="S215" s="321"/>
      <c r="T215" s="321"/>
      <c r="U215" s="321"/>
      <c r="V215" s="321"/>
      <c r="W215" s="321"/>
      <c r="X215" s="321"/>
      <c r="Y215" s="321"/>
      <c r="Z215" s="321"/>
      <c r="AA215" s="321"/>
      <c r="AB215" s="321"/>
      <c r="AC215" s="321"/>
      <c r="AD215" s="321"/>
    </row>
    <row r="216">
      <c r="A216" s="321"/>
      <c r="B216" s="321"/>
      <c r="C216" s="321"/>
      <c r="D216" s="321"/>
      <c r="E216" s="321"/>
      <c r="F216" s="321"/>
      <c r="G216" s="454"/>
      <c r="H216" s="454"/>
      <c r="I216" s="454"/>
      <c r="J216" s="454"/>
      <c r="K216" s="321"/>
      <c r="L216" s="321"/>
      <c r="M216" s="321"/>
      <c r="N216" s="321"/>
      <c r="O216" s="321"/>
      <c r="P216" s="321"/>
      <c r="Q216" s="321"/>
      <c r="R216" s="321"/>
      <c r="S216" s="321"/>
      <c r="T216" s="321"/>
      <c r="U216" s="321"/>
      <c r="V216" s="321"/>
      <c r="W216" s="321"/>
      <c r="X216" s="321"/>
      <c r="Y216" s="321"/>
      <c r="Z216" s="321"/>
      <c r="AA216" s="321"/>
      <c r="AB216" s="321"/>
      <c r="AC216" s="321"/>
      <c r="AD216" s="321"/>
    </row>
    <row r="217">
      <c r="A217" s="321"/>
      <c r="B217" s="321"/>
      <c r="C217" s="321"/>
      <c r="D217" s="321"/>
      <c r="E217" s="321"/>
      <c r="F217" s="321"/>
      <c r="G217" s="454"/>
      <c r="H217" s="454"/>
      <c r="I217" s="454"/>
      <c r="J217" s="454"/>
      <c r="K217" s="321"/>
      <c r="L217" s="321"/>
      <c r="M217" s="321"/>
      <c r="N217" s="321"/>
      <c r="O217" s="321"/>
      <c r="P217" s="321"/>
      <c r="Q217" s="321"/>
      <c r="R217" s="321"/>
      <c r="S217" s="321"/>
      <c r="T217" s="321"/>
      <c r="U217" s="321"/>
      <c r="V217" s="321"/>
      <c r="W217" s="321"/>
      <c r="X217" s="321"/>
      <c r="Y217" s="321"/>
      <c r="Z217" s="321"/>
      <c r="AA217" s="321"/>
      <c r="AB217" s="321"/>
      <c r="AC217" s="321"/>
      <c r="AD217" s="321"/>
    </row>
    <row r="218">
      <c r="A218" s="321"/>
      <c r="B218" s="321"/>
      <c r="C218" s="321"/>
      <c r="D218" s="321"/>
      <c r="E218" s="321"/>
      <c r="F218" s="321"/>
      <c r="G218" s="454"/>
      <c r="H218" s="454"/>
      <c r="I218" s="454"/>
      <c r="J218" s="454"/>
      <c r="K218" s="321"/>
      <c r="L218" s="321"/>
      <c r="M218" s="321"/>
      <c r="N218" s="321"/>
      <c r="O218" s="321"/>
      <c r="P218" s="321"/>
      <c r="Q218" s="321"/>
      <c r="R218" s="321"/>
      <c r="S218" s="321"/>
      <c r="T218" s="321"/>
      <c r="U218" s="321"/>
      <c r="V218" s="321"/>
      <c r="W218" s="321"/>
      <c r="X218" s="321"/>
      <c r="Y218" s="321"/>
      <c r="Z218" s="321"/>
      <c r="AA218" s="321"/>
      <c r="AB218" s="321"/>
      <c r="AC218" s="321"/>
      <c r="AD218" s="321"/>
    </row>
    <row r="219">
      <c r="A219" s="321"/>
      <c r="B219" s="321"/>
      <c r="C219" s="321"/>
      <c r="D219" s="321"/>
      <c r="E219" s="321"/>
      <c r="F219" s="321"/>
      <c r="G219" s="454"/>
      <c r="H219" s="454"/>
      <c r="I219" s="454"/>
      <c r="J219" s="454"/>
      <c r="K219" s="321"/>
      <c r="L219" s="321"/>
      <c r="M219" s="321"/>
      <c r="N219" s="321"/>
      <c r="O219" s="321"/>
      <c r="P219" s="321"/>
      <c r="Q219" s="321"/>
      <c r="R219" s="321"/>
      <c r="S219" s="321"/>
      <c r="T219" s="321"/>
      <c r="U219" s="321"/>
      <c r="V219" s="321"/>
      <c r="W219" s="321"/>
      <c r="X219" s="321"/>
      <c r="Y219" s="321"/>
      <c r="Z219" s="321"/>
      <c r="AA219" s="321"/>
      <c r="AB219" s="321"/>
      <c r="AC219" s="321"/>
      <c r="AD219" s="321"/>
    </row>
    <row r="220">
      <c r="A220" s="321"/>
      <c r="B220" s="321"/>
      <c r="C220" s="321"/>
      <c r="D220" s="321"/>
      <c r="E220" s="321"/>
      <c r="F220" s="321"/>
      <c r="G220" s="454"/>
      <c r="H220" s="454"/>
      <c r="I220" s="454"/>
      <c r="J220" s="454"/>
      <c r="K220" s="321"/>
      <c r="L220" s="321"/>
      <c r="M220" s="321"/>
      <c r="N220" s="321"/>
      <c r="O220" s="321"/>
      <c r="P220" s="321"/>
      <c r="Q220" s="321"/>
      <c r="R220" s="321"/>
      <c r="S220" s="321"/>
      <c r="T220" s="321"/>
      <c r="U220" s="321"/>
      <c r="V220" s="321"/>
      <c r="W220" s="321"/>
      <c r="X220" s="321"/>
      <c r="Y220" s="321"/>
      <c r="Z220" s="321"/>
      <c r="AA220" s="321"/>
      <c r="AB220" s="321"/>
      <c r="AC220" s="321"/>
      <c r="AD220" s="321"/>
    </row>
    <row r="221">
      <c r="A221" s="321"/>
      <c r="B221" s="321"/>
      <c r="C221" s="321"/>
      <c r="D221" s="321"/>
      <c r="E221" s="321"/>
      <c r="F221" s="321"/>
      <c r="G221" s="454"/>
      <c r="H221" s="454"/>
      <c r="I221" s="454"/>
      <c r="J221" s="454"/>
      <c r="K221" s="321"/>
      <c r="L221" s="321"/>
      <c r="M221" s="321"/>
      <c r="N221" s="321"/>
      <c r="O221" s="321"/>
      <c r="P221" s="321"/>
      <c r="Q221" s="321"/>
      <c r="R221" s="321"/>
      <c r="S221" s="321"/>
      <c r="T221" s="321"/>
      <c r="U221" s="321"/>
      <c r="V221" s="321"/>
      <c r="W221" s="321"/>
      <c r="X221" s="321"/>
      <c r="Y221" s="321"/>
      <c r="Z221" s="321"/>
      <c r="AA221" s="321"/>
      <c r="AB221" s="321"/>
      <c r="AC221" s="321"/>
      <c r="AD221" s="321"/>
    </row>
    <row r="222">
      <c r="A222" s="321"/>
      <c r="B222" s="321"/>
      <c r="C222" s="321"/>
      <c r="D222" s="321"/>
      <c r="E222" s="321"/>
      <c r="F222" s="321"/>
      <c r="G222" s="454"/>
      <c r="H222" s="454"/>
      <c r="I222" s="454"/>
      <c r="J222" s="454"/>
      <c r="K222" s="321"/>
      <c r="L222" s="321"/>
      <c r="M222" s="321"/>
      <c r="N222" s="321"/>
      <c r="O222" s="321"/>
      <c r="P222" s="321"/>
      <c r="Q222" s="321"/>
      <c r="R222" s="321"/>
      <c r="S222" s="321"/>
      <c r="T222" s="321"/>
      <c r="U222" s="321"/>
      <c r="V222" s="321"/>
      <c r="W222" s="321"/>
      <c r="X222" s="321"/>
      <c r="Y222" s="321"/>
      <c r="Z222" s="321"/>
      <c r="AA222" s="321"/>
      <c r="AB222" s="321"/>
      <c r="AC222" s="321"/>
      <c r="AD222" s="321"/>
    </row>
    <row r="223">
      <c r="A223" s="321"/>
      <c r="B223" s="321"/>
      <c r="C223" s="321"/>
      <c r="D223" s="321"/>
      <c r="E223" s="321"/>
      <c r="F223" s="321"/>
      <c r="G223" s="454"/>
      <c r="H223" s="454"/>
      <c r="I223" s="454"/>
      <c r="J223" s="454"/>
      <c r="K223" s="321"/>
      <c r="L223" s="321"/>
      <c r="M223" s="321"/>
      <c r="N223" s="321"/>
      <c r="O223" s="321"/>
      <c r="P223" s="321"/>
      <c r="Q223" s="321"/>
      <c r="R223" s="321"/>
      <c r="S223" s="321"/>
      <c r="T223" s="321"/>
      <c r="U223" s="321"/>
      <c r="V223" s="321"/>
      <c r="W223" s="321"/>
      <c r="X223" s="321"/>
      <c r="Y223" s="321"/>
      <c r="Z223" s="321"/>
      <c r="AA223" s="321"/>
      <c r="AB223" s="321"/>
      <c r="AC223" s="321"/>
      <c r="AD223" s="321"/>
    </row>
    <row r="224">
      <c r="A224" s="321"/>
      <c r="B224" s="321"/>
      <c r="C224" s="321"/>
      <c r="D224" s="321"/>
      <c r="E224" s="321"/>
      <c r="F224" s="321"/>
      <c r="G224" s="454"/>
      <c r="H224" s="454"/>
      <c r="I224" s="454"/>
      <c r="J224" s="454"/>
      <c r="K224" s="321"/>
      <c r="L224" s="321"/>
      <c r="M224" s="321"/>
      <c r="N224" s="321"/>
      <c r="O224" s="321"/>
      <c r="P224" s="321"/>
      <c r="Q224" s="321"/>
      <c r="R224" s="321"/>
      <c r="S224" s="321"/>
      <c r="T224" s="321"/>
      <c r="U224" s="321"/>
      <c r="V224" s="321"/>
      <c r="W224" s="321"/>
      <c r="X224" s="321"/>
      <c r="Y224" s="321"/>
      <c r="Z224" s="321"/>
      <c r="AA224" s="321"/>
      <c r="AB224" s="321"/>
      <c r="AC224" s="321"/>
      <c r="AD224" s="321"/>
    </row>
    <row r="225">
      <c r="A225" s="321"/>
      <c r="B225" s="321"/>
      <c r="C225" s="321"/>
      <c r="D225" s="321"/>
      <c r="E225" s="321"/>
      <c r="F225" s="321"/>
      <c r="G225" s="454"/>
      <c r="H225" s="454"/>
      <c r="I225" s="454"/>
      <c r="J225" s="454"/>
      <c r="K225" s="321"/>
      <c r="L225" s="321"/>
      <c r="M225" s="321"/>
      <c r="N225" s="321"/>
      <c r="O225" s="321"/>
      <c r="P225" s="321"/>
      <c r="Q225" s="321"/>
      <c r="R225" s="321"/>
      <c r="S225" s="321"/>
      <c r="T225" s="321"/>
      <c r="U225" s="321"/>
      <c r="V225" s="321"/>
      <c r="W225" s="321"/>
      <c r="X225" s="321"/>
      <c r="Y225" s="321"/>
      <c r="Z225" s="321"/>
      <c r="AA225" s="321"/>
      <c r="AB225" s="321"/>
      <c r="AC225" s="321"/>
      <c r="AD225" s="321"/>
    </row>
    <row r="226">
      <c r="A226" s="321"/>
      <c r="B226" s="321"/>
      <c r="C226" s="321"/>
      <c r="D226" s="321"/>
      <c r="E226" s="321"/>
      <c r="F226" s="321"/>
      <c r="G226" s="454"/>
      <c r="H226" s="454"/>
      <c r="I226" s="454"/>
      <c r="J226" s="454"/>
      <c r="K226" s="321"/>
      <c r="L226" s="321"/>
      <c r="M226" s="321"/>
      <c r="N226" s="321"/>
      <c r="O226" s="321"/>
      <c r="P226" s="321"/>
      <c r="Q226" s="321"/>
      <c r="R226" s="321"/>
      <c r="S226" s="321"/>
      <c r="T226" s="321"/>
      <c r="U226" s="321"/>
      <c r="V226" s="321"/>
      <c r="W226" s="321"/>
      <c r="X226" s="321"/>
      <c r="Y226" s="321"/>
      <c r="Z226" s="321"/>
      <c r="AA226" s="321"/>
      <c r="AB226" s="321"/>
      <c r="AC226" s="321"/>
      <c r="AD226" s="321"/>
    </row>
    <row r="227">
      <c r="A227" s="321"/>
      <c r="B227" s="321"/>
      <c r="C227" s="321"/>
      <c r="D227" s="321"/>
      <c r="E227" s="321"/>
      <c r="F227" s="321"/>
      <c r="G227" s="454"/>
      <c r="H227" s="454"/>
      <c r="I227" s="454"/>
      <c r="J227" s="454"/>
      <c r="K227" s="321"/>
      <c r="L227" s="321"/>
      <c r="M227" s="321"/>
      <c r="N227" s="321"/>
      <c r="O227" s="321"/>
      <c r="P227" s="321"/>
      <c r="Q227" s="321"/>
      <c r="R227" s="321"/>
      <c r="S227" s="321"/>
      <c r="T227" s="321"/>
      <c r="U227" s="321"/>
      <c r="V227" s="321"/>
      <c r="W227" s="321"/>
      <c r="X227" s="321"/>
      <c r="Y227" s="321"/>
      <c r="Z227" s="321"/>
      <c r="AA227" s="321"/>
      <c r="AB227" s="321"/>
      <c r="AC227" s="321"/>
      <c r="AD227" s="321"/>
    </row>
    <row r="228">
      <c r="A228" s="321"/>
      <c r="B228" s="321"/>
      <c r="C228" s="321"/>
      <c r="D228" s="321"/>
      <c r="E228" s="321"/>
      <c r="F228" s="321"/>
      <c r="G228" s="454"/>
      <c r="H228" s="454"/>
      <c r="I228" s="454"/>
      <c r="J228" s="454"/>
      <c r="K228" s="321"/>
      <c r="L228" s="321"/>
      <c r="M228" s="321"/>
      <c r="N228" s="321"/>
      <c r="O228" s="321"/>
      <c r="P228" s="321"/>
      <c r="Q228" s="321"/>
      <c r="R228" s="321"/>
      <c r="S228" s="321"/>
      <c r="T228" s="321"/>
      <c r="U228" s="321"/>
      <c r="V228" s="321"/>
      <c r="W228" s="321"/>
      <c r="X228" s="321"/>
      <c r="Y228" s="321"/>
      <c r="Z228" s="321"/>
      <c r="AA228" s="321"/>
      <c r="AB228" s="321"/>
      <c r="AC228" s="321"/>
      <c r="AD228" s="321"/>
    </row>
    <row r="229">
      <c r="A229" s="321"/>
      <c r="B229" s="321"/>
      <c r="C229" s="321"/>
      <c r="D229" s="321"/>
      <c r="E229" s="321"/>
      <c r="F229" s="321"/>
      <c r="G229" s="454"/>
      <c r="H229" s="454"/>
      <c r="I229" s="454"/>
      <c r="J229" s="454"/>
      <c r="K229" s="321"/>
      <c r="L229" s="321"/>
      <c r="M229" s="321"/>
      <c r="N229" s="321"/>
      <c r="O229" s="321"/>
      <c r="P229" s="321"/>
      <c r="Q229" s="321"/>
      <c r="R229" s="321"/>
      <c r="S229" s="321"/>
      <c r="T229" s="321"/>
      <c r="U229" s="321"/>
      <c r="V229" s="321"/>
      <c r="W229" s="321"/>
      <c r="X229" s="321"/>
      <c r="Y229" s="321"/>
      <c r="Z229" s="321"/>
      <c r="AA229" s="321"/>
      <c r="AB229" s="321"/>
      <c r="AC229" s="321"/>
      <c r="AD229" s="321"/>
    </row>
    <row r="230">
      <c r="A230" s="321"/>
      <c r="B230" s="321"/>
      <c r="C230" s="321"/>
      <c r="D230" s="321"/>
      <c r="E230" s="321"/>
      <c r="F230" s="321"/>
      <c r="G230" s="454"/>
      <c r="H230" s="454"/>
      <c r="I230" s="454"/>
      <c r="J230" s="454"/>
      <c r="K230" s="321"/>
      <c r="L230" s="321"/>
      <c r="M230" s="321"/>
      <c r="N230" s="321"/>
      <c r="O230" s="321"/>
      <c r="P230" s="321"/>
      <c r="Q230" s="321"/>
      <c r="R230" s="321"/>
      <c r="S230" s="321"/>
      <c r="T230" s="321"/>
      <c r="U230" s="321"/>
      <c r="V230" s="321"/>
      <c r="W230" s="321"/>
      <c r="X230" s="321"/>
      <c r="Y230" s="321"/>
      <c r="Z230" s="321"/>
      <c r="AA230" s="321"/>
      <c r="AB230" s="321"/>
      <c r="AC230" s="321"/>
      <c r="AD230" s="321"/>
    </row>
    <row r="231">
      <c r="A231" s="321"/>
      <c r="B231" s="321"/>
      <c r="C231" s="321"/>
      <c r="D231" s="321"/>
      <c r="E231" s="321"/>
      <c r="F231" s="321"/>
      <c r="G231" s="454"/>
      <c r="H231" s="454"/>
      <c r="I231" s="454"/>
      <c r="J231" s="454"/>
      <c r="K231" s="321"/>
      <c r="L231" s="321"/>
      <c r="M231" s="321"/>
      <c r="N231" s="321"/>
      <c r="O231" s="321"/>
      <c r="P231" s="321"/>
      <c r="Q231" s="321"/>
      <c r="R231" s="321"/>
      <c r="S231" s="321"/>
      <c r="T231" s="321"/>
      <c r="U231" s="321"/>
      <c r="V231" s="321"/>
      <c r="W231" s="321"/>
      <c r="X231" s="321"/>
      <c r="Y231" s="321"/>
      <c r="Z231" s="321"/>
      <c r="AA231" s="321"/>
      <c r="AB231" s="321"/>
      <c r="AC231" s="321"/>
      <c r="AD231" s="321"/>
    </row>
    <row r="232">
      <c r="A232" s="321"/>
      <c r="B232" s="321"/>
      <c r="C232" s="321"/>
      <c r="D232" s="321"/>
      <c r="E232" s="321"/>
      <c r="F232" s="321"/>
      <c r="G232" s="454"/>
      <c r="H232" s="454"/>
      <c r="I232" s="454"/>
      <c r="J232" s="454"/>
      <c r="K232" s="321"/>
      <c r="L232" s="321"/>
      <c r="M232" s="321"/>
      <c r="N232" s="321"/>
      <c r="O232" s="321"/>
      <c r="P232" s="321"/>
      <c r="Q232" s="321"/>
      <c r="R232" s="321"/>
      <c r="S232" s="321"/>
      <c r="T232" s="321"/>
      <c r="U232" s="321"/>
      <c r="V232" s="321"/>
      <c r="W232" s="321"/>
      <c r="X232" s="321"/>
      <c r="Y232" s="321"/>
      <c r="Z232" s="321"/>
      <c r="AA232" s="321"/>
      <c r="AB232" s="321"/>
      <c r="AC232" s="321"/>
      <c r="AD232" s="321"/>
    </row>
    <row r="233">
      <c r="A233" s="321"/>
      <c r="B233" s="321"/>
      <c r="C233" s="321"/>
      <c r="D233" s="321"/>
      <c r="E233" s="321"/>
      <c r="F233" s="321"/>
      <c r="G233" s="454"/>
      <c r="H233" s="454"/>
      <c r="I233" s="454"/>
      <c r="J233" s="454"/>
      <c r="K233" s="321"/>
      <c r="L233" s="321"/>
      <c r="M233" s="321"/>
      <c r="N233" s="321"/>
      <c r="O233" s="321"/>
      <c r="P233" s="321"/>
      <c r="Q233" s="321"/>
      <c r="R233" s="321"/>
      <c r="S233" s="321"/>
      <c r="T233" s="321"/>
      <c r="U233" s="321"/>
      <c r="V233" s="321"/>
      <c r="W233" s="321"/>
      <c r="X233" s="321"/>
      <c r="Y233" s="321"/>
      <c r="Z233" s="321"/>
      <c r="AA233" s="321"/>
      <c r="AB233" s="321"/>
      <c r="AC233" s="321"/>
      <c r="AD233" s="321"/>
    </row>
    <row r="234">
      <c r="A234" s="321"/>
      <c r="B234" s="321"/>
      <c r="C234" s="321"/>
      <c r="D234" s="321"/>
      <c r="E234" s="321"/>
      <c r="F234" s="321"/>
      <c r="G234" s="454"/>
      <c r="H234" s="454"/>
      <c r="I234" s="454"/>
      <c r="J234" s="454"/>
      <c r="K234" s="321"/>
      <c r="L234" s="321"/>
      <c r="M234" s="321"/>
      <c r="N234" s="321"/>
      <c r="O234" s="321"/>
      <c r="P234" s="321"/>
      <c r="Q234" s="321"/>
      <c r="R234" s="321"/>
      <c r="S234" s="321"/>
      <c r="T234" s="321"/>
      <c r="U234" s="321"/>
      <c r="V234" s="321"/>
      <c r="W234" s="321"/>
      <c r="X234" s="321"/>
      <c r="Y234" s="321"/>
      <c r="Z234" s="321"/>
      <c r="AA234" s="321"/>
      <c r="AB234" s="321"/>
      <c r="AC234" s="321"/>
      <c r="AD234" s="321"/>
    </row>
    <row r="235">
      <c r="A235" s="321"/>
      <c r="B235" s="321"/>
      <c r="C235" s="321"/>
      <c r="D235" s="321"/>
      <c r="E235" s="321"/>
      <c r="F235" s="321"/>
      <c r="G235" s="454"/>
      <c r="H235" s="454"/>
      <c r="I235" s="454"/>
      <c r="J235" s="454"/>
      <c r="K235" s="321"/>
      <c r="L235" s="321"/>
      <c r="M235" s="321"/>
      <c r="N235" s="321"/>
      <c r="O235" s="321"/>
      <c r="P235" s="321"/>
      <c r="Q235" s="321"/>
      <c r="R235" s="321"/>
      <c r="S235" s="321"/>
      <c r="T235" s="321"/>
      <c r="U235" s="321"/>
      <c r="V235" s="321"/>
      <c r="W235" s="321"/>
      <c r="X235" s="321"/>
      <c r="Y235" s="321"/>
      <c r="Z235" s="321"/>
      <c r="AA235" s="321"/>
      <c r="AB235" s="321"/>
      <c r="AC235" s="321"/>
      <c r="AD235" s="321"/>
    </row>
    <row r="236">
      <c r="A236" s="321"/>
      <c r="B236" s="321"/>
      <c r="C236" s="321"/>
      <c r="D236" s="321"/>
      <c r="E236" s="321"/>
      <c r="F236" s="321"/>
      <c r="G236" s="454"/>
      <c r="H236" s="454"/>
      <c r="I236" s="454"/>
      <c r="J236" s="454"/>
      <c r="K236" s="321"/>
      <c r="L236" s="321"/>
      <c r="M236" s="321"/>
      <c r="N236" s="321"/>
      <c r="O236" s="321"/>
      <c r="P236" s="321"/>
      <c r="Q236" s="321"/>
      <c r="R236" s="321"/>
      <c r="S236" s="321"/>
      <c r="T236" s="321"/>
      <c r="U236" s="321"/>
      <c r="V236" s="321"/>
      <c r="W236" s="321"/>
      <c r="X236" s="321"/>
      <c r="Y236" s="321"/>
      <c r="Z236" s="321"/>
      <c r="AA236" s="321"/>
      <c r="AB236" s="321"/>
      <c r="AC236" s="321"/>
      <c r="AD236" s="321"/>
    </row>
    <row r="237">
      <c r="A237" s="321"/>
      <c r="B237" s="321"/>
      <c r="C237" s="321"/>
      <c r="D237" s="321"/>
      <c r="E237" s="321"/>
      <c r="F237" s="321"/>
      <c r="G237" s="454"/>
      <c r="H237" s="454"/>
      <c r="I237" s="454"/>
      <c r="J237" s="454"/>
      <c r="K237" s="321"/>
      <c r="L237" s="321"/>
      <c r="M237" s="321"/>
      <c r="N237" s="321"/>
      <c r="O237" s="321"/>
      <c r="P237" s="321"/>
      <c r="Q237" s="321"/>
      <c r="R237" s="321"/>
      <c r="S237" s="321"/>
      <c r="T237" s="321"/>
      <c r="U237" s="321"/>
      <c r="V237" s="321"/>
      <c r="W237" s="321"/>
      <c r="X237" s="321"/>
      <c r="Y237" s="321"/>
      <c r="Z237" s="321"/>
      <c r="AA237" s="321"/>
      <c r="AB237" s="321"/>
      <c r="AC237" s="321"/>
      <c r="AD237" s="321"/>
    </row>
    <row r="238">
      <c r="A238" s="321"/>
      <c r="B238" s="321"/>
      <c r="C238" s="321"/>
      <c r="D238" s="321"/>
      <c r="E238" s="321"/>
      <c r="F238" s="321"/>
      <c r="G238" s="454"/>
      <c r="H238" s="454"/>
      <c r="I238" s="454"/>
      <c r="J238" s="454"/>
      <c r="K238" s="321"/>
      <c r="L238" s="321"/>
      <c r="M238" s="321"/>
      <c r="N238" s="321"/>
      <c r="O238" s="321"/>
      <c r="P238" s="321"/>
      <c r="Q238" s="321"/>
      <c r="R238" s="321"/>
      <c r="S238" s="321"/>
      <c r="T238" s="321"/>
      <c r="U238" s="321"/>
      <c r="V238" s="321"/>
      <c r="W238" s="321"/>
      <c r="X238" s="321"/>
      <c r="Y238" s="321"/>
      <c r="Z238" s="321"/>
      <c r="AA238" s="321"/>
      <c r="AB238" s="321"/>
      <c r="AC238" s="321"/>
      <c r="AD238" s="321"/>
    </row>
    <row r="239">
      <c r="A239" s="321"/>
      <c r="B239" s="321"/>
      <c r="C239" s="321"/>
      <c r="D239" s="321"/>
      <c r="E239" s="321"/>
      <c r="F239" s="321"/>
      <c r="G239" s="454"/>
      <c r="H239" s="454"/>
      <c r="I239" s="454"/>
      <c r="J239" s="454"/>
      <c r="K239" s="321"/>
      <c r="L239" s="321"/>
      <c r="M239" s="321"/>
      <c r="N239" s="321"/>
      <c r="O239" s="321"/>
      <c r="P239" s="321"/>
      <c r="Q239" s="321"/>
      <c r="R239" s="321"/>
      <c r="S239" s="321"/>
      <c r="T239" s="321"/>
      <c r="U239" s="321"/>
      <c r="V239" s="321"/>
      <c r="W239" s="321"/>
      <c r="X239" s="321"/>
      <c r="Y239" s="321"/>
      <c r="Z239" s="321"/>
      <c r="AA239" s="321"/>
      <c r="AB239" s="321"/>
      <c r="AC239" s="321"/>
      <c r="AD239" s="321"/>
    </row>
    <row r="240">
      <c r="A240" s="321"/>
      <c r="B240" s="321"/>
      <c r="C240" s="321"/>
      <c r="D240" s="321"/>
      <c r="E240" s="321"/>
      <c r="F240" s="321"/>
      <c r="G240" s="454"/>
      <c r="H240" s="454"/>
      <c r="I240" s="454"/>
      <c r="J240" s="454"/>
      <c r="K240" s="321"/>
      <c r="L240" s="321"/>
      <c r="M240" s="321"/>
      <c r="N240" s="321"/>
      <c r="O240" s="321"/>
      <c r="P240" s="321"/>
      <c r="Q240" s="321"/>
      <c r="R240" s="321"/>
      <c r="S240" s="321"/>
      <c r="T240" s="321"/>
      <c r="U240" s="321"/>
      <c r="V240" s="321"/>
      <c r="W240" s="321"/>
      <c r="X240" s="321"/>
      <c r="Y240" s="321"/>
      <c r="Z240" s="321"/>
      <c r="AA240" s="321"/>
      <c r="AB240" s="321"/>
      <c r="AC240" s="321"/>
      <c r="AD240" s="321"/>
    </row>
    <row r="241">
      <c r="A241" s="321"/>
      <c r="B241" s="321"/>
      <c r="C241" s="321"/>
      <c r="D241" s="321"/>
      <c r="E241" s="321"/>
      <c r="F241" s="321"/>
      <c r="G241" s="454"/>
      <c r="H241" s="454"/>
      <c r="I241" s="454"/>
      <c r="J241" s="454"/>
      <c r="K241" s="321"/>
      <c r="L241" s="321"/>
      <c r="M241" s="321"/>
      <c r="N241" s="321"/>
      <c r="O241" s="321"/>
      <c r="P241" s="321"/>
      <c r="Q241" s="321"/>
      <c r="R241" s="321"/>
      <c r="S241" s="321"/>
      <c r="T241" s="321"/>
      <c r="U241" s="321"/>
      <c r="V241" s="321"/>
      <c r="W241" s="321"/>
      <c r="X241" s="321"/>
      <c r="Y241" s="321"/>
      <c r="Z241" s="321"/>
      <c r="AA241" s="321"/>
      <c r="AB241" s="321"/>
      <c r="AC241" s="321"/>
      <c r="AD241" s="321"/>
    </row>
    <row r="242">
      <c r="A242" s="321"/>
      <c r="B242" s="321"/>
      <c r="C242" s="321"/>
      <c r="D242" s="321"/>
      <c r="E242" s="321"/>
      <c r="F242" s="321"/>
      <c r="G242" s="454"/>
      <c r="H242" s="454"/>
      <c r="I242" s="454"/>
      <c r="J242" s="454"/>
      <c r="K242" s="321"/>
      <c r="L242" s="321"/>
      <c r="M242" s="321"/>
      <c r="N242" s="321"/>
      <c r="O242" s="321"/>
      <c r="P242" s="321"/>
      <c r="Q242" s="321"/>
      <c r="R242" s="321"/>
      <c r="S242" s="321"/>
      <c r="T242" s="321"/>
      <c r="U242" s="321"/>
      <c r="V242" s="321"/>
      <c r="W242" s="321"/>
      <c r="X242" s="321"/>
      <c r="Y242" s="321"/>
      <c r="Z242" s="321"/>
      <c r="AA242" s="321"/>
      <c r="AB242" s="321"/>
      <c r="AC242" s="321"/>
      <c r="AD242" s="321"/>
    </row>
    <row r="243">
      <c r="A243" s="321"/>
      <c r="B243" s="321"/>
      <c r="C243" s="321"/>
      <c r="D243" s="321"/>
      <c r="E243" s="321"/>
      <c r="F243" s="321"/>
      <c r="G243" s="454"/>
      <c r="H243" s="454"/>
      <c r="I243" s="454"/>
      <c r="J243" s="454"/>
      <c r="K243" s="321"/>
      <c r="L243" s="321"/>
      <c r="M243" s="321"/>
      <c r="N243" s="321"/>
      <c r="O243" s="321"/>
      <c r="P243" s="321"/>
      <c r="Q243" s="321"/>
      <c r="R243" s="321"/>
      <c r="S243" s="321"/>
      <c r="T243" s="321"/>
      <c r="U243" s="321"/>
      <c r="V243" s="321"/>
      <c r="W243" s="321"/>
      <c r="X243" s="321"/>
      <c r="Y243" s="321"/>
      <c r="Z243" s="321"/>
      <c r="AA243" s="321"/>
      <c r="AB243" s="321"/>
      <c r="AC243" s="321"/>
      <c r="AD243" s="321"/>
    </row>
    <row r="244">
      <c r="A244" s="321"/>
      <c r="B244" s="321"/>
      <c r="C244" s="321"/>
      <c r="D244" s="321"/>
      <c r="E244" s="321"/>
      <c r="F244" s="321"/>
      <c r="G244" s="454"/>
      <c r="H244" s="454"/>
      <c r="I244" s="454"/>
      <c r="J244" s="454"/>
      <c r="K244" s="321"/>
      <c r="L244" s="321"/>
      <c r="M244" s="321"/>
      <c r="N244" s="321"/>
      <c r="O244" s="321"/>
      <c r="P244" s="321"/>
      <c r="Q244" s="321"/>
      <c r="R244" s="321"/>
      <c r="S244" s="321"/>
      <c r="T244" s="321"/>
      <c r="U244" s="321"/>
      <c r="V244" s="321"/>
      <c r="W244" s="321"/>
      <c r="X244" s="321"/>
      <c r="Y244" s="321"/>
      <c r="Z244" s="321"/>
      <c r="AA244" s="321"/>
      <c r="AB244" s="321"/>
      <c r="AC244" s="321"/>
      <c r="AD244" s="321"/>
    </row>
    <row r="245">
      <c r="A245" s="321"/>
      <c r="B245" s="321"/>
      <c r="C245" s="321"/>
      <c r="D245" s="321"/>
      <c r="E245" s="321"/>
      <c r="F245" s="321"/>
      <c r="G245" s="454"/>
      <c r="H245" s="454"/>
      <c r="I245" s="454"/>
      <c r="J245" s="454"/>
      <c r="K245" s="321"/>
      <c r="L245" s="321"/>
      <c r="M245" s="321"/>
      <c r="N245" s="321"/>
      <c r="O245" s="321"/>
      <c r="P245" s="321"/>
      <c r="Q245" s="321"/>
      <c r="R245" s="321"/>
      <c r="S245" s="321"/>
      <c r="T245" s="321"/>
      <c r="U245" s="321"/>
      <c r="V245" s="321"/>
      <c r="W245" s="321"/>
      <c r="X245" s="321"/>
      <c r="Y245" s="321"/>
      <c r="Z245" s="321"/>
      <c r="AA245" s="321"/>
      <c r="AB245" s="321"/>
      <c r="AC245" s="321"/>
      <c r="AD245" s="321"/>
    </row>
    <row r="246">
      <c r="A246" s="321"/>
      <c r="B246" s="321"/>
      <c r="C246" s="321"/>
      <c r="D246" s="321"/>
      <c r="E246" s="321"/>
      <c r="F246" s="321"/>
      <c r="G246" s="454"/>
      <c r="H246" s="454"/>
      <c r="I246" s="454"/>
      <c r="J246" s="454"/>
      <c r="K246" s="321"/>
      <c r="L246" s="321"/>
      <c r="M246" s="321"/>
      <c r="N246" s="321"/>
      <c r="O246" s="321"/>
      <c r="P246" s="321"/>
      <c r="Q246" s="321"/>
      <c r="R246" s="321"/>
      <c r="S246" s="321"/>
      <c r="T246" s="321"/>
      <c r="U246" s="321"/>
      <c r="V246" s="321"/>
      <c r="W246" s="321"/>
      <c r="X246" s="321"/>
      <c r="Y246" s="321"/>
      <c r="Z246" s="321"/>
      <c r="AA246" s="321"/>
      <c r="AB246" s="321"/>
      <c r="AC246" s="321"/>
      <c r="AD246" s="321"/>
    </row>
    <row r="247">
      <c r="A247" s="321"/>
      <c r="B247" s="321"/>
      <c r="C247" s="321"/>
      <c r="D247" s="321"/>
      <c r="E247" s="321"/>
      <c r="F247" s="321"/>
      <c r="G247" s="454"/>
      <c r="H247" s="454"/>
      <c r="I247" s="454"/>
      <c r="J247" s="454"/>
      <c r="K247" s="321"/>
      <c r="L247" s="321"/>
      <c r="M247" s="321"/>
      <c r="N247" s="321"/>
      <c r="O247" s="321"/>
      <c r="P247" s="321"/>
      <c r="Q247" s="321"/>
      <c r="R247" s="321"/>
      <c r="S247" s="321"/>
      <c r="T247" s="321"/>
      <c r="U247" s="321"/>
      <c r="V247" s="321"/>
      <c r="W247" s="321"/>
      <c r="X247" s="321"/>
      <c r="Y247" s="321"/>
      <c r="Z247" s="321"/>
      <c r="AA247" s="321"/>
      <c r="AB247" s="321"/>
      <c r="AC247" s="321"/>
      <c r="AD247" s="321"/>
    </row>
    <row r="248">
      <c r="A248" s="321"/>
      <c r="B248" s="321"/>
      <c r="C248" s="321"/>
      <c r="D248" s="321"/>
      <c r="E248" s="321"/>
      <c r="F248" s="321"/>
      <c r="G248" s="454"/>
      <c r="H248" s="454"/>
      <c r="I248" s="454"/>
      <c r="J248" s="454"/>
      <c r="K248" s="321"/>
      <c r="L248" s="321"/>
      <c r="M248" s="321"/>
      <c r="N248" s="321"/>
      <c r="O248" s="321"/>
      <c r="P248" s="321"/>
      <c r="Q248" s="321"/>
      <c r="R248" s="321"/>
      <c r="S248" s="321"/>
      <c r="T248" s="321"/>
      <c r="U248" s="321"/>
      <c r="V248" s="321"/>
      <c r="W248" s="321"/>
      <c r="X248" s="321"/>
      <c r="Y248" s="321"/>
      <c r="Z248" s="321"/>
      <c r="AA248" s="321"/>
      <c r="AB248" s="321"/>
      <c r="AC248" s="321"/>
      <c r="AD248" s="321"/>
    </row>
    <row r="249">
      <c r="A249" s="321"/>
      <c r="B249" s="321"/>
      <c r="C249" s="321"/>
      <c r="D249" s="321"/>
      <c r="E249" s="321"/>
      <c r="F249" s="321"/>
      <c r="G249" s="454"/>
      <c r="H249" s="454"/>
      <c r="I249" s="454"/>
      <c r="J249" s="454"/>
      <c r="K249" s="321"/>
      <c r="L249" s="321"/>
      <c r="M249" s="321"/>
      <c r="N249" s="321"/>
      <c r="O249" s="321"/>
      <c r="P249" s="321"/>
      <c r="Q249" s="321"/>
      <c r="R249" s="321"/>
      <c r="S249" s="321"/>
      <c r="T249" s="321"/>
      <c r="U249" s="321"/>
      <c r="V249" s="321"/>
      <c r="W249" s="321"/>
      <c r="X249" s="321"/>
      <c r="Y249" s="321"/>
      <c r="Z249" s="321"/>
      <c r="AA249" s="321"/>
      <c r="AB249" s="321"/>
      <c r="AC249" s="321"/>
      <c r="AD249" s="321"/>
    </row>
    <row r="250">
      <c r="A250" s="321"/>
      <c r="B250" s="321"/>
      <c r="C250" s="321"/>
      <c r="D250" s="321"/>
      <c r="E250" s="321"/>
      <c r="F250" s="321"/>
      <c r="G250" s="454"/>
      <c r="H250" s="454"/>
      <c r="I250" s="454"/>
      <c r="J250" s="454"/>
      <c r="K250" s="321"/>
      <c r="L250" s="321"/>
      <c r="M250" s="321"/>
      <c r="N250" s="321"/>
      <c r="O250" s="321"/>
      <c r="P250" s="321"/>
      <c r="Q250" s="321"/>
      <c r="R250" s="321"/>
      <c r="S250" s="321"/>
      <c r="T250" s="321"/>
      <c r="U250" s="321"/>
      <c r="V250" s="321"/>
      <c r="W250" s="321"/>
      <c r="X250" s="321"/>
      <c r="Y250" s="321"/>
      <c r="Z250" s="321"/>
      <c r="AA250" s="321"/>
      <c r="AB250" s="321"/>
      <c r="AC250" s="321"/>
      <c r="AD250" s="321"/>
    </row>
    <row r="251">
      <c r="A251" s="321"/>
      <c r="B251" s="321"/>
      <c r="C251" s="321"/>
      <c r="D251" s="321"/>
      <c r="E251" s="321"/>
      <c r="F251" s="321"/>
      <c r="G251" s="454"/>
      <c r="H251" s="454"/>
      <c r="I251" s="454"/>
      <c r="J251" s="454"/>
      <c r="K251" s="321"/>
      <c r="L251" s="321"/>
      <c r="M251" s="321"/>
      <c r="N251" s="321"/>
      <c r="O251" s="321"/>
      <c r="P251" s="321"/>
      <c r="Q251" s="321"/>
      <c r="R251" s="321"/>
      <c r="S251" s="321"/>
      <c r="T251" s="321"/>
      <c r="U251" s="321"/>
      <c r="V251" s="321"/>
      <c r="W251" s="321"/>
      <c r="X251" s="321"/>
      <c r="Y251" s="321"/>
      <c r="Z251" s="321"/>
      <c r="AA251" s="321"/>
      <c r="AB251" s="321"/>
      <c r="AC251" s="321"/>
      <c r="AD251" s="321"/>
    </row>
    <row r="252">
      <c r="A252" s="321"/>
      <c r="B252" s="321"/>
      <c r="C252" s="321"/>
      <c r="D252" s="321"/>
      <c r="E252" s="321"/>
      <c r="F252" s="321"/>
      <c r="G252" s="454"/>
      <c r="H252" s="454"/>
      <c r="I252" s="454"/>
      <c r="J252" s="454"/>
      <c r="K252" s="321"/>
      <c r="L252" s="321"/>
      <c r="M252" s="321"/>
      <c r="N252" s="321"/>
      <c r="O252" s="321"/>
      <c r="P252" s="321"/>
      <c r="Q252" s="321"/>
      <c r="R252" s="321"/>
      <c r="S252" s="321"/>
      <c r="T252" s="321"/>
      <c r="U252" s="321"/>
      <c r="V252" s="321"/>
      <c r="W252" s="321"/>
      <c r="X252" s="321"/>
      <c r="Y252" s="321"/>
      <c r="Z252" s="321"/>
      <c r="AA252" s="321"/>
      <c r="AB252" s="321"/>
      <c r="AC252" s="321"/>
      <c r="AD252" s="321"/>
    </row>
    <row r="253">
      <c r="A253" s="321"/>
      <c r="B253" s="321"/>
      <c r="C253" s="321"/>
      <c r="D253" s="321"/>
      <c r="E253" s="321"/>
      <c r="F253" s="321"/>
      <c r="G253" s="454"/>
      <c r="H253" s="454"/>
      <c r="I253" s="454"/>
      <c r="J253" s="454"/>
      <c r="K253" s="321"/>
      <c r="L253" s="321"/>
      <c r="M253" s="321"/>
      <c r="N253" s="321"/>
      <c r="O253" s="321"/>
      <c r="P253" s="321"/>
      <c r="Q253" s="321"/>
      <c r="R253" s="321"/>
      <c r="S253" s="321"/>
      <c r="T253" s="321"/>
      <c r="U253" s="321"/>
      <c r="V253" s="321"/>
      <c r="W253" s="321"/>
      <c r="X253" s="321"/>
      <c r="Y253" s="321"/>
      <c r="Z253" s="321"/>
      <c r="AA253" s="321"/>
      <c r="AB253" s="321"/>
      <c r="AC253" s="321"/>
      <c r="AD253" s="321"/>
    </row>
    <row r="254">
      <c r="A254" s="321"/>
      <c r="B254" s="321"/>
      <c r="C254" s="321"/>
      <c r="D254" s="321"/>
      <c r="E254" s="321"/>
      <c r="F254" s="321"/>
      <c r="G254" s="454"/>
      <c r="H254" s="454"/>
      <c r="I254" s="454"/>
      <c r="J254" s="454"/>
      <c r="K254" s="321"/>
      <c r="L254" s="321"/>
      <c r="M254" s="321"/>
      <c r="N254" s="321"/>
      <c r="O254" s="321"/>
      <c r="P254" s="321"/>
      <c r="Q254" s="321"/>
      <c r="R254" s="321"/>
      <c r="S254" s="321"/>
      <c r="T254" s="321"/>
      <c r="U254" s="321"/>
      <c r="V254" s="321"/>
      <c r="W254" s="321"/>
      <c r="X254" s="321"/>
      <c r="Y254" s="321"/>
      <c r="Z254" s="321"/>
      <c r="AA254" s="321"/>
      <c r="AB254" s="321"/>
      <c r="AC254" s="321"/>
      <c r="AD254" s="321"/>
    </row>
    <row r="255">
      <c r="A255" s="321"/>
      <c r="B255" s="321"/>
      <c r="C255" s="321"/>
      <c r="D255" s="321"/>
      <c r="E255" s="321"/>
      <c r="F255" s="321"/>
      <c r="G255" s="454"/>
      <c r="H255" s="454"/>
      <c r="I255" s="454"/>
      <c r="J255" s="454"/>
      <c r="K255" s="321"/>
      <c r="L255" s="321"/>
      <c r="M255" s="321"/>
      <c r="N255" s="321"/>
      <c r="O255" s="321"/>
      <c r="P255" s="321"/>
      <c r="Q255" s="321"/>
      <c r="R255" s="321"/>
      <c r="S255" s="321"/>
      <c r="T255" s="321"/>
      <c r="U255" s="321"/>
      <c r="V255" s="321"/>
      <c r="W255" s="321"/>
      <c r="X255" s="321"/>
      <c r="Y255" s="321"/>
      <c r="Z255" s="321"/>
      <c r="AA255" s="321"/>
      <c r="AB255" s="321"/>
      <c r="AC255" s="321"/>
      <c r="AD255" s="321"/>
    </row>
    <row r="256">
      <c r="A256" s="321"/>
      <c r="B256" s="321"/>
      <c r="C256" s="321"/>
      <c r="D256" s="321"/>
      <c r="E256" s="321"/>
      <c r="F256" s="321"/>
      <c r="G256" s="454"/>
      <c r="H256" s="454"/>
      <c r="I256" s="454"/>
      <c r="J256" s="454"/>
      <c r="K256" s="321"/>
      <c r="L256" s="321"/>
      <c r="M256" s="321"/>
      <c r="N256" s="321"/>
      <c r="O256" s="321"/>
      <c r="P256" s="321"/>
      <c r="Q256" s="321"/>
      <c r="R256" s="321"/>
      <c r="S256" s="321"/>
      <c r="T256" s="321"/>
      <c r="U256" s="321"/>
      <c r="V256" s="321"/>
      <c r="W256" s="321"/>
      <c r="X256" s="321"/>
      <c r="Y256" s="321"/>
      <c r="Z256" s="321"/>
      <c r="AA256" s="321"/>
      <c r="AB256" s="321"/>
      <c r="AC256" s="321"/>
      <c r="AD256" s="321"/>
    </row>
    <row r="257">
      <c r="A257" s="321"/>
      <c r="B257" s="321"/>
      <c r="C257" s="321"/>
      <c r="D257" s="321"/>
      <c r="E257" s="321"/>
      <c r="F257" s="321"/>
      <c r="G257" s="454"/>
      <c r="H257" s="454"/>
      <c r="I257" s="454"/>
      <c r="J257" s="454"/>
      <c r="K257" s="321"/>
      <c r="L257" s="321"/>
      <c r="M257" s="321"/>
      <c r="N257" s="321"/>
      <c r="O257" s="321"/>
      <c r="P257" s="321"/>
      <c r="Q257" s="321"/>
      <c r="R257" s="321"/>
      <c r="S257" s="321"/>
      <c r="T257" s="321"/>
      <c r="U257" s="321"/>
      <c r="V257" s="321"/>
      <c r="W257" s="321"/>
      <c r="X257" s="321"/>
      <c r="Y257" s="321"/>
      <c r="Z257" s="321"/>
      <c r="AA257" s="321"/>
      <c r="AB257" s="321"/>
      <c r="AC257" s="321"/>
      <c r="AD257" s="321"/>
    </row>
    <row r="258">
      <c r="A258" s="321"/>
      <c r="B258" s="321"/>
      <c r="C258" s="321"/>
      <c r="D258" s="321"/>
      <c r="E258" s="321"/>
      <c r="F258" s="321"/>
      <c r="G258" s="454"/>
      <c r="H258" s="454"/>
      <c r="I258" s="454"/>
      <c r="J258" s="454"/>
      <c r="K258" s="321"/>
      <c r="L258" s="321"/>
      <c r="M258" s="321"/>
      <c r="N258" s="321"/>
      <c r="O258" s="321"/>
      <c r="P258" s="321"/>
      <c r="Q258" s="321"/>
      <c r="R258" s="321"/>
      <c r="S258" s="321"/>
      <c r="T258" s="321"/>
      <c r="U258" s="321"/>
      <c r="V258" s="321"/>
      <c r="W258" s="321"/>
      <c r="X258" s="321"/>
      <c r="Y258" s="321"/>
      <c r="Z258" s="321"/>
      <c r="AA258" s="321"/>
      <c r="AB258" s="321"/>
      <c r="AC258" s="321"/>
      <c r="AD258" s="321"/>
    </row>
    <row r="259">
      <c r="A259" s="321"/>
      <c r="B259" s="321"/>
      <c r="C259" s="321"/>
      <c r="D259" s="321"/>
      <c r="E259" s="321"/>
      <c r="F259" s="321"/>
      <c r="G259" s="454"/>
      <c r="H259" s="454"/>
      <c r="I259" s="454"/>
      <c r="J259" s="454"/>
      <c r="K259" s="321"/>
      <c r="L259" s="321"/>
      <c r="M259" s="321"/>
      <c r="N259" s="321"/>
      <c r="O259" s="321"/>
      <c r="P259" s="321"/>
      <c r="Q259" s="321"/>
      <c r="R259" s="321"/>
      <c r="S259" s="321"/>
      <c r="T259" s="321"/>
      <c r="U259" s="321"/>
      <c r="V259" s="321"/>
      <c r="W259" s="321"/>
      <c r="X259" s="321"/>
      <c r="Y259" s="321"/>
      <c r="Z259" s="321"/>
      <c r="AA259" s="321"/>
      <c r="AB259" s="321"/>
      <c r="AC259" s="321"/>
      <c r="AD259" s="321"/>
    </row>
    <row r="260">
      <c r="A260" s="321"/>
      <c r="B260" s="321"/>
      <c r="C260" s="321"/>
      <c r="D260" s="321"/>
      <c r="E260" s="321"/>
      <c r="F260" s="321"/>
      <c r="G260" s="454"/>
      <c r="H260" s="454"/>
      <c r="I260" s="454"/>
      <c r="J260" s="454"/>
      <c r="K260" s="321"/>
      <c r="L260" s="321"/>
      <c r="M260" s="321"/>
      <c r="N260" s="321"/>
      <c r="O260" s="321"/>
      <c r="P260" s="321"/>
      <c r="Q260" s="321"/>
      <c r="R260" s="321"/>
      <c r="S260" s="321"/>
      <c r="T260" s="321"/>
      <c r="U260" s="321"/>
      <c r="V260" s="321"/>
      <c r="W260" s="321"/>
      <c r="X260" s="321"/>
      <c r="Y260" s="321"/>
      <c r="Z260" s="321"/>
      <c r="AA260" s="321"/>
      <c r="AB260" s="321"/>
      <c r="AC260" s="321"/>
      <c r="AD260" s="321"/>
    </row>
    <row r="261">
      <c r="A261" s="321"/>
      <c r="B261" s="321"/>
      <c r="C261" s="321"/>
      <c r="D261" s="321"/>
      <c r="E261" s="321"/>
      <c r="F261" s="321"/>
      <c r="G261" s="454"/>
      <c r="H261" s="454"/>
      <c r="I261" s="454"/>
      <c r="J261" s="454"/>
      <c r="K261" s="321"/>
      <c r="L261" s="321"/>
      <c r="M261" s="321"/>
      <c r="N261" s="321"/>
      <c r="O261" s="321"/>
      <c r="P261" s="321"/>
      <c r="Q261" s="321"/>
      <c r="R261" s="321"/>
      <c r="S261" s="321"/>
      <c r="T261" s="321"/>
      <c r="U261" s="321"/>
      <c r="V261" s="321"/>
      <c r="W261" s="321"/>
      <c r="X261" s="321"/>
      <c r="Y261" s="321"/>
      <c r="Z261" s="321"/>
      <c r="AA261" s="321"/>
      <c r="AB261" s="321"/>
      <c r="AC261" s="321"/>
      <c r="AD261" s="321"/>
    </row>
    <row r="262">
      <c r="A262" s="321"/>
      <c r="B262" s="321"/>
      <c r="C262" s="321"/>
      <c r="D262" s="321"/>
      <c r="E262" s="321"/>
      <c r="F262" s="321"/>
      <c r="G262" s="454"/>
      <c r="H262" s="454"/>
      <c r="I262" s="454"/>
      <c r="J262" s="454"/>
      <c r="K262" s="321"/>
      <c r="L262" s="321"/>
      <c r="M262" s="321"/>
      <c r="N262" s="321"/>
      <c r="O262" s="321"/>
      <c r="P262" s="321"/>
      <c r="Q262" s="321"/>
      <c r="R262" s="321"/>
      <c r="S262" s="321"/>
      <c r="T262" s="321"/>
      <c r="U262" s="321"/>
      <c r="V262" s="321"/>
      <c r="W262" s="321"/>
      <c r="X262" s="321"/>
      <c r="Y262" s="321"/>
      <c r="Z262" s="321"/>
      <c r="AA262" s="321"/>
      <c r="AB262" s="321"/>
      <c r="AC262" s="321"/>
      <c r="AD262" s="321"/>
    </row>
    <row r="263">
      <c r="A263" s="321"/>
      <c r="B263" s="321"/>
      <c r="C263" s="321"/>
      <c r="D263" s="321"/>
      <c r="E263" s="321"/>
      <c r="F263" s="321"/>
      <c r="G263" s="454"/>
      <c r="H263" s="454"/>
      <c r="I263" s="454"/>
      <c r="J263" s="454"/>
      <c r="K263" s="321"/>
      <c r="L263" s="321"/>
      <c r="M263" s="321"/>
      <c r="N263" s="321"/>
      <c r="O263" s="321"/>
      <c r="P263" s="321"/>
      <c r="Q263" s="321"/>
      <c r="R263" s="321"/>
      <c r="S263" s="321"/>
      <c r="T263" s="321"/>
      <c r="U263" s="321"/>
      <c r="V263" s="321"/>
      <c r="W263" s="321"/>
      <c r="X263" s="321"/>
      <c r="Y263" s="321"/>
      <c r="Z263" s="321"/>
      <c r="AA263" s="321"/>
      <c r="AB263" s="321"/>
      <c r="AC263" s="321"/>
      <c r="AD263" s="321"/>
    </row>
    <row r="264">
      <c r="A264" s="321"/>
      <c r="B264" s="321"/>
      <c r="C264" s="321"/>
      <c r="D264" s="321"/>
      <c r="E264" s="321"/>
      <c r="F264" s="321"/>
      <c r="G264" s="454"/>
      <c r="H264" s="454"/>
      <c r="I264" s="454"/>
      <c r="J264" s="454"/>
      <c r="K264" s="321"/>
      <c r="L264" s="321"/>
      <c r="M264" s="321"/>
      <c r="N264" s="321"/>
      <c r="O264" s="321"/>
      <c r="P264" s="321"/>
      <c r="Q264" s="321"/>
      <c r="R264" s="321"/>
      <c r="S264" s="321"/>
      <c r="T264" s="321"/>
      <c r="U264" s="321"/>
      <c r="V264" s="321"/>
      <c r="W264" s="321"/>
      <c r="X264" s="321"/>
      <c r="Y264" s="321"/>
      <c r="Z264" s="321"/>
      <c r="AA264" s="321"/>
      <c r="AB264" s="321"/>
      <c r="AC264" s="321"/>
      <c r="AD264" s="321"/>
    </row>
    <row r="265">
      <c r="A265" s="321"/>
      <c r="B265" s="321"/>
      <c r="C265" s="321"/>
      <c r="D265" s="321"/>
      <c r="E265" s="321"/>
      <c r="F265" s="321"/>
      <c r="G265" s="454"/>
      <c r="H265" s="454"/>
      <c r="I265" s="454"/>
      <c r="J265" s="454"/>
      <c r="K265" s="321"/>
      <c r="L265" s="321"/>
      <c r="M265" s="321"/>
      <c r="N265" s="321"/>
      <c r="O265" s="321"/>
      <c r="P265" s="321"/>
      <c r="Q265" s="321"/>
      <c r="R265" s="321"/>
      <c r="S265" s="321"/>
      <c r="T265" s="321"/>
      <c r="U265" s="321"/>
      <c r="V265" s="321"/>
      <c r="W265" s="321"/>
      <c r="X265" s="321"/>
      <c r="Y265" s="321"/>
      <c r="Z265" s="321"/>
      <c r="AA265" s="321"/>
      <c r="AB265" s="321"/>
      <c r="AC265" s="321"/>
      <c r="AD265" s="321"/>
    </row>
    <row r="266">
      <c r="A266" s="321"/>
      <c r="B266" s="321"/>
      <c r="C266" s="321"/>
      <c r="D266" s="321"/>
      <c r="E266" s="321"/>
      <c r="F266" s="321"/>
      <c r="G266" s="454"/>
      <c r="H266" s="454"/>
      <c r="I266" s="454"/>
      <c r="J266" s="454"/>
      <c r="K266" s="321"/>
      <c r="L266" s="321"/>
      <c r="M266" s="321"/>
      <c r="N266" s="321"/>
      <c r="O266" s="321"/>
      <c r="P266" s="321"/>
      <c r="Q266" s="321"/>
      <c r="R266" s="321"/>
      <c r="S266" s="321"/>
      <c r="T266" s="321"/>
      <c r="U266" s="321"/>
      <c r="V266" s="321"/>
      <c r="W266" s="321"/>
      <c r="X266" s="321"/>
      <c r="Y266" s="321"/>
      <c r="Z266" s="321"/>
      <c r="AA266" s="321"/>
      <c r="AB266" s="321"/>
      <c r="AC266" s="321"/>
      <c r="AD266" s="321"/>
    </row>
    <row r="267">
      <c r="A267" s="321"/>
      <c r="B267" s="321"/>
      <c r="C267" s="321"/>
      <c r="D267" s="321"/>
      <c r="E267" s="321"/>
      <c r="F267" s="321"/>
      <c r="G267" s="454"/>
      <c r="H267" s="454"/>
      <c r="I267" s="454"/>
      <c r="J267" s="454"/>
      <c r="K267" s="321"/>
      <c r="L267" s="321"/>
      <c r="M267" s="321"/>
      <c r="N267" s="321"/>
      <c r="O267" s="321"/>
      <c r="P267" s="321"/>
      <c r="Q267" s="321"/>
      <c r="R267" s="321"/>
      <c r="S267" s="321"/>
      <c r="T267" s="321"/>
      <c r="U267" s="321"/>
      <c r="V267" s="321"/>
      <c r="W267" s="321"/>
      <c r="X267" s="321"/>
      <c r="Y267" s="321"/>
      <c r="Z267" s="321"/>
      <c r="AA267" s="321"/>
      <c r="AB267" s="321"/>
      <c r="AC267" s="321"/>
      <c r="AD267" s="321"/>
    </row>
    <row r="268">
      <c r="A268" s="321"/>
      <c r="B268" s="321"/>
      <c r="C268" s="321"/>
      <c r="D268" s="321"/>
      <c r="E268" s="321"/>
      <c r="F268" s="321"/>
      <c r="G268" s="454"/>
      <c r="H268" s="454"/>
      <c r="I268" s="454"/>
      <c r="J268" s="454"/>
      <c r="K268" s="321"/>
      <c r="L268" s="321"/>
      <c r="M268" s="321"/>
      <c r="N268" s="321"/>
      <c r="O268" s="321"/>
      <c r="P268" s="321"/>
      <c r="Q268" s="321"/>
      <c r="R268" s="321"/>
      <c r="S268" s="321"/>
      <c r="T268" s="321"/>
      <c r="U268" s="321"/>
      <c r="V268" s="321"/>
      <c r="W268" s="321"/>
      <c r="X268" s="321"/>
      <c r="Y268" s="321"/>
      <c r="Z268" s="321"/>
      <c r="AA268" s="321"/>
      <c r="AB268" s="321"/>
      <c r="AC268" s="321"/>
      <c r="AD268" s="321"/>
    </row>
    <row r="269">
      <c r="A269" s="321"/>
      <c r="B269" s="321"/>
      <c r="C269" s="321"/>
      <c r="D269" s="321"/>
      <c r="E269" s="321"/>
      <c r="F269" s="321"/>
      <c r="G269" s="454"/>
      <c r="H269" s="454"/>
      <c r="I269" s="454"/>
      <c r="J269" s="454"/>
      <c r="K269" s="321"/>
      <c r="L269" s="321"/>
      <c r="M269" s="321"/>
      <c r="N269" s="321"/>
      <c r="O269" s="321"/>
      <c r="P269" s="321"/>
      <c r="Q269" s="321"/>
      <c r="R269" s="321"/>
      <c r="S269" s="321"/>
      <c r="T269" s="321"/>
      <c r="U269" s="321"/>
      <c r="V269" s="321"/>
      <c r="W269" s="321"/>
      <c r="X269" s="321"/>
      <c r="Y269" s="321"/>
      <c r="Z269" s="321"/>
      <c r="AA269" s="321"/>
      <c r="AB269" s="321"/>
      <c r="AC269" s="321"/>
      <c r="AD269" s="321"/>
    </row>
    <row r="270">
      <c r="A270" s="321"/>
      <c r="B270" s="321"/>
      <c r="C270" s="321"/>
      <c r="D270" s="321"/>
      <c r="E270" s="321"/>
      <c r="F270" s="321"/>
      <c r="G270" s="454"/>
      <c r="H270" s="454"/>
      <c r="I270" s="454"/>
      <c r="J270" s="454"/>
      <c r="K270" s="321"/>
      <c r="L270" s="321"/>
      <c r="M270" s="321"/>
      <c r="N270" s="321"/>
      <c r="O270" s="321"/>
      <c r="P270" s="321"/>
      <c r="Q270" s="321"/>
      <c r="R270" s="321"/>
      <c r="S270" s="321"/>
      <c r="T270" s="321"/>
      <c r="U270" s="321"/>
      <c r="V270" s="321"/>
      <c r="W270" s="321"/>
      <c r="X270" s="321"/>
      <c r="Y270" s="321"/>
      <c r="Z270" s="321"/>
      <c r="AA270" s="321"/>
      <c r="AB270" s="321"/>
      <c r="AC270" s="321"/>
      <c r="AD270" s="321"/>
    </row>
    <row r="271">
      <c r="A271" s="321"/>
      <c r="B271" s="321"/>
      <c r="C271" s="321"/>
      <c r="D271" s="321"/>
      <c r="E271" s="321"/>
      <c r="F271" s="321"/>
      <c r="G271" s="454"/>
      <c r="H271" s="454"/>
      <c r="I271" s="454"/>
      <c r="J271" s="454"/>
      <c r="K271" s="321"/>
      <c r="L271" s="321"/>
      <c r="M271" s="321"/>
      <c r="N271" s="321"/>
      <c r="O271" s="321"/>
      <c r="P271" s="321"/>
      <c r="Q271" s="321"/>
      <c r="R271" s="321"/>
      <c r="S271" s="321"/>
      <c r="T271" s="321"/>
      <c r="U271" s="321"/>
      <c r="V271" s="321"/>
      <c r="W271" s="321"/>
      <c r="X271" s="321"/>
      <c r="Y271" s="321"/>
      <c r="Z271" s="321"/>
      <c r="AA271" s="321"/>
      <c r="AB271" s="321"/>
      <c r="AC271" s="321"/>
      <c r="AD271" s="321"/>
    </row>
    <row r="272">
      <c r="A272" s="321"/>
      <c r="B272" s="321"/>
      <c r="C272" s="321"/>
      <c r="D272" s="321"/>
      <c r="E272" s="321"/>
      <c r="F272" s="321"/>
      <c r="G272" s="454"/>
      <c r="H272" s="454"/>
      <c r="I272" s="454"/>
      <c r="J272" s="454"/>
      <c r="K272" s="321"/>
      <c r="L272" s="321"/>
      <c r="M272" s="321"/>
      <c r="N272" s="321"/>
      <c r="O272" s="321"/>
      <c r="P272" s="321"/>
      <c r="Q272" s="321"/>
      <c r="R272" s="321"/>
      <c r="S272" s="321"/>
      <c r="T272" s="321"/>
      <c r="U272" s="321"/>
      <c r="V272" s="321"/>
      <c r="W272" s="321"/>
      <c r="X272" s="321"/>
      <c r="Y272" s="321"/>
      <c r="Z272" s="321"/>
      <c r="AA272" s="321"/>
      <c r="AB272" s="321"/>
      <c r="AC272" s="321"/>
      <c r="AD272" s="321"/>
    </row>
    <row r="273">
      <c r="A273" s="321"/>
      <c r="B273" s="321"/>
      <c r="C273" s="321"/>
      <c r="D273" s="321"/>
      <c r="E273" s="321"/>
      <c r="F273" s="321"/>
      <c r="G273" s="454"/>
      <c r="H273" s="454"/>
      <c r="I273" s="454"/>
      <c r="J273" s="454"/>
      <c r="K273" s="321"/>
      <c r="L273" s="321"/>
      <c r="M273" s="321"/>
      <c r="N273" s="321"/>
      <c r="O273" s="321"/>
      <c r="P273" s="321"/>
      <c r="Q273" s="321"/>
      <c r="R273" s="321"/>
      <c r="S273" s="321"/>
      <c r="T273" s="321"/>
      <c r="U273" s="321"/>
      <c r="V273" s="321"/>
      <c r="W273" s="321"/>
      <c r="X273" s="321"/>
      <c r="Y273" s="321"/>
      <c r="Z273" s="321"/>
      <c r="AA273" s="321"/>
      <c r="AB273" s="321"/>
      <c r="AC273" s="321"/>
      <c r="AD273" s="321"/>
    </row>
    <row r="274">
      <c r="A274" s="321"/>
      <c r="B274" s="321"/>
      <c r="C274" s="321"/>
      <c r="D274" s="321"/>
      <c r="E274" s="321"/>
      <c r="F274" s="321"/>
      <c r="G274" s="454"/>
      <c r="H274" s="454"/>
      <c r="I274" s="454"/>
      <c r="J274" s="454"/>
      <c r="K274" s="321"/>
      <c r="L274" s="321"/>
      <c r="M274" s="321"/>
      <c r="N274" s="321"/>
      <c r="O274" s="321"/>
      <c r="P274" s="321"/>
      <c r="Q274" s="321"/>
      <c r="R274" s="321"/>
      <c r="S274" s="321"/>
      <c r="T274" s="321"/>
      <c r="U274" s="321"/>
      <c r="V274" s="321"/>
      <c r="W274" s="321"/>
      <c r="X274" s="321"/>
      <c r="Y274" s="321"/>
      <c r="Z274" s="321"/>
      <c r="AA274" s="321"/>
      <c r="AB274" s="321"/>
      <c r="AC274" s="321"/>
      <c r="AD274" s="321"/>
    </row>
    <row r="275">
      <c r="A275" s="321"/>
      <c r="B275" s="321"/>
      <c r="C275" s="321"/>
      <c r="D275" s="321"/>
      <c r="E275" s="321"/>
      <c r="F275" s="321"/>
      <c r="G275" s="454"/>
      <c r="H275" s="454"/>
      <c r="I275" s="454"/>
      <c r="J275" s="454"/>
      <c r="K275" s="321"/>
      <c r="L275" s="321"/>
      <c r="M275" s="321"/>
      <c r="N275" s="321"/>
      <c r="O275" s="321"/>
      <c r="P275" s="321"/>
      <c r="Q275" s="321"/>
      <c r="R275" s="321"/>
      <c r="S275" s="321"/>
      <c r="T275" s="321"/>
      <c r="U275" s="321"/>
      <c r="V275" s="321"/>
      <c r="W275" s="321"/>
      <c r="X275" s="321"/>
      <c r="Y275" s="321"/>
      <c r="Z275" s="321"/>
      <c r="AA275" s="321"/>
      <c r="AB275" s="321"/>
      <c r="AC275" s="321"/>
      <c r="AD275" s="321"/>
    </row>
    <row r="276">
      <c r="A276" s="321"/>
      <c r="B276" s="321"/>
      <c r="C276" s="321"/>
      <c r="D276" s="321"/>
      <c r="E276" s="321"/>
      <c r="F276" s="321"/>
      <c r="G276" s="454"/>
      <c r="H276" s="454"/>
      <c r="I276" s="454"/>
      <c r="J276" s="454"/>
      <c r="K276" s="321"/>
      <c r="L276" s="321"/>
      <c r="M276" s="321"/>
      <c r="N276" s="321"/>
      <c r="O276" s="321"/>
      <c r="P276" s="321"/>
      <c r="Q276" s="321"/>
      <c r="R276" s="321"/>
      <c r="S276" s="321"/>
      <c r="T276" s="321"/>
      <c r="U276" s="321"/>
      <c r="V276" s="321"/>
      <c r="W276" s="321"/>
      <c r="X276" s="321"/>
      <c r="Y276" s="321"/>
      <c r="Z276" s="321"/>
      <c r="AA276" s="321"/>
      <c r="AB276" s="321"/>
      <c r="AC276" s="321"/>
      <c r="AD276" s="321"/>
    </row>
    <row r="277">
      <c r="A277" s="321"/>
      <c r="B277" s="321"/>
      <c r="C277" s="321"/>
      <c r="D277" s="321"/>
      <c r="E277" s="321"/>
      <c r="F277" s="321"/>
      <c r="G277" s="454"/>
      <c r="H277" s="454"/>
      <c r="I277" s="454"/>
      <c r="J277" s="454"/>
      <c r="K277" s="321"/>
      <c r="L277" s="321"/>
      <c r="M277" s="321"/>
      <c r="N277" s="321"/>
      <c r="O277" s="321"/>
      <c r="P277" s="321"/>
      <c r="Q277" s="321"/>
      <c r="R277" s="321"/>
      <c r="S277" s="321"/>
      <c r="T277" s="321"/>
      <c r="U277" s="321"/>
      <c r="V277" s="321"/>
      <c r="W277" s="321"/>
      <c r="X277" s="321"/>
      <c r="Y277" s="321"/>
      <c r="Z277" s="321"/>
      <c r="AA277" s="321"/>
      <c r="AB277" s="321"/>
      <c r="AC277" s="321"/>
      <c r="AD277" s="321"/>
    </row>
    <row r="278">
      <c r="A278" s="321"/>
      <c r="B278" s="321"/>
      <c r="C278" s="321"/>
      <c r="D278" s="321"/>
      <c r="E278" s="321"/>
      <c r="F278" s="321"/>
      <c r="G278" s="454"/>
      <c r="H278" s="454"/>
      <c r="I278" s="454"/>
      <c r="J278" s="454"/>
      <c r="K278" s="321"/>
      <c r="L278" s="321"/>
      <c r="M278" s="321"/>
      <c r="N278" s="321"/>
      <c r="O278" s="321"/>
      <c r="P278" s="321"/>
      <c r="Q278" s="321"/>
      <c r="R278" s="321"/>
      <c r="S278" s="321"/>
      <c r="T278" s="321"/>
      <c r="U278" s="321"/>
      <c r="V278" s="321"/>
      <c r="W278" s="321"/>
      <c r="X278" s="321"/>
      <c r="Y278" s="321"/>
      <c r="Z278" s="321"/>
      <c r="AA278" s="321"/>
      <c r="AB278" s="321"/>
      <c r="AC278" s="321"/>
      <c r="AD278" s="321"/>
    </row>
    <row r="279">
      <c r="A279" s="321"/>
      <c r="B279" s="321"/>
      <c r="C279" s="321"/>
      <c r="D279" s="321"/>
      <c r="E279" s="321"/>
      <c r="F279" s="321"/>
      <c r="G279" s="454"/>
      <c r="H279" s="454"/>
      <c r="I279" s="454"/>
      <c r="J279" s="454"/>
      <c r="K279" s="321"/>
      <c r="L279" s="321"/>
      <c r="M279" s="321"/>
      <c r="N279" s="321"/>
      <c r="O279" s="321"/>
      <c r="P279" s="321"/>
      <c r="Q279" s="321"/>
      <c r="R279" s="321"/>
      <c r="S279" s="321"/>
      <c r="T279" s="321"/>
      <c r="U279" s="321"/>
      <c r="V279" s="321"/>
      <c r="W279" s="321"/>
      <c r="X279" s="321"/>
      <c r="Y279" s="321"/>
      <c r="Z279" s="321"/>
      <c r="AA279" s="321"/>
      <c r="AB279" s="321"/>
      <c r="AC279" s="321"/>
      <c r="AD279" s="321"/>
    </row>
    <row r="280">
      <c r="A280" s="321"/>
      <c r="B280" s="321"/>
      <c r="C280" s="321"/>
      <c r="D280" s="321"/>
      <c r="E280" s="321"/>
      <c r="F280" s="321"/>
      <c r="G280" s="454"/>
      <c r="H280" s="454"/>
      <c r="I280" s="454"/>
      <c r="J280" s="454"/>
      <c r="K280" s="321"/>
      <c r="L280" s="321"/>
      <c r="M280" s="321"/>
      <c r="N280" s="321"/>
      <c r="O280" s="321"/>
      <c r="P280" s="321"/>
      <c r="Q280" s="321"/>
      <c r="R280" s="321"/>
      <c r="S280" s="321"/>
      <c r="T280" s="321"/>
      <c r="U280" s="321"/>
      <c r="V280" s="321"/>
      <c r="W280" s="321"/>
      <c r="X280" s="321"/>
      <c r="Y280" s="321"/>
      <c r="Z280" s="321"/>
      <c r="AA280" s="321"/>
      <c r="AB280" s="321"/>
      <c r="AC280" s="321"/>
      <c r="AD280" s="321"/>
    </row>
    <row r="281">
      <c r="A281" s="321"/>
      <c r="B281" s="321"/>
      <c r="C281" s="321"/>
      <c r="D281" s="321"/>
      <c r="E281" s="321"/>
      <c r="F281" s="321"/>
      <c r="G281" s="454"/>
      <c r="H281" s="454"/>
      <c r="I281" s="454"/>
      <c r="J281" s="454"/>
      <c r="K281" s="321"/>
      <c r="L281" s="321"/>
      <c r="M281" s="321"/>
      <c r="N281" s="321"/>
      <c r="O281" s="321"/>
      <c r="P281" s="321"/>
      <c r="Q281" s="321"/>
      <c r="R281" s="321"/>
      <c r="S281" s="321"/>
      <c r="T281" s="321"/>
      <c r="U281" s="321"/>
      <c r="V281" s="321"/>
      <c r="W281" s="321"/>
      <c r="X281" s="321"/>
      <c r="Y281" s="321"/>
      <c r="Z281" s="321"/>
      <c r="AA281" s="321"/>
      <c r="AB281" s="321"/>
      <c r="AC281" s="321"/>
      <c r="AD281" s="321"/>
    </row>
    <row r="282">
      <c r="A282" s="321"/>
      <c r="B282" s="321"/>
      <c r="C282" s="321"/>
      <c r="D282" s="321"/>
      <c r="E282" s="321"/>
      <c r="F282" s="321"/>
      <c r="G282" s="454"/>
      <c r="H282" s="454"/>
      <c r="I282" s="454"/>
      <c r="J282" s="454"/>
      <c r="K282" s="321"/>
      <c r="L282" s="321"/>
      <c r="M282" s="321"/>
      <c r="N282" s="321"/>
      <c r="O282" s="321"/>
      <c r="P282" s="321"/>
      <c r="Q282" s="321"/>
      <c r="R282" s="321"/>
      <c r="S282" s="321"/>
      <c r="T282" s="321"/>
      <c r="U282" s="321"/>
      <c r="V282" s="321"/>
      <c r="W282" s="321"/>
      <c r="X282" s="321"/>
      <c r="Y282" s="321"/>
      <c r="Z282" s="321"/>
      <c r="AA282" s="321"/>
      <c r="AB282" s="321"/>
      <c r="AC282" s="321"/>
      <c r="AD282" s="321"/>
    </row>
    <row r="283">
      <c r="A283" s="321"/>
      <c r="B283" s="321"/>
      <c r="C283" s="321"/>
      <c r="D283" s="321"/>
      <c r="E283" s="321"/>
      <c r="F283" s="321"/>
      <c r="G283" s="454"/>
      <c r="H283" s="454"/>
      <c r="I283" s="454"/>
      <c r="J283" s="454"/>
      <c r="K283" s="321"/>
      <c r="L283" s="321"/>
      <c r="M283" s="321"/>
      <c r="N283" s="321"/>
      <c r="O283" s="321"/>
      <c r="P283" s="321"/>
      <c r="Q283" s="321"/>
      <c r="R283" s="321"/>
      <c r="S283" s="321"/>
      <c r="T283" s="321"/>
      <c r="U283" s="321"/>
      <c r="V283" s="321"/>
      <c r="W283" s="321"/>
      <c r="X283" s="321"/>
      <c r="Y283" s="321"/>
      <c r="Z283" s="321"/>
      <c r="AA283" s="321"/>
      <c r="AB283" s="321"/>
      <c r="AC283" s="321"/>
      <c r="AD283" s="321"/>
    </row>
    <row r="284">
      <c r="A284" s="321"/>
      <c r="B284" s="321"/>
      <c r="C284" s="321"/>
      <c r="D284" s="321"/>
      <c r="E284" s="321"/>
      <c r="F284" s="321"/>
      <c r="G284" s="454"/>
      <c r="H284" s="454"/>
      <c r="I284" s="454"/>
      <c r="J284" s="454"/>
      <c r="K284" s="321"/>
      <c r="L284" s="321"/>
      <c r="M284" s="321"/>
      <c r="N284" s="321"/>
      <c r="O284" s="321"/>
      <c r="P284" s="321"/>
      <c r="Q284" s="321"/>
      <c r="R284" s="321"/>
      <c r="S284" s="321"/>
      <c r="T284" s="321"/>
      <c r="U284" s="321"/>
      <c r="V284" s="321"/>
      <c r="W284" s="321"/>
      <c r="X284" s="321"/>
      <c r="Y284" s="321"/>
      <c r="Z284" s="321"/>
      <c r="AA284" s="321"/>
      <c r="AB284" s="321"/>
      <c r="AC284" s="321"/>
      <c r="AD284" s="321"/>
    </row>
    <row r="285">
      <c r="A285" s="321"/>
      <c r="B285" s="321"/>
      <c r="C285" s="321"/>
      <c r="D285" s="321"/>
      <c r="E285" s="321"/>
      <c r="F285" s="321"/>
      <c r="G285" s="454"/>
      <c r="H285" s="454"/>
      <c r="I285" s="454"/>
      <c r="J285" s="454"/>
      <c r="K285" s="321"/>
      <c r="L285" s="321"/>
      <c r="M285" s="321"/>
      <c r="N285" s="321"/>
      <c r="O285" s="321"/>
      <c r="P285" s="321"/>
      <c r="Q285" s="321"/>
      <c r="R285" s="321"/>
      <c r="S285" s="321"/>
      <c r="T285" s="321"/>
      <c r="U285" s="321"/>
      <c r="V285" s="321"/>
      <c r="W285" s="321"/>
      <c r="X285" s="321"/>
      <c r="Y285" s="321"/>
      <c r="Z285" s="321"/>
      <c r="AA285" s="321"/>
      <c r="AB285" s="321"/>
      <c r="AC285" s="321"/>
      <c r="AD285" s="321"/>
    </row>
    <row r="286">
      <c r="A286" s="321"/>
      <c r="B286" s="321"/>
      <c r="C286" s="321"/>
      <c r="D286" s="321"/>
      <c r="E286" s="321"/>
      <c r="F286" s="321"/>
      <c r="G286" s="454"/>
      <c r="H286" s="454"/>
      <c r="I286" s="454"/>
      <c r="J286" s="454"/>
      <c r="K286" s="321"/>
      <c r="L286" s="321"/>
      <c r="M286" s="321"/>
      <c r="N286" s="321"/>
      <c r="O286" s="321"/>
      <c r="P286" s="321"/>
      <c r="Q286" s="321"/>
      <c r="R286" s="321"/>
      <c r="S286" s="321"/>
      <c r="T286" s="321"/>
      <c r="U286" s="321"/>
      <c r="V286" s="321"/>
      <c r="W286" s="321"/>
      <c r="X286" s="321"/>
      <c r="Y286" s="321"/>
      <c r="Z286" s="321"/>
      <c r="AA286" s="321"/>
      <c r="AB286" s="321"/>
      <c r="AC286" s="321"/>
      <c r="AD286" s="321"/>
    </row>
    <row r="287">
      <c r="A287" s="321"/>
      <c r="B287" s="321"/>
      <c r="C287" s="321"/>
      <c r="D287" s="321"/>
      <c r="E287" s="321"/>
      <c r="F287" s="321"/>
      <c r="G287" s="454"/>
      <c r="H287" s="454"/>
      <c r="I287" s="454"/>
      <c r="J287" s="454"/>
      <c r="K287" s="321"/>
      <c r="L287" s="321"/>
      <c r="M287" s="321"/>
      <c r="N287" s="321"/>
      <c r="O287" s="321"/>
      <c r="P287" s="321"/>
      <c r="Q287" s="321"/>
      <c r="R287" s="321"/>
      <c r="S287" s="321"/>
      <c r="T287" s="321"/>
      <c r="U287" s="321"/>
      <c r="V287" s="321"/>
      <c r="W287" s="321"/>
      <c r="X287" s="321"/>
      <c r="Y287" s="321"/>
      <c r="Z287" s="321"/>
      <c r="AA287" s="321"/>
      <c r="AB287" s="321"/>
      <c r="AC287" s="321"/>
      <c r="AD287" s="321"/>
    </row>
    <row r="288">
      <c r="A288" s="321"/>
      <c r="B288" s="321"/>
      <c r="C288" s="321"/>
      <c r="D288" s="321"/>
      <c r="E288" s="321"/>
      <c r="F288" s="321"/>
      <c r="G288" s="454"/>
      <c r="H288" s="454"/>
      <c r="I288" s="454"/>
      <c r="J288" s="454"/>
      <c r="K288" s="321"/>
      <c r="L288" s="321"/>
      <c r="M288" s="321"/>
      <c r="N288" s="321"/>
      <c r="O288" s="321"/>
      <c r="P288" s="321"/>
      <c r="Q288" s="321"/>
      <c r="R288" s="321"/>
      <c r="S288" s="321"/>
      <c r="T288" s="321"/>
      <c r="U288" s="321"/>
      <c r="V288" s="321"/>
      <c r="W288" s="321"/>
      <c r="X288" s="321"/>
      <c r="Y288" s="321"/>
      <c r="Z288" s="321"/>
      <c r="AA288" s="321"/>
      <c r="AB288" s="321"/>
      <c r="AC288" s="321"/>
      <c r="AD288" s="321"/>
    </row>
    <row r="289">
      <c r="A289" s="321"/>
      <c r="B289" s="321"/>
      <c r="C289" s="321"/>
      <c r="D289" s="321"/>
      <c r="E289" s="321"/>
      <c r="F289" s="321"/>
      <c r="G289" s="454"/>
      <c r="H289" s="454"/>
      <c r="I289" s="454"/>
      <c r="J289" s="454"/>
      <c r="K289" s="321"/>
      <c r="L289" s="321"/>
      <c r="M289" s="321"/>
      <c r="N289" s="321"/>
      <c r="O289" s="321"/>
      <c r="P289" s="321"/>
      <c r="Q289" s="321"/>
      <c r="R289" s="321"/>
      <c r="S289" s="321"/>
      <c r="T289" s="321"/>
      <c r="U289" s="321"/>
      <c r="V289" s="321"/>
      <c r="W289" s="321"/>
      <c r="X289" s="321"/>
      <c r="Y289" s="321"/>
      <c r="Z289" s="321"/>
      <c r="AA289" s="321"/>
      <c r="AB289" s="321"/>
      <c r="AC289" s="321"/>
      <c r="AD289" s="321"/>
    </row>
    <row r="290">
      <c r="A290" s="321"/>
      <c r="B290" s="321"/>
      <c r="C290" s="321"/>
      <c r="D290" s="321"/>
      <c r="E290" s="321"/>
      <c r="F290" s="321"/>
      <c r="G290" s="454"/>
      <c r="H290" s="454"/>
      <c r="I290" s="454"/>
      <c r="J290" s="454"/>
      <c r="K290" s="321"/>
      <c r="L290" s="321"/>
      <c r="M290" s="321"/>
      <c r="N290" s="321"/>
      <c r="O290" s="321"/>
      <c r="P290" s="321"/>
      <c r="Q290" s="321"/>
      <c r="R290" s="321"/>
      <c r="S290" s="321"/>
      <c r="T290" s="321"/>
      <c r="U290" s="321"/>
      <c r="V290" s="321"/>
      <c r="W290" s="321"/>
      <c r="X290" s="321"/>
      <c r="Y290" s="321"/>
      <c r="Z290" s="321"/>
      <c r="AA290" s="321"/>
      <c r="AB290" s="321"/>
      <c r="AC290" s="321"/>
      <c r="AD290" s="321"/>
    </row>
    <row r="291">
      <c r="A291" s="321"/>
      <c r="B291" s="321"/>
      <c r="C291" s="321"/>
      <c r="D291" s="321"/>
      <c r="E291" s="321"/>
      <c r="F291" s="321"/>
      <c r="G291" s="454"/>
      <c r="H291" s="454"/>
      <c r="I291" s="454"/>
      <c r="J291" s="454"/>
      <c r="K291" s="321"/>
      <c r="L291" s="321"/>
      <c r="M291" s="321"/>
      <c r="N291" s="321"/>
      <c r="O291" s="321"/>
      <c r="P291" s="321"/>
      <c r="Q291" s="321"/>
      <c r="R291" s="321"/>
      <c r="S291" s="321"/>
      <c r="T291" s="321"/>
      <c r="U291" s="321"/>
      <c r="V291" s="321"/>
      <c r="W291" s="321"/>
      <c r="X291" s="321"/>
      <c r="Y291" s="321"/>
      <c r="Z291" s="321"/>
      <c r="AA291" s="321"/>
      <c r="AB291" s="321"/>
      <c r="AC291" s="321"/>
      <c r="AD291" s="321"/>
    </row>
    <row r="292">
      <c r="A292" s="321"/>
      <c r="B292" s="321"/>
      <c r="C292" s="321"/>
      <c r="D292" s="321"/>
      <c r="E292" s="321"/>
      <c r="F292" s="321"/>
      <c r="G292" s="454"/>
      <c r="H292" s="454"/>
      <c r="I292" s="454"/>
      <c r="J292" s="454"/>
      <c r="K292" s="321"/>
      <c r="L292" s="321"/>
      <c r="M292" s="321"/>
      <c r="N292" s="321"/>
      <c r="O292" s="321"/>
      <c r="P292" s="321"/>
      <c r="Q292" s="321"/>
      <c r="R292" s="321"/>
      <c r="S292" s="321"/>
      <c r="T292" s="321"/>
      <c r="U292" s="321"/>
      <c r="V292" s="321"/>
      <c r="W292" s="321"/>
      <c r="X292" s="321"/>
      <c r="Y292" s="321"/>
      <c r="Z292" s="321"/>
      <c r="AA292" s="321"/>
      <c r="AB292" s="321"/>
      <c r="AC292" s="321"/>
      <c r="AD292" s="321"/>
    </row>
    <row r="293">
      <c r="A293" s="321"/>
      <c r="B293" s="321"/>
      <c r="C293" s="321"/>
      <c r="D293" s="321"/>
      <c r="E293" s="321"/>
      <c r="F293" s="321"/>
      <c r="G293" s="454"/>
      <c r="H293" s="454"/>
      <c r="I293" s="454"/>
      <c r="J293" s="454"/>
      <c r="K293" s="321"/>
      <c r="L293" s="321"/>
      <c r="M293" s="321"/>
      <c r="N293" s="321"/>
      <c r="O293" s="321"/>
      <c r="P293" s="321"/>
      <c r="Q293" s="321"/>
      <c r="R293" s="321"/>
      <c r="S293" s="321"/>
      <c r="T293" s="321"/>
      <c r="U293" s="321"/>
      <c r="V293" s="321"/>
      <c r="W293" s="321"/>
      <c r="X293" s="321"/>
      <c r="Y293" s="321"/>
      <c r="Z293" s="321"/>
      <c r="AA293" s="321"/>
      <c r="AB293" s="321"/>
      <c r="AC293" s="321"/>
      <c r="AD293" s="321"/>
    </row>
    <row r="294">
      <c r="A294" s="321"/>
      <c r="B294" s="321"/>
      <c r="C294" s="321"/>
      <c r="D294" s="321"/>
      <c r="E294" s="321"/>
      <c r="F294" s="321"/>
      <c r="G294" s="454"/>
      <c r="H294" s="454"/>
      <c r="I294" s="454"/>
      <c r="J294" s="454"/>
      <c r="K294" s="321"/>
      <c r="L294" s="321"/>
      <c r="M294" s="321"/>
      <c r="N294" s="321"/>
      <c r="O294" s="321"/>
      <c r="P294" s="321"/>
      <c r="Q294" s="321"/>
      <c r="R294" s="321"/>
      <c r="S294" s="321"/>
      <c r="T294" s="321"/>
      <c r="U294" s="321"/>
      <c r="V294" s="321"/>
      <c r="W294" s="321"/>
      <c r="X294" s="321"/>
      <c r="Y294" s="321"/>
      <c r="Z294" s="321"/>
      <c r="AA294" s="321"/>
      <c r="AB294" s="321"/>
      <c r="AC294" s="321"/>
      <c r="AD294" s="321"/>
    </row>
    <row r="295">
      <c r="A295" s="321"/>
      <c r="B295" s="321"/>
      <c r="C295" s="321"/>
      <c r="D295" s="321"/>
      <c r="E295" s="321"/>
      <c r="F295" s="321"/>
      <c r="G295" s="454"/>
      <c r="H295" s="454"/>
      <c r="I295" s="454"/>
      <c r="J295" s="454"/>
      <c r="K295" s="321"/>
      <c r="L295" s="321"/>
      <c r="M295" s="321"/>
      <c r="N295" s="321"/>
      <c r="O295" s="321"/>
      <c r="P295" s="321"/>
      <c r="Q295" s="321"/>
      <c r="R295" s="321"/>
      <c r="S295" s="321"/>
      <c r="T295" s="321"/>
      <c r="U295" s="321"/>
      <c r="V295" s="321"/>
      <c r="W295" s="321"/>
      <c r="X295" s="321"/>
      <c r="Y295" s="321"/>
      <c r="Z295" s="321"/>
      <c r="AA295" s="321"/>
      <c r="AB295" s="321"/>
      <c r="AC295" s="321"/>
      <c r="AD295" s="321"/>
    </row>
    <row r="296">
      <c r="A296" s="321"/>
      <c r="B296" s="321"/>
      <c r="C296" s="321"/>
      <c r="D296" s="321"/>
      <c r="E296" s="321"/>
      <c r="F296" s="321"/>
      <c r="G296" s="454"/>
      <c r="H296" s="454"/>
      <c r="I296" s="454"/>
      <c r="J296" s="454"/>
      <c r="K296" s="321"/>
      <c r="L296" s="321"/>
      <c r="M296" s="321"/>
      <c r="N296" s="321"/>
      <c r="O296" s="321"/>
      <c r="P296" s="321"/>
      <c r="Q296" s="321"/>
      <c r="R296" s="321"/>
      <c r="S296" s="321"/>
      <c r="T296" s="321"/>
      <c r="U296" s="321"/>
      <c r="V296" s="321"/>
      <c r="W296" s="321"/>
      <c r="X296" s="321"/>
      <c r="Y296" s="321"/>
      <c r="Z296" s="321"/>
      <c r="AA296" s="321"/>
      <c r="AB296" s="321"/>
      <c r="AC296" s="321"/>
      <c r="AD296" s="321"/>
    </row>
    <row r="297">
      <c r="A297" s="321"/>
      <c r="B297" s="321"/>
      <c r="C297" s="321"/>
      <c r="D297" s="321"/>
      <c r="E297" s="321"/>
      <c r="F297" s="321"/>
      <c r="G297" s="454"/>
      <c r="H297" s="454"/>
      <c r="I297" s="454"/>
      <c r="J297" s="454"/>
      <c r="K297" s="321"/>
      <c r="L297" s="321"/>
      <c r="M297" s="321"/>
      <c r="N297" s="321"/>
      <c r="O297" s="321"/>
      <c r="P297" s="321"/>
      <c r="Q297" s="321"/>
      <c r="R297" s="321"/>
      <c r="S297" s="321"/>
      <c r="T297" s="321"/>
      <c r="U297" s="321"/>
      <c r="V297" s="321"/>
      <c r="W297" s="321"/>
      <c r="X297" s="321"/>
      <c r="Y297" s="321"/>
      <c r="Z297" s="321"/>
      <c r="AA297" s="321"/>
      <c r="AB297" s="321"/>
      <c r="AC297" s="321"/>
      <c r="AD297" s="321"/>
    </row>
    <row r="298">
      <c r="A298" s="321"/>
      <c r="B298" s="321"/>
      <c r="C298" s="321"/>
      <c r="D298" s="321"/>
      <c r="E298" s="321"/>
      <c r="F298" s="321"/>
      <c r="G298" s="454"/>
      <c r="H298" s="454"/>
      <c r="I298" s="454"/>
      <c r="J298" s="454"/>
      <c r="K298" s="321"/>
      <c r="L298" s="321"/>
      <c r="M298" s="321"/>
      <c r="N298" s="321"/>
      <c r="O298" s="321"/>
      <c r="P298" s="321"/>
      <c r="Q298" s="321"/>
      <c r="R298" s="321"/>
      <c r="S298" s="321"/>
      <c r="T298" s="321"/>
      <c r="U298" s="321"/>
      <c r="V298" s="321"/>
      <c r="W298" s="321"/>
      <c r="X298" s="321"/>
      <c r="Y298" s="321"/>
      <c r="Z298" s="321"/>
      <c r="AA298" s="321"/>
      <c r="AB298" s="321"/>
      <c r="AC298" s="321"/>
      <c r="AD298" s="321"/>
    </row>
    <row r="299">
      <c r="A299" s="321"/>
      <c r="B299" s="321"/>
      <c r="C299" s="321"/>
      <c r="D299" s="321"/>
      <c r="E299" s="321"/>
      <c r="F299" s="321"/>
      <c r="G299" s="454"/>
      <c r="H299" s="454"/>
      <c r="I299" s="454"/>
      <c r="J299" s="454"/>
      <c r="K299" s="321"/>
      <c r="L299" s="321"/>
      <c r="M299" s="321"/>
      <c r="N299" s="321"/>
      <c r="O299" s="321"/>
      <c r="P299" s="321"/>
      <c r="Q299" s="321"/>
      <c r="R299" s="321"/>
      <c r="S299" s="321"/>
      <c r="T299" s="321"/>
      <c r="U299" s="321"/>
      <c r="V299" s="321"/>
      <c r="W299" s="321"/>
      <c r="X299" s="321"/>
      <c r="Y299" s="321"/>
      <c r="Z299" s="321"/>
      <c r="AA299" s="321"/>
      <c r="AB299" s="321"/>
      <c r="AC299" s="321"/>
      <c r="AD299" s="321"/>
    </row>
    <row r="300">
      <c r="A300" s="321"/>
      <c r="B300" s="321"/>
      <c r="C300" s="321"/>
      <c r="D300" s="321"/>
      <c r="E300" s="321"/>
      <c r="F300" s="321"/>
      <c r="G300" s="454"/>
      <c r="H300" s="454"/>
      <c r="I300" s="454"/>
      <c r="J300" s="454"/>
      <c r="K300" s="321"/>
      <c r="L300" s="321"/>
      <c r="M300" s="321"/>
      <c r="N300" s="321"/>
      <c r="O300" s="321"/>
      <c r="P300" s="321"/>
      <c r="Q300" s="321"/>
      <c r="R300" s="321"/>
      <c r="S300" s="321"/>
      <c r="T300" s="321"/>
      <c r="U300" s="321"/>
      <c r="V300" s="321"/>
      <c r="W300" s="321"/>
      <c r="X300" s="321"/>
      <c r="Y300" s="321"/>
      <c r="Z300" s="321"/>
      <c r="AA300" s="321"/>
      <c r="AB300" s="321"/>
      <c r="AC300" s="321"/>
      <c r="AD300" s="321"/>
    </row>
    <row r="301">
      <c r="A301" s="321"/>
      <c r="B301" s="321"/>
      <c r="C301" s="321"/>
      <c r="D301" s="321"/>
      <c r="E301" s="321"/>
      <c r="F301" s="321"/>
      <c r="G301" s="454"/>
      <c r="H301" s="454"/>
      <c r="I301" s="454"/>
      <c r="J301" s="454"/>
      <c r="K301" s="321"/>
      <c r="L301" s="321"/>
      <c r="M301" s="321"/>
      <c r="N301" s="321"/>
      <c r="O301" s="321"/>
      <c r="P301" s="321"/>
      <c r="Q301" s="321"/>
      <c r="R301" s="321"/>
      <c r="S301" s="321"/>
      <c r="T301" s="321"/>
      <c r="U301" s="321"/>
      <c r="V301" s="321"/>
      <c r="W301" s="321"/>
      <c r="X301" s="321"/>
      <c r="Y301" s="321"/>
      <c r="Z301" s="321"/>
      <c r="AA301" s="321"/>
      <c r="AB301" s="321"/>
      <c r="AC301" s="321"/>
      <c r="AD301" s="321"/>
    </row>
    <row r="302">
      <c r="A302" s="321"/>
      <c r="B302" s="321"/>
      <c r="C302" s="321"/>
      <c r="D302" s="321"/>
      <c r="E302" s="321"/>
      <c r="F302" s="321"/>
      <c r="G302" s="454"/>
      <c r="H302" s="454"/>
      <c r="I302" s="454"/>
      <c r="J302" s="454"/>
      <c r="K302" s="321"/>
      <c r="L302" s="321"/>
      <c r="M302" s="321"/>
      <c r="N302" s="321"/>
      <c r="O302" s="321"/>
      <c r="P302" s="321"/>
      <c r="Q302" s="321"/>
      <c r="R302" s="321"/>
      <c r="S302" s="321"/>
      <c r="T302" s="321"/>
      <c r="U302" s="321"/>
      <c r="V302" s="321"/>
      <c r="W302" s="321"/>
      <c r="X302" s="321"/>
      <c r="Y302" s="321"/>
      <c r="Z302" s="321"/>
      <c r="AA302" s="321"/>
      <c r="AB302" s="321"/>
      <c r="AC302" s="321"/>
      <c r="AD302" s="321"/>
    </row>
    <row r="303">
      <c r="A303" s="321"/>
      <c r="B303" s="321"/>
      <c r="C303" s="321"/>
      <c r="D303" s="321"/>
      <c r="E303" s="321"/>
      <c r="F303" s="321"/>
      <c r="G303" s="454"/>
      <c r="H303" s="454"/>
      <c r="I303" s="454"/>
      <c r="J303" s="454"/>
      <c r="K303" s="321"/>
      <c r="L303" s="321"/>
      <c r="M303" s="321"/>
      <c r="N303" s="321"/>
      <c r="O303" s="321"/>
      <c r="P303" s="321"/>
      <c r="Q303" s="321"/>
      <c r="R303" s="321"/>
      <c r="S303" s="321"/>
      <c r="T303" s="321"/>
      <c r="U303" s="321"/>
      <c r="V303" s="321"/>
      <c r="W303" s="321"/>
      <c r="X303" s="321"/>
      <c r="Y303" s="321"/>
      <c r="Z303" s="321"/>
      <c r="AA303" s="321"/>
      <c r="AB303" s="321"/>
      <c r="AC303" s="321"/>
      <c r="AD303" s="321"/>
    </row>
    <row r="304">
      <c r="A304" s="321"/>
      <c r="B304" s="321"/>
      <c r="C304" s="321"/>
      <c r="D304" s="321"/>
      <c r="E304" s="321"/>
      <c r="F304" s="321"/>
      <c r="G304" s="454"/>
      <c r="H304" s="454"/>
      <c r="I304" s="454"/>
      <c r="J304" s="454"/>
      <c r="K304" s="321"/>
      <c r="L304" s="321"/>
      <c r="M304" s="321"/>
      <c r="N304" s="321"/>
      <c r="O304" s="321"/>
      <c r="P304" s="321"/>
      <c r="Q304" s="321"/>
      <c r="R304" s="321"/>
      <c r="S304" s="321"/>
      <c r="T304" s="321"/>
      <c r="U304" s="321"/>
      <c r="V304" s="321"/>
      <c r="W304" s="321"/>
      <c r="X304" s="321"/>
      <c r="Y304" s="321"/>
      <c r="Z304" s="321"/>
      <c r="AA304" s="321"/>
      <c r="AB304" s="321"/>
      <c r="AC304" s="321"/>
      <c r="AD304" s="321"/>
    </row>
    <row r="305">
      <c r="A305" s="321"/>
      <c r="B305" s="321"/>
      <c r="C305" s="321"/>
      <c r="D305" s="321"/>
      <c r="E305" s="321"/>
      <c r="F305" s="321"/>
      <c r="G305" s="454"/>
      <c r="H305" s="454"/>
      <c r="I305" s="454"/>
      <c r="J305" s="454"/>
      <c r="K305" s="321"/>
      <c r="L305" s="321"/>
      <c r="M305" s="321"/>
      <c r="N305" s="321"/>
      <c r="O305" s="321"/>
      <c r="P305" s="321"/>
      <c r="Q305" s="321"/>
      <c r="R305" s="321"/>
      <c r="S305" s="321"/>
      <c r="T305" s="321"/>
      <c r="U305" s="321"/>
      <c r="V305" s="321"/>
      <c r="W305" s="321"/>
      <c r="X305" s="321"/>
      <c r="Y305" s="321"/>
      <c r="Z305" s="321"/>
      <c r="AA305" s="321"/>
      <c r="AB305" s="321"/>
      <c r="AC305" s="321"/>
      <c r="AD305" s="321"/>
    </row>
    <row r="306">
      <c r="A306" s="321"/>
      <c r="B306" s="321"/>
      <c r="C306" s="321"/>
      <c r="D306" s="321"/>
      <c r="E306" s="321"/>
      <c r="F306" s="321"/>
      <c r="G306" s="454"/>
      <c r="H306" s="454"/>
      <c r="I306" s="454"/>
      <c r="J306" s="454"/>
      <c r="K306" s="321"/>
      <c r="L306" s="321"/>
      <c r="M306" s="321"/>
      <c r="N306" s="321"/>
      <c r="O306" s="321"/>
      <c r="P306" s="321"/>
      <c r="Q306" s="321"/>
      <c r="R306" s="321"/>
      <c r="S306" s="321"/>
      <c r="T306" s="321"/>
      <c r="U306" s="321"/>
      <c r="V306" s="321"/>
      <c r="W306" s="321"/>
      <c r="X306" s="321"/>
      <c r="Y306" s="321"/>
      <c r="Z306" s="321"/>
      <c r="AA306" s="321"/>
      <c r="AB306" s="321"/>
      <c r="AC306" s="321"/>
      <c r="AD306" s="321"/>
    </row>
    <row r="307">
      <c r="A307" s="321"/>
      <c r="B307" s="321"/>
      <c r="C307" s="321"/>
      <c r="D307" s="321"/>
      <c r="E307" s="321"/>
      <c r="F307" s="321"/>
      <c r="G307" s="454"/>
      <c r="H307" s="454"/>
      <c r="I307" s="454"/>
      <c r="J307" s="454"/>
      <c r="K307" s="321"/>
      <c r="L307" s="321"/>
      <c r="M307" s="321"/>
      <c r="N307" s="321"/>
      <c r="O307" s="321"/>
      <c r="P307" s="321"/>
      <c r="Q307" s="321"/>
      <c r="R307" s="321"/>
      <c r="S307" s="321"/>
      <c r="T307" s="321"/>
      <c r="U307" s="321"/>
      <c r="V307" s="321"/>
      <c r="W307" s="321"/>
      <c r="X307" s="321"/>
      <c r="Y307" s="321"/>
      <c r="Z307" s="321"/>
      <c r="AA307" s="321"/>
      <c r="AB307" s="321"/>
      <c r="AC307" s="321"/>
      <c r="AD307" s="321"/>
    </row>
    <row r="308">
      <c r="A308" s="321"/>
      <c r="B308" s="321"/>
      <c r="C308" s="321"/>
      <c r="D308" s="321"/>
      <c r="E308" s="321"/>
      <c r="F308" s="321"/>
      <c r="G308" s="454"/>
      <c r="H308" s="454"/>
      <c r="I308" s="454"/>
      <c r="J308" s="454"/>
      <c r="K308" s="321"/>
      <c r="L308" s="321"/>
      <c r="M308" s="321"/>
      <c r="N308" s="321"/>
      <c r="O308" s="321"/>
      <c r="P308" s="321"/>
      <c r="Q308" s="321"/>
      <c r="R308" s="321"/>
      <c r="S308" s="321"/>
      <c r="T308" s="321"/>
      <c r="U308" s="321"/>
      <c r="V308" s="321"/>
      <c r="W308" s="321"/>
      <c r="X308" s="321"/>
      <c r="Y308" s="321"/>
      <c r="Z308" s="321"/>
      <c r="AA308" s="321"/>
      <c r="AB308" s="321"/>
      <c r="AC308" s="321"/>
      <c r="AD308" s="321"/>
    </row>
    <row r="309">
      <c r="A309" s="321"/>
      <c r="B309" s="321"/>
      <c r="C309" s="321"/>
      <c r="D309" s="321"/>
      <c r="E309" s="321"/>
      <c r="F309" s="321"/>
      <c r="G309" s="454"/>
      <c r="H309" s="454"/>
      <c r="I309" s="454"/>
      <c r="J309" s="454"/>
      <c r="K309" s="321"/>
      <c r="L309" s="321"/>
      <c r="M309" s="321"/>
      <c r="N309" s="321"/>
      <c r="O309" s="321"/>
      <c r="P309" s="321"/>
      <c r="Q309" s="321"/>
      <c r="R309" s="321"/>
      <c r="S309" s="321"/>
      <c r="T309" s="321"/>
      <c r="U309" s="321"/>
      <c r="V309" s="321"/>
      <c r="W309" s="321"/>
      <c r="X309" s="321"/>
      <c r="Y309" s="321"/>
      <c r="Z309" s="321"/>
      <c r="AA309" s="321"/>
      <c r="AB309" s="321"/>
      <c r="AC309" s="321"/>
      <c r="AD309" s="321"/>
    </row>
    <row r="310">
      <c r="A310" s="321"/>
      <c r="B310" s="321"/>
      <c r="C310" s="321"/>
      <c r="D310" s="321"/>
      <c r="E310" s="321"/>
      <c r="F310" s="321"/>
      <c r="G310" s="454"/>
      <c r="H310" s="454"/>
      <c r="I310" s="454"/>
      <c r="J310" s="454"/>
      <c r="K310" s="321"/>
      <c r="L310" s="321"/>
      <c r="M310" s="321"/>
      <c r="N310" s="321"/>
      <c r="O310" s="321"/>
      <c r="P310" s="321"/>
      <c r="Q310" s="321"/>
      <c r="R310" s="321"/>
      <c r="S310" s="321"/>
      <c r="T310" s="321"/>
      <c r="U310" s="321"/>
      <c r="V310" s="321"/>
      <c r="W310" s="321"/>
      <c r="X310" s="321"/>
      <c r="Y310" s="321"/>
      <c r="Z310" s="321"/>
      <c r="AA310" s="321"/>
      <c r="AB310" s="321"/>
      <c r="AC310" s="321"/>
      <c r="AD310" s="321"/>
    </row>
    <row r="311">
      <c r="A311" s="321"/>
      <c r="B311" s="321"/>
      <c r="C311" s="321"/>
      <c r="D311" s="321"/>
      <c r="E311" s="321"/>
      <c r="F311" s="321"/>
      <c r="G311" s="454"/>
      <c r="H311" s="454"/>
      <c r="I311" s="454"/>
      <c r="J311" s="454"/>
      <c r="K311" s="321"/>
      <c r="L311" s="321"/>
      <c r="M311" s="321"/>
      <c r="N311" s="321"/>
      <c r="O311" s="321"/>
      <c r="P311" s="321"/>
      <c r="Q311" s="321"/>
      <c r="R311" s="321"/>
      <c r="S311" s="321"/>
      <c r="T311" s="321"/>
      <c r="U311" s="321"/>
      <c r="V311" s="321"/>
      <c r="W311" s="321"/>
      <c r="X311" s="321"/>
      <c r="Y311" s="321"/>
      <c r="Z311" s="321"/>
      <c r="AA311" s="321"/>
      <c r="AB311" s="321"/>
      <c r="AC311" s="321"/>
      <c r="AD311" s="321"/>
    </row>
    <row r="312">
      <c r="A312" s="321"/>
      <c r="B312" s="321"/>
      <c r="C312" s="321"/>
      <c r="D312" s="321"/>
      <c r="E312" s="321"/>
      <c r="F312" s="321"/>
      <c r="G312" s="454"/>
      <c r="H312" s="454"/>
      <c r="I312" s="454"/>
      <c r="J312" s="454"/>
      <c r="K312" s="321"/>
      <c r="L312" s="321"/>
      <c r="M312" s="321"/>
      <c r="N312" s="321"/>
      <c r="O312" s="321"/>
      <c r="P312" s="321"/>
      <c r="Q312" s="321"/>
      <c r="R312" s="321"/>
      <c r="S312" s="321"/>
      <c r="T312" s="321"/>
      <c r="U312" s="321"/>
      <c r="V312" s="321"/>
      <c r="W312" s="321"/>
      <c r="X312" s="321"/>
      <c r="Y312" s="321"/>
      <c r="Z312" s="321"/>
      <c r="AA312" s="321"/>
      <c r="AB312" s="321"/>
      <c r="AC312" s="321"/>
      <c r="AD312" s="321"/>
    </row>
    <row r="313">
      <c r="A313" s="321"/>
      <c r="B313" s="321"/>
      <c r="C313" s="321"/>
      <c r="D313" s="321"/>
      <c r="E313" s="321"/>
      <c r="F313" s="321"/>
      <c r="G313" s="454"/>
      <c r="H313" s="454"/>
      <c r="I313" s="454"/>
      <c r="J313" s="454"/>
      <c r="K313" s="321"/>
      <c r="L313" s="321"/>
      <c r="M313" s="321"/>
      <c r="N313" s="321"/>
      <c r="O313" s="321"/>
      <c r="P313" s="321"/>
      <c r="Q313" s="321"/>
      <c r="R313" s="321"/>
      <c r="S313" s="321"/>
      <c r="T313" s="321"/>
      <c r="U313" s="321"/>
      <c r="V313" s="321"/>
      <c r="W313" s="321"/>
      <c r="X313" s="321"/>
      <c r="Y313" s="321"/>
      <c r="Z313" s="321"/>
      <c r="AA313" s="321"/>
      <c r="AB313" s="321"/>
      <c r="AC313" s="321"/>
      <c r="AD313" s="321"/>
    </row>
    <row r="314">
      <c r="A314" s="321"/>
      <c r="B314" s="321"/>
      <c r="C314" s="321"/>
      <c r="D314" s="321"/>
      <c r="E314" s="321"/>
      <c r="F314" s="321"/>
      <c r="G314" s="454"/>
      <c r="H314" s="454"/>
      <c r="I314" s="454"/>
      <c r="J314" s="454"/>
      <c r="K314" s="321"/>
      <c r="L314" s="321"/>
      <c r="M314" s="321"/>
      <c r="N314" s="321"/>
      <c r="O314" s="321"/>
      <c r="P314" s="321"/>
      <c r="Q314" s="321"/>
      <c r="R314" s="321"/>
      <c r="S314" s="321"/>
      <c r="T314" s="321"/>
      <c r="U314" s="321"/>
      <c r="V314" s="321"/>
      <c r="W314" s="321"/>
      <c r="X314" s="321"/>
      <c r="Y314" s="321"/>
      <c r="Z314" s="321"/>
      <c r="AA314" s="321"/>
      <c r="AB314" s="321"/>
      <c r="AC314" s="321"/>
      <c r="AD314" s="321"/>
    </row>
    <row r="315">
      <c r="A315" s="321"/>
      <c r="B315" s="321"/>
      <c r="C315" s="321"/>
      <c r="D315" s="321"/>
      <c r="E315" s="321"/>
      <c r="F315" s="321"/>
      <c r="G315" s="454"/>
      <c r="H315" s="454"/>
      <c r="I315" s="454"/>
      <c r="J315" s="454"/>
      <c r="K315" s="321"/>
      <c r="L315" s="321"/>
      <c r="M315" s="321"/>
      <c r="N315" s="321"/>
      <c r="O315" s="321"/>
      <c r="P315" s="321"/>
      <c r="Q315" s="321"/>
      <c r="R315" s="321"/>
      <c r="S315" s="321"/>
      <c r="T315" s="321"/>
      <c r="U315" s="321"/>
      <c r="V315" s="321"/>
      <c r="W315" s="321"/>
      <c r="X315" s="321"/>
      <c r="Y315" s="321"/>
      <c r="Z315" s="321"/>
      <c r="AA315" s="321"/>
      <c r="AB315" s="321"/>
      <c r="AC315" s="321"/>
      <c r="AD315" s="321"/>
    </row>
    <row r="316">
      <c r="A316" s="321"/>
      <c r="B316" s="321"/>
      <c r="C316" s="321"/>
      <c r="D316" s="321"/>
      <c r="E316" s="321"/>
      <c r="F316" s="321"/>
      <c r="G316" s="454"/>
      <c r="H316" s="454"/>
      <c r="I316" s="454"/>
      <c r="J316" s="454"/>
      <c r="K316" s="321"/>
      <c r="L316" s="321"/>
      <c r="M316" s="321"/>
      <c r="N316" s="321"/>
      <c r="O316" s="321"/>
      <c r="P316" s="321"/>
      <c r="Q316" s="321"/>
      <c r="R316" s="321"/>
      <c r="S316" s="321"/>
      <c r="T316" s="321"/>
      <c r="U316" s="321"/>
      <c r="V316" s="321"/>
      <c r="W316" s="321"/>
      <c r="X316" s="321"/>
      <c r="Y316" s="321"/>
      <c r="Z316" s="321"/>
      <c r="AA316" s="321"/>
      <c r="AB316" s="321"/>
      <c r="AC316" s="321"/>
      <c r="AD316" s="321"/>
    </row>
    <row r="317">
      <c r="A317" s="321"/>
      <c r="B317" s="321"/>
      <c r="C317" s="321"/>
      <c r="D317" s="321"/>
      <c r="E317" s="321"/>
      <c r="F317" s="321"/>
      <c r="G317" s="454"/>
      <c r="H317" s="454"/>
      <c r="I317" s="454"/>
      <c r="J317" s="454"/>
      <c r="K317" s="321"/>
      <c r="L317" s="321"/>
      <c r="M317" s="321"/>
      <c r="N317" s="321"/>
      <c r="O317" s="321"/>
      <c r="P317" s="321"/>
      <c r="Q317" s="321"/>
      <c r="R317" s="321"/>
      <c r="S317" s="321"/>
      <c r="T317" s="321"/>
      <c r="U317" s="321"/>
      <c r="V317" s="321"/>
      <c r="W317" s="321"/>
      <c r="X317" s="321"/>
      <c r="Y317" s="321"/>
      <c r="Z317" s="321"/>
      <c r="AA317" s="321"/>
      <c r="AB317" s="321"/>
      <c r="AC317" s="321"/>
      <c r="AD317" s="321"/>
    </row>
    <row r="318">
      <c r="A318" s="321"/>
      <c r="B318" s="321"/>
      <c r="C318" s="321"/>
      <c r="D318" s="321"/>
      <c r="E318" s="321"/>
      <c r="F318" s="321"/>
      <c r="G318" s="454"/>
      <c r="H318" s="454"/>
      <c r="I318" s="454"/>
      <c r="J318" s="454"/>
      <c r="K318" s="321"/>
      <c r="L318" s="321"/>
      <c r="M318" s="321"/>
      <c r="N318" s="321"/>
      <c r="O318" s="321"/>
      <c r="P318" s="321"/>
      <c r="Q318" s="321"/>
      <c r="R318" s="321"/>
      <c r="S318" s="321"/>
      <c r="T318" s="321"/>
      <c r="U318" s="321"/>
      <c r="V318" s="321"/>
      <c r="W318" s="321"/>
      <c r="X318" s="321"/>
      <c r="Y318" s="321"/>
      <c r="Z318" s="321"/>
      <c r="AA318" s="321"/>
      <c r="AB318" s="321"/>
      <c r="AC318" s="321"/>
      <c r="AD318" s="321"/>
    </row>
    <row r="319">
      <c r="A319" s="321"/>
      <c r="B319" s="321"/>
      <c r="C319" s="321"/>
      <c r="D319" s="321"/>
      <c r="E319" s="321"/>
      <c r="F319" s="321"/>
      <c r="G319" s="454"/>
      <c r="H319" s="454"/>
      <c r="I319" s="454"/>
      <c r="J319" s="454"/>
      <c r="K319" s="321"/>
      <c r="L319" s="321"/>
      <c r="M319" s="321"/>
      <c r="N319" s="321"/>
      <c r="O319" s="321"/>
      <c r="P319" s="321"/>
      <c r="Q319" s="321"/>
      <c r="R319" s="321"/>
      <c r="S319" s="321"/>
      <c r="T319" s="321"/>
      <c r="U319" s="321"/>
      <c r="V319" s="321"/>
      <c r="W319" s="321"/>
      <c r="X319" s="321"/>
      <c r="Y319" s="321"/>
      <c r="Z319" s="321"/>
      <c r="AA319" s="321"/>
      <c r="AB319" s="321"/>
      <c r="AC319" s="321"/>
      <c r="AD319" s="321"/>
    </row>
    <row r="320">
      <c r="A320" s="321"/>
      <c r="B320" s="321"/>
      <c r="C320" s="321"/>
      <c r="D320" s="321"/>
      <c r="E320" s="321"/>
      <c r="F320" s="321"/>
      <c r="G320" s="454"/>
      <c r="H320" s="454"/>
      <c r="I320" s="454"/>
      <c r="J320" s="454"/>
      <c r="K320" s="321"/>
      <c r="L320" s="321"/>
      <c r="M320" s="321"/>
      <c r="N320" s="321"/>
      <c r="O320" s="321"/>
      <c r="P320" s="321"/>
      <c r="Q320" s="321"/>
      <c r="R320" s="321"/>
      <c r="S320" s="321"/>
      <c r="T320" s="321"/>
      <c r="U320" s="321"/>
      <c r="V320" s="321"/>
      <c r="W320" s="321"/>
      <c r="X320" s="321"/>
      <c r="Y320" s="321"/>
      <c r="Z320" s="321"/>
      <c r="AA320" s="321"/>
      <c r="AB320" s="321"/>
      <c r="AC320" s="321"/>
      <c r="AD320" s="321"/>
    </row>
    <row r="321">
      <c r="A321" s="321"/>
      <c r="B321" s="321"/>
      <c r="C321" s="321"/>
      <c r="D321" s="321"/>
      <c r="E321" s="321"/>
      <c r="F321" s="321"/>
      <c r="G321" s="454"/>
      <c r="H321" s="454"/>
      <c r="I321" s="454"/>
      <c r="J321" s="454"/>
      <c r="K321" s="321"/>
      <c r="L321" s="321"/>
      <c r="M321" s="321"/>
      <c r="N321" s="321"/>
      <c r="O321" s="321"/>
      <c r="P321" s="321"/>
      <c r="Q321" s="321"/>
      <c r="R321" s="321"/>
      <c r="S321" s="321"/>
      <c r="T321" s="321"/>
      <c r="U321" s="321"/>
      <c r="V321" s="321"/>
      <c r="W321" s="321"/>
      <c r="X321" s="321"/>
      <c r="Y321" s="321"/>
      <c r="Z321" s="321"/>
      <c r="AA321" s="321"/>
      <c r="AB321" s="321"/>
      <c r="AC321" s="321"/>
      <c r="AD321" s="321"/>
    </row>
    <row r="322">
      <c r="A322" s="321"/>
      <c r="B322" s="321"/>
      <c r="C322" s="321"/>
      <c r="D322" s="321"/>
      <c r="E322" s="321"/>
      <c r="F322" s="321"/>
      <c r="G322" s="454"/>
      <c r="H322" s="454"/>
      <c r="I322" s="454"/>
      <c r="J322" s="454"/>
      <c r="K322" s="321"/>
      <c r="L322" s="321"/>
      <c r="M322" s="321"/>
      <c r="N322" s="321"/>
      <c r="O322" s="321"/>
      <c r="P322" s="321"/>
      <c r="Q322" s="321"/>
      <c r="R322" s="321"/>
      <c r="S322" s="321"/>
      <c r="T322" s="321"/>
      <c r="U322" s="321"/>
      <c r="V322" s="321"/>
      <c r="W322" s="321"/>
      <c r="X322" s="321"/>
      <c r="Y322" s="321"/>
      <c r="Z322" s="321"/>
      <c r="AA322" s="321"/>
      <c r="AB322" s="321"/>
      <c r="AC322" s="321"/>
      <c r="AD322" s="321"/>
    </row>
    <row r="323">
      <c r="A323" s="321"/>
      <c r="B323" s="321"/>
      <c r="C323" s="321"/>
      <c r="D323" s="321"/>
      <c r="E323" s="321"/>
      <c r="F323" s="321"/>
      <c r="G323" s="454"/>
      <c r="H323" s="454"/>
      <c r="I323" s="454"/>
      <c r="J323" s="454"/>
      <c r="K323" s="321"/>
      <c r="L323" s="321"/>
      <c r="M323" s="321"/>
      <c r="N323" s="321"/>
      <c r="O323" s="321"/>
      <c r="P323" s="321"/>
      <c r="Q323" s="321"/>
      <c r="R323" s="321"/>
      <c r="S323" s="321"/>
      <c r="T323" s="321"/>
      <c r="U323" s="321"/>
      <c r="V323" s="321"/>
      <c r="W323" s="321"/>
      <c r="X323" s="321"/>
      <c r="Y323" s="321"/>
      <c r="Z323" s="321"/>
      <c r="AA323" s="321"/>
      <c r="AB323" s="321"/>
      <c r="AC323" s="321"/>
      <c r="AD323" s="321"/>
    </row>
    <row r="324">
      <c r="A324" s="321"/>
      <c r="B324" s="321"/>
      <c r="C324" s="321"/>
      <c r="D324" s="321"/>
      <c r="E324" s="321"/>
      <c r="F324" s="321"/>
      <c r="G324" s="454"/>
      <c r="H324" s="454"/>
      <c r="I324" s="454"/>
      <c r="J324" s="454"/>
      <c r="K324" s="321"/>
      <c r="L324" s="321"/>
      <c r="M324" s="321"/>
      <c r="N324" s="321"/>
      <c r="O324" s="321"/>
      <c r="P324" s="321"/>
      <c r="Q324" s="321"/>
      <c r="R324" s="321"/>
      <c r="S324" s="321"/>
      <c r="T324" s="321"/>
      <c r="U324" s="321"/>
      <c r="V324" s="321"/>
      <c r="W324" s="321"/>
      <c r="X324" s="321"/>
      <c r="Y324" s="321"/>
      <c r="Z324" s="321"/>
      <c r="AA324" s="321"/>
      <c r="AB324" s="321"/>
      <c r="AC324" s="321"/>
      <c r="AD324" s="321"/>
    </row>
    <row r="325">
      <c r="A325" s="321"/>
      <c r="B325" s="321"/>
      <c r="C325" s="321"/>
      <c r="D325" s="321"/>
      <c r="E325" s="321"/>
      <c r="F325" s="321"/>
      <c r="G325" s="454"/>
      <c r="H325" s="454"/>
      <c r="I325" s="454"/>
      <c r="J325" s="454"/>
      <c r="K325" s="321"/>
      <c r="L325" s="321"/>
      <c r="M325" s="321"/>
      <c r="N325" s="321"/>
      <c r="O325" s="321"/>
      <c r="P325" s="321"/>
      <c r="Q325" s="321"/>
      <c r="R325" s="321"/>
      <c r="S325" s="321"/>
      <c r="T325" s="321"/>
      <c r="U325" s="321"/>
      <c r="V325" s="321"/>
      <c r="W325" s="321"/>
      <c r="X325" s="321"/>
      <c r="Y325" s="321"/>
      <c r="Z325" s="321"/>
      <c r="AA325" s="321"/>
      <c r="AB325" s="321"/>
      <c r="AC325" s="321"/>
      <c r="AD325" s="321"/>
    </row>
    <row r="326">
      <c r="A326" s="321"/>
      <c r="B326" s="321"/>
      <c r="C326" s="321"/>
      <c r="D326" s="321"/>
      <c r="E326" s="321"/>
      <c r="F326" s="321"/>
      <c r="G326" s="454"/>
      <c r="H326" s="454"/>
      <c r="I326" s="454"/>
      <c r="J326" s="454"/>
      <c r="K326" s="321"/>
      <c r="L326" s="321"/>
      <c r="M326" s="321"/>
      <c r="N326" s="321"/>
      <c r="O326" s="321"/>
      <c r="P326" s="321"/>
      <c r="Q326" s="321"/>
      <c r="R326" s="321"/>
      <c r="S326" s="321"/>
      <c r="T326" s="321"/>
      <c r="U326" s="321"/>
      <c r="V326" s="321"/>
      <c r="W326" s="321"/>
      <c r="X326" s="321"/>
      <c r="Y326" s="321"/>
      <c r="Z326" s="321"/>
      <c r="AA326" s="321"/>
      <c r="AB326" s="321"/>
      <c r="AC326" s="321"/>
      <c r="AD326" s="321"/>
    </row>
    <row r="327">
      <c r="A327" s="321"/>
      <c r="B327" s="321"/>
      <c r="C327" s="321"/>
      <c r="D327" s="321"/>
      <c r="E327" s="321"/>
      <c r="F327" s="321"/>
      <c r="G327" s="454"/>
      <c r="H327" s="454"/>
      <c r="I327" s="454"/>
      <c r="J327" s="454"/>
      <c r="K327" s="321"/>
      <c r="L327" s="321"/>
      <c r="M327" s="321"/>
      <c r="N327" s="321"/>
      <c r="O327" s="321"/>
      <c r="P327" s="321"/>
      <c r="Q327" s="321"/>
      <c r="R327" s="321"/>
      <c r="S327" s="321"/>
      <c r="T327" s="321"/>
      <c r="U327" s="321"/>
      <c r="V327" s="321"/>
      <c r="W327" s="321"/>
      <c r="X327" s="321"/>
      <c r="Y327" s="321"/>
      <c r="Z327" s="321"/>
      <c r="AA327" s="321"/>
      <c r="AB327" s="321"/>
      <c r="AC327" s="321"/>
      <c r="AD327" s="321"/>
    </row>
    <row r="328">
      <c r="A328" s="321"/>
      <c r="B328" s="321"/>
      <c r="C328" s="321"/>
      <c r="D328" s="321"/>
      <c r="E328" s="321"/>
      <c r="F328" s="321"/>
      <c r="G328" s="454"/>
      <c r="H328" s="454"/>
      <c r="I328" s="454"/>
      <c r="J328" s="454"/>
      <c r="K328" s="321"/>
      <c r="L328" s="321"/>
      <c r="M328" s="321"/>
      <c r="N328" s="321"/>
      <c r="O328" s="321"/>
      <c r="P328" s="321"/>
      <c r="Q328" s="321"/>
      <c r="R328" s="321"/>
      <c r="S328" s="321"/>
      <c r="T328" s="321"/>
      <c r="U328" s="321"/>
      <c r="V328" s="321"/>
      <c r="W328" s="321"/>
      <c r="X328" s="321"/>
      <c r="Y328" s="321"/>
      <c r="Z328" s="321"/>
      <c r="AA328" s="321"/>
      <c r="AB328" s="321"/>
      <c r="AC328" s="321"/>
      <c r="AD328" s="321"/>
    </row>
    <row r="329">
      <c r="A329" s="321"/>
      <c r="B329" s="321"/>
      <c r="C329" s="321"/>
      <c r="D329" s="321"/>
      <c r="E329" s="321"/>
      <c r="F329" s="321"/>
      <c r="G329" s="454"/>
      <c r="H329" s="454"/>
      <c r="I329" s="454"/>
      <c r="J329" s="454"/>
      <c r="K329" s="321"/>
      <c r="L329" s="321"/>
      <c r="M329" s="321"/>
      <c r="N329" s="321"/>
      <c r="O329" s="321"/>
      <c r="P329" s="321"/>
      <c r="Q329" s="321"/>
      <c r="R329" s="321"/>
      <c r="S329" s="321"/>
      <c r="T329" s="321"/>
      <c r="U329" s="321"/>
      <c r="V329" s="321"/>
      <c r="W329" s="321"/>
      <c r="X329" s="321"/>
      <c r="Y329" s="321"/>
      <c r="Z329" s="321"/>
      <c r="AA329" s="321"/>
      <c r="AB329" s="321"/>
      <c r="AC329" s="321"/>
      <c r="AD329" s="321"/>
    </row>
    <row r="330">
      <c r="A330" s="321"/>
      <c r="B330" s="321"/>
      <c r="C330" s="321"/>
      <c r="D330" s="321"/>
      <c r="E330" s="321"/>
      <c r="F330" s="321"/>
      <c r="G330" s="454"/>
      <c r="H330" s="454"/>
      <c r="I330" s="454"/>
      <c r="J330" s="454"/>
      <c r="K330" s="321"/>
      <c r="L330" s="321"/>
      <c r="M330" s="321"/>
      <c r="N330" s="321"/>
      <c r="O330" s="321"/>
      <c r="P330" s="321"/>
      <c r="Q330" s="321"/>
      <c r="R330" s="321"/>
      <c r="S330" s="321"/>
      <c r="T330" s="321"/>
      <c r="U330" s="321"/>
      <c r="V330" s="321"/>
      <c r="W330" s="321"/>
      <c r="X330" s="321"/>
      <c r="Y330" s="321"/>
      <c r="Z330" s="321"/>
      <c r="AA330" s="321"/>
      <c r="AB330" s="321"/>
      <c r="AC330" s="321"/>
      <c r="AD330" s="321"/>
    </row>
    <row r="331">
      <c r="A331" s="321"/>
      <c r="B331" s="321"/>
      <c r="C331" s="321"/>
      <c r="D331" s="321"/>
      <c r="E331" s="321"/>
      <c r="F331" s="321"/>
      <c r="G331" s="454"/>
      <c r="H331" s="454"/>
      <c r="I331" s="454"/>
      <c r="J331" s="454"/>
      <c r="K331" s="321"/>
      <c r="L331" s="321"/>
      <c r="M331" s="321"/>
      <c r="N331" s="321"/>
      <c r="O331" s="321"/>
      <c r="P331" s="321"/>
      <c r="Q331" s="321"/>
      <c r="R331" s="321"/>
      <c r="S331" s="321"/>
      <c r="T331" s="321"/>
      <c r="U331" s="321"/>
      <c r="V331" s="321"/>
      <c r="W331" s="321"/>
      <c r="X331" s="321"/>
      <c r="Y331" s="321"/>
      <c r="Z331" s="321"/>
      <c r="AA331" s="321"/>
      <c r="AB331" s="321"/>
      <c r="AC331" s="321"/>
      <c r="AD331" s="321"/>
    </row>
    <row r="332">
      <c r="A332" s="321"/>
      <c r="B332" s="321"/>
      <c r="C332" s="321"/>
      <c r="D332" s="321"/>
      <c r="E332" s="321"/>
      <c r="F332" s="321"/>
      <c r="G332" s="454"/>
      <c r="H332" s="454"/>
      <c r="I332" s="454"/>
      <c r="J332" s="454"/>
      <c r="K332" s="321"/>
      <c r="L332" s="321"/>
      <c r="M332" s="321"/>
      <c r="N332" s="321"/>
      <c r="O332" s="321"/>
      <c r="P332" s="321"/>
      <c r="Q332" s="321"/>
      <c r="R332" s="321"/>
      <c r="S332" s="321"/>
      <c r="T332" s="321"/>
      <c r="U332" s="321"/>
      <c r="V332" s="321"/>
      <c r="W332" s="321"/>
      <c r="X332" s="321"/>
      <c r="Y332" s="321"/>
      <c r="Z332" s="321"/>
      <c r="AA332" s="321"/>
      <c r="AB332" s="321"/>
      <c r="AC332" s="321"/>
      <c r="AD332" s="321"/>
    </row>
    <row r="333">
      <c r="A333" s="321"/>
      <c r="B333" s="321"/>
      <c r="C333" s="321"/>
      <c r="D333" s="321"/>
      <c r="E333" s="321"/>
      <c r="F333" s="321"/>
      <c r="G333" s="454"/>
      <c r="H333" s="454"/>
      <c r="I333" s="454"/>
      <c r="J333" s="454"/>
      <c r="K333" s="321"/>
      <c r="L333" s="321"/>
      <c r="M333" s="321"/>
      <c r="N333" s="321"/>
      <c r="O333" s="321"/>
      <c r="P333" s="321"/>
      <c r="Q333" s="321"/>
      <c r="R333" s="321"/>
      <c r="S333" s="321"/>
      <c r="T333" s="321"/>
      <c r="U333" s="321"/>
      <c r="V333" s="321"/>
      <c r="W333" s="321"/>
      <c r="X333" s="321"/>
      <c r="Y333" s="321"/>
      <c r="Z333" s="321"/>
      <c r="AA333" s="321"/>
      <c r="AB333" s="321"/>
      <c r="AC333" s="321"/>
      <c r="AD333" s="321"/>
    </row>
    <row r="334">
      <c r="A334" s="321"/>
      <c r="B334" s="321"/>
      <c r="C334" s="321"/>
      <c r="D334" s="321"/>
      <c r="E334" s="321"/>
      <c r="F334" s="321"/>
      <c r="G334" s="454"/>
      <c r="H334" s="454"/>
      <c r="I334" s="454"/>
      <c r="J334" s="454"/>
      <c r="K334" s="321"/>
      <c r="L334" s="321"/>
      <c r="M334" s="321"/>
      <c r="N334" s="321"/>
      <c r="O334" s="321"/>
      <c r="P334" s="321"/>
      <c r="Q334" s="321"/>
      <c r="R334" s="321"/>
      <c r="S334" s="321"/>
      <c r="T334" s="321"/>
      <c r="U334" s="321"/>
      <c r="V334" s="321"/>
      <c r="W334" s="321"/>
      <c r="X334" s="321"/>
      <c r="Y334" s="321"/>
      <c r="Z334" s="321"/>
      <c r="AA334" s="321"/>
      <c r="AB334" s="321"/>
      <c r="AC334" s="321"/>
      <c r="AD334" s="321"/>
    </row>
    <row r="335">
      <c r="A335" s="321"/>
      <c r="B335" s="321"/>
      <c r="C335" s="321"/>
      <c r="D335" s="321"/>
      <c r="E335" s="321"/>
      <c r="F335" s="321"/>
      <c r="G335" s="454"/>
      <c r="H335" s="454"/>
      <c r="I335" s="454"/>
      <c r="J335" s="454"/>
      <c r="K335" s="321"/>
      <c r="L335" s="321"/>
      <c r="M335" s="321"/>
      <c r="N335" s="321"/>
      <c r="O335" s="321"/>
      <c r="P335" s="321"/>
      <c r="Q335" s="321"/>
      <c r="R335" s="321"/>
      <c r="S335" s="321"/>
      <c r="T335" s="321"/>
      <c r="U335" s="321"/>
      <c r="V335" s="321"/>
      <c r="W335" s="321"/>
      <c r="X335" s="321"/>
      <c r="Y335" s="321"/>
      <c r="Z335" s="321"/>
      <c r="AA335" s="321"/>
      <c r="AB335" s="321"/>
      <c r="AC335" s="321"/>
      <c r="AD335" s="321"/>
    </row>
    <row r="336">
      <c r="A336" s="321"/>
      <c r="B336" s="321"/>
      <c r="C336" s="321"/>
      <c r="D336" s="321"/>
      <c r="E336" s="321"/>
      <c r="F336" s="321"/>
      <c r="G336" s="454"/>
      <c r="H336" s="454"/>
      <c r="I336" s="454"/>
      <c r="J336" s="454"/>
      <c r="K336" s="321"/>
      <c r="L336" s="321"/>
      <c r="M336" s="321"/>
      <c r="N336" s="321"/>
      <c r="O336" s="321"/>
      <c r="P336" s="321"/>
      <c r="Q336" s="321"/>
      <c r="R336" s="321"/>
      <c r="S336" s="321"/>
      <c r="T336" s="321"/>
      <c r="U336" s="321"/>
      <c r="V336" s="321"/>
      <c r="W336" s="321"/>
      <c r="X336" s="321"/>
      <c r="Y336" s="321"/>
      <c r="Z336" s="321"/>
      <c r="AA336" s="321"/>
      <c r="AB336" s="321"/>
      <c r="AC336" s="321"/>
      <c r="AD336" s="321"/>
    </row>
    <row r="337">
      <c r="A337" s="321"/>
      <c r="B337" s="321"/>
      <c r="C337" s="321"/>
      <c r="D337" s="321"/>
      <c r="E337" s="321"/>
      <c r="F337" s="321"/>
      <c r="G337" s="454"/>
      <c r="H337" s="454"/>
      <c r="I337" s="454"/>
      <c r="J337" s="454"/>
      <c r="K337" s="321"/>
      <c r="L337" s="321"/>
      <c r="M337" s="321"/>
      <c r="N337" s="321"/>
      <c r="O337" s="321"/>
      <c r="P337" s="321"/>
      <c r="Q337" s="321"/>
      <c r="R337" s="321"/>
      <c r="S337" s="321"/>
      <c r="T337" s="321"/>
      <c r="U337" s="321"/>
      <c r="V337" s="321"/>
      <c r="W337" s="321"/>
      <c r="X337" s="321"/>
      <c r="Y337" s="321"/>
      <c r="Z337" s="321"/>
      <c r="AA337" s="321"/>
      <c r="AB337" s="321"/>
      <c r="AC337" s="321"/>
      <c r="AD337" s="321"/>
    </row>
    <row r="338">
      <c r="A338" s="321"/>
      <c r="B338" s="321"/>
      <c r="C338" s="321"/>
      <c r="D338" s="321"/>
      <c r="E338" s="321"/>
      <c r="F338" s="321"/>
      <c r="G338" s="454"/>
      <c r="H338" s="454"/>
      <c r="I338" s="454"/>
      <c r="J338" s="454"/>
      <c r="K338" s="321"/>
      <c r="L338" s="321"/>
      <c r="M338" s="321"/>
      <c r="N338" s="321"/>
      <c r="O338" s="321"/>
      <c r="P338" s="321"/>
      <c r="Q338" s="321"/>
      <c r="R338" s="321"/>
      <c r="S338" s="321"/>
      <c r="T338" s="321"/>
      <c r="U338" s="321"/>
      <c r="V338" s="321"/>
      <c r="W338" s="321"/>
      <c r="X338" s="321"/>
      <c r="Y338" s="321"/>
      <c r="Z338" s="321"/>
      <c r="AA338" s="321"/>
      <c r="AB338" s="321"/>
      <c r="AC338" s="321"/>
      <c r="AD338" s="321"/>
    </row>
    <row r="339">
      <c r="A339" s="321"/>
      <c r="B339" s="321"/>
      <c r="C339" s="321"/>
      <c r="D339" s="321"/>
      <c r="E339" s="321"/>
      <c r="F339" s="321"/>
      <c r="G339" s="454"/>
      <c r="H339" s="454"/>
      <c r="I339" s="454"/>
      <c r="J339" s="454"/>
      <c r="K339" s="321"/>
      <c r="L339" s="321"/>
      <c r="M339" s="321"/>
      <c r="N339" s="321"/>
      <c r="O339" s="321"/>
      <c r="P339" s="321"/>
      <c r="Q339" s="321"/>
      <c r="R339" s="321"/>
      <c r="S339" s="321"/>
      <c r="T339" s="321"/>
      <c r="U339" s="321"/>
      <c r="V339" s="321"/>
      <c r="W339" s="321"/>
      <c r="X339" s="321"/>
      <c r="Y339" s="321"/>
      <c r="Z339" s="321"/>
      <c r="AA339" s="321"/>
      <c r="AB339" s="321"/>
      <c r="AC339" s="321"/>
      <c r="AD339" s="321"/>
    </row>
    <row r="340">
      <c r="A340" s="321"/>
      <c r="B340" s="321"/>
      <c r="C340" s="321"/>
      <c r="D340" s="321"/>
      <c r="E340" s="321"/>
      <c r="F340" s="321"/>
      <c r="G340" s="454"/>
      <c r="H340" s="454"/>
      <c r="I340" s="454"/>
      <c r="J340" s="454"/>
      <c r="K340" s="321"/>
      <c r="L340" s="321"/>
      <c r="M340" s="321"/>
      <c r="N340" s="321"/>
      <c r="O340" s="321"/>
      <c r="P340" s="321"/>
      <c r="Q340" s="321"/>
      <c r="R340" s="321"/>
      <c r="S340" s="321"/>
      <c r="T340" s="321"/>
      <c r="U340" s="321"/>
      <c r="V340" s="321"/>
      <c r="W340" s="321"/>
      <c r="X340" s="321"/>
      <c r="Y340" s="321"/>
      <c r="Z340" s="321"/>
      <c r="AA340" s="321"/>
      <c r="AB340" s="321"/>
      <c r="AC340" s="321"/>
      <c r="AD340" s="321"/>
    </row>
    <row r="341">
      <c r="A341" s="321"/>
      <c r="B341" s="321"/>
      <c r="C341" s="321"/>
      <c r="D341" s="321"/>
      <c r="E341" s="321"/>
      <c r="F341" s="321"/>
      <c r="G341" s="454"/>
      <c r="H341" s="454"/>
      <c r="I341" s="454"/>
      <c r="J341" s="454"/>
      <c r="K341" s="321"/>
      <c r="L341" s="321"/>
      <c r="M341" s="321"/>
      <c r="N341" s="321"/>
      <c r="O341" s="321"/>
      <c r="P341" s="321"/>
      <c r="Q341" s="321"/>
      <c r="R341" s="321"/>
      <c r="S341" s="321"/>
      <c r="T341" s="321"/>
      <c r="U341" s="321"/>
      <c r="V341" s="321"/>
      <c r="W341" s="321"/>
      <c r="X341" s="321"/>
      <c r="Y341" s="321"/>
      <c r="Z341" s="321"/>
      <c r="AA341" s="321"/>
      <c r="AB341" s="321"/>
      <c r="AC341" s="321"/>
      <c r="AD341" s="321"/>
    </row>
    <row r="342">
      <c r="A342" s="321"/>
      <c r="B342" s="321"/>
      <c r="C342" s="321"/>
      <c r="D342" s="321"/>
      <c r="E342" s="321"/>
      <c r="F342" s="321"/>
      <c r="G342" s="454"/>
      <c r="H342" s="454"/>
      <c r="I342" s="454"/>
      <c r="J342" s="454"/>
      <c r="K342" s="321"/>
      <c r="L342" s="321"/>
      <c r="M342" s="321"/>
      <c r="N342" s="321"/>
      <c r="O342" s="321"/>
      <c r="P342" s="321"/>
      <c r="Q342" s="321"/>
      <c r="R342" s="321"/>
      <c r="S342" s="321"/>
      <c r="T342" s="321"/>
      <c r="U342" s="321"/>
      <c r="V342" s="321"/>
      <c r="W342" s="321"/>
      <c r="X342" s="321"/>
      <c r="Y342" s="321"/>
      <c r="Z342" s="321"/>
      <c r="AA342" s="321"/>
      <c r="AB342" s="321"/>
      <c r="AC342" s="321"/>
      <c r="AD342" s="321"/>
    </row>
    <row r="343">
      <c r="A343" s="321"/>
      <c r="B343" s="321"/>
      <c r="C343" s="321"/>
      <c r="D343" s="321"/>
      <c r="E343" s="321"/>
      <c r="F343" s="321"/>
      <c r="G343" s="454"/>
      <c r="H343" s="454"/>
      <c r="I343" s="454"/>
      <c r="J343" s="454"/>
      <c r="K343" s="321"/>
      <c r="L343" s="321"/>
      <c r="M343" s="321"/>
      <c r="N343" s="321"/>
      <c r="O343" s="321"/>
      <c r="P343" s="321"/>
      <c r="Q343" s="321"/>
      <c r="R343" s="321"/>
      <c r="S343" s="321"/>
      <c r="T343" s="321"/>
      <c r="U343" s="321"/>
      <c r="V343" s="321"/>
      <c r="W343" s="321"/>
      <c r="X343" s="321"/>
      <c r="Y343" s="321"/>
      <c r="Z343" s="321"/>
      <c r="AA343" s="321"/>
      <c r="AB343" s="321"/>
      <c r="AC343" s="321"/>
      <c r="AD343" s="321"/>
    </row>
    <row r="344">
      <c r="A344" s="321"/>
      <c r="B344" s="321"/>
      <c r="C344" s="321"/>
      <c r="D344" s="321"/>
      <c r="E344" s="321"/>
      <c r="F344" s="321"/>
      <c r="G344" s="454"/>
      <c r="H344" s="454"/>
      <c r="I344" s="454"/>
      <c r="J344" s="454"/>
      <c r="K344" s="321"/>
      <c r="L344" s="321"/>
      <c r="M344" s="321"/>
      <c r="N344" s="321"/>
      <c r="O344" s="321"/>
      <c r="P344" s="321"/>
      <c r="Q344" s="321"/>
      <c r="R344" s="321"/>
      <c r="S344" s="321"/>
      <c r="T344" s="321"/>
      <c r="U344" s="321"/>
      <c r="V344" s="321"/>
      <c r="W344" s="321"/>
      <c r="X344" s="321"/>
      <c r="Y344" s="321"/>
      <c r="Z344" s="321"/>
      <c r="AA344" s="321"/>
      <c r="AB344" s="321"/>
      <c r="AC344" s="321"/>
      <c r="AD344" s="321"/>
    </row>
    <row r="345">
      <c r="A345" s="321"/>
      <c r="B345" s="321"/>
      <c r="C345" s="321"/>
      <c r="D345" s="321"/>
      <c r="E345" s="321"/>
      <c r="F345" s="321"/>
      <c r="G345" s="454"/>
      <c r="H345" s="454"/>
      <c r="I345" s="454"/>
      <c r="J345" s="454"/>
      <c r="K345" s="321"/>
      <c r="L345" s="321"/>
      <c r="M345" s="321"/>
      <c r="N345" s="321"/>
      <c r="O345" s="321"/>
      <c r="P345" s="321"/>
      <c r="Q345" s="321"/>
      <c r="R345" s="321"/>
      <c r="S345" s="321"/>
      <c r="T345" s="321"/>
      <c r="U345" s="321"/>
      <c r="V345" s="321"/>
      <c r="W345" s="321"/>
      <c r="X345" s="321"/>
      <c r="Y345" s="321"/>
      <c r="Z345" s="321"/>
      <c r="AA345" s="321"/>
      <c r="AB345" s="321"/>
      <c r="AC345" s="321"/>
      <c r="AD345" s="321"/>
    </row>
    <row r="346">
      <c r="A346" s="321"/>
      <c r="B346" s="321"/>
      <c r="C346" s="321"/>
      <c r="D346" s="321"/>
      <c r="E346" s="321"/>
      <c r="F346" s="321"/>
      <c r="G346" s="454"/>
      <c r="H346" s="454"/>
      <c r="I346" s="454"/>
      <c r="J346" s="454"/>
      <c r="K346" s="321"/>
      <c r="L346" s="321"/>
      <c r="M346" s="321"/>
      <c r="N346" s="321"/>
      <c r="O346" s="321"/>
      <c r="P346" s="321"/>
      <c r="Q346" s="321"/>
      <c r="R346" s="321"/>
      <c r="S346" s="321"/>
      <c r="T346" s="321"/>
      <c r="U346" s="321"/>
      <c r="V346" s="321"/>
      <c r="W346" s="321"/>
      <c r="X346" s="321"/>
      <c r="Y346" s="321"/>
      <c r="Z346" s="321"/>
      <c r="AA346" s="321"/>
      <c r="AB346" s="321"/>
      <c r="AC346" s="321"/>
      <c r="AD346" s="321"/>
    </row>
    <row r="347">
      <c r="A347" s="321"/>
      <c r="B347" s="321"/>
      <c r="C347" s="321"/>
      <c r="D347" s="321"/>
      <c r="E347" s="321"/>
      <c r="F347" s="321"/>
      <c r="G347" s="454"/>
      <c r="H347" s="454"/>
      <c r="I347" s="454"/>
      <c r="J347" s="454"/>
      <c r="K347" s="321"/>
      <c r="L347" s="321"/>
      <c r="M347" s="321"/>
      <c r="N347" s="321"/>
      <c r="O347" s="321"/>
      <c r="P347" s="321"/>
      <c r="Q347" s="321"/>
      <c r="R347" s="321"/>
      <c r="S347" s="321"/>
      <c r="T347" s="321"/>
      <c r="U347" s="321"/>
      <c r="V347" s="321"/>
      <c r="W347" s="321"/>
      <c r="X347" s="321"/>
      <c r="Y347" s="321"/>
      <c r="Z347" s="321"/>
      <c r="AA347" s="321"/>
      <c r="AB347" s="321"/>
      <c r="AC347" s="321"/>
      <c r="AD347" s="321"/>
    </row>
    <row r="348">
      <c r="A348" s="321"/>
      <c r="B348" s="321"/>
      <c r="C348" s="321"/>
      <c r="D348" s="321"/>
      <c r="E348" s="321"/>
      <c r="F348" s="321"/>
      <c r="G348" s="454"/>
      <c r="H348" s="454"/>
      <c r="I348" s="454"/>
      <c r="J348" s="454"/>
      <c r="K348" s="321"/>
      <c r="L348" s="321"/>
      <c r="M348" s="321"/>
      <c r="N348" s="321"/>
      <c r="O348" s="321"/>
      <c r="P348" s="321"/>
      <c r="Q348" s="321"/>
      <c r="R348" s="321"/>
      <c r="S348" s="321"/>
      <c r="T348" s="321"/>
      <c r="U348" s="321"/>
      <c r="V348" s="321"/>
      <c r="W348" s="321"/>
      <c r="X348" s="321"/>
      <c r="Y348" s="321"/>
      <c r="Z348" s="321"/>
      <c r="AA348" s="321"/>
      <c r="AB348" s="321"/>
      <c r="AC348" s="321"/>
      <c r="AD348" s="321"/>
    </row>
    <row r="349">
      <c r="A349" s="321"/>
      <c r="B349" s="321"/>
      <c r="C349" s="321"/>
      <c r="D349" s="321"/>
      <c r="E349" s="321"/>
      <c r="F349" s="321"/>
      <c r="G349" s="454"/>
      <c r="H349" s="454"/>
      <c r="I349" s="454"/>
      <c r="J349" s="454"/>
      <c r="K349" s="321"/>
      <c r="L349" s="321"/>
      <c r="M349" s="321"/>
      <c r="N349" s="321"/>
      <c r="O349" s="321"/>
      <c r="P349" s="321"/>
      <c r="Q349" s="321"/>
      <c r="R349" s="321"/>
      <c r="S349" s="321"/>
      <c r="T349" s="321"/>
      <c r="U349" s="321"/>
      <c r="V349" s="321"/>
      <c r="W349" s="321"/>
      <c r="X349" s="321"/>
      <c r="Y349" s="321"/>
      <c r="Z349" s="321"/>
      <c r="AA349" s="321"/>
      <c r="AB349" s="321"/>
      <c r="AC349" s="321"/>
      <c r="AD349" s="321"/>
    </row>
    <row r="350">
      <c r="A350" s="321"/>
      <c r="B350" s="321"/>
      <c r="C350" s="321"/>
      <c r="D350" s="321"/>
      <c r="E350" s="321"/>
      <c r="F350" s="321"/>
      <c r="G350" s="454"/>
      <c r="H350" s="454"/>
      <c r="I350" s="454"/>
      <c r="J350" s="454"/>
      <c r="K350" s="321"/>
      <c r="L350" s="321"/>
      <c r="M350" s="321"/>
      <c r="N350" s="321"/>
      <c r="O350" s="321"/>
      <c r="P350" s="321"/>
      <c r="Q350" s="321"/>
      <c r="R350" s="321"/>
      <c r="S350" s="321"/>
      <c r="T350" s="321"/>
      <c r="U350" s="321"/>
      <c r="V350" s="321"/>
      <c r="W350" s="321"/>
      <c r="X350" s="321"/>
      <c r="Y350" s="321"/>
      <c r="Z350" s="321"/>
      <c r="AA350" s="321"/>
      <c r="AB350" s="321"/>
      <c r="AC350" s="321"/>
      <c r="AD350" s="321"/>
    </row>
    <row r="351">
      <c r="A351" s="321"/>
      <c r="B351" s="321"/>
      <c r="C351" s="321"/>
      <c r="D351" s="321"/>
      <c r="E351" s="321"/>
      <c r="F351" s="321"/>
      <c r="G351" s="454"/>
      <c r="H351" s="454"/>
      <c r="I351" s="454"/>
      <c r="J351" s="454"/>
      <c r="K351" s="321"/>
      <c r="L351" s="321"/>
      <c r="M351" s="321"/>
      <c r="N351" s="321"/>
      <c r="O351" s="321"/>
      <c r="P351" s="321"/>
      <c r="Q351" s="321"/>
      <c r="R351" s="321"/>
      <c r="S351" s="321"/>
      <c r="T351" s="321"/>
      <c r="U351" s="321"/>
      <c r="V351" s="321"/>
      <c r="W351" s="321"/>
      <c r="X351" s="321"/>
      <c r="Y351" s="321"/>
      <c r="Z351" s="321"/>
      <c r="AA351" s="321"/>
      <c r="AB351" s="321"/>
      <c r="AC351" s="321"/>
      <c r="AD351" s="321"/>
    </row>
    <row r="352">
      <c r="A352" s="321"/>
      <c r="B352" s="321"/>
      <c r="C352" s="321"/>
      <c r="D352" s="321"/>
      <c r="E352" s="321"/>
      <c r="F352" s="321"/>
      <c r="G352" s="454"/>
      <c r="H352" s="454"/>
      <c r="I352" s="454"/>
      <c r="J352" s="454"/>
      <c r="K352" s="321"/>
      <c r="L352" s="321"/>
      <c r="M352" s="321"/>
      <c r="N352" s="321"/>
      <c r="O352" s="321"/>
      <c r="P352" s="321"/>
      <c r="Q352" s="321"/>
      <c r="R352" s="321"/>
      <c r="S352" s="321"/>
      <c r="T352" s="321"/>
      <c r="U352" s="321"/>
      <c r="V352" s="321"/>
      <c r="W352" s="321"/>
      <c r="X352" s="321"/>
      <c r="Y352" s="321"/>
      <c r="Z352" s="321"/>
      <c r="AA352" s="321"/>
      <c r="AB352" s="321"/>
      <c r="AC352" s="321"/>
      <c r="AD352" s="321"/>
    </row>
    <row r="353">
      <c r="A353" s="321"/>
      <c r="B353" s="321"/>
      <c r="C353" s="321"/>
      <c r="D353" s="321"/>
      <c r="E353" s="321"/>
      <c r="F353" s="321"/>
      <c r="G353" s="454"/>
      <c r="H353" s="454"/>
      <c r="I353" s="454"/>
      <c r="J353" s="454"/>
      <c r="K353" s="321"/>
      <c r="L353" s="321"/>
      <c r="M353" s="321"/>
      <c r="N353" s="321"/>
      <c r="O353" s="321"/>
      <c r="P353" s="321"/>
      <c r="Q353" s="321"/>
      <c r="R353" s="321"/>
      <c r="S353" s="321"/>
      <c r="T353" s="321"/>
      <c r="U353" s="321"/>
      <c r="V353" s="321"/>
      <c r="W353" s="321"/>
      <c r="X353" s="321"/>
      <c r="Y353" s="321"/>
      <c r="Z353" s="321"/>
      <c r="AA353" s="321"/>
      <c r="AB353" s="321"/>
      <c r="AC353" s="321"/>
      <c r="AD353" s="321"/>
    </row>
    <row r="354">
      <c r="A354" s="321"/>
      <c r="B354" s="321"/>
      <c r="C354" s="321"/>
      <c r="D354" s="321"/>
      <c r="E354" s="321"/>
      <c r="F354" s="321"/>
      <c r="G354" s="454"/>
      <c r="H354" s="454"/>
      <c r="I354" s="454"/>
      <c r="J354" s="454"/>
      <c r="K354" s="321"/>
      <c r="L354" s="321"/>
      <c r="M354" s="321"/>
      <c r="N354" s="321"/>
      <c r="O354" s="321"/>
      <c r="P354" s="321"/>
      <c r="Q354" s="321"/>
      <c r="R354" s="321"/>
      <c r="S354" s="321"/>
      <c r="T354" s="321"/>
      <c r="U354" s="321"/>
      <c r="V354" s="321"/>
      <c r="W354" s="321"/>
      <c r="X354" s="321"/>
      <c r="Y354" s="321"/>
      <c r="Z354" s="321"/>
      <c r="AA354" s="321"/>
      <c r="AB354" s="321"/>
      <c r="AC354" s="321"/>
      <c r="AD354" s="321"/>
    </row>
    <row r="355">
      <c r="A355" s="321"/>
      <c r="B355" s="321"/>
      <c r="C355" s="321"/>
      <c r="D355" s="321"/>
      <c r="E355" s="321"/>
      <c r="F355" s="321"/>
      <c r="G355" s="454"/>
      <c r="H355" s="454"/>
      <c r="I355" s="454"/>
      <c r="J355" s="454"/>
      <c r="K355" s="321"/>
      <c r="L355" s="321"/>
      <c r="M355" s="321"/>
      <c r="N355" s="321"/>
      <c r="O355" s="321"/>
      <c r="P355" s="321"/>
      <c r="Q355" s="321"/>
      <c r="R355" s="321"/>
      <c r="S355" s="321"/>
      <c r="T355" s="321"/>
      <c r="U355" s="321"/>
      <c r="V355" s="321"/>
      <c r="W355" s="321"/>
      <c r="X355" s="321"/>
      <c r="Y355" s="321"/>
      <c r="Z355" s="321"/>
      <c r="AA355" s="321"/>
      <c r="AB355" s="321"/>
      <c r="AC355" s="321"/>
      <c r="AD355" s="321"/>
    </row>
    <row r="356">
      <c r="A356" s="321"/>
      <c r="B356" s="321"/>
      <c r="C356" s="321"/>
      <c r="D356" s="321"/>
      <c r="E356" s="321"/>
      <c r="F356" s="321"/>
      <c r="G356" s="454"/>
      <c r="H356" s="454"/>
      <c r="I356" s="454"/>
      <c r="J356" s="454"/>
      <c r="K356" s="321"/>
      <c r="L356" s="321"/>
      <c r="M356" s="321"/>
      <c r="N356" s="321"/>
      <c r="O356" s="321"/>
      <c r="P356" s="321"/>
      <c r="Q356" s="321"/>
      <c r="R356" s="321"/>
      <c r="S356" s="321"/>
      <c r="T356" s="321"/>
      <c r="U356" s="321"/>
      <c r="V356" s="321"/>
      <c r="W356" s="321"/>
      <c r="X356" s="321"/>
      <c r="Y356" s="321"/>
      <c r="Z356" s="321"/>
      <c r="AA356" s="321"/>
      <c r="AB356" s="321"/>
      <c r="AC356" s="321"/>
      <c r="AD356" s="321"/>
    </row>
    <row r="357">
      <c r="A357" s="321"/>
      <c r="B357" s="321"/>
      <c r="C357" s="321"/>
      <c r="D357" s="321"/>
      <c r="E357" s="321"/>
      <c r="F357" s="321"/>
      <c r="G357" s="454"/>
      <c r="H357" s="454"/>
      <c r="I357" s="454"/>
      <c r="J357" s="454"/>
      <c r="K357" s="321"/>
      <c r="L357" s="321"/>
      <c r="M357" s="321"/>
      <c r="N357" s="321"/>
      <c r="O357" s="321"/>
      <c r="P357" s="321"/>
      <c r="Q357" s="321"/>
      <c r="R357" s="321"/>
      <c r="S357" s="321"/>
      <c r="T357" s="321"/>
      <c r="U357" s="321"/>
      <c r="V357" s="321"/>
      <c r="W357" s="321"/>
      <c r="X357" s="321"/>
      <c r="Y357" s="321"/>
      <c r="Z357" s="321"/>
      <c r="AA357" s="321"/>
      <c r="AB357" s="321"/>
      <c r="AC357" s="321"/>
      <c r="AD357" s="321"/>
    </row>
    <row r="358">
      <c r="A358" s="321"/>
      <c r="B358" s="321"/>
      <c r="C358" s="321"/>
      <c r="D358" s="321"/>
      <c r="E358" s="321"/>
      <c r="F358" s="321"/>
      <c r="G358" s="454"/>
      <c r="H358" s="454"/>
      <c r="I358" s="454"/>
      <c r="J358" s="454"/>
      <c r="K358" s="321"/>
      <c r="L358" s="321"/>
      <c r="M358" s="321"/>
      <c r="N358" s="321"/>
      <c r="O358" s="321"/>
      <c r="P358" s="321"/>
      <c r="Q358" s="321"/>
      <c r="R358" s="321"/>
      <c r="S358" s="321"/>
      <c r="T358" s="321"/>
      <c r="U358" s="321"/>
      <c r="V358" s="321"/>
      <c r="W358" s="321"/>
      <c r="X358" s="321"/>
      <c r="Y358" s="321"/>
      <c r="Z358" s="321"/>
      <c r="AA358" s="321"/>
      <c r="AB358" s="321"/>
      <c r="AC358" s="321"/>
      <c r="AD358" s="321"/>
    </row>
    <row r="359">
      <c r="A359" s="321"/>
      <c r="B359" s="321"/>
      <c r="C359" s="321"/>
      <c r="D359" s="321"/>
      <c r="E359" s="321"/>
      <c r="F359" s="321"/>
      <c r="G359" s="454"/>
      <c r="H359" s="454"/>
      <c r="I359" s="454"/>
      <c r="J359" s="454"/>
      <c r="K359" s="321"/>
      <c r="L359" s="321"/>
      <c r="M359" s="321"/>
      <c r="N359" s="321"/>
      <c r="O359" s="321"/>
      <c r="P359" s="321"/>
      <c r="Q359" s="321"/>
      <c r="R359" s="321"/>
      <c r="S359" s="321"/>
      <c r="T359" s="321"/>
      <c r="U359" s="321"/>
      <c r="V359" s="321"/>
      <c r="W359" s="321"/>
      <c r="X359" s="321"/>
      <c r="Y359" s="321"/>
      <c r="Z359" s="321"/>
      <c r="AA359" s="321"/>
      <c r="AB359" s="321"/>
      <c r="AC359" s="321"/>
      <c r="AD359" s="321"/>
    </row>
    <row r="360">
      <c r="A360" s="321"/>
      <c r="B360" s="321"/>
      <c r="C360" s="321"/>
      <c r="D360" s="321"/>
      <c r="E360" s="321"/>
      <c r="F360" s="321"/>
      <c r="G360" s="454"/>
      <c r="H360" s="454"/>
      <c r="I360" s="454"/>
      <c r="J360" s="454"/>
      <c r="K360" s="321"/>
      <c r="L360" s="321"/>
      <c r="M360" s="321"/>
      <c r="N360" s="321"/>
      <c r="O360" s="321"/>
      <c r="P360" s="321"/>
      <c r="Q360" s="321"/>
      <c r="R360" s="321"/>
      <c r="S360" s="321"/>
      <c r="T360" s="321"/>
      <c r="U360" s="321"/>
      <c r="V360" s="321"/>
      <c r="W360" s="321"/>
      <c r="X360" s="321"/>
      <c r="Y360" s="321"/>
      <c r="Z360" s="321"/>
      <c r="AA360" s="321"/>
      <c r="AB360" s="321"/>
      <c r="AC360" s="321"/>
      <c r="AD360" s="321"/>
    </row>
    <row r="361">
      <c r="A361" s="321"/>
      <c r="B361" s="321"/>
      <c r="C361" s="321"/>
      <c r="D361" s="321"/>
      <c r="E361" s="321"/>
      <c r="F361" s="321"/>
      <c r="G361" s="454"/>
      <c r="H361" s="454"/>
      <c r="I361" s="454"/>
      <c r="J361" s="454"/>
      <c r="K361" s="321"/>
      <c r="L361" s="321"/>
      <c r="M361" s="321"/>
      <c r="N361" s="321"/>
      <c r="O361" s="321"/>
      <c r="P361" s="321"/>
      <c r="Q361" s="321"/>
      <c r="R361" s="321"/>
      <c r="S361" s="321"/>
      <c r="T361" s="321"/>
      <c r="U361" s="321"/>
      <c r="V361" s="321"/>
      <c r="W361" s="321"/>
      <c r="X361" s="321"/>
      <c r="Y361" s="321"/>
      <c r="Z361" s="321"/>
      <c r="AA361" s="321"/>
      <c r="AB361" s="321"/>
      <c r="AC361" s="321"/>
      <c r="AD361" s="321"/>
    </row>
    <row r="362">
      <c r="A362" s="321"/>
      <c r="B362" s="321"/>
      <c r="C362" s="321"/>
      <c r="D362" s="321"/>
      <c r="E362" s="321"/>
      <c r="F362" s="321"/>
      <c r="G362" s="454"/>
      <c r="H362" s="454"/>
      <c r="I362" s="454"/>
      <c r="J362" s="454"/>
      <c r="K362" s="321"/>
      <c r="L362" s="321"/>
      <c r="M362" s="321"/>
      <c r="N362" s="321"/>
      <c r="O362" s="321"/>
      <c r="P362" s="321"/>
      <c r="Q362" s="321"/>
      <c r="R362" s="321"/>
      <c r="S362" s="321"/>
      <c r="T362" s="321"/>
      <c r="U362" s="321"/>
      <c r="V362" s="321"/>
      <c r="W362" s="321"/>
      <c r="X362" s="321"/>
      <c r="Y362" s="321"/>
      <c r="Z362" s="321"/>
      <c r="AA362" s="321"/>
      <c r="AB362" s="321"/>
      <c r="AC362" s="321"/>
      <c r="AD362" s="321"/>
    </row>
    <row r="363">
      <c r="A363" s="321"/>
      <c r="B363" s="321"/>
      <c r="C363" s="321"/>
      <c r="D363" s="321"/>
      <c r="E363" s="321"/>
      <c r="F363" s="321"/>
      <c r="G363" s="454"/>
      <c r="H363" s="454"/>
      <c r="I363" s="454"/>
      <c r="J363" s="454"/>
      <c r="K363" s="321"/>
      <c r="L363" s="321"/>
      <c r="M363" s="321"/>
      <c r="N363" s="321"/>
      <c r="O363" s="321"/>
      <c r="P363" s="321"/>
      <c r="Q363" s="321"/>
      <c r="R363" s="321"/>
      <c r="S363" s="321"/>
      <c r="T363" s="321"/>
      <c r="U363" s="321"/>
      <c r="V363" s="321"/>
      <c r="W363" s="321"/>
      <c r="X363" s="321"/>
      <c r="Y363" s="321"/>
      <c r="Z363" s="321"/>
      <c r="AA363" s="321"/>
      <c r="AB363" s="321"/>
      <c r="AC363" s="321"/>
      <c r="AD363" s="321"/>
    </row>
    <row r="364">
      <c r="A364" s="321"/>
      <c r="B364" s="321"/>
      <c r="C364" s="321"/>
      <c r="D364" s="321"/>
      <c r="E364" s="321"/>
      <c r="F364" s="321"/>
      <c r="G364" s="454"/>
      <c r="H364" s="454"/>
      <c r="I364" s="454"/>
      <c r="J364" s="454"/>
      <c r="K364" s="321"/>
      <c r="L364" s="321"/>
      <c r="M364" s="321"/>
      <c r="N364" s="321"/>
      <c r="O364" s="321"/>
      <c r="P364" s="321"/>
      <c r="Q364" s="321"/>
      <c r="R364" s="321"/>
      <c r="S364" s="321"/>
      <c r="T364" s="321"/>
      <c r="U364" s="321"/>
      <c r="V364" s="321"/>
      <c r="W364" s="321"/>
      <c r="X364" s="321"/>
      <c r="Y364" s="321"/>
      <c r="Z364" s="321"/>
      <c r="AA364" s="321"/>
      <c r="AB364" s="321"/>
      <c r="AC364" s="321"/>
      <c r="AD364" s="321"/>
    </row>
    <row r="365">
      <c r="A365" s="321"/>
      <c r="B365" s="321"/>
      <c r="C365" s="321"/>
      <c r="D365" s="321"/>
      <c r="E365" s="321"/>
      <c r="F365" s="321"/>
      <c r="G365" s="454"/>
      <c r="H365" s="454"/>
      <c r="I365" s="454"/>
      <c r="J365" s="454"/>
      <c r="K365" s="321"/>
      <c r="L365" s="321"/>
      <c r="M365" s="321"/>
      <c r="N365" s="321"/>
      <c r="O365" s="321"/>
      <c r="P365" s="321"/>
      <c r="Q365" s="321"/>
      <c r="R365" s="321"/>
      <c r="S365" s="321"/>
      <c r="T365" s="321"/>
      <c r="U365" s="321"/>
      <c r="V365" s="321"/>
      <c r="W365" s="321"/>
      <c r="X365" s="321"/>
      <c r="Y365" s="321"/>
      <c r="Z365" s="321"/>
      <c r="AA365" s="321"/>
      <c r="AB365" s="321"/>
      <c r="AC365" s="321"/>
      <c r="AD365" s="321"/>
    </row>
    <row r="366">
      <c r="A366" s="321"/>
      <c r="B366" s="321"/>
      <c r="C366" s="321"/>
      <c r="D366" s="321"/>
      <c r="E366" s="321"/>
      <c r="F366" s="321"/>
      <c r="G366" s="454"/>
      <c r="H366" s="454"/>
      <c r="I366" s="454"/>
      <c r="J366" s="454"/>
      <c r="K366" s="321"/>
      <c r="L366" s="321"/>
      <c r="M366" s="321"/>
      <c r="N366" s="321"/>
      <c r="O366" s="321"/>
      <c r="P366" s="321"/>
      <c r="Q366" s="321"/>
      <c r="R366" s="321"/>
      <c r="S366" s="321"/>
      <c r="T366" s="321"/>
      <c r="U366" s="321"/>
      <c r="V366" s="321"/>
      <c r="W366" s="321"/>
      <c r="X366" s="321"/>
      <c r="Y366" s="321"/>
      <c r="Z366" s="321"/>
      <c r="AA366" s="321"/>
      <c r="AB366" s="321"/>
      <c r="AC366" s="321"/>
      <c r="AD366" s="321"/>
    </row>
    <row r="367">
      <c r="A367" s="321"/>
      <c r="B367" s="321"/>
      <c r="C367" s="321"/>
      <c r="D367" s="321"/>
      <c r="E367" s="321"/>
      <c r="F367" s="321"/>
      <c r="G367" s="454"/>
      <c r="H367" s="454"/>
      <c r="I367" s="454"/>
      <c r="J367" s="454"/>
      <c r="K367" s="321"/>
      <c r="L367" s="321"/>
      <c r="M367" s="321"/>
      <c r="N367" s="321"/>
      <c r="O367" s="321"/>
      <c r="P367" s="321"/>
      <c r="Q367" s="321"/>
      <c r="R367" s="321"/>
      <c r="S367" s="321"/>
      <c r="T367" s="321"/>
      <c r="U367" s="321"/>
      <c r="V367" s="321"/>
      <c r="W367" s="321"/>
      <c r="X367" s="321"/>
      <c r="Y367" s="321"/>
      <c r="Z367" s="321"/>
      <c r="AA367" s="321"/>
      <c r="AB367" s="321"/>
      <c r="AC367" s="321"/>
      <c r="AD367" s="321"/>
    </row>
    <row r="368">
      <c r="A368" s="321"/>
      <c r="B368" s="321"/>
      <c r="C368" s="321"/>
      <c r="D368" s="321"/>
      <c r="E368" s="321"/>
      <c r="F368" s="321"/>
      <c r="G368" s="454"/>
      <c r="H368" s="454"/>
      <c r="I368" s="454"/>
      <c r="J368" s="454"/>
      <c r="K368" s="321"/>
      <c r="L368" s="321"/>
      <c r="M368" s="321"/>
      <c r="N368" s="321"/>
      <c r="O368" s="321"/>
      <c r="P368" s="321"/>
      <c r="Q368" s="321"/>
      <c r="R368" s="321"/>
      <c r="S368" s="321"/>
      <c r="T368" s="321"/>
      <c r="U368" s="321"/>
      <c r="V368" s="321"/>
      <c r="W368" s="321"/>
      <c r="X368" s="321"/>
      <c r="Y368" s="321"/>
      <c r="Z368" s="321"/>
      <c r="AA368" s="321"/>
      <c r="AB368" s="321"/>
      <c r="AC368" s="321"/>
      <c r="AD368" s="321"/>
    </row>
    <row r="369">
      <c r="A369" s="321"/>
      <c r="B369" s="321"/>
      <c r="C369" s="321"/>
      <c r="D369" s="321"/>
      <c r="E369" s="321"/>
      <c r="F369" s="321"/>
      <c r="G369" s="454"/>
      <c r="H369" s="454"/>
      <c r="I369" s="454"/>
      <c r="J369" s="454"/>
      <c r="K369" s="321"/>
      <c r="L369" s="321"/>
      <c r="M369" s="321"/>
      <c r="N369" s="321"/>
      <c r="O369" s="321"/>
      <c r="P369" s="321"/>
      <c r="Q369" s="321"/>
      <c r="R369" s="321"/>
      <c r="S369" s="321"/>
      <c r="T369" s="321"/>
      <c r="U369" s="321"/>
      <c r="V369" s="321"/>
      <c r="W369" s="321"/>
      <c r="X369" s="321"/>
      <c r="Y369" s="321"/>
      <c r="Z369" s="321"/>
      <c r="AA369" s="321"/>
      <c r="AB369" s="321"/>
      <c r="AC369" s="321"/>
      <c r="AD369" s="321"/>
    </row>
    <row r="370">
      <c r="A370" s="321"/>
      <c r="B370" s="321"/>
      <c r="C370" s="321"/>
      <c r="D370" s="321"/>
      <c r="E370" s="321"/>
      <c r="F370" s="321"/>
      <c r="G370" s="454"/>
      <c r="H370" s="454"/>
      <c r="I370" s="454"/>
      <c r="J370" s="454"/>
      <c r="K370" s="321"/>
      <c r="L370" s="321"/>
      <c r="M370" s="321"/>
      <c r="N370" s="321"/>
      <c r="O370" s="321"/>
      <c r="P370" s="321"/>
      <c r="Q370" s="321"/>
      <c r="R370" s="321"/>
      <c r="S370" s="321"/>
      <c r="T370" s="321"/>
      <c r="U370" s="321"/>
      <c r="V370" s="321"/>
      <c r="W370" s="321"/>
      <c r="X370" s="321"/>
      <c r="Y370" s="321"/>
      <c r="Z370" s="321"/>
      <c r="AA370" s="321"/>
      <c r="AB370" s="321"/>
      <c r="AC370" s="321"/>
      <c r="AD370" s="321"/>
    </row>
    <row r="371">
      <c r="A371" s="321"/>
      <c r="B371" s="321"/>
      <c r="C371" s="321"/>
      <c r="D371" s="321"/>
      <c r="E371" s="321"/>
      <c r="F371" s="321"/>
      <c r="G371" s="454"/>
      <c r="H371" s="454"/>
      <c r="I371" s="454"/>
      <c r="J371" s="454"/>
      <c r="K371" s="321"/>
      <c r="L371" s="321"/>
      <c r="M371" s="321"/>
      <c r="N371" s="321"/>
      <c r="O371" s="321"/>
      <c r="P371" s="321"/>
      <c r="Q371" s="321"/>
      <c r="R371" s="321"/>
      <c r="S371" s="321"/>
      <c r="T371" s="321"/>
      <c r="U371" s="321"/>
      <c r="V371" s="321"/>
      <c r="W371" s="321"/>
      <c r="X371" s="321"/>
      <c r="Y371" s="321"/>
      <c r="Z371" s="321"/>
      <c r="AA371" s="321"/>
      <c r="AB371" s="321"/>
      <c r="AC371" s="321"/>
      <c r="AD371" s="321"/>
    </row>
    <row r="372">
      <c r="A372" s="321"/>
      <c r="B372" s="321"/>
      <c r="C372" s="321"/>
      <c r="D372" s="321"/>
      <c r="E372" s="321"/>
      <c r="F372" s="321"/>
      <c r="G372" s="454"/>
      <c r="H372" s="454"/>
      <c r="I372" s="454"/>
      <c r="J372" s="454"/>
      <c r="K372" s="321"/>
      <c r="L372" s="321"/>
      <c r="M372" s="321"/>
      <c r="N372" s="321"/>
      <c r="O372" s="321"/>
      <c r="P372" s="321"/>
      <c r="Q372" s="321"/>
      <c r="R372" s="321"/>
      <c r="S372" s="321"/>
      <c r="T372" s="321"/>
      <c r="U372" s="321"/>
      <c r="V372" s="321"/>
      <c r="W372" s="321"/>
      <c r="X372" s="321"/>
      <c r="Y372" s="321"/>
      <c r="Z372" s="321"/>
      <c r="AA372" s="321"/>
      <c r="AB372" s="321"/>
      <c r="AC372" s="321"/>
      <c r="AD372" s="321"/>
    </row>
    <row r="373">
      <c r="A373" s="321"/>
      <c r="B373" s="321"/>
      <c r="C373" s="321"/>
      <c r="D373" s="321"/>
      <c r="E373" s="321"/>
      <c r="F373" s="321"/>
      <c r="G373" s="454"/>
      <c r="H373" s="454"/>
      <c r="I373" s="454"/>
      <c r="J373" s="454"/>
      <c r="K373" s="321"/>
      <c r="L373" s="321"/>
      <c r="M373" s="321"/>
      <c r="N373" s="321"/>
      <c r="O373" s="321"/>
      <c r="P373" s="321"/>
      <c r="Q373" s="321"/>
      <c r="R373" s="321"/>
      <c r="S373" s="321"/>
      <c r="T373" s="321"/>
      <c r="U373" s="321"/>
      <c r="V373" s="321"/>
      <c r="W373" s="321"/>
      <c r="X373" s="321"/>
      <c r="Y373" s="321"/>
      <c r="Z373" s="321"/>
      <c r="AA373" s="321"/>
      <c r="AB373" s="321"/>
      <c r="AC373" s="321"/>
      <c r="AD373" s="321"/>
    </row>
    <row r="374">
      <c r="A374" s="321"/>
      <c r="B374" s="321"/>
      <c r="C374" s="321"/>
      <c r="D374" s="321"/>
      <c r="E374" s="321"/>
      <c r="F374" s="321"/>
      <c r="G374" s="454"/>
      <c r="H374" s="454"/>
      <c r="I374" s="454"/>
      <c r="J374" s="454"/>
      <c r="K374" s="321"/>
      <c r="L374" s="321"/>
      <c r="M374" s="321"/>
      <c r="N374" s="321"/>
      <c r="O374" s="321"/>
      <c r="P374" s="321"/>
      <c r="Q374" s="321"/>
      <c r="R374" s="321"/>
      <c r="S374" s="321"/>
      <c r="T374" s="321"/>
      <c r="U374" s="321"/>
      <c r="V374" s="321"/>
      <c r="W374" s="321"/>
      <c r="X374" s="321"/>
      <c r="Y374" s="321"/>
      <c r="Z374" s="321"/>
      <c r="AA374" s="321"/>
      <c r="AB374" s="321"/>
      <c r="AC374" s="321"/>
      <c r="AD374" s="321"/>
    </row>
    <row r="375">
      <c r="A375" s="321"/>
      <c r="B375" s="321"/>
      <c r="C375" s="321"/>
      <c r="D375" s="321"/>
      <c r="E375" s="321"/>
      <c r="F375" s="321"/>
      <c r="G375" s="454"/>
      <c r="H375" s="454"/>
      <c r="I375" s="454"/>
      <c r="J375" s="454"/>
      <c r="K375" s="321"/>
      <c r="L375" s="321"/>
      <c r="M375" s="321"/>
      <c r="N375" s="321"/>
      <c r="O375" s="321"/>
      <c r="P375" s="321"/>
      <c r="Q375" s="321"/>
      <c r="R375" s="321"/>
      <c r="S375" s="321"/>
      <c r="T375" s="321"/>
      <c r="U375" s="321"/>
      <c r="V375" s="321"/>
      <c r="W375" s="321"/>
      <c r="X375" s="321"/>
      <c r="Y375" s="321"/>
      <c r="Z375" s="321"/>
      <c r="AA375" s="321"/>
      <c r="AB375" s="321"/>
      <c r="AC375" s="321"/>
      <c r="AD375" s="321"/>
    </row>
    <row r="376">
      <c r="A376" s="321"/>
      <c r="B376" s="321"/>
      <c r="C376" s="321"/>
      <c r="D376" s="321"/>
      <c r="E376" s="321"/>
      <c r="F376" s="321"/>
      <c r="G376" s="454"/>
      <c r="H376" s="454"/>
      <c r="I376" s="454"/>
      <c r="J376" s="454"/>
      <c r="K376" s="321"/>
      <c r="L376" s="321"/>
      <c r="M376" s="321"/>
      <c r="N376" s="321"/>
      <c r="O376" s="321"/>
      <c r="P376" s="321"/>
      <c r="Q376" s="321"/>
      <c r="R376" s="321"/>
      <c r="S376" s="321"/>
      <c r="T376" s="321"/>
      <c r="U376" s="321"/>
      <c r="V376" s="321"/>
      <c r="W376" s="321"/>
      <c r="X376" s="321"/>
      <c r="Y376" s="321"/>
      <c r="Z376" s="321"/>
      <c r="AA376" s="321"/>
      <c r="AB376" s="321"/>
      <c r="AC376" s="321"/>
      <c r="AD376" s="321"/>
    </row>
    <row r="377">
      <c r="A377" s="321"/>
      <c r="B377" s="321"/>
      <c r="C377" s="321"/>
      <c r="D377" s="321"/>
      <c r="E377" s="321"/>
      <c r="F377" s="321"/>
      <c r="G377" s="454"/>
      <c r="H377" s="454"/>
      <c r="I377" s="454"/>
      <c r="J377" s="454"/>
      <c r="K377" s="321"/>
      <c r="L377" s="321"/>
      <c r="M377" s="321"/>
      <c r="N377" s="321"/>
      <c r="O377" s="321"/>
      <c r="P377" s="321"/>
      <c r="Q377" s="321"/>
      <c r="R377" s="321"/>
      <c r="S377" s="321"/>
      <c r="T377" s="321"/>
      <c r="U377" s="321"/>
      <c r="V377" s="321"/>
      <c r="W377" s="321"/>
      <c r="X377" s="321"/>
      <c r="Y377" s="321"/>
      <c r="Z377" s="321"/>
      <c r="AA377" s="321"/>
      <c r="AB377" s="321"/>
      <c r="AC377" s="321"/>
      <c r="AD377" s="321"/>
    </row>
    <row r="378">
      <c r="A378" s="321"/>
      <c r="B378" s="321"/>
      <c r="C378" s="321"/>
      <c r="D378" s="321"/>
      <c r="E378" s="321"/>
      <c r="F378" s="321"/>
      <c r="G378" s="454"/>
      <c r="H378" s="454"/>
      <c r="I378" s="454"/>
      <c r="J378" s="454"/>
      <c r="K378" s="321"/>
      <c r="L378" s="321"/>
      <c r="M378" s="321"/>
      <c r="N378" s="321"/>
      <c r="O378" s="321"/>
      <c r="P378" s="321"/>
      <c r="Q378" s="321"/>
      <c r="R378" s="321"/>
      <c r="S378" s="321"/>
      <c r="T378" s="321"/>
      <c r="U378" s="321"/>
      <c r="V378" s="321"/>
      <c r="W378" s="321"/>
      <c r="X378" s="321"/>
      <c r="Y378" s="321"/>
      <c r="Z378" s="321"/>
      <c r="AA378" s="321"/>
      <c r="AB378" s="321"/>
      <c r="AC378" s="321"/>
      <c r="AD378" s="321"/>
    </row>
    <row r="379">
      <c r="A379" s="321"/>
      <c r="B379" s="321"/>
      <c r="C379" s="321"/>
      <c r="D379" s="321"/>
      <c r="E379" s="321"/>
      <c r="F379" s="321"/>
      <c r="G379" s="454"/>
      <c r="H379" s="454"/>
      <c r="I379" s="454"/>
      <c r="J379" s="454"/>
      <c r="K379" s="321"/>
      <c r="L379" s="321"/>
      <c r="M379" s="321"/>
      <c r="N379" s="321"/>
      <c r="O379" s="321"/>
      <c r="P379" s="321"/>
      <c r="Q379" s="321"/>
      <c r="R379" s="321"/>
      <c r="S379" s="321"/>
      <c r="T379" s="321"/>
      <c r="U379" s="321"/>
      <c r="V379" s="321"/>
      <c r="W379" s="321"/>
      <c r="X379" s="321"/>
      <c r="Y379" s="321"/>
      <c r="Z379" s="321"/>
      <c r="AA379" s="321"/>
      <c r="AB379" s="321"/>
      <c r="AC379" s="321"/>
      <c r="AD379" s="321"/>
    </row>
    <row r="380">
      <c r="A380" s="321"/>
      <c r="B380" s="321"/>
      <c r="C380" s="321"/>
      <c r="D380" s="321"/>
      <c r="E380" s="321"/>
      <c r="F380" s="321"/>
      <c r="G380" s="454"/>
      <c r="H380" s="454"/>
      <c r="I380" s="454"/>
      <c r="J380" s="454"/>
      <c r="K380" s="321"/>
      <c r="L380" s="321"/>
      <c r="M380" s="321"/>
      <c r="N380" s="321"/>
      <c r="O380" s="321"/>
      <c r="P380" s="321"/>
      <c r="Q380" s="321"/>
      <c r="R380" s="321"/>
      <c r="S380" s="321"/>
      <c r="T380" s="321"/>
      <c r="U380" s="321"/>
      <c r="V380" s="321"/>
      <c r="W380" s="321"/>
      <c r="X380" s="321"/>
      <c r="Y380" s="321"/>
      <c r="Z380" s="321"/>
      <c r="AA380" s="321"/>
      <c r="AB380" s="321"/>
      <c r="AC380" s="321"/>
      <c r="AD380" s="321"/>
    </row>
    <row r="381">
      <c r="A381" s="321"/>
      <c r="B381" s="321"/>
      <c r="C381" s="321"/>
      <c r="D381" s="321"/>
      <c r="E381" s="321"/>
      <c r="F381" s="321"/>
      <c r="G381" s="454"/>
      <c r="H381" s="454"/>
      <c r="I381" s="454"/>
      <c r="J381" s="454"/>
      <c r="K381" s="321"/>
      <c r="L381" s="321"/>
      <c r="M381" s="321"/>
      <c r="N381" s="321"/>
      <c r="O381" s="321"/>
      <c r="P381" s="321"/>
      <c r="Q381" s="321"/>
      <c r="R381" s="321"/>
      <c r="S381" s="321"/>
      <c r="T381" s="321"/>
      <c r="U381" s="321"/>
      <c r="V381" s="321"/>
      <c r="W381" s="321"/>
      <c r="X381" s="321"/>
      <c r="Y381" s="321"/>
      <c r="Z381" s="321"/>
      <c r="AA381" s="321"/>
      <c r="AB381" s="321"/>
      <c r="AC381" s="321"/>
      <c r="AD381" s="321"/>
    </row>
    <row r="382">
      <c r="A382" s="321"/>
      <c r="B382" s="321"/>
      <c r="C382" s="321"/>
      <c r="D382" s="321"/>
      <c r="E382" s="321"/>
      <c r="F382" s="321"/>
      <c r="G382" s="454"/>
      <c r="H382" s="454"/>
      <c r="I382" s="454"/>
      <c r="J382" s="454"/>
      <c r="K382" s="321"/>
      <c r="L382" s="321"/>
      <c r="M382" s="321"/>
      <c r="N382" s="321"/>
      <c r="O382" s="321"/>
      <c r="P382" s="321"/>
      <c r="Q382" s="321"/>
      <c r="R382" s="321"/>
      <c r="S382" s="321"/>
      <c r="T382" s="321"/>
      <c r="U382" s="321"/>
      <c r="V382" s="321"/>
      <c r="W382" s="321"/>
      <c r="X382" s="321"/>
      <c r="Y382" s="321"/>
      <c r="Z382" s="321"/>
      <c r="AA382" s="321"/>
      <c r="AB382" s="321"/>
      <c r="AC382" s="321"/>
      <c r="AD382" s="321"/>
    </row>
    <row r="383">
      <c r="A383" s="321"/>
      <c r="B383" s="321"/>
      <c r="C383" s="321"/>
      <c r="D383" s="321"/>
      <c r="E383" s="321"/>
      <c r="F383" s="321"/>
      <c r="G383" s="454"/>
      <c r="H383" s="454"/>
      <c r="I383" s="454"/>
      <c r="J383" s="454"/>
      <c r="K383" s="321"/>
      <c r="L383" s="321"/>
      <c r="M383" s="321"/>
      <c r="N383" s="321"/>
      <c r="O383" s="321"/>
      <c r="P383" s="321"/>
      <c r="Q383" s="321"/>
      <c r="R383" s="321"/>
      <c r="S383" s="321"/>
      <c r="T383" s="321"/>
      <c r="U383" s="321"/>
      <c r="V383" s="321"/>
      <c r="W383" s="321"/>
      <c r="X383" s="321"/>
      <c r="Y383" s="321"/>
      <c r="Z383" s="321"/>
      <c r="AA383" s="321"/>
      <c r="AB383" s="321"/>
      <c r="AC383" s="321"/>
      <c r="AD383" s="321"/>
    </row>
    <row r="384">
      <c r="A384" s="321"/>
      <c r="B384" s="321"/>
      <c r="C384" s="321"/>
      <c r="D384" s="321"/>
      <c r="E384" s="321"/>
      <c r="F384" s="321"/>
      <c r="G384" s="454"/>
      <c r="H384" s="454"/>
      <c r="I384" s="454"/>
      <c r="J384" s="454"/>
      <c r="K384" s="321"/>
      <c r="L384" s="321"/>
      <c r="M384" s="321"/>
      <c r="N384" s="321"/>
      <c r="O384" s="321"/>
      <c r="P384" s="321"/>
      <c r="Q384" s="321"/>
      <c r="R384" s="321"/>
      <c r="S384" s="321"/>
      <c r="T384" s="321"/>
      <c r="U384" s="321"/>
      <c r="V384" s="321"/>
      <c r="W384" s="321"/>
      <c r="X384" s="321"/>
      <c r="Y384" s="321"/>
      <c r="Z384" s="321"/>
      <c r="AA384" s="321"/>
      <c r="AB384" s="321"/>
      <c r="AC384" s="321"/>
      <c r="AD384" s="321"/>
    </row>
    <row r="385">
      <c r="A385" s="321"/>
      <c r="B385" s="321"/>
      <c r="C385" s="321"/>
      <c r="D385" s="321"/>
      <c r="E385" s="321"/>
      <c r="F385" s="321"/>
      <c r="G385" s="454"/>
      <c r="H385" s="454"/>
      <c r="I385" s="454"/>
      <c r="J385" s="454"/>
      <c r="K385" s="321"/>
      <c r="L385" s="321"/>
      <c r="M385" s="321"/>
      <c r="N385" s="321"/>
      <c r="O385" s="321"/>
      <c r="P385" s="321"/>
      <c r="Q385" s="321"/>
      <c r="R385" s="321"/>
      <c r="S385" s="321"/>
      <c r="T385" s="321"/>
      <c r="U385" s="321"/>
      <c r="V385" s="321"/>
      <c r="W385" s="321"/>
      <c r="X385" s="321"/>
      <c r="Y385" s="321"/>
      <c r="Z385" s="321"/>
      <c r="AA385" s="321"/>
      <c r="AB385" s="321"/>
      <c r="AC385" s="321"/>
      <c r="AD385" s="321"/>
    </row>
    <row r="386">
      <c r="A386" s="321"/>
      <c r="B386" s="321"/>
      <c r="C386" s="321"/>
      <c r="D386" s="321"/>
      <c r="E386" s="321"/>
      <c r="F386" s="321"/>
      <c r="G386" s="454"/>
      <c r="H386" s="454"/>
      <c r="I386" s="454"/>
      <c r="J386" s="454"/>
      <c r="K386" s="321"/>
      <c r="L386" s="321"/>
      <c r="M386" s="321"/>
      <c r="N386" s="321"/>
      <c r="O386" s="321"/>
      <c r="P386" s="321"/>
      <c r="Q386" s="321"/>
      <c r="R386" s="321"/>
      <c r="S386" s="321"/>
      <c r="T386" s="321"/>
      <c r="U386" s="321"/>
      <c r="V386" s="321"/>
      <c r="W386" s="321"/>
      <c r="X386" s="321"/>
      <c r="Y386" s="321"/>
      <c r="Z386" s="321"/>
      <c r="AA386" s="321"/>
      <c r="AB386" s="321"/>
      <c r="AC386" s="321"/>
      <c r="AD386" s="321"/>
    </row>
    <row r="387">
      <c r="A387" s="321"/>
      <c r="B387" s="321"/>
      <c r="C387" s="321"/>
      <c r="D387" s="321"/>
      <c r="E387" s="321"/>
      <c r="F387" s="321"/>
      <c r="G387" s="454"/>
      <c r="H387" s="454"/>
      <c r="I387" s="454"/>
      <c r="J387" s="454"/>
      <c r="K387" s="321"/>
      <c r="L387" s="321"/>
      <c r="M387" s="321"/>
      <c r="N387" s="321"/>
      <c r="O387" s="321"/>
      <c r="P387" s="321"/>
      <c r="Q387" s="321"/>
      <c r="R387" s="321"/>
      <c r="S387" s="321"/>
      <c r="T387" s="321"/>
      <c r="U387" s="321"/>
      <c r="V387" s="321"/>
      <c r="W387" s="321"/>
      <c r="X387" s="321"/>
      <c r="Y387" s="321"/>
      <c r="Z387" s="321"/>
      <c r="AA387" s="321"/>
      <c r="AB387" s="321"/>
      <c r="AC387" s="321"/>
      <c r="AD387" s="321"/>
    </row>
    <row r="388">
      <c r="A388" s="321"/>
      <c r="B388" s="321"/>
      <c r="C388" s="321"/>
      <c r="D388" s="321"/>
      <c r="E388" s="321"/>
      <c r="F388" s="321"/>
      <c r="G388" s="454"/>
      <c r="H388" s="454"/>
      <c r="I388" s="454"/>
      <c r="J388" s="454"/>
      <c r="K388" s="321"/>
      <c r="L388" s="321"/>
      <c r="M388" s="321"/>
      <c r="N388" s="321"/>
      <c r="O388" s="321"/>
      <c r="P388" s="321"/>
      <c r="Q388" s="321"/>
      <c r="R388" s="321"/>
      <c r="S388" s="321"/>
      <c r="T388" s="321"/>
      <c r="U388" s="321"/>
      <c r="V388" s="321"/>
      <c r="W388" s="321"/>
      <c r="X388" s="321"/>
      <c r="Y388" s="321"/>
      <c r="Z388" s="321"/>
      <c r="AA388" s="321"/>
      <c r="AB388" s="321"/>
      <c r="AC388" s="321"/>
      <c r="AD388" s="321"/>
    </row>
    <row r="389">
      <c r="A389" s="321"/>
      <c r="B389" s="321"/>
      <c r="C389" s="321"/>
      <c r="D389" s="321"/>
      <c r="E389" s="321"/>
      <c r="F389" s="321"/>
      <c r="G389" s="454"/>
      <c r="H389" s="454"/>
      <c r="I389" s="454"/>
      <c r="J389" s="454"/>
      <c r="K389" s="321"/>
      <c r="L389" s="321"/>
      <c r="M389" s="321"/>
      <c r="N389" s="321"/>
      <c r="O389" s="321"/>
      <c r="P389" s="321"/>
      <c r="Q389" s="321"/>
      <c r="R389" s="321"/>
      <c r="S389" s="321"/>
      <c r="T389" s="321"/>
      <c r="U389" s="321"/>
      <c r="V389" s="321"/>
      <c r="W389" s="321"/>
      <c r="X389" s="321"/>
      <c r="Y389" s="321"/>
      <c r="Z389" s="321"/>
      <c r="AA389" s="321"/>
      <c r="AB389" s="321"/>
      <c r="AC389" s="321"/>
      <c r="AD389" s="321"/>
    </row>
    <row r="390">
      <c r="A390" s="321"/>
      <c r="B390" s="321"/>
      <c r="C390" s="321"/>
      <c r="D390" s="321"/>
      <c r="E390" s="321"/>
      <c r="F390" s="321"/>
      <c r="G390" s="454"/>
      <c r="H390" s="454"/>
      <c r="I390" s="454"/>
      <c r="J390" s="454"/>
      <c r="K390" s="321"/>
      <c r="L390" s="321"/>
      <c r="M390" s="321"/>
      <c r="N390" s="321"/>
      <c r="O390" s="321"/>
      <c r="P390" s="321"/>
      <c r="Q390" s="321"/>
      <c r="R390" s="321"/>
      <c r="S390" s="321"/>
      <c r="T390" s="321"/>
      <c r="U390" s="321"/>
      <c r="V390" s="321"/>
      <c r="W390" s="321"/>
      <c r="X390" s="321"/>
      <c r="Y390" s="321"/>
      <c r="Z390" s="321"/>
      <c r="AA390" s="321"/>
      <c r="AB390" s="321"/>
      <c r="AC390" s="321"/>
      <c r="AD390" s="321"/>
    </row>
    <row r="391">
      <c r="A391" s="321"/>
      <c r="B391" s="321"/>
      <c r="C391" s="321"/>
      <c r="D391" s="321"/>
      <c r="E391" s="321"/>
      <c r="F391" s="321"/>
      <c r="G391" s="454"/>
      <c r="H391" s="454"/>
      <c r="I391" s="454"/>
      <c r="J391" s="454"/>
      <c r="K391" s="321"/>
      <c r="L391" s="321"/>
      <c r="M391" s="321"/>
      <c r="N391" s="321"/>
      <c r="O391" s="321"/>
      <c r="P391" s="321"/>
      <c r="Q391" s="321"/>
      <c r="R391" s="321"/>
      <c r="S391" s="321"/>
      <c r="T391" s="321"/>
      <c r="U391" s="321"/>
      <c r="V391" s="321"/>
      <c r="W391" s="321"/>
      <c r="X391" s="321"/>
      <c r="Y391" s="321"/>
      <c r="Z391" s="321"/>
      <c r="AA391" s="321"/>
      <c r="AB391" s="321"/>
      <c r="AC391" s="321"/>
      <c r="AD391" s="321"/>
    </row>
    <row r="392">
      <c r="A392" s="321"/>
      <c r="B392" s="321"/>
      <c r="C392" s="321"/>
      <c r="D392" s="321"/>
      <c r="E392" s="321"/>
      <c r="F392" s="321"/>
      <c r="G392" s="454"/>
      <c r="H392" s="454"/>
      <c r="I392" s="454"/>
      <c r="J392" s="454"/>
      <c r="K392" s="321"/>
      <c r="L392" s="321"/>
      <c r="M392" s="321"/>
      <c r="N392" s="321"/>
      <c r="O392" s="321"/>
      <c r="P392" s="321"/>
      <c r="Q392" s="321"/>
      <c r="R392" s="321"/>
      <c r="S392" s="321"/>
      <c r="T392" s="321"/>
      <c r="U392" s="321"/>
      <c r="V392" s="321"/>
      <c r="W392" s="321"/>
      <c r="X392" s="321"/>
      <c r="Y392" s="321"/>
      <c r="Z392" s="321"/>
      <c r="AA392" s="321"/>
      <c r="AB392" s="321"/>
      <c r="AC392" s="321"/>
      <c r="AD392" s="321"/>
    </row>
    <row r="393">
      <c r="A393" s="321"/>
      <c r="B393" s="321"/>
      <c r="C393" s="321"/>
      <c r="D393" s="321"/>
      <c r="E393" s="321"/>
      <c r="F393" s="321"/>
      <c r="G393" s="454"/>
      <c r="H393" s="454"/>
      <c r="I393" s="454"/>
      <c r="J393" s="454"/>
      <c r="K393" s="321"/>
      <c r="L393" s="321"/>
      <c r="M393" s="321"/>
      <c r="N393" s="321"/>
      <c r="O393" s="321"/>
      <c r="P393" s="321"/>
      <c r="Q393" s="321"/>
      <c r="R393" s="321"/>
      <c r="S393" s="321"/>
      <c r="T393" s="321"/>
      <c r="U393" s="321"/>
      <c r="V393" s="321"/>
      <c r="W393" s="321"/>
      <c r="X393" s="321"/>
      <c r="Y393" s="321"/>
      <c r="Z393" s="321"/>
      <c r="AA393" s="321"/>
      <c r="AB393" s="321"/>
      <c r="AC393" s="321"/>
      <c r="AD393" s="321"/>
    </row>
    <row r="394">
      <c r="A394" s="321"/>
      <c r="B394" s="321"/>
      <c r="C394" s="321"/>
      <c r="D394" s="321"/>
      <c r="E394" s="321"/>
      <c r="F394" s="321"/>
      <c r="G394" s="454"/>
      <c r="H394" s="454"/>
      <c r="I394" s="454"/>
      <c r="J394" s="454"/>
      <c r="K394" s="321"/>
      <c r="L394" s="321"/>
      <c r="M394" s="321"/>
      <c r="N394" s="321"/>
      <c r="O394" s="321"/>
      <c r="P394" s="321"/>
      <c r="Q394" s="321"/>
      <c r="R394" s="321"/>
      <c r="S394" s="321"/>
      <c r="T394" s="321"/>
      <c r="U394" s="321"/>
      <c r="V394" s="321"/>
      <c r="W394" s="321"/>
      <c r="X394" s="321"/>
      <c r="Y394" s="321"/>
      <c r="Z394" s="321"/>
      <c r="AA394" s="321"/>
      <c r="AB394" s="321"/>
      <c r="AC394" s="321"/>
      <c r="AD394" s="321"/>
    </row>
    <row r="395">
      <c r="A395" s="321"/>
      <c r="B395" s="321"/>
      <c r="C395" s="321"/>
      <c r="D395" s="321"/>
      <c r="E395" s="321"/>
      <c r="F395" s="321"/>
      <c r="G395" s="454"/>
      <c r="H395" s="454"/>
      <c r="I395" s="454"/>
      <c r="J395" s="454"/>
      <c r="K395" s="321"/>
      <c r="L395" s="321"/>
      <c r="M395" s="321"/>
      <c r="N395" s="321"/>
      <c r="O395" s="321"/>
      <c r="P395" s="321"/>
      <c r="Q395" s="321"/>
      <c r="R395" s="321"/>
      <c r="S395" s="321"/>
      <c r="T395" s="321"/>
      <c r="U395" s="321"/>
      <c r="V395" s="321"/>
      <c r="W395" s="321"/>
      <c r="X395" s="321"/>
      <c r="Y395" s="321"/>
      <c r="Z395" s="321"/>
      <c r="AA395" s="321"/>
      <c r="AB395" s="321"/>
      <c r="AC395" s="321"/>
      <c r="AD395" s="321"/>
    </row>
    <row r="396">
      <c r="A396" s="321"/>
      <c r="B396" s="321"/>
      <c r="C396" s="321"/>
      <c r="D396" s="321"/>
      <c r="E396" s="321"/>
      <c r="F396" s="321"/>
      <c r="G396" s="454"/>
      <c r="H396" s="454"/>
      <c r="I396" s="454"/>
      <c r="J396" s="454"/>
      <c r="K396" s="321"/>
      <c r="L396" s="321"/>
      <c r="M396" s="321"/>
      <c r="N396" s="321"/>
      <c r="O396" s="321"/>
      <c r="P396" s="321"/>
      <c r="Q396" s="321"/>
      <c r="R396" s="321"/>
      <c r="S396" s="321"/>
      <c r="T396" s="321"/>
      <c r="U396" s="321"/>
      <c r="V396" s="321"/>
      <c r="W396" s="321"/>
      <c r="X396" s="321"/>
      <c r="Y396" s="321"/>
      <c r="Z396" s="321"/>
      <c r="AA396" s="321"/>
      <c r="AB396" s="321"/>
      <c r="AC396" s="321"/>
      <c r="AD396" s="321"/>
    </row>
    <row r="397">
      <c r="A397" s="321"/>
      <c r="B397" s="321"/>
      <c r="C397" s="321"/>
      <c r="D397" s="321"/>
      <c r="E397" s="321"/>
      <c r="F397" s="321"/>
      <c r="G397" s="454"/>
      <c r="H397" s="454"/>
      <c r="I397" s="454"/>
      <c r="J397" s="454"/>
      <c r="K397" s="321"/>
      <c r="L397" s="321"/>
      <c r="M397" s="321"/>
      <c r="N397" s="321"/>
      <c r="O397" s="321"/>
      <c r="P397" s="321"/>
      <c r="Q397" s="321"/>
      <c r="R397" s="321"/>
      <c r="S397" s="321"/>
      <c r="T397" s="321"/>
      <c r="U397" s="321"/>
      <c r="V397" s="321"/>
      <c r="W397" s="321"/>
      <c r="X397" s="321"/>
      <c r="Y397" s="321"/>
      <c r="Z397" s="321"/>
      <c r="AA397" s="321"/>
      <c r="AB397" s="321"/>
      <c r="AC397" s="321"/>
      <c r="AD397" s="321"/>
    </row>
    <row r="398">
      <c r="A398" s="321"/>
      <c r="B398" s="321"/>
      <c r="C398" s="321"/>
      <c r="D398" s="321"/>
      <c r="E398" s="321"/>
      <c r="F398" s="321"/>
      <c r="G398" s="454"/>
      <c r="H398" s="454"/>
      <c r="I398" s="454"/>
      <c r="J398" s="454"/>
      <c r="K398" s="321"/>
      <c r="L398" s="321"/>
      <c r="M398" s="321"/>
      <c r="N398" s="321"/>
      <c r="O398" s="321"/>
      <c r="P398" s="321"/>
      <c r="Q398" s="321"/>
      <c r="R398" s="321"/>
      <c r="S398" s="321"/>
      <c r="T398" s="321"/>
      <c r="U398" s="321"/>
      <c r="V398" s="321"/>
      <c r="W398" s="321"/>
      <c r="X398" s="321"/>
      <c r="Y398" s="321"/>
      <c r="Z398" s="321"/>
      <c r="AA398" s="321"/>
      <c r="AB398" s="321"/>
      <c r="AC398" s="321"/>
      <c r="AD398" s="321"/>
    </row>
    <row r="399">
      <c r="A399" s="321"/>
      <c r="B399" s="321"/>
      <c r="C399" s="321"/>
      <c r="D399" s="321"/>
      <c r="E399" s="321"/>
      <c r="F399" s="321"/>
      <c r="G399" s="454"/>
      <c r="H399" s="454"/>
      <c r="I399" s="454"/>
      <c r="J399" s="454"/>
      <c r="K399" s="321"/>
      <c r="L399" s="321"/>
      <c r="M399" s="321"/>
      <c r="N399" s="321"/>
      <c r="O399" s="321"/>
      <c r="P399" s="321"/>
      <c r="Q399" s="321"/>
      <c r="R399" s="321"/>
      <c r="S399" s="321"/>
      <c r="T399" s="321"/>
      <c r="U399" s="321"/>
      <c r="V399" s="321"/>
      <c r="W399" s="321"/>
      <c r="X399" s="321"/>
      <c r="Y399" s="321"/>
      <c r="Z399" s="321"/>
      <c r="AA399" s="321"/>
      <c r="AB399" s="321"/>
      <c r="AC399" s="321"/>
      <c r="AD399" s="321"/>
    </row>
    <row r="400">
      <c r="A400" s="321"/>
      <c r="B400" s="321"/>
      <c r="C400" s="321"/>
      <c r="D400" s="321"/>
      <c r="E400" s="321"/>
      <c r="F400" s="321"/>
      <c r="G400" s="454"/>
      <c r="H400" s="454"/>
      <c r="I400" s="454"/>
      <c r="J400" s="454"/>
      <c r="K400" s="321"/>
      <c r="L400" s="321"/>
      <c r="M400" s="321"/>
      <c r="N400" s="321"/>
      <c r="O400" s="321"/>
      <c r="P400" s="321"/>
      <c r="Q400" s="321"/>
      <c r="R400" s="321"/>
      <c r="S400" s="321"/>
      <c r="T400" s="321"/>
      <c r="U400" s="321"/>
      <c r="V400" s="321"/>
      <c r="W400" s="321"/>
      <c r="X400" s="321"/>
      <c r="Y400" s="321"/>
      <c r="Z400" s="321"/>
      <c r="AA400" s="321"/>
      <c r="AB400" s="321"/>
      <c r="AC400" s="321"/>
      <c r="AD400" s="321"/>
    </row>
    <row r="401">
      <c r="A401" s="321"/>
      <c r="B401" s="321"/>
      <c r="C401" s="321"/>
      <c r="D401" s="321"/>
      <c r="E401" s="321"/>
      <c r="F401" s="321"/>
      <c r="G401" s="454"/>
      <c r="H401" s="454"/>
      <c r="I401" s="454"/>
      <c r="J401" s="454"/>
      <c r="K401" s="321"/>
      <c r="L401" s="321"/>
      <c r="M401" s="321"/>
      <c r="N401" s="321"/>
      <c r="O401" s="321"/>
      <c r="P401" s="321"/>
      <c r="Q401" s="321"/>
      <c r="R401" s="321"/>
      <c r="S401" s="321"/>
      <c r="T401" s="321"/>
      <c r="U401" s="321"/>
      <c r="V401" s="321"/>
      <c r="W401" s="321"/>
      <c r="X401" s="321"/>
      <c r="Y401" s="321"/>
      <c r="Z401" s="321"/>
      <c r="AA401" s="321"/>
      <c r="AB401" s="321"/>
      <c r="AC401" s="321"/>
      <c r="AD401" s="321"/>
    </row>
    <row r="402">
      <c r="A402" s="321"/>
      <c r="B402" s="321"/>
      <c r="C402" s="321"/>
      <c r="D402" s="321"/>
      <c r="E402" s="321"/>
      <c r="F402" s="321"/>
      <c r="G402" s="454"/>
      <c r="H402" s="454"/>
      <c r="I402" s="454"/>
      <c r="J402" s="454"/>
      <c r="K402" s="321"/>
      <c r="L402" s="321"/>
      <c r="M402" s="321"/>
      <c r="N402" s="321"/>
      <c r="O402" s="321"/>
      <c r="P402" s="321"/>
      <c r="Q402" s="321"/>
      <c r="R402" s="321"/>
      <c r="S402" s="321"/>
      <c r="T402" s="321"/>
      <c r="U402" s="321"/>
      <c r="V402" s="321"/>
      <c r="W402" s="321"/>
      <c r="X402" s="321"/>
      <c r="Y402" s="321"/>
      <c r="Z402" s="321"/>
      <c r="AA402" s="321"/>
      <c r="AB402" s="321"/>
      <c r="AC402" s="321"/>
      <c r="AD402" s="321"/>
    </row>
    <row r="403">
      <c r="A403" s="321"/>
      <c r="B403" s="321"/>
      <c r="C403" s="321"/>
      <c r="D403" s="321"/>
      <c r="E403" s="321"/>
      <c r="F403" s="321"/>
      <c r="G403" s="454"/>
      <c r="H403" s="454"/>
      <c r="I403" s="454"/>
      <c r="J403" s="454"/>
      <c r="K403" s="321"/>
      <c r="L403" s="321"/>
      <c r="M403" s="321"/>
      <c r="N403" s="321"/>
      <c r="O403" s="321"/>
      <c r="P403" s="321"/>
      <c r="Q403" s="321"/>
      <c r="R403" s="321"/>
      <c r="S403" s="321"/>
      <c r="T403" s="321"/>
      <c r="U403" s="321"/>
      <c r="V403" s="321"/>
      <c r="W403" s="321"/>
      <c r="X403" s="321"/>
      <c r="Y403" s="321"/>
      <c r="Z403" s="321"/>
      <c r="AA403" s="321"/>
      <c r="AB403" s="321"/>
      <c r="AC403" s="321"/>
      <c r="AD403" s="321"/>
    </row>
    <row r="404">
      <c r="A404" s="321"/>
      <c r="B404" s="321"/>
      <c r="C404" s="321"/>
      <c r="D404" s="321"/>
      <c r="E404" s="321"/>
      <c r="F404" s="321"/>
      <c r="G404" s="454"/>
      <c r="H404" s="454"/>
      <c r="I404" s="454"/>
      <c r="J404" s="454"/>
      <c r="K404" s="321"/>
      <c r="L404" s="321"/>
      <c r="M404" s="321"/>
      <c r="N404" s="321"/>
      <c r="O404" s="321"/>
      <c r="P404" s="321"/>
      <c r="Q404" s="321"/>
      <c r="R404" s="321"/>
      <c r="S404" s="321"/>
      <c r="T404" s="321"/>
      <c r="U404" s="321"/>
      <c r="V404" s="321"/>
      <c r="W404" s="321"/>
      <c r="X404" s="321"/>
      <c r="Y404" s="321"/>
      <c r="Z404" s="321"/>
      <c r="AA404" s="321"/>
      <c r="AB404" s="321"/>
      <c r="AC404" s="321"/>
      <c r="AD404" s="321"/>
    </row>
    <row r="405">
      <c r="A405" s="321"/>
      <c r="B405" s="321"/>
      <c r="C405" s="321"/>
      <c r="D405" s="321"/>
      <c r="E405" s="321"/>
      <c r="F405" s="321"/>
      <c r="G405" s="454"/>
      <c r="H405" s="454"/>
      <c r="I405" s="454"/>
      <c r="J405" s="454"/>
      <c r="K405" s="321"/>
      <c r="L405" s="321"/>
      <c r="M405" s="321"/>
      <c r="N405" s="321"/>
      <c r="O405" s="321"/>
      <c r="P405" s="321"/>
      <c r="Q405" s="321"/>
      <c r="R405" s="321"/>
      <c r="S405" s="321"/>
      <c r="T405" s="321"/>
      <c r="U405" s="321"/>
      <c r="V405" s="321"/>
      <c r="W405" s="321"/>
      <c r="X405" s="321"/>
      <c r="Y405" s="321"/>
      <c r="Z405" s="321"/>
      <c r="AA405" s="321"/>
      <c r="AB405" s="321"/>
      <c r="AC405" s="321"/>
      <c r="AD405" s="321"/>
    </row>
    <row r="406">
      <c r="A406" s="321"/>
      <c r="B406" s="321"/>
      <c r="C406" s="321"/>
      <c r="D406" s="321"/>
      <c r="E406" s="321"/>
      <c r="F406" s="321"/>
      <c r="G406" s="454"/>
      <c r="H406" s="454"/>
      <c r="I406" s="454"/>
      <c r="J406" s="454"/>
      <c r="K406" s="321"/>
      <c r="L406" s="321"/>
      <c r="M406" s="321"/>
      <c r="N406" s="321"/>
      <c r="O406" s="321"/>
      <c r="P406" s="321"/>
      <c r="Q406" s="321"/>
      <c r="R406" s="321"/>
      <c r="S406" s="321"/>
      <c r="T406" s="321"/>
      <c r="U406" s="321"/>
      <c r="V406" s="321"/>
      <c r="W406" s="321"/>
      <c r="X406" s="321"/>
      <c r="Y406" s="321"/>
      <c r="Z406" s="321"/>
      <c r="AA406" s="321"/>
      <c r="AB406" s="321"/>
      <c r="AC406" s="321"/>
      <c r="AD406" s="321"/>
    </row>
    <row r="407">
      <c r="A407" s="321"/>
      <c r="B407" s="321"/>
      <c r="C407" s="321"/>
      <c r="D407" s="321"/>
      <c r="E407" s="321"/>
      <c r="F407" s="321"/>
      <c r="G407" s="454"/>
      <c r="H407" s="454"/>
      <c r="I407" s="454"/>
      <c r="J407" s="454"/>
      <c r="K407" s="321"/>
      <c r="L407" s="321"/>
      <c r="M407" s="321"/>
      <c r="N407" s="321"/>
      <c r="O407" s="321"/>
      <c r="P407" s="321"/>
      <c r="Q407" s="321"/>
      <c r="R407" s="321"/>
      <c r="S407" s="321"/>
      <c r="T407" s="321"/>
      <c r="U407" s="321"/>
      <c r="V407" s="321"/>
      <c r="W407" s="321"/>
      <c r="X407" s="321"/>
      <c r="Y407" s="321"/>
      <c r="Z407" s="321"/>
      <c r="AA407" s="321"/>
      <c r="AB407" s="321"/>
      <c r="AC407" s="321"/>
      <c r="AD407" s="321"/>
    </row>
    <row r="408">
      <c r="A408" s="321"/>
      <c r="B408" s="321"/>
      <c r="C408" s="321"/>
      <c r="D408" s="321"/>
      <c r="E408" s="321"/>
      <c r="F408" s="321"/>
      <c r="G408" s="454"/>
      <c r="H408" s="454"/>
      <c r="I408" s="454"/>
      <c r="J408" s="454"/>
      <c r="K408" s="321"/>
      <c r="L408" s="321"/>
      <c r="M408" s="321"/>
      <c r="N408" s="321"/>
      <c r="O408" s="321"/>
      <c r="P408" s="321"/>
      <c r="Q408" s="321"/>
      <c r="R408" s="321"/>
      <c r="S408" s="321"/>
      <c r="T408" s="321"/>
      <c r="U408" s="321"/>
      <c r="V408" s="321"/>
      <c r="W408" s="321"/>
      <c r="X408" s="321"/>
      <c r="Y408" s="321"/>
      <c r="Z408" s="321"/>
      <c r="AA408" s="321"/>
      <c r="AB408" s="321"/>
      <c r="AC408" s="321"/>
      <c r="AD408" s="321"/>
    </row>
    <row r="409">
      <c r="A409" s="321"/>
      <c r="B409" s="321"/>
      <c r="C409" s="321"/>
      <c r="D409" s="321"/>
      <c r="E409" s="321"/>
      <c r="F409" s="321"/>
      <c r="G409" s="454"/>
      <c r="H409" s="454"/>
      <c r="I409" s="454"/>
      <c r="J409" s="454"/>
      <c r="K409" s="321"/>
      <c r="L409" s="321"/>
      <c r="M409" s="321"/>
      <c r="N409" s="321"/>
      <c r="O409" s="321"/>
      <c r="P409" s="321"/>
      <c r="Q409" s="321"/>
      <c r="R409" s="321"/>
      <c r="S409" s="321"/>
      <c r="T409" s="321"/>
      <c r="U409" s="321"/>
      <c r="V409" s="321"/>
      <c r="W409" s="321"/>
      <c r="X409" s="321"/>
      <c r="Y409" s="321"/>
      <c r="Z409" s="321"/>
      <c r="AA409" s="321"/>
      <c r="AB409" s="321"/>
      <c r="AC409" s="321"/>
      <c r="AD409" s="321"/>
    </row>
    <row r="410">
      <c r="A410" s="321"/>
      <c r="B410" s="321"/>
      <c r="C410" s="321"/>
      <c r="D410" s="321"/>
      <c r="E410" s="321"/>
      <c r="F410" s="321"/>
      <c r="G410" s="454"/>
      <c r="H410" s="454"/>
      <c r="I410" s="454"/>
      <c r="J410" s="454"/>
      <c r="K410" s="321"/>
      <c r="L410" s="321"/>
      <c r="M410" s="321"/>
      <c r="N410" s="321"/>
      <c r="O410" s="321"/>
      <c r="P410" s="321"/>
      <c r="Q410" s="321"/>
      <c r="R410" s="321"/>
      <c r="S410" s="321"/>
      <c r="T410" s="321"/>
      <c r="U410" s="321"/>
      <c r="V410" s="321"/>
      <c r="W410" s="321"/>
      <c r="X410" s="321"/>
      <c r="Y410" s="321"/>
      <c r="Z410" s="321"/>
      <c r="AA410" s="321"/>
      <c r="AB410" s="321"/>
      <c r="AC410" s="321"/>
      <c r="AD410" s="321"/>
    </row>
    <row r="411">
      <c r="A411" s="321"/>
      <c r="B411" s="321"/>
      <c r="C411" s="321"/>
      <c r="D411" s="321"/>
      <c r="E411" s="321"/>
      <c r="F411" s="321"/>
      <c r="G411" s="454"/>
      <c r="H411" s="454"/>
      <c r="I411" s="454"/>
      <c r="J411" s="454"/>
      <c r="K411" s="321"/>
      <c r="L411" s="321"/>
      <c r="M411" s="321"/>
      <c r="N411" s="321"/>
      <c r="O411" s="321"/>
      <c r="P411" s="321"/>
      <c r="Q411" s="321"/>
      <c r="R411" s="321"/>
      <c r="S411" s="321"/>
      <c r="T411" s="321"/>
      <c r="U411" s="321"/>
      <c r="V411" s="321"/>
      <c r="W411" s="321"/>
      <c r="X411" s="321"/>
      <c r="Y411" s="321"/>
      <c r="Z411" s="321"/>
      <c r="AA411" s="321"/>
      <c r="AB411" s="321"/>
      <c r="AC411" s="321"/>
      <c r="AD411" s="321"/>
    </row>
    <row r="412">
      <c r="A412" s="321"/>
      <c r="B412" s="321"/>
      <c r="C412" s="321"/>
      <c r="D412" s="321"/>
      <c r="E412" s="321"/>
      <c r="F412" s="321"/>
      <c r="G412" s="454"/>
      <c r="H412" s="454"/>
      <c r="I412" s="454"/>
      <c r="J412" s="454"/>
      <c r="K412" s="321"/>
      <c r="L412" s="321"/>
      <c r="M412" s="321"/>
      <c r="N412" s="321"/>
      <c r="O412" s="321"/>
      <c r="P412" s="321"/>
      <c r="Q412" s="321"/>
      <c r="R412" s="321"/>
      <c r="S412" s="321"/>
      <c r="T412" s="321"/>
      <c r="U412" s="321"/>
      <c r="V412" s="321"/>
      <c r="W412" s="321"/>
      <c r="X412" s="321"/>
      <c r="Y412" s="321"/>
      <c r="Z412" s="321"/>
      <c r="AA412" s="321"/>
      <c r="AB412" s="321"/>
      <c r="AC412" s="321"/>
      <c r="AD412" s="321"/>
    </row>
    <row r="413">
      <c r="A413" s="321"/>
      <c r="B413" s="321"/>
      <c r="C413" s="321"/>
      <c r="D413" s="321"/>
      <c r="E413" s="321"/>
      <c r="F413" s="321"/>
      <c r="G413" s="454"/>
      <c r="H413" s="454"/>
      <c r="I413" s="454"/>
      <c r="J413" s="454"/>
      <c r="K413" s="321"/>
      <c r="L413" s="321"/>
      <c r="M413" s="321"/>
      <c r="N413" s="321"/>
      <c r="O413" s="321"/>
      <c r="P413" s="321"/>
      <c r="Q413" s="321"/>
      <c r="R413" s="321"/>
      <c r="S413" s="321"/>
      <c r="T413" s="321"/>
      <c r="U413" s="321"/>
      <c r="V413" s="321"/>
      <c r="W413" s="321"/>
      <c r="X413" s="321"/>
      <c r="Y413" s="321"/>
      <c r="Z413" s="321"/>
      <c r="AA413" s="321"/>
      <c r="AB413" s="321"/>
      <c r="AC413" s="321"/>
      <c r="AD413" s="321"/>
    </row>
    <row r="414">
      <c r="A414" s="321"/>
      <c r="B414" s="321"/>
      <c r="C414" s="321"/>
      <c r="D414" s="321"/>
      <c r="E414" s="321"/>
      <c r="F414" s="321"/>
      <c r="G414" s="454"/>
      <c r="H414" s="454"/>
      <c r="I414" s="454"/>
      <c r="J414" s="454"/>
      <c r="K414" s="321"/>
      <c r="L414" s="321"/>
      <c r="M414" s="321"/>
      <c r="N414" s="321"/>
      <c r="O414" s="321"/>
      <c r="P414" s="321"/>
      <c r="Q414" s="321"/>
      <c r="R414" s="321"/>
      <c r="S414" s="321"/>
      <c r="T414" s="321"/>
      <c r="U414" s="321"/>
      <c r="V414" s="321"/>
      <c r="W414" s="321"/>
      <c r="X414" s="321"/>
      <c r="Y414" s="321"/>
      <c r="Z414" s="321"/>
      <c r="AA414" s="321"/>
      <c r="AB414" s="321"/>
      <c r="AC414" s="321"/>
      <c r="AD414" s="321"/>
    </row>
    <row r="415">
      <c r="A415" s="321"/>
      <c r="B415" s="321"/>
      <c r="C415" s="321"/>
      <c r="D415" s="321"/>
      <c r="E415" s="321"/>
      <c r="F415" s="321"/>
      <c r="G415" s="454"/>
      <c r="H415" s="454"/>
      <c r="I415" s="454"/>
      <c r="J415" s="454"/>
      <c r="K415" s="321"/>
      <c r="L415" s="321"/>
      <c r="M415" s="321"/>
      <c r="N415" s="321"/>
      <c r="O415" s="321"/>
      <c r="P415" s="321"/>
      <c r="Q415" s="321"/>
      <c r="R415" s="321"/>
      <c r="S415" s="321"/>
      <c r="T415" s="321"/>
      <c r="U415" s="321"/>
      <c r="V415" s="321"/>
      <c r="W415" s="321"/>
      <c r="X415" s="321"/>
      <c r="Y415" s="321"/>
      <c r="Z415" s="321"/>
      <c r="AA415" s="321"/>
      <c r="AB415" s="321"/>
      <c r="AC415" s="321"/>
      <c r="AD415" s="321"/>
    </row>
    <row r="416">
      <c r="A416" s="321"/>
      <c r="B416" s="321"/>
      <c r="C416" s="321"/>
      <c r="D416" s="321"/>
      <c r="E416" s="321"/>
      <c r="F416" s="321"/>
      <c r="G416" s="454"/>
      <c r="H416" s="454"/>
      <c r="I416" s="454"/>
      <c r="J416" s="454"/>
      <c r="K416" s="321"/>
      <c r="L416" s="321"/>
      <c r="M416" s="321"/>
      <c r="N416" s="321"/>
      <c r="O416" s="321"/>
      <c r="P416" s="321"/>
      <c r="Q416" s="321"/>
      <c r="R416" s="321"/>
      <c r="S416" s="321"/>
      <c r="T416" s="321"/>
      <c r="U416" s="321"/>
      <c r="V416" s="321"/>
      <c r="W416" s="321"/>
      <c r="X416" s="321"/>
      <c r="Y416" s="321"/>
      <c r="Z416" s="321"/>
      <c r="AA416" s="321"/>
      <c r="AB416" s="321"/>
      <c r="AC416" s="321"/>
      <c r="AD416" s="321"/>
    </row>
    <row r="417">
      <c r="A417" s="321"/>
      <c r="B417" s="321"/>
      <c r="C417" s="321"/>
      <c r="D417" s="321"/>
      <c r="E417" s="321"/>
      <c r="F417" s="321"/>
      <c r="G417" s="454"/>
      <c r="H417" s="454"/>
      <c r="I417" s="454"/>
      <c r="J417" s="454"/>
      <c r="K417" s="321"/>
      <c r="L417" s="321"/>
      <c r="M417" s="321"/>
      <c r="N417" s="321"/>
      <c r="O417" s="321"/>
      <c r="P417" s="321"/>
      <c r="Q417" s="321"/>
      <c r="R417" s="321"/>
      <c r="S417" s="321"/>
      <c r="T417" s="321"/>
      <c r="U417" s="321"/>
      <c r="V417" s="321"/>
      <c r="W417" s="321"/>
      <c r="X417" s="321"/>
      <c r="Y417" s="321"/>
      <c r="Z417" s="321"/>
      <c r="AA417" s="321"/>
      <c r="AB417" s="321"/>
      <c r="AC417" s="321"/>
      <c r="AD417" s="321"/>
    </row>
    <row r="418">
      <c r="A418" s="321"/>
      <c r="B418" s="321"/>
      <c r="C418" s="321"/>
      <c r="D418" s="321"/>
      <c r="E418" s="321"/>
      <c r="F418" s="321"/>
      <c r="G418" s="454"/>
      <c r="H418" s="454"/>
      <c r="I418" s="454"/>
      <c r="J418" s="454"/>
      <c r="K418" s="321"/>
      <c r="L418" s="321"/>
      <c r="M418" s="321"/>
      <c r="N418" s="321"/>
      <c r="O418" s="321"/>
      <c r="P418" s="321"/>
      <c r="Q418" s="321"/>
      <c r="R418" s="321"/>
      <c r="S418" s="321"/>
      <c r="T418" s="321"/>
      <c r="U418" s="321"/>
      <c r="V418" s="321"/>
      <c r="W418" s="321"/>
      <c r="X418" s="321"/>
      <c r="Y418" s="321"/>
      <c r="Z418" s="321"/>
      <c r="AA418" s="321"/>
      <c r="AB418" s="321"/>
      <c r="AC418" s="321"/>
      <c r="AD418" s="321"/>
    </row>
    <row r="419">
      <c r="A419" s="321"/>
      <c r="B419" s="321"/>
      <c r="C419" s="321"/>
      <c r="D419" s="321"/>
      <c r="E419" s="321"/>
      <c r="F419" s="321"/>
      <c r="G419" s="454"/>
      <c r="H419" s="454"/>
      <c r="I419" s="454"/>
      <c r="J419" s="454"/>
      <c r="K419" s="321"/>
      <c r="L419" s="321"/>
      <c r="M419" s="321"/>
      <c r="N419" s="321"/>
      <c r="O419" s="321"/>
      <c r="P419" s="321"/>
      <c r="Q419" s="321"/>
      <c r="R419" s="321"/>
      <c r="S419" s="321"/>
      <c r="T419" s="321"/>
      <c r="U419" s="321"/>
      <c r="V419" s="321"/>
      <c r="W419" s="321"/>
      <c r="X419" s="321"/>
      <c r="Y419" s="321"/>
      <c r="Z419" s="321"/>
      <c r="AA419" s="321"/>
      <c r="AB419" s="321"/>
      <c r="AC419" s="321"/>
      <c r="AD419" s="321"/>
    </row>
    <row r="420">
      <c r="A420" s="321"/>
      <c r="B420" s="321"/>
      <c r="C420" s="321"/>
      <c r="D420" s="321"/>
      <c r="E420" s="321"/>
      <c r="F420" s="321"/>
      <c r="G420" s="454"/>
      <c r="H420" s="454"/>
      <c r="I420" s="454"/>
      <c r="J420" s="454"/>
      <c r="K420" s="321"/>
      <c r="L420" s="321"/>
      <c r="M420" s="321"/>
      <c r="N420" s="321"/>
      <c r="O420" s="321"/>
      <c r="P420" s="321"/>
      <c r="Q420" s="321"/>
      <c r="R420" s="321"/>
      <c r="S420" s="321"/>
      <c r="T420" s="321"/>
      <c r="U420" s="321"/>
      <c r="V420" s="321"/>
      <c r="W420" s="321"/>
      <c r="X420" s="321"/>
      <c r="Y420" s="321"/>
      <c r="Z420" s="321"/>
      <c r="AA420" s="321"/>
      <c r="AB420" s="321"/>
      <c r="AC420" s="321"/>
      <c r="AD420" s="321"/>
    </row>
    <row r="421">
      <c r="A421" s="321"/>
      <c r="B421" s="321"/>
      <c r="C421" s="321"/>
      <c r="D421" s="321"/>
      <c r="E421" s="321"/>
      <c r="F421" s="321"/>
      <c r="G421" s="454"/>
      <c r="H421" s="454"/>
      <c r="I421" s="454"/>
      <c r="J421" s="454"/>
      <c r="K421" s="321"/>
      <c r="L421" s="321"/>
      <c r="M421" s="321"/>
      <c r="N421" s="321"/>
      <c r="O421" s="321"/>
      <c r="P421" s="321"/>
      <c r="Q421" s="321"/>
      <c r="R421" s="321"/>
      <c r="S421" s="321"/>
      <c r="T421" s="321"/>
      <c r="U421" s="321"/>
      <c r="V421" s="321"/>
      <c r="W421" s="321"/>
      <c r="X421" s="321"/>
      <c r="Y421" s="321"/>
      <c r="Z421" s="321"/>
      <c r="AA421" s="321"/>
      <c r="AB421" s="321"/>
      <c r="AC421" s="321"/>
      <c r="AD421" s="321"/>
    </row>
    <row r="422">
      <c r="A422" s="321"/>
      <c r="B422" s="321"/>
      <c r="C422" s="321"/>
      <c r="D422" s="321"/>
      <c r="E422" s="321"/>
      <c r="F422" s="321"/>
      <c r="G422" s="454"/>
      <c r="H422" s="454"/>
      <c r="I422" s="454"/>
      <c r="J422" s="454"/>
      <c r="K422" s="321"/>
      <c r="L422" s="321"/>
      <c r="M422" s="321"/>
      <c r="N422" s="321"/>
      <c r="O422" s="321"/>
      <c r="P422" s="321"/>
      <c r="Q422" s="321"/>
      <c r="R422" s="321"/>
      <c r="S422" s="321"/>
      <c r="T422" s="321"/>
      <c r="U422" s="321"/>
      <c r="V422" s="321"/>
      <c r="W422" s="321"/>
      <c r="X422" s="321"/>
      <c r="Y422" s="321"/>
      <c r="Z422" s="321"/>
      <c r="AA422" s="321"/>
      <c r="AB422" s="321"/>
      <c r="AC422" s="321"/>
      <c r="AD422" s="321"/>
    </row>
    <row r="423">
      <c r="A423" s="321"/>
      <c r="B423" s="321"/>
      <c r="C423" s="321"/>
      <c r="D423" s="321"/>
      <c r="E423" s="321"/>
      <c r="F423" s="321"/>
      <c r="G423" s="454"/>
      <c r="H423" s="454"/>
      <c r="I423" s="454"/>
      <c r="J423" s="454"/>
      <c r="K423" s="321"/>
      <c r="L423" s="321"/>
      <c r="M423" s="321"/>
      <c r="N423" s="321"/>
      <c r="O423" s="321"/>
      <c r="P423" s="321"/>
      <c r="Q423" s="321"/>
      <c r="R423" s="321"/>
      <c r="S423" s="321"/>
      <c r="T423" s="321"/>
      <c r="U423" s="321"/>
      <c r="V423" s="321"/>
      <c r="W423" s="321"/>
      <c r="X423" s="321"/>
      <c r="Y423" s="321"/>
      <c r="Z423" s="321"/>
      <c r="AA423" s="321"/>
      <c r="AB423" s="321"/>
      <c r="AC423" s="321"/>
      <c r="AD423" s="321"/>
    </row>
    <row r="424">
      <c r="A424" s="321"/>
      <c r="B424" s="321"/>
      <c r="C424" s="321"/>
      <c r="D424" s="321"/>
      <c r="E424" s="321"/>
      <c r="F424" s="321"/>
      <c r="G424" s="454"/>
      <c r="H424" s="454"/>
      <c r="I424" s="454"/>
      <c r="J424" s="454"/>
      <c r="K424" s="321"/>
      <c r="L424" s="321"/>
      <c r="M424" s="321"/>
      <c r="N424" s="321"/>
      <c r="O424" s="321"/>
      <c r="P424" s="321"/>
      <c r="Q424" s="321"/>
      <c r="R424" s="321"/>
      <c r="S424" s="321"/>
      <c r="T424" s="321"/>
      <c r="U424" s="321"/>
      <c r="V424" s="321"/>
      <c r="W424" s="321"/>
      <c r="X424" s="321"/>
      <c r="Y424" s="321"/>
      <c r="Z424" s="321"/>
      <c r="AA424" s="321"/>
      <c r="AB424" s="321"/>
      <c r="AC424" s="321"/>
      <c r="AD424" s="321"/>
    </row>
    <row r="425">
      <c r="A425" s="321"/>
      <c r="B425" s="321"/>
      <c r="C425" s="321"/>
      <c r="D425" s="321"/>
      <c r="E425" s="321"/>
      <c r="F425" s="321"/>
      <c r="G425" s="454"/>
      <c r="H425" s="454"/>
      <c r="I425" s="454"/>
      <c r="J425" s="454"/>
      <c r="K425" s="321"/>
      <c r="L425" s="321"/>
      <c r="M425" s="321"/>
      <c r="N425" s="321"/>
      <c r="O425" s="321"/>
      <c r="P425" s="321"/>
      <c r="Q425" s="321"/>
      <c r="R425" s="321"/>
      <c r="S425" s="321"/>
      <c r="T425" s="321"/>
      <c r="U425" s="321"/>
      <c r="V425" s="321"/>
      <c r="W425" s="321"/>
      <c r="X425" s="321"/>
      <c r="Y425" s="321"/>
      <c r="Z425" s="321"/>
      <c r="AA425" s="321"/>
      <c r="AB425" s="321"/>
      <c r="AC425" s="321"/>
      <c r="AD425" s="321"/>
    </row>
    <row r="426">
      <c r="A426" s="321"/>
      <c r="B426" s="321"/>
      <c r="C426" s="321"/>
      <c r="D426" s="321"/>
      <c r="E426" s="321"/>
      <c r="F426" s="321"/>
      <c r="G426" s="454"/>
      <c r="H426" s="454"/>
      <c r="I426" s="454"/>
      <c r="J426" s="454"/>
      <c r="K426" s="321"/>
      <c r="L426" s="321"/>
      <c r="M426" s="321"/>
      <c r="N426" s="321"/>
      <c r="O426" s="321"/>
      <c r="P426" s="321"/>
      <c r="Q426" s="321"/>
      <c r="R426" s="321"/>
      <c r="S426" s="321"/>
      <c r="T426" s="321"/>
      <c r="U426" s="321"/>
      <c r="V426" s="321"/>
      <c r="W426" s="321"/>
      <c r="X426" s="321"/>
      <c r="Y426" s="321"/>
      <c r="Z426" s="321"/>
      <c r="AA426" s="321"/>
      <c r="AB426" s="321"/>
      <c r="AC426" s="321"/>
      <c r="AD426" s="321"/>
    </row>
    <row r="427">
      <c r="A427" s="321"/>
      <c r="B427" s="321"/>
      <c r="C427" s="321"/>
      <c r="D427" s="321"/>
      <c r="E427" s="321"/>
      <c r="F427" s="321"/>
      <c r="G427" s="454"/>
      <c r="H427" s="454"/>
      <c r="I427" s="454"/>
      <c r="J427" s="454"/>
      <c r="K427" s="321"/>
      <c r="L427" s="321"/>
      <c r="M427" s="321"/>
      <c r="N427" s="321"/>
      <c r="O427" s="321"/>
      <c r="P427" s="321"/>
      <c r="Q427" s="321"/>
      <c r="R427" s="321"/>
      <c r="S427" s="321"/>
      <c r="T427" s="321"/>
      <c r="U427" s="321"/>
      <c r="V427" s="321"/>
      <c r="W427" s="321"/>
      <c r="X427" s="321"/>
      <c r="Y427" s="321"/>
      <c r="Z427" s="321"/>
      <c r="AA427" s="321"/>
      <c r="AB427" s="321"/>
      <c r="AC427" s="321"/>
      <c r="AD427" s="321"/>
    </row>
    <row r="428">
      <c r="A428" s="321"/>
      <c r="B428" s="321"/>
      <c r="C428" s="321"/>
      <c r="D428" s="321"/>
      <c r="E428" s="321"/>
      <c r="F428" s="321"/>
      <c r="G428" s="454"/>
      <c r="H428" s="454"/>
      <c r="I428" s="454"/>
      <c r="J428" s="454"/>
      <c r="K428" s="321"/>
      <c r="L428" s="321"/>
      <c r="M428" s="321"/>
      <c r="N428" s="321"/>
      <c r="O428" s="321"/>
      <c r="P428" s="321"/>
      <c r="Q428" s="321"/>
      <c r="R428" s="321"/>
      <c r="S428" s="321"/>
      <c r="T428" s="321"/>
      <c r="U428" s="321"/>
      <c r="V428" s="321"/>
      <c r="W428" s="321"/>
      <c r="X428" s="321"/>
      <c r="Y428" s="321"/>
      <c r="Z428" s="321"/>
      <c r="AA428" s="321"/>
      <c r="AB428" s="321"/>
      <c r="AC428" s="321"/>
      <c r="AD428" s="321"/>
    </row>
    <row r="429">
      <c r="A429" s="321"/>
      <c r="B429" s="321"/>
      <c r="C429" s="321"/>
      <c r="D429" s="321"/>
      <c r="E429" s="321"/>
      <c r="F429" s="321"/>
      <c r="G429" s="454"/>
      <c r="H429" s="454"/>
      <c r="I429" s="454"/>
      <c r="J429" s="454"/>
      <c r="K429" s="321"/>
      <c r="L429" s="321"/>
      <c r="M429" s="321"/>
      <c r="N429" s="321"/>
      <c r="O429" s="321"/>
      <c r="P429" s="321"/>
      <c r="Q429" s="321"/>
      <c r="R429" s="321"/>
      <c r="S429" s="321"/>
      <c r="T429" s="321"/>
      <c r="U429" s="321"/>
      <c r="V429" s="321"/>
      <c r="W429" s="321"/>
      <c r="X429" s="321"/>
      <c r="Y429" s="321"/>
      <c r="Z429" s="321"/>
      <c r="AA429" s="321"/>
      <c r="AB429" s="321"/>
      <c r="AC429" s="321"/>
      <c r="AD429" s="321"/>
    </row>
    <row r="430">
      <c r="A430" s="321"/>
      <c r="B430" s="321"/>
      <c r="C430" s="321"/>
      <c r="D430" s="321"/>
      <c r="E430" s="321"/>
      <c r="F430" s="321"/>
      <c r="G430" s="454"/>
      <c r="H430" s="454"/>
      <c r="I430" s="454"/>
      <c r="J430" s="454"/>
      <c r="K430" s="321"/>
      <c r="L430" s="321"/>
      <c r="M430" s="321"/>
      <c r="N430" s="321"/>
      <c r="O430" s="321"/>
      <c r="P430" s="321"/>
      <c r="Q430" s="321"/>
      <c r="R430" s="321"/>
      <c r="S430" s="321"/>
      <c r="T430" s="321"/>
      <c r="U430" s="321"/>
      <c r="V430" s="321"/>
      <c r="W430" s="321"/>
      <c r="X430" s="321"/>
      <c r="Y430" s="321"/>
      <c r="Z430" s="321"/>
      <c r="AA430" s="321"/>
      <c r="AB430" s="321"/>
      <c r="AC430" s="321"/>
      <c r="AD430" s="321"/>
    </row>
    <row r="431">
      <c r="A431" s="321"/>
      <c r="B431" s="321"/>
      <c r="C431" s="321"/>
      <c r="D431" s="321"/>
      <c r="E431" s="321"/>
      <c r="F431" s="321"/>
      <c r="G431" s="454"/>
      <c r="H431" s="454"/>
      <c r="I431" s="454"/>
      <c r="J431" s="454"/>
      <c r="K431" s="321"/>
      <c r="L431" s="321"/>
      <c r="M431" s="321"/>
      <c r="N431" s="321"/>
      <c r="O431" s="321"/>
      <c r="P431" s="321"/>
      <c r="Q431" s="321"/>
      <c r="R431" s="321"/>
      <c r="S431" s="321"/>
      <c r="T431" s="321"/>
      <c r="U431" s="321"/>
      <c r="V431" s="321"/>
      <c r="W431" s="321"/>
      <c r="X431" s="321"/>
      <c r="Y431" s="321"/>
      <c r="Z431" s="321"/>
      <c r="AA431" s="321"/>
      <c r="AB431" s="321"/>
      <c r="AC431" s="321"/>
      <c r="AD431" s="321"/>
    </row>
    <row r="432">
      <c r="A432" s="321"/>
      <c r="B432" s="321"/>
      <c r="C432" s="321"/>
      <c r="D432" s="321"/>
      <c r="E432" s="321"/>
      <c r="F432" s="321"/>
      <c r="G432" s="454"/>
      <c r="H432" s="454"/>
      <c r="I432" s="454"/>
      <c r="J432" s="454"/>
      <c r="K432" s="321"/>
      <c r="L432" s="321"/>
      <c r="M432" s="321"/>
      <c r="N432" s="321"/>
      <c r="O432" s="321"/>
      <c r="P432" s="321"/>
      <c r="Q432" s="321"/>
      <c r="R432" s="321"/>
      <c r="S432" s="321"/>
      <c r="T432" s="321"/>
      <c r="U432" s="321"/>
      <c r="V432" s="321"/>
      <c r="W432" s="321"/>
      <c r="X432" s="321"/>
      <c r="Y432" s="321"/>
      <c r="Z432" s="321"/>
      <c r="AA432" s="321"/>
      <c r="AB432" s="321"/>
      <c r="AC432" s="321"/>
      <c r="AD432" s="321"/>
    </row>
    <row r="433">
      <c r="A433" s="321"/>
      <c r="B433" s="321"/>
      <c r="C433" s="321"/>
      <c r="D433" s="321"/>
      <c r="E433" s="321"/>
      <c r="F433" s="321"/>
      <c r="G433" s="454"/>
      <c r="H433" s="454"/>
      <c r="I433" s="454"/>
      <c r="J433" s="454"/>
      <c r="K433" s="321"/>
      <c r="L433" s="321"/>
      <c r="M433" s="321"/>
      <c r="N433" s="321"/>
      <c r="O433" s="321"/>
      <c r="P433" s="321"/>
      <c r="Q433" s="321"/>
      <c r="R433" s="321"/>
      <c r="S433" s="321"/>
      <c r="T433" s="321"/>
      <c r="U433" s="321"/>
      <c r="V433" s="321"/>
      <c r="W433" s="321"/>
      <c r="X433" s="321"/>
      <c r="Y433" s="321"/>
      <c r="Z433" s="321"/>
      <c r="AA433" s="321"/>
      <c r="AB433" s="321"/>
      <c r="AC433" s="321"/>
      <c r="AD433" s="321"/>
    </row>
    <row r="434">
      <c r="A434" s="321"/>
      <c r="B434" s="321"/>
      <c r="C434" s="321"/>
      <c r="D434" s="321"/>
      <c r="E434" s="321"/>
      <c r="F434" s="321"/>
      <c r="G434" s="454"/>
      <c r="H434" s="454"/>
      <c r="I434" s="454"/>
      <c r="J434" s="454"/>
      <c r="K434" s="321"/>
      <c r="L434" s="321"/>
      <c r="M434" s="321"/>
      <c r="N434" s="321"/>
      <c r="O434" s="321"/>
      <c r="P434" s="321"/>
      <c r="Q434" s="321"/>
      <c r="R434" s="321"/>
      <c r="S434" s="321"/>
      <c r="T434" s="321"/>
      <c r="U434" s="321"/>
      <c r="V434" s="321"/>
      <c r="W434" s="321"/>
      <c r="X434" s="321"/>
      <c r="Y434" s="321"/>
      <c r="Z434" s="321"/>
      <c r="AA434" s="321"/>
      <c r="AB434" s="321"/>
      <c r="AC434" s="321"/>
      <c r="AD434" s="321"/>
    </row>
    <row r="435">
      <c r="A435" s="321"/>
      <c r="B435" s="321"/>
      <c r="C435" s="321"/>
      <c r="D435" s="321"/>
      <c r="E435" s="321"/>
      <c r="F435" s="321"/>
      <c r="G435" s="454"/>
      <c r="H435" s="454"/>
      <c r="I435" s="454"/>
      <c r="J435" s="454"/>
      <c r="K435" s="321"/>
      <c r="L435" s="321"/>
      <c r="M435" s="321"/>
      <c r="N435" s="321"/>
      <c r="O435" s="321"/>
      <c r="P435" s="321"/>
      <c r="Q435" s="321"/>
      <c r="R435" s="321"/>
      <c r="S435" s="321"/>
      <c r="T435" s="321"/>
      <c r="U435" s="321"/>
      <c r="V435" s="321"/>
      <c r="W435" s="321"/>
      <c r="X435" s="321"/>
      <c r="Y435" s="321"/>
      <c r="Z435" s="321"/>
      <c r="AA435" s="321"/>
      <c r="AB435" s="321"/>
      <c r="AC435" s="321"/>
      <c r="AD435" s="321"/>
    </row>
    <row r="436">
      <c r="A436" s="321"/>
      <c r="B436" s="321"/>
      <c r="C436" s="321"/>
      <c r="D436" s="321"/>
      <c r="E436" s="321"/>
      <c r="F436" s="321"/>
      <c r="G436" s="454"/>
      <c r="H436" s="454"/>
      <c r="I436" s="454"/>
      <c r="J436" s="454"/>
      <c r="K436" s="321"/>
      <c r="L436" s="321"/>
      <c r="M436" s="321"/>
      <c r="N436" s="321"/>
      <c r="O436" s="321"/>
      <c r="P436" s="321"/>
      <c r="Q436" s="321"/>
      <c r="R436" s="321"/>
      <c r="S436" s="321"/>
      <c r="T436" s="321"/>
      <c r="U436" s="321"/>
      <c r="V436" s="321"/>
      <c r="W436" s="321"/>
      <c r="X436" s="321"/>
      <c r="Y436" s="321"/>
      <c r="Z436" s="321"/>
      <c r="AA436" s="321"/>
      <c r="AB436" s="321"/>
      <c r="AC436" s="321"/>
      <c r="AD436" s="321"/>
    </row>
    <row r="437">
      <c r="A437" s="321"/>
      <c r="B437" s="321"/>
      <c r="C437" s="321"/>
      <c r="D437" s="321"/>
      <c r="E437" s="321"/>
      <c r="F437" s="321"/>
      <c r="G437" s="454"/>
      <c r="H437" s="454"/>
      <c r="I437" s="454"/>
      <c r="J437" s="454"/>
      <c r="K437" s="321"/>
      <c r="L437" s="321"/>
      <c r="M437" s="321"/>
      <c r="N437" s="321"/>
      <c r="O437" s="321"/>
      <c r="P437" s="321"/>
      <c r="Q437" s="321"/>
      <c r="R437" s="321"/>
      <c r="S437" s="321"/>
      <c r="T437" s="321"/>
      <c r="U437" s="321"/>
      <c r="V437" s="321"/>
      <c r="W437" s="321"/>
      <c r="X437" s="321"/>
      <c r="Y437" s="321"/>
      <c r="Z437" s="321"/>
      <c r="AA437" s="321"/>
      <c r="AB437" s="321"/>
      <c r="AC437" s="321"/>
      <c r="AD437" s="321"/>
    </row>
    <row r="438">
      <c r="A438" s="321"/>
      <c r="B438" s="321"/>
      <c r="C438" s="321"/>
      <c r="D438" s="321"/>
      <c r="E438" s="321"/>
      <c r="F438" s="321"/>
      <c r="G438" s="454"/>
      <c r="H438" s="454"/>
      <c r="I438" s="454"/>
      <c r="J438" s="454"/>
      <c r="K438" s="321"/>
      <c r="L438" s="321"/>
      <c r="M438" s="321"/>
      <c r="N438" s="321"/>
      <c r="O438" s="321"/>
      <c r="P438" s="321"/>
      <c r="Q438" s="321"/>
      <c r="R438" s="321"/>
      <c r="S438" s="321"/>
      <c r="T438" s="321"/>
      <c r="U438" s="321"/>
      <c r="V438" s="321"/>
      <c r="W438" s="321"/>
      <c r="X438" s="321"/>
      <c r="Y438" s="321"/>
      <c r="Z438" s="321"/>
      <c r="AA438" s="321"/>
      <c r="AB438" s="321"/>
      <c r="AC438" s="321"/>
      <c r="AD438" s="321"/>
    </row>
    <row r="439">
      <c r="A439" s="321"/>
      <c r="B439" s="321"/>
      <c r="C439" s="321"/>
      <c r="D439" s="321"/>
      <c r="E439" s="321"/>
      <c r="F439" s="321"/>
      <c r="G439" s="454"/>
      <c r="H439" s="454"/>
      <c r="I439" s="454"/>
      <c r="J439" s="454"/>
      <c r="K439" s="321"/>
      <c r="L439" s="321"/>
      <c r="M439" s="321"/>
      <c r="N439" s="321"/>
      <c r="O439" s="321"/>
      <c r="P439" s="321"/>
      <c r="Q439" s="321"/>
      <c r="R439" s="321"/>
      <c r="S439" s="321"/>
      <c r="T439" s="321"/>
      <c r="U439" s="321"/>
      <c r="V439" s="321"/>
      <c r="W439" s="321"/>
      <c r="X439" s="321"/>
      <c r="Y439" s="321"/>
      <c r="Z439" s="321"/>
      <c r="AA439" s="321"/>
      <c r="AB439" s="321"/>
      <c r="AC439" s="321"/>
      <c r="AD439" s="321"/>
    </row>
    <row r="440">
      <c r="A440" s="321"/>
      <c r="B440" s="321"/>
      <c r="C440" s="321"/>
      <c r="D440" s="321"/>
      <c r="E440" s="321"/>
      <c r="F440" s="321"/>
      <c r="G440" s="454"/>
      <c r="H440" s="454"/>
      <c r="I440" s="454"/>
      <c r="J440" s="454"/>
      <c r="K440" s="321"/>
      <c r="L440" s="321"/>
      <c r="M440" s="321"/>
      <c r="N440" s="321"/>
      <c r="O440" s="321"/>
      <c r="P440" s="321"/>
      <c r="Q440" s="321"/>
      <c r="R440" s="321"/>
      <c r="S440" s="321"/>
      <c r="T440" s="321"/>
      <c r="U440" s="321"/>
      <c r="V440" s="321"/>
      <c r="W440" s="321"/>
      <c r="X440" s="321"/>
      <c r="Y440" s="321"/>
      <c r="Z440" s="321"/>
      <c r="AA440" s="321"/>
      <c r="AB440" s="321"/>
      <c r="AC440" s="321"/>
      <c r="AD440" s="321"/>
    </row>
    <row r="441">
      <c r="A441" s="321"/>
      <c r="B441" s="321"/>
      <c r="C441" s="321"/>
      <c r="D441" s="321"/>
      <c r="E441" s="321"/>
      <c r="F441" s="321"/>
      <c r="G441" s="454"/>
      <c r="H441" s="454"/>
      <c r="I441" s="454"/>
      <c r="J441" s="454"/>
      <c r="K441" s="321"/>
      <c r="L441" s="321"/>
      <c r="M441" s="321"/>
      <c r="N441" s="321"/>
      <c r="O441" s="321"/>
      <c r="P441" s="321"/>
      <c r="Q441" s="321"/>
      <c r="R441" s="321"/>
      <c r="S441" s="321"/>
      <c r="T441" s="321"/>
      <c r="U441" s="321"/>
      <c r="V441" s="321"/>
      <c r="W441" s="321"/>
      <c r="X441" s="321"/>
      <c r="Y441" s="321"/>
      <c r="Z441" s="321"/>
      <c r="AA441" s="321"/>
      <c r="AB441" s="321"/>
      <c r="AC441" s="321"/>
      <c r="AD441" s="321"/>
    </row>
    <row r="442">
      <c r="A442" s="321"/>
      <c r="B442" s="321"/>
      <c r="C442" s="321"/>
      <c r="D442" s="321"/>
      <c r="E442" s="321"/>
      <c r="F442" s="321"/>
      <c r="G442" s="454"/>
      <c r="H442" s="454"/>
      <c r="I442" s="454"/>
      <c r="J442" s="454"/>
      <c r="K442" s="321"/>
      <c r="L442" s="321"/>
      <c r="M442" s="321"/>
      <c r="N442" s="321"/>
      <c r="O442" s="321"/>
      <c r="P442" s="321"/>
      <c r="Q442" s="321"/>
      <c r="R442" s="321"/>
      <c r="S442" s="321"/>
      <c r="T442" s="321"/>
      <c r="U442" s="321"/>
      <c r="V442" s="321"/>
      <c r="W442" s="321"/>
      <c r="X442" s="321"/>
      <c r="Y442" s="321"/>
      <c r="Z442" s="321"/>
      <c r="AA442" s="321"/>
      <c r="AB442" s="321"/>
      <c r="AC442" s="321"/>
      <c r="AD442" s="321"/>
    </row>
    <row r="443">
      <c r="A443" s="321"/>
      <c r="B443" s="321"/>
      <c r="C443" s="321"/>
      <c r="D443" s="321"/>
      <c r="E443" s="321"/>
      <c r="F443" s="321"/>
      <c r="G443" s="454"/>
      <c r="H443" s="454"/>
      <c r="I443" s="454"/>
      <c r="J443" s="454"/>
      <c r="K443" s="321"/>
      <c r="L443" s="321"/>
      <c r="M443" s="321"/>
      <c r="N443" s="321"/>
      <c r="O443" s="321"/>
      <c r="P443" s="321"/>
      <c r="Q443" s="321"/>
      <c r="R443" s="321"/>
      <c r="S443" s="321"/>
      <c r="T443" s="321"/>
      <c r="U443" s="321"/>
      <c r="V443" s="321"/>
      <c r="W443" s="321"/>
      <c r="X443" s="321"/>
      <c r="Y443" s="321"/>
      <c r="Z443" s="321"/>
      <c r="AA443" s="321"/>
      <c r="AB443" s="321"/>
      <c r="AC443" s="321"/>
      <c r="AD443" s="321"/>
    </row>
    <row r="444">
      <c r="A444" s="321"/>
      <c r="B444" s="321"/>
      <c r="C444" s="321"/>
      <c r="D444" s="321"/>
      <c r="E444" s="321"/>
      <c r="F444" s="321"/>
      <c r="G444" s="454"/>
      <c r="H444" s="454"/>
      <c r="I444" s="454"/>
      <c r="J444" s="454"/>
      <c r="K444" s="321"/>
      <c r="L444" s="321"/>
      <c r="M444" s="321"/>
      <c r="N444" s="321"/>
      <c r="O444" s="321"/>
      <c r="P444" s="321"/>
      <c r="Q444" s="321"/>
      <c r="R444" s="321"/>
      <c r="S444" s="321"/>
      <c r="T444" s="321"/>
      <c r="U444" s="321"/>
      <c r="V444" s="321"/>
      <c r="W444" s="321"/>
      <c r="X444" s="321"/>
      <c r="Y444" s="321"/>
      <c r="Z444" s="321"/>
      <c r="AA444" s="321"/>
      <c r="AB444" s="321"/>
      <c r="AC444" s="321"/>
      <c r="AD444" s="321"/>
    </row>
    <row r="445">
      <c r="A445" s="321"/>
      <c r="B445" s="321"/>
      <c r="C445" s="321"/>
      <c r="D445" s="321"/>
      <c r="E445" s="321"/>
      <c r="F445" s="321"/>
      <c r="G445" s="454"/>
      <c r="H445" s="454"/>
      <c r="I445" s="454"/>
      <c r="J445" s="454"/>
      <c r="K445" s="321"/>
      <c r="L445" s="321"/>
      <c r="M445" s="321"/>
      <c r="N445" s="321"/>
      <c r="O445" s="321"/>
      <c r="P445" s="321"/>
      <c r="Q445" s="321"/>
      <c r="R445" s="321"/>
      <c r="S445" s="321"/>
      <c r="T445" s="321"/>
      <c r="U445" s="321"/>
      <c r="V445" s="321"/>
      <c r="W445" s="321"/>
      <c r="X445" s="321"/>
      <c r="Y445" s="321"/>
      <c r="Z445" s="321"/>
      <c r="AA445" s="321"/>
      <c r="AB445" s="321"/>
      <c r="AC445" s="321"/>
      <c r="AD445" s="321"/>
    </row>
    <row r="446">
      <c r="A446" s="321"/>
      <c r="B446" s="321"/>
      <c r="C446" s="321"/>
      <c r="D446" s="321"/>
      <c r="E446" s="321"/>
      <c r="F446" s="321"/>
      <c r="G446" s="454"/>
      <c r="H446" s="454"/>
      <c r="I446" s="454"/>
      <c r="J446" s="454"/>
      <c r="K446" s="321"/>
      <c r="L446" s="321"/>
      <c r="M446" s="321"/>
      <c r="N446" s="321"/>
      <c r="O446" s="321"/>
      <c r="P446" s="321"/>
      <c r="Q446" s="321"/>
      <c r="R446" s="321"/>
      <c r="S446" s="321"/>
      <c r="T446" s="321"/>
      <c r="U446" s="321"/>
      <c r="V446" s="321"/>
      <c r="W446" s="321"/>
      <c r="X446" s="321"/>
      <c r="Y446" s="321"/>
      <c r="Z446" s="321"/>
      <c r="AA446" s="321"/>
      <c r="AB446" s="321"/>
      <c r="AC446" s="321"/>
      <c r="AD446" s="321"/>
    </row>
    <row r="447">
      <c r="A447" s="321"/>
      <c r="B447" s="321"/>
      <c r="C447" s="321"/>
      <c r="D447" s="321"/>
      <c r="E447" s="321"/>
      <c r="F447" s="321"/>
      <c r="G447" s="454"/>
      <c r="H447" s="454"/>
      <c r="I447" s="454"/>
      <c r="J447" s="454"/>
      <c r="K447" s="321"/>
      <c r="L447" s="321"/>
      <c r="M447" s="321"/>
      <c r="N447" s="321"/>
      <c r="O447" s="321"/>
      <c r="P447" s="321"/>
      <c r="Q447" s="321"/>
      <c r="R447" s="321"/>
      <c r="S447" s="321"/>
      <c r="T447" s="321"/>
      <c r="U447" s="321"/>
      <c r="V447" s="321"/>
      <c r="W447" s="321"/>
      <c r="X447" s="321"/>
      <c r="Y447" s="321"/>
      <c r="Z447" s="321"/>
      <c r="AA447" s="321"/>
      <c r="AB447" s="321"/>
      <c r="AC447" s="321"/>
      <c r="AD447" s="321"/>
    </row>
    <row r="448">
      <c r="A448" s="321"/>
      <c r="B448" s="321"/>
      <c r="C448" s="321"/>
      <c r="D448" s="321"/>
      <c r="E448" s="321"/>
      <c r="F448" s="321"/>
      <c r="G448" s="454"/>
      <c r="H448" s="454"/>
      <c r="I448" s="454"/>
      <c r="J448" s="454"/>
      <c r="K448" s="321"/>
      <c r="L448" s="321"/>
      <c r="M448" s="321"/>
      <c r="N448" s="321"/>
      <c r="O448" s="321"/>
      <c r="P448" s="321"/>
      <c r="Q448" s="321"/>
      <c r="R448" s="321"/>
      <c r="S448" s="321"/>
      <c r="T448" s="321"/>
      <c r="U448" s="321"/>
      <c r="V448" s="321"/>
      <c r="W448" s="321"/>
      <c r="X448" s="321"/>
      <c r="Y448" s="321"/>
      <c r="Z448" s="321"/>
      <c r="AA448" s="321"/>
      <c r="AB448" s="321"/>
      <c r="AC448" s="321"/>
      <c r="AD448" s="321"/>
    </row>
    <row r="449">
      <c r="A449" s="321"/>
      <c r="B449" s="321"/>
      <c r="C449" s="321"/>
      <c r="D449" s="321"/>
      <c r="E449" s="321"/>
      <c r="F449" s="321"/>
      <c r="G449" s="454"/>
      <c r="H449" s="454"/>
      <c r="I449" s="454"/>
      <c r="J449" s="454"/>
      <c r="K449" s="321"/>
      <c r="L449" s="321"/>
      <c r="M449" s="321"/>
      <c r="N449" s="321"/>
      <c r="O449" s="321"/>
      <c r="P449" s="321"/>
      <c r="Q449" s="321"/>
      <c r="R449" s="321"/>
      <c r="S449" s="321"/>
      <c r="T449" s="321"/>
      <c r="U449" s="321"/>
      <c r="V449" s="321"/>
      <c r="W449" s="321"/>
      <c r="X449" s="321"/>
      <c r="Y449" s="321"/>
      <c r="Z449" s="321"/>
      <c r="AA449" s="321"/>
      <c r="AB449" s="321"/>
      <c r="AC449" s="321"/>
      <c r="AD449" s="321"/>
    </row>
    <row r="450">
      <c r="A450" s="321"/>
      <c r="B450" s="321"/>
      <c r="C450" s="321"/>
      <c r="D450" s="321"/>
      <c r="E450" s="321"/>
      <c r="F450" s="321"/>
      <c r="G450" s="454"/>
      <c r="H450" s="454"/>
      <c r="I450" s="454"/>
      <c r="J450" s="454"/>
      <c r="K450" s="321"/>
      <c r="L450" s="321"/>
      <c r="M450" s="321"/>
      <c r="N450" s="321"/>
      <c r="O450" s="321"/>
      <c r="P450" s="321"/>
      <c r="Q450" s="321"/>
      <c r="R450" s="321"/>
      <c r="S450" s="321"/>
      <c r="T450" s="321"/>
      <c r="U450" s="321"/>
      <c r="V450" s="321"/>
      <c r="W450" s="321"/>
      <c r="X450" s="321"/>
      <c r="Y450" s="321"/>
      <c r="Z450" s="321"/>
      <c r="AA450" s="321"/>
      <c r="AB450" s="321"/>
      <c r="AC450" s="321"/>
      <c r="AD450" s="321"/>
    </row>
    <row r="451">
      <c r="A451" s="321"/>
      <c r="B451" s="321"/>
      <c r="C451" s="321"/>
      <c r="D451" s="321"/>
      <c r="E451" s="321"/>
      <c r="F451" s="321"/>
      <c r="G451" s="454"/>
      <c r="H451" s="454"/>
      <c r="I451" s="454"/>
      <c r="J451" s="454"/>
      <c r="K451" s="321"/>
      <c r="L451" s="321"/>
      <c r="M451" s="321"/>
      <c r="N451" s="321"/>
      <c r="O451" s="321"/>
      <c r="P451" s="321"/>
      <c r="Q451" s="321"/>
      <c r="R451" s="321"/>
      <c r="S451" s="321"/>
      <c r="T451" s="321"/>
      <c r="U451" s="321"/>
      <c r="V451" s="321"/>
      <c r="W451" s="321"/>
      <c r="X451" s="321"/>
      <c r="Y451" s="321"/>
      <c r="Z451" s="321"/>
      <c r="AA451" s="321"/>
      <c r="AB451" s="321"/>
      <c r="AC451" s="321"/>
      <c r="AD451" s="321"/>
    </row>
    <row r="452">
      <c r="A452" s="321"/>
      <c r="B452" s="321"/>
      <c r="C452" s="321"/>
      <c r="D452" s="321"/>
      <c r="E452" s="321"/>
      <c r="F452" s="321"/>
      <c r="G452" s="454"/>
      <c r="H452" s="454"/>
      <c r="I452" s="454"/>
      <c r="J452" s="454"/>
      <c r="K452" s="321"/>
      <c r="L452" s="321"/>
      <c r="M452" s="321"/>
      <c r="N452" s="321"/>
      <c r="O452" s="321"/>
      <c r="P452" s="321"/>
      <c r="Q452" s="321"/>
      <c r="R452" s="321"/>
      <c r="S452" s="321"/>
      <c r="T452" s="321"/>
      <c r="U452" s="321"/>
      <c r="V452" s="321"/>
      <c r="W452" s="321"/>
      <c r="X452" s="321"/>
      <c r="Y452" s="321"/>
      <c r="Z452" s="321"/>
      <c r="AA452" s="321"/>
      <c r="AB452" s="321"/>
      <c r="AC452" s="321"/>
      <c r="AD452" s="321"/>
    </row>
    <row r="453">
      <c r="A453" s="321"/>
      <c r="B453" s="321"/>
      <c r="C453" s="321"/>
      <c r="D453" s="321"/>
      <c r="E453" s="321"/>
      <c r="F453" s="321"/>
      <c r="G453" s="454"/>
      <c r="H453" s="454"/>
      <c r="I453" s="454"/>
      <c r="J453" s="454"/>
      <c r="K453" s="321"/>
      <c r="L453" s="321"/>
      <c r="M453" s="321"/>
      <c r="N453" s="321"/>
      <c r="O453" s="321"/>
      <c r="P453" s="321"/>
      <c r="Q453" s="321"/>
      <c r="R453" s="321"/>
      <c r="S453" s="321"/>
      <c r="T453" s="321"/>
      <c r="U453" s="321"/>
      <c r="V453" s="321"/>
      <c r="W453" s="321"/>
      <c r="X453" s="321"/>
      <c r="Y453" s="321"/>
      <c r="Z453" s="321"/>
      <c r="AA453" s="321"/>
      <c r="AB453" s="321"/>
      <c r="AC453" s="321"/>
      <c r="AD453" s="321"/>
    </row>
    <row r="454">
      <c r="A454" s="321"/>
      <c r="B454" s="321"/>
      <c r="C454" s="321"/>
      <c r="D454" s="321"/>
      <c r="E454" s="321"/>
      <c r="F454" s="321"/>
      <c r="G454" s="454"/>
      <c r="H454" s="454"/>
      <c r="I454" s="454"/>
      <c r="J454" s="454"/>
      <c r="K454" s="321"/>
      <c r="L454" s="321"/>
      <c r="M454" s="321"/>
      <c r="N454" s="321"/>
      <c r="O454" s="321"/>
      <c r="P454" s="321"/>
      <c r="Q454" s="321"/>
      <c r="R454" s="321"/>
      <c r="S454" s="321"/>
      <c r="T454" s="321"/>
      <c r="U454" s="321"/>
      <c r="V454" s="321"/>
      <c r="W454" s="321"/>
      <c r="X454" s="321"/>
      <c r="Y454" s="321"/>
      <c r="Z454" s="321"/>
      <c r="AA454" s="321"/>
      <c r="AB454" s="321"/>
      <c r="AC454" s="321"/>
      <c r="AD454" s="321"/>
    </row>
    <row r="455">
      <c r="A455" s="321"/>
      <c r="B455" s="321"/>
      <c r="C455" s="321"/>
      <c r="D455" s="321"/>
      <c r="E455" s="321"/>
      <c r="F455" s="321"/>
      <c r="G455" s="454"/>
      <c r="H455" s="454"/>
      <c r="I455" s="454"/>
      <c r="J455" s="454"/>
      <c r="K455" s="321"/>
      <c r="L455" s="321"/>
      <c r="M455" s="321"/>
      <c r="N455" s="321"/>
      <c r="O455" s="321"/>
      <c r="P455" s="321"/>
      <c r="Q455" s="321"/>
      <c r="R455" s="321"/>
      <c r="S455" s="321"/>
      <c r="T455" s="321"/>
      <c r="U455" s="321"/>
      <c r="V455" s="321"/>
      <c r="W455" s="321"/>
      <c r="X455" s="321"/>
      <c r="Y455" s="321"/>
      <c r="Z455" s="321"/>
      <c r="AA455" s="321"/>
      <c r="AB455" s="321"/>
      <c r="AC455" s="321"/>
      <c r="AD455" s="321"/>
    </row>
    <row r="456">
      <c r="A456" s="321"/>
      <c r="B456" s="321"/>
      <c r="C456" s="321"/>
      <c r="D456" s="321"/>
      <c r="E456" s="321"/>
      <c r="F456" s="321"/>
      <c r="G456" s="454"/>
      <c r="H456" s="454"/>
      <c r="I456" s="454"/>
      <c r="J456" s="454"/>
      <c r="K456" s="321"/>
      <c r="L456" s="321"/>
      <c r="M456" s="321"/>
      <c r="N456" s="321"/>
      <c r="O456" s="321"/>
      <c r="P456" s="321"/>
      <c r="Q456" s="321"/>
      <c r="R456" s="321"/>
      <c r="S456" s="321"/>
      <c r="T456" s="321"/>
      <c r="U456" s="321"/>
      <c r="V456" s="321"/>
      <c r="W456" s="321"/>
      <c r="X456" s="321"/>
      <c r="Y456" s="321"/>
      <c r="Z456" s="321"/>
      <c r="AA456" s="321"/>
      <c r="AB456" s="321"/>
      <c r="AC456" s="321"/>
      <c r="AD456" s="321"/>
    </row>
    <row r="457">
      <c r="A457" s="321"/>
      <c r="B457" s="321"/>
      <c r="C457" s="321"/>
      <c r="D457" s="321"/>
      <c r="E457" s="321"/>
      <c r="F457" s="321"/>
      <c r="G457" s="454"/>
      <c r="H457" s="454"/>
      <c r="I457" s="454"/>
      <c r="J457" s="454"/>
      <c r="K457" s="321"/>
      <c r="L457" s="321"/>
      <c r="M457" s="321"/>
      <c r="N457" s="321"/>
      <c r="O457" s="321"/>
      <c r="P457" s="321"/>
      <c r="Q457" s="321"/>
      <c r="R457" s="321"/>
      <c r="S457" s="321"/>
      <c r="T457" s="321"/>
      <c r="U457" s="321"/>
      <c r="V457" s="321"/>
      <c r="W457" s="321"/>
      <c r="X457" s="321"/>
      <c r="Y457" s="321"/>
      <c r="Z457" s="321"/>
      <c r="AA457" s="321"/>
      <c r="AB457" s="321"/>
      <c r="AC457" s="321"/>
      <c r="AD457" s="321"/>
    </row>
    <row r="458">
      <c r="A458" s="321"/>
      <c r="B458" s="321"/>
      <c r="C458" s="321"/>
      <c r="D458" s="321"/>
      <c r="E458" s="321"/>
      <c r="F458" s="321"/>
      <c r="G458" s="454"/>
      <c r="H458" s="454"/>
      <c r="I458" s="454"/>
      <c r="J458" s="454"/>
      <c r="K458" s="321"/>
      <c r="L458" s="321"/>
      <c r="M458" s="321"/>
      <c r="N458" s="321"/>
      <c r="O458" s="321"/>
      <c r="P458" s="321"/>
      <c r="Q458" s="321"/>
      <c r="R458" s="321"/>
      <c r="S458" s="321"/>
      <c r="T458" s="321"/>
      <c r="U458" s="321"/>
      <c r="V458" s="321"/>
      <c r="W458" s="321"/>
      <c r="X458" s="321"/>
      <c r="Y458" s="321"/>
      <c r="Z458" s="321"/>
      <c r="AA458" s="321"/>
      <c r="AB458" s="321"/>
      <c r="AC458" s="321"/>
      <c r="AD458" s="321"/>
    </row>
    <row r="459">
      <c r="A459" s="321"/>
      <c r="B459" s="321"/>
      <c r="C459" s="321"/>
      <c r="D459" s="321"/>
      <c r="E459" s="321"/>
      <c r="F459" s="321"/>
      <c r="G459" s="454"/>
      <c r="H459" s="454"/>
      <c r="I459" s="454"/>
      <c r="J459" s="454"/>
      <c r="K459" s="321"/>
      <c r="L459" s="321"/>
      <c r="M459" s="321"/>
      <c r="N459" s="321"/>
      <c r="O459" s="321"/>
      <c r="P459" s="321"/>
      <c r="Q459" s="321"/>
      <c r="R459" s="321"/>
      <c r="S459" s="321"/>
      <c r="T459" s="321"/>
      <c r="U459" s="321"/>
      <c r="V459" s="321"/>
      <c r="W459" s="321"/>
      <c r="X459" s="321"/>
      <c r="Y459" s="321"/>
      <c r="Z459" s="321"/>
      <c r="AA459" s="321"/>
      <c r="AB459" s="321"/>
      <c r="AC459" s="321"/>
      <c r="AD459" s="321"/>
    </row>
    <row r="460">
      <c r="A460" s="321"/>
      <c r="B460" s="321"/>
      <c r="C460" s="321"/>
      <c r="D460" s="321"/>
      <c r="E460" s="321"/>
      <c r="F460" s="321"/>
      <c r="G460" s="454"/>
      <c r="H460" s="454"/>
      <c r="I460" s="454"/>
      <c r="J460" s="454"/>
      <c r="K460" s="321"/>
      <c r="L460" s="321"/>
      <c r="M460" s="321"/>
      <c r="N460" s="321"/>
      <c r="O460" s="321"/>
      <c r="P460" s="321"/>
      <c r="Q460" s="321"/>
      <c r="R460" s="321"/>
      <c r="S460" s="321"/>
      <c r="T460" s="321"/>
      <c r="U460" s="321"/>
      <c r="V460" s="321"/>
      <c r="W460" s="321"/>
      <c r="X460" s="321"/>
      <c r="Y460" s="321"/>
      <c r="Z460" s="321"/>
      <c r="AA460" s="321"/>
      <c r="AB460" s="321"/>
      <c r="AC460" s="321"/>
      <c r="AD460" s="321"/>
    </row>
    <row r="461">
      <c r="A461" s="321"/>
      <c r="B461" s="321"/>
      <c r="C461" s="321"/>
      <c r="D461" s="321"/>
      <c r="E461" s="321"/>
      <c r="F461" s="321"/>
      <c r="G461" s="454"/>
      <c r="H461" s="454"/>
      <c r="I461" s="454"/>
      <c r="J461" s="454"/>
      <c r="K461" s="321"/>
      <c r="L461" s="321"/>
      <c r="M461" s="321"/>
      <c r="N461" s="321"/>
      <c r="O461" s="321"/>
      <c r="P461" s="321"/>
      <c r="Q461" s="321"/>
      <c r="R461" s="321"/>
      <c r="S461" s="321"/>
      <c r="T461" s="321"/>
      <c r="U461" s="321"/>
      <c r="V461" s="321"/>
      <c r="W461" s="321"/>
      <c r="X461" s="321"/>
      <c r="Y461" s="321"/>
      <c r="Z461" s="321"/>
      <c r="AA461" s="321"/>
      <c r="AB461" s="321"/>
      <c r="AC461" s="321"/>
      <c r="AD461" s="321"/>
    </row>
    <row r="462">
      <c r="A462" s="321"/>
      <c r="B462" s="321"/>
      <c r="C462" s="321"/>
      <c r="D462" s="321"/>
      <c r="E462" s="321"/>
      <c r="F462" s="321"/>
      <c r="G462" s="454"/>
      <c r="H462" s="454"/>
      <c r="I462" s="454"/>
      <c r="J462" s="454"/>
      <c r="K462" s="321"/>
      <c r="L462" s="321"/>
      <c r="M462" s="321"/>
      <c r="N462" s="321"/>
      <c r="O462" s="321"/>
      <c r="P462" s="321"/>
      <c r="Q462" s="321"/>
      <c r="R462" s="321"/>
      <c r="S462" s="321"/>
      <c r="T462" s="321"/>
      <c r="U462" s="321"/>
      <c r="V462" s="321"/>
      <c r="W462" s="321"/>
      <c r="X462" s="321"/>
      <c r="Y462" s="321"/>
      <c r="Z462" s="321"/>
      <c r="AA462" s="321"/>
      <c r="AB462" s="321"/>
      <c r="AC462" s="321"/>
      <c r="AD462" s="321"/>
    </row>
    <row r="463">
      <c r="A463" s="321"/>
      <c r="B463" s="321"/>
      <c r="C463" s="321"/>
      <c r="D463" s="321"/>
      <c r="E463" s="321"/>
      <c r="F463" s="321"/>
      <c r="G463" s="454"/>
      <c r="H463" s="454"/>
      <c r="I463" s="454"/>
      <c r="J463" s="454"/>
      <c r="K463" s="321"/>
      <c r="L463" s="321"/>
      <c r="M463" s="321"/>
      <c r="N463" s="321"/>
      <c r="O463" s="321"/>
      <c r="P463" s="321"/>
      <c r="Q463" s="321"/>
      <c r="R463" s="321"/>
      <c r="S463" s="321"/>
      <c r="T463" s="321"/>
      <c r="U463" s="321"/>
      <c r="V463" s="321"/>
      <c r="W463" s="321"/>
      <c r="X463" s="321"/>
      <c r="Y463" s="321"/>
      <c r="Z463" s="321"/>
      <c r="AA463" s="321"/>
      <c r="AB463" s="321"/>
      <c r="AC463" s="321"/>
      <c r="AD463" s="321"/>
    </row>
    <row r="464">
      <c r="A464" s="321"/>
      <c r="B464" s="321"/>
      <c r="C464" s="321"/>
      <c r="D464" s="321"/>
      <c r="E464" s="321"/>
      <c r="F464" s="321"/>
      <c r="G464" s="454"/>
      <c r="H464" s="454"/>
      <c r="I464" s="454"/>
      <c r="J464" s="454"/>
      <c r="K464" s="321"/>
      <c r="L464" s="321"/>
      <c r="M464" s="321"/>
      <c r="N464" s="321"/>
      <c r="O464" s="321"/>
      <c r="P464" s="321"/>
      <c r="Q464" s="321"/>
      <c r="R464" s="321"/>
      <c r="S464" s="321"/>
      <c r="T464" s="321"/>
      <c r="U464" s="321"/>
      <c r="V464" s="321"/>
      <c r="W464" s="321"/>
      <c r="X464" s="321"/>
      <c r="Y464" s="321"/>
      <c r="Z464" s="321"/>
      <c r="AA464" s="321"/>
      <c r="AB464" s="321"/>
      <c r="AC464" s="321"/>
      <c r="AD464" s="321"/>
    </row>
    <row r="465">
      <c r="A465" s="321"/>
      <c r="B465" s="321"/>
      <c r="C465" s="321"/>
      <c r="D465" s="321"/>
      <c r="E465" s="321"/>
      <c r="F465" s="321"/>
      <c r="G465" s="454"/>
      <c r="H465" s="454"/>
      <c r="I465" s="454"/>
      <c r="J465" s="454"/>
      <c r="K465" s="321"/>
      <c r="L465" s="321"/>
      <c r="M465" s="321"/>
      <c r="N465" s="321"/>
      <c r="O465" s="321"/>
      <c r="P465" s="321"/>
      <c r="Q465" s="321"/>
      <c r="R465" s="321"/>
      <c r="S465" s="321"/>
      <c r="T465" s="321"/>
      <c r="U465" s="321"/>
      <c r="V465" s="321"/>
      <c r="W465" s="321"/>
      <c r="X465" s="321"/>
      <c r="Y465" s="321"/>
      <c r="Z465" s="321"/>
      <c r="AA465" s="321"/>
      <c r="AB465" s="321"/>
      <c r="AC465" s="321"/>
      <c r="AD465" s="321"/>
    </row>
    <row r="466">
      <c r="A466" s="321"/>
      <c r="B466" s="321"/>
      <c r="C466" s="321"/>
      <c r="D466" s="321"/>
      <c r="E466" s="321"/>
      <c r="F466" s="321"/>
      <c r="G466" s="454"/>
      <c r="H466" s="454"/>
      <c r="I466" s="454"/>
      <c r="J466" s="454"/>
      <c r="K466" s="321"/>
      <c r="L466" s="321"/>
      <c r="M466" s="321"/>
      <c r="N466" s="321"/>
      <c r="O466" s="321"/>
      <c r="P466" s="321"/>
      <c r="Q466" s="321"/>
      <c r="R466" s="321"/>
      <c r="S466" s="321"/>
      <c r="T466" s="321"/>
      <c r="U466" s="321"/>
      <c r="V466" s="321"/>
      <c r="W466" s="321"/>
      <c r="X466" s="321"/>
      <c r="Y466" s="321"/>
      <c r="Z466" s="321"/>
      <c r="AA466" s="321"/>
      <c r="AB466" s="321"/>
      <c r="AC466" s="321"/>
      <c r="AD466" s="321"/>
    </row>
    <row r="467">
      <c r="A467" s="321"/>
      <c r="B467" s="321"/>
      <c r="C467" s="321"/>
      <c r="D467" s="321"/>
      <c r="E467" s="321"/>
      <c r="F467" s="321"/>
      <c r="G467" s="454"/>
      <c r="H467" s="454"/>
      <c r="I467" s="454"/>
      <c r="J467" s="454"/>
      <c r="K467" s="321"/>
      <c r="L467" s="321"/>
      <c r="M467" s="321"/>
      <c r="N467" s="321"/>
      <c r="O467" s="321"/>
      <c r="P467" s="321"/>
      <c r="Q467" s="321"/>
      <c r="R467" s="321"/>
      <c r="S467" s="321"/>
      <c r="T467" s="321"/>
      <c r="U467" s="321"/>
      <c r="V467" s="321"/>
      <c r="W467" s="321"/>
      <c r="X467" s="321"/>
      <c r="Y467" s="321"/>
      <c r="Z467" s="321"/>
      <c r="AA467" s="321"/>
      <c r="AB467" s="321"/>
      <c r="AC467" s="321"/>
      <c r="AD467" s="321"/>
    </row>
    <row r="468">
      <c r="A468" s="321"/>
      <c r="B468" s="321"/>
      <c r="C468" s="321"/>
      <c r="D468" s="321"/>
      <c r="E468" s="321"/>
      <c r="F468" s="321"/>
      <c r="G468" s="454"/>
      <c r="H468" s="454"/>
      <c r="I468" s="454"/>
      <c r="J468" s="454"/>
      <c r="K468" s="321"/>
      <c r="L468" s="321"/>
      <c r="M468" s="321"/>
      <c r="N468" s="321"/>
      <c r="O468" s="321"/>
      <c r="P468" s="321"/>
      <c r="Q468" s="321"/>
      <c r="R468" s="321"/>
      <c r="S468" s="321"/>
      <c r="T468" s="321"/>
      <c r="U468" s="321"/>
      <c r="V468" s="321"/>
      <c r="W468" s="321"/>
      <c r="X468" s="321"/>
      <c r="Y468" s="321"/>
      <c r="Z468" s="321"/>
      <c r="AA468" s="321"/>
      <c r="AB468" s="321"/>
      <c r="AC468" s="321"/>
      <c r="AD468" s="321"/>
    </row>
    <row r="469">
      <c r="A469" s="321"/>
      <c r="B469" s="321"/>
      <c r="C469" s="321"/>
      <c r="D469" s="321"/>
      <c r="E469" s="321"/>
      <c r="F469" s="321"/>
      <c r="G469" s="454"/>
      <c r="H469" s="454"/>
      <c r="I469" s="454"/>
      <c r="J469" s="454"/>
      <c r="K469" s="321"/>
      <c r="L469" s="321"/>
      <c r="M469" s="321"/>
      <c r="N469" s="321"/>
      <c r="O469" s="321"/>
      <c r="P469" s="321"/>
      <c r="Q469" s="321"/>
      <c r="R469" s="321"/>
      <c r="S469" s="321"/>
      <c r="T469" s="321"/>
      <c r="U469" s="321"/>
      <c r="V469" s="321"/>
      <c r="W469" s="321"/>
      <c r="X469" s="321"/>
      <c r="Y469" s="321"/>
      <c r="Z469" s="321"/>
      <c r="AA469" s="321"/>
      <c r="AB469" s="321"/>
      <c r="AC469" s="321"/>
      <c r="AD469" s="321"/>
    </row>
    <row r="470">
      <c r="A470" s="321"/>
      <c r="B470" s="321"/>
      <c r="C470" s="321"/>
      <c r="D470" s="321"/>
      <c r="E470" s="321"/>
      <c r="F470" s="321"/>
      <c r="G470" s="454"/>
      <c r="H470" s="454"/>
      <c r="I470" s="454"/>
      <c r="J470" s="454"/>
      <c r="K470" s="321"/>
      <c r="L470" s="321"/>
      <c r="M470" s="321"/>
      <c r="N470" s="321"/>
      <c r="O470" s="321"/>
      <c r="P470" s="321"/>
      <c r="Q470" s="321"/>
      <c r="R470" s="321"/>
      <c r="S470" s="321"/>
      <c r="T470" s="321"/>
      <c r="U470" s="321"/>
      <c r="V470" s="321"/>
      <c r="W470" s="321"/>
      <c r="X470" s="321"/>
      <c r="Y470" s="321"/>
      <c r="Z470" s="321"/>
      <c r="AA470" s="321"/>
      <c r="AB470" s="321"/>
      <c r="AC470" s="321"/>
      <c r="AD470" s="321"/>
    </row>
    <row r="471">
      <c r="A471" s="321"/>
      <c r="B471" s="321"/>
      <c r="C471" s="321"/>
      <c r="D471" s="321"/>
      <c r="E471" s="321"/>
      <c r="F471" s="321"/>
      <c r="G471" s="454"/>
      <c r="H471" s="454"/>
      <c r="I471" s="454"/>
      <c r="J471" s="454"/>
      <c r="K471" s="321"/>
      <c r="L471" s="321"/>
      <c r="M471" s="321"/>
      <c r="N471" s="321"/>
      <c r="O471" s="321"/>
      <c r="P471" s="321"/>
      <c r="Q471" s="321"/>
      <c r="R471" s="321"/>
      <c r="S471" s="321"/>
      <c r="T471" s="321"/>
      <c r="U471" s="321"/>
      <c r="V471" s="321"/>
      <c r="W471" s="321"/>
      <c r="X471" s="321"/>
      <c r="Y471" s="321"/>
      <c r="Z471" s="321"/>
      <c r="AA471" s="321"/>
      <c r="AB471" s="321"/>
      <c r="AC471" s="321"/>
      <c r="AD471" s="321"/>
    </row>
    <row r="472">
      <c r="A472" s="321"/>
      <c r="B472" s="321"/>
      <c r="C472" s="321"/>
      <c r="D472" s="321"/>
      <c r="E472" s="321"/>
      <c r="F472" s="321"/>
      <c r="G472" s="454"/>
      <c r="H472" s="454"/>
      <c r="I472" s="454"/>
      <c r="J472" s="454"/>
      <c r="K472" s="321"/>
      <c r="L472" s="321"/>
      <c r="M472" s="321"/>
      <c r="N472" s="321"/>
      <c r="O472" s="321"/>
      <c r="P472" s="321"/>
      <c r="Q472" s="321"/>
      <c r="R472" s="321"/>
      <c r="S472" s="321"/>
      <c r="T472" s="321"/>
      <c r="U472" s="321"/>
      <c r="V472" s="321"/>
      <c r="W472" s="321"/>
      <c r="X472" s="321"/>
      <c r="Y472" s="321"/>
      <c r="Z472" s="321"/>
      <c r="AA472" s="321"/>
      <c r="AB472" s="321"/>
      <c r="AC472" s="321"/>
      <c r="AD472" s="321"/>
    </row>
    <row r="473">
      <c r="A473" s="321"/>
      <c r="B473" s="321"/>
      <c r="C473" s="321"/>
      <c r="D473" s="321"/>
      <c r="E473" s="321"/>
      <c r="F473" s="321"/>
      <c r="G473" s="454"/>
      <c r="H473" s="454"/>
      <c r="I473" s="454"/>
      <c r="J473" s="454"/>
      <c r="K473" s="321"/>
      <c r="L473" s="321"/>
      <c r="M473" s="321"/>
      <c r="N473" s="321"/>
      <c r="O473" s="321"/>
      <c r="P473" s="321"/>
      <c r="Q473" s="321"/>
      <c r="R473" s="321"/>
      <c r="S473" s="321"/>
      <c r="T473" s="321"/>
      <c r="U473" s="321"/>
      <c r="V473" s="321"/>
      <c r="W473" s="321"/>
      <c r="X473" s="321"/>
      <c r="Y473" s="321"/>
      <c r="Z473" s="321"/>
      <c r="AA473" s="321"/>
      <c r="AB473" s="321"/>
      <c r="AC473" s="321"/>
      <c r="AD473" s="321"/>
    </row>
    <row r="474">
      <c r="A474" s="321"/>
      <c r="B474" s="321"/>
      <c r="C474" s="321"/>
      <c r="D474" s="321"/>
      <c r="E474" s="321"/>
      <c r="F474" s="321"/>
      <c r="G474" s="454"/>
      <c r="H474" s="454"/>
      <c r="I474" s="454"/>
      <c r="J474" s="454"/>
      <c r="K474" s="321"/>
      <c r="L474" s="321"/>
      <c r="M474" s="321"/>
      <c r="N474" s="321"/>
      <c r="O474" s="321"/>
      <c r="P474" s="321"/>
      <c r="Q474" s="321"/>
      <c r="R474" s="321"/>
      <c r="S474" s="321"/>
      <c r="T474" s="321"/>
      <c r="U474" s="321"/>
      <c r="V474" s="321"/>
      <c r="W474" s="321"/>
      <c r="X474" s="321"/>
      <c r="Y474" s="321"/>
      <c r="Z474" s="321"/>
      <c r="AA474" s="321"/>
      <c r="AB474" s="321"/>
      <c r="AC474" s="321"/>
      <c r="AD474" s="321"/>
    </row>
    <row r="475">
      <c r="A475" s="321"/>
      <c r="B475" s="321"/>
      <c r="C475" s="321"/>
      <c r="D475" s="321"/>
      <c r="E475" s="321"/>
      <c r="F475" s="321"/>
      <c r="G475" s="454"/>
      <c r="H475" s="454"/>
      <c r="I475" s="454"/>
      <c r="J475" s="454"/>
      <c r="K475" s="321"/>
      <c r="L475" s="321"/>
      <c r="M475" s="321"/>
      <c r="N475" s="321"/>
      <c r="O475" s="321"/>
      <c r="P475" s="321"/>
      <c r="Q475" s="321"/>
      <c r="R475" s="321"/>
      <c r="S475" s="321"/>
      <c r="T475" s="321"/>
      <c r="U475" s="321"/>
      <c r="V475" s="321"/>
      <c r="W475" s="321"/>
      <c r="X475" s="321"/>
      <c r="Y475" s="321"/>
      <c r="Z475" s="321"/>
      <c r="AA475" s="321"/>
      <c r="AB475" s="321"/>
      <c r="AC475" s="321"/>
      <c r="AD475" s="321"/>
    </row>
    <row r="476">
      <c r="A476" s="321"/>
      <c r="B476" s="321"/>
      <c r="C476" s="321"/>
      <c r="D476" s="321"/>
      <c r="E476" s="321"/>
      <c r="F476" s="321"/>
      <c r="G476" s="454"/>
      <c r="H476" s="454"/>
      <c r="I476" s="454"/>
      <c r="J476" s="454"/>
      <c r="K476" s="321"/>
      <c r="L476" s="321"/>
      <c r="M476" s="321"/>
      <c r="N476" s="321"/>
      <c r="O476" s="321"/>
      <c r="P476" s="321"/>
      <c r="Q476" s="321"/>
      <c r="R476" s="321"/>
      <c r="S476" s="321"/>
      <c r="T476" s="321"/>
      <c r="U476" s="321"/>
      <c r="V476" s="321"/>
      <c r="W476" s="321"/>
      <c r="X476" s="321"/>
      <c r="Y476" s="321"/>
      <c r="Z476" s="321"/>
      <c r="AA476" s="321"/>
      <c r="AB476" s="321"/>
      <c r="AC476" s="321"/>
      <c r="AD476" s="321"/>
    </row>
    <row r="477">
      <c r="A477" s="321"/>
      <c r="B477" s="321"/>
      <c r="C477" s="321"/>
      <c r="D477" s="321"/>
      <c r="E477" s="321"/>
      <c r="F477" s="321"/>
      <c r="G477" s="454"/>
      <c r="H477" s="454"/>
      <c r="I477" s="454"/>
      <c r="J477" s="454"/>
      <c r="K477" s="321"/>
      <c r="L477" s="321"/>
      <c r="M477" s="321"/>
      <c r="N477" s="321"/>
      <c r="O477" s="321"/>
      <c r="P477" s="321"/>
      <c r="Q477" s="321"/>
      <c r="R477" s="321"/>
      <c r="S477" s="321"/>
      <c r="T477" s="321"/>
      <c r="U477" s="321"/>
      <c r="V477" s="321"/>
      <c r="W477" s="321"/>
      <c r="X477" s="321"/>
      <c r="Y477" s="321"/>
      <c r="Z477" s="321"/>
      <c r="AA477" s="321"/>
      <c r="AB477" s="321"/>
      <c r="AC477" s="321"/>
      <c r="AD477" s="321"/>
    </row>
    <row r="478">
      <c r="A478" s="321"/>
      <c r="B478" s="321"/>
      <c r="C478" s="321"/>
      <c r="D478" s="321"/>
      <c r="E478" s="321"/>
      <c r="F478" s="321"/>
      <c r="G478" s="454"/>
      <c r="H478" s="454"/>
      <c r="I478" s="454"/>
      <c r="J478" s="454"/>
      <c r="K478" s="321"/>
      <c r="L478" s="321"/>
      <c r="M478" s="321"/>
      <c r="N478" s="321"/>
      <c r="O478" s="321"/>
      <c r="P478" s="321"/>
      <c r="Q478" s="321"/>
      <c r="R478" s="321"/>
      <c r="S478" s="321"/>
      <c r="T478" s="321"/>
      <c r="U478" s="321"/>
      <c r="V478" s="321"/>
      <c r="W478" s="321"/>
      <c r="X478" s="321"/>
      <c r="Y478" s="321"/>
      <c r="Z478" s="321"/>
      <c r="AA478" s="321"/>
      <c r="AB478" s="321"/>
      <c r="AC478" s="321"/>
      <c r="AD478" s="321"/>
    </row>
    <row r="479">
      <c r="A479" s="321"/>
      <c r="B479" s="321"/>
      <c r="C479" s="321"/>
      <c r="D479" s="321"/>
      <c r="E479" s="321"/>
      <c r="F479" s="321"/>
      <c r="G479" s="454"/>
      <c r="H479" s="454"/>
      <c r="I479" s="454"/>
      <c r="J479" s="454"/>
      <c r="K479" s="321"/>
      <c r="L479" s="321"/>
      <c r="M479" s="321"/>
      <c r="N479" s="321"/>
      <c r="O479" s="321"/>
      <c r="P479" s="321"/>
      <c r="Q479" s="321"/>
      <c r="R479" s="321"/>
      <c r="S479" s="321"/>
      <c r="T479" s="321"/>
      <c r="U479" s="321"/>
      <c r="V479" s="321"/>
      <c r="W479" s="321"/>
      <c r="X479" s="321"/>
      <c r="Y479" s="321"/>
      <c r="Z479" s="321"/>
      <c r="AA479" s="321"/>
      <c r="AB479" s="321"/>
      <c r="AC479" s="321"/>
      <c r="AD479" s="321"/>
    </row>
    <row r="480">
      <c r="A480" s="321"/>
      <c r="B480" s="321"/>
      <c r="C480" s="321"/>
      <c r="D480" s="321"/>
      <c r="E480" s="321"/>
      <c r="F480" s="321"/>
      <c r="G480" s="454"/>
      <c r="H480" s="454"/>
      <c r="I480" s="454"/>
      <c r="J480" s="454"/>
      <c r="K480" s="321"/>
      <c r="L480" s="321"/>
      <c r="M480" s="321"/>
      <c r="N480" s="321"/>
      <c r="O480" s="321"/>
      <c r="P480" s="321"/>
      <c r="Q480" s="321"/>
      <c r="R480" s="321"/>
      <c r="S480" s="321"/>
      <c r="T480" s="321"/>
      <c r="U480" s="321"/>
      <c r="V480" s="321"/>
      <c r="W480" s="321"/>
      <c r="X480" s="321"/>
      <c r="Y480" s="321"/>
      <c r="Z480" s="321"/>
      <c r="AA480" s="321"/>
      <c r="AB480" s="321"/>
      <c r="AC480" s="321"/>
      <c r="AD480" s="321"/>
    </row>
    <row r="481">
      <c r="A481" s="321"/>
      <c r="B481" s="321"/>
      <c r="C481" s="321"/>
      <c r="D481" s="321"/>
      <c r="E481" s="321"/>
      <c r="F481" s="321"/>
      <c r="G481" s="454"/>
      <c r="H481" s="454"/>
      <c r="I481" s="454"/>
      <c r="J481" s="454"/>
      <c r="K481" s="321"/>
      <c r="L481" s="321"/>
      <c r="M481" s="321"/>
      <c r="N481" s="321"/>
      <c r="O481" s="321"/>
      <c r="P481" s="321"/>
      <c r="Q481" s="321"/>
      <c r="R481" s="321"/>
      <c r="S481" s="321"/>
      <c r="T481" s="321"/>
      <c r="U481" s="321"/>
      <c r="V481" s="321"/>
      <c r="W481" s="321"/>
      <c r="X481" s="321"/>
      <c r="Y481" s="321"/>
      <c r="Z481" s="321"/>
      <c r="AA481" s="321"/>
      <c r="AB481" s="321"/>
      <c r="AC481" s="321"/>
      <c r="AD481" s="321"/>
    </row>
    <row r="482">
      <c r="A482" s="321"/>
      <c r="B482" s="321"/>
      <c r="C482" s="321"/>
      <c r="D482" s="321"/>
      <c r="E482" s="321"/>
      <c r="F482" s="321"/>
      <c r="G482" s="454"/>
      <c r="H482" s="454"/>
      <c r="I482" s="454"/>
      <c r="J482" s="454"/>
      <c r="K482" s="321"/>
      <c r="L482" s="321"/>
      <c r="M482" s="321"/>
      <c r="N482" s="321"/>
      <c r="O482" s="321"/>
      <c r="P482" s="321"/>
      <c r="Q482" s="321"/>
      <c r="R482" s="321"/>
      <c r="S482" s="321"/>
      <c r="T482" s="321"/>
      <c r="U482" s="321"/>
      <c r="V482" s="321"/>
      <c r="W482" s="321"/>
      <c r="X482" s="321"/>
      <c r="Y482" s="321"/>
      <c r="Z482" s="321"/>
      <c r="AA482" s="321"/>
      <c r="AB482" s="321"/>
      <c r="AC482" s="321"/>
      <c r="AD482" s="321"/>
    </row>
    <row r="483">
      <c r="A483" s="321"/>
      <c r="B483" s="321"/>
      <c r="C483" s="321"/>
      <c r="D483" s="321"/>
      <c r="E483" s="321"/>
      <c r="F483" s="321"/>
      <c r="G483" s="454"/>
      <c r="H483" s="454"/>
      <c r="I483" s="454"/>
      <c r="J483" s="454"/>
      <c r="K483" s="321"/>
      <c r="L483" s="321"/>
      <c r="M483" s="321"/>
      <c r="N483" s="321"/>
      <c r="O483" s="321"/>
      <c r="P483" s="321"/>
      <c r="Q483" s="321"/>
      <c r="R483" s="321"/>
      <c r="S483" s="321"/>
      <c r="T483" s="321"/>
      <c r="U483" s="321"/>
      <c r="V483" s="321"/>
      <c r="W483" s="321"/>
      <c r="X483" s="321"/>
      <c r="Y483" s="321"/>
      <c r="Z483" s="321"/>
      <c r="AA483" s="321"/>
      <c r="AB483" s="321"/>
      <c r="AC483" s="321"/>
      <c r="AD483" s="321"/>
    </row>
    <row r="484">
      <c r="A484" s="321"/>
      <c r="B484" s="321"/>
      <c r="C484" s="321"/>
      <c r="D484" s="321"/>
      <c r="E484" s="321"/>
      <c r="F484" s="321"/>
      <c r="G484" s="454"/>
      <c r="H484" s="454"/>
      <c r="I484" s="454"/>
      <c r="J484" s="454"/>
      <c r="K484" s="321"/>
      <c r="L484" s="321"/>
      <c r="M484" s="321"/>
      <c r="N484" s="321"/>
      <c r="O484" s="321"/>
      <c r="P484" s="321"/>
      <c r="Q484" s="321"/>
      <c r="R484" s="321"/>
      <c r="S484" s="321"/>
      <c r="T484" s="321"/>
      <c r="U484" s="321"/>
      <c r="V484" s="321"/>
      <c r="W484" s="321"/>
      <c r="X484" s="321"/>
      <c r="Y484" s="321"/>
      <c r="Z484" s="321"/>
      <c r="AA484" s="321"/>
      <c r="AB484" s="321"/>
      <c r="AC484" s="321"/>
      <c r="AD484" s="321"/>
    </row>
    <row r="485">
      <c r="A485" s="321"/>
      <c r="B485" s="321"/>
      <c r="C485" s="321"/>
      <c r="D485" s="321"/>
      <c r="E485" s="321"/>
      <c r="F485" s="321"/>
      <c r="G485" s="454"/>
      <c r="H485" s="454"/>
      <c r="I485" s="454"/>
      <c r="J485" s="454"/>
      <c r="K485" s="321"/>
      <c r="L485" s="321"/>
      <c r="M485" s="321"/>
      <c r="N485" s="321"/>
      <c r="O485" s="321"/>
      <c r="P485" s="321"/>
      <c r="Q485" s="321"/>
      <c r="R485" s="321"/>
      <c r="S485" s="321"/>
      <c r="T485" s="321"/>
      <c r="U485" s="321"/>
      <c r="V485" s="321"/>
      <c r="W485" s="321"/>
      <c r="X485" s="321"/>
      <c r="Y485" s="321"/>
      <c r="Z485" s="321"/>
      <c r="AA485" s="321"/>
      <c r="AB485" s="321"/>
      <c r="AC485" s="321"/>
      <c r="AD485" s="321"/>
    </row>
    <row r="486">
      <c r="A486" s="321"/>
      <c r="B486" s="321"/>
      <c r="C486" s="321"/>
      <c r="D486" s="321"/>
      <c r="E486" s="321"/>
      <c r="F486" s="321"/>
      <c r="G486" s="454"/>
      <c r="H486" s="454"/>
      <c r="I486" s="454"/>
      <c r="J486" s="454"/>
      <c r="K486" s="321"/>
      <c r="L486" s="321"/>
      <c r="M486" s="321"/>
      <c r="N486" s="321"/>
      <c r="O486" s="321"/>
      <c r="P486" s="321"/>
      <c r="Q486" s="321"/>
      <c r="R486" s="321"/>
      <c r="S486" s="321"/>
      <c r="T486" s="321"/>
      <c r="U486" s="321"/>
      <c r="V486" s="321"/>
      <c r="W486" s="321"/>
      <c r="X486" s="321"/>
      <c r="Y486" s="321"/>
      <c r="Z486" s="321"/>
      <c r="AA486" s="321"/>
      <c r="AB486" s="321"/>
      <c r="AC486" s="321"/>
      <c r="AD486" s="321"/>
    </row>
    <row r="487">
      <c r="A487" s="321"/>
      <c r="B487" s="321"/>
      <c r="C487" s="321"/>
      <c r="D487" s="321"/>
      <c r="E487" s="321"/>
      <c r="F487" s="321"/>
      <c r="G487" s="454"/>
      <c r="H487" s="454"/>
      <c r="I487" s="454"/>
      <c r="J487" s="454"/>
      <c r="K487" s="321"/>
      <c r="L487" s="321"/>
      <c r="M487" s="321"/>
      <c r="N487" s="321"/>
      <c r="O487" s="321"/>
      <c r="P487" s="321"/>
      <c r="Q487" s="321"/>
      <c r="R487" s="321"/>
      <c r="S487" s="321"/>
      <c r="T487" s="321"/>
      <c r="U487" s="321"/>
      <c r="V487" s="321"/>
      <c r="W487" s="321"/>
      <c r="X487" s="321"/>
      <c r="Y487" s="321"/>
      <c r="Z487" s="321"/>
      <c r="AA487" s="321"/>
      <c r="AB487" s="321"/>
      <c r="AC487" s="321"/>
      <c r="AD487" s="321"/>
    </row>
    <row r="488">
      <c r="A488" s="321"/>
      <c r="B488" s="321"/>
      <c r="C488" s="321"/>
      <c r="D488" s="321"/>
      <c r="E488" s="321"/>
      <c r="F488" s="321"/>
      <c r="G488" s="454"/>
      <c r="H488" s="454"/>
      <c r="I488" s="454"/>
      <c r="J488" s="454"/>
      <c r="K488" s="321"/>
      <c r="L488" s="321"/>
      <c r="M488" s="321"/>
      <c r="N488" s="321"/>
      <c r="O488" s="321"/>
      <c r="P488" s="321"/>
      <c r="Q488" s="321"/>
      <c r="R488" s="321"/>
      <c r="S488" s="321"/>
      <c r="T488" s="321"/>
      <c r="U488" s="321"/>
      <c r="V488" s="321"/>
      <c r="W488" s="321"/>
      <c r="X488" s="321"/>
      <c r="Y488" s="321"/>
      <c r="Z488" s="321"/>
      <c r="AA488" s="321"/>
      <c r="AB488" s="321"/>
      <c r="AC488" s="321"/>
      <c r="AD488" s="321"/>
    </row>
    <row r="489">
      <c r="A489" s="321"/>
      <c r="B489" s="321"/>
      <c r="C489" s="321"/>
      <c r="D489" s="321"/>
      <c r="E489" s="321"/>
      <c r="F489" s="321"/>
      <c r="G489" s="454"/>
      <c r="H489" s="454"/>
      <c r="I489" s="454"/>
      <c r="J489" s="454"/>
      <c r="K489" s="321"/>
      <c r="L489" s="321"/>
      <c r="M489" s="321"/>
      <c r="N489" s="321"/>
      <c r="O489" s="321"/>
      <c r="P489" s="321"/>
      <c r="Q489" s="321"/>
      <c r="R489" s="321"/>
      <c r="S489" s="321"/>
      <c r="T489" s="321"/>
      <c r="U489" s="321"/>
      <c r="V489" s="321"/>
      <c r="W489" s="321"/>
      <c r="X489" s="321"/>
      <c r="Y489" s="321"/>
      <c r="Z489" s="321"/>
      <c r="AA489" s="321"/>
      <c r="AB489" s="321"/>
      <c r="AC489" s="321"/>
      <c r="AD489" s="321"/>
    </row>
    <row r="490">
      <c r="A490" s="321"/>
      <c r="B490" s="321"/>
      <c r="C490" s="321"/>
      <c r="D490" s="321"/>
      <c r="E490" s="321"/>
      <c r="F490" s="321"/>
      <c r="G490" s="454"/>
      <c r="H490" s="454"/>
      <c r="I490" s="454"/>
      <c r="J490" s="454"/>
      <c r="K490" s="321"/>
      <c r="L490" s="321"/>
      <c r="M490" s="321"/>
      <c r="N490" s="321"/>
      <c r="O490" s="321"/>
      <c r="P490" s="321"/>
      <c r="Q490" s="321"/>
      <c r="R490" s="321"/>
      <c r="S490" s="321"/>
      <c r="T490" s="321"/>
      <c r="U490" s="321"/>
      <c r="V490" s="321"/>
      <c r="W490" s="321"/>
      <c r="X490" s="321"/>
      <c r="Y490" s="321"/>
      <c r="Z490" s="321"/>
      <c r="AA490" s="321"/>
      <c r="AB490" s="321"/>
      <c r="AC490" s="321"/>
      <c r="AD490" s="321"/>
    </row>
    <row r="491">
      <c r="A491" s="321"/>
      <c r="B491" s="321"/>
      <c r="C491" s="321"/>
      <c r="D491" s="321"/>
      <c r="E491" s="321"/>
      <c r="F491" s="321"/>
      <c r="G491" s="454"/>
      <c r="H491" s="454"/>
      <c r="I491" s="454"/>
      <c r="J491" s="454"/>
      <c r="K491" s="321"/>
      <c r="L491" s="321"/>
      <c r="M491" s="321"/>
      <c r="N491" s="321"/>
      <c r="O491" s="321"/>
      <c r="P491" s="321"/>
      <c r="Q491" s="321"/>
      <c r="R491" s="321"/>
      <c r="S491" s="321"/>
      <c r="T491" s="321"/>
      <c r="U491" s="321"/>
      <c r="V491" s="321"/>
      <c r="W491" s="321"/>
      <c r="X491" s="321"/>
      <c r="Y491" s="321"/>
      <c r="Z491" s="321"/>
      <c r="AA491" s="321"/>
      <c r="AB491" s="321"/>
      <c r="AC491" s="321"/>
      <c r="AD491" s="321"/>
    </row>
    <row r="492">
      <c r="A492" s="321"/>
      <c r="B492" s="321"/>
      <c r="C492" s="321"/>
      <c r="D492" s="321"/>
      <c r="E492" s="321"/>
      <c r="F492" s="321"/>
      <c r="G492" s="454"/>
      <c r="H492" s="454"/>
      <c r="I492" s="454"/>
      <c r="J492" s="454"/>
      <c r="K492" s="321"/>
      <c r="L492" s="321"/>
      <c r="M492" s="321"/>
      <c r="N492" s="321"/>
      <c r="O492" s="321"/>
      <c r="P492" s="321"/>
      <c r="Q492" s="321"/>
      <c r="R492" s="321"/>
      <c r="S492" s="321"/>
      <c r="T492" s="321"/>
      <c r="U492" s="321"/>
      <c r="V492" s="321"/>
      <c r="W492" s="321"/>
      <c r="X492" s="321"/>
      <c r="Y492" s="321"/>
      <c r="Z492" s="321"/>
      <c r="AA492" s="321"/>
      <c r="AB492" s="321"/>
      <c r="AC492" s="321"/>
      <c r="AD492" s="321"/>
    </row>
    <row r="493">
      <c r="A493" s="321"/>
      <c r="B493" s="321"/>
      <c r="C493" s="321"/>
      <c r="D493" s="321"/>
      <c r="E493" s="321"/>
      <c r="F493" s="321"/>
      <c r="G493" s="454"/>
      <c r="H493" s="454"/>
      <c r="I493" s="454"/>
      <c r="J493" s="454"/>
      <c r="K493" s="321"/>
      <c r="L493" s="321"/>
      <c r="M493" s="321"/>
      <c r="N493" s="321"/>
      <c r="O493" s="321"/>
      <c r="P493" s="321"/>
      <c r="Q493" s="321"/>
      <c r="R493" s="321"/>
      <c r="S493" s="321"/>
      <c r="T493" s="321"/>
      <c r="U493" s="321"/>
      <c r="V493" s="321"/>
      <c r="W493" s="321"/>
      <c r="X493" s="321"/>
      <c r="Y493" s="321"/>
      <c r="Z493" s="321"/>
      <c r="AA493" s="321"/>
      <c r="AB493" s="321"/>
      <c r="AC493" s="321"/>
      <c r="AD493" s="321"/>
    </row>
    <row r="494">
      <c r="A494" s="321"/>
      <c r="B494" s="321"/>
      <c r="C494" s="321"/>
      <c r="D494" s="321"/>
      <c r="E494" s="321"/>
      <c r="F494" s="321"/>
      <c r="G494" s="454"/>
      <c r="H494" s="454"/>
      <c r="I494" s="454"/>
      <c r="J494" s="454"/>
      <c r="K494" s="321"/>
      <c r="L494" s="321"/>
      <c r="M494" s="321"/>
      <c r="N494" s="321"/>
      <c r="O494" s="321"/>
      <c r="P494" s="321"/>
      <c r="Q494" s="321"/>
      <c r="R494" s="321"/>
      <c r="S494" s="321"/>
      <c r="T494" s="321"/>
      <c r="U494" s="321"/>
      <c r="V494" s="321"/>
      <c r="W494" s="321"/>
      <c r="X494" s="321"/>
      <c r="Y494" s="321"/>
      <c r="Z494" s="321"/>
      <c r="AA494" s="321"/>
      <c r="AB494" s="321"/>
      <c r="AC494" s="321"/>
      <c r="AD494" s="321"/>
    </row>
    <row r="495">
      <c r="A495" s="321"/>
      <c r="B495" s="321"/>
      <c r="C495" s="321"/>
      <c r="D495" s="321"/>
      <c r="E495" s="321"/>
      <c r="F495" s="321"/>
      <c r="G495" s="454"/>
      <c r="H495" s="454"/>
      <c r="I495" s="454"/>
      <c r="J495" s="454"/>
      <c r="K495" s="321"/>
      <c r="L495" s="321"/>
      <c r="M495" s="321"/>
      <c r="N495" s="321"/>
      <c r="O495" s="321"/>
      <c r="P495" s="321"/>
      <c r="Q495" s="321"/>
      <c r="R495" s="321"/>
      <c r="S495" s="321"/>
      <c r="T495" s="321"/>
      <c r="U495" s="321"/>
      <c r="V495" s="321"/>
      <c r="W495" s="321"/>
      <c r="X495" s="321"/>
      <c r="Y495" s="321"/>
      <c r="Z495" s="321"/>
      <c r="AA495" s="321"/>
      <c r="AB495" s="321"/>
      <c r="AC495" s="321"/>
      <c r="AD495" s="321"/>
    </row>
    <row r="496">
      <c r="A496" s="321"/>
      <c r="B496" s="321"/>
      <c r="C496" s="321"/>
      <c r="D496" s="321"/>
      <c r="E496" s="321"/>
      <c r="F496" s="321"/>
      <c r="G496" s="454"/>
      <c r="H496" s="454"/>
      <c r="I496" s="454"/>
      <c r="J496" s="454"/>
      <c r="K496" s="321"/>
      <c r="L496" s="321"/>
      <c r="M496" s="321"/>
      <c r="N496" s="321"/>
      <c r="O496" s="321"/>
      <c r="P496" s="321"/>
      <c r="Q496" s="321"/>
      <c r="R496" s="321"/>
      <c r="S496" s="321"/>
      <c r="T496" s="321"/>
      <c r="U496" s="321"/>
      <c r="V496" s="321"/>
      <c r="W496" s="321"/>
      <c r="X496" s="321"/>
      <c r="Y496" s="321"/>
      <c r="Z496" s="321"/>
      <c r="AA496" s="321"/>
      <c r="AB496" s="321"/>
      <c r="AC496" s="321"/>
      <c r="AD496" s="321"/>
    </row>
    <row r="497">
      <c r="A497" s="321"/>
      <c r="B497" s="321"/>
      <c r="C497" s="321"/>
      <c r="D497" s="321"/>
      <c r="E497" s="321"/>
      <c r="F497" s="321"/>
      <c r="G497" s="454"/>
      <c r="H497" s="454"/>
      <c r="I497" s="454"/>
      <c r="J497" s="454"/>
      <c r="K497" s="321"/>
      <c r="L497" s="321"/>
      <c r="M497" s="321"/>
      <c r="N497" s="321"/>
      <c r="O497" s="321"/>
      <c r="P497" s="321"/>
      <c r="Q497" s="321"/>
      <c r="R497" s="321"/>
      <c r="S497" s="321"/>
      <c r="T497" s="321"/>
      <c r="U497" s="321"/>
      <c r="V497" s="321"/>
      <c r="W497" s="321"/>
      <c r="X497" s="321"/>
      <c r="Y497" s="321"/>
      <c r="Z497" s="321"/>
      <c r="AA497" s="321"/>
      <c r="AB497" s="321"/>
      <c r="AC497" s="321"/>
      <c r="AD497" s="321"/>
    </row>
    <row r="498">
      <c r="A498" s="321"/>
      <c r="B498" s="321"/>
      <c r="C498" s="321"/>
      <c r="D498" s="321"/>
      <c r="E498" s="321"/>
      <c r="F498" s="321"/>
      <c r="G498" s="454"/>
      <c r="H498" s="454"/>
      <c r="I498" s="454"/>
      <c r="J498" s="454"/>
      <c r="K498" s="321"/>
      <c r="L498" s="321"/>
      <c r="M498" s="321"/>
      <c r="N498" s="321"/>
      <c r="O498" s="321"/>
      <c r="P498" s="321"/>
      <c r="Q498" s="321"/>
      <c r="R498" s="321"/>
      <c r="S498" s="321"/>
      <c r="T498" s="321"/>
      <c r="U498" s="321"/>
      <c r="V498" s="321"/>
      <c r="W498" s="321"/>
      <c r="X498" s="321"/>
      <c r="Y498" s="321"/>
      <c r="Z498" s="321"/>
      <c r="AA498" s="321"/>
      <c r="AB498" s="321"/>
      <c r="AC498" s="321"/>
      <c r="AD498" s="321"/>
    </row>
    <row r="499">
      <c r="A499" s="321"/>
      <c r="B499" s="321"/>
      <c r="C499" s="321"/>
      <c r="D499" s="321"/>
      <c r="E499" s="321"/>
      <c r="F499" s="321"/>
      <c r="G499" s="454"/>
      <c r="H499" s="454"/>
      <c r="I499" s="454"/>
      <c r="J499" s="454"/>
      <c r="K499" s="321"/>
      <c r="L499" s="321"/>
      <c r="M499" s="321"/>
      <c r="N499" s="321"/>
      <c r="O499" s="321"/>
      <c r="P499" s="321"/>
      <c r="Q499" s="321"/>
      <c r="R499" s="321"/>
      <c r="S499" s="321"/>
      <c r="T499" s="321"/>
      <c r="U499" s="321"/>
      <c r="V499" s="321"/>
      <c r="W499" s="321"/>
      <c r="X499" s="321"/>
      <c r="Y499" s="321"/>
      <c r="Z499" s="321"/>
      <c r="AA499" s="321"/>
      <c r="AB499" s="321"/>
      <c r="AC499" s="321"/>
      <c r="AD499" s="321"/>
    </row>
    <row r="500">
      <c r="A500" s="321"/>
      <c r="B500" s="321"/>
      <c r="C500" s="321"/>
      <c r="D500" s="321"/>
      <c r="E500" s="321"/>
      <c r="F500" s="321"/>
      <c r="G500" s="454"/>
      <c r="H500" s="454"/>
      <c r="I500" s="454"/>
      <c r="J500" s="454"/>
      <c r="K500" s="321"/>
      <c r="L500" s="321"/>
      <c r="M500" s="321"/>
      <c r="N500" s="321"/>
      <c r="O500" s="321"/>
      <c r="P500" s="321"/>
      <c r="Q500" s="321"/>
      <c r="R500" s="321"/>
      <c r="S500" s="321"/>
      <c r="T500" s="321"/>
      <c r="U500" s="321"/>
      <c r="V500" s="321"/>
      <c r="W500" s="321"/>
      <c r="X500" s="321"/>
      <c r="Y500" s="321"/>
      <c r="Z500" s="321"/>
      <c r="AA500" s="321"/>
      <c r="AB500" s="321"/>
      <c r="AC500" s="321"/>
      <c r="AD500" s="321"/>
    </row>
    <row r="501">
      <c r="A501" s="321"/>
      <c r="B501" s="321"/>
      <c r="C501" s="321"/>
      <c r="D501" s="321"/>
      <c r="E501" s="321"/>
      <c r="F501" s="321"/>
      <c r="G501" s="454"/>
      <c r="H501" s="454"/>
      <c r="I501" s="454"/>
      <c r="J501" s="454"/>
      <c r="K501" s="321"/>
      <c r="L501" s="321"/>
      <c r="M501" s="321"/>
      <c r="N501" s="321"/>
      <c r="O501" s="321"/>
      <c r="P501" s="321"/>
      <c r="Q501" s="321"/>
      <c r="R501" s="321"/>
      <c r="S501" s="321"/>
      <c r="T501" s="321"/>
      <c r="U501" s="321"/>
      <c r="V501" s="321"/>
      <c r="W501" s="321"/>
      <c r="X501" s="321"/>
      <c r="Y501" s="321"/>
      <c r="Z501" s="321"/>
      <c r="AA501" s="321"/>
      <c r="AB501" s="321"/>
      <c r="AC501" s="321"/>
      <c r="AD501" s="321"/>
    </row>
    <row r="502">
      <c r="A502" s="321"/>
      <c r="B502" s="321"/>
      <c r="C502" s="321"/>
      <c r="D502" s="321"/>
      <c r="E502" s="321"/>
      <c r="F502" s="321"/>
      <c r="G502" s="454"/>
      <c r="H502" s="454"/>
      <c r="I502" s="454"/>
      <c r="J502" s="454"/>
      <c r="K502" s="321"/>
      <c r="L502" s="321"/>
      <c r="M502" s="321"/>
      <c r="N502" s="321"/>
      <c r="O502" s="321"/>
      <c r="P502" s="321"/>
      <c r="Q502" s="321"/>
      <c r="R502" s="321"/>
      <c r="S502" s="321"/>
      <c r="T502" s="321"/>
      <c r="U502" s="321"/>
      <c r="V502" s="321"/>
      <c r="W502" s="321"/>
      <c r="X502" s="321"/>
      <c r="Y502" s="321"/>
      <c r="Z502" s="321"/>
      <c r="AA502" s="321"/>
      <c r="AB502" s="321"/>
      <c r="AC502" s="321"/>
      <c r="AD502" s="321"/>
    </row>
    <row r="503">
      <c r="A503" s="321"/>
      <c r="B503" s="321"/>
      <c r="C503" s="321"/>
      <c r="D503" s="321"/>
      <c r="E503" s="321"/>
      <c r="F503" s="321"/>
      <c r="G503" s="454"/>
      <c r="H503" s="454"/>
      <c r="I503" s="454"/>
      <c r="J503" s="454"/>
      <c r="K503" s="321"/>
      <c r="L503" s="321"/>
      <c r="M503" s="321"/>
      <c r="N503" s="321"/>
      <c r="O503" s="321"/>
      <c r="P503" s="321"/>
      <c r="Q503" s="321"/>
      <c r="R503" s="321"/>
      <c r="S503" s="321"/>
      <c r="T503" s="321"/>
      <c r="U503" s="321"/>
      <c r="V503" s="321"/>
      <c r="W503" s="321"/>
      <c r="X503" s="321"/>
      <c r="Y503" s="321"/>
      <c r="Z503" s="321"/>
      <c r="AA503" s="321"/>
      <c r="AB503" s="321"/>
      <c r="AC503" s="321"/>
      <c r="AD503" s="321"/>
    </row>
    <row r="504">
      <c r="A504" s="321"/>
      <c r="B504" s="321"/>
      <c r="C504" s="321"/>
      <c r="D504" s="321"/>
      <c r="E504" s="321"/>
      <c r="F504" s="321"/>
      <c r="G504" s="454"/>
      <c r="H504" s="454"/>
      <c r="I504" s="454"/>
      <c r="J504" s="454"/>
      <c r="K504" s="321"/>
      <c r="L504" s="321"/>
      <c r="M504" s="321"/>
      <c r="N504" s="321"/>
      <c r="O504" s="321"/>
      <c r="P504" s="321"/>
      <c r="Q504" s="321"/>
      <c r="R504" s="321"/>
      <c r="S504" s="321"/>
      <c r="T504" s="321"/>
      <c r="U504" s="321"/>
      <c r="V504" s="321"/>
      <c r="W504" s="321"/>
      <c r="X504" s="321"/>
      <c r="Y504" s="321"/>
      <c r="Z504" s="321"/>
      <c r="AA504" s="321"/>
      <c r="AB504" s="321"/>
      <c r="AC504" s="321"/>
      <c r="AD504" s="321"/>
    </row>
    <row r="505">
      <c r="A505" s="321"/>
      <c r="B505" s="321"/>
      <c r="C505" s="321"/>
      <c r="D505" s="321"/>
      <c r="E505" s="321"/>
      <c r="F505" s="321"/>
      <c r="G505" s="454"/>
      <c r="H505" s="454"/>
      <c r="I505" s="454"/>
      <c r="J505" s="454"/>
      <c r="K505" s="321"/>
      <c r="L505" s="321"/>
      <c r="M505" s="321"/>
      <c r="N505" s="321"/>
      <c r="O505" s="321"/>
      <c r="P505" s="321"/>
      <c r="Q505" s="321"/>
      <c r="R505" s="321"/>
      <c r="S505" s="321"/>
      <c r="T505" s="321"/>
      <c r="U505" s="321"/>
      <c r="V505" s="321"/>
      <c r="W505" s="321"/>
      <c r="X505" s="321"/>
      <c r="Y505" s="321"/>
      <c r="Z505" s="321"/>
      <c r="AA505" s="321"/>
      <c r="AB505" s="321"/>
      <c r="AC505" s="321"/>
      <c r="AD505" s="321"/>
    </row>
    <row r="506">
      <c r="A506" s="321"/>
      <c r="B506" s="321"/>
      <c r="C506" s="321"/>
      <c r="D506" s="321"/>
      <c r="E506" s="321"/>
      <c r="F506" s="321"/>
      <c r="G506" s="454"/>
      <c r="H506" s="454"/>
      <c r="I506" s="454"/>
      <c r="J506" s="454"/>
      <c r="K506" s="321"/>
      <c r="L506" s="321"/>
      <c r="M506" s="321"/>
      <c r="N506" s="321"/>
      <c r="O506" s="321"/>
      <c r="P506" s="321"/>
      <c r="Q506" s="321"/>
      <c r="R506" s="321"/>
      <c r="S506" s="321"/>
      <c r="T506" s="321"/>
      <c r="U506" s="321"/>
      <c r="V506" s="321"/>
      <c r="W506" s="321"/>
      <c r="X506" s="321"/>
      <c r="Y506" s="321"/>
      <c r="Z506" s="321"/>
      <c r="AA506" s="321"/>
      <c r="AB506" s="321"/>
      <c r="AC506" s="321"/>
      <c r="AD506" s="321"/>
    </row>
    <row r="507">
      <c r="A507" s="321"/>
      <c r="B507" s="321"/>
      <c r="C507" s="321"/>
      <c r="D507" s="321"/>
      <c r="E507" s="321"/>
      <c r="F507" s="321"/>
      <c r="G507" s="454"/>
      <c r="H507" s="454"/>
      <c r="I507" s="454"/>
      <c r="J507" s="454"/>
      <c r="K507" s="321"/>
      <c r="L507" s="321"/>
      <c r="M507" s="321"/>
      <c r="N507" s="321"/>
      <c r="O507" s="321"/>
      <c r="P507" s="321"/>
      <c r="Q507" s="321"/>
      <c r="R507" s="321"/>
      <c r="S507" s="321"/>
      <c r="T507" s="321"/>
      <c r="U507" s="321"/>
      <c r="V507" s="321"/>
      <c r="W507" s="321"/>
      <c r="X507" s="321"/>
      <c r="Y507" s="321"/>
      <c r="Z507" s="321"/>
      <c r="AA507" s="321"/>
      <c r="AB507" s="321"/>
      <c r="AC507" s="321"/>
      <c r="AD507" s="321"/>
    </row>
    <row r="508">
      <c r="A508" s="321"/>
      <c r="B508" s="321"/>
      <c r="C508" s="321"/>
      <c r="D508" s="321"/>
      <c r="E508" s="321"/>
      <c r="F508" s="321"/>
      <c r="G508" s="454"/>
      <c r="H508" s="454"/>
      <c r="I508" s="454"/>
      <c r="J508" s="454"/>
      <c r="K508" s="321"/>
      <c r="L508" s="321"/>
      <c r="M508" s="321"/>
      <c r="N508" s="321"/>
      <c r="O508" s="321"/>
      <c r="P508" s="321"/>
      <c r="Q508" s="321"/>
      <c r="R508" s="321"/>
      <c r="S508" s="321"/>
      <c r="T508" s="321"/>
      <c r="U508" s="321"/>
      <c r="V508" s="321"/>
      <c r="W508" s="321"/>
      <c r="X508" s="321"/>
      <c r="Y508" s="321"/>
      <c r="Z508" s="321"/>
      <c r="AA508" s="321"/>
      <c r="AB508" s="321"/>
      <c r="AC508" s="321"/>
      <c r="AD508" s="321"/>
    </row>
    <row r="509">
      <c r="A509" s="321"/>
      <c r="B509" s="321"/>
      <c r="C509" s="321"/>
      <c r="D509" s="321"/>
      <c r="E509" s="321"/>
      <c r="F509" s="321"/>
      <c r="G509" s="454"/>
      <c r="H509" s="454"/>
      <c r="I509" s="454"/>
      <c r="J509" s="454"/>
      <c r="K509" s="321"/>
      <c r="L509" s="321"/>
      <c r="M509" s="321"/>
      <c r="N509" s="321"/>
      <c r="O509" s="321"/>
      <c r="P509" s="321"/>
      <c r="Q509" s="321"/>
      <c r="R509" s="321"/>
      <c r="S509" s="321"/>
      <c r="T509" s="321"/>
      <c r="U509" s="321"/>
      <c r="V509" s="321"/>
      <c r="W509" s="321"/>
      <c r="X509" s="321"/>
      <c r="Y509" s="321"/>
      <c r="Z509" s="321"/>
      <c r="AA509" s="321"/>
      <c r="AB509" s="321"/>
      <c r="AC509" s="321"/>
      <c r="AD509" s="321"/>
    </row>
    <row r="510">
      <c r="A510" s="321"/>
      <c r="B510" s="321"/>
      <c r="C510" s="321"/>
      <c r="D510" s="321"/>
      <c r="E510" s="321"/>
      <c r="F510" s="321"/>
      <c r="G510" s="454"/>
      <c r="H510" s="454"/>
      <c r="I510" s="454"/>
      <c r="J510" s="454"/>
      <c r="K510" s="321"/>
      <c r="L510" s="321"/>
      <c r="M510" s="321"/>
      <c r="N510" s="321"/>
      <c r="O510" s="321"/>
      <c r="P510" s="321"/>
      <c r="Q510" s="321"/>
      <c r="R510" s="321"/>
      <c r="S510" s="321"/>
      <c r="T510" s="321"/>
      <c r="U510" s="321"/>
      <c r="V510" s="321"/>
      <c r="W510" s="321"/>
      <c r="X510" s="321"/>
      <c r="Y510" s="321"/>
      <c r="Z510" s="321"/>
      <c r="AA510" s="321"/>
      <c r="AB510" s="321"/>
      <c r="AC510" s="321"/>
      <c r="AD510" s="321"/>
    </row>
    <row r="511">
      <c r="A511" s="321"/>
      <c r="B511" s="321"/>
      <c r="C511" s="321"/>
      <c r="D511" s="321"/>
      <c r="E511" s="321"/>
      <c r="F511" s="321"/>
      <c r="G511" s="454"/>
      <c r="H511" s="454"/>
      <c r="I511" s="454"/>
      <c r="J511" s="454"/>
      <c r="K511" s="321"/>
      <c r="L511" s="321"/>
      <c r="M511" s="321"/>
      <c r="N511" s="321"/>
      <c r="O511" s="321"/>
      <c r="P511" s="321"/>
      <c r="Q511" s="321"/>
      <c r="R511" s="321"/>
      <c r="S511" s="321"/>
      <c r="T511" s="321"/>
      <c r="U511" s="321"/>
      <c r="V511" s="321"/>
      <c r="W511" s="321"/>
      <c r="X511" s="321"/>
      <c r="Y511" s="321"/>
      <c r="Z511" s="321"/>
      <c r="AA511" s="321"/>
      <c r="AB511" s="321"/>
      <c r="AC511" s="321"/>
      <c r="AD511" s="321"/>
    </row>
    <row r="512">
      <c r="A512" s="321"/>
      <c r="B512" s="321"/>
      <c r="C512" s="321"/>
      <c r="D512" s="321"/>
      <c r="E512" s="321"/>
      <c r="F512" s="321"/>
      <c r="G512" s="454"/>
      <c r="H512" s="454"/>
      <c r="I512" s="454"/>
      <c r="J512" s="454"/>
      <c r="K512" s="321"/>
      <c r="L512" s="321"/>
      <c r="M512" s="321"/>
      <c r="N512" s="321"/>
      <c r="O512" s="321"/>
      <c r="P512" s="321"/>
      <c r="Q512" s="321"/>
      <c r="R512" s="321"/>
      <c r="S512" s="321"/>
      <c r="T512" s="321"/>
      <c r="U512" s="321"/>
      <c r="V512" s="321"/>
      <c r="W512" s="321"/>
      <c r="X512" s="321"/>
      <c r="Y512" s="321"/>
      <c r="Z512" s="321"/>
      <c r="AA512" s="321"/>
      <c r="AB512" s="321"/>
      <c r="AC512" s="321"/>
      <c r="AD512" s="321"/>
    </row>
    <row r="513">
      <c r="A513" s="321"/>
      <c r="B513" s="321"/>
      <c r="C513" s="321"/>
      <c r="D513" s="321"/>
      <c r="E513" s="321"/>
      <c r="F513" s="321"/>
      <c r="G513" s="454"/>
      <c r="H513" s="454"/>
      <c r="I513" s="454"/>
      <c r="J513" s="454"/>
      <c r="K513" s="321"/>
      <c r="L513" s="321"/>
      <c r="M513" s="321"/>
      <c r="N513" s="321"/>
      <c r="O513" s="321"/>
      <c r="P513" s="321"/>
      <c r="Q513" s="321"/>
      <c r="R513" s="321"/>
      <c r="S513" s="321"/>
      <c r="T513" s="321"/>
      <c r="U513" s="321"/>
      <c r="V513" s="321"/>
      <c r="W513" s="321"/>
      <c r="X513" s="321"/>
      <c r="Y513" s="321"/>
      <c r="Z513" s="321"/>
      <c r="AA513" s="321"/>
      <c r="AB513" s="321"/>
      <c r="AC513" s="321"/>
      <c r="AD513" s="321"/>
    </row>
    <row r="514">
      <c r="A514" s="321"/>
      <c r="B514" s="321"/>
      <c r="C514" s="321"/>
      <c r="D514" s="321"/>
      <c r="E514" s="321"/>
      <c r="F514" s="321"/>
      <c r="G514" s="454"/>
      <c r="H514" s="454"/>
      <c r="I514" s="454"/>
      <c r="J514" s="454"/>
      <c r="K514" s="321"/>
      <c r="L514" s="321"/>
      <c r="M514" s="321"/>
      <c r="N514" s="321"/>
      <c r="O514" s="321"/>
      <c r="P514" s="321"/>
      <c r="Q514" s="321"/>
      <c r="R514" s="321"/>
      <c r="S514" s="321"/>
      <c r="T514" s="321"/>
      <c r="U514" s="321"/>
      <c r="V514" s="321"/>
      <c r="W514" s="321"/>
      <c r="X514" s="321"/>
      <c r="Y514" s="321"/>
      <c r="Z514" s="321"/>
      <c r="AA514" s="321"/>
      <c r="AB514" s="321"/>
      <c r="AC514" s="321"/>
      <c r="AD514" s="321"/>
    </row>
    <row r="515">
      <c r="A515" s="321"/>
      <c r="B515" s="321"/>
      <c r="C515" s="321"/>
      <c r="D515" s="321"/>
      <c r="E515" s="321"/>
      <c r="F515" s="321"/>
      <c r="G515" s="454"/>
      <c r="H515" s="454"/>
      <c r="I515" s="454"/>
      <c r="J515" s="454"/>
      <c r="K515" s="321"/>
      <c r="L515" s="321"/>
      <c r="M515" s="321"/>
      <c r="N515" s="321"/>
      <c r="O515" s="321"/>
      <c r="P515" s="321"/>
      <c r="Q515" s="321"/>
      <c r="R515" s="321"/>
      <c r="S515" s="321"/>
      <c r="T515" s="321"/>
      <c r="U515" s="321"/>
      <c r="V515" s="321"/>
      <c r="W515" s="321"/>
      <c r="X515" s="321"/>
      <c r="Y515" s="321"/>
      <c r="Z515" s="321"/>
      <c r="AA515" s="321"/>
      <c r="AB515" s="321"/>
      <c r="AC515" s="321"/>
      <c r="AD515" s="321"/>
    </row>
    <row r="516">
      <c r="A516" s="321"/>
      <c r="B516" s="321"/>
      <c r="C516" s="321"/>
      <c r="D516" s="321"/>
      <c r="E516" s="321"/>
      <c r="F516" s="321"/>
      <c r="G516" s="454"/>
      <c r="H516" s="454"/>
      <c r="I516" s="454"/>
      <c r="J516" s="454"/>
      <c r="K516" s="321"/>
      <c r="L516" s="321"/>
      <c r="M516" s="321"/>
      <c r="N516" s="321"/>
      <c r="O516" s="321"/>
      <c r="P516" s="321"/>
      <c r="Q516" s="321"/>
      <c r="R516" s="321"/>
      <c r="S516" s="321"/>
      <c r="T516" s="321"/>
      <c r="U516" s="321"/>
      <c r="V516" s="321"/>
      <c r="W516" s="321"/>
      <c r="X516" s="321"/>
      <c r="Y516" s="321"/>
      <c r="Z516" s="321"/>
      <c r="AA516" s="321"/>
      <c r="AB516" s="321"/>
      <c r="AC516" s="321"/>
      <c r="AD516" s="321"/>
    </row>
    <row r="517">
      <c r="A517" s="321"/>
      <c r="B517" s="321"/>
      <c r="C517" s="321"/>
      <c r="D517" s="321"/>
      <c r="E517" s="321"/>
      <c r="F517" s="321"/>
      <c r="G517" s="454"/>
      <c r="H517" s="454"/>
      <c r="I517" s="454"/>
      <c r="J517" s="454"/>
      <c r="K517" s="321"/>
      <c r="L517" s="321"/>
      <c r="M517" s="321"/>
      <c r="N517" s="321"/>
      <c r="O517" s="321"/>
      <c r="P517" s="321"/>
      <c r="Q517" s="321"/>
      <c r="R517" s="321"/>
      <c r="S517" s="321"/>
      <c r="T517" s="321"/>
      <c r="U517" s="321"/>
      <c r="V517" s="321"/>
      <c r="W517" s="321"/>
      <c r="X517" s="321"/>
      <c r="Y517" s="321"/>
      <c r="Z517" s="321"/>
      <c r="AA517" s="321"/>
      <c r="AB517" s="321"/>
      <c r="AC517" s="321"/>
      <c r="AD517" s="321"/>
    </row>
    <row r="518">
      <c r="A518" s="321"/>
      <c r="B518" s="321"/>
      <c r="C518" s="321"/>
      <c r="D518" s="321"/>
      <c r="E518" s="321"/>
      <c r="F518" s="321"/>
      <c r="G518" s="454"/>
      <c r="H518" s="454"/>
      <c r="I518" s="454"/>
      <c r="J518" s="454"/>
      <c r="K518" s="321"/>
      <c r="L518" s="321"/>
      <c r="M518" s="321"/>
      <c r="N518" s="321"/>
      <c r="O518" s="321"/>
      <c r="P518" s="321"/>
      <c r="Q518" s="321"/>
      <c r="R518" s="321"/>
      <c r="S518" s="321"/>
      <c r="T518" s="321"/>
      <c r="U518" s="321"/>
      <c r="V518" s="321"/>
      <c r="W518" s="321"/>
      <c r="X518" s="321"/>
      <c r="Y518" s="321"/>
      <c r="Z518" s="321"/>
      <c r="AA518" s="321"/>
      <c r="AB518" s="321"/>
      <c r="AC518" s="321"/>
      <c r="AD518" s="321"/>
    </row>
    <row r="519">
      <c r="A519" s="321"/>
      <c r="B519" s="321"/>
      <c r="C519" s="321"/>
      <c r="D519" s="321"/>
      <c r="E519" s="321"/>
      <c r="F519" s="321"/>
      <c r="G519" s="454"/>
      <c r="H519" s="454"/>
      <c r="I519" s="454"/>
      <c r="J519" s="454"/>
      <c r="K519" s="321"/>
      <c r="L519" s="321"/>
      <c r="M519" s="321"/>
      <c r="N519" s="321"/>
      <c r="O519" s="321"/>
      <c r="P519" s="321"/>
      <c r="Q519" s="321"/>
      <c r="R519" s="321"/>
      <c r="S519" s="321"/>
      <c r="T519" s="321"/>
      <c r="U519" s="321"/>
      <c r="V519" s="321"/>
      <c r="W519" s="321"/>
      <c r="X519" s="321"/>
      <c r="Y519" s="321"/>
      <c r="Z519" s="321"/>
      <c r="AA519" s="321"/>
      <c r="AB519" s="321"/>
      <c r="AC519" s="321"/>
      <c r="AD519" s="321"/>
    </row>
    <row r="520">
      <c r="A520" s="321"/>
      <c r="B520" s="321"/>
      <c r="C520" s="321"/>
      <c r="D520" s="321"/>
      <c r="E520" s="321"/>
      <c r="F520" s="321"/>
      <c r="G520" s="454"/>
      <c r="H520" s="454"/>
      <c r="I520" s="454"/>
      <c r="J520" s="454"/>
      <c r="K520" s="321"/>
      <c r="L520" s="321"/>
      <c r="M520" s="321"/>
      <c r="N520" s="321"/>
      <c r="O520" s="321"/>
      <c r="P520" s="321"/>
      <c r="Q520" s="321"/>
      <c r="R520" s="321"/>
      <c r="S520" s="321"/>
      <c r="T520" s="321"/>
      <c r="U520" s="321"/>
      <c r="V520" s="321"/>
      <c r="W520" s="321"/>
      <c r="X520" s="321"/>
      <c r="Y520" s="321"/>
      <c r="Z520" s="321"/>
      <c r="AA520" s="321"/>
      <c r="AB520" s="321"/>
      <c r="AC520" s="321"/>
      <c r="AD520" s="321"/>
    </row>
    <row r="521">
      <c r="A521" s="321"/>
      <c r="B521" s="321"/>
      <c r="C521" s="321"/>
      <c r="D521" s="321"/>
      <c r="E521" s="321"/>
      <c r="F521" s="321"/>
      <c r="G521" s="454"/>
      <c r="H521" s="454"/>
      <c r="I521" s="454"/>
      <c r="J521" s="454"/>
      <c r="K521" s="321"/>
      <c r="L521" s="321"/>
      <c r="M521" s="321"/>
      <c r="N521" s="321"/>
      <c r="O521" s="321"/>
      <c r="P521" s="321"/>
      <c r="Q521" s="321"/>
      <c r="R521" s="321"/>
      <c r="S521" s="321"/>
      <c r="T521" s="321"/>
      <c r="U521" s="321"/>
      <c r="V521" s="321"/>
      <c r="W521" s="321"/>
      <c r="X521" s="321"/>
      <c r="Y521" s="321"/>
      <c r="Z521" s="321"/>
      <c r="AA521" s="321"/>
      <c r="AB521" s="321"/>
      <c r="AC521" s="321"/>
      <c r="AD521" s="321"/>
    </row>
    <row r="522">
      <c r="A522" s="321"/>
      <c r="B522" s="321"/>
      <c r="C522" s="321"/>
      <c r="D522" s="321"/>
      <c r="E522" s="321"/>
      <c r="F522" s="321"/>
      <c r="G522" s="454"/>
      <c r="H522" s="454"/>
      <c r="I522" s="454"/>
      <c r="J522" s="454"/>
      <c r="K522" s="321"/>
      <c r="L522" s="321"/>
      <c r="M522" s="321"/>
      <c r="N522" s="321"/>
      <c r="O522" s="321"/>
      <c r="P522" s="321"/>
      <c r="Q522" s="321"/>
      <c r="R522" s="321"/>
      <c r="S522" s="321"/>
      <c r="T522" s="321"/>
      <c r="U522" s="321"/>
      <c r="V522" s="321"/>
      <c r="W522" s="321"/>
      <c r="X522" s="321"/>
      <c r="Y522" s="321"/>
      <c r="Z522" s="321"/>
      <c r="AA522" s="321"/>
      <c r="AB522" s="321"/>
      <c r="AC522" s="321"/>
      <c r="AD522" s="321"/>
    </row>
    <row r="523">
      <c r="A523" s="321"/>
      <c r="B523" s="321"/>
      <c r="C523" s="321"/>
      <c r="D523" s="321"/>
      <c r="E523" s="321"/>
      <c r="F523" s="321"/>
      <c r="G523" s="454"/>
      <c r="H523" s="454"/>
      <c r="I523" s="454"/>
      <c r="J523" s="454"/>
      <c r="K523" s="321"/>
      <c r="L523" s="321"/>
      <c r="M523" s="321"/>
      <c r="N523" s="321"/>
      <c r="O523" s="321"/>
      <c r="P523" s="321"/>
      <c r="Q523" s="321"/>
      <c r="R523" s="321"/>
      <c r="S523" s="321"/>
      <c r="T523" s="321"/>
      <c r="U523" s="321"/>
      <c r="V523" s="321"/>
      <c r="W523" s="321"/>
      <c r="X523" s="321"/>
      <c r="Y523" s="321"/>
      <c r="Z523" s="321"/>
      <c r="AA523" s="321"/>
      <c r="AB523" s="321"/>
      <c r="AC523" s="321"/>
      <c r="AD523" s="321"/>
    </row>
    <row r="524">
      <c r="A524" s="321"/>
      <c r="B524" s="321"/>
      <c r="C524" s="321"/>
      <c r="D524" s="321"/>
      <c r="E524" s="321"/>
      <c r="F524" s="321"/>
      <c r="G524" s="454"/>
      <c r="H524" s="454"/>
      <c r="I524" s="454"/>
      <c r="J524" s="454"/>
      <c r="K524" s="321"/>
      <c r="L524" s="321"/>
      <c r="M524" s="321"/>
      <c r="N524" s="321"/>
      <c r="O524" s="321"/>
      <c r="P524" s="321"/>
      <c r="Q524" s="321"/>
      <c r="R524" s="321"/>
      <c r="S524" s="321"/>
      <c r="T524" s="321"/>
      <c r="U524" s="321"/>
      <c r="V524" s="321"/>
      <c r="W524" s="321"/>
      <c r="X524" s="321"/>
      <c r="Y524" s="321"/>
      <c r="Z524" s="321"/>
      <c r="AA524" s="321"/>
      <c r="AB524" s="321"/>
      <c r="AC524" s="321"/>
      <c r="AD524" s="321"/>
    </row>
    <row r="525">
      <c r="A525" s="321"/>
      <c r="B525" s="321"/>
      <c r="C525" s="321"/>
      <c r="D525" s="321"/>
      <c r="E525" s="321"/>
      <c r="F525" s="321"/>
      <c r="G525" s="454"/>
      <c r="H525" s="454"/>
      <c r="I525" s="454"/>
      <c r="J525" s="454"/>
      <c r="K525" s="321"/>
      <c r="L525" s="321"/>
      <c r="M525" s="321"/>
      <c r="N525" s="321"/>
      <c r="O525" s="321"/>
      <c r="P525" s="321"/>
      <c r="Q525" s="321"/>
      <c r="R525" s="321"/>
      <c r="S525" s="321"/>
      <c r="T525" s="321"/>
      <c r="U525" s="321"/>
      <c r="V525" s="321"/>
      <c r="W525" s="321"/>
      <c r="X525" s="321"/>
      <c r="Y525" s="321"/>
      <c r="Z525" s="321"/>
      <c r="AA525" s="321"/>
      <c r="AB525" s="321"/>
      <c r="AC525" s="321"/>
      <c r="AD525" s="321"/>
    </row>
    <row r="526">
      <c r="A526" s="321"/>
      <c r="B526" s="321"/>
      <c r="C526" s="321"/>
      <c r="D526" s="321"/>
      <c r="E526" s="321"/>
      <c r="F526" s="321"/>
      <c r="G526" s="454"/>
      <c r="H526" s="454"/>
      <c r="I526" s="454"/>
      <c r="J526" s="454"/>
      <c r="K526" s="321"/>
      <c r="L526" s="321"/>
      <c r="M526" s="321"/>
      <c r="N526" s="321"/>
      <c r="O526" s="321"/>
      <c r="P526" s="321"/>
      <c r="Q526" s="321"/>
      <c r="R526" s="321"/>
      <c r="S526" s="321"/>
      <c r="T526" s="321"/>
      <c r="U526" s="321"/>
      <c r="V526" s="321"/>
      <c r="W526" s="321"/>
      <c r="X526" s="321"/>
      <c r="Y526" s="321"/>
      <c r="Z526" s="321"/>
      <c r="AA526" s="321"/>
      <c r="AB526" s="321"/>
      <c r="AC526" s="321"/>
      <c r="AD526" s="321"/>
    </row>
    <row r="527">
      <c r="A527" s="321"/>
      <c r="B527" s="321"/>
      <c r="C527" s="321"/>
      <c r="D527" s="321"/>
      <c r="E527" s="321"/>
      <c r="F527" s="321"/>
      <c r="G527" s="454"/>
      <c r="H527" s="454"/>
      <c r="I527" s="454"/>
      <c r="J527" s="454"/>
      <c r="K527" s="321"/>
      <c r="L527" s="321"/>
      <c r="M527" s="321"/>
      <c r="N527" s="321"/>
      <c r="O527" s="321"/>
      <c r="P527" s="321"/>
      <c r="Q527" s="321"/>
      <c r="R527" s="321"/>
      <c r="S527" s="321"/>
      <c r="T527" s="321"/>
      <c r="U527" s="321"/>
      <c r="V527" s="321"/>
      <c r="W527" s="321"/>
      <c r="X527" s="321"/>
      <c r="Y527" s="321"/>
      <c r="Z527" s="321"/>
      <c r="AA527" s="321"/>
      <c r="AB527" s="321"/>
      <c r="AC527" s="321"/>
      <c r="AD527" s="321"/>
    </row>
    <row r="528">
      <c r="A528" s="321"/>
      <c r="B528" s="321"/>
      <c r="C528" s="321"/>
      <c r="D528" s="321"/>
      <c r="E528" s="321"/>
      <c r="F528" s="321"/>
      <c r="G528" s="454"/>
      <c r="H528" s="454"/>
      <c r="I528" s="454"/>
      <c r="J528" s="454"/>
      <c r="K528" s="321"/>
      <c r="L528" s="321"/>
      <c r="M528" s="321"/>
      <c r="N528" s="321"/>
      <c r="O528" s="321"/>
      <c r="P528" s="321"/>
      <c r="Q528" s="321"/>
      <c r="R528" s="321"/>
      <c r="S528" s="321"/>
      <c r="T528" s="321"/>
      <c r="U528" s="321"/>
      <c r="V528" s="321"/>
      <c r="W528" s="321"/>
      <c r="X528" s="321"/>
      <c r="Y528" s="321"/>
      <c r="Z528" s="321"/>
      <c r="AA528" s="321"/>
      <c r="AB528" s="321"/>
      <c r="AC528" s="321"/>
      <c r="AD528" s="321"/>
    </row>
    <row r="529">
      <c r="A529" s="321"/>
      <c r="B529" s="321"/>
      <c r="C529" s="321"/>
      <c r="D529" s="321"/>
      <c r="E529" s="321"/>
      <c r="F529" s="321"/>
      <c r="G529" s="454"/>
      <c r="H529" s="454"/>
      <c r="I529" s="454"/>
      <c r="J529" s="454"/>
      <c r="K529" s="321"/>
      <c r="L529" s="321"/>
      <c r="M529" s="321"/>
      <c r="N529" s="321"/>
      <c r="O529" s="321"/>
      <c r="P529" s="321"/>
      <c r="Q529" s="321"/>
      <c r="R529" s="321"/>
      <c r="S529" s="321"/>
      <c r="T529" s="321"/>
      <c r="U529" s="321"/>
      <c r="V529" s="321"/>
      <c r="W529" s="321"/>
      <c r="X529" s="321"/>
      <c r="Y529" s="321"/>
      <c r="Z529" s="321"/>
      <c r="AA529" s="321"/>
      <c r="AB529" s="321"/>
      <c r="AC529" s="321"/>
      <c r="AD529" s="321"/>
    </row>
    <row r="530">
      <c r="A530" s="321"/>
      <c r="B530" s="321"/>
      <c r="C530" s="321"/>
      <c r="D530" s="321"/>
      <c r="E530" s="321"/>
      <c r="F530" s="321"/>
      <c r="G530" s="454"/>
      <c r="H530" s="454"/>
      <c r="I530" s="454"/>
      <c r="J530" s="454"/>
      <c r="K530" s="321"/>
      <c r="L530" s="321"/>
      <c r="M530" s="321"/>
      <c r="N530" s="321"/>
      <c r="O530" s="321"/>
      <c r="P530" s="321"/>
      <c r="Q530" s="321"/>
      <c r="R530" s="321"/>
      <c r="S530" s="321"/>
      <c r="T530" s="321"/>
      <c r="U530" s="321"/>
      <c r="V530" s="321"/>
      <c r="W530" s="321"/>
      <c r="X530" s="321"/>
      <c r="Y530" s="321"/>
      <c r="Z530" s="321"/>
      <c r="AA530" s="321"/>
      <c r="AB530" s="321"/>
      <c r="AC530" s="321"/>
      <c r="AD530" s="321"/>
    </row>
    <row r="531">
      <c r="A531" s="321"/>
      <c r="B531" s="321"/>
      <c r="C531" s="321"/>
      <c r="D531" s="321"/>
      <c r="E531" s="321"/>
      <c r="F531" s="321"/>
      <c r="G531" s="454"/>
      <c r="H531" s="454"/>
      <c r="I531" s="454"/>
      <c r="J531" s="454"/>
      <c r="K531" s="321"/>
      <c r="L531" s="321"/>
      <c r="M531" s="321"/>
      <c r="N531" s="321"/>
      <c r="O531" s="321"/>
      <c r="P531" s="321"/>
      <c r="Q531" s="321"/>
      <c r="R531" s="321"/>
      <c r="S531" s="321"/>
      <c r="T531" s="321"/>
      <c r="U531" s="321"/>
      <c r="V531" s="321"/>
      <c r="W531" s="321"/>
      <c r="X531" s="321"/>
      <c r="Y531" s="321"/>
      <c r="Z531" s="321"/>
      <c r="AA531" s="321"/>
      <c r="AB531" s="321"/>
      <c r="AC531" s="321"/>
      <c r="AD531" s="321"/>
    </row>
    <row r="532">
      <c r="A532" s="321"/>
      <c r="B532" s="321"/>
      <c r="C532" s="321"/>
      <c r="D532" s="321"/>
      <c r="E532" s="321"/>
      <c r="F532" s="321"/>
      <c r="G532" s="454"/>
      <c r="H532" s="454"/>
      <c r="I532" s="454"/>
      <c r="J532" s="454"/>
      <c r="K532" s="321"/>
      <c r="L532" s="321"/>
      <c r="M532" s="321"/>
      <c r="N532" s="321"/>
      <c r="O532" s="321"/>
      <c r="P532" s="321"/>
      <c r="Q532" s="321"/>
      <c r="R532" s="321"/>
      <c r="S532" s="321"/>
      <c r="T532" s="321"/>
      <c r="U532" s="321"/>
      <c r="V532" s="321"/>
      <c r="W532" s="321"/>
      <c r="X532" s="321"/>
      <c r="Y532" s="321"/>
      <c r="Z532" s="321"/>
      <c r="AA532" s="321"/>
      <c r="AB532" s="321"/>
      <c r="AC532" s="321"/>
      <c r="AD532" s="321"/>
    </row>
    <row r="533">
      <c r="A533" s="321"/>
      <c r="B533" s="321"/>
      <c r="C533" s="321"/>
      <c r="D533" s="321"/>
      <c r="E533" s="321"/>
      <c r="F533" s="321"/>
      <c r="G533" s="454"/>
      <c r="H533" s="454"/>
      <c r="I533" s="454"/>
      <c r="J533" s="454"/>
      <c r="K533" s="321"/>
      <c r="L533" s="321"/>
      <c r="M533" s="321"/>
      <c r="N533" s="321"/>
      <c r="O533" s="321"/>
      <c r="P533" s="321"/>
      <c r="Q533" s="321"/>
      <c r="R533" s="321"/>
      <c r="S533" s="321"/>
      <c r="T533" s="321"/>
      <c r="U533" s="321"/>
      <c r="V533" s="321"/>
      <c r="W533" s="321"/>
      <c r="X533" s="321"/>
      <c r="Y533" s="321"/>
      <c r="Z533" s="321"/>
      <c r="AA533" s="321"/>
      <c r="AB533" s="321"/>
      <c r="AC533" s="321"/>
      <c r="AD533" s="321"/>
    </row>
    <row r="534">
      <c r="A534" s="321"/>
      <c r="B534" s="321"/>
      <c r="C534" s="321"/>
      <c r="D534" s="321"/>
      <c r="E534" s="321"/>
      <c r="F534" s="321"/>
      <c r="G534" s="454"/>
      <c r="H534" s="454"/>
      <c r="I534" s="454"/>
      <c r="J534" s="454"/>
      <c r="K534" s="321"/>
      <c r="L534" s="321"/>
      <c r="M534" s="321"/>
      <c r="N534" s="321"/>
      <c r="O534" s="321"/>
      <c r="P534" s="321"/>
      <c r="Q534" s="321"/>
      <c r="R534" s="321"/>
      <c r="S534" s="321"/>
      <c r="T534" s="321"/>
      <c r="U534" s="321"/>
      <c r="V534" s="321"/>
      <c r="W534" s="321"/>
      <c r="X534" s="321"/>
      <c r="Y534" s="321"/>
      <c r="Z534" s="321"/>
      <c r="AA534" s="321"/>
      <c r="AB534" s="321"/>
      <c r="AC534" s="321"/>
      <c r="AD534" s="321"/>
    </row>
    <row r="535">
      <c r="A535" s="321"/>
      <c r="B535" s="321"/>
      <c r="C535" s="321"/>
      <c r="D535" s="321"/>
      <c r="E535" s="321"/>
      <c r="F535" s="321"/>
      <c r="G535" s="454"/>
      <c r="H535" s="454"/>
      <c r="I535" s="454"/>
      <c r="J535" s="454"/>
      <c r="K535" s="321"/>
      <c r="L535" s="321"/>
      <c r="M535" s="321"/>
      <c r="N535" s="321"/>
      <c r="O535" s="321"/>
      <c r="P535" s="321"/>
      <c r="Q535" s="321"/>
      <c r="R535" s="321"/>
      <c r="S535" s="321"/>
      <c r="T535" s="321"/>
      <c r="U535" s="321"/>
      <c r="V535" s="321"/>
      <c r="W535" s="321"/>
      <c r="X535" s="321"/>
      <c r="Y535" s="321"/>
      <c r="Z535" s="321"/>
      <c r="AA535" s="321"/>
      <c r="AB535" s="321"/>
      <c r="AC535" s="321"/>
      <c r="AD535" s="321"/>
    </row>
    <row r="536">
      <c r="A536" s="321"/>
      <c r="B536" s="321"/>
      <c r="C536" s="321"/>
      <c r="D536" s="321"/>
      <c r="E536" s="321"/>
      <c r="F536" s="321"/>
      <c r="G536" s="454"/>
      <c r="H536" s="454"/>
      <c r="I536" s="454"/>
      <c r="J536" s="454"/>
      <c r="K536" s="321"/>
      <c r="L536" s="321"/>
      <c r="M536" s="321"/>
      <c r="N536" s="321"/>
      <c r="O536" s="321"/>
      <c r="P536" s="321"/>
      <c r="Q536" s="321"/>
      <c r="R536" s="321"/>
      <c r="S536" s="321"/>
      <c r="T536" s="321"/>
      <c r="U536" s="321"/>
      <c r="V536" s="321"/>
      <c r="W536" s="321"/>
      <c r="X536" s="321"/>
      <c r="Y536" s="321"/>
      <c r="Z536" s="321"/>
      <c r="AA536" s="321"/>
      <c r="AB536" s="321"/>
      <c r="AC536" s="321"/>
      <c r="AD536" s="321"/>
    </row>
    <row r="537">
      <c r="A537" s="321"/>
      <c r="B537" s="321"/>
      <c r="C537" s="321"/>
      <c r="D537" s="321"/>
      <c r="E537" s="321"/>
      <c r="F537" s="321"/>
      <c r="G537" s="454"/>
      <c r="H537" s="454"/>
      <c r="I537" s="454"/>
      <c r="J537" s="454"/>
      <c r="K537" s="321"/>
      <c r="L537" s="321"/>
      <c r="M537" s="321"/>
      <c r="N537" s="321"/>
      <c r="O537" s="321"/>
      <c r="P537" s="321"/>
      <c r="Q537" s="321"/>
      <c r="R537" s="321"/>
      <c r="S537" s="321"/>
      <c r="T537" s="321"/>
      <c r="U537" s="321"/>
      <c r="V537" s="321"/>
      <c r="W537" s="321"/>
      <c r="X537" s="321"/>
      <c r="Y537" s="321"/>
      <c r="Z537" s="321"/>
      <c r="AA537" s="321"/>
      <c r="AB537" s="321"/>
      <c r="AC537" s="321"/>
      <c r="AD537" s="321"/>
    </row>
    <row r="538">
      <c r="A538" s="321"/>
      <c r="B538" s="321"/>
      <c r="C538" s="321"/>
      <c r="D538" s="321"/>
      <c r="E538" s="321"/>
      <c r="F538" s="321"/>
      <c r="G538" s="454"/>
      <c r="H538" s="454"/>
      <c r="I538" s="454"/>
      <c r="J538" s="454"/>
      <c r="K538" s="321"/>
      <c r="L538" s="321"/>
      <c r="M538" s="321"/>
      <c r="N538" s="321"/>
      <c r="O538" s="321"/>
      <c r="P538" s="321"/>
      <c r="Q538" s="321"/>
      <c r="R538" s="321"/>
      <c r="S538" s="321"/>
      <c r="T538" s="321"/>
      <c r="U538" s="321"/>
      <c r="V538" s="321"/>
      <c r="W538" s="321"/>
      <c r="X538" s="321"/>
      <c r="Y538" s="321"/>
      <c r="Z538" s="321"/>
      <c r="AA538" s="321"/>
      <c r="AB538" s="321"/>
      <c r="AC538" s="321"/>
      <c r="AD538" s="321"/>
    </row>
    <row r="539">
      <c r="A539" s="321"/>
      <c r="B539" s="321"/>
      <c r="C539" s="321"/>
      <c r="D539" s="321"/>
      <c r="E539" s="321"/>
      <c r="F539" s="321"/>
      <c r="G539" s="454"/>
      <c r="H539" s="454"/>
      <c r="I539" s="454"/>
      <c r="J539" s="454"/>
      <c r="K539" s="321"/>
      <c r="L539" s="321"/>
      <c r="M539" s="321"/>
      <c r="N539" s="321"/>
      <c r="O539" s="321"/>
      <c r="P539" s="321"/>
      <c r="Q539" s="321"/>
      <c r="R539" s="321"/>
      <c r="S539" s="321"/>
      <c r="T539" s="321"/>
      <c r="U539" s="321"/>
      <c r="V539" s="321"/>
      <c r="W539" s="321"/>
      <c r="X539" s="321"/>
      <c r="Y539" s="321"/>
      <c r="Z539" s="321"/>
      <c r="AA539" s="321"/>
      <c r="AB539" s="321"/>
      <c r="AC539" s="321"/>
      <c r="AD539" s="321"/>
    </row>
    <row r="540">
      <c r="A540" s="321"/>
      <c r="B540" s="321"/>
      <c r="C540" s="321"/>
      <c r="D540" s="321"/>
      <c r="E540" s="321"/>
      <c r="F540" s="321"/>
      <c r="G540" s="454"/>
      <c r="H540" s="454"/>
      <c r="I540" s="454"/>
      <c r="J540" s="454"/>
      <c r="K540" s="321"/>
      <c r="L540" s="321"/>
      <c r="M540" s="321"/>
      <c r="N540" s="321"/>
      <c r="O540" s="321"/>
      <c r="P540" s="321"/>
      <c r="Q540" s="321"/>
      <c r="R540" s="321"/>
      <c r="S540" s="321"/>
      <c r="T540" s="321"/>
      <c r="U540" s="321"/>
      <c r="V540" s="321"/>
      <c r="W540" s="321"/>
      <c r="X540" s="321"/>
      <c r="Y540" s="321"/>
      <c r="Z540" s="321"/>
      <c r="AA540" s="321"/>
      <c r="AB540" s="321"/>
      <c r="AC540" s="321"/>
      <c r="AD540" s="321"/>
    </row>
    <row r="541">
      <c r="A541" s="321"/>
      <c r="B541" s="321"/>
      <c r="C541" s="321"/>
      <c r="D541" s="321"/>
      <c r="E541" s="321"/>
      <c r="F541" s="321"/>
      <c r="G541" s="454"/>
      <c r="H541" s="454"/>
      <c r="I541" s="454"/>
      <c r="J541" s="454"/>
      <c r="K541" s="321"/>
      <c r="L541" s="321"/>
      <c r="M541" s="321"/>
      <c r="N541" s="321"/>
      <c r="O541" s="321"/>
      <c r="P541" s="321"/>
      <c r="Q541" s="321"/>
      <c r="R541" s="321"/>
      <c r="S541" s="321"/>
      <c r="T541" s="321"/>
      <c r="U541" s="321"/>
      <c r="V541" s="321"/>
      <c r="W541" s="321"/>
      <c r="X541" s="321"/>
      <c r="Y541" s="321"/>
      <c r="Z541" s="321"/>
      <c r="AA541" s="321"/>
      <c r="AB541" s="321"/>
      <c r="AC541" s="321"/>
      <c r="AD541" s="321"/>
    </row>
    <row r="542">
      <c r="A542" s="321"/>
      <c r="B542" s="321"/>
      <c r="C542" s="321"/>
      <c r="D542" s="321"/>
      <c r="E542" s="321"/>
      <c r="F542" s="321"/>
      <c r="G542" s="454"/>
      <c r="H542" s="454"/>
      <c r="I542" s="454"/>
      <c r="J542" s="454"/>
      <c r="K542" s="321"/>
      <c r="L542" s="321"/>
      <c r="M542" s="321"/>
      <c r="N542" s="321"/>
      <c r="O542" s="321"/>
      <c r="P542" s="321"/>
      <c r="Q542" s="321"/>
      <c r="R542" s="321"/>
      <c r="S542" s="321"/>
      <c r="T542" s="321"/>
      <c r="U542" s="321"/>
      <c r="V542" s="321"/>
      <c r="W542" s="321"/>
      <c r="X542" s="321"/>
      <c r="Y542" s="321"/>
      <c r="Z542" s="321"/>
      <c r="AA542" s="321"/>
      <c r="AB542" s="321"/>
      <c r="AC542" s="321"/>
      <c r="AD542" s="321"/>
    </row>
    <row r="543">
      <c r="A543" s="321"/>
      <c r="B543" s="321"/>
      <c r="C543" s="321"/>
      <c r="D543" s="321"/>
      <c r="E543" s="321"/>
      <c r="F543" s="321"/>
      <c r="G543" s="454"/>
      <c r="H543" s="454"/>
      <c r="I543" s="454"/>
      <c r="J543" s="454"/>
      <c r="K543" s="321"/>
      <c r="L543" s="321"/>
      <c r="M543" s="321"/>
      <c r="N543" s="321"/>
      <c r="O543" s="321"/>
      <c r="P543" s="321"/>
      <c r="Q543" s="321"/>
      <c r="R543" s="321"/>
      <c r="S543" s="321"/>
      <c r="T543" s="321"/>
      <c r="U543" s="321"/>
      <c r="V543" s="321"/>
      <c r="W543" s="321"/>
      <c r="X543" s="321"/>
      <c r="Y543" s="321"/>
      <c r="Z543" s="321"/>
      <c r="AA543" s="321"/>
      <c r="AB543" s="321"/>
      <c r="AC543" s="321"/>
      <c r="AD543" s="321"/>
    </row>
    <row r="544">
      <c r="A544" s="321"/>
      <c r="B544" s="321"/>
      <c r="C544" s="321"/>
      <c r="D544" s="321"/>
      <c r="E544" s="321"/>
      <c r="F544" s="321"/>
      <c r="G544" s="454"/>
      <c r="H544" s="454"/>
      <c r="I544" s="454"/>
      <c r="J544" s="454"/>
      <c r="K544" s="321"/>
      <c r="L544" s="321"/>
      <c r="M544" s="321"/>
      <c r="N544" s="321"/>
      <c r="O544" s="321"/>
      <c r="P544" s="321"/>
      <c r="Q544" s="321"/>
      <c r="R544" s="321"/>
      <c r="S544" s="321"/>
      <c r="T544" s="321"/>
      <c r="U544" s="321"/>
      <c r="V544" s="321"/>
      <c r="W544" s="321"/>
      <c r="X544" s="321"/>
      <c r="Y544" s="321"/>
      <c r="Z544" s="321"/>
      <c r="AA544" s="321"/>
      <c r="AB544" s="321"/>
      <c r="AC544" s="321"/>
      <c r="AD544" s="321"/>
    </row>
    <row r="545">
      <c r="A545" s="321"/>
      <c r="B545" s="321"/>
      <c r="C545" s="321"/>
      <c r="D545" s="321"/>
      <c r="E545" s="321"/>
      <c r="F545" s="321"/>
      <c r="G545" s="454"/>
      <c r="H545" s="454"/>
      <c r="I545" s="454"/>
      <c r="J545" s="454"/>
      <c r="K545" s="321"/>
      <c r="L545" s="321"/>
      <c r="M545" s="321"/>
      <c r="N545" s="321"/>
      <c r="O545" s="321"/>
      <c r="P545" s="321"/>
      <c r="Q545" s="321"/>
      <c r="R545" s="321"/>
      <c r="S545" s="321"/>
      <c r="T545" s="321"/>
      <c r="U545" s="321"/>
      <c r="V545" s="321"/>
      <c r="W545" s="321"/>
      <c r="X545" s="321"/>
      <c r="Y545" s="321"/>
      <c r="Z545" s="321"/>
      <c r="AA545" s="321"/>
      <c r="AB545" s="321"/>
      <c r="AC545" s="321"/>
      <c r="AD545" s="321"/>
    </row>
    <row r="546">
      <c r="A546" s="321"/>
      <c r="B546" s="321"/>
      <c r="C546" s="321"/>
      <c r="D546" s="321"/>
      <c r="E546" s="321"/>
      <c r="F546" s="321"/>
      <c r="G546" s="454"/>
      <c r="H546" s="454"/>
      <c r="I546" s="454"/>
      <c r="J546" s="454"/>
      <c r="K546" s="321"/>
      <c r="L546" s="321"/>
      <c r="M546" s="321"/>
      <c r="N546" s="321"/>
      <c r="O546" s="321"/>
      <c r="P546" s="321"/>
      <c r="Q546" s="321"/>
      <c r="R546" s="321"/>
      <c r="S546" s="321"/>
      <c r="T546" s="321"/>
      <c r="U546" s="321"/>
      <c r="V546" s="321"/>
      <c r="W546" s="321"/>
      <c r="X546" s="321"/>
      <c r="Y546" s="321"/>
      <c r="Z546" s="321"/>
      <c r="AA546" s="321"/>
      <c r="AB546" s="321"/>
      <c r="AC546" s="321"/>
      <c r="AD546" s="321"/>
    </row>
    <row r="547">
      <c r="A547" s="321"/>
      <c r="B547" s="321"/>
      <c r="C547" s="321"/>
      <c r="D547" s="321"/>
      <c r="E547" s="321"/>
      <c r="F547" s="321"/>
      <c r="G547" s="454"/>
      <c r="H547" s="454"/>
      <c r="I547" s="454"/>
      <c r="J547" s="454"/>
      <c r="K547" s="321"/>
      <c r="L547" s="321"/>
      <c r="M547" s="321"/>
      <c r="N547" s="321"/>
      <c r="O547" s="321"/>
      <c r="P547" s="321"/>
      <c r="Q547" s="321"/>
      <c r="R547" s="321"/>
      <c r="S547" s="321"/>
      <c r="T547" s="321"/>
      <c r="U547" s="321"/>
      <c r="V547" s="321"/>
      <c r="W547" s="321"/>
      <c r="X547" s="321"/>
      <c r="Y547" s="321"/>
      <c r="Z547" s="321"/>
      <c r="AA547" s="321"/>
      <c r="AB547" s="321"/>
      <c r="AC547" s="321"/>
      <c r="AD547" s="321"/>
    </row>
    <row r="548">
      <c r="A548" s="321"/>
      <c r="B548" s="321"/>
      <c r="C548" s="321"/>
      <c r="D548" s="321"/>
      <c r="E548" s="321"/>
      <c r="F548" s="321"/>
      <c r="G548" s="454"/>
      <c r="H548" s="454"/>
      <c r="I548" s="454"/>
      <c r="J548" s="454"/>
      <c r="K548" s="321"/>
      <c r="L548" s="321"/>
      <c r="M548" s="321"/>
      <c r="N548" s="321"/>
      <c r="O548" s="321"/>
      <c r="P548" s="321"/>
      <c r="Q548" s="321"/>
      <c r="R548" s="321"/>
      <c r="S548" s="321"/>
      <c r="T548" s="321"/>
      <c r="U548" s="321"/>
      <c r="V548" s="321"/>
      <c r="W548" s="321"/>
      <c r="X548" s="321"/>
      <c r="Y548" s="321"/>
      <c r="Z548" s="321"/>
      <c r="AA548" s="321"/>
      <c r="AB548" s="321"/>
      <c r="AC548" s="321"/>
      <c r="AD548" s="321"/>
    </row>
    <row r="549">
      <c r="A549" s="321"/>
      <c r="B549" s="321"/>
      <c r="C549" s="321"/>
      <c r="D549" s="321"/>
      <c r="E549" s="321"/>
      <c r="F549" s="321"/>
      <c r="G549" s="454"/>
      <c r="H549" s="454"/>
      <c r="I549" s="454"/>
      <c r="J549" s="454"/>
      <c r="K549" s="321"/>
      <c r="L549" s="321"/>
      <c r="M549" s="321"/>
      <c r="N549" s="321"/>
      <c r="O549" s="321"/>
      <c r="P549" s="321"/>
      <c r="Q549" s="321"/>
      <c r="R549" s="321"/>
      <c r="S549" s="321"/>
      <c r="T549" s="321"/>
      <c r="U549" s="321"/>
      <c r="V549" s="321"/>
      <c r="W549" s="321"/>
      <c r="X549" s="321"/>
      <c r="Y549" s="321"/>
      <c r="Z549" s="321"/>
      <c r="AA549" s="321"/>
      <c r="AB549" s="321"/>
      <c r="AC549" s="321"/>
      <c r="AD549" s="321"/>
    </row>
    <row r="550">
      <c r="A550" s="321"/>
      <c r="B550" s="321"/>
      <c r="C550" s="321"/>
      <c r="D550" s="321"/>
      <c r="E550" s="321"/>
      <c r="F550" s="321"/>
      <c r="G550" s="454"/>
      <c r="H550" s="454"/>
      <c r="I550" s="454"/>
      <c r="J550" s="454"/>
      <c r="K550" s="321"/>
      <c r="L550" s="321"/>
      <c r="M550" s="321"/>
      <c r="N550" s="321"/>
      <c r="O550" s="321"/>
      <c r="P550" s="321"/>
      <c r="Q550" s="321"/>
      <c r="R550" s="321"/>
      <c r="S550" s="321"/>
      <c r="T550" s="321"/>
      <c r="U550" s="321"/>
      <c r="V550" s="321"/>
      <c r="W550" s="321"/>
      <c r="X550" s="321"/>
      <c r="Y550" s="321"/>
      <c r="Z550" s="321"/>
      <c r="AA550" s="321"/>
      <c r="AB550" s="321"/>
      <c r="AC550" s="321"/>
      <c r="AD550" s="321"/>
    </row>
    <row r="551">
      <c r="A551" s="321"/>
      <c r="B551" s="321"/>
      <c r="C551" s="321"/>
      <c r="D551" s="321"/>
      <c r="E551" s="321"/>
      <c r="F551" s="321"/>
      <c r="G551" s="454"/>
      <c r="H551" s="454"/>
      <c r="I551" s="454"/>
      <c r="J551" s="454"/>
      <c r="K551" s="321"/>
      <c r="L551" s="321"/>
      <c r="M551" s="321"/>
      <c r="N551" s="321"/>
      <c r="O551" s="321"/>
      <c r="P551" s="321"/>
      <c r="Q551" s="321"/>
      <c r="R551" s="321"/>
      <c r="S551" s="321"/>
      <c r="T551" s="321"/>
      <c r="U551" s="321"/>
      <c r="V551" s="321"/>
      <c r="W551" s="321"/>
      <c r="X551" s="321"/>
      <c r="Y551" s="321"/>
      <c r="Z551" s="321"/>
      <c r="AA551" s="321"/>
      <c r="AB551" s="321"/>
      <c r="AC551" s="321"/>
      <c r="AD551" s="321"/>
    </row>
    <row r="552">
      <c r="A552" s="321"/>
      <c r="B552" s="321"/>
      <c r="C552" s="321"/>
      <c r="D552" s="321"/>
      <c r="E552" s="321"/>
      <c r="F552" s="321"/>
      <c r="G552" s="454"/>
      <c r="H552" s="454"/>
      <c r="I552" s="454"/>
      <c r="J552" s="454"/>
      <c r="K552" s="321"/>
      <c r="L552" s="321"/>
      <c r="M552" s="321"/>
      <c r="N552" s="321"/>
      <c r="O552" s="321"/>
      <c r="P552" s="321"/>
      <c r="Q552" s="321"/>
      <c r="R552" s="321"/>
      <c r="S552" s="321"/>
      <c r="T552" s="321"/>
      <c r="U552" s="321"/>
      <c r="V552" s="321"/>
      <c r="W552" s="321"/>
      <c r="X552" s="321"/>
      <c r="Y552" s="321"/>
      <c r="Z552" s="321"/>
      <c r="AA552" s="321"/>
      <c r="AB552" s="321"/>
      <c r="AC552" s="321"/>
      <c r="AD552" s="321"/>
    </row>
    <row r="553">
      <c r="A553" s="321"/>
      <c r="B553" s="321"/>
      <c r="C553" s="321"/>
      <c r="D553" s="321"/>
      <c r="E553" s="321"/>
      <c r="F553" s="321"/>
      <c r="G553" s="454"/>
      <c r="H553" s="454"/>
      <c r="I553" s="454"/>
      <c r="J553" s="454"/>
      <c r="K553" s="321"/>
      <c r="L553" s="321"/>
      <c r="M553" s="321"/>
      <c r="N553" s="321"/>
      <c r="O553" s="321"/>
      <c r="P553" s="321"/>
      <c r="Q553" s="321"/>
      <c r="R553" s="321"/>
      <c r="S553" s="321"/>
      <c r="T553" s="321"/>
      <c r="U553" s="321"/>
      <c r="V553" s="321"/>
      <c r="W553" s="321"/>
      <c r="X553" s="321"/>
      <c r="Y553" s="321"/>
      <c r="Z553" s="321"/>
      <c r="AA553" s="321"/>
      <c r="AB553" s="321"/>
      <c r="AC553" s="321"/>
      <c r="AD553" s="321"/>
    </row>
    <row r="554">
      <c r="A554" s="321"/>
      <c r="B554" s="321"/>
      <c r="C554" s="321"/>
      <c r="D554" s="321"/>
      <c r="E554" s="321"/>
      <c r="F554" s="321"/>
      <c r="G554" s="454"/>
      <c r="H554" s="454"/>
      <c r="I554" s="454"/>
      <c r="J554" s="454"/>
      <c r="K554" s="321"/>
      <c r="L554" s="321"/>
      <c r="M554" s="321"/>
      <c r="N554" s="321"/>
      <c r="O554" s="321"/>
      <c r="P554" s="321"/>
      <c r="Q554" s="321"/>
      <c r="R554" s="321"/>
      <c r="S554" s="321"/>
      <c r="T554" s="321"/>
      <c r="U554" s="321"/>
      <c r="V554" s="321"/>
      <c r="W554" s="321"/>
      <c r="X554" s="321"/>
      <c r="Y554" s="321"/>
      <c r="Z554" s="321"/>
      <c r="AA554" s="321"/>
      <c r="AB554" s="321"/>
      <c r="AC554" s="321"/>
      <c r="AD554" s="321"/>
    </row>
    <row r="555">
      <c r="A555" s="321"/>
      <c r="B555" s="321"/>
      <c r="C555" s="321"/>
      <c r="D555" s="321"/>
      <c r="E555" s="321"/>
      <c r="F555" s="321"/>
      <c r="G555" s="454"/>
      <c r="H555" s="454"/>
      <c r="I555" s="454"/>
      <c r="J555" s="454"/>
      <c r="K555" s="321"/>
      <c r="L555" s="321"/>
      <c r="M555" s="321"/>
      <c r="N555" s="321"/>
      <c r="O555" s="321"/>
      <c r="P555" s="321"/>
      <c r="Q555" s="321"/>
      <c r="R555" s="321"/>
      <c r="S555" s="321"/>
      <c r="T555" s="321"/>
      <c r="U555" s="321"/>
      <c r="V555" s="321"/>
      <c r="W555" s="321"/>
      <c r="X555" s="321"/>
      <c r="Y555" s="321"/>
      <c r="Z555" s="321"/>
      <c r="AA555" s="321"/>
      <c r="AB555" s="321"/>
      <c r="AC555" s="321"/>
      <c r="AD555" s="321"/>
    </row>
    <row r="556">
      <c r="A556" s="321"/>
      <c r="B556" s="321"/>
      <c r="C556" s="321"/>
      <c r="D556" s="321"/>
      <c r="E556" s="321"/>
      <c r="F556" s="321"/>
      <c r="G556" s="454"/>
      <c r="H556" s="454"/>
      <c r="I556" s="454"/>
      <c r="J556" s="454"/>
      <c r="K556" s="321"/>
      <c r="L556" s="321"/>
      <c r="M556" s="321"/>
      <c r="N556" s="321"/>
      <c r="O556" s="321"/>
      <c r="P556" s="321"/>
      <c r="Q556" s="321"/>
      <c r="R556" s="321"/>
      <c r="S556" s="321"/>
      <c r="T556" s="321"/>
      <c r="U556" s="321"/>
      <c r="V556" s="321"/>
      <c r="W556" s="321"/>
      <c r="X556" s="321"/>
      <c r="Y556" s="321"/>
      <c r="Z556" s="321"/>
      <c r="AA556" s="321"/>
      <c r="AB556" s="321"/>
      <c r="AC556" s="321"/>
      <c r="AD556" s="321"/>
    </row>
    <row r="557">
      <c r="A557" s="321"/>
      <c r="B557" s="321"/>
      <c r="C557" s="321"/>
      <c r="D557" s="321"/>
      <c r="E557" s="321"/>
      <c r="F557" s="321"/>
      <c r="G557" s="454"/>
      <c r="H557" s="454"/>
      <c r="I557" s="454"/>
      <c r="J557" s="454"/>
      <c r="K557" s="321"/>
      <c r="L557" s="321"/>
      <c r="M557" s="321"/>
      <c r="N557" s="321"/>
      <c r="O557" s="321"/>
      <c r="P557" s="321"/>
      <c r="Q557" s="321"/>
      <c r="R557" s="321"/>
      <c r="S557" s="321"/>
      <c r="T557" s="321"/>
      <c r="U557" s="321"/>
      <c r="V557" s="321"/>
      <c r="W557" s="321"/>
      <c r="X557" s="321"/>
      <c r="Y557" s="321"/>
      <c r="Z557" s="321"/>
      <c r="AA557" s="321"/>
      <c r="AB557" s="321"/>
      <c r="AC557" s="321"/>
      <c r="AD557" s="321"/>
    </row>
    <row r="558">
      <c r="A558" s="321"/>
      <c r="B558" s="321"/>
      <c r="C558" s="321"/>
      <c r="D558" s="321"/>
      <c r="E558" s="321"/>
      <c r="F558" s="321"/>
      <c r="G558" s="454"/>
      <c r="H558" s="454"/>
      <c r="I558" s="454"/>
      <c r="J558" s="454"/>
      <c r="K558" s="321"/>
      <c r="L558" s="321"/>
      <c r="M558" s="321"/>
      <c r="N558" s="321"/>
      <c r="O558" s="321"/>
      <c r="P558" s="321"/>
      <c r="Q558" s="321"/>
      <c r="R558" s="321"/>
      <c r="S558" s="321"/>
      <c r="T558" s="321"/>
      <c r="U558" s="321"/>
      <c r="V558" s="321"/>
      <c r="W558" s="321"/>
      <c r="X558" s="321"/>
      <c r="Y558" s="321"/>
      <c r="Z558" s="321"/>
      <c r="AA558" s="321"/>
      <c r="AB558" s="321"/>
      <c r="AC558" s="321"/>
      <c r="AD558" s="321"/>
    </row>
    <row r="559">
      <c r="A559" s="321"/>
      <c r="B559" s="321"/>
      <c r="C559" s="321"/>
      <c r="D559" s="321"/>
      <c r="E559" s="321"/>
      <c r="F559" s="321"/>
      <c r="G559" s="454"/>
      <c r="H559" s="454"/>
      <c r="I559" s="454"/>
      <c r="J559" s="454"/>
      <c r="K559" s="321"/>
      <c r="L559" s="321"/>
      <c r="M559" s="321"/>
      <c r="N559" s="321"/>
      <c r="O559" s="321"/>
      <c r="P559" s="321"/>
      <c r="Q559" s="321"/>
      <c r="R559" s="321"/>
      <c r="S559" s="321"/>
      <c r="T559" s="321"/>
      <c r="U559" s="321"/>
      <c r="V559" s="321"/>
      <c r="W559" s="321"/>
      <c r="X559" s="321"/>
      <c r="Y559" s="321"/>
      <c r="Z559" s="321"/>
      <c r="AA559" s="321"/>
      <c r="AB559" s="321"/>
      <c r="AC559" s="321"/>
      <c r="AD559" s="321"/>
    </row>
    <row r="560">
      <c r="A560" s="321"/>
      <c r="B560" s="321"/>
      <c r="C560" s="321"/>
      <c r="D560" s="321"/>
      <c r="E560" s="321"/>
      <c r="F560" s="321"/>
      <c r="G560" s="454"/>
      <c r="H560" s="454"/>
      <c r="I560" s="454"/>
      <c r="J560" s="454"/>
      <c r="K560" s="321"/>
      <c r="L560" s="321"/>
      <c r="M560" s="321"/>
      <c r="N560" s="321"/>
      <c r="O560" s="321"/>
      <c r="P560" s="321"/>
      <c r="Q560" s="321"/>
      <c r="R560" s="321"/>
      <c r="S560" s="321"/>
      <c r="T560" s="321"/>
      <c r="U560" s="321"/>
      <c r="V560" s="321"/>
      <c r="W560" s="321"/>
      <c r="X560" s="321"/>
      <c r="Y560" s="321"/>
      <c r="Z560" s="321"/>
      <c r="AA560" s="321"/>
      <c r="AB560" s="321"/>
      <c r="AC560" s="321"/>
      <c r="AD560" s="321"/>
    </row>
    <row r="561">
      <c r="A561" s="321"/>
      <c r="B561" s="321"/>
      <c r="C561" s="321"/>
      <c r="D561" s="321"/>
      <c r="E561" s="321"/>
      <c r="F561" s="321"/>
      <c r="G561" s="454"/>
      <c r="H561" s="454"/>
      <c r="I561" s="454"/>
      <c r="J561" s="454"/>
      <c r="K561" s="321"/>
      <c r="L561" s="321"/>
      <c r="M561" s="321"/>
      <c r="N561" s="321"/>
      <c r="O561" s="321"/>
      <c r="P561" s="321"/>
      <c r="Q561" s="321"/>
      <c r="R561" s="321"/>
      <c r="S561" s="321"/>
      <c r="T561" s="321"/>
      <c r="U561" s="321"/>
      <c r="V561" s="321"/>
      <c r="W561" s="321"/>
      <c r="X561" s="321"/>
      <c r="Y561" s="321"/>
      <c r="Z561" s="321"/>
      <c r="AA561" s="321"/>
      <c r="AB561" s="321"/>
      <c r="AC561" s="321"/>
      <c r="AD561" s="321"/>
    </row>
    <row r="562">
      <c r="A562" s="321"/>
      <c r="B562" s="321"/>
      <c r="C562" s="321"/>
      <c r="D562" s="321"/>
      <c r="E562" s="321"/>
      <c r="F562" s="321"/>
      <c r="G562" s="454"/>
      <c r="H562" s="454"/>
      <c r="I562" s="454"/>
      <c r="J562" s="454"/>
      <c r="K562" s="321"/>
      <c r="L562" s="321"/>
      <c r="M562" s="321"/>
      <c r="N562" s="321"/>
      <c r="O562" s="321"/>
      <c r="P562" s="321"/>
      <c r="Q562" s="321"/>
      <c r="R562" s="321"/>
      <c r="S562" s="321"/>
      <c r="T562" s="321"/>
      <c r="U562" s="321"/>
      <c r="V562" s="321"/>
      <c r="W562" s="321"/>
      <c r="X562" s="321"/>
      <c r="Y562" s="321"/>
      <c r="Z562" s="321"/>
      <c r="AA562" s="321"/>
      <c r="AB562" s="321"/>
      <c r="AC562" s="321"/>
      <c r="AD562" s="321"/>
    </row>
    <row r="563">
      <c r="A563" s="321"/>
      <c r="B563" s="321"/>
      <c r="C563" s="321"/>
      <c r="D563" s="321"/>
      <c r="E563" s="321"/>
      <c r="F563" s="321"/>
      <c r="G563" s="454"/>
      <c r="H563" s="454"/>
      <c r="I563" s="454"/>
      <c r="J563" s="454"/>
      <c r="K563" s="321"/>
      <c r="L563" s="321"/>
      <c r="M563" s="321"/>
      <c r="N563" s="321"/>
      <c r="O563" s="321"/>
      <c r="P563" s="321"/>
      <c r="Q563" s="321"/>
      <c r="R563" s="321"/>
      <c r="S563" s="321"/>
      <c r="T563" s="321"/>
      <c r="U563" s="321"/>
      <c r="V563" s="321"/>
      <c r="W563" s="321"/>
      <c r="X563" s="321"/>
      <c r="Y563" s="321"/>
      <c r="Z563" s="321"/>
      <c r="AA563" s="321"/>
      <c r="AB563" s="321"/>
      <c r="AC563" s="321"/>
      <c r="AD563" s="321"/>
    </row>
    <row r="564">
      <c r="A564" s="321"/>
      <c r="B564" s="321"/>
      <c r="C564" s="321"/>
      <c r="D564" s="321"/>
      <c r="E564" s="321"/>
      <c r="F564" s="321"/>
      <c r="G564" s="454"/>
      <c r="H564" s="454"/>
      <c r="I564" s="454"/>
      <c r="J564" s="454"/>
      <c r="K564" s="321"/>
      <c r="L564" s="321"/>
      <c r="M564" s="321"/>
      <c r="N564" s="321"/>
      <c r="O564" s="321"/>
      <c r="P564" s="321"/>
      <c r="Q564" s="321"/>
      <c r="R564" s="321"/>
      <c r="S564" s="321"/>
      <c r="T564" s="321"/>
      <c r="U564" s="321"/>
      <c r="V564" s="321"/>
      <c r="W564" s="321"/>
      <c r="X564" s="321"/>
      <c r="Y564" s="321"/>
      <c r="Z564" s="321"/>
      <c r="AA564" s="321"/>
      <c r="AB564" s="321"/>
      <c r="AC564" s="321"/>
      <c r="AD564" s="321"/>
    </row>
    <row r="565">
      <c r="A565" s="321"/>
      <c r="B565" s="321"/>
      <c r="C565" s="321"/>
      <c r="D565" s="321"/>
      <c r="E565" s="321"/>
      <c r="F565" s="321"/>
      <c r="G565" s="454"/>
      <c r="H565" s="454"/>
      <c r="I565" s="454"/>
      <c r="J565" s="454"/>
      <c r="K565" s="321"/>
      <c r="L565" s="321"/>
      <c r="M565" s="321"/>
      <c r="N565" s="321"/>
      <c r="O565" s="321"/>
      <c r="P565" s="321"/>
      <c r="Q565" s="321"/>
      <c r="R565" s="321"/>
      <c r="S565" s="321"/>
      <c r="T565" s="321"/>
      <c r="U565" s="321"/>
      <c r="V565" s="321"/>
      <c r="W565" s="321"/>
      <c r="X565" s="321"/>
      <c r="Y565" s="321"/>
      <c r="Z565" s="321"/>
      <c r="AA565" s="321"/>
      <c r="AB565" s="321"/>
      <c r="AC565" s="321"/>
      <c r="AD565" s="321"/>
    </row>
    <row r="566">
      <c r="A566" s="321"/>
      <c r="B566" s="321"/>
      <c r="C566" s="321"/>
      <c r="D566" s="321"/>
      <c r="E566" s="321"/>
      <c r="F566" s="321"/>
      <c r="G566" s="454"/>
      <c r="H566" s="454"/>
      <c r="I566" s="454"/>
      <c r="J566" s="454"/>
      <c r="K566" s="321"/>
      <c r="L566" s="321"/>
      <c r="M566" s="321"/>
      <c r="N566" s="321"/>
      <c r="O566" s="321"/>
      <c r="P566" s="321"/>
      <c r="Q566" s="321"/>
      <c r="R566" s="321"/>
      <c r="S566" s="321"/>
      <c r="T566" s="321"/>
      <c r="U566" s="321"/>
      <c r="V566" s="321"/>
      <c r="W566" s="321"/>
      <c r="X566" s="321"/>
      <c r="Y566" s="321"/>
      <c r="Z566" s="321"/>
      <c r="AA566" s="321"/>
      <c r="AB566" s="321"/>
      <c r="AC566" s="321"/>
      <c r="AD566" s="321"/>
    </row>
    <row r="567">
      <c r="A567" s="321"/>
      <c r="B567" s="321"/>
      <c r="C567" s="321"/>
      <c r="D567" s="321"/>
      <c r="E567" s="321"/>
      <c r="F567" s="321"/>
      <c r="G567" s="454"/>
      <c r="H567" s="454"/>
      <c r="I567" s="454"/>
      <c r="J567" s="454"/>
      <c r="K567" s="321"/>
      <c r="L567" s="321"/>
      <c r="M567" s="321"/>
      <c r="N567" s="321"/>
      <c r="O567" s="321"/>
      <c r="P567" s="321"/>
      <c r="Q567" s="321"/>
      <c r="R567" s="321"/>
      <c r="S567" s="321"/>
      <c r="T567" s="321"/>
      <c r="U567" s="321"/>
      <c r="V567" s="321"/>
      <c r="W567" s="321"/>
      <c r="X567" s="321"/>
      <c r="Y567" s="321"/>
      <c r="Z567" s="321"/>
      <c r="AA567" s="321"/>
      <c r="AB567" s="321"/>
      <c r="AC567" s="321"/>
      <c r="AD567" s="321"/>
    </row>
    <row r="568">
      <c r="A568" s="321"/>
      <c r="B568" s="321"/>
      <c r="C568" s="321"/>
      <c r="D568" s="321"/>
      <c r="E568" s="321"/>
      <c r="F568" s="321"/>
      <c r="G568" s="454"/>
      <c r="H568" s="454"/>
      <c r="I568" s="454"/>
      <c r="J568" s="454"/>
      <c r="K568" s="321"/>
      <c r="L568" s="321"/>
      <c r="M568" s="321"/>
      <c r="N568" s="321"/>
      <c r="O568" s="321"/>
      <c r="P568" s="321"/>
      <c r="Q568" s="321"/>
      <c r="R568" s="321"/>
      <c r="S568" s="321"/>
      <c r="T568" s="321"/>
      <c r="U568" s="321"/>
      <c r="V568" s="321"/>
      <c r="W568" s="321"/>
      <c r="X568" s="321"/>
      <c r="Y568" s="321"/>
      <c r="Z568" s="321"/>
      <c r="AA568" s="321"/>
      <c r="AB568" s="321"/>
      <c r="AC568" s="321"/>
      <c r="AD568" s="321"/>
    </row>
    <row r="569">
      <c r="A569" s="321"/>
      <c r="B569" s="321"/>
      <c r="C569" s="321"/>
      <c r="D569" s="321"/>
      <c r="E569" s="321"/>
      <c r="F569" s="321"/>
      <c r="G569" s="454"/>
      <c r="H569" s="454"/>
      <c r="I569" s="454"/>
      <c r="J569" s="454"/>
      <c r="K569" s="321"/>
      <c r="L569" s="321"/>
      <c r="M569" s="321"/>
      <c r="N569" s="321"/>
      <c r="O569" s="321"/>
      <c r="P569" s="321"/>
      <c r="Q569" s="321"/>
      <c r="R569" s="321"/>
      <c r="S569" s="321"/>
      <c r="T569" s="321"/>
      <c r="U569" s="321"/>
      <c r="V569" s="321"/>
      <c r="W569" s="321"/>
      <c r="X569" s="321"/>
      <c r="Y569" s="321"/>
      <c r="Z569" s="321"/>
      <c r="AA569" s="321"/>
      <c r="AB569" s="321"/>
      <c r="AC569" s="321"/>
      <c r="AD569" s="321"/>
    </row>
    <row r="570">
      <c r="A570" s="321"/>
      <c r="B570" s="321"/>
      <c r="C570" s="321"/>
      <c r="D570" s="321"/>
      <c r="E570" s="321"/>
      <c r="F570" s="321"/>
      <c r="G570" s="454"/>
      <c r="H570" s="454"/>
      <c r="I570" s="454"/>
      <c r="J570" s="454"/>
      <c r="K570" s="321"/>
      <c r="L570" s="321"/>
      <c r="M570" s="321"/>
      <c r="N570" s="321"/>
      <c r="O570" s="321"/>
      <c r="P570" s="321"/>
      <c r="Q570" s="321"/>
      <c r="R570" s="321"/>
      <c r="S570" s="321"/>
      <c r="T570" s="321"/>
      <c r="U570" s="321"/>
      <c r="V570" s="321"/>
      <c r="W570" s="321"/>
      <c r="X570" s="321"/>
      <c r="Y570" s="321"/>
      <c r="Z570" s="321"/>
      <c r="AA570" s="321"/>
      <c r="AB570" s="321"/>
      <c r="AC570" s="321"/>
      <c r="AD570" s="321"/>
    </row>
    <row r="571">
      <c r="A571" s="321"/>
      <c r="B571" s="321"/>
      <c r="C571" s="321"/>
      <c r="D571" s="321"/>
      <c r="E571" s="321"/>
      <c r="F571" s="321"/>
      <c r="G571" s="454"/>
      <c r="H571" s="454"/>
      <c r="I571" s="454"/>
      <c r="J571" s="454"/>
      <c r="K571" s="321"/>
      <c r="L571" s="321"/>
      <c r="M571" s="321"/>
      <c r="N571" s="321"/>
      <c r="O571" s="321"/>
      <c r="P571" s="321"/>
      <c r="Q571" s="321"/>
      <c r="R571" s="321"/>
      <c r="S571" s="321"/>
      <c r="T571" s="321"/>
      <c r="U571" s="321"/>
      <c r="V571" s="321"/>
      <c r="W571" s="321"/>
      <c r="X571" s="321"/>
      <c r="Y571" s="321"/>
      <c r="Z571" s="321"/>
      <c r="AA571" s="321"/>
      <c r="AB571" s="321"/>
      <c r="AC571" s="321"/>
      <c r="AD571" s="321"/>
    </row>
    <row r="572">
      <c r="A572" s="321"/>
      <c r="B572" s="321"/>
      <c r="C572" s="321"/>
      <c r="D572" s="321"/>
      <c r="E572" s="321"/>
      <c r="F572" s="321"/>
      <c r="G572" s="454"/>
      <c r="H572" s="454"/>
      <c r="I572" s="454"/>
      <c r="J572" s="454"/>
      <c r="K572" s="321"/>
      <c r="L572" s="321"/>
      <c r="M572" s="321"/>
      <c r="N572" s="321"/>
      <c r="O572" s="321"/>
      <c r="P572" s="321"/>
      <c r="Q572" s="321"/>
      <c r="R572" s="321"/>
      <c r="S572" s="321"/>
      <c r="T572" s="321"/>
      <c r="U572" s="321"/>
      <c r="V572" s="321"/>
      <c r="W572" s="321"/>
      <c r="X572" s="321"/>
      <c r="Y572" s="321"/>
      <c r="Z572" s="321"/>
      <c r="AA572" s="321"/>
      <c r="AB572" s="321"/>
      <c r="AC572" s="321"/>
      <c r="AD572" s="321"/>
    </row>
    <row r="573">
      <c r="A573" s="321"/>
      <c r="B573" s="321"/>
      <c r="C573" s="321"/>
      <c r="D573" s="321"/>
      <c r="E573" s="321"/>
      <c r="F573" s="321"/>
      <c r="G573" s="454"/>
      <c r="H573" s="454"/>
      <c r="I573" s="454"/>
      <c r="J573" s="454"/>
      <c r="K573" s="321"/>
      <c r="L573" s="321"/>
      <c r="M573" s="321"/>
      <c r="N573" s="321"/>
      <c r="O573" s="321"/>
      <c r="P573" s="321"/>
      <c r="Q573" s="321"/>
      <c r="R573" s="321"/>
      <c r="S573" s="321"/>
      <c r="T573" s="321"/>
      <c r="U573" s="321"/>
      <c r="V573" s="321"/>
      <c r="W573" s="321"/>
      <c r="X573" s="321"/>
      <c r="Y573" s="321"/>
      <c r="Z573" s="321"/>
      <c r="AA573" s="321"/>
      <c r="AB573" s="321"/>
      <c r="AC573" s="321"/>
      <c r="AD573" s="321"/>
    </row>
    <row r="574">
      <c r="A574" s="321"/>
      <c r="B574" s="321"/>
      <c r="C574" s="321"/>
      <c r="D574" s="321"/>
      <c r="E574" s="321"/>
      <c r="F574" s="321"/>
      <c r="G574" s="454"/>
      <c r="H574" s="454"/>
      <c r="I574" s="454"/>
      <c r="J574" s="454"/>
      <c r="K574" s="321"/>
      <c r="L574" s="321"/>
      <c r="M574" s="321"/>
      <c r="N574" s="321"/>
      <c r="O574" s="321"/>
      <c r="P574" s="321"/>
      <c r="Q574" s="321"/>
      <c r="R574" s="321"/>
      <c r="S574" s="321"/>
      <c r="T574" s="321"/>
      <c r="U574" s="321"/>
      <c r="V574" s="321"/>
      <c r="W574" s="321"/>
      <c r="X574" s="321"/>
      <c r="Y574" s="321"/>
      <c r="Z574" s="321"/>
      <c r="AA574" s="321"/>
      <c r="AB574" s="321"/>
      <c r="AC574" s="321"/>
      <c r="AD574" s="321"/>
    </row>
    <row r="575">
      <c r="A575" s="321"/>
      <c r="B575" s="321"/>
      <c r="C575" s="321"/>
      <c r="D575" s="321"/>
      <c r="E575" s="321"/>
      <c r="F575" s="321"/>
      <c r="G575" s="454"/>
      <c r="H575" s="454"/>
      <c r="I575" s="454"/>
      <c r="J575" s="454"/>
      <c r="K575" s="321"/>
      <c r="L575" s="321"/>
      <c r="M575" s="321"/>
      <c r="N575" s="321"/>
      <c r="O575" s="321"/>
      <c r="P575" s="321"/>
      <c r="Q575" s="321"/>
      <c r="R575" s="321"/>
      <c r="S575" s="321"/>
      <c r="T575" s="321"/>
      <c r="U575" s="321"/>
      <c r="V575" s="321"/>
      <c r="W575" s="321"/>
      <c r="X575" s="321"/>
      <c r="Y575" s="321"/>
      <c r="Z575" s="321"/>
      <c r="AA575" s="321"/>
      <c r="AB575" s="321"/>
      <c r="AC575" s="321"/>
      <c r="AD575" s="321"/>
    </row>
    <row r="576">
      <c r="A576" s="321"/>
      <c r="B576" s="321"/>
      <c r="C576" s="321"/>
      <c r="D576" s="321"/>
      <c r="E576" s="321"/>
      <c r="F576" s="321"/>
      <c r="G576" s="454"/>
      <c r="H576" s="454"/>
      <c r="I576" s="454"/>
      <c r="J576" s="454"/>
      <c r="K576" s="321"/>
      <c r="L576" s="321"/>
      <c r="M576" s="321"/>
      <c r="N576" s="321"/>
      <c r="O576" s="321"/>
      <c r="P576" s="321"/>
      <c r="Q576" s="321"/>
      <c r="R576" s="321"/>
      <c r="S576" s="321"/>
      <c r="T576" s="321"/>
      <c r="U576" s="321"/>
      <c r="V576" s="321"/>
      <c r="W576" s="321"/>
      <c r="X576" s="321"/>
      <c r="Y576" s="321"/>
      <c r="Z576" s="321"/>
      <c r="AA576" s="321"/>
      <c r="AB576" s="321"/>
      <c r="AC576" s="321"/>
      <c r="AD576" s="321"/>
    </row>
    <row r="577">
      <c r="A577" s="321"/>
      <c r="B577" s="321"/>
      <c r="C577" s="321"/>
      <c r="D577" s="321"/>
      <c r="E577" s="321"/>
      <c r="F577" s="321"/>
      <c r="G577" s="454"/>
      <c r="H577" s="454"/>
      <c r="I577" s="454"/>
      <c r="J577" s="454"/>
      <c r="K577" s="321"/>
      <c r="L577" s="321"/>
      <c r="M577" s="321"/>
      <c r="N577" s="321"/>
      <c r="O577" s="321"/>
      <c r="P577" s="321"/>
      <c r="Q577" s="321"/>
      <c r="R577" s="321"/>
      <c r="S577" s="321"/>
      <c r="T577" s="321"/>
      <c r="U577" s="321"/>
      <c r="V577" s="321"/>
      <c r="W577" s="321"/>
      <c r="X577" s="321"/>
      <c r="Y577" s="321"/>
      <c r="Z577" s="321"/>
      <c r="AA577" s="321"/>
      <c r="AB577" s="321"/>
      <c r="AC577" s="321"/>
      <c r="AD577" s="321"/>
    </row>
    <row r="578">
      <c r="A578" s="321"/>
      <c r="B578" s="321"/>
      <c r="C578" s="321"/>
      <c r="D578" s="321"/>
      <c r="E578" s="321"/>
      <c r="F578" s="321"/>
      <c r="G578" s="454"/>
      <c r="H578" s="454"/>
      <c r="I578" s="454"/>
      <c r="J578" s="454"/>
      <c r="K578" s="321"/>
      <c r="L578" s="321"/>
      <c r="M578" s="321"/>
      <c r="N578" s="321"/>
      <c r="O578" s="321"/>
      <c r="P578" s="321"/>
      <c r="Q578" s="321"/>
      <c r="R578" s="321"/>
      <c r="S578" s="321"/>
      <c r="T578" s="321"/>
      <c r="U578" s="321"/>
      <c r="V578" s="321"/>
      <c r="W578" s="321"/>
      <c r="X578" s="321"/>
      <c r="Y578" s="321"/>
      <c r="Z578" s="321"/>
      <c r="AA578" s="321"/>
      <c r="AB578" s="321"/>
      <c r="AC578" s="321"/>
      <c r="AD578" s="321"/>
    </row>
    <row r="579">
      <c r="A579" s="321"/>
      <c r="B579" s="321"/>
      <c r="C579" s="321"/>
      <c r="D579" s="321"/>
      <c r="E579" s="321"/>
      <c r="F579" s="321"/>
      <c r="G579" s="454"/>
      <c r="H579" s="454"/>
      <c r="I579" s="454"/>
      <c r="J579" s="454"/>
      <c r="K579" s="321"/>
      <c r="L579" s="321"/>
      <c r="M579" s="321"/>
      <c r="N579" s="321"/>
      <c r="O579" s="321"/>
      <c r="P579" s="321"/>
      <c r="Q579" s="321"/>
      <c r="R579" s="321"/>
      <c r="S579" s="321"/>
      <c r="T579" s="321"/>
      <c r="U579" s="321"/>
      <c r="V579" s="321"/>
      <c r="W579" s="321"/>
      <c r="X579" s="321"/>
      <c r="Y579" s="321"/>
      <c r="Z579" s="321"/>
      <c r="AA579" s="321"/>
      <c r="AB579" s="321"/>
      <c r="AC579" s="321"/>
      <c r="AD579" s="321"/>
    </row>
    <row r="580">
      <c r="A580" s="321"/>
      <c r="B580" s="321"/>
      <c r="C580" s="321"/>
      <c r="D580" s="321"/>
      <c r="E580" s="321"/>
      <c r="F580" s="321"/>
      <c r="G580" s="454"/>
      <c r="H580" s="454"/>
      <c r="I580" s="454"/>
      <c r="J580" s="454"/>
      <c r="K580" s="321"/>
      <c r="L580" s="321"/>
      <c r="M580" s="321"/>
      <c r="N580" s="321"/>
      <c r="O580" s="321"/>
      <c r="P580" s="321"/>
      <c r="Q580" s="321"/>
      <c r="R580" s="321"/>
      <c r="S580" s="321"/>
      <c r="T580" s="321"/>
      <c r="U580" s="321"/>
      <c r="V580" s="321"/>
      <c r="W580" s="321"/>
      <c r="X580" s="321"/>
      <c r="Y580" s="321"/>
      <c r="Z580" s="321"/>
      <c r="AA580" s="321"/>
      <c r="AB580" s="321"/>
      <c r="AC580" s="321"/>
      <c r="AD580" s="321"/>
    </row>
    <row r="581">
      <c r="A581" s="321"/>
      <c r="B581" s="321"/>
      <c r="C581" s="321"/>
      <c r="D581" s="321"/>
      <c r="E581" s="321"/>
      <c r="F581" s="321"/>
      <c r="G581" s="454"/>
      <c r="H581" s="454"/>
      <c r="I581" s="454"/>
      <c r="J581" s="454"/>
      <c r="K581" s="321"/>
      <c r="L581" s="321"/>
      <c r="M581" s="321"/>
      <c r="N581" s="321"/>
      <c r="O581" s="321"/>
      <c r="P581" s="321"/>
      <c r="Q581" s="321"/>
      <c r="R581" s="321"/>
      <c r="S581" s="321"/>
      <c r="T581" s="321"/>
      <c r="U581" s="321"/>
      <c r="V581" s="321"/>
      <c r="W581" s="321"/>
      <c r="X581" s="321"/>
      <c r="Y581" s="321"/>
      <c r="Z581" s="321"/>
      <c r="AA581" s="321"/>
      <c r="AB581" s="321"/>
      <c r="AC581" s="321"/>
      <c r="AD581" s="321"/>
    </row>
    <row r="582">
      <c r="A582" s="321"/>
      <c r="B582" s="321"/>
      <c r="C582" s="321"/>
      <c r="D582" s="321"/>
      <c r="E582" s="321"/>
      <c r="F582" s="321"/>
      <c r="G582" s="454"/>
      <c r="H582" s="454"/>
      <c r="I582" s="454"/>
      <c r="J582" s="454"/>
      <c r="K582" s="321"/>
      <c r="L582" s="321"/>
      <c r="M582" s="321"/>
      <c r="N582" s="321"/>
      <c r="O582" s="321"/>
      <c r="P582" s="321"/>
      <c r="Q582" s="321"/>
      <c r="R582" s="321"/>
      <c r="S582" s="321"/>
      <c r="T582" s="321"/>
      <c r="U582" s="321"/>
      <c r="V582" s="321"/>
      <c r="W582" s="321"/>
      <c r="X582" s="321"/>
      <c r="Y582" s="321"/>
      <c r="Z582" s="321"/>
      <c r="AA582" s="321"/>
      <c r="AB582" s="321"/>
      <c r="AC582" s="321"/>
      <c r="AD582" s="321"/>
    </row>
    <row r="583">
      <c r="A583" s="321"/>
      <c r="B583" s="321"/>
      <c r="C583" s="321"/>
      <c r="D583" s="321"/>
      <c r="E583" s="321"/>
      <c r="F583" s="321"/>
      <c r="G583" s="454"/>
      <c r="H583" s="454"/>
      <c r="I583" s="454"/>
      <c r="J583" s="454"/>
      <c r="K583" s="321"/>
      <c r="L583" s="321"/>
      <c r="M583" s="321"/>
      <c r="N583" s="321"/>
      <c r="O583" s="321"/>
      <c r="P583" s="321"/>
      <c r="Q583" s="321"/>
      <c r="R583" s="321"/>
      <c r="S583" s="321"/>
      <c r="T583" s="321"/>
      <c r="U583" s="321"/>
      <c r="V583" s="321"/>
      <c r="W583" s="321"/>
      <c r="X583" s="321"/>
      <c r="Y583" s="321"/>
      <c r="Z583" s="321"/>
      <c r="AA583" s="321"/>
      <c r="AB583" s="321"/>
      <c r="AC583" s="321"/>
      <c r="AD583" s="321"/>
    </row>
    <row r="584">
      <c r="A584" s="321"/>
      <c r="B584" s="321"/>
      <c r="C584" s="321"/>
      <c r="D584" s="321"/>
      <c r="E584" s="321"/>
      <c r="F584" s="321"/>
      <c r="G584" s="454"/>
      <c r="H584" s="454"/>
      <c r="I584" s="454"/>
      <c r="J584" s="454"/>
      <c r="K584" s="321"/>
      <c r="L584" s="321"/>
      <c r="M584" s="321"/>
      <c r="N584" s="321"/>
      <c r="O584" s="321"/>
      <c r="P584" s="321"/>
      <c r="Q584" s="321"/>
      <c r="R584" s="321"/>
      <c r="S584" s="321"/>
      <c r="T584" s="321"/>
      <c r="U584" s="321"/>
      <c r="V584" s="321"/>
      <c r="W584" s="321"/>
      <c r="X584" s="321"/>
      <c r="Y584" s="321"/>
      <c r="Z584" s="321"/>
      <c r="AA584" s="321"/>
      <c r="AB584" s="321"/>
      <c r="AC584" s="321"/>
      <c r="AD584" s="321"/>
    </row>
    <row r="585">
      <c r="A585" s="321"/>
      <c r="B585" s="321"/>
      <c r="C585" s="321"/>
      <c r="D585" s="321"/>
      <c r="E585" s="321"/>
      <c r="F585" s="321"/>
      <c r="G585" s="454"/>
      <c r="H585" s="454"/>
      <c r="I585" s="454"/>
      <c r="J585" s="454"/>
      <c r="K585" s="321"/>
      <c r="L585" s="321"/>
      <c r="M585" s="321"/>
      <c r="N585" s="321"/>
      <c r="O585" s="321"/>
      <c r="P585" s="321"/>
      <c r="Q585" s="321"/>
      <c r="R585" s="321"/>
      <c r="S585" s="321"/>
      <c r="T585" s="321"/>
      <c r="U585" s="321"/>
      <c r="V585" s="321"/>
      <c r="W585" s="321"/>
      <c r="X585" s="321"/>
      <c r="Y585" s="321"/>
      <c r="Z585" s="321"/>
      <c r="AA585" s="321"/>
      <c r="AB585" s="321"/>
      <c r="AC585" s="321"/>
      <c r="AD585" s="321"/>
    </row>
    <row r="586">
      <c r="A586" s="321"/>
      <c r="B586" s="321"/>
      <c r="C586" s="321"/>
      <c r="D586" s="321"/>
      <c r="E586" s="321"/>
      <c r="F586" s="321"/>
      <c r="G586" s="454"/>
      <c r="H586" s="454"/>
      <c r="I586" s="454"/>
      <c r="J586" s="454"/>
      <c r="K586" s="321"/>
      <c r="L586" s="321"/>
      <c r="M586" s="321"/>
      <c r="N586" s="321"/>
      <c r="O586" s="321"/>
      <c r="P586" s="321"/>
      <c r="Q586" s="321"/>
      <c r="R586" s="321"/>
      <c r="S586" s="321"/>
      <c r="T586" s="321"/>
      <c r="U586" s="321"/>
      <c r="V586" s="321"/>
      <c r="W586" s="321"/>
      <c r="X586" s="321"/>
      <c r="Y586" s="321"/>
      <c r="Z586" s="321"/>
      <c r="AA586" s="321"/>
      <c r="AB586" s="321"/>
      <c r="AC586" s="321"/>
      <c r="AD586" s="321"/>
    </row>
    <row r="587">
      <c r="A587" s="321"/>
      <c r="B587" s="321"/>
      <c r="C587" s="321"/>
      <c r="D587" s="321"/>
      <c r="E587" s="321"/>
      <c r="F587" s="321"/>
      <c r="G587" s="454"/>
      <c r="H587" s="454"/>
      <c r="I587" s="454"/>
      <c r="J587" s="454"/>
      <c r="K587" s="321"/>
      <c r="L587" s="321"/>
      <c r="M587" s="321"/>
      <c r="N587" s="321"/>
      <c r="O587" s="321"/>
      <c r="P587" s="321"/>
      <c r="Q587" s="321"/>
      <c r="R587" s="321"/>
      <c r="S587" s="321"/>
      <c r="T587" s="321"/>
      <c r="U587" s="321"/>
      <c r="V587" s="321"/>
      <c r="W587" s="321"/>
      <c r="X587" s="321"/>
      <c r="Y587" s="321"/>
      <c r="Z587" s="321"/>
      <c r="AA587" s="321"/>
      <c r="AB587" s="321"/>
      <c r="AC587" s="321"/>
      <c r="AD587" s="321"/>
    </row>
    <row r="588">
      <c r="A588" s="321"/>
      <c r="B588" s="321"/>
      <c r="C588" s="321"/>
      <c r="D588" s="321"/>
      <c r="E588" s="321"/>
      <c r="F588" s="321"/>
      <c r="G588" s="454"/>
      <c r="H588" s="454"/>
      <c r="I588" s="454"/>
      <c r="J588" s="454"/>
      <c r="K588" s="321"/>
      <c r="L588" s="321"/>
      <c r="M588" s="321"/>
      <c r="N588" s="321"/>
      <c r="O588" s="321"/>
      <c r="P588" s="321"/>
      <c r="Q588" s="321"/>
      <c r="R588" s="321"/>
      <c r="S588" s="321"/>
      <c r="T588" s="321"/>
      <c r="U588" s="321"/>
      <c r="V588" s="321"/>
      <c r="W588" s="321"/>
      <c r="X588" s="321"/>
      <c r="Y588" s="321"/>
      <c r="Z588" s="321"/>
      <c r="AA588" s="321"/>
      <c r="AB588" s="321"/>
      <c r="AC588" s="321"/>
      <c r="AD588" s="321"/>
    </row>
    <row r="589">
      <c r="A589" s="321"/>
      <c r="B589" s="321"/>
      <c r="C589" s="321"/>
      <c r="D589" s="321"/>
      <c r="E589" s="321"/>
      <c r="F589" s="321"/>
      <c r="G589" s="454"/>
      <c r="H589" s="454"/>
      <c r="I589" s="454"/>
      <c r="J589" s="454"/>
      <c r="K589" s="321"/>
      <c r="L589" s="321"/>
      <c r="M589" s="321"/>
      <c r="N589" s="321"/>
      <c r="O589" s="321"/>
      <c r="P589" s="321"/>
      <c r="Q589" s="321"/>
      <c r="R589" s="321"/>
      <c r="S589" s="321"/>
      <c r="T589" s="321"/>
      <c r="U589" s="321"/>
      <c r="V589" s="321"/>
      <c r="W589" s="321"/>
      <c r="X589" s="321"/>
      <c r="Y589" s="321"/>
      <c r="Z589" s="321"/>
      <c r="AA589" s="321"/>
      <c r="AB589" s="321"/>
      <c r="AC589" s="321"/>
      <c r="AD589" s="321"/>
    </row>
    <row r="590">
      <c r="A590" s="321"/>
      <c r="B590" s="321"/>
      <c r="C590" s="321"/>
      <c r="D590" s="321"/>
      <c r="E590" s="321"/>
      <c r="F590" s="321"/>
      <c r="G590" s="454"/>
      <c r="H590" s="454"/>
      <c r="I590" s="454"/>
      <c r="J590" s="454"/>
      <c r="K590" s="321"/>
      <c r="L590" s="321"/>
      <c r="M590" s="321"/>
      <c r="N590" s="321"/>
      <c r="O590" s="321"/>
      <c r="P590" s="321"/>
      <c r="Q590" s="321"/>
      <c r="R590" s="321"/>
      <c r="S590" s="321"/>
      <c r="T590" s="321"/>
      <c r="U590" s="321"/>
      <c r="V590" s="321"/>
      <c r="W590" s="321"/>
      <c r="X590" s="321"/>
      <c r="Y590" s="321"/>
      <c r="Z590" s="321"/>
      <c r="AA590" s="321"/>
      <c r="AB590" s="321"/>
      <c r="AC590" s="321"/>
      <c r="AD590" s="321"/>
    </row>
    <row r="591">
      <c r="A591" s="321"/>
      <c r="B591" s="321"/>
      <c r="C591" s="321"/>
      <c r="D591" s="321"/>
      <c r="E591" s="321"/>
      <c r="F591" s="321"/>
      <c r="G591" s="454"/>
      <c r="H591" s="454"/>
      <c r="I591" s="454"/>
      <c r="J591" s="454"/>
      <c r="K591" s="321"/>
      <c r="L591" s="321"/>
      <c r="M591" s="321"/>
      <c r="N591" s="321"/>
      <c r="O591" s="321"/>
      <c r="P591" s="321"/>
      <c r="Q591" s="321"/>
      <c r="R591" s="321"/>
      <c r="S591" s="321"/>
      <c r="T591" s="321"/>
      <c r="U591" s="321"/>
      <c r="V591" s="321"/>
      <c r="W591" s="321"/>
      <c r="X591" s="321"/>
      <c r="Y591" s="321"/>
      <c r="Z591" s="321"/>
      <c r="AA591" s="321"/>
      <c r="AB591" s="321"/>
      <c r="AC591" s="321"/>
      <c r="AD591" s="321"/>
    </row>
    <row r="592">
      <c r="A592" s="321"/>
      <c r="B592" s="321"/>
      <c r="C592" s="321"/>
      <c r="D592" s="321"/>
      <c r="E592" s="321"/>
      <c r="F592" s="321"/>
      <c r="G592" s="454"/>
      <c r="H592" s="454"/>
      <c r="I592" s="454"/>
      <c r="J592" s="454"/>
      <c r="K592" s="321"/>
      <c r="L592" s="321"/>
      <c r="M592" s="321"/>
      <c r="N592" s="321"/>
      <c r="O592" s="321"/>
      <c r="P592" s="321"/>
      <c r="Q592" s="321"/>
      <c r="R592" s="321"/>
      <c r="S592" s="321"/>
      <c r="T592" s="321"/>
      <c r="U592" s="321"/>
      <c r="V592" s="321"/>
      <c r="W592" s="321"/>
      <c r="X592" s="321"/>
      <c r="Y592" s="321"/>
      <c r="Z592" s="321"/>
      <c r="AA592" s="321"/>
      <c r="AB592" s="321"/>
      <c r="AC592" s="321"/>
      <c r="AD592" s="321"/>
    </row>
    <row r="593">
      <c r="A593" s="321"/>
      <c r="B593" s="321"/>
      <c r="C593" s="321"/>
      <c r="D593" s="321"/>
      <c r="E593" s="321"/>
      <c r="F593" s="321"/>
      <c r="G593" s="454"/>
      <c r="H593" s="454"/>
      <c r="I593" s="454"/>
      <c r="J593" s="454"/>
      <c r="K593" s="321"/>
      <c r="L593" s="321"/>
      <c r="M593" s="321"/>
      <c r="N593" s="321"/>
      <c r="O593" s="321"/>
      <c r="P593" s="321"/>
      <c r="Q593" s="321"/>
      <c r="R593" s="321"/>
      <c r="S593" s="321"/>
      <c r="T593" s="321"/>
      <c r="U593" s="321"/>
      <c r="V593" s="321"/>
      <c r="W593" s="321"/>
      <c r="X593" s="321"/>
      <c r="Y593" s="321"/>
      <c r="Z593" s="321"/>
      <c r="AA593" s="321"/>
      <c r="AB593" s="321"/>
      <c r="AC593" s="321"/>
      <c r="AD593" s="321"/>
    </row>
    <row r="594">
      <c r="A594" s="321"/>
      <c r="B594" s="321"/>
      <c r="C594" s="321"/>
      <c r="D594" s="321"/>
      <c r="E594" s="321"/>
      <c r="F594" s="321"/>
      <c r="G594" s="454"/>
      <c r="H594" s="454"/>
      <c r="I594" s="454"/>
      <c r="J594" s="454"/>
      <c r="K594" s="321"/>
      <c r="L594" s="321"/>
      <c r="M594" s="321"/>
      <c r="N594" s="321"/>
      <c r="O594" s="321"/>
      <c r="P594" s="321"/>
      <c r="Q594" s="321"/>
      <c r="R594" s="321"/>
      <c r="S594" s="321"/>
      <c r="T594" s="321"/>
      <c r="U594" s="321"/>
      <c r="V594" s="321"/>
      <c r="W594" s="321"/>
      <c r="X594" s="321"/>
      <c r="Y594" s="321"/>
      <c r="Z594" s="321"/>
      <c r="AA594" s="321"/>
      <c r="AB594" s="321"/>
      <c r="AC594" s="321"/>
      <c r="AD594" s="321"/>
    </row>
    <row r="595">
      <c r="A595" s="321"/>
      <c r="B595" s="321"/>
      <c r="C595" s="321"/>
      <c r="D595" s="321"/>
      <c r="E595" s="321"/>
      <c r="F595" s="321"/>
      <c r="G595" s="454"/>
      <c r="H595" s="454"/>
      <c r="I595" s="454"/>
      <c r="J595" s="454"/>
      <c r="K595" s="321"/>
      <c r="L595" s="321"/>
      <c r="M595" s="321"/>
      <c r="N595" s="321"/>
      <c r="O595" s="321"/>
      <c r="P595" s="321"/>
      <c r="Q595" s="321"/>
      <c r="R595" s="321"/>
      <c r="S595" s="321"/>
      <c r="T595" s="321"/>
      <c r="U595" s="321"/>
      <c r="V595" s="321"/>
      <c r="W595" s="321"/>
      <c r="X595" s="321"/>
      <c r="Y595" s="321"/>
      <c r="Z595" s="321"/>
      <c r="AA595" s="321"/>
      <c r="AB595" s="321"/>
      <c r="AC595" s="321"/>
      <c r="AD595" s="321"/>
    </row>
    <row r="596">
      <c r="A596" s="321"/>
      <c r="B596" s="321"/>
      <c r="C596" s="321"/>
      <c r="D596" s="321"/>
      <c r="E596" s="321"/>
      <c r="F596" s="321"/>
      <c r="G596" s="454"/>
      <c r="H596" s="454"/>
      <c r="I596" s="454"/>
      <c r="J596" s="454"/>
      <c r="K596" s="321"/>
      <c r="L596" s="321"/>
      <c r="M596" s="321"/>
      <c r="N596" s="321"/>
      <c r="O596" s="321"/>
      <c r="P596" s="321"/>
      <c r="Q596" s="321"/>
      <c r="R596" s="321"/>
      <c r="S596" s="321"/>
      <c r="T596" s="321"/>
      <c r="U596" s="321"/>
      <c r="V596" s="321"/>
      <c r="W596" s="321"/>
      <c r="X596" s="321"/>
      <c r="Y596" s="321"/>
      <c r="Z596" s="321"/>
      <c r="AA596" s="321"/>
      <c r="AB596" s="321"/>
      <c r="AC596" s="321"/>
      <c r="AD596" s="321"/>
    </row>
    <row r="597">
      <c r="A597" s="321"/>
      <c r="B597" s="321"/>
      <c r="C597" s="321"/>
      <c r="D597" s="321"/>
      <c r="E597" s="321"/>
      <c r="F597" s="321"/>
      <c r="G597" s="454"/>
      <c r="H597" s="454"/>
      <c r="I597" s="454"/>
      <c r="J597" s="454"/>
      <c r="K597" s="321"/>
      <c r="L597" s="321"/>
      <c r="M597" s="321"/>
      <c r="N597" s="321"/>
      <c r="O597" s="321"/>
      <c r="P597" s="321"/>
      <c r="Q597" s="321"/>
      <c r="R597" s="321"/>
      <c r="S597" s="321"/>
      <c r="T597" s="321"/>
      <c r="U597" s="321"/>
      <c r="V597" s="321"/>
      <c r="W597" s="321"/>
      <c r="X597" s="321"/>
      <c r="Y597" s="321"/>
      <c r="Z597" s="321"/>
      <c r="AA597" s="321"/>
      <c r="AB597" s="321"/>
      <c r="AC597" s="321"/>
      <c r="AD597" s="321"/>
    </row>
    <row r="598">
      <c r="A598" s="321"/>
      <c r="B598" s="321"/>
      <c r="C598" s="321"/>
      <c r="D598" s="321"/>
      <c r="E598" s="321"/>
      <c r="F598" s="321"/>
      <c r="G598" s="454"/>
      <c r="H598" s="454"/>
      <c r="I598" s="454"/>
      <c r="J598" s="454"/>
      <c r="K598" s="321"/>
      <c r="L598" s="321"/>
      <c r="M598" s="321"/>
      <c r="N598" s="321"/>
      <c r="O598" s="321"/>
      <c r="P598" s="321"/>
      <c r="Q598" s="321"/>
      <c r="R598" s="321"/>
      <c r="S598" s="321"/>
      <c r="T598" s="321"/>
      <c r="U598" s="321"/>
      <c r="V598" s="321"/>
      <c r="W598" s="321"/>
      <c r="X598" s="321"/>
      <c r="Y598" s="321"/>
      <c r="Z598" s="321"/>
      <c r="AA598" s="321"/>
      <c r="AB598" s="321"/>
      <c r="AC598" s="321"/>
      <c r="AD598" s="321"/>
    </row>
    <row r="599">
      <c r="A599" s="321"/>
      <c r="B599" s="321"/>
      <c r="C599" s="321"/>
      <c r="D599" s="321"/>
      <c r="E599" s="321"/>
      <c r="F599" s="321"/>
      <c r="G599" s="454"/>
      <c r="H599" s="454"/>
      <c r="I599" s="454"/>
      <c r="J599" s="454"/>
      <c r="K599" s="321"/>
      <c r="L599" s="321"/>
      <c r="M599" s="321"/>
      <c r="N599" s="321"/>
      <c r="O599" s="321"/>
      <c r="P599" s="321"/>
      <c r="Q599" s="321"/>
      <c r="R599" s="321"/>
      <c r="S599" s="321"/>
      <c r="T599" s="321"/>
      <c r="U599" s="321"/>
      <c r="V599" s="321"/>
      <c r="W599" s="321"/>
      <c r="X599" s="321"/>
      <c r="Y599" s="321"/>
      <c r="Z599" s="321"/>
      <c r="AA599" s="321"/>
      <c r="AB599" s="321"/>
      <c r="AC599" s="321"/>
      <c r="AD599" s="321"/>
    </row>
    <row r="600">
      <c r="A600" s="321"/>
      <c r="B600" s="321"/>
      <c r="C600" s="321"/>
      <c r="D600" s="321"/>
      <c r="E600" s="321"/>
      <c r="F600" s="321"/>
      <c r="G600" s="454"/>
      <c r="H600" s="454"/>
      <c r="I600" s="454"/>
      <c r="J600" s="454"/>
      <c r="K600" s="321"/>
      <c r="L600" s="321"/>
      <c r="M600" s="321"/>
      <c r="N600" s="321"/>
      <c r="O600" s="321"/>
      <c r="P600" s="321"/>
      <c r="Q600" s="321"/>
      <c r="R600" s="321"/>
      <c r="S600" s="321"/>
      <c r="T600" s="321"/>
      <c r="U600" s="321"/>
      <c r="V600" s="321"/>
      <c r="W600" s="321"/>
      <c r="X600" s="321"/>
      <c r="Y600" s="321"/>
      <c r="Z600" s="321"/>
      <c r="AA600" s="321"/>
      <c r="AB600" s="321"/>
      <c r="AC600" s="321"/>
      <c r="AD600" s="321"/>
    </row>
    <row r="601">
      <c r="A601" s="321"/>
      <c r="B601" s="321"/>
      <c r="C601" s="321"/>
      <c r="D601" s="321"/>
      <c r="E601" s="321"/>
      <c r="F601" s="321"/>
      <c r="G601" s="454"/>
      <c r="H601" s="454"/>
      <c r="I601" s="454"/>
      <c r="J601" s="454"/>
      <c r="K601" s="321"/>
      <c r="L601" s="321"/>
      <c r="M601" s="321"/>
      <c r="N601" s="321"/>
      <c r="O601" s="321"/>
      <c r="P601" s="321"/>
      <c r="Q601" s="321"/>
      <c r="R601" s="321"/>
      <c r="S601" s="321"/>
      <c r="T601" s="321"/>
      <c r="U601" s="321"/>
      <c r="V601" s="321"/>
      <c r="W601" s="321"/>
      <c r="X601" s="321"/>
      <c r="Y601" s="321"/>
      <c r="Z601" s="321"/>
      <c r="AA601" s="321"/>
      <c r="AB601" s="321"/>
      <c r="AC601" s="321"/>
      <c r="AD601" s="321"/>
    </row>
    <row r="602">
      <c r="A602" s="321"/>
      <c r="B602" s="321"/>
      <c r="C602" s="321"/>
      <c r="D602" s="321"/>
      <c r="E602" s="321"/>
      <c r="F602" s="321"/>
      <c r="G602" s="454"/>
      <c r="H602" s="454"/>
      <c r="I602" s="454"/>
      <c r="J602" s="454"/>
      <c r="K602" s="321"/>
      <c r="L602" s="321"/>
      <c r="M602" s="321"/>
      <c r="N602" s="321"/>
      <c r="O602" s="321"/>
      <c r="P602" s="321"/>
      <c r="Q602" s="321"/>
      <c r="R602" s="321"/>
      <c r="S602" s="321"/>
      <c r="T602" s="321"/>
      <c r="U602" s="321"/>
      <c r="V602" s="321"/>
      <c r="W602" s="321"/>
      <c r="X602" s="321"/>
      <c r="Y602" s="321"/>
      <c r="Z602" s="321"/>
      <c r="AA602" s="321"/>
      <c r="AB602" s="321"/>
      <c r="AC602" s="321"/>
      <c r="AD602" s="321"/>
    </row>
    <row r="603">
      <c r="A603" s="321"/>
      <c r="B603" s="321"/>
      <c r="C603" s="321"/>
      <c r="D603" s="321"/>
      <c r="E603" s="321"/>
      <c r="F603" s="321"/>
      <c r="G603" s="454"/>
      <c r="H603" s="454"/>
      <c r="I603" s="454"/>
      <c r="J603" s="454"/>
      <c r="K603" s="321"/>
      <c r="L603" s="321"/>
      <c r="M603" s="321"/>
      <c r="N603" s="321"/>
      <c r="O603" s="321"/>
      <c r="P603" s="321"/>
      <c r="Q603" s="321"/>
      <c r="R603" s="321"/>
      <c r="S603" s="321"/>
      <c r="T603" s="321"/>
      <c r="U603" s="321"/>
      <c r="V603" s="321"/>
      <c r="W603" s="321"/>
      <c r="X603" s="321"/>
      <c r="Y603" s="321"/>
      <c r="Z603" s="321"/>
      <c r="AA603" s="321"/>
      <c r="AB603" s="321"/>
      <c r="AC603" s="321"/>
      <c r="AD603" s="321"/>
    </row>
    <row r="604">
      <c r="A604" s="321"/>
      <c r="B604" s="321"/>
      <c r="C604" s="321"/>
      <c r="D604" s="321"/>
      <c r="E604" s="321"/>
      <c r="F604" s="321"/>
      <c r="G604" s="454"/>
      <c r="H604" s="454"/>
      <c r="I604" s="454"/>
      <c r="J604" s="454"/>
      <c r="K604" s="321"/>
      <c r="L604" s="321"/>
      <c r="M604" s="321"/>
      <c r="N604" s="321"/>
      <c r="O604" s="321"/>
      <c r="P604" s="321"/>
      <c r="Q604" s="321"/>
      <c r="R604" s="321"/>
      <c r="S604" s="321"/>
      <c r="T604" s="321"/>
      <c r="U604" s="321"/>
      <c r="V604" s="321"/>
      <c r="W604" s="321"/>
      <c r="X604" s="321"/>
      <c r="Y604" s="321"/>
      <c r="Z604" s="321"/>
      <c r="AA604" s="321"/>
      <c r="AB604" s="321"/>
      <c r="AC604" s="321"/>
      <c r="AD604" s="321"/>
    </row>
    <row r="605">
      <c r="A605" s="321"/>
      <c r="B605" s="321"/>
      <c r="C605" s="321"/>
      <c r="D605" s="321"/>
      <c r="E605" s="321"/>
      <c r="F605" s="321"/>
      <c r="G605" s="454"/>
      <c r="H605" s="454"/>
      <c r="I605" s="454"/>
      <c r="J605" s="454"/>
      <c r="K605" s="321"/>
      <c r="L605" s="321"/>
      <c r="M605" s="321"/>
      <c r="N605" s="321"/>
      <c r="O605" s="321"/>
      <c r="P605" s="321"/>
      <c r="Q605" s="321"/>
      <c r="R605" s="321"/>
      <c r="S605" s="321"/>
      <c r="T605" s="321"/>
      <c r="U605" s="321"/>
      <c r="V605" s="321"/>
      <c r="W605" s="321"/>
      <c r="X605" s="321"/>
      <c r="Y605" s="321"/>
      <c r="Z605" s="321"/>
      <c r="AA605" s="321"/>
      <c r="AB605" s="321"/>
      <c r="AC605" s="321"/>
      <c r="AD605" s="321"/>
    </row>
    <row r="606">
      <c r="A606" s="321"/>
      <c r="B606" s="321"/>
      <c r="C606" s="321"/>
      <c r="D606" s="321"/>
      <c r="E606" s="321"/>
      <c r="F606" s="321"/>
      <c r="G606" s="454"/>
      <c r="H606" s="454"/>
      <c r="I606" s="454"/>
      <c r="J606" s="454"/>
      <c r="K606" s="321"/>
      <c r="L606" s="321"/>
      <c r="M606" s="321"/>
      <c r="N606" s="321"/>
      <c r="O606" s="321"/>
      <c r="P606" s="321"/>
      <c r="Q606" s="321"/>
      <c r="R606" s="321"/>
      <c r="S606" s="321"/>
      <c r="T606" s="321"/>
      <c r="U606" s="321"/>
      <c r="V606" s="321"/>
      <c r="W606" s="321"/>
      <c r="X606" s="321"/>
      <c r="Y606" s="321"/>
      <c r="Z606" s="321"/>
      <c r="AA606" s="321"/>
      <c r="AB606" s="321"/>
      <c r="AC606" s="321"/>
      <c r="AD606" s="321"/>
    </row>
    <row r="607">
      <c r="A607" s="321"/>
      <c r="B607" s="321"/>
      <c r="C607" s="321"/>
      <c r="D607" s="321"/>
      <c r="E607" s="321"/>
      <c r="F607" s="321"/>
      <c r="G607" s="454"/>
      <c r="H607" s="454"/>
      <c r="I607" s="454"/>
      <c r="J607" s="454"/>
      <c r="K607" s="321"/>
      <c r="L607" s="321"/>
      <c r="M607" s="321"/>
      <c r="N607" s="321"/>
      <c r="O607" s="321"/>
      <c r="P607" s="321"/>
      <c r="Q607" s="321"/>
      <c r="R607" s="321"/>
      <c r="S607" s="321"/>
      <c r="T607" s="321"/>
      <c r="U607" s="321"/>
      <c r="V607" s="321"/>
      <c r="W607" s="321"/>
      <c r="X607" s="321"/>
      <c r="Y607" s="321"/>
      <c r="Z607" s="321"/>
      <c r="AA607" s="321"/>
      <c r="AB607" s="321"/>
      <c r="AC607" s="321"/>
      <c r="AD607" s="321"/>
    </row>
    <row r="608">
      <c r="A608" s="321"/>
      <c r="B608" s="321"/>
      <c r="C608" s="321"/>
      <c r="D608" s="321"/>
      <c r="E608" s="321"/>
      <c r="F608" s="321"/>
      <c r="G608" s="454"/>
      <c r="H608" s="454"/>
      <c r="I608" s="454"/>
      <c r="J608" s="454"/>
      <c r="K608" s="321"/>
      <c r="L608" s="321"/>
      <c r="M608" s="321"/>
      <c r="N608" s="321"/>
      <c r="O608" s="321"/>
      <c r="P608" s="321"/>
      <c r="Q608" s="321"/>
      <c r="R608" s="321"/>
      <c r="S608" s="321"/>
      <c r="T608" s="321"/>
      <c r="U608" s="321"/>
      <c r="V608" s="321"/>
      <c r="W608" s="321"/>
      <c r="X608" s="321"/>
      <c r="Y608" s="321"/>
      <c r="Z608" s="321"/>
      <c r="AA608" s="321"/>
      <c r="AB608" s="321"/>
      <c r="AC608" s="321"/>
      <c r="AD608" s="321"/>
    </row>
    <row r="609">
      <c r="A609" s="321"/>
      <c r="B609" s="321"/>
      <c r="C609" s="321"/>
      <c r="D609" s="321"/>
      <c r="E609" s="321"/>
      <c r="F609" s="321"/>
      <c r="G609" s="454"/>
      <c r="H609" s="454"/>
      <c r="I609" s="454"/>
      <c r="J609" s="454"/>
      <c r="K609" s="321"/>
      <c r="L609" s="321"/>
      <c r="M609" s="321"/>
      <c r="N609" s="321"/>
      <c r="O609" s="321"/>
      <c r="P609" s="321"/>
      <c r="Q609" s="321"/>
      <c r="R609" s="321"/>
      <c r="S609" s="321"/>
      <c r="T609" s="321"/>
      <c r="U609" s="321"/>
      <c r="V609" s="321"/>
      <c r="W609" s="321"/>
      <c r="X609" s="321"/>
      <c r="Y609" s="321"/>
      <c r="Z609" s="321"/>
      <c r="AA609" s="321"/>
      <c r="AB609" s="321"/>
      <c r="AC609" s="321"/>
      <c r="AD609" s="321"/>
    </row>
    <row r="610">
      <c r="A610" s="321"/>
      <c r="B610" s="321"/>
      <c r="C610" s="321"/>
      <c r="D610" s="321"/>
      <c r="E610" s="321"/>
      <c r="F610" s="321"/>
      <c r="G610" s="454"/>
      <c r="H610" s="454"/>
      <c r="I610" s="454"/>
      <c r="J610" s="454"/>
      <c r="K610" s="321"/>
      <c r="L610" s="321"/>
      <c r="M610" s="321"/>
      <c r="N610" s="321"/>
      <c r="O610" s="321"/>
      <c r="P610" s="321"/>
      <c r="Q610" s="321"/>
      <c r="R610" s="321"/>
      <c r="S610" s="321"/>
      <c r="T610" s="321"/>
      <c r="U610" s="321"/>
      <c r="V610" s="321"/>
      <c r="W610" s="321"/>
      <c r="X610" s="321"/>
      <c r="Y610" s="321"/>
      <c r="Z610" s="321"/>
      <c r="AA610" s="321"/>
      <c r="AB610" s="321"/>
      <c r="AC610" s="321"/>
      <c r="AD610" s="321"/>
    </row>
    <row r="611">
      <c r="A611" s="321"/>
      <c r="B611" s="321"/>
      <c r="C611" s="321"/>
      <c r="D611" s="321"/>
      <c r="E611" s="321"/>
      <c r="F611" s="321"/>
      <c r="G611" s="454"/>
      <c r="H611" s="454"/>
      <c r="I611" s="454"/>
      <c r="J611" s="454"/>
      <c r="K611" s="321"/>
      <c r="L611" s="321"/>
      <c r="M611" s="321"/>
      <c r="N611" s="321"/>
      <c r="O611" s="321"/>
      <c r="P611" s="321"/>
      <c r="Q611" s="321"/>
      <c r="R611" s="321"/>
      <c r="S611" s="321"/>
      <c r="T611" s="321"/>
      <c r="U611" s="321"/>
      <c r="V611" s="321"/>
      <c r="W611" s="321"/>
      <c r="X611" s="321"/>
      <c r="Y611" s="321"/>
      <c r="Z611" s="321"/>
      <c r="AA611" s="321"/>
      <c r="AB611" s="321"/>
      <c r="AC611" s="321"/>
      <c r="AD611" s="321"/>
    </row>
    <row r="612">
      <c r="A612" s="321"/>
      <c r="B612" s="321"/>
      <c r="C612" s="321"/>
      <c r="D612" s="321"/>
      <c r="E612" s="321"/>
      <c r="F612" s="321"/>
      <c r="G612" s="454"/>
      <c r="H612" s="454"/>
      <c r="I612" s="454"/>
      <c r="J612" s="454"/>
      <c r="K612" s="321"/>
      <c r="L612" s="321"/>
      <c r="M612" s="321"/>
      <c r="N612" s="321"/>
      <c r="O612" s="321"/>
      <c r="P612" s="321"/>
      <c r="Q612" s="321"/>
      <c r="R612" s="321"/>
      <c r="S612" s="321"/>
      <c r="T612" s="321"/>
      <c r="U612" s="321"/>
      <c r="V612" s="321"/>
      <c r="W612" s="321"/>
      <c r="X612" s="321"/>
      <c r="Y612" s="321"/>
      <c r="Z612" s="321"/>
      <c r="AA612" s="321"/>
      <c r="AB612" s="321"/>
      <c r="AC612" s="321"/>
      <c r="AD612" s="321"/>
    </row>
    <row r="613">
      <c r="A613" s="321"/>
      <c r="B613" s="321"/>
      <c r="C613" s="321"/>
      <c r="D613" s="321"/>
      <c r="E613" s="321"/>
      <c r="F613" s="321"/>
      <c r="G613" s="454"/>
      <c r="H613" s="454"/>
      <c r="I613" s="454"/>
      <c r="J613" s="454"/>
      <c r="K613" s="321"/>
      <c r="L613" s="321"/>
      <c r="M613" s="321"/>
      <c r="N613" s="321"/>
      <c r="O613" s="321"/>
      <c r="P613" s="321"/>
      <c r="Q613" s="321"/>
      <c r="R613" s="321"/>
      <c r="S613" s="321"/>
      <c r="T613" s="321"/>
      <c r="U613" s="321"/>
      <c r="V613" s="321"/>
      <c r="W613" s="321"/>
      <c r="X613" s="321"/>
      <c r="Y613" s="321"/>
      <c r="Z613" s="321"/>
      <c r="AA613" s="321"/>
      <c r="AB613" s="321"/>
      <c r="AC613" s="321"/>
      <c r="AD613" s="321"/>
    </row>
    <row r="614">
      <c r="A614" s="321"/>
      <c r="B614" s="321"/>
      <c r="C614" s="321"/>
      <c r="D614" s="321"/>
      <c r="E614" s="321"/>
      <c r="F614" s="321"/>
      <c r="G614" s="454"/>
      <c r="H614" s="454"/>
      <c r="I614" s="454"/>
      <c r="J614" s="454"/>
      <c r="K614" s="321"/>
      <c r="L614" s="321"/>
      <c r="M614" s="321"/>
      <c r="N614" s="321"/>
      <c r="O614" s="321"/>
      <c r="P614" s="321"/>
      <c r="Q614" s="321"/>
      <c r="R614" s="321"/>
      <c r="S614" s="321"/>
      <c r="T614" s="321"/>
      <c r="U614" s="321"/>
      <c r="V614" s="321"/>
      <c r="W614" s="321"/>
      <c r="X614" s="321"/>
      <c r="Y614" s="321"/>
      <c r="Z614" s="321"/>
      <c r="AA614" s="321"/>
      <c r="AB614" s="321"/>
      <c r="AC614" s="321"/>
      <c r="AD614" s="321"/>
    </row>
    <row r="615">
      <c r="A615" s="321"/>
      <c r="B615" s="321"/>
      <c r="C615" s="321"/>
      <c r="D615" s="321"/>
      <c r="E615" s="321"/>
      <c r="F615" s="321"/>
      <c r="G615" s="454"/>
      <c r="H615" s="454"/>
      <c r="I615" s="454"/>
      <c r="J615" s="454"/>
      <c r="K615" s="321"/>
      <c r="L615" s="321"/>
      <c r="M615" s="321"/>
      <c r="N615" s="321"/>
      <c r="O615" s="321"/>
      <c r="P615" s="321"/>
      <c r="Q615" s="321"/>
      <c r="R615" s="321"/>
      <c r="S615" s="321"/>
      <c r="T615" s="321"/>
      <c r="U615" s="321"/>
      <c r="V615" s="321"/>
      <c r="W615" s="321"/>
      <c r="X615" s="321"/>
      <c r="Y615" s="321"/>
      <c r="Z615" s="321"/>
      <c r="AA615" s="321"/>
      <c r="AB615" s="321"/>
      <c r="AC615" s="321"/>
      <c r="AD615" s="321"/>
    </row>
    <row r="616">
      <c r="A616" s="321"/>
      <c r="B616" s="321"/>
      <c r="C616" s="321"/>
      <c r="D616" s="321"/>
      <c r="E616" s="321"/>
      <c r="F616" s="321"/>
      <c r="G616" s="454"/>
      <c r="H616" s="454"/>
      <c r="I616" s="454"/>
      <c r="J616" s="454"/>
      <c r="K616" s="321"/>
      <c r="L616" s="321"/>
      <c r="M616" s="321"/>
      <c r="N616" s="321"/>
      <c r="O616" s="321"/>
      <c r="P616" s="321"/>
      <c r="Q616" s="321"/>
      <c r="R616" s="321"/>
      <c r="S616" s="321"/>
      <c r="T616" s="321"/>
      <c r="U616" s="321"/>
      <c r="V616" s="321"/>
      <c r="W616" s="321"/>
      <c r="X616" s="321"/>
      <c r="Y616" s="321"/>
      <c r="Z616" s="321"/>
      <c r="AA616" s="321"/>
      <c r="AB616" s="321"/>
      <c r="AC616" s="321"/>
      <c r="AD616" s="321"/>
    </row>
    <row r="617">
      <c r="A617" s="321"/>
      <c r="B617" s="321"/>
      <c r="C617" s="321"/>
      <c r="D617" s="321"/>
      <c r="E617" s="321"/>
      <c r="F617" s="321"/>
      <c r="G617" s="454"/>
      <c r="H617" s="454"/>
      <c r="I617" s="454"/>
      <c r="J617" s="454"/>
      <c r="K617" s="321"/>
      <c r="L617" s="321"/>
      <c r="M617" s="321"/>
      <c r="N617" s="321"/>
      <c r="O617" s="321"/>
      <c r="P617" s="321"/>
      <c r="Q617" s="321"/>
      <c r="R617" s="321"/>
      <c r="S617" s="321"/>
      <c r="T617" s="321"/>
      <c r="U617" s="321"/>
      <c r="V617" s="321"/>
      <c r="W617" s="321"/>
      <c r="X617" s="321"/>
      <c r="Y617" s="321"/>
      <c r="Z617" s="321"/>
      <c r="AA617" s="321"/>
      <c r="AB617" s="321"/>
      <c r="AC617" s="321"/>
      <c r="AD617" s="321"/>
    </row>
    <row r="618">
      <c r="A618" s="321"/>
      <c r="B618" s="321"/>
      <c r="C618" s="321"/>
      <c r="D618" s="321"/>
      <c r="E618" s="321"/>
      <c r="F618" s="321"/>
      <c r="G618" s="454"/>
      <c r="H618" s="454"/>
      <c r="I618" s="454"/>
      <c r="J618" s="454"/>
      <c r="K618" s="321"/>
      <c r="L618" s="321"/>
      <c r="M618" s="321"/>
      <c r="N618" s="321"/>
      <c r="O618" s="321"/>
      <c r="P618" s="321"/>
      <c r="Q618" s="321"/>
      <c r="R618" s="321"/>
      <c r="S618" s="321"/>
      <c r="T618" s="321"/>
      <c r="U618" s="321"/>
      <c r="V618" s="321"/>
      <c r="W618" s="321"/>
      <c r="X618" s="321"/>
      <c r="Y618" s="321"/>
      <c r="Z618" s="321"/>
      <c r="AA618" s="321"/>
      <c r="AB618" s="321"/>
      <c r="AC618" s="321"/>
      <c r="AD618" s="321"/>
    </row>
    <row r="619">
      <c r="A619" s="321"/>
      <c r="B619" s="321"/>
      <c r="C619" s="321"/>
      <c r="D619" s="321"/>
      <c r="E619" s="321"/>
      <c r="F619" s="321"/>
      <c r="G619" s="454"/>
      <c r="H619" s="454"/>
      <c r="I619" s="454"/>
      <c r="J619" s="454"/>
      <c r="K619" s="321"/>
      <c r="L619" s="321"/>
      <c r="M619" s="321"/>
      <c r="N619" s="321"/>
      <c r="O619" s="321"/>
      <c r="P619" s="321"/>
      <c r="Q619" s="321"/>
      <c r="R619" s="321"/>
      <c r="S619" s="321"/>
      <c r="T619" s="321"/>
      <c r="U619" s="321"/>
      <c r="V619" s="321"/>
      <c r="W619" s="321"/>
      <c r="X619" s="321"/>
      <c r="Y619" s="321"/>
      <c r="Z619" s="321"/>
      <c r="AA619" s="321"/>
      <c r="AB619" s="321"/>
      <c r="AC619" s="321"/>
      <c r="AD619" s="321"/>
    </row>
    <row r="620">
      <c r="A620" s="321"/>
      <c r="B620" s="321"/>
      <c r="C620" s="321"/>
      <c r="D620" s="321"/>
      <c r="E620" s="321"/>
      <c r="F620" s="321"/>
      <c r="G620" s="454"/>
      <c r="H620" s="454"/>
      <c r="I620" s="454"/>
      <c r="J620" s="454"/>
      <c r="K620" s="321"/>
      <c r="L620" s="321"/>
      <c r="M620" s="321"/>
      <c r="N620" s="321"/>
      <c r="O620" s="321"/>
      <c r="P620" s="321"/>
      <c r="Q620" s="321"/>
      <c r="R620" s="321"/>
      <c r="S620" s="321"/>
      <c r="T620" s="321"/>
      <c r="U620" s="321"/>
      <c r="V620" s="321"/>
      <c r="W620" s="321"/>
      <c r="X620" s="321"/>
      <c r="Y620" s="321"/>
      <c r="Z620" s="321"/>
      <c r="AA620" s="321"/>
      <c r="AB620" s="321"/>
      <c r="AC620" s="321"/>
      <c r="AD620" s="321"/>
    </row>
    <row r="621">
      <c r="A621" s="321"/>
      <c r="B621" s="321"/>
      <c r="C621" s="321"/>
      <c r="D621" s="321"/>
      <c r="E621" s="321"/>
      <c r="F621" s="321"/>
      <c r="G621" s="454"/>
      <c r="H621" s="454"/>
      <c r="I621" s="454"/>
      <c r="J621" s="454"/>
      <c r="K621" s="321"/>
      <c r="L621" s="321"/>
      <c r="M621" s="321"/>
      <c r="N621" s="321"/>
      <c r="O621" s="321"/>
      <c r="P621" s="321"/>
      <c r="Q621" s="321"/>
      <c r="R621" s="321"/>
      <c r="S621" s="321"/>
      <c r="T621" s="321"/>
      <c r="U621" s="321"/>
      <c r="V621" s="321"/>
      <c r="W621" s="321"/>
      <c r="X621" s="321"/>
      <c r="Y621" s="321"/>
      <c r="Z621" s="321"/>
      <c r="AA621" s="321"/>
      <c r="AB621" s="321"/>
      <c r="AC621" s="321"/>
      <c r="AD621" s="321"/>
    </row>
    <row r="622">
      <c r="A622" s="321"/>
      <c r="B622" s="321"/>
      <c r="C622" s="321"/>
      <c r="D622" s="321"/>
      <c r="E622" s="321"/>
      <c r="F622" s="321"/>
      <c r="G622" s="454"/>
      <c r="H622" s="454"/>
      <c r="I622" s="454"/>
      <c r="J622" s="454"/>
      <c r="K622" s="321"/>
      <c r="L622" s="321"/>
      <c r="M622" s="321"/>
      <c r="N622" s="321"/>
      <c r="O622" s="321"/>
      <c r="P622" s="321"/>
      <c r="Q622" s="321"/>
      <c r="R622" s="321"/>
      <c r="S622" s="321"/>
      <c r="T622" s="321"/>
      <c r="U622" s="321"/>
      <c r="V622" s="321"/>
      <c r="W622" s="321"/>
      <c r="X622" s="321"/>
      <c r="Y622" s="321"/>
      <c r="Z622" s="321"/>
      <c r="AA622" s="321"/>
      <c r="AB622" s="321"/>
      <c r="AC622" s="321"/>
      <c r="AD622" s="321"/>
    </row>
    <row r="623">
      <c r="A623" s="321"/>
      <c r="B623" s="321"/>
      <c r="C623" s="321"/>
      <c r="D623" s="321"/>
      <c r="E623" s="321"/>
      <c r="F623" s="321"/>
      <c r="G623" s="454"/>
      <c r="H623" s="454"/>
      <c r="I623" s="454"/>
      <c r="J623" s="454"/>
      <c r="K623" s="321"/>
      <c r="L623" s="321"/>
      <c r="M623" s="321"/>
      <c r="N623" s="321"/>
      <c r="O623" s="321"/>
      <c r="P623" s="321"/>
      <c r="Q623" s="321"/>
      <c r="R623" s="321"/>
      <c r="S623" s="321"/>
      <c r="T623" s="321"/>
      <c r="U623" s="321"/>
      <c r="V623" s="321"/>
      <c r="W623" s="321"/>
      <c r="X623" s="321"/>
      <c r="Y623" s="321"/>
      <c r="Z623" s="321"/>
      <c r="AA623" s="321"/>
      <c r="AB623" s="321"/>
      <c r="AC623" s="321"/>
      <c r="AD623" s="321"/>
    </row>
    <row r="624">
      <c r="A624" s="321"/>
      <c r="B624" s="321"/>
      <c r="C624" s="321"/>
      <c r="D624" s="321"/>
      <c r="E624" s="321"/>
      <c r="F624" s="321"/>
      <c r="G624" s="454"/>
      <c r="H624" s="454"/>
      <c r="I624" s="454"/>
      <c r="J624" s="454"/>
      <c r="K624" s="321"/>
      <c r="L624" s="321"/>
      <c r="M624" s="321"/>
      <c r="N624" s="321"/>
      <c r="O624" s="321"/>
      <c r="P624" s="321"/>
      <c r="Q624" s="321"/>
      <c r="R624" s="321"/>
      <c r="S624" s="321"/>
      <c r="T624" s="321"/>
      <c r="U624" s="321"/>
      <c r="V624" s="321"/>
      <c r="W624" s="321"/>
      <c r="X624" s="321"/>
      <c r="Y624" s="321"/>
      <c r="Z624" s="321"/>
      <c r="AA624" s="321"/>
      <c r="AB624" s="321"/>
      <c r="AC624" s="321"/>
      <c r="AD624" s="321"/>
    </row>
    <row r="625">
      <c r="A625" s="321"/>
      <c r="B625" s="321"/>
      <c r="C625" s="321"/>
      <c r="D625" s="321"/>
      <c r="E625" s="321"/>
      <c r="F625" s="321"/>
      <c r="G625" s="454"/>
      <c r="H625" s="454"/>
      <c r="I625" s="454"/>
      <c r="J625" s="454"/>
      <c r="K625" s="321"/>
      <c r="L625" s="321"/>
      <c r="M625" s="321"/>
      <c r="N625" s="321"/>
      <c r="O625" s="321"/>
      <c r="P625" s="321"/>
      <c r="Q625" s="321"/>
      <c r="R625" s="321"/>
      <c r="S625" s="321"/>
      <c r="T625" s="321"/>
      <c r="U625" s="321"/>
      <c r="V625" s="321"/>
      <c r="W625" s="321"/>
      <c r="X625" s="321"/>
      <c r="Y625" s="321"/>
      <c r="Z625" s="321"/>
      <c r="AA625" s="321"/>
      <c r="AB625" s="321"/>
      <c r="AC625" s="321"/>
      <c r="AD625" s="321"/>
    </row>
    <row r="626">
      <c r="A626" s="321"/>
      <c r="B626" s="321"/>
      <c r="C626" s="321"/>
      <c r="D626" s="321"/>
      <c r="E626" s="321"/>
      <c r="F626" s="321"/>
      <c r="G626" s="454"/>
      <c r="H626" s="454"/>
      <c r="I626" s="454"/>
      <c r="J626" s="454"/>
      <c r="K626" s="321"/>
      <c r="L626" s="321"/>
      <c r="M626" s="321"/>
      <c r="N626" s="321"/>
      <c r="O626" s="321"/>
      <c r="P626" s="321"/>
      <c r="Q626" s="321"/>
      <c r="R626" s="321"/>
      <c r="S626" s="321"/>
      <c r="T626" s="321"/>
      <c r="U626" s="321"/>
      <c r="V626" s="321"/>
      <c r="W626" s="321"/>
      <c r="X626" s="321"/>
      <c r="Y626" s="321"/>
      <c r="Z626" s="321"/>
      <c r="AA626" s="321"/>
      <c r="AB626" s="321"/>
      <c r="AC626" s="321"/>
      <c r="AD626" s="321"/>
    </row>
    <row r="627">
      <c r="A627" s="321"/>
      <c r="B627" s="321"/>
      <c r="C627" s="321"/>
      <c r="D627" s="321"/>
      <c r="E627" s="321"/>
      <c r="F627" s="321"/>
      <c r="G627" s="454"/>
      <c r="H627" s="454"/>
      <c r="I627" s="454"/>
      <c r="J627" s="454"/>
      <c r="K627" s="321"/>
      <c r="L627" s="321"/>
      <c r="M627" s="321"/>
      <c r="N627" s="321"/>
      <c r="O627" s="321"/>
      <c r="P627" s="321"/>
      <c r="Q627" s="321"/>
      <c r="R627" s="321"/>
      <c r="S627" s="321"/>
      <c r="T627" s="321"/>
      <c r="U627" s="321"/>
      <c r="V627" s="321"/>
      <c r="W627" s="321"/>
      <c r="X627" s="321"/>
      <c r="Y627" s="321"/>
      <c r="Z627" s="321"/>
      <c r="AA627" s="321"/>
      <c r="AB627" s="321"/>
      <c r="AC627" s="321"/>
      <c r="AD627" s="321"/>
    </row>
    <row r="628">
      <c r="A628" s="321"/>
      <c r="B628" s="321"/>
      <c r="C628" s="321"/>
      <c r="D628" s="321"/>
      <c r="E628" s="321"/>
      <c r="F628" s="321"/>
      <c r="G628" s="454"/>
      <c r="H628" s="454"/>
      <c r="I628" s="454"/>
      <c r="J628" s="454"/>
      <c r="K628" s="321"/>
      <c r="L628" s="321"/>
      <c r="M628" s="321"/>
      <c r="N628" s="321"/>
      <c r="O628" s="321"/>
      <c r="P628" s="321"/>
      <c r="Q628" s="321"/>
      <c r="R628" s="321"/>
      <c r="S628" s="321"/>
      <c r="T628" s="321"/>
      <c r="U628" s="321"/>
      <c r="V628" s="321"/>
      <c r="W628" s="321"/>
      <c r="X628" s="321"/>
      <c r="Y628" s="321"/>
      <c r="Z628" s="321"/>
      <c r="AA628" s="321"/>
      <c r="AB628" s="321"/>
      <c r="AC628" s="321"/>
      <c r="AD628" s="321"/>
    </row>
    <row r="629">
      <c r="A629" s="321"/>
      <c r="B629" s="321"/>
      <c r="C629" s="321"/>
      <c r="D629" s="321"/>
      <c r="E629" s="321"/>
      <c r="F629" s="321"/>
      <c r="G629" s="454"/>
      <c r="H629" s="454"/>
      <c r="I629" s="454"/>
      <c r="J629" s="454"/>
      <c r="K629" s="321"/>
      <c r="L629" s="321"/>
      <c r="M629" s="321"/>
      <c r="N629" s="321"/>
      <c r="O629" s="321"/>
      <c r="P629" s="321"/>
      <c r="Q629" s="321"/>
      <c r="R629" s="321"/>
      <c r="S629" s="321"/>
      <c r="T629" s="321"/>
      <c r="U629" s="321"/>
      <c r="V629" s="321"/>
      <c r="W629" s="321"/>
      <c r="X629" s="321"/>
      <c r="Y629" s="321"/>
      <c r="Z629" s="321"/>
      <c r="AA629" s="321"/>
      <c r="AB629" s="321"/>
      <c r="AC629" s="321"/>
      <c r="AD629" s="321"/>
    </row>
    <row r="630">
      <c r="A630" s="321"/>
      <c r="B630" s="321"/>
      <c r="C630" s="321"/>
      <c r="D630" s="321"/>
      <c r="E630" s="321"/>
      <c r="F630" s="321"/>
      <c r="G630" s="454"/>
      <c r="H630" s="454"/>
      <c r="I630" s="454"/>
      <c r="J630" s="454"/>
      <c r="K630" s="321"/>
      <c r="L630" s="321"/>
      <c r="M630" s="321"/>
      <c r="N630" s="321"/>
      <c r="O630" s="321"/>
      <c r="P630" s="321"/>
      <c r="Q630" s="321"/>
      <c r="R630" s="321"/>
      <c r="S630" s="321"/>
      <c r="T630" s="321"/>
      <c r="U630" s="321"/>
      <c r="V630" s="321"/>
      <c r="W630" s="321"/>
      <c r="X630" s="321"/>
      <c r="Y630" s="321"/>
      <c r="Z630" s="321"/>
      <c r="AA630" s="321"/>
      <c r="AB630" s="321"/>
      <c r="AC630" s="321"/>
      <c r="AD630" s="321"/>
    </row>
    <row r="631">
      <c r="A631" s="321"/>
      <c r="B631" s="321"/>
      <c r="C631" s="321"/>
      <c r="D631" s="321"/>
      <c r="E631" s="321"/>
      <c r="F631" s="321"/>
      <c r="G631" s="454"/>
      <c r="H631" s="454"/>
      <c r="I631" s="454"/>
      <c r="J631" s="454"/>
      <c r="K631" s="321"/>
      <c r="L631" s="321"/>
      <c r="M631" s="321"/>
      <c r="N631" s="321"/>
      <c r="O631" s="321"/>
      <c r="P631" s="321"/>
      <c r="Q631" s="321"/>
      <c r="R631" s="321"/>
      <c r="S631" s="321"/>
      <c r="T631" s="321"/>
      <c r="U631" s="321"/>
      <c r="V631" s="321"/>
      <c r="W631" s="321"/>
      <c r="X631" s="321"/>
      <c r="Y631" s="321"/>
      <c r="Z631" s="321"/>
      <c r="AA631" s="321"/>
      <c r="AB631" s="321"/>
      <c r="AC631" s="321"/>
      <c r="AD631" s="321"/>
    </row>
    <row r="632">
      <c r="A632" s="321"/>
      <c r="B632" s="321"/>
      <c r="C632" s="321"/>
      <c r="D632" s="321"/>
      <c r="E632" s="321"/>
      <c r="F632" s="321"/>
      <c r="G632" s="454"/>
      <c r="H632" s="454"/>
      <c r="I632" s="454"/>
      <c r="J632" s="454"/>
      <c r="K632" s="321"/>
      <c r="L632" s="321"/>
      <c r="M632" s="321"/>
      <c r="N632" s="321"/>
      <c r="O632" s="321"/>
      <c r="P632" s="321"/>
      <c r="Q632" s="321"/>
      <c r="R632" s="321"/>
      <c r="S632" s="321"/>
      <c r="T632" s="321"/>
      <c r="U632" s="321"/>
      <c r="V632" s="321"/>
      <c r="W632" s="321"/>
      <c r="X632" s="321"/>
      <c r="Y632" s="321"/>
      <c r="Z632" s="321"/>
      <c r="AA632" s="321"/>
      <c r="AB632" s="321"/>
      <c r="AC632" s="321"/>
      <c r="AD632" s="321"/>
    </row>
    <row r="633">
      <c r="A633" s="321"/>
      <c r="B633" s="321"/>
      <c r="C633" s="321"/>
      <c r="D633" s="321"/>
      <c r="E633" s="321"/>
      <c r="F633" s="321"/>
      <c r="G633" s="454"/>
      <c r="H633" s="454"/>
      <c r="I633" s="454"/>
      <c r="J633" s="454"/>
      <c r="K633" s="321"/>
      <c r="L633" s="321"/>
      <c r="M633" s="321"/>
      <c r="N633" s="321"/>
      <c r="O633" s="321"/>
      <c r="P633" s="321"/>
      <c r="Q633" s="321"/>
      <c r="R633" s="321"/>
      <c r="S633" s="321"/>
      <c r="T633" s="321"/>
      <c r="U633" s="321"/>
      <c r="V633" s="321"/>
      <c r="W633" s="321"/>
      <c r="X633" s="321"/>
      <c r="Y633" s="321"/>
      <c r="Z633" s="321"/>
      <c r="AA633" s="321"/>
      <c r="AB633" s="321"/>
      <c r="AC633" s="321"/>
      <c r="AD633" s="321"/>
    </row>
    <row r="634">
      <c r="A634" s="321"/>
      <c r="B634" s="321"/>
      <c r="C634" s="321"/>
      <c r="D634" s="321"/>
      <c r="E634" s="321"/>
      <c r="F634" s="321"/>
      <c r="G634" s="454"/>
      <c r="H634" s="454"/>
      <c r="I634" s="454"/>
      <c r="J634" s="454"/>
      <c r="K634" s="321"/>
      <c r="L634" s="321"/>
      <c r="M634" s="321"/>
      <c r="N634" s="321"/>
      <c r="O634" s="321"/>
      <c r="P634" s="321"/>
      <c r="Q634" s="321"/>
      <c r="R634" s="321"/>
      <c r="S634" s="321"/>
      <c r="T634" s="321"/>
      <c r="U634" s="321"/>
      <c r="V634" s="321"/>
      <c r="W634" s="321"/>
      <c r="X634" s="321"/>
      <c r="Y634" s="321"/>
      <c r="Z634" s="321"/>
      <c r="AA634" s="321"/>
      <c r="AB634" s="321"/>
      <c r="AC634" s="321"/>
      <c r="AD634" s="321"/>
    </row>
    <row r="635">
      <c r="A635" s="321"/>
      <c r="B635" s="321"/>
      <c r="C635" s="321"/>
      <c r="D635" s="321"/>
      <c r="E635" s="321"/>
      <c r="F635" s="321"/>
      <c r="G635" s="454"/>
      <c r="H635" s="454"/>
      <c r="I635" s="454"/>
      <c r="J635" s="454"/>
      <c r="K635" s="321"/>
      <c r="L635" s="321"/>
      <c r="M635" s="321"/>
      <c r="N635" s="321"/>
      <c r="O635" s="321"/>
      <c r="P635" s="321"/>
      <c r="Q635" s="321"/>
      <c r="R635" s="321"/>
      <c r="S635" s="321"/>
      <c r="T635" s="321"/>
      <c r="U635" s="321"/>
      <c r="V635" s="321"/>
      <c r="W635" s="321"/>
      <c r="X635" s="321"/>
      <c r="Y635" s="321"/>
      <c r="Z635" s="321"/>
      <c r="AA635" s="321"/>
      <c r="AB635" s="321"/>
      <c r="AC635" s="321"/>
      <c r="AD635" s="321"/>
    </row>
    <row r="636">
      <c r="A636" s="321"/>
      <c r="B636" s="321"/>
      <c r="C636" s="321"/>
      <c r="D636" s="321"/>
      <c r="E636" s="321"/>
      <c r="F636" s="321"/>
      <c r="G636" s="454"/>
      <c r="H636" s="454"/>
      <c r="I636" s="454"/>
      <c r="J636" s="454"/>
      <c r="K636" s="321"/>
      <c r="L636" s="321"/>
      <c r="M636" s="321"/>
      <c r="N636" s="321"/>
      <c r="O636" s="321"/>
      <c r="P636" s="321"/>
      <c r="Q636" s="321"/>
      <c r="R636" s="321"/>
      <c r="S636" s="321"/>
      <c r="T636" s="321"/>
      <c r="U636" s="321"/>
      <c r="V636" s="321"/>
      <c r="W636" s="321"/>
      <c r="X636" s="321"/>
      <c r="Y636" s="321"/>
      <c r="Z636" s="321"/>
      <c r="AA636" s="321"/>
      <c r="AB636" s="321"/>
      <c r="AC636" s="321"/>
      <c r="AD636" s="321"/>
    </row>
    <row r="637">
      <c r="A637" s="321"/>
      <c r="B637" s="321"/>
      <c r="C637" s="321"/>
      <c r="D637" s="321"/>
      <c r="E637" s="321"/>
      <c r="F637" s="321"/>
      <c r="G637" s="454"/>
      <c r="H637" s="454"/>
      <c r="I637" s="454"/>
      <c r="J637" s="454"/>
      <c r="K637" s="321"/>
      <c r="L637" s="321"/>
      <c r="M637" s="321"/>
      <c r="N637" s="321"/>
      <c r="O637" s="321"/>
      <c r="P637" s="321"/>
      <c r="Q637" s="321"/>
      <c r="R637" s="321"/>
      <c r="S637" s="321"/>
      <c r="T637" s="321"/>
      <c r="U637" s="321"/>
      <c r="V637" s="321"/>
      <c r="W637" s="321"/>
      <c r="X637" s="321"/>
      <c r="Y637" s="321"/>
      <c r="Z637" s="321"/>
      <c r="AA637" s="321"/>
      <c r="AB637" s="321"/>
      <c r="AC637" s="321"/>
      <c r="AD637" s="321"/>
    </row>
    <row r="638">
      <c r="A638" s="321"/>
      <c r="B638" s="321"/>
      <c r="C638" s="321"/>
      <c r="D638" s="321"/>
      <c r="E638" s="321"/>
      <c r="F638" s="321"/>
      <c r="G638" s="454"/>
      <c r="H638" s="454"/>
      <c r="I638" s="454"/>
      <c r="J638" s="454"/>
      <c r="K638" s="321"/>
      <c r="L638" s="321"/>
      <c r="M638" s="321"/>
      <c r="N638" s="321"/>
      <c r="O638" s="321"/>
      <c r="P638" s="321"/>
      <c r="Q638" s="321"/>
      <c r="R638" s="321"/>
      <c r="S638" s="321"/>
      <c r="T638" s="321"/>
      <c r="U638" s="321"/>
      <c r="V638" s="321"/>
      <c r="W638" s="321"/>
      <c r="X638" s="321"/>
      <c r="Y638" s="321"/>
      <c r="Z638" s="321"/>
      <c r="AA638" s="321"/>
      <c r="AB638" s="321"/>
      <c r="AC638" s="321"/>
      <c r="AD638" s="321"/>
    </row>
    <row r="639">
      <c r="A639" s="321"/>
      <c r="B639" s="321"/>
      <c r="C639" s="321"/>
      <c r="D639" s="321"/>
      <c r="E639" s="321"/>
      <c r="F639" s="321"/>
      <c r="G639" s="454"/>
      <c r="H639" s="454"/>
      <c r="I639" s="454"/>
      <c r="J639" s="454"/>
      <c r="K639" s="321"/>
      <c r="L639" s="321"/>
      <c r="M639" s="321"/>
      <c r="N639" s="321"/>
      <c r="O639" s="321"/>
      <c r="P639" s="321"/>
      <c r="Q639" s="321"/>
      <c r="R639" s="321"/>
      <c r="S639" s="321"/>
      <c r="T639" s="321"/>
      <c r="U639" s="321"/>
      <c r="V639" s="321"/>
      <c r="W639" s="321"/>
      <c r="X639" s="321"/>
      <c r="Y639" s="321"/>
      <c r="Z639" s="321"/>
      <c r="AA639" s="321"/>
      <c r="AB639" s="321"/>
      <c r="AC639" s="321"/>
      <c r="AD639" s="321"/>
    </row>
    <row r="640">
      <c r="A640" s="321"/>
      <c r="B640" s="321"/>
      <c r="C640" s="321"/>
      <c r="D640" s="321"/>
      <c r="E640" s="321"/>
      <c r="F640" s="321"/>
      <c r="G640" s="454"/>
      <c r="H640" s="454"/>
      <c r="I640" s="454"/>
      <c r="J640" s="454"/>
      <c r="K640" s="321"/>
      <c r="L640" s="321"/>
      <c r="M640" s="321"/>
      <c r="N640" s="321"/>
      <c r="O640" s="321"/>
      <c r="P640" s="321"/>
      <c r="Q640" s="321"/>
      <c r="R640" s="321"/>
      <c r="S640" s="321"/>
      <c r="T640" s="321"/>
      <c r="U640" s="321"/>
      <c r="V640" s="321"/>
      <c r="W640" s="321"/>
      <c r="X640" s="321"/>
      <c r="Y640" s="321"/>
      <c r="Z640" s="321"/>
      <c r="AA640" s="321"/>
      <c r="AB640" s="321"/>
      <c r="AC640" s="321"/>
      <c r="AD640" s="321"/>
    </row>
    <row r="641">
      <c r="A641" s="321"/>
      <c r="B641" s="321"/>
      <c r="C641" s="321"/>
      <c r="D641" s="321"/>
      <c r="E641" s="321"/>
      <c r="F641" s="321"/>
      <c r="G641" s="454"/>
      <c r="H641" s="454"/>
      <c r="I641" s="454"/>
      <c r="J641" s="454"/>
      <c r="K641" s="321"/>
      <c r="L641" s="321"/>
      <c r="M641" s="321"/>
      <c r="N641" s="321"/>
      <c r="O641" s="321"/>
      <c r="P641" s="321"/>
      <c r="Q641" s="321"/>
      <c r="R641" s="321"/>
      <c r="S641" s="321"/>
      <c r="T641" s="321"/>
      <c r="U641" s="321"/>
      <c r="V641" s="321"/>
      <c r="W641" s="321"/>
      <c r="X641" s="321"/>
      <c r="Y641" s="321"/>
      <c r="Z641" s="321"/>
      <c r="AA641" s="321"/>
      <c r="AB641" s="321"/>
      <c r="AC641" s="321"/>
      <c r="AD641" s="321"/>
    </row>
    <row r="642">
      <c r="A642" s="321"/>
      <c r="B642" s="321"/>
      <c r="C642" s="321"/>
      <c r="D642" s="321"/>
      <c r="E642" s="321"/>
      <c r="F642" s="321"/>
      <c r="G642" s="454"/>
      <c r="H642" s="454"/>
      <c r="I642" s="454"/>
      <c r="J642" s="454"/>
      <c r="K642" s="321"/>
      <c r="L642" s="321"/>
      <c r="M642" s="321"/>
      <c r="N642" s="321"/>
      <c r="O642" s="321"/>
      <c r="P642" s="321"/>
      <c r="Q642" s="321"/>
      <c r="R642" s="321"/>
      <c r="S642" s="321"/>
      <c r="T642" s="321"/>
      <c r="U642" s="321"/>
      <c r="V642" s="321"/>
      <c r="W642" s="321"/>
      <c r="X642" s="321"/>
      <c r="Y642" s="321"/>
      <c r="Z642" s="321"/>
      <c r="AA642" s="321"/>
      <c r="AB642" s="321"/>
      <c r="AC642" s="321"/>
      <c r="AD642" s="321"/>
    </row>
    <row r="643">
      <c r="A643" s="321"/>
      <c r="B643" s="321"/>
      <c r="C643" s="321"/>
      <c r="D643" s="321"/>
      <c r="E643" s="321"/>
      <c r="F643" s="321"/>
      <c r="G643" s="454"/>
      <c r="H643" s="454"/>
      <c r="I643" s="454"/>
      <c r="J643" s="454"/>
      <c r="K643" s="321"/>
      <c r="L643" s="321"/>
      <c r="M643" s="321"/>
      <c r="N643" s="321"/>
      <c r="O643" s="321"/>
      <c r="P643" s="321"/>
      <c r="Q643" s="321"/>
      <c r="R643" s="321"/>
      <c r="S643" s="321"/>
      <c r="T643" s="321"/>
      <c r="U643" s="321"/>
      <c r="V643" s="321"/>
      <c r="W643" s="321"/>
      <c r="X643" s="321"/>
      <c r="Y643" s="321"/>
      <c r="Z643" s="321"/>
      <c r="AA643" s="321"/>
      <c r="AB643" s="321"/>
      <c r="AC643" s="321"/>
      <c r="AD643" s="321"/>
    </row>
    <row r="644">
      <c r="A644" s="321"/>
      <c r="B644" s="321"/>
      <c r="C644" s="321"/>
      <c r="D644" s="321"/>
      <c r="E644" s="321"/>
      <c r="F644" s="321"/>
      <c r="G644" s="454"/>
      <c r="H644" s="454"/>
      <c r="I644" s="454"/>
      <c r="J644" s="454"/>
      <c r="K644" s="321"/>
      <c r="L644" s="321"/>
      <c r="M644" s="321"/>
      <c r="N644" s="321"/>
      <c r="O644" s="321"/>
      <c r="P644" s="321"/>
      <c r="Q644" s="321"/>
      <c r="R644" s="321"/>
      <c r="S644" s="321"/>
      <c r="T644" s="321"/>
      <c r="U644" s="321"/>
      <c r="V644" s="321"/>
      <c r="W644" s="321"/>
      <c r="X644" s="321"/>
      <c r="Y644" s="321"/>
      <c r="Z644" s="321"/>
      <c r="AA644" s="321"/>
      <c r="AB644" s="321"/>
      <c r="AC644" s="321"/>
      <c r="AD644" s="321"/>
    </row>
    <row r="645">
      <c r="A645" s="321"/>
      <c r="B645" s="321"/>
      <c r="C645" s="321"/>
      <c r="D645" s="321"/>
      <c r="E645" s="321"/>
      <c r="F645" s="321"/>
      <c r="G645" s="454"/>
      <c r="H645" s="454"/>
      <c r="I645" s="454"/>
      <c r="J645" s="454"/>
      <c r="K645" s="321"/>
      <c r="L645" s="321"/>
      <c r="M645" s="321"/>
      <c r="N645" s="321"/>
      <c r="O645" s="321"/>
      <c r="P645" s="321"/>
      <c r="Q645" s="321"/>
      <c r="R645" s="321"/>
      <c r="S645" s="321"/>
      <c r="T645" s="321"/>
      <c r="U645" s="321"/>
      <c r="V645" s="321"/>
      <c r="W645" s="321"/>
      <c r="X645" s="321"/>
      <c r="Y645" s="321"/>
      <c r="Z645" s="321"/>
      <c r="AA645" s="321"/>
      <c r="AB645" s="321"/>
      <c r="AC645" s="321"/>
      <c r="AD645" s="321"/>
    </row>
    <row r="646">
      <c r="A646" s="321"/>
      <c r="B646" s="321"/>
      <c r="C646" s="321"/>
      <c r="D646" s="321"/>
      <c r="E646" s="321"/>
      <c r="F646" s="321"/>
      <c r="G646" s="454"/>
      <c r="H646" s="454"/>
      <c r="I646" s="454"/>
      <c r="J646" s="454"/>
      <c r="K646" s="321"/>
      <c r="L646" s="321"/>
      <c r="M646" s="321"/>
      <c r="N646" s="321"/>
      <c r="O646" s="321"/>
      <c r="P646" s="321"/>
      <c r="Q646" s="321"/>
      <c r="R646" s="321"/>
      <c r="S646" s="321"/>
      <c r="T646" s="321"/>
      <c r="U646" s="321"/>
      <c r="V646" s="321"/>
      <c r="W646" s="321"/>
      <c r="X646" s="321"/>
      <c r="Y646" s="321"/>
      <c r="Z646" s="321"/>
      <c r="AA646" s="321"/>
      <c r="AB646" s="321"/>
      <c r="AC646" s="321"/>
      <c r="AD646" s="321"/>
    </row>
    <row r="647">
      <c r="A647" s="321"/>
      <c r="B647" s="321"/>
      <c r="C647" s="321"/>
      <c r="D647" s="321"/>
      <c r="E647" s="321"/>
      <c r="F647" s="321"/>
      <c r="G647" s="454"/>
      <c r="H647" s="454"/>
      <c r="I647" s="454"/>
      <c r="J647" s="454"/>
      <c r="K647" s="321"/>
      <c r="L647" s="321"/>
      <c r="M647" s="321"/>
      <c r="N647" s="321"/>
      <c r="O647" s="321"/>
      <c r="P647" s="321"/>
      <c r="Q647" s="321"/>
      <c r="R647" s="321"/>
      <c r="S647" s="321"/>
      <c r="T647" s="321"/>
      <c r="U647" s="321"/>
      <c r="V647" s="321"/>
      <c r="W647" s="321"/>
      <c r="X647" s="321"/>
      <c r="Y647" s="321"/>
      <c r="Z647" s="321"/>
      <c r="AA647" s="321"/>
      <c r="AB647" s="321"/>
      <c r="AC647" s="321"/>
      <c r="AD647" s="321"/>
    </row>
    <row r="648">
      <c r="A648" s="321"/>
      <c r="B648" s="321"/>
      <c r="C648" s="321"/>
      <c r="D648" s="321"/>
      <c r="E648" s="321"/>
      <c r="F648" s="321"/>
      <c r="G648" s="454"/>
      <c r="H648" s="454"/>
      <c r="I648" s="454"/>
      <c r="J648" s="454"/>
      <c r="K648" s="321"/>
      <c r="L648" s="321"/>
      <c r="M648" s="321"/>
      <c r="N648" s="321"/>
      <c r="O648" s="321"/>
      <c r="P648" s="321"/>
      <c r="Q648" s="321"/>
      <c r="R648" s="321"/>
      <c r="S648" s="321"/>
      <c r="T648" s="321"/>
      <c r="U648" s="321"/>
      <c r="V648" s="321"/>
      <c r="W648" s="321"/>
      <c r="X648" s="321"/>
      <c r="Y648" s="321"/>
      <c r="Z648" s="321"/>
      <c r="AA648" s="321"/>
      <c r="AB648" s="321"/>
      <c r="AC648" s="321"/>
      <c r="AD648" s="321"/>
    </row>
    <row r="649">
      <c r="A649" s="321"/>
      <c r="B649" s="321"/>
      <c r="C649" s="321"/>
      <c r="D649" s="321"/>
      <c r="E649" s="321"/>
      <c r="F649" s="321"/>
      <c r="G649" s="454"/>
      <c r="H649" s="454"/>
      <c r="I649" s="454"/>
      <c r="J649" s="454"/>
      <c r="K649" s="321"/>
      <c r="L649" s="321"/>
      <c r="M649" s="321"/>
      <c r="N649" s="321"/>
      <c r="O649" s="321"/>
      <c r="P649" s="321"/>
      <c r="Q649" s="321"/>
      <c r="R649" s="321"/>
      <c r="S649" s="321"/>
      <c r="T649" s="321"/>
      <c r="U649" s="321"/>
      <c r="V649" s="321"/>
      <c r="W649" s="321"/>
      <c r="X649" s="321"/>
      <c r="Y649" s="321"/>
      <c r="Z649" s="321"/>
      <c r="AA649" s="321"/>
      <c r="AB649" s="321"/>
      <c r="AC649" s="321"/>
      <c r="AD649" s="321"/>
    </row>
    <row r="650">
      <c r="A650" s="321"/>
      <c r="B650" s="321"/>
      <c r="C650" s="321"/>
      <c r="D650" s="321"/>
      <c r="E650" s="321"/>
      <c r="F650" s="321"/>
      <c r="G650" s="454"/>
      <c r="H650" s="454"/>
      <c r="I650" s="454"/>
      <c r="J650" s="454"/>
      <c r="K650" s="321"/>
      <c r="L650" s="321"/>
      <c r="M650" s="321"/>
      <c r="N650" s="321"/>
      <c r="O650" s="321"/>
      <c r="P650" s="321"/>
      <c r="Q650" s="321"/>
      <c r="R650" s="321"/>
      <c r="S650" s="321"/>
      <c r="T650" s="321"/>
      <c r="U650" s="321"/>
      <c r="V650" s="321"/>
      <c r="W650" s="321"/>
      <c r="X650" s="321"/>
      <c r="Y650" s="321"/>
      <c r="Z650" s="321"/>
      <c r="AA650" s="321"/>
      <c r="AB650" s="321"/>
      <c r="AC650" s="321"/>
      <c r="AD650" s="321"/>
    </row>
    <row r="651">
      <c r="A651" s="321"/>
      <c r="B651" s="321"/>
      <c r="C651" s="321"/>
      <c r="D651" s="321"/>
      <c r="E651" s="321"/>
      <c r="F651" s="321"/>
      <c r="G651" s="454"/>
      <c r="H651" s="454"/>
      <c r="I651" s="454"/>
      <c r="J651" s="454"/>
      <c r="K651" s="321"/>
      <c r="L651" s="321"/>
      <c r="M651" s="321"/>
      <c r="N651" s="321"/>
      <c r="O651" s="321"/>
      <c r="P651" s="321"/>
      <c r="Q651" s="321"/>
      <c r="R651" s="321"/>
      <c r="S651" s="321"/>
      <c r="T651" s="321"/>
      <c r="U651" s="321"/>
      <c r="V651" s="321"/>
      <c r="W651" s="321"/>
      <c r="X651" s="321"/>
      <c r="Y651" s="321"/>
      <c r="Z651" s="321"/>
      <c r="AA651" s="321"/>
      <c r="AB651" s="321"/>
      <c r="AC651" s="321"/>
      <c r="AD651" s="321"/>
    </row>
    <row r="652">
      <c r="A652" s="321"/>
      <c r="B652" s="321"/>
      <c r="C652" s="321"/>
      <c r="D652" s="321"/>
      <c r="E652" s="321"/>
      <c r="F652" s="321"/>
      <c r="G652" s="454"/>
      <c r="H652" s="454"/>
      <c r="I652" s="454"/>
      <c r="J652" s="454"/>
      <c r="K652" s="321"/>
      <c r="L652" s="321"/>
      <c r="M652" s="321"/>
      <c r="N652" s="321"/>
      <c r="O652" s="321"/>
      <c r="P652" s="321"/>
      <c r="Q652" s="321"/>
      <c r="R652" s="321"/>
      <c r="S652" s="321"/>
      <c r="T652" s="321"/>
      <c r="U652" s="321"/>
      <c r="V652" s="321"/>
      <c r="W652" s="321"/>
      <c r="X652" s="321"/>
      <c r="Y652" s="321"/>
      <c r="Z652" s="321"/>
      <c r="AA652" s="321"/>
      <c r="AB652" s="321"/>
      <c r="AC652" s="321"/>
      <c r="AD652" s="321"/>
    </row>
    <row r="653">
      <c r="A653" s="321"/>
      <c r="B653" s="321"/>
      <c r="C653" s="321"/>
      <c r="D653" s="321"/>
      <c r="E653" s="321"/>
      <c r="F653" s="321"/>
      <c r="G653" s="454"/>
      <c r="H653" s="454"/>
      <c r="I653" s="454"/>
      <c r="J653" s="454"/>
      <c r="K653" s="321"/>
      <c r="L653" s="321"/>
      <c r="M653" s="321"/>
      <c r="N653" s="321"/>
      <c r="O653" s="321"/>
      <c r="P653" s="321"/>
      <c r="Q653" s="321"/>
      <c r="R653" s="321"/>
      <c r="S653" s="321"/>
      <c r="T653" s="321"/>
      <c r="U653" s="321"/>
      <c r="V653" s="321"/>
      <c r="W653" s="321"/>
      <c r="X653" s="321"/>
      <c r="Y653" s="321"/>
      <c r="Z653" s="321"/>
      <c r="AA653" s="321"/>
      <c r="AB653" s="321"/>
      <c r="AC653" s="321"/>
      <c r="AD653" s="321"/>
    </row>
    <row r="654">
      <c r="A654" s="321"/>
      <c r="B654" s="321"/>
      <c r="C654" s="321"/>
      <c r="D654" s="321"/>
      <c r="E654" s="321"/>
      <c r="F654" s="321"/>
      <c r="G654" s="454"/>
      <c r="H654" s="454"/>
      <c r="I654" s="454"/>
      <c r="J654" s="454"/>
      <c r="K654" s="321"/>
      <c r="L654" s="321"/>
      <c r="M654" s="321"/>
      <c r="N654" s="321"/>
      <c r="O654" s="321"/>
      <c r="P654" s="321"/>
      <c r="Q654" s="321"/>
      <c r="R654" s="321"/>
      <c r="S654" s="321"/>
      <c r="T654" s="321"/>
      <c r="U654" s="321"/>
      <c r="V654" s="321"/>
      <c r="W654" s="321"/>
      <c r="X654" s="321"/>
      <c r="Y654" s="321"/>
      <c r="Z654" s="321"/>
      <c r="AA654" s="321"/>
      <c r="AB654" s="321"/>
      <c r="AC654" s="321"/>
      <c r="AD654" s="321"/>
    </row>
    <row r="655">
      <c r="A655" s="321"/>
      <c r="B655" s="321"/>
      <c r="C655" s="321"/>
      <c r="D655" s="321"/>
      <c r="E655" s="321"/>
      <c r="F655" s="321"/>
      <c r="G655" s="454"/>
      <c r="H655" s="454"/>
      <c r="I655" s="454"/>
      <c r="J655" s="454"/>
      <c r="K655" s="321"/>
      <c r="L655" s="321"/>
      <c r="M655" s="321"/>
      <c r="N655" s="321"/>
      <c r="O655" s="321"/>
      <c r="P655" s="321"/>
      <c r="Q655" s="321"/>
      <c r="R655" s="321"/>
      <c r="S655" s="321"/>
      <c r="T655" s="321"/>
      <c r="U655" s="321"/>
      <c r="V655" s="321"/>
      <c r="W655" s="321"/>
      <c r="X655" s="321"/>
      <c r="Y655" s="321"/>
      <c r="Z655" s="321"/>
      <c r="AA655" s="321"/>
      <c r="AB655" s="321"/>
      <c r="AC655" s="321"/>
      <c r="AD655" s="321"/>
    </row>
    <row r="656">
      <c r="A656" s="321"/>
      <c r="B656" s="321"/>
      <c r="C656" s="321"/>
      <c r="D656" s="321"/>
      <c r="E656" s="321"/>
      <c r="F656" s="321"/>
      <c r="G656" s="454"/>
      <c r="H656" s="454"/>
      <c r="I656" s="454"/>
      <c r="J656" s="454"/>
      <c r="K656" s="321"/>
      <c r="L656" s="321"/>
      <c r="M656" s="321"/>
      <c r="N656" s="321"/>
      <c r="O656" s="321"/>
      <c r="P656" s="321"/>
      <c r="Q656" s="321"/>
      <c r="R656" s="321"/>
      <c r="S656" s="321"/>
      <c r="T656" s="321"/>
      <c r="U656" s="321"/>
      <c r="V656" s="321"/>
      <c r="W656" s="321"/>
      <c r="X656" s="321"/>
      <c r="Y656" s="321"/>
      <c r="Z656" s="321"/>
      <c r="AA656" s="321"/>
      <c r="AB656" s="321"/>
      <c r="AC656" s="321"/>
      <c r="AD656" s="321"/>
    </row>
    <row r="657">
      <c r="A657" s="321"/>
      <c r="B657" s="321"/>
      <c r="C657" s="321"/>
      <c r="D657" s="321"/>
      <c r="E657" s="321"/>
      <c r="F657" s="321"/>
      <c r="G657" s="454"/>
      <c r="H657" s="454"/>
      <c r="I657" s="454"/>
      <c r="J657" s="454"/>
      <c r="K657" s="321"/>
      <c r="L657" s="321"/>
      <c r="M657" s="321"/>
      <c r="N657" s="321"/>
      <c r="O657" s="321"/>
      <c r="P657" s="321"/>
      <c r="Q657" s="321"/>
      <c r="R657" s="321"/>
      <c r="S657" s="321"/>
      <c r="T657" s="321"/>
      <c r="U657" s="321"/>
      <c r="V657" s="321"/>
      <c r="W657" s="321"/>
      <c r="X657" s="321"/>
      <c r="Y657" s="321"/>
      <c r="Z657" s="321"/>
      <c r="AA657" s="321"/>
      <c r="AB657" s="321"/>
      <c r="AC657" s="321"/>
      <c r="AD657" s="321"/>
    </row>
    <row r="658">
      <c r="A658" s="321"/>
      <c r="B658" s="321"/>
      <c r="C658" s="321"/>
      <c r="D658" s="321"/>
      <c r="E658" s="321"/>
      <c r="F658" s="321"/>
      <c r="G658" s="454"/>
      <c r="H658" s="454"/>
      <c r="I658" s="454"/>
      <c r="J658" s="454"/>
      <c r="K658" s="321"/>
      <c r="L658" s="321"/>
      <c r="M658" s="321"/>
      <c r="N658" s="321"/>
      <c r="O658" s="321"/>
      <c r="P658" s="321"/>
      <c r="Q658" s="321"/>
      <c r="R658" s="321"/>
      <c r="S658" s="321"/>
      <c r="T658" s="321"/>
      <c r="U658" s="321"/>
      <c r="V658" s="321"/>
      <c r="W658" s="321"/>
      <c r="X658" s="321"/>
      <c r="Y658" s="321"/>
      <c r="Z658" s="321"/>
      <c r="AA658" s="321"/>
      <c r="AB658" s="321"/>
      <c r="AC658" s="321"/>
      <c r="AD658" s="321"/>
    </row>
    <row r="659">
      <c r="A659" s="321"/>
      <c r="B659" s="321"/>
      <c r="C659" s="321"/>
      <c r="D659" s="321"/>
      <c r="E659" s="321"/>
      <c r="F659" s="321"/>
      <c r="G659" s="454"/>
      <c r="H659" s="454"/>
      <c r="I659" s="454"/>
      <c r="J659" s="454"/>
      <c r="K659" s="321"/>
      <c r="L659" s="321"/>
      <c r="M659" s="321"/>
      <c r="N659" s="321"/>
      <c r="O659" s="321"/>
      <c r="P659" s="321"/>
      <c r="Q659" s="321"/>
      <c r="R659" s="321"/>
      <c r="S659" s="321"/>
      <c r="T659" s="321"/>
      <c r="U659" s="321"/>
      <c r="V659" s="321"/>
      <c r="W659" s="321"/>
      <c r="X659" s="321"/>
      <c r="Y659" s="321"/>
      <c r="Z659" s="321"/>
      <c r="AA659" s="321"/>
      <c r="AB659" s="321"/>
      <c r="AC659" s="321"/>
      <c r="AD659" s="321"/>
    </row>
    <row r="660">
      <c r="A660" s="321"/>
      <c r="B660" s="321"/>
      <c r="C660" s="321"/>
      <c r="D660" s="321"/>
      <c r="E660" s="321"/>
      <c r="F660" s="321"/>
      <c r="G660" s="454"/>
      <c r="H660" s="454"/>
      <c r="I660" s="454"/>
      <c r="J660" s="454"/>
      <c r="K660" s="321"/>
      <c r="L660" s="321"/>
      <c r="M660" s="321"/>
      <c r="N660" s="321"/>
      <c r="O660" s="321"/>
      <c r="P660" s="321"/>
      <c r="Q660" s="321"/>
      <c r="R660" s="321"/>
      <c r="S660" s="321"/>
      <c r="T660" s="321"/>
      <c r="U660" s="321"/>
      <c r="V660" s="321"/>
      <c r="W660" s="321"/>
      <c r="X660" s="321"/>
      <c r="Y660" s="321"/>
      <c r="Z660" s="321"/>
      <c r="AA660" s="321"/>
      <c r="AB660" s="321"/>
      <c r="AC660" s="321"/>
      <c r="AD660" s="321"/>
    </row>
    <row r="661">
      <c r="A661" s="321"/>
      <c r="B661" s="321"/>
      <c r="C661" s="321"/>
      <c r="D661" s="321"/>
      <c r="E661" s="321"/>
      <c r="F661" s="321"/>
      <c r="G661" s="454"/>
      <c r="H661" s="454"/>
      <c r="I661" s="454"/>
      <c r="J661" s="454"/>
      <c r="K661" s="321"/>
      <c r="L661" s="321"/>
      <c r="M661" s="321"/>
      <c r="N661" s="321"/>
      <c r="O661" s="321"/>
      <c r="P661" s="321"/>
      <c r="Q661" s="321"/>
      <c r="R661" s="321"/>
      <c r="S661" s="321"/>
      <c r="T661" s="321"/>
      <c r="U661" s="321"/>
      <c r="V661" s="321"/>
      <c r="W661" s="321"/>
      <c r="X661" s="321"/>
      <c r="Y661" s="321"/>
      <c r="Z661" s="321"/>
      <c r="AA661" s="321"/>
      <c r="AB661" s="321"/>
      <c r="AC661" s="321"/>
      <c r="AD661" s="321"/>
    </row>
    <row r="662">
      <c r="A662" s="321"/>
      <c r="B662" s="321"/>
      <c r="C662" s="321"/>
      <c r="D662" s="321"/>
      <c r="E662" s="321"/>
      <c r="F662" s="321"/>
      <c r="G662" s="454"/>
      <c r="H662" s="454"/>
      <c r="I662" s="454"/>
      <c r="J662" s="454"/>
      <c r="K662" s="321"/>
      <c r="L662" s="321"/>
      <c r="M662" s="321"/>
      <c r="N662" s="321"/>
      <c r="O662" s="321"/>
      <c r="P662" s="321"/>
      <c r="Q662" s="321"/>
      <c r="R662" s="321"/>
      <c r="S662" s="321"/>
      <c r="T662" s="321"/>
      <c r="U662" s="321"/>
      <c r="V662" s="321"/>
      <c r="W662" s="321"/>
      <c r="X662" s="321"/>
      <c r="Y662" s="321"/>
      <c r="Z662" s="321"/>
      <c r="AA662" s="321"/>
      <c r="AB662" s="321"/>
      <c r="AC662" s="321"/>
      <c r="AD662" s="321"/>
    </row>
    <row r="663">
      <c r="A663" s="321"/>
      <c r="B663" s="321"/>
      <c r="C663" s="321"/>
      <c r="D663" s="321"/>
      <c r="E663" s="321"/>
      <c r="F663" s="321"/>
      <c r="G663" s="454"/>
      <c r="H663" s="454"/>
      <c r="I663" s="454"/>
      <c r="J663" s="454"/>
      <c r="K663" s="321"/>
      <c r="L663" s="321"/>
      <c r="M663" s="321"/>
      <c r="N663" s="321"/>
      <c r="O663" s="321"/>
      <c r="P663" s="321"/>
      <c r="Q663" s="321"/>
      <c r="R663" s="321"/>
      <c r="S663" s="321"/>
      <c r="T663" s="321"/>
      <c r="U663" s="321"/>
      <c r="V663" s="321"/>
      <c r="W663" s="321"/>
      <c r="X663" s="321"/>
      <c r="Y663" s="321"/>
      <c r="Z663" s="321"/>
      <c r="AA663" s="321"/>
      <c r="AB663" s="321"/>
      <c r="AC663" s="321"/>
      <c r="AD663" s="321"/>
    </row>
    <row r="664">
      <c r="A664" s="321"/>
      <c r="B664" s="321"/>
      <c r="C664" s="321"/>
      <c r="D664" s="321"/>
      <c r="E664" s="321"/>
      <c r="F664" s="321"/>
      <c r="G664" s="454"/>
      <c r="H664" s="454"/>
      <c r="I664" s="454"/>
      <c r="J664" s="454"/>
      <c r="K664" s="321"/>
      <c r="L664" s="321"/>
      <c r="M664" s="321"/>
      <c r="N664" s="321"/>
      <c r="O664" s="321"/>
      <c r="P664" s="321"/>
      <c r="Q664" s="321"/>
      <c r="R664" s="321"/>
      <c r="S664" s="321"/>
      <c r="T664" s="321"/>
      <c r="U664" s="321"/>
      <c r="V664" s="321"/>
      <c r="W664" s="321"/>
      <c r="X664" s="321"/>
      <c r="Y664" s="321"/>
      <c r="Z664" s="321"/>
      <c r="AA664" s="321"/>
      <c r="AB664" s="321"/>
      <c r="AC664" s="321"/>
      <c r="AD664" s="321"/>
    </row>
    <row r="665">
      <c r="A665" s="321"/>
      <c r="B665" s="321"/>
      <c r="C665" s="321"/>
      <c r="D665" s="321"/>
      <c r="E665" s="321"/>
      <c r="F665" s="321"/>
      <c r="G665" s="454"/>
      <c r="H665" s="454"/>
      <c r="I665" s="454"/>
      <c r="J665" s="454"/>
      <c r="K665" s="321"/>
      <c r="L665" s="321"/>
      <c r="M665" s="321"/>
      <c r="N665" s="321"/>
      <c r="O665" s="321"/>
      <c r="P665" s="321"/>
      <c r="Q665" s="321"/>
      <c r="R665" s="321"/>
      <c r="S665" s="321"/>
      <c r="T665" s="321"/>
      <c r="U665" s="321"/>
      <c r="V665" s="321"/>
      <c r="W665" s="321"/>
      <c r="X665" s="321"/>
      <c r="Y665" s="321"/>
      <c r="Z665" s="321"/>
      <c r="AA665" s="321"/>
      <c r="AB665" s="321"/>
      <c r="AC665" s="321"/>
      <c r="AD665" s="321"/>
    </row>
    <row r="666">
      <c r="A666" s="321"/>
      <c r="B666" s="321"/>
      <c r="C666" s="321"/>
      <c r="D666" s="321"/>
      <c r="E666" s="321"/>
      <c r="F666" s="321"/>
      <c r="G666" s="454"/>
      <c r="H666" s="454"/>
      <c r="I666" s="454"/>
      <c r="J666" s="454"/>
      <c r="K666" s="321"/>
      <c r="L666" s="321"/>
      <c r="M666" s="321"/>
      <c r="N666" s="321"/>
      <c r="O666" s="321"/>
      <c r="P666" s="321"/>
      <c r="Q666" s="321"/>
      <c r="R666" s="321"/>
      <c r="S666" s="321"/>
      <c r="T666" s="321"/>
      <c r="U666" s="321"/>
      <c r="V666" s="321"/>
      <c r="W666" s="321"/>
      <c r="X666" s="321"/>
      <c r="Y666" s="321"/>
      <c r="Z666" s="321"/>
      <c r="AA666" s="321"/>
      <c r="AB666" s="321"/>
      <c r="AC666" s="321"/>
      <c r="AD666" s="321"/>
    </row>
    <row r="667">
      <c r="A667" s="321"/>
      <c r="B667" s="321"/>
      <c r="C667" s="321"/>
      <c r="D667" s="321"/>
      <c r="E667" s="321"/>
      <c r="F667" s="321"/>
      <c r="G667" s="454"/>
      <c r="H667" s="454"/>
      <c r="I667" s="454"/>
      <c r="J667" s="454"/>
      <c r="K667" s="321"/>
      <c r="L667" s="321"/>
      <c r="M667" s="321"/>
      <c r="N667" s="321"/>
      <c r="O667" s="321"/>
      <c r="P667" s="321"/>
      <c r="Q667" s="321"/>
      <c r="R667" s="321"/>
      <c r="S667" s="321"/>
      <c r="T667" s="321"/>
      <c r="U667" s="321"/>
      <c r="V667" s="321"/>
      <c r="W667" s="321"/>
      <c r="X667" s="321"/>
      <c r="Y667" s="321"/>
      <c r="Z667" s="321"/>
      <c r="AA667" s="321"/>
      <c r="AB667" s="321"/>
      <c r="AC667" s="321"/>
      <c r="AD667" s="321"/>
    </row>
    <row r="668">
      <c r="A668" s="321"/>
      <c r="B668" s="321"/>
      <c r="C668" s="321"/>
      <c r="D668" s="321"/>
      <c r="E668" s="321"/>
      <c r="F668" s="321"/>
      <c r="G668" s="454"/>
      <c r="H668" s="454"/>
      <c r="I668" s="454"/>
      <c r="J668" s="454"/>
      <c r="K668" s="321"/>
      <c r="L668" s="321"/>
      <c r="M668" s="321"/>
      <c r="N668" s="321"/>
      <c r="O668" s="321"/>
      <c r="P668" s="321"/>
      <c r="Q668" s="321"/>
      <c r="R668" s="321"/>
      <c r="S668" s="321"/>
      <c r="T668" s="321"/>
      <c r="U668" s="321"/>
      <c r="V668" s="321"/>
      <c r="W668" s="321"/>
      <c r="X668" s="321"/>
      <c r="Y668" s="321"/>
      <c r="Z668" s="321"/>
      <c r="AA668" s="321"/>
      <c r="AB668" s="321"/>
      <c r="AC668" s="321"/>
      <c r="AD668" s="321"/>
    </row>
    <row r="669">
      <c r="A669" s="321"/>
      <c r="B669" s="321"/>
      <c r="C669" s="321"/>
      <c r="D669" s="321"/>
      <c r="E669" s="321"/>
      <c r="F669" s="321"/>
      <c r="G669" s="454"/>
      <c r="H669" s="454"/>
      <c r="I669" s="454"/>
      <c r="J669" s="454"/>
      <c r="K669" s="321"/>
      <c r="L669" s="321"/>
      <c r="M669" s="321"/>
      <c r="N669" s="321"/>
      <c r="O669" s="321"/>
      <c r="P669" s="321"/>
      <c r="Q669" s="321"/>
      <c r="R669" s="321"/>
      <c r="S669" s="321"/>
      <c r="T669" s="321"/>
      <c r="U669" s="321"/>
      <c r="V669" s="321"/>
      <c r="W669" s="321"/>
      <c r="X669" s="321"/>
      <c r="Y669" s="321"/>
      <c r="Z669" s="321"/>
      <c r="AA669" s="321"/>
      <c r="AB669" s="321"/>
      <c r="AC669" s="321"/>
      <c r="AD669" s="321"/>
    </row>
    <row r="670">
      <c r="A670" s="321"/>
      <c r="B670" s="321"/>
      <c r="C670" s="321"/>
      <c r="D670" s="321"/>
      <c r="E670" s="321"/>
      <c r="F670" s="321"/>
      <c r="G670" s="454"/>
      <c r="H670" s="454"/>
      <c r="I670" s="454"/>
      <c r="J670" s="454"/>
      <c r="K670" s="321"/>
      <c r="L670" s="321"/>
      <c r="M670" s="321"/>
      <c r="N670" s="321"/>
      <c r="O670" s="321"/>
      <c r="P670" s="321"/>
      <c r="Q670" s="321"/>
      <c r="R670" s="321"/>
      <c r="S670" s="321"/>
      <c r="T670" s="321"/>
      <c r="U670" s="321"/>
      <c r="V670" s="321"/>
      <c r="W670" s="321"/>
      <c r="X670" s="321"/>
      <c r="Y670" s="321"/>
      <c r="Z670" s="321"/>
      <c r="AA670" s="321"/>
      <c r="AB670" s="321"/>
      <c r="AC670" s="321"/>
      <c r="AD670" s="321"/>
    </row>
    <row r="671">
      <c r="A671" s="321"/>
      <c r="B671" s="321"/>
      <c r="C671" s="321"/>
      <c r="D671" s="321"/>
      <c r="E671" s="321"/>
      <c r="F671" s="321"/>
      <c r="G671" s="454"/>
      <c r="H671" s="454"/>
      <c r="I671" s="454"/>
      <c r="J671" s="454"/>
      <c r="K671" s="321"/>
      <c r="L671" s="321"/>
      <c r="M671" s="321"/>
      <c r="N671" s="321"/>
      <c r="O671" s="321"/>
      <c r="P671" s="321"/>
      <c r="Q671" s="321"/>
      <c r="R671" s="321"/>
      <c r="S671" s="321"/>
      <c r="T671" s="321"/>
      <c r="U671" s="321"/>
      <c r="V671" s="321"/>
      <c r="W671" s="321"/>
      <c r="X671" s="321"/>
      <c r="Y671" s="321"/>
      <c r="Z671" s="321"/>
      <c r="AA671" s="321"/>
      <c r="AB671" s="321"/>
      <c r="AC671" s="321"/>
      <c r="AD671" s="321"/>
    </row>
    <row r="672">
      <c r="A672" s="321"/>
      <c r="B672" s="321"/>
      <c r="C672" s="321"/>
      <c r="D672" s="321"/>
      <c r="E672" s="321"/>
      <c r="F672" s="321"/>
      <c r="G672" s="454"/>
      <c r="H672" s="454"/>
      <c r="I672" s="454"/>
      <c r="J672" s="454"/>
      <c r="K672" s="321"/>
      <c r="L672" s="321"/>
      <c r="M672" s="321"/>
      <c r="N672" s="321"/>
      <c r="O672" s="321"/>
      <c r="P672" s="321"/>
      <c r="Q672" s="321"/>
      <c r="R672" s="321"/>
      <c r="S672" s="321"/>
      <c r="T672" s="321"/>
      <c r="U672" s="321"/>
      <c r="V672" s="321"/>
      <c r="W672" s="321"/>
      <c r="X672" s="321"/>
      <c r="Y672" s="321"/>
      <c r="Z672" s="321"/>
      <c r="AA672" s="321"/>
      <c r="AB672" s="321"/>
      <c r="AC672" s="321"/>
      <c r="AD672" s="321"/>
    </row>
    <row r="673">
      <c r="A673" s="321"/>
      <c r="B673" s="321"/>
      <c r="C673" s="321"/>
      <c r="D673" s="321"/>
      <c r="E673" s="321"/>
      <c r="F673" s="321"/>
      <c r="G673" s="454"/>
      <c r="H673" s="454"/>
      <c r="I673" s="454"/>
      <c r="J673" s="454"/>
      <c r="K673" s="321"/>
      <c r="L673" s="321"/>
      <c r="M673" s="321"/>
      <c r="N673" s="321"/>
      <c r="O673" s="321"/>
      <c r="P673" s="321"/>
      <c r="Q673" s="321"/>
      <c r="R673" s="321"/>
      <c r="S673" s="321"/>
      <c r="T673" s="321"/>
      <c r="U673" s="321"/>
      <c r="V673" s="321"/>
      <c r="W673" s="321"/>
      <c r="X673" s="321"/>
      <c r="Y673" s="321"/>
      <c r="Z673" s="321"/>
      <c r="AA673" s="321"/>
      <c r="AB673" s="321"/>
      <c r="AC673" s="321"/>
      <c r="AD673" s="321"/>
    </row>
    <row r="674">
      <c r="A674" s="321"/>
      <c r="B674" s="321"/>
      <c r="C674" s="321"/>
      <c r="D674" s="321"/>
      <c r="E674" s="321"/>
      <c r="F674" s="321"/>
      <c r="G674" s="454"/>
      <c r="H674" s="454"/>
      <c r="I674" s="454"/>
      <c r="J674" s="454"/>
      <c r="K674" s="321"/>
      <c r="L674" s="321"/>
      <c r="M674" s="321"/>
      <c r="N674" s="321"/>
      <c r="O674" s="321"/>
      <c r="P674" s="321"/>
      <c r="Q674" s="321"/>
      <c r="R674" s="321"/>
      <c r="S674" s="321"/>
      <c r="T674" s="321"/>
      <c r="U674" s="321"/>
      <c r="V674" s="321"/>
      <c r="W674" s="321"/>
      <c r="X674" s="321"/>
      <c r="Y674" s="321"/>
      <c r="Z674" s="321"/>
      <c r="AA674" s="321"/>
      <c r="AB674" s="321"/>
      <c r="AC674" s="321"/>
      <c r="AD674" s="321"/>
    </row>
    <row r="675">
      <c r="A675" s="321"/>
      <c r="B675" s="321"/>
      <c r="C675" s="321"/>
      <c r="D675" s="321"/>
      <c r="E675" s="321"/>
      <c r="F675" s="321"/>
      <c r="G675" s="454"/>
      <c r="H675" s="454"/>
      <c r="I675" s="454"/>
      <c r="J675" s="454"/>
      <c r="K675" s="321"/>
      <c r="L675" s="321"/>
      <c r="M675" s="321"/>
      <c r="N675" s="321"/>
      <c r="O675" s="321"/>
      <c r="P675" s="321"/>
      <c r="Q675" s="321"/>
      <c r="R675" s="321"/>
      <c r="S675" s="321"/>
      <c r="T675" s="321"/>
      <c r="U675" s="321"/>
      <c r="V675" s="321"/>
      <c r="W675" s="321"/>
      <c r="X675" s="321"/>
      <c r="Y675" s="321"/>
      <c r="Z675" s="321"/>
      <c r="AA675" s="321"/>
      <c r="AB675" s="321"/>
      <c r="AC675" s="321"/>
      <c r="AD675" s="321"/>
    </row>
    <row r="676">
      <c r="A676" s="321"/>
      <c r="B676" s="321"/>
      <c r="C676" s="321"/>
      <c r="D676" s="321"/>
      <c r="E676" s="321"/>
      <c r="F676" s="321"/>
      <c r="G676" s="454"/>
      <c r="H676" s="454"/>
      <c r="I676" s="454"/>
      <c r="J676" s="454"/>
      <c r="K676" s="321"/>
      <c r="L676" s="321"/>
      <c r="M676" s="321"/>
      <c r="N676" s="321"/>
      <c r="O676" s="321"/>
      <c r="P676" s="321"/>
      <c r="Q676" s="321"/>
      <c r="R676" s="321"/>
      <c r="S676" s="321"/>
      <c r="T676" s="321"/>
      <c r="U676" s="321"/>
      <c r="V676" s="321"/>
      <c r="W676" s="321"/>
      <c r="X676" s="321"/>
      <c r="Y676" s="321"/>
      <c r="Z676" s="321"/>
      <c r="AA676" s="321"/>
      <c r="AB676" s="321"/>
      <c r="AC676" s="321"/>
      <c r="AD676" s="321"/>
    </row>
    <row r="677">
      <c r="A677" s="321"/>
      <c r="B677" s="321"/>
      <c r="C677" s="321"/>
      <c r="D677" s="321"/>
      <c r="E677" s="321"/>
      <c r="F677" s="321"/>
      <c r="G677" s="454"/>
      <c r="H677" s="454"/>
      <c r="I677" s="454"/>
      <c r="J677" s="454"/>
      <c r="K677" s="321"/>
      <c r="L677" s="321"/>
      <c r="M677" s="321"/>
      <c r="N677" s="321"/>
      <c r="O677" s="321"/>
      <c r="P677" s="321"/>
      <c r="Q677" s="321"/>
      <c r="R677" s="321"/>
      <c r="S677" s="321"/>
      <c r="T677" s="321"/>
      <c r="U677" s="321"/>
      <c r="V677" s="321"/>
      <c r="W677" s="321"/>
      <c r="X677" s="321"/>
      <c r="Y677" s="321"/>
      <c r="Z677" s="321"/>
      <c r="AA677" s="321"/>
      <c r="AB677" s="321"/>
      <c r="AC677" s="321"/>
      <c r="AD677" s="321"/>
    </row>
    <row r="678">
      <c r="A678" s="321"/>
      <c r="B678" s="321"/>
      <c r="C678" s="321"/>
      <c r="D678" s="321"/>
      <c r="E678" s="321"/>
      <c r="F678" s="321"/>
      <c r="G678" s="454"/>
      <c r="H678" s="454"/>
      <c r="I678" s="454"/>
      <c r="J678" s="454"/>
      <c r="K678" s="321"/>
      <c r="L678" s="321"/>
      <c r="M678" s="321"/>
      <c r="N678" s="321"/>
      <c r="O678" s="321"/>
      <c r="P678" s="321"/>
      <c r="Q678" s="321"/>
      <c r="R678" s="321"/>
      <c r="S678" s="321"/>
      <c r="T678" s="321"/>
      <c r="U678" s="321"/>
      <c r="V678" s="321"/>
      <c r="W678" s="321"/>
      <c r="X678" s="321"/>
      <c r="Y678" s="321"/>
      <c r="Z678" s="321"/>
      <c r="AA678" s="321"/>
      <c r="AB678" s="321"/>
      <c r="AC678" s="321"/>
      <c r="AD678" s="321"/>
    </row>
    <row r="679">
      <c r="A679" s="321"/>
      <c r="B679" s="321"/>
      <c r="C679" s="321"/>
      <c r="D679" s="321"/>
      <c r="E679" s="321"/>
      <c r="F679" s="321"/>
      <c r="G679" s="454"/>
      <c r="H679" s="454"/>
      <c r="I679" s="454"/>
      <c r="J679" s="454"/>
      <c r="K679" s="321"/>
      <c r="L679" s="321"/>
      <c r="M679" s="321"/>
      <c r="N679" s="321"/>
      <c r="O679" s="321"/>
      <c r="P679" s="321"/>
      <c r="Q679" s="321"/>
      <c r="R679" s="321"/>
      <c r="S679" s="321"/>
      <c r="T679" s="321"/>
      <c r="U679" s="321"/>
      <c r="V679" s="321"/>
      <c r="W679" s="321"/>
      <c r="X679" s="321"/>
      <c r="Y679" s="321"/>
      <c r="Z679" s="321"/>
      <c r="AA679" s="321"/>
      <c r="AB679" s="321"/>
      <c r="AC679" s="321"/>
      <c r="AD679" s="321"/>
    </row>
    <row r="680">
      <c r="A680" s="321"/>
      <c r="B680" s="321"/>
      <c r="C680" s="321"/>
      <c r="D680" s="321"/>
      <c r="E680" s="321"/>
      <c r="F680" s="321"/>
      <c r="G680" s="454"/>
      <c r="H680" s="454"/>
      <c r="I680" s="454"/>
      <c r="J680" s="454"/>
      <c r="K680" s="321"/>
      <c r="L680" s="321"/>
      <c r="M680" s="321"/>
      <c r="N680" s="321"/>
      <c r="O680" s="321"/>
      <c r="P680" s="321"/>
      <c r="Q680" s="321"/>
      <c r="R680" s="321"/>
      <c r="S680" s="321"/>
      <c r="T680" s="321"/>
      <c r="U680" s="321"/>
      <c r="V680" s="321"/>
      <c r="W680" s="321"/>
      <c r="X680" s="321"/>
      <c r="Y680" s="321"/>
      <c r="Z680" s="321"/>
      <c r="AA680" s="321"/>
      <c r="AB680" s="321"/>
      <c r="AC680" s="321"/>
      <c r="AD680" s="321"/>
    </row>
    <row r="681">
      <c r="A681" s="321"/>
      <c r="B681" s="321"/>
      <c r="C681" s="321"/>
      <c r="D681" s="321"/>
      <c r="E681" s="321"/>
      <c r="F681" s="321"/>
      <c r="G681" s="454"/>
      <c r="H681" s="454"/>
      <c r="I681" s="454"/>
      <c r="J681" s="454"/>
      <c r="K681" s="321"/>
      <c r="L681" s="321"/>
      <c r="M681" s="321"/>
      <c r="N681" s="321"/>
      <c r="O681" s="321"/>
      <c r="P681" s="321"/>
      <c r="Q681" s="321"/>
      <c r="R681" s="321"/>
      <c r="S681" s="321"/>
      <c r="T681" s="321"/>
      <c r="U681" s="321"/>
      <c r="V681" s="321"/>
      <c r="W681" s="321"/>
      <c r="X681" s="321"/>
      <c r="Y681" s="321"/>
      <c r="Z681" s="321"/>
      <c r="AA681" s="321"/>
      <c r="AB681" s="321"/>
      <c r="AC681" s="321"/>
      <c r="AD681" s="321"/>
    </row>
    <row r="682">
      <c r="A682" s="321"/>
      <c r="B682" s="321"/>
      <c r="C682" s="321"/>
      <c r="D682" s="321"/>
      <c r="E682" s="321"/>
      <c r="F682" s="321"/>
      <c r="G682" s="454"/>
      <c r="H682" s="454"/>
      <c r="I682" s="454"/>
      <c r="J682" s="454"/>
      <c r="K682" s="321"/>
      <c r="L682" s="321"/>
      <c r="M682" s="321"/>
      <c r="N682" s="321"/>
      <c r="O682" s="321"/>
      <c r="P682" s="321"/>
      <c r="Q682" s="321"/>
      <c r="R682" s="321"/>
      <c r="S682" s="321"/>
      <c r="T682" s="321"/>
      <c r="U682" s="321"/>
      <c r="V682" s="321"/>
      <c r="W682" s="321"/>
      <c r="X682" s="321"/>
      <c r="Y682" s="321"/>
      <c r="Z682" s="321"/>
      <c r="AA682" s="321"/>
      <c r="AB682" s="321"/>
      <c r="AC682" s="321"/>
      <c r="AD682" s="321"/>
    </row>
    <row r="683">
      <c r="A683" s="321"/>
      <c r="B683" s="321"/>
      <c r="C683" s="321"/>
      <c r="D683" s="321"/>
      <c r="E683" s="321"/>
      <c r="F683" s="321"/>
      <c r="G683" s="454"/>
      <c r="H683" s="454"/>
      <c r="I683" s="454"/>
      <c r="J683" s="454"/>
      <c r="K683" s="321"/>
      <c r="L683" s="321"/>
      <c r="M683" s="321"/>
      <c r="N683" s="321"/>
      <c r="O683" s="321"/>
      <c r="P683" s="321"/>
      <c r="Q683" s="321"/>
      <c r="R683" s="321"/>
      <c r="S683" s="321"/>
      <c r="T683" s="321"/>
      <c r="U683" s="321"/>
      <c r="V683" s="321"/>
      <c r="W683" s="321"/>
      <c r="X683" s="321"/>
      <c r="Y683" s="321"/>
      <c r="Z683" s="321"/>
      <c r="AA683" s="321"/>
      <c r="AB683" s="321"/>
      <c r="AC683" s="321"/>
      <c r="AD683" s="321"/>
    </row>
    <row r="684">
      <c r="A684" s="321"/>
      <c r="B684" s="321"/>
      <c r="C684" s="321"/>
      <c r="D684" s="321"/>
      <c r="E684" s="321"/>
      <c r="F684" s="321"/>
      <c r="G684" s="454"/>
      <c r="H684" s="454"/>
      <c r="I684" s="454"/>
      <c r="J684" s="454"/>
      <c r="K684" s="321"/>
      <c r="L684" s="321"/>
      <c r="M684" s="321"/>
      <c r="N684" s="321"/>
      <c r="O684" s="321"/>
      <c r="P684" s="321"/>
      <c r="Q684" s="321"/>
      <c r="R684" s="321"/>
      <c r="S684" s="321"/>
      <c r="T684" s="321"/>
      <c r="U684" s="321"/>
      <c r="V684" s="321"/>
      <c r="W684" s="321"/>
      <c r="X684" s="321"/>
      <c r="Y684" s="321"/>
      <c r="Z684" s="321"/>
      <c r="AA684" s="321"/>
      <c r="AB684" s="321"/>
      <c r="AC684" s="321"/>
      <c r="AD684" s="321"/>
    </row>
    <row r="685">
      <c r="A685" s="321"/>
      <c r="B685" s="321"/>
      <c r="C685" s="321"/>
      <c r="D685" s="321"/>
      <c r="E685" s="321"/>
      <c r="F685" s="321"/>
      <c r="G685" s="454"/>
      <c r="H685" s="454"/>
      <c r="I685" s="454"/>
      <c r="J685" s="454"/>
      <c r="K685" s="321"/>
      <c r="L685" s="321"/>
      <c r="M685" s="321"/>
      <c r="N685" s="321"/>
      <c r="O685" s="321"/>
      <c r="P685" s="321"/>
      <c r="Q685" s="321"/>
      <c r="R685" s="321"/>
      <c r="S685" s="321"/>
      <c r="T685" s="321"/>
      <c r="U685" s="321"/>
      <c r="V685" s="321"/>
      <c r="W685" s="321"/>
      <c r="X685" s="321"/>
      <c r="Y685" s="321"/>
      <c r="Z685" s="321"/>
      <c r="AA685" s="321"/>
      <c r="AB685" s="321"/>
      <c r="AC685" s="321"/>
      <c r="AD685" s="321"/>
    </row>
    <row r="686">
      <c r="A686" s="321"/>
      <c r="B686" s="321"/>
      <c r="C686" s="321"/>
      <c r="D686" s="321"/>
      <c r="E686" s="321"/>
      <c r="F686" s="321"/>
      <c r="G686" s="454"/>
      <c r="H686" s="454"/>
      <c r="I686" s="454"/>
      <c r="J686" s="454"/>
      <c r="K686" s="321"/>
      <c r="L686" s="321"/>
      <c r="M686" s="321"/>
      <c r="N686" s="321"/>
      <c r="O686" s="321"/>
      <c r="P686" s="321"/>
      <c r="Q686" s="321"/>
      <c r="R686" s="321"/>
      <c r="S686" s="321"/>
      <c r="T686" s="321"/>
      <c r="U686" s="321"/>
      <c r="V686" s="321"/>
      <c r="W686" s="321"/>
      <c r="X686" s="321"/>
      <c r="Y686" s="321"/>
      <c r="Z686" s="321"/>
      <c r="AA686" s="321"/>
      <c r="AB686" s="321"/>
      <c r="AC686" s="321"/>
      <c r="AD686" s="321"/>
    </row>
    <row r="687">
      <c r="A687" s="321"/>
      <c r="B687" s="321"/>
      <c r="C687" s="321"/>
      <c r="D687" s="321"/>
      <c r="E687" s="321"/>
      <c r="F687" s="321"/>
      <c r="G687" s="454"/>
      <c r="H687" s="454"/>
      <c r="I687" s="454"/>
      <c r="J687" s="454"/>
      <c r="K687" s="321"/>
      <c r="L687" s="321"/>
      <c r="M687" s="321"/>
      <c r="N687" s="321"/>
      <c r="O687" s="321"/>
      <c r="P687" s="321"/>
      <c r="Q687" s="321"/>
      <c r="R687" s="321"/>
      <c r="S687" s="321"/>
      <c r="T687" s="321"/>
      <c r="U687" s="321"/>
      <c r="V687" s="321"/>
      <c r="W687" s="321"/>
      <c r="X687" s="321"/>
      <c r="Y687" s="321"/>
      <c r="Z687" s="321"/>
      <c r="AA687" s="321"/>
      <c r="AB687" s="321"/>
      <c r="AC687" s="321"/>
      <c r="AD687" s="321"/>
    </row>
    <row r="688">
      <c r="A688" s="321"/>
      <c r="B688" s="321"/>
      <c r="C688" s="321"/>
      <c r="D688" s="321"/>
      <c r="E688" s="321"/>
      <c r="F688" s="321"/>
      <c r="G688" s="454"/>
      <c r="H688" s="454"/>
      <c r="I688" s="454"/>
      <c r="J688" s="454"/>
      <c r="K688" s="321"/>
      <c r="L688" s="321"/>
      <c r="M688" s="321"/>
      <c r="N688" s="321"/>
      <c r="O688" s="321"/>
      <c r="P688" s="321"/>
      <c r="Q688" s="321"/>
      <c r="R688" s="321"/>
      <c r="S688" s="321"/>
      <c r="T688" s="321"/>
      <c r="U688" s="321"/>
      <c r="V688" s="321"/>
      <c r="W688" s="321"/>
      <c r="X688" s="321"/>
      <c r="Y688" s="321"/>
      <c r="Z688" s="321"/>
      <c r="AA688" s="321"/>
      <c r="AB688" s="321"/>
      <c r="AC688" s="321"/>
      <c r="AD688" s="321"/>
    </row>
    <row r="689">
      <c r="A689" s="321"/>
      <c r="B689" s="321"/>
      <c r="C689" s="321"/>
      <c r="D689" s="321"/>
      <c r="E689" s="321"/>
      <c r="F689" s="321"/>
      <c r="G689" s="454"/>
      <c r="H689" s="454"/>
      <c r="I689" s="454"/>
      <c r="J689" s="454"/>
      <c r="K689" s="321"/>
      <c r="L689" s="321"/>
      <c r="M689" s="321"/>
      <c r="N689" s="321"/>
      <c r="O689" s="321"/>
      <c r="P689" s="321"/>
      <c r="Q689" s="321"/>
      <c r="R689" s="321"/>
      <c r="S689" s="321"/>
      <c r="T689" s="321"/>
      <c r="U689" s="321"/>
      <c r="V689" s="321"/>
      <c r="W689" s="321"/>
      <c r="X689" s="321"/>
      <c r="Y689" s="321"/>
      <c r="Z689" s="321"/>
      <c r="AA689" s="321"/>
      <c r="AB689" s="321"/>
      <c r="AC689" s="321"/>
      <c r="AD689" s="321"/>
    </row>
    <row r="690">
      <c r="A690" s="321"/>
      <c r="B690" s="321"/>
      <c r="C690" s="321"/>
      <c r="D690" s="321"/>
      <c r="E690" s="321"/>
      <c r="F690" s="321"/>
      <c r="G690" s="454"/>
      <c r="H690" s="454"/>
      <c r="I690" s="454"/>
      <c r="J690" s="454"/>
      <c r="K690" s="321"/>
      <c r="L690" s="321"/>
      <c r="M690" s="321"/>
      <c r="N690" s="321"/>
      <c r="O690" s="321"/>
      <c r="P690" s="321"/>
      <c r="Q690" s="321"/>
      <c r="R690" s="321"/>
      <c r="S690" s="321"/>
      <c r="T690" s="321"/>
      <c r="U690" s="321"/>
      <c r="V690" s="321"/>
      <c r="W690" s="321"/>
      <c r="X690" s="321"/>
      <c r="Y690" s="321"/>
      <c r="Z690" s="321"/>
      <c r="AA690" s="321"/>
      <c r="AB690" s="321"/>
      <c r="AC690" s="321"/>
      <c r="AD690" s="321"/>
    </row>
    <row r="691">
      <c r="A691" s="321"/>
      <c r="B691" s="321"/>
      <c r="C691" s="321"/>
      <c r="D691" s="321"/>
      <c r="E691" s="321"/>
      <c r="F691" s="321"/>
      <c r="G691" s="454"/>
      <c r="H691" s="454"/>
      <c r="I691" s="454"/>
      <c r="J691" s="454"/>
      <c r="K691" s="321"/>
      <c r="L691" s="321"/>
      <c r="M691" s="321"/>
      <c r="N691" s="321"/>
      <c r="O691" s="321"/>
      <c r="P691" s="321"/>
      <c r="Q691" s="321"/>
      <c r="R691" s="321"/>
      <c r="S691" s="321"/>
      <c r="T691" s="321"/>
      <c r="U691" s="321"/>
      <c r="V691" s="321"/>
      <c r="W691" s="321"/>
      <c r="X691" s="321"/>
      <c r="Y691" s="321"/>
      <c r="Z691" s="321"/>
      <c r="AA691" s="321"/>
      <c r="AB691" s="321"/>
      <c r="AC691" s="321"/>
      <c r="AD691" s="321"/>
    </row>
    <row r="692">
      <c r="A692" s="321"/>
      <c r="B692" s="321"/>
      <c r="C692" s="321"/>
      <c r="D692" s="321"/>
      <c r="E692" s="321"/>
      <c r="F692" s="321"/>
      <c r="G692" s="454"/>
      <c r="H692" s="454"/>
      <c r="I692" s="454"/>
      <c r="J692" s="454"/>
      <c r="K692" s="321"/>
      <c r="L692" s="321"/>
      <c r="M692" s="321"/>
      <c r="N692" s="321"/>
      <c r="O692" s="321"/>
      <c r="P692" s="321"/>
      <c r="Q692" s="321"/>
      <c r="R692" s="321"/>
      <c r="S692" s="321"/>
      <c r="T692" s="321"/>
      <c r="U692" s="321"/>
      <c r="V692" s="321"/>
      <c r="W692" s="321"/>
      <c r="X692" s="321"/>
      <c r="Y692" s="321"/>
      <c r="Z692" s="321"/>
      <c r="AA692" s="321"/>
      <c r="AB692" s="321"/>
      <c r="AC692" s="321"/>
      <c r="AD692" s="321"/>
    </row>
    <row r="693">
      <c r="A693" s="321"/>
      <c r="B693" s="321"/>
      <c r="C693" s="321"/>
      <c r="D693" s="321"/>
      <c r="E693" s="321"/>
      <c r="F693" s="321"/>
      <c r="G693" s="454"/>
      <c r="H693" s="454"/>
      <c r="I693" s="454"/>
      <c r="J693" s="454"/>
      <c r="K693" s="321"/>
      <c r="L693" s="321"/>
      <c r="M693" s="321"/>
      <c r="N693" s="321"/>
      <c r="O693" s="321"/>
      <c r="P693" s="321"/>
      <c r="Q693" s="321"/>
      <c r="R693" s="321"/>
      <c r="S693" s="321"/>
      <c r="T693" s="321"/>
      <c r="U693" s="321"/>
      <c r="V693" s="321"/>
      <c r="W693" s="321"/>
      <c r="X693" s="321"/>
      <c r="Y693" s="321"/>
      <c r="Z693" s="321"/>
      <c r="AA693" s="321"/>
      <c r="AB693" s="321"/>
      <c r="AC693" s="321"/>
      <c r="AD693" s="321"/>
    </row>
    <row r="694">
      <c r="A694" s="321"/>
      <c r="B694" s="321"/>
      <c r="C694" s="321"/>
      <c r="D694" s="321"/>
      <c r="E694" s="321"/>
      <c r="F694" s="321"/>
      <c r="G694" s="454"/>
      <c r="H694" s="454"/>
      <c r="I694" s="454"/>
      <c r="J694" s="454"/>
      <c r="K694" s="321"/>
      <c r="L694" s="321"/>
      <c r="M694" s="321"/>
      <c r="N694" s="321"/>
      <c r="O694" s="321"/>
      <c r="P694" s="321"/>
      <c r="Q694" s="321"/>
      <c r="R694" s="321"/>
      <c r="S694" s="321"/>
      <c r="T694" s="321"/>
      <c r="U694" s="321"/>
      <c r="V694" s="321"/>
      <c r="W694" s="321"/>
      <c r="X694" s="321"/>
      <c r="Y694" s="321"/>
      <c r="Z694" s="321"/>
      <c r="AA694" s="321"/>
      <c r="AB694" s="321"/>
      <c r="AC694" s="321"/>
      <c r="AD694" s="321"/>
    </row>
    <row r="695">
      <c r="A695" s="321"/>
      <c r="B695" s="321"/>
      <c r="C695" s="321"/>
      <c r="D695" s="321"/>
      <c r="E695" s="321"/>
      <c r="F695" s="321"/>
      <c r="G695" s="454"/>
      <c r="H695" s="454"/>
      <c r="I695" s="454"/>
      <c r="J695" s="454"/>
      <c r="K695" s="321"/>
      <c r="L695" s="321"/>
      <c r="M695" s="321"/>
      <c r="N695" s="321"/>
      <c r="O695" s="321"/>
      <c r="P695" s="321"/>
      <c r="Q695" s="321"/>
      <c r="R695" s="321"/>
      <c r="S695" s="321"/>
      <c r="T695" s="321"/>
      <c r="U695" s="321"/>
      <c r="V695" s="321"/>
      <c r="W695" s="321"/>
      <c r="X695" s="321"/>
      <c r="Y695" s="321"/>
      <c r="Z695" s="321"/>
      <c r="AA695" s="321"/>
      <c r="AB695" s="321"/>
      <c r="AC695" s="321"/>
      <c r="AD695" s="321"/>
    </row>
    <row r="696">
      <c r="A696" s="321"/>
      <c r="B696" s="321"/>
      <c r="C696" s="321"/>
      <c r="D696" s="321"/>
      <c r="E696" s="321"/>
      <c r="F696" s="321"/>
      <c r="G696" s="454"/>
      <c r="H696" s="454"/>
      <c r="I696" s="454"/>
      <c r="J696" s="454"/>
      <c r="K696" s="321"/>
      <c r="L696" s="321"/>
      <c r="M696" s="321"/>
      <c r="N696" s="321"/>
      <c r="O696" s="321"/>
      <c r="P696" s="321"/>
      <c r="Q696" s="321"/>
      <c r="R696" s="321"/>
      <c r="S696" s="321"/>
      <c r="T696" s="321"/>
      <c r="U696" s="321"/>
      <c r="V696" s="321"/>
      <c r="W696" s="321"/>
      <c r="X696" s="321"/>
      <c r="Y696" s="321"/>
      <c r="Z696" s="321"/>
      <c r="AA696" s="321"/>
      <c r="AB696" s="321"/>
      <c r="AC696" s="321"/>
      <c r="AD696" s="321"/>
    </row>
    <row r="697">
      <c r="A697" s="321"/>
      <c r="B697" s="321"/>
      <c r="C697" s="321"/>
      <c r="D697" s="321"/>
      <c r="E697" s="321"/>
      <c r="F697" s="321"/>
      <c r="G697" s="454"/>
      <c r="H697" s="454"/>
      <c r="I697" s="454"/>
      <c r="J697" s="454"/>
      <c r="K697" s="321"/>
      <c r="L697" s="321"/>
      <c r="M697" s="321"/>
      <c r="N697" s="321"/>
      <c r="O697" s="321"/>
      <c r="P697" s="321"/>
      <c r="Q697" s="321"/>
      <c r="R697" s="321"/>
      <c r="S697" s="321"/>
      <c r="T697" s="321"/>
      <c r="U697" s="321"/>
      <c r="V697" s="321"/>
      <c r="W697" s="321"/>
      <c r="X697" s="321"/>
      <c r="Y697" s="321"/>
      <c r="Z697" s="321"/>
      <c r="AA697" s="321"/>
      <c r="AB697" s="321"/>
      <c r="AC697" s="321"/>
      <c r="AD697" s="321"/>
    </row>
    <row r="698">
      <c r="A698" s="321"/>
      <c r="B698" s="321"/>
      <c r="C698" s="321"/>
      <c r="D698" s="321"/>
      <c r="E698" s="321"/>
      <c r="F698" s="321"/>
      <c r="G698" s="454"/>
      <c r="H698" s="454"/>
      <c r="I698" s="454"/>
      <c r="J698" s="454"/>
      <c r="K698" s="321"/>
      <c r="L698" s="321"/>
      <c r="M698" s="321"/>
      <c r="N698" s="321"/>
      <c r="O698" s="321"/>
      <c r="P698" s="321"/>
      <c r="Q698" s="321"/>
      <c r="R698" s="321"/>
      <c r="S698" s="321"/>
      <c r="T698" s="321"/>
      <c r="U698" s="321"/>
      <c r="V698" s="321"/>
      <c r="W698" s="321"/>
      <c r="X698" s="321"/>
      <c r="Y698" s="321"/>
      <c r="Z698" s="321"/>
      <c r="AA698" s="321"/>
      <c r="AB698" s="321"/>
      <c r="AC698" s="321"/>
      <c r="AD698" s="321"/>
    </row>
    <row r="699">
      <c r="A699" s="321"/>
      <c r="B699" s="321"/>
      <c r="C699" s="321"/>
      <c r="D699" s="321"/>
      <c r="E699" s="321"/>
      <c r="F699" s="321"/>
      <c r="G699" s="454"/>
      <c r="H699" s="454"/>
      <c r="I699" s="454"/>
      <c r="J699" s="454"/>
      <c r="K699" s="321"/>
      <c r="L699" s="321"/>
      <c r="M699" s="321"/>
      <c r="N699" s="321"/>
      <c r="O699" s="321"/>
      <c r="P699" s="321"/>
      <c r="Q699" s="321"/>
      <c r="R699" s="321"/>
      <c r="S699" s="321"/>
      <c r="T699" s="321"/>
      <c r="U699" s="321"/>
      <c r="V699" s="321"/>
      <c r="W699" s="321"/>
      <c r="X699" s="321"/>
      <c r="Y699" s="321"/>
      <c r="Z699" s="321"/>
      <c r="AA699" s="321"/>
      <c r="AB699" s="321"/>
      <c r="AC699" s="321"/>
      <c r="AD699" s="321"/>
    </row>
    <row r="700">
      <c r="A700" s="321"/>
      <c r="B700" s="321"/>
      <c r="C700" s="321"/>
      <c r="D700" s="321"/>
      <c r="E700" s="321"/>
      <c r="F700" s="321"/>
      <c r="G700" s="454"/>
      <c r="H700" s="454"/>
      <c r="I700" s="454"/>
      <c r="J700" s="454"/>
      <c r="K700" s="321"/>
      <c r="L700" s="321"/>
      <c r="M700" s="321"/>
      <c r="N700" s="321"/>
      <c r="O700" s="321"/>
      <c r="P700" s="321"/>
      <c r="Q700" s="321"/>
      <c r="R700" s="321"/>
      <c r="S700" s="321"/>
      <c r="T700" s="321"/>
      <c r="U700" s="321"/>
      <c r="V700" s="321"/>
      <c r="W700" s="321"/>
      <c r="X700" s="321"/>
      <c r="Y700" s="321"/>
      <c r="Z700" s="321"/>
      <c r="AA700" s="321"/>
      <c r="AB700" s="321"/>
      <c r="AC700" s="321"/>
      <c r="AD700" s="321"/>
    </row>
    <row r="701">
      <c r="A701" s="321"/>
      <c r="B701" s="321"/>
      <c r="C701" s="321"/>
      <c r="D701" s="321"/>
      <c r="E701" s="321"/>
      <c r="F701" s="321"/>
      <c r="G701" s="454"/>
      <c r="H701" s="454"/>
      <c r="I701" s="454"/>
      <c r="J701" s="454"/>
      <c r="K701" s="321"/>
      <c r="L701" s="321"/>
      <c r="M701" s="321"/>
      <c r="N701" s="321"/>
      <c r="O701" s="321"/>
      <c r="P701" s="321"/>
      <c r="Q701" s="321"/>
      <c r="R701" s="321"/>
      <c r="S701" s="321"/>
      <c r="T701" s="321"/>
      <c r="U701" s="321"/>
      <c r="V701" s="321"/>
      <c r="W701" s="321"/>
      <c r="X701" s="321"/>
      <c r="Y701" s="321"/>
      <c r="Z701" s="321"/>
      <c r="AA701" s="321"/>
      <c r="AB701" s="321"/>
      <c r="AC701" s="321"/>
      <c r="AD701" s="321"/>
    </row>
    <row r="702">
      <c r="A702" s="321"/>
      <c r="B702" s="321"/>
      <c r="C702" s="321"/>
      <c r="D702" s="321"/>
      <c r="E702" s="321"/>
      <c r="F702" s="321"/>
      <c r="G702" s="454"/>
      <c r="H702" s="454"/>
      <c r="I702" s="454"/>
      <c r="J702" s="454"/>
      <c r="K702" s="321"/>
      <c r="L702" s="321"/>
      <c r="M702" s="321"/>
      <c r="N702" s="321"/>
      <c r="O702" s="321"/>
      <c r="P702" s="321"/>
      <c r="Q702" s="321"/>
      <c r="R702" s="321"/>
      <c r="S702" s="321"/>
      <c r="T702" s="321"/>
      <c r="U702" s="321"/>
      <c r="V702" s="321"/>
      <c r="W702" s="321"/>
      <c r="X702" s="321"/>
      <c r="Y702" s="321"/>
      <c r="Z702" s="321"/>
      <c r="AA702" s="321"/>
      <c r="AB702" s="321"/>
      <c r="AC702" s="321"/>
      <c r="AD702" s="321"/>
    </row>
    <row r="703">
      <c r="A703" s="321"/>
      <c r="B703" s="321"/>
      <c r="C703" s="321"/>
      <c r="D703" s="321"/>
      <c r="E703" s="321"/>
      <c r="F703" s="321"/>
      <c r="G703" s="454"/>
      <c r="H703" s="454"/>
      <c r="I703" s="454"/>
      <c r="J703" s="454"/>
      <c r="K703" s="321"/>
      <c r="L703" s="321"/>
      <c r="M703" s="321"/>
      <c r="N703" s="321"/>
      <c r="O703" s="321"/>
      <c r="P703" s="321"/>
      <c r="Q703" s="321"/>
      <c r="R703" s="321"/>
      <c r="S703" s="321"/>
      <c r="T703" s="321"/>
      <c r="U703" s="321"/>
      <c r="V703" s="321"/>
      <c r="W703" s="321"/>
      <c r="X703" s="321"/>
      <c r="Y703" s="321"/>
      <c r="Z703" s="321"/>
      <c r="AA703" s="321"/>
      <c r="AB703" s="321"/>
      <c r="AC703" s="321"/>
      <c r="AD703" s="321"/>
    </row>
    <row r="704">
      <c r="A704" s="321"/>
      <c r="B704" s="321"/>
      <c r="C704" s="321"/>
      <c r="D704" s="321"/>
      <c r="E704" s="321"/>
      <c r="F704" s="321"/>
      <c r="G704" s="454"/>
      <c r="H704" s="454"/>
      <c r="I704" s="454"/>
      <c r="J704" s="454"/>
      <c r="K704" s="321"/>
      <c r="L704" s="321"/>
      <c r="M704" s="321"/>
      <c r="N704" s="321"/>
      <c r="O704" s="321"/>
      <c r="P704" s="321"/>
      <c r="Q704" s="321"/>
      <c r="R704" s="321"/>
      <c r="S704" s="321"/>
      <c r="T704" s="321"/>
      <c r="U704" s="321"/>
      <c r="V704" s="321"/>
      <c r="W704" s="321"/>
      <c r="X704" s="321"/>
      <c r="Y704" s="321"/>
      <c r="Z704" s="321"/>
      <c r="AA704" s="321"/>
      <c r="AB704" s="321"/>
      <c r="AC704" s="321"/>
      <c r="AD704" s="321"/>
    </row>
    <row r="705">
      <c r="A705" s="321"/>
      <c r="B705" s="321"/>
      <c r="C705" s="321"/>
      <c r="D705" s="321"/>
      <c r="E705" s="321"/>
      <c r="F705" s="321"/>
      <c r="G705" s="454"/>
      <c r="H705" s="454"/>
      <c r="I705" s="454"/>
      <c r="J705" s="454"/>
      <c r="K705" s="321"/>
      <c r="L705" s="321"/>
      <c r="M705" s="321"/>
      <c r="N705" s="321"/>
      <c r="O705" s="321"/>
      <c r="P705" s="321"/>
      <c r="Q705" s="321"/>
      <c r="R705" s="321"/>
      <c r="S705" s="321"/>
      <c r="T705" s="321"/>
      <c r="U705" s="321"/>
      <c r="V705" s="321"/>
      <c r="W705" s="321"/>
      <c r="X705" s="321"/>
      <c r="Y705" s="321"/>
      <c r="Z705" s="321"/>
      <c r="AA705" s="321"/>
      <c r="AB705" s="321"/>
      <c r="AC705" s="321"/>
      <c r="AD705" s="321"/>
    </row>
    <row r="706">
      <c r="A706" s="321"/>
      <c r="B706" s="321"/>
      <c r="C706" s="321"/>
      <c r="D706" s="321"/>
      <c r="E706" s="321"/>
      <c r="F706" s="321"/>
      <c r="G706" s="454"/>
      <c r="H706" s="454"/>
      <c r="I706" s="454"/>
      <c r="J706" s="454"/>
      <c r="K706" s="321"/>
      <c r="L706" s="321"/>
      <c r="M706" s="321"/>
      <c r="N706" s="321"/>
      <c r="O706" s="321"/>
      <c r="P706" s="321"/>
      <c r="Q706" s="321"/>
      <c r="R706" s="321"/>
      <c r="S706" s="321"/>
      <c r="T706" s="321"/>
      <c r="U706" s="321"/>
      <c r="V706" s="321"/>
      <c r="W706" s="321"/>
      <c r="X706" s="321"/>
      <c r="Y706" s="321"/>
      <c r="Z706" s="321"/>
      <c r="AA706" s="321"/>
      <c r="AB706" s="321"/>
      <c r="AC706" s="321"/>
      <c r="AD706" s="321"/>
    </row>
    <row r="707">
      <c r="A707" s="321"/>
      <c r="B707" s="321"/>
      <c r="C707" s="321"/>
      <c r="D707" s="321"/>
      <c r="E707" s="321"/>
      <c r="F707" s="321"/>
      <c r="G707" s="454"/>
      <c r="H707" s="454"/>
      <c r="I707" s="454"/>
      <c r="J707" s="454"/>
      <c r="K707" s="321"/>
      <c r="L707" s="321"/>
      <c r="M707" s="321"/>
      <c r="N707" s="321"/>
      <c r="O707" s="321"/>
      <c r="P707" s="321"/>
      <c r="Q707" s="321"/>
      <c r="R707" s="321"/>
      <c r="S707" s="321"/>
      <c r="T707" s="321"/>
      <c r="U707" s="321"/>
      <c r="V707" s="321"/>
      <c r="W707" s="321"/>
      <c r="X707" s="321"/>
      <c r="Y707" s="321"/>
      <c r="Z707" s="321"/>
      <c r="AA707" s="321"/>
      <c r="AB707" s="321"/>
      <c r="AC707" s="321"/>
      <c r="AD707" s="321"/>
    </row>
    <row r="708">
      <c r="A708" s="321"/>
      <c r="B708" s="321"/>
      <c r="C708" s="321"/>
      <c r="D708" s="321"/>
      <c r="E708" s="321"/>
      <c r="F708" s="321"/>
      <c r="G708" s="454"/>
      <c r="H708" s="454"/>
      <c r="I708" s="454"/>
      <c r="J708" s="454"/>
      <c r="K708" s="321"/>
      <c r="L708" s="321"/>
      <c r="M708" s="321"/>
      <c r="N708" s="321"/>
      <c r="O708" s="321"/>
      <c r="P708" s="321"/>
      <c r="Q708" s="321"/>
      <c r="R708" s="321"/>
      <c r="S708" s="321"/>
      <c r="T708" s="321"/>
      <c r="U708" s="321"/>
      <c r="V708" s="321"/>
      <c r="W708" s="321"/>
      <c r="X708" s="321"/>
      <c r="Y708" s="321"/>
      <c r="Z708" s="321"/>
      <c r="AA708" s="321"/>
      <c r="AB708" s="321"/>
      <c r="AC708" s="321"/>
      <c r="AD708" s="321"/>
    </row>
    <row r="709">
      <c r="A709" s="321"/>
      <c r="B709" s="321"/>
      <c r="C709" s="321"/>
      <c r="D709" s="321"/>
      <c r="E709" s="321"/>
      <c r="F709" s="321"/>
      <c r="G709" s="454"/>
      <c r="H709" s="454"/>
      <c r="I709" s="454"/>
      <c r="J709" s="454"/>
      <c r="K709" s="321"/>
      <c r="L709" s="321"/>
      <c r="M709" s="321"/>
      <c r="N709" s="321"/>
      <c r="O709" s="321"/>
      <c r="P709" s="321"/>
      <c r="Q709" s="321"/>
      <c r="R709" s="321"/>
      <c r="S709" s="321"/>
      <c r="T709" s="321"/>
      <c r="U709" s="321"/>
      <c r="V709" s="321"/>
      <c r="W709" s="321"/>
      <c r="X709" s="321"/>
      <c r="Y709" s="321"/>
      <c r="Z709" s="321"/>
      <c r="AA709" s="321"/>
      <c r="AB709" s="321"/>
      <c r="AC709" s="321"/>
      <c r="AD709" s="321"/>
    </row>
    <row r="710">
      <c r="A710" s="321"/>
      <c r="B710" s="321"/>
      <c r="C710" s="321"/>
      <c r="D710" s="321"/>
      <c r="E710" s="321"/>
      <c r="F710" s="321"/>
      <c r="G710" s="454"/>
      <c r="H710" s="454"/>
      <c r="I710" s="454"/>
      <c r="J710" s="454"/>
      <c r="K710" s="321"/>
      <c r="L710" s="321"/>
      <c r="M710" s="321"/>
      <c r="N710" s="321"/>
      <c r="O710" s="321"/>
      <c r="P710" s="321"/>
      <c r="Q710" s="321"/>
      <c r="R710" s="321"/>
      <c r="S710" s="321"/>
      <c r="T710" s="321"/>
      <c r="U710" s="321"/>
      <c r="V710" s="321"/>
      <c r="W710" s="321"/>
      <c r="X710" s="321"/>
      <c r="Y710" s="321"/>
      <c r="Z710" s="321"/>
      <c r="AA710" s="321"/>
      <c r="AB710" s="321"/>
      <c r="AC710" s="321"/>
      <c r="AD710" s="321"/>
    </row>
    <row r="711">
      <c r="A711" s="321"/>
      <c r="B711" s="321"/>
      <c r="C711" s="321"/>
      <c r="D711" s="321"/>
      <c r="E711" s="321"/>
      <c r="F711" s="321"/>
      <c r="G711" s="454"/>
      <c r="H711" s="454"/>
      <c r="I711" s="454"/>
      <c r="J711" s="454"/>
      <c r="K711" s="321"/>
      <c r="L711" s="321"/>
      <c r="M711" s="321"/>
      <c r="N711" s="321"/>
      <c r="O711" s="321"/>
      <c r="P711" s="321"/>
      <c r="Q711" s="321"/>
      <c r="R711" s="321"/>
      <c r="S711" s="321"/>
      <c r="T711" s="321"/>
      <c r="U711" s="321"/>
      <c r="V711" s="321"/>
      <c r="W711" s="321"/>
      <c r="X711" s="321"/>
      <c r="Y711" s="321"/>
      <c r="Z711" s="321"/>
      <c r="AA711" s="321"/>
      <c r="AB711" s="321"/>
      <c r="AC711" s="321"/>
      <c r="AD711" s="321"/>
    </row>
    <row r="712">
      <c r="A712" s="321"/>
      <c r="B712" s="321"/>
      <c r="C712" s="321"/>
      <c r="D712" s="321"/>
      <c r="E712" s="321"/>
      <c r="F712" s="321"/>
      <c r="G712" s="454"/>
      <c r="H712" s="454"/>
      <c r="I712" s="454"/>
      <c r="J712" s="454"/>
      <c r="K712" s="321"/>
      <c r="L712" s="321"/>
      <c r="M712" s="321"/>
      <c r="N712" s="321"/>
      <c r="O712" s="321"/>
      <c r="P712" s="321"/>
      <c r="Q712" s="321"/>
      <c r="R712" s="321"/>
      <c r="S712" s="321"/>
      <c r="T712" s="321"/>
      <c r="U712" s="321"/>
      <c r="V712" s="321"/>
      <c r="W712" s="321"/>
      <c r="X712" s="321"/>
      <c r="Y712" s="321"/>
      <c r="Z712" s="321"/>
      <c r="AA712" s="321"/>
      <c r="AB712" s="321"/>
      <c r="AC712" s="321"/>
      <c r="AD712" s="321"/>
    </row>
    <row r="713">
      <c r="A713" s="321"/>
      <c r="B713" s="321"/>
      <c r="C713" s="321"/>
      <c r="D713" s="321"/>
      <c r="E713" s="321"/>
      <c r="F713" s="321"/>
      <c r="G713" s="454"/>
      <c r="H713" s="454"/>
      <c r="I713" s="454"/>
      <c r="J713" s="454"/>
      <c r="K713" s="321"/>
      <c r="L713" s="321"/>
      <c r="M713" s="321"/>
      <c r="N713" s="321"/>
      <c r="O713" s="321"/>
      <c r="P713" s="321"/>
      <c r="Q713" s="321"/>
      <c r="R713" s="321"/>
      <c r="S713" s="321"/>
      <c r="T713" s="321"/>
      <c r="U713" s="321"/>
      <c r="V713" s="321"/>
      <c r="W713" s="321"/>
      <c r="X713" s="321"/>
      <c r="Y713" s="321"/>
      <c r="Z713" s="321"/>
      <c r="AA713" s="321"/>
      <c r="AB713" s="321"/>
      <c r="AC713" s="321"/>
      <c r="AD713" s="321"/>
    </row>
    <row r="714">
      <c r="A714" s="321"/>
      <c r="B714" s="321"/>
      <c r="C714" s="321"/>
      <c r="D714" s="321"/>
      <c r="E714" s="321"/>
      <c r="F714" s="321"/>
      <c r="G714" s="454"/>
      <c r="H714" s="454"/>
      <c r="I714" s="454"/>
      <c r="J714" s="454"/>
      <c r="K714" s="321"/>
      <c r="L714" s="321"/>
      <c r="M714" s="321"/>
      <c r="N714" s="321"/>
      <c r="O714" s="321"/>
      <c r="P714" s="321"/>
      <c r="Q714" s="321"/>
      <c r="R714" s="321"/>
      <c r="S714" s="321"/>
      <c r="T714" s="321"/>
      <c r="U714" s="321"/>
      <c r="V714" s="321"/>
      <c r="W714" s="321"/>
      <c r="X714" s="321"/>
      <c r="Y714" s="321"/>
      <c r="Z714" s="321"/>
      <c r="AA714" s="321"/>
      <c r="AB714" s="321"/>
      <c r="AC714" s="321"/>
      <c r="AD714" s="321"/>
    </row>
    <row r="715">
      <c r="A715" s="321"/>
      <c r="B715" s="321"/>
      <c r="C715" s="321"/>
      <c r="D715" s="321"/>
      <c r="E715" s="321"/>
      <c r="F715" s="321"/>
      <c r="G715" s="454"/>
      <c r="H715" s="454"/>
      <c r="I715" s="454"/>
      <c r="J715" s="454"/>
      <c r="K715" s="321"/>
      <c r="L715" s="321"/>
      <c r="M715" s="321"/>
      <c r="N715" s="321"/>
      <c r="O715" s="321"/>
      <c r="P715" s="321"/>
      <c r="Q715" s="321"/>
      <c r="R715" s="321"/>
      <c r="S715" s="321"/>
      <c r="T715" s="321"/>
      <c r="U715" s="321"/>
      <c r="V715" s="321"/>
      <c r="W715" s="321"/>
      <c r="X715" s="321"/>
      <c r="Y715" s="321"/>
      <c r="Z715" s="321"/>
      <c r="AA715" s="321"/>
      <c r="AB715" s="321"/>
      <c r="AC715" s="321"/>
      <c r="AD715" s="321"/>
    </row>
    <row r="716">
      <c r="A716" s="321"/>
      <c r="B716" s="321"/>
      <c r="C716" s="321"/>
      <c r="D716" s="321"/>
      <c r="E716" s="321"/>
      <c r="F716" s="321"/>
      <c r="G716" s="454"/>
      <c r="H716" s="454"/>
      <c r="I716" s="454"/>
      <c r="J716" s="454"/>
      <c r="K716" s="321"/>
      <c r="L716" s="321"/>
      <c r="M716" s="321"/>
      <c r="N716" s="321"/>
      <c r="O716" s="321"/>
      <c r="P716" s="321"/>
      <c r="Q716" s="321"/>
      <c r="R716" s="321"/>
      <c r="S716" s="321"/>
      <c r="T716" s="321"/>
      <c r="U716" s="321"/>
      <c r="V716" s="321"/>
      <c r="W716" s="321"/>
      <c r="X716" s="321"/>
      <c r="Y716" s="321"/>
      <c r="Z716" s="321"/>
      <c r="AA716" s="321"/>
      <c r="AB716" s="321"/>
      <c r="AC716" s="321"/>
      <c r="AD716" s="321"/>
    </row>
    <row r="717">
      <c r="A717" s="321"/>
      <c r="B717" s="321"/>
      <c r="C717" s="321"/>
      <c r="D717" s="321"/>
      <c r="E717" s="321"/>
      <c r="F717" s="321"/>
      <c r="G717" s="454"/>
      <c r="H717" s="454"/>
      <c r="I717" s="454"/>
      <c r="J717" s="454"/>
      <c r="K717" s="321"/>
      <c r="L717" s="321"/>
      <c r="M717" s="321"/>
      <c r="N717" s="321"/>
      <c r="O717" s="321"/>
      <c r="P717" s="321"/>
      <c r="Q717" s="321"/>
      <c r="R717" s="321"/>
      <c r="S717" s="321"/>
      <c r="T717" s="321"/>
      <c r="U717" s="321"/>
      <c r="V717" s="321"/>
      <c r="W717" s="321"/>
      <c r="X717" s="321"/>
      <c r="Y717" s="321"/>
      <c r="Z717" s="321"/>
      <c r="AA717" s="321"/>
      <c r="AB717" s="321"/>
      <c r="AC717" s="321"/>
      <c r="AD717" s="321"/>
    </row>
    <row r="718">
      <c r="A718" s="321"/>
      <c r="B718" s="321"/>
      <c r="C718" s="321"/>
      <c r="D718" s="321"/>
      <c r="E718" s="321"/>
      <c r="F718" s="321"/>
      <c r="G718" s="454"/>
      <c r="H718" s="454"/>
      <c r="I718" s="454"/>
      <c r="J718" s="454"/>
      <c r="K718" s="321"/>
      <c r="L718" s="321"/>
      <c r="M718" s="321"/>
      <c r="N718" s="321"/>
      <c r="O718" s="321"/>
      <c r="P718" s="321"/>
      <c r="Q718" s="321"/>
      <c r="R718" s="321"/>
      <c r="S718" s="321"/>
      <c r="T718" s="321"/>
      <c r="U718" s="321"/>
      <c r="V718" s="321"/>
      <c r="W718" s="321"/>
      <c r="X718" s="321"/>
      <c r="Y718" s="321"/>
      <c r="Z718" s="321"/>
      <c r="AA718" s="321"/>
      <c r="AB718" s="321"/>
      <c r="AC718" s="321"/>
      <c r="AD718" s="321"/>
    </row>
    <row r="719">
      <c r="A719" s="321"/>
      <c r="B719" s="321"/>
      <c r="C719" s="321"/>
      <c r="D719" s="321"/>
      <c r="E719" s="321"/>
      <c r="F719" s="321"/>
      <c r="G719" s="454"/>
      <c r="H719" s="454"/>
      <c r="I719" s="454"/>
      <c r="J719" s="454"/>
      <c r="K719" s="321"/>
      <c r="L719" s="321"/>
      <c r="M719" s="321"/>
      <c r="N719" s="321"/>
      <c r="O719" s="321"/>
      <c r="P719" s="321"/>
      <c r="Q719" s="321"/>
      <c r="R719" s="321"/>
      <c r="S719" s="321"/>
      <c r="T719" s="321"/>
      <c r="U719" s="321"/>
      <c r="V719" s="321"/>
      <c r="W719" s="321"/>
      <c r="X719" s="321"/>
      <c r="Y719" s="321"/>
      <c r="Z719" s="321"/>
      <c r="AA719" s="321"/>
      <c r="AB719" s="321"/>
      <c r="AC719" s="321"/>
      <c r="AD719" s="321"/>
    </row>
    <row r="720">
      <c r="A720" s="321"/>
      <c r="B720" s="321"/>
      <c r="C720" s="321"/>
      <c r="D720" s="321"/>
      <c r="E720" s="321"/>
      <c r="F720" s="321"/>
      <c r="G720" s="454"/>
      <c r="H720" s="454"/>
      <c r="I720" s="454"/>
      <c r="J720" s="454"/>
      <c r="K720" s="321"/>
      <c r="L720" s="321"/>
      <c r="M720" s="321"/>
      <c r="N720" s="321"/>
      <c r="O720" s="321"/>
      <c r="P720" s="321"/>
      <c r="Q720" s="321"/>
      <c r="R720" s="321"/>
      <c r="S720" s="321"/>
      <c r="T720" s="321"/>
      <c r="U720" s="321"/>
      <c r="V720" s="321"/>
      <c r="W720" s="321"/>
      <c r="X720" s="321"/>
      <c r="Y720" s="321"/>
      <c r="Z720" s="321"/>
      <c r="AA720" s="321"/>
      <c r="AB720" s="321"/>
      <c r="AC720" s="321"/>
      <c r="AD720" s="321"/>
    </row>
    <row r="721">
      <c r="A721" s="321"/>
      <c r="B721" s="321"/>
      <c r="C721" s="321"/>
      <c r="D721" s="321"/>
      <c r="E721" s="321"/>
      <c r="F721" s="321"/>
      <c r="G721" s="454"/>
      <c r="H721" s="454"/>
      <c r="I721" s="454"/>
      <c r="J721" s="454"/>
      <c r="K721" s="321"/>
      <c r="L721" s="321"/>
      <c r="M721" s="321"/>
      <c r="N721" s="321"/>
      <c r="O721" s="321"/>
      <c r="P721" s="321"/>
      <c r="Q721" s="321"/>
      <c r="R721" s="321"/>
      <c r="S721" s="321"/>
      <c r="T721" s="321"/>
      <c r="U721" s="321"/>
      <c r="V721" s="321"/>
      <c r="W721" s="321"/>
      <c r="X721" s="321"/>
      <c r="Y721" s="321"/>
      <c r="Z721" s="321"/>
      <c r="AA721" s="321"/>
      <c r="AB721" s="321"/>
      <c r="AC721" s="321"/>
      <c r="AD721" s="321"/>
    </row>
    <row r="722">
      <c r="A722" s="321"/>
      <c r="B722" s="321"/>
      <c r="C722" s="321"/>
      <c r="D722" s="321"/>
      <c r="E722" s="321"/>
      <c r="F722" s="321"/>
      <c r="G722" s="454"/>
      <c r="H722" s="454"/>
      <c r="I722" s="454"/>
      <c r="J722" s="454"/>
      <c r="K722" s="321"/>
      <c r="L722" s="321"/>
      <c r="M722" s="321"/>
      <c r="N722" s="321"/>
      <c r="O722" s="321"/>
      <c r="P722" s="321"/>
      <c r="Q722" s="321"/>
      <c r="R722" s="321"/>
      <c r="S722" s="321"/>
      <c r="T722" s="321"/>
      <c r="U722" s="321"/>
      <c r="V722" s="321"/>
      <c r="W722" s="321"/>
      <c r="X722" s="321"/>
      <c r="Y722" s="321"/>
      <c r="Z722" s="321"/>
      <c r="AA722" s="321"/>
      <c r="AB722" s="321"/>
      <c r="AC722" s="321"/>
      <c r="AD722" s="321"/>
    </row>
    <row r="723">
      <c r="A723" s="321"/>
      <c r="B723" s="321"/>
      <c r="C723" s="321"/>
      <c r="D723" s="321"/>
      <c r="E723" s="321"/>
      <c r="F723" s="321"/>
      <c r="G723" s="454"/>
      <c r="H723" s="454"/>
      <c r="I723" s="454"/>
      <c r="J723" s="454"/>
      <c r="K723" s="321"/>
      <c r="L723" s="321"/>
      <c r="M723" s="321"/>
      <c r="N723" s="321"/>
      <c r="O723" s="321"/>
      <c r="P723" s="321"/>
      <c r="Q723" s="321"/>
      <c r="R723" s="321"/>
      <c r="S723" s="321"/>
      <c r="T723" s="321"/>
      <c r="U723" s="321"/>
      <c r="V723" s="321"/>
      <c r="W723" s="321"/>
      <c r="X723" s="321"/>
      <c r="Y723" s="321"/>
      <c r="Z723" s="321"/>
      <c r="AA723" s="321"/>
      <c r="AB723" s="321"/>
      <c r="AC723" s="321"/>
      <c r="AD723" s="321"/>
    </row>
    <row r="724">
      <c r="A724" s="321"/>
      <c r="B724" s="321"/>
      <c r="C724" s="321"/>
      <c r="D724" s="321"/>
      <c r="E724" s="321"/>
      <c r="F724" s="321"/>
      <c r="G724" s="454"/>
      <c r="H724" s="454"/>
      <c r="I724" s="454"/>
      <c r="J724" s="454"/>
      <c r="K724" s="321"/>
      <c r="L724" s="321"/>
      <c r="M724" s="321"/>
      <c r="N724" s="321"/>
      <c r="O724" s="321"/>
      <c r="P724" s="321"/>
      <c r="Q724" s="321"/>
      <c r="R724" s="321"/>
      <c r="S724" s="321"/>
      <c r="T724" s="321"/>
      <c r="U724" s="321"/>
      <c r="V724" s="321"/>
      <c r="W724" s="321"/>
      <c r="X724" s="321"/>
      <c r="Y724" s="321"/>
      <c r="Z724" s="321"/>
      <c r="AA724" s="321"/>
      <c r="AB724" s="321"/>
      <c r="AC724" s="321"/>
      <c r="AD724" s="321"/>
    </row>
    <row r="725">
      <c r="A725" s="321"/>
      <c r="B725" s="321"/>
      <c r="C725" s="321"/>
      <c r="D725" s="321"/>
      <c r="E725" s="321"/>
      <c r="F725" s="321"/>
      <c r="G725" s="454"/>
      <c r="H725" s="454"/>
      <c r="I725" s="454"/>
      <c r="J725" s="454"/>
      <c r="K725" s="321"/>
      <c r="L725" s="321"/>
      <c r="M725" s="321"/>
      <c r="N725" s="321"/>
      <c r="O725" s="321"/>
      <c r="P725" s="321"/>
      <c r="Q725" s="321"/>
      <c r="R725" s="321"/>
      <c r="S725" s="321"/>
      <c r="T725" s="321"/>
      <c r="U725" s="321"/>
      <c r="V725" s="321"/>
      <c r="W725" s="321"/>
      <c r="X725" s="321"/>
      <c r="Y725" s="321"/>
      <c r="Z725" s="321"/>
      <c r="AA725" s="321"/>
      <c r="AB725" s="321"/>
      <c r="AC725" s="321"/>
      <c r="AD725" s="321"/>
    </row>
    <row r="726">
      <c r="A726" s="321"/>
      <c r="B726" s="321"/>
      <c r="C726" s="321"/>
      <c r="D726" s="321"/>
      <c r="E726" s="321"/>
      <c r="F726" s="321"/>
      <c r="G726" s="454"/>
      <c r="H726" s="454"/>
      <c r="I726" s="454"/>
      <c r="J726" s="454"/>
      <c r="K726" s="321"/>
      <c r="L726" s="321"/>
      <c r="M726" s="321"/>
      <c r="N726" s="321"/>
      <c r="O726" s="321"/>
      <c r="P726" s="321"/>
      <c r="Q726" s="321"/>
      <c r="R726" s="321"/>
      <c r="S726" s="321"/>
      <c r="T726" s="321"/>
      <c r="U726" s="321"/>
      <c r="V726" s="321"/>
      <c r="W726" s="321"/>
      <c r="X726" s="321"/>
      <c r="Y726" s="321"/>
      <c r="Z726" s="321"/>
      <c r="AA726" s="321"/>
      <c r="AB726" s="321"/>
      <c r="AC726" s="321"/>
      <c r="AD726" s="321"/>
    </row>
    <row r="727">
      <c r="A727" s="321"/>
      <c r="B727" s="321"/>
      <c r="C727" s="321"/>
      <c r="D727" s="321"/>
      <c r="E727" s="321"/>
      <c r="F727" s="321"/>
      <c r="G727" s="454"/>
      <c r="H727" s="454"/>
      <c r="I727" s="454"/>
      <c r="J727" s="454"/>
      <c r="K727" s="321"/>
      <c r="L727" s="321"/>
      <c r="M727" s="321"/>
      <c r="N727" s="321"/>
      <c r="O727" s="321"/>
      <c r="P727" s="321"/>
      <c r="Q727" s="321"/>
      <c r="R727" s="321"/>
      <c r="S727" s="321"/>
      <c r="T727" s="321"/>
      <c r="U727" s="321"/>
      <c r="V727" s="321"/>
      <c r="W727" s="321"/>
      <c r="X727" s="321"/>
      <c r="Y727" s="321"/>
      <c r="Z727" s="321"/>
      <c r="AA727" s="321"/>
      <c r="AB727" s="321"/>
      <c r="AC727" s="321"/>
      <c r="AD727" s="321"/>
    </row>
    <row r="728">
      <c r="A728" s="321"/>
      <c r="B728" s="321"/>
      <c r="C728" s="321"/>
      <c r="D728" s="321"/>
      <c r="E728" s="321"/>
      <c r="F728" s="321"/>
      <c r="G728" s="454"/>
      <c r="H728" s="454"/>
      <c r="I728" s="454"/>
      <c r="J728" s="454"/>
      <c r="K728" s="321"/>
      <c r="L728" s="321"/>
      <c r="M728" s="321"/>
      <c r="N728" s="321"/>
      <c r="O728" s="321"/>
      <c r="P728" s="321"/>
      <c r="Q728" s="321"/>
      <c r="R728" s="321"/>
      <c r="S728" s="321"/>
      <c r="T728" s="321"/>
      <c r="U728" s="321"/>
      <c r="V728" s="321"/>
      <c r="W728" s="321"/>
      <c r="X728" s="321"/>
      <c r="Y728" s="321"/>
      <c r="Z728" s="321"/>
      <c r="AA728" s="321"/>
      <c r="AB728" s="321"/>
      <c r="AC728" s="321"/>
      <c r="AD728" s="321"/>
    </row>
    <row r="729">
      <c r="A729" s="321"/>
      <c r="B729" s="321"/>
      <c r="C729" s="321"/>
      <c r="D729" s="321"/>
      <c r="E729" s="321"/>
      <c r="F729" s="321"/>
      <c r="G729" s="454"/>
      <c r="H729" s="454"/>
      <c r="I729" s="454"/>
      <c r="J729" s="454"/>
      <c r="K729" s="321"/>
      <c r="L729" s="321"/>
      <c r="M729" s="321"/>
      <c r="N729" s="321"/>
      <c r="O729" s="321"/>
      <c r="P729" s="321"/>
      <c r="Q729" s="321"/>
      <c r="R729" s="321"/>
      <c r="S729" s="321"/>
      <c r="T729" s="321"/>
      <c r="U729" s="321"/>
      <c r="V729" s="321"/>
      <c r="W729" s="321"/>
      <c r="X729" s="321"/>
      <c r="Y729" s="321"/>
      <c r="Z729" s="321"/>
      <c r="AA729" s="321"/>
      <c r="AB729" s="321"/>
      <c r="AC729" s="321"/>
      <c r="AD729" s="321"/>
    </row>
    <row r="730">
      <c r="A730" s="321"/>
      <c r="B730" s="321"/>
      <c r="C730" s="321"/>
      <c r="D730" s="321"/>
      <c r="E730" s="321"/>
      <c r="F730" s="321"/>
      <c r="G730" s="454"/>
      <c r="H730" s="454"/>
      <c r="I730" s="454"/>
      <c r="J730" s="454"/>
      <c r="K730" s="321"/>
      <c r="L730" s="321"/>
      <c r="M730" s="321"/>
      <c r="N730" s="321"/>
      <c r="O730" s="321"/>
      <c r="P730" s="321"/>
      <c r="Q730" s="321"/>
      <c r="R730" s="321"/>
      <c r="S730" s="321"/>
      <c r="T730" s="321"/>
      <c r="U730" s="321"/>
      <c r="V730" s="321"/>
      <c r="W730" s="321"/>
      <c r="X730" s="321"/>
      <c r="Y730" s="321"/>
      <c r="Z730" s="321"/>
      <c r="AA730" s="321"/>
      <c r="AB730" s="321"/>
      <c r="AC730" s="321"/>
      <c r="AD730" s="321"/>
    </row>
    <row r="731">
      <c r="A731" s="321"/>
      <c r="B731" s="321"/>
      <c r="C731" s="321"/>
      <c r="D731" s="321"/>
      <c r="E731" s="321"/>
      <c r="F731" s="321"/>
      <c r="G731" s="454"/>
      <c r="H731" s="454"/>
      <c r="I731" s="454"/>
      <c r="J731" s="454"/>
      <c r="K731" s="321"/>
      <c r="L731" s="321"/>
      <c r="M731" s="321"/>
      <c r="N731" s="321"/>
      <c r="O731" s="321"/>
      <c r="P731" s="321"/>
      <c r="Q731" s="321"/>
      <c r="R731" s="321"/>
      <c r="S731" s="321"/>
      <c r="T731" s="321"/>
      <c r="U731" s="321"/>
      <c r="V731" s="321"/>
      <c r="W731" s="321"/>
      <c r="X731" s="321"/>
      <c r="Y731" s="321"/>
      <c r="Z731" s="321"/>
      <c r="AA731" s="321"/>
      <c r="AB731" s="321"/>
      <c r="AC731" s="321"/>
      <c r="AD731" s="321"/>
    </row>
    <row r="732">
      <c r="A732" s="321"/>
      <c r="B732" s="321"/>
      <c r="C732" s="321"/>
      <c r="D732" s="321"/>
      <c r="E732" s="321"/>
      <c r="F732" s="321"/>
      <c r="G732" s="454"/>
      <c r="H732" s="454"/>
      <c r="I732" s="454"/>
      <c r="J732" s="454"/>
      <c r="K732" s="321"/>
      <c r="L732" s="321"/>
      <c r="M732" s="321"/>
      <c r="N732" s="321"/>
      <c r="O732" s="321"/>
      <c r="P732" s="321"/>
      <c r="Q732" s="321"/>
      <c r="R732" s="321"/>
      <c r="S732" s="321"/>
      <c r="T732" s="321"/>
      <c r="U732" s="321"/>
      <c r="V732" s="321"/>
      <c r="W732" s="321"/>
      <c r="X732" s="321"/>
      <c r="Y732" s="321"/>
      <c r="Z732" s="321"/>
      <c r="AA732" s="321"/>
      <c r="AB732" s="321"/>
      <c r="AC732" s="321"/>
      <c r="AD732" s="321"/>
    </row>
    <row r="733">
      <c r="A733" s="321"/>
      <c r="B733" s="321"/>
      <c r="C733" s="321"/>
      <c r="D733" s="321"/>
      <c r="E733" s="321"/>
      <c r="F733" s="321"/>
      <c r="G733" s="454"/>
      <c r="H733" s="454"/>
      <c r="I733" s="454"/>
      <c r="J733" s="454"/>
      <c r="K733" s="321"/>
      <c r="L733" s="321"/>
      <c r="M733" s="321"/>
      <c r="N733" s="321"/>
      <c r="O733" s="321"/>
      <c r="P733" s="321"/>
      <c r="Q733" s="321"/>
      <c r="R733" s="321"/>
      <c r="S733" s="321"/>
      <c r="T733" s="321"/>
      <c r="U733" s="321"/>
      <c r="V733" s="321"/>
      <c r="W733" s="321"/>
      <c r="X733" s="321"/>
      <c r="Y733" s="321"/>
      <c r="Z733" s="321"/>
      <c r="AA733" s="321"/>
      <c r="AB733" s="321"/>
      <c r="AC733" s="321"/>
      <c r="AD733" s="321"/>
    </row>
    <row r="734">
      <c r="A734" s="321"/>
      <c r="B734" s="321"/>
      <c r="C734" s="321"/>
      <c r="D734" s="321"/>
      <c r="E734" s="321"/>
      <c r="F734" s="321"/>
      <c r="G734" s="454"/>
      <c r="H734" s="454"/>
      <c r="I734" s="454"/>
      <c r="J734" s="454"/>
      <c r="K734" s="321"/>
      <c r="L734" s="321"/>
      <c r="M734" s="321"/>
      <c r="N734" s="321"/>
      <c r="O734" s="321"/>
      <c r="P734" s="321"/>
      <c r="Q734" s="321"/>
      <c r="R734" s="321"/>
      <c r="S734" s="321"/>
      <c r="T734" s="321"/>
      <c r="U734" s="321"/>
      <c r="V734" s="321"/>
      <c r="W734" s="321"/>
      <c r="X734" s="321"/>
      <c r="Y734" s="321"/>
      <c r="Z734" s="321"/>
      <c r="AA734" s="321"/>
      <c r="AB734" s="321"/>
      <c r="AC734" s="321"/>
      <c r="AD734" s="321"/>
    </row>
    <row r="735">
      <c r="A735" s="321"/>
      <c r="B735" s="321"/>
      <c r="C735" s="321"/>
      <c r="D735" s="321"/>
      <c r="E735" s="321"/>
      <c r="F735" s="321"/>
      <c r="G735" s="454"/>
      <c r="H735" s="454"/>
      <c r="I735" s="454"/>
      <c r="J735" s="454"/>
      <c r="K735" s="321"/>
      <c r="L735" s="321"/>
      <c r="M735" s="321"/>
      <c r="N735" s="321"/>
      <c r="O735" s="321"/>
      <c r="P735" s="321"/>
      <c r="Q735" s="321"/>
      <c r="R735" s="321"/>
      <c r="S735" s="321"/>
      <c r="T735" s="321"/>
      <c r="U735" s="321"/>
      <c r="V735" s="321"/>
      <c r="W735" s="321"/>
      <c r="X735" s="321"/>
      <c r="Y735" s="321"/>
      <c r="Z735" s="321"/>
      <c r="AA735" s="321"/>
      <c r="AB735" s="321"/>
      <c r="AC735" s="321"/>
      <c r="AD735" s="321"/>
    </row>
    <row r="736">
      <c r="A736" s="321"/>
      <c r="B736" s="321"/>
      <c r="C736" s="321"/>
      <c r="D736" s="321"/>
      <c r="E736" s="321"/>
      <c r="F736" s="321"/>
      <c r="G736" s="454"/>
      <c r="H736" s="454"/>
      <c r="I736" s="454"/>
      <c r="J736" s="454"/>
      <c r="K736" s="321"/>
      <c r="L736" s="321"/>
      <c r="M736" s="321"/>
      <c r="N736" s="321"/>
      <c r="O736" s="321"/>
      <c r="P736" s="321"/>
      <c r="Q736" s="321"/>
      <c r="R736" s="321"/>
      <c r="S736" s="321"/>
      <c r="T736" s="321"/>
      <c r="U736" s="321"/>
      <c r="V736" s="321"/>
      <c r="W736" s="321"/>
      <c r="X736" s="321"/>
      <c r="Y736" s="321"/>
      <c r="Z736" s="321"/>
      <c r="AA736" s="321"/>
      <c r="AB736" s="321"/>
      <c r="AC736" s="321"/>
      <c r="AD736" s="321"/>
    </row>
    <row r="737">
      <c r="A737" s="321"/>
      <c r="B737" s="321"/>
      <c r="C737" s="321"/>
      <c r="D737" s="321"/>
      <c r="E737" s="321"/>
      <c r="F737" s="321"/>
      <c r="G737" s="454"/>
      <c r="H737" s="454"/>
      <c r="I737" s="454"/>
      <c r="J737" s="454"/>
      <c r="K737" s="321"/>
      <c r="L737" s="321"/>
      <c r="M737" s="321"/>
      <c r="N737" s="321"/>
      <c r="O737" s="321"/>
      <c r="P737" s="321"/>
      <c r="Q737" s="321"/>
      <c r="R737" s="321"/>
      <c r="S737" s="321"/>
      <c r="T737" s="321"/>
      <c r="U737" s="321"/>
      <c r="V737" s="321"/>
      <c r="W737" s="321"/>
      <c r="X737" s="321"/>
      <c r="Y737" s="321"/>
      <c r="Z737" s="321"/>
      <c r="AA737" s="321"/>
      <c r="AB737" s="321"/>
      <c r="AC737" s="321"/>
      <c r="AD737" s="321"/>
    </row>
    <row r="738">
      <c r="A738" s="321"/>
      <c r="B738" s="321"/>
      <c r="C738" s="321"/>
      <c r="D738" s="321"/>
      <c r="E738" s="321"/>
      <c r="F738" s="321"/>
      <c r="G738" s="454"/>
      <c r="H738" s="454"/>
      <c r="I738" s="454"/>
      <c r="J738" s="454"/>
      <c r="K738" s="321"/>
      <c r="L738" s="321"/>
      <c r="M738" s="321"/>
      <c r="N738" s="321"/>
      <c r="O738" s="321"/>
      <c r="P738" s="321"/>
      <c r="Q738" s="321"/>
      <c r="R738" s="321"/>
      <c r="S738" s="321"/>
      <c r="T738" s="321"/>
      <c r="U738" s="321"/>
      <c r="V738" s="321"/>
      <c r="W738" s="321"/>
      <c r="X738" s="321"/>
      <c r="Y738" s="321"/>
      <c r="Z738" s="321"/>
      <c r="AA738" s="321"/>
      <c r="AB738" s="321"/>
      <c r="AC738" s="321"/>
      <c r="AD738" s="321"/>
    </row>
    <row r="739">
      <c r="A739" s="321"/>
      <c r="B739" s="321"/>
      <c r="C739" s="321"/>
      <c r="D739" s="321"/>
      <c r="E739" s="321"/>
      <c r="F739" s="321"/>
      <c r="G739" s="454"/>
      <c r="H739" s="454"/>
      <c r="I739" s="454"/>
      <c r="J739" s="454"/>
      <c r="K739" s="321"/>
      <c r="L739" s="321"/>
      <c r="M739" s="321"/>
      <c r="N739" s="321"/>
      <c r="O739" s="321"/>
      <c r="P739" s="321"/>
      <c r="Q739" s="321"/>
      <c r="R739" s="321"/>
      <c r="S739" s="321"/>
      <c r="T739" s="321"/>
      <c r="U739" s="321"/>
      <c r="V739" s="321"/>
      <c r="W739" s="321"/>
      <c r="X739" s="321"/>
      <c r="Y739" s="321"/>
      <c r="Z739" s="321"/>
      <c r="AA739" s="321"/>
      <c r="AB739" s="321"/>
      <c r="AC739" s="321"/>
      <c r="AD739" s="321"/>
    </row>
    <row r="740">
      <c r="A740" s="321"/>
      <c r="B740" s="321"/>
      <c r="C740" s="321"/>
      <c r="D740" s="321"/>
      <c r="E740" s="321"/>
      <c r="F740" s="321"/>
      <c r="G740" s="454"/>
      <c r="H740" s="454"/>
      <c r="I740" s="454"/>
      <c r="J740" s="454"/>
      <c r="K740" s="321"/>
      <c r="L740" s="321"/>
      <c r="M740" s="321"/>
      <c r="N740" s="321"/>
      <c r="O740" s="321"/>
      <c r="P740" s="321"/>
      <c r="Q740" s="321"/>
      <c r="R740" s="321"/>
      <c r="S740" s="321"/>
      <c r="T740" s="321"/>
      <c r="U740" s="321"/>
      <c r="V740" s="321"/>
      <c r="W740" s="321"/>
      <c r="X740" s="321"/>
      <c r="Y740" s="321"/>
      <c r="Z740" s="321"/>
      <c r="AA740" s="321"/>
      <c r="AB740" s="321"/>
      <c r="AC740" s="321"/>
      <c r="AD740" s="321"/>
    </row>
    <row r="741">
      <c r="A741" s="321"/>
      <c r="B741" s="321"/>
      <c r="C741" s="321"/>
      <c r="D741" s="321"/>
      <c r="E741" s="321"/>
      <c r="F741" s="321"/>
      <c r="G741" s="454"/>
      <c r="H741" s="454"/>
      <c r="I741" s="454"/>
      <c r="J741" s="454"/>
      <c r="K741" s="321"/>
      <c r="L741" s="321"/>
      <c r="M741" s="321"/>
      <c r="N741" s="321"/>
      <c r="O741" s="321"/>
      <c r="P741" s="321"/>
      <c r="Q741" s="321"/>
      <c r="R741" s="321"/>
      <c r="S741" s="321"/>
      <c r="T741" s="321"/>
      <c r="U741" s="321"/>
      <c r="V741" s="321"/>
      <c r="W741" s="321"/>
      <c r="X741" s="321"/>
      <c r="Y741" s="321"/>
      <c r="Z741" s="321"/>
      <c r="AA741" s="321"/>
      <c r="AB741" s="321"/>
      <c r="AC741" s="321"/>
      <c r="AD741" s="321"/>
    </row>
    <row r="742">
      <c r="A742" s="321"/>
      <c r="B742" s="321"/>
      <c r="C742" s="321"/>
      <c r="D742" s="321"/>
      <c r="E742" s="321"/>
      <c r="F742" s="321"/>
      <c r="G742" s="454"/>
      <c r="H742" s="454"/>
      <c r="I742" s="454"/>
      <c r="J742" s="454"/>
      <c r="K742" s="321"/>
      <c r="L742" s="321"/>
      <c r="M742" s="321"/>
      <c r="N742" s="321"/>
      <c r="O742" s="321"/>
      <c r="P742" s="321"/>
      <c r="Q742" s="321"/>
      <c r="R742" s="321"/>
      <c r="S742" s="321"/>
      <c r="T742" s="321"/>
      <c r="U742" s="321"/>
      <c r="V742" s="321"/>
      <c r="W742" s="321"/>
      <c r="X742" s="321"/>
      <c r="Y742" s="321"/>
      <c r="Z742" s="321"/>
      <c r="AA742" s="321"/>
      <c r="AB742" s="321"/>
      <c r="AC742" s="321"/>
      <c r="AD742" s="321"/>
    </row>
    <row r="743">
      <c r="A743" s="321"/>
      <c r="B743" s="321"/>
      <c r="C743" s="321"/>
      <c r="D743" s="321"/>
      <c r="E743" s="321"/>
      <c r="F743" s="321"/>
      <c r="G743" s="454"/>
      <c r="H743" s="454"/>
      <c r="I743" s="454"/>
      <c r="J743" s="454"/>
      <c r="K743" s="321"/>
      <c r="L743" s="321"/>
      <c r="M743" s="321"/>
      <c r="N743" s="321"/>
      <c r="O743" s="321"/>
      <c r="P743" s="321"/>
      <c r="Q743" s="321"/>
      <c r="R743" s="321"/>
      <c r="S743" s="321"/>
      <c r="T743" s="321"/>
      <c r="U743" s="321"/>
      <c r="V743" s="321"/>
      <c r="W743" s="321"/>
      <c r="X743" s="321"/>
      <c r="Y743" s="321"/>
      <c r="Z743" s="321"/>
      <c r="AA743" s="321"/>
      <c r="AB743" s="321"/>
      <c r="AC743" s="321"/>
      <c r="AD743" s="321"/>
    </row>
    <row r="744">
      <c r="A744" s="321"/>
      <c r="B744" s="321"/>
      <c r="C744" s="321"/>
      <c r="D744" s="321"/>
      <c r="E744" s="321"/>
      <c r="F744" s="321"/>
      <c r="G744" s="454"/>
      <c r="H744" s="454"/>
      <c r="I744" s="454"/>
      <c r="J744" s="454"/>
      <c r="K744" s="321"/>
      <c r="L744" s="321"/>
      <c r="M744" s="321"/>
      <c r="N744" s="321"/>
      <c r="O744" s="321"/>
      <c r="P744" s="321"/>
      <c r="Q744" s="321"/>
      <c r="R744" s="321"/>
      <c r="S744" s="321"/>
      <c r="T744" s="321"/>
      <c r="U744" s="321"/>
      <c r="V744" s="321"/>
      <c r="W744" s="321"/>
      <c r="X744" s="321"/>
      <c r="Y744" s="321"/>
      <c r="Z744" s="321"/>
      <c r="AA744" s="321"/>
      <c r="AB744" s="321"/>
      <c r="AC744" s="321"/>
      <c r="AD744" s="321"/>
    </row>
    <row r="745">
      <c r="A745" s="321"/>
      <c r="B745" s="321"/>
      <c r="C745" s="321"/>
      <c r="D745" s="321"/>
      <c r="E745" s="321"/>
      <c r="F745" s="321"/>
      <c r="G745" s="454"/>
      <c r="H745" s="454"/>
      <c r="I745" s="454"/>
      <c r="J745" s="454"/>
      <c r="K745" s="321"/>
      <c r="L745" s="321"/>
      <c r="M745" s="321"/>
      <c r="N745" s="321"/>
      <c r="O745" s="321"/>
      <c r="P745" s="321"/>
      <c r="Q745" s="321"/>
      <c r="R745" s="321"/>
      <c r="S745" s="321"/>
      <c r="T745" s="321"/>
      <c r="U745" s="321"/>
      <c r="V745" s="321"/>
      <c r="W745" s="321"/>
      <c r="X745" s="321"/>
      <c r="Y745" s="321"/>
      <c r="Z745" s="321"/>
      <c r="AA745" s="321"/>
      <c r="AB745" s="321"/>
      <c r="AC745" s="321"/>
      <c r="AD745" s="321"/>
    </row>
    <row r="746">
      <c r="A746" s="321"/>
      <c r="B746" s="321"/>
      <c r="C746" s="321"/>
      <c r="D746" s="321"/>
      <c r="E746" s="321"/>
      <c r="F746" s="321"/>
      <c r="G746" s="454"/>
      <c r="H746" s="454"/>
      <c r="I746" s="454"/>
      <c r="J746" s="454"/>
      <c r="K746" s="321"/>
      <c r="L746" s="321"/>
      <c r="M746" s="321"/>
      <c r="N746" s="321"/>
      <c r="O746" s="321"/>
      <c r="P746" s="321"/>
      <c r="Q746" s="321"/>
      <c r="R746" s="321"/>
      <c r="S746" s="321"/>
      <c r="T746" s="321"/>
      <c r="U746" s="321"/>
      <c r="V746" s="321"/>
      <c r="W746" s="321"/>
      <c r="X746" s="321"/>
      <c r="Y746" s="321"/>
      <c r="Z746" s="321"/>
      <c r="AA746" s="321"/>
      <c r="AB746" s="321"/>
      <c r="AC746" s="321"/>
      <c r="AD746" s="321"/>
    </row>
    <row r="747">
      <c r="A747" s="321"/>
      <c r="B747" s="321"/>
      <c r="C747" s="321"/>
      <c r="D747" s="321"/>
      <c r="E747" s="321"/>
      <c r="F747" s="321"/>
      <c r="G747" s="454"/>
      <c r="H747" s="454"/>
      <c r="I747" s="454"/>
      <c r="J747" s="454"/>
      <c r="K747" s="321"/>
      <c r="L747" s="321"/>
      <c r="M747" s="321"/>
      <c r="N747" s="321"/>
      <c r="O747" s="321"/>
      <c r="P747" s="321"/>
      <c r="Q747" s="321"/>
      <c r="R747" s="321"/>
      <c r="S747" s="321"/>
      <c r="T747" s="321"/>
      <c r="U747" s="321"/>
      <c r="V747" s="321"/>
      <c r="W747" s="321"/>
      <c r="X747" s="321"/>
      <c r="Y747" s="321"/>
      <c r="Z747" s="321"/>
      <c r="AA747" s="321"/>
      <c r="AB747" s="321"/>
      <c r="AC747" s="321"/>
      <c r="AD747" s="321"/>
    </row>
    <row r="748">
      <c r="A748" s="321"/>
      <c r="B748" s="321"/>
      <c r="C748" s="321"/>
      <c r="D748" s="321"/>
      <c r="E748" s="321"/>
      <c r="F748" s="321"/>
      <c r="G748" s="454"/>
      <c r="H748" s="454"/>
      <c r="I748" s="454"/>
      <c r="J748" s="454"/>
      <c r="K748" s="321"/>
      <c r="L748" s="321"/>
      <c r="M748" s="321"/>
      <c r="N748" s="321"/>
      <c r="O748" s="321"/>
      <c r="P748" s="321"/>
      <c r="Q748" s="321"/>
      <c r="R748" s="321"/>
      <c r="S748" s="321"/>
      <c r="T748" s="321"/>
      <c r="U748" s="321"/>
      <c r="V748" s="321"/>
      <c r="W748" s="321"/>
      <c r="X748" s="321"/>
      <c r="Y748" s="321"/>
      <c r="Z748" s="321"/>
      <c r="AA748" s="321"/>
      <c r="AB748" s="321"/>
      <c r="AC748" s="321"/>
      <c r="AD748" s="321"/>
    </row>
    <row r="749">
      <c r="A749" s="321"/>
      <c r="B749" s="321"/>
      <c r="C749" s="321"/>
      <c r="D749" s="321"/>
      <c r="E749" s="321"/>
      <c r="F749" s="321"/>
      <c r="G749" s="454"/>
      <c r="H749" s="454"/>
      <c r="I749" s="454"/>
      <c r="J749" s="454"/>
      <c r="K749" s="321"/>
      <c r="L749" s="321"/>
      <c r="M749" s="321"/>
      <c r="N749" s="321"/>
      <c r="O749" s="321"/>
      <c r="P749" s="321"/>
      <c r="Q749" s="321"/>
      <c r="R749" s="321"/>
      <c r="S749" s="321"/>
      <c r="T749" s="321"/>
      <c r="U749" s="321"/>
      <c r="V749" s="321"/>
      <c r="W749" s="321"/>
      <c r="X749" s="321"/>
      <c r="Y749" s="321"/>
      <c r="Z749" s="321"/>
      <c r="AA749" s="321"/>
      <c r="AB749" s="321"/>
      <c r="AC749" s="321"/>
      <c r="AD749" s="321"/>
    </row>
    <row r="750">
      <c r="A750" s="321"/>
      <c r="B750" s="321"/>
      <c r="C750" s="321"/>
      <c r="D750" s="321"/>
      <c r="E750" s="321"/>
      <c r="F750" s="321"/>
      <c r="G750" s="454"/>
      <c r="H750" s="454"/>
      <c r="I750" s="454"/>
      <c r="J750" s="454"/>
      <c r="K750" s="321"/>
      <c r="L750" s="321"/>
      <c r="M750" s="321"/>
      <c r="N750" s="321"/>
      <c r="O750" s="321"/>
      <c r="P750" s="321"/>
      <c r="Q750" s="321"/>
      <c r="R750" s="321"/>
      <c r="S750" s="321"/>
      <c r="T750" s="321"/>
      <c r="U750" s="321"/>
      <c r="V750" s="321"/>
      <c r="W750" s="321"/>
      <c r="X750" s="321"/>
      <c r="Y750" s="321"/>
      <c r="Z750" s="321"/>
      <c r="AA750" s="321"/>
      <c r="AB750" s="321"/>
      <c r="AC750" s="321"/>
      <c r="AD750" s="321"/>
    </row>
    <row r="751">
      <c r="A751" s="321"/>
      <c r="B751" s="321"/>
      <c r="C751" s="321"/>
      <c r="D751" s="321"/>
      <c r="E751" s="321"/>
      <c r="F751" s="321"/>
      <c r="G751" s="454"/>
      <c r="H751" s="454"/>
      <c r="I751" s="454"/>
      <c r="J751" s="454"/>
      <c r="K751" s="321"/>
      <c r="L751" s="321"/>
      <c r="M751" s="321"/>
      <c r="N751" s="321"/>
      <c r="O751" s="321"/>
      <c r="P751" s="321"/>
      <c r="Q751" s="321"/>
      <c r="R751" s="321"/>
      <c r="S751" s="321"/>
      <c r="T751" s="321"/>
      <c r="U751" s="321"/>
      <c r="V751" s="321"/>
      <c r="W751" s="321"/>
      <c r="X751" s="321"/>
      <c r="Y751" s="321"/>
      <c r="Z751" s="321"/>
      <c r="AA751" s="321"/>
      <c r="AB751" s="321"/>
      <c r="AC751" s="321"/>
      <c r="AD751" s="321"/>
    </row>
    <row r="752">
      <c r="A752" s="321"/>
      <c r="B752" s="321"/>
      <c r="C752" s="321"/>
      <c r="D752" s="321"/>
      <c r="E752" s="321"/>
      <c r="F752" s="321"/>
      <c r="G752" s="454"/>
      <c r="H752" s="454"/>
      <c r="I752" s="454"/>
      <c r="J752" s="454"/>
      <c r="K752" s="321"/>
      <c r="L752" s="321"/>
      <c r="M752" s="321"/>
      <c r="N752" s="321"/>
      <c r="O752" s="321"/>
      <c r="P752" s="321"/>
      <c r="Q752" s="321"/>
      <c r="R752" s="321"/>
      <c r="S752" s="321"/>
      <c r="T752" s="321"/>
      <c r="U752" s="321"/>
      <c r="V752" s="321"/>
      <c r="W752" s="321"/>
      <c r="X752" s="321"/>
      <c r="Y752" s="321"/>
      <c r="Z752" s="321"/>
      <c r="AA752" s="321"/>
      <c r="AB752" s="321"/>
      <c r="AC752" s="321"/>
      <c r="AD752" s="321"/>
    </row>
    <row r="753">
      <c r="A753" s="321"/>
      <c r="B753" s="321"/>
      <c r="C753" s="321"/>
      <c r="D753" s="321"/>
      <c r="E753" s="321"/>
      <c r="F753" s="321"/>
      <c r="G753" s="454"/>
      <c r="H753" s="454"/>
      <c r="I753" s="454"/>
      <c r="J753" s="454"/>
      <c r="K753" s="321"/>
      <c r="L753" s="321"/>
      <c r="M753" s="321"/>
      <c r="N753" s="321"/>
      <c r="O753" s="321"/>
      <c r="P753" s="321"/>
      <c r="Q753" s="321"/>
      <c r="R753" s="321"/>
      <c r="S753" s="321"/>
      <c r="T753" s="321"/>
      <c r="U753" s="321"/>
      <c r="V753" s="321"/>
      <c r="W753" s="321"/>
      <c r="X753" s="321"/>
      <c r="Y753" s="321"/>
      <c r="Z753" s="321"/>
      <c r="AA753" s="321"/>
      <c r="AB753" s="321"/>
      <c r="AC753" s="321"/>
      <c r="AD753" s="321"/>
    </row>
    <row r="754">
      <c r="A754" s="321"/>
      <c r="B754" s="321"/>
      <c r="C754" s="321"/>
      <c r="D754" s="321"/>
      <c r="E754" s="321"/>
      <c r="F754" s="321"/>
      <c r="G754" s="454"/>
      <c r="H754" s="454"/>
      <c r="I754" s="454"/>
      <c r="J754" s="454"/>
      <c r="K754" s="321"/>
      <c r="L754" s="321"/>
      <c r="M754" s="321"/>
      <c r="N754" s="321"/>
      <c r="O754" s="321"/>
      <c r="P754" s="321"/>
      <c r="Q754" s="321"/>
      <c r="R754" s="321"/>
      <c r="S754" s="321"/>
      <c r="T754" s="321"/>
      <c r="U754" s="321"/>
      <c r="V754" s="321"/>
      <c r="W754" s="321"/>
      <c r="X754" s="321"/>
      <c r="Y754" s="321"/>
      <c r="Z754" s="321"/>
      <c r="AA754" s="321"/>
      <c r="AB754" s="321"/>
      <c r="AC754" s="321"/>
      <c r="AD754" s="321"/>
    </row>
    <row r="755">
      <c r="A755" s="321"/>
      <c r="B755" s="321"/>
      <c r="C755" s="321"/>
      <c r="D755" s="321"/>
      <c r="E755" s="321"/>
      <c r="F755" s="321"/>
      <c r="G755" s="454"/>
      <c r="H755" s="454"/>
      <c r="I755" s="454"/>
      <c r="J755" s="454"/>
      <c r="K755" s="321"/>
      <c r="L755" s="321"/>
      <c r="M755" s="321"/>
      <c r="N755" s="321"/>
      <c r="O755" s="321"/>
      <c r="P755" s="321"/>
      <c r="Q755" s="321"/>
      <c r="R755" s="321"/>
      <c r="S755" s="321"/>
      <c r="T755" s="321"/>
      <c r="U755" s="321"/>
      <c r="V755" s="321"/>
      <c r="W755" s="321"/>
      <c r="X755" s="321"/>
      <c r="Y755" s="321"/>
      <c r="Z755" s="321"/>
      <c r="AA755" s="321"/>
      <c r="AB755" s="321"/>
      <c r="AC755" s="321"/>
      <c r="AD755" s="321"/>
    </row>
    <row r="756">
      <c r="A756" s="321"/>
      <c r="B756" s="321"/>
      <c r="C756" s="321"/>
      <c r="D756" s="321"/>
      <c r="E756" s="321"/>
      <c r="F756" s="321"/>
      <c r="G756" s="454"/>
      <c r="H756" s="454"/>
      <c r="I756" s="454"/>
      <c r="J756" s="454"/>
      <c r="K756" s="321"/>
      <c r="L756" s="321"/>
      <c r="M756" s="321"/>
      <c r="N756" s="321"/>
      <c r="O756" s="321"/>
      <c r="P756" s="321"/>
      <c r="Q756" s="321"/>
      <c r="R756" s="321"/>
      <c r="S756" s="321"/>
      <c r="T756" s="321"/>
      <c r="U756" s="321"/>
      <c r="V756" s="321"/>
      <c r="W756" s="321"/>
      <c r="X756" s="321"/>
      <c r="Y756" s="321"/>
      <c r="Z756" s="321"/>
      <c r="AA756" s="321"/>
      <c r="AB756" s="321"/>
      <c r="AC756" s="321"/>
      <c r="AD756" s="321"/>
    </row>
    <row r="757">
      <c r="A757" s="321"/>
      <c r="B757" s="321"/>
      <c r="C757" s="321"/>
      <c r="D757" s="321"/>
      <c r="E757" s="321"/>
      <c r="F757" s="321"/>
      <c r="G757" s="454"/>
      <c r="H757" s="454"/>
      <c r="I757" s="454"/>
      <c r="J757" s="454"/>
      <c r="K757" s="321"/>
      <c r="L757" s="321"/>
      <c r="M757" s="321"/>
      <c r="N757" s="321"/>
      <c r="O757" s="321"/>
      <c r="P757" s="321"/>
      <c r="Q757" s="321"/>
      <c r="R757" s="321"/>
      <c r="S757" s="321"/>
      <c r="T757" s="321"/>
      <c r="U757" s="321"/>
      <c r="V757" s="321"/>
      <c r="W757" s="321"/>
      <c r="X757" s="321"/>
      <c r="Y757" s="321"/>
      <c r="Z757" s="321"/>
      <c r="AA757" s="321"/>
      <c r="AB757" s="321"/>
      <c r="AC757" s="321"/>
      <c r="AD757" s="321"/>
    </row>
    <row r="758">
      <c r="A758" s="321"/>
      <c r="B758" s="321"/>
      <c r="C758" s="321"/>
      <c r="D758" s="321"/>
      <c r="E758" s="321"/>
      <c r="F758" s="321"/>
      <c r="G758" s="454"/>
      <c r="H758" s="454"/>
      <c r="I758" s="454"/>
      <c r="J758" s="454"/>
      <c r="K758" s="321"/>
      <c r="L758" s="321"/>
      <c r="M758" s="321"/>
      <c r="N758" s="321"/>
      <c r="O758" s="321"/>
      <c r="P758" s="321"/>
      <c r="Q758" s="321"/>
      <c r="R758" s="321"/>
      <c r="S758" s="321"/>
      <c r="T758" s="321"/>
      <c r="U758" s="321"/>
      <c r="V758" s="321"/>
      <c r="W758" s="321"/>
      <c r="X758" s="321"/>
      <c r="Y758" s="321"/>
      <c r="Z758" s="321"/>
      <c r="AA758" s="321"/>
      <c r="AB758" s="321"/>
      <c r="AC758" s="321"/>
      <c r="AD758" s="321"/>
    </row>
    <row r="759">
      <c r="A759" s="321"/>
      <c r="B759" s="321"/>
      <c r="C759" s="321"/>
      <c r="D759" s="321"/>
      <c r="E759" s="321"/>
      <c r="F759" s="321"/>
      <c r="G759" s="454"/>
      <c r="H759" s="454"/>
      <c r="I759" s="454"/>
      <c r="J759" s="454"/>
      <c r="K759" s="321"/>
      <c r="L759" s="321"/>
      <c r="M759" s="321"/>
      <c r="N759" s="321"/>
      <c r="O759" s="321"/>
      <c r="P759" s="321"/>
      <c r="Q759" s="321"/>
      <c r="R759" s="321"/>
      <c r="S759" s="321"/>
      <c r="T759" s="321"/>
      <c r="U759" s="321"/>
      <c r="V759" s="321"/>
      <c r="W759" s="321"/>
      <c r="X759" s="321"/>
      <c r="Y759" s="321"/>
      <c r="Z759" s="321"/>
      <c r="AA759" s="321"/>
      <c r="AB759" s="321"/>
      <c r="AC759" s="321"/>
      <c r="AD759" s="321"/>
    </row>
    <row r="760">
      <c r="A760" s="321"/>
      <c r="B760" s="321"/>
      <c r="C760" s="321"/>
      <c r="D760" s="321"/>
      <c r="E760" s="321"/>
      <c r="F760" s="321"/>
      <c r="G760" s="454"/>
      <c r="H760" s="454"/>
      <c r="I760" s="454"/>
      <c r="J760" s="454"/>
      <c r="K760" s="321"/>
      <c r="L760" s="321"/>
      <c r="M760" s="321"/>
      <c r="N760" s="321"/>
      <c r="O760" s="321"/>
      <c r="P760" s="321"/>
      <c r="Q760" s="321"/>
      <c r="R760" s="321"/>
      <c r="S760" s="321"/>
      <c r="T760" s="321"/>
      <c r="U760" s="321"/>
      <c r="V760" s="321"/>
      <c r="W760" s="321"/>
      <c r="X760" s="321"/>
      <c r="Y760" s="321"/>
      <c r="Z760" s="321"/>
      <c r="AA760" s="321"/>
      <c r="AB760" s="321"/>
      <c r="AC760" s="321"/>
      <c r="AD760" s="321"/>
    </row>
    <row r="761">
      <c r="A761" s="321"/>
      <c r="B761" s="321"/>
      <c r="C761" s="321"/>
      <c r="D761" s="321"/>
      <c r="E761" s="321"/>
      <c r="F761" s="321"/>
      <c r="G761" s="454"/>
      <c r="H761" s="454"/>
      <c r="I761" s="454"/>
      <c r="J761" s="454"/>
      <c r="K761" s="321"/>
      <c r="L761" s="321"/>
      <c r="M761" s="321"/>
      <c r="N761" s="321"/>
      <c r="O761" s="321"/>
      <c r="P761" s="321"/>
      <c r="Q761" s="321"/>
      <c r="R761" s="321"/>
      <c r="S761" s="321"/>
      <c r="T761" s="321"/>
      <c r="U761" s="321"/>
      <c r="V761" s="321"/>
      <c r="W761" s="321"/>
      <c r="X761" s="321"/>
      <c r="Y761" s="321"/>
      <c r="Z761" s="321"/>
      <c r="AA761" s="321"/>
      <c r="AB761" s="321"/>
      <c r="AC761" s="321"/>
      <c r="AD761" s="321"/>
    </row>
    <row r="762">
      <c r="A762" s="321"/>
      <c r="B762" s="321"/>
      <c r="C762" s="321"/>
      <c r="D762" s="321"/>
      <c r="E762" s="321"/>
      <c r="F762" s="321"/>
      <c r="G762" s="454"/>
      <c r="H762" s="454"/>
      <c r="I762" s="454"/>
      <c r="J762" s="454"/>
      <c r="K762" s="321"/>
      <c r="L762" s="321"/>
      <c r="M762" s="321"/>
      <c r="N762" s="321"/>
      <c r="O762" s="321"/>
      <c r="P762" s="321"/>
      <c r="Q762" s="321"/>
      <c r="R762" s="321"/>
      <c r="S762" s="321"/>
      <c r="T762" s="321"/>
      <c r="U762" s="321"/>
      <c r="V762" s="321"/>
      <c r="W762" s="321"/>
      <c r="X762" s="321"/>
      <c r="Y762" s="321"/>
      <c r="Z762" s="321"/>
      <c r="AA762" s="321"/>
      <c r="AB762" s="321"/>
      <c r="AC762" s="321"/>
      <c r="AD762" s="321"/>
    </row>
    <row r="763">
      <c r="A763" s="321"/>
      <c r="B763" s="321"/>
      <c r="C763" s="321"/>
      <c r="D763" s="321"/>
      <c r="E763" s="321"/>
      <c r="F763" s="321"/>
      <c r="G763" s="454"/>
      <c r="H763" s="454"/>
      <c r="I763" s="454"/>
      <c r="J763" s="454"/>
      <c r="K763" s="321"/>
      <c r="L763" s="321"/>
      <c r="M763" s="321"/>
      <c r="N763" s="321"/>
      <c r="O763" s="321"/>
      <c r="P763" s="321"/>
      <c r="Q763" s="321"/>
      <c r="R763" s="321"/>
      <c r="S763" s="321"/>
      <c r="T763" s="321"/>
      <c r="U763" s="321"/>
      <c r="V763" s="321"/>
      <c r="W763" s="321"/>
      <c r="X763" s="321"/>
      <c r="Y763" s="321"/>
      <c r="Z763" s="321"/>
      <c r="AA763" s="321"/>
      <c r="AB763" s="321"/>
      <c r="AC763" s="321"/>
      <c r="AD763" s="321"/>
    </row>
    <row r="764">
      <c r="A764" s="321"/>
      <c r="B764" s="321"/>
      <c r="C764" s="321"/>
      <c r="D764" s="321"/>
      <c r="E764" s="321"/>
      <c r="F764" s="321"/>
      <c r="G764" s="454"/>
      <c r="H764" s="454"/>
      <c r="I764" s="454"/>
      <c r="J764" s="454"/>
      <c r="K764" s="321"/>
      <c r="L764" s="321"/>
      <c r="M764" s="321"/>
      <c r="N764" s="321"/>
      <c r="O764" s="321"/>
      <c r="P764" s="321"/>
      <c r="Q764" s="321"/>
      <c r="R764" s="321"/>
      <c r="S764" s="321"/>
      <c r="T764" s="321"/>
      <c r="U764" s="321"/>
      <c r="V764" s="321"/>
      <c r="W764" s="321"/>
      <c r="X764" s="321"/>
      <c r="Y764" s="321"/>
      <c r="Z764" s="321"/>
      <c r="AA764" s="321"/>
      <c r="AB764" s="321"/>
      <c r="AC764" s="321"/>
      <c r="AD764" s="321"/>
    </row>
    <row r="765">
      <c r="A765" s="321"/>
      <c r="B765" s="321"/>
      <c r="C765" s="321"/>
      <c r="D765" s="321"/>
      <c r="E765" s="321"/>
      <c r="F765" s="321"/>
      <c r="G765" s="454"/>
      <c r="H765" s="454"/>
      <c r="I765" s="454"/>
      <c r="J765" s="454"/>
      <c r="K765" s="321"/>
      <c r="L765" s="321"/>
      <c r="M765" s="321"/>
      <c r="N765" s="321"/>
      <c r="O765" s="321"/>
      <c r="P765" s="321"/>
      <c r="Q765" s="321"/>
      <c r="R765" s="321"/>
      <c r="S765" s="321"/>
      <c r="T765" s="321"/>
      <c r="U765" s="321"/>
      <c r="V765" s="321"/>
      <c r="W765" s="321"/>
      <c r="X765" s="321"/>
      <c r="Y765" s="321"/>
      <c r="Z765" s="321"/>
      <c r="AA765" s="321"/>
      <c r="AB765" s="321"/>
      <c r="AC765" s="321"/>
      <c r="AD765" s="321"/>
    </row>
    <row r="766">
      <c r="A766" s="321"/>
      <c r="B766" s="321"/>
      <c r="C766" s="321"/>
      <c r="D766" s="321"/>
      <c r="E766" s="321"/>
      <c r="F766" s="321"/>
      <c r="G766" s="454"/>
      <c r="H766" s="454"/>
      <c r="I766" s="454"/>
      <c r="J766" s="454"/>
      <c r="K766" s="321"/>
      <c r="L766" s="321"/>
      <c r="M766" s="321"/>
      <c r="N766" s="321"/>
      <c r="O766" s="321"/>
      <c r="P766" s="321"/>
      <c r="Q766" s="321"/>
      <c r="R766" s="321"/>
      <c r="S766" s="321"/>
      <c r="T766" s="321"/>
      <c r="U766" s="321"/>
      <c r="V766" s="321"/>
      <c r="W766" s="321"/>
      <c r="X766" s="321"/>
      <c r="Y766" s="321"/>
      <c r="Z766" s="321"/>
      <c r="AA766" s="321"/>
      <c r="AB766" s="321"/>
      <c r="AC766" s="321"/>
      <c r="AD766" s="321"/>
    </row>
    <row r="767">
      <c r="A767" s="321"/>
      <c r="B767" s="321"/>
      <c r="C767" s="321"/>
      <c r="D767" s="321"/>
      <c r="E767" s="321"/>
      <c r="F767" s="321"/>
      <c r="G767" s="454"/>
      <c r="H767" s="454"/>
      <c r="I767" s="454"/>
      <c r="J767" s="454"/>
      <c r="K767" s="321"/>
      <c r="L767" s="321"/>
      <c r="M767" s="321"/>
      <c r="N767" s="321"/>
      <c r="O767" s="321"/>
      <c r="P767" s="321"/>
      <c r="Q767" s="321"/>
      <c r="R767" s="321"/>
      <c r="S767" s="321"/>
      <c r="T767" s="321"/>
      <c r="U767" s="321"/>
      <c r="V767" s="321"/>
      <c r="W767" s="321"/>
      <c r="X767" s="321"/>
      <c r="Y767" s="321"/>
      <c r="Z767" s="321"/>
      <c r="AA767" s="321"/>
      <c r="AB767" s="321"/>
      <c r="AC767" s="321"/>
      <c r="AD767" s="321"/>
    </row>
    <row r="768">
      <c r="A768" s="321"/>
      <c r="B768" s="321"/>
      <c r="C768" s="321"/>
      <c r="D768" s="321"/>
      <c r="E768" s="321"/>
      <c r="F768" s="321"/>
      <c r="G768" s="454"/>
      <c r="H768" s="454"/>
      <c r="I768" s="454"/>
      <c r="J768" s="454"/>
      <c r="K768" s="321"/>
      <c r="L768" s="321"/>
      <c r="M768" s="321"/>
      <c r="N768" s="321"/>
      <c r="O768" s="321"/>
      <c r="P768" s="321"/>
      <c r="Q768" s="321"/>
      <c r="R768" s="321"/>
      <c r="S768" s="321"/>
      <c r="T768" s="321"/>
      <c r="U768" s="321"/>
      <c r="V768" s="321"/>
      <c r="W768" s="321"/>
      <c r="X768" s="321"/>
      <c r="Y768" s="321"/>
      <c r="Z768" s="321"/>
      <c r="AA768" s="321"/>
      <c r="AB768" s="321"/>
      <c r="AC768" s="321"/>
      <c r="AD768" s="321"/>
    </row>
    <row r="769">
      <c r="A769" s="321"/>
      <c r="B769" s="321"/>
      <c r="C769" s="321"/>
      <c r="D769" s="321"/>
      <c r="E769" s="321"/>
      <c r="F769" s="321"/>
      <c r="G769" s="454"/>
      <c r="H769" s="454"/>
      <c r="I769" s="454"/>
      <c r="J769" s="454"/>
      <c r="K769" s="321"/>
      <c r="L769" s="321"/>
      <c r="M769" s="321"/>
      <c r="N769" s="321"/>
      <c r="O769" s="321"/>
      <c r="P769" s="321"/>
      <c r="Q769" s="321"/>
      <c r="R769" s="321"/>
      <c r="S769" s="321"/>
      <c r="T769" s="321"/>
      <c r="U769" s="321"/>
      <c r="V769" s="321"/>
      <c r="W769" s="321"/>
      <c r="X769" s="321"/>
      <c r="Y769" s="321"/>
      <c r="Z769" s="321"/>
      <c r="AA769" s="321"/>
      <c r="AB769" s="321"/>
      <c r="AC769" s="321"/>
      <c r="AD769" s="321"/>
    </row>
    <row r="770">
      <c r="A770" s="321"/>
      <c r="B770" s="321"/>
      <c r="C770" s="321"/>
      <c r="D770" s="321"/>
      <c r="E770" s="321"/>
      <c r="F770" s="321"/>
      <c r="G770" s="454"/>
      <c r="H770" s="454"/>
      <c r="I770" s="454"/>
      <c r="J770" s="454"/>
      <c r="K770" s="321"/>
      <c r="L770" s="321"/>
      <c r="M770" s="321"/>
      <c r="N770" s="321"/>
      <c r="O770" s="321"/>
      <c r="P770" s="321"/>
      <c r="Q770" s="321"/>
      <c r="R770" s="321"/>
      <c r="S770" s="321"/>
      <c r="T770" s="321"/>
      <c r="U770" s="321"/>
      <c r="V770" s="321"/>
      <c r="W770" s="321"/>
      <c r="X770" s="321"/>
      <c r="Y770" s="321"/>
      <c r="Z770" s="321"/>
      <c r="AA770" s="321"/>
      <c r="AB770" s="321"/>
      <c r="AC770" s="321"/>
      <c r="AD770" s="321"/>
    </row>
    <row r="771">
      <c r="A771" s="321"/>
      <c r="B771" s="321"/>
      <c r="C771" s="321"/>
      <c r="D771" s="321"/>
      <c r="E771" s="321"/>
      <c r="F771" s="321"/>
      <c r="G771" s="454"/>
      <c r="H771" s="454"/>
      <c r="I771" s="454"/>
      <c r="J771" s="454"/>
      <c r="K771" s="321"/>
      <c r="L771" s="321"/>
      <c r="M771" s="321"/>
      <c r="N771" s="321"/>
      <c r="O771" s="321"/>
      <c r="P771" s="321"/>
      <c r="Q771" s="321"/>
      <c r="R771" s="321"/>
      <c r="S771" s="321"/>
      <c r="T771" s="321"/>
      <c r="U771" s="321"/>
      <c r="V771" s="321"/>
      <c r="W771" s="321"/>
      <c r="X771" s="321"/>
      <c r="Y771" s="321"/>
      <c r="Z771" s="321"/>
      <c r="AA771" s="321"/>
      <c r="AB771" s="321"/>
      <c r="AC771" s="321"/>
      <c r="AD771" s="321"/>
    </row>
    <row r="772">
      <c r="A772" s="321"/>
      <c r="B772" s="321"/>
      <c r="C772" s="321"/>
      <c r="D772" s="321"/>
      <c r="E772" s="321"/>
      <c r="F772" s="321"/>
      <c r="G772" s="454"/>
      <c r="H772" s="454"/>
      <c r="I772" s="454"/>
      <c r="J772" s="454"/>
      <c r="K772" s="321"/>
      <c r="L772" s="321"/>
      <c r="M772" s="321"/>
      <c r="N772" s="321"/>
      <c r="O772" s="321"/>
      <c r="P772" s="321"/>
      <c r="Q772" s="321"/>
      <c r="R772" s="321"/>
      <c r="S772" s="321"/>
      <c r="T772" s="321"/>
      <c r="U772" s="321"/>
      <c r="V772" s="321"/>
      <c r="W772" s="321"/>
      <c r="X772" s="321"/>
      <c r="Y772" s="321"/>
      <c r="Z772" s="321"/>
      <c r="AA772" s="321"/>
      <c r="AB772" s="321"/>
      <c r="AC772" s="321"/>
      <c r="AD772" s="321"/>
    </row>
    <row r="773">
      <c r="A773" s="321"/>
      <c r="B773" s="321"/>
      <c r="C773" s="321"/>
      <c r="D773" s="321"/>
      <c r="E773" s="321"/>
      <c r="F773" s="321"/>
      <c r="G773" s="454"/>
      <c r="H773" s="454"/>
      <c r="I773" s="454"/>
      <c r="J773" s="454"/>
      <c r="K773" s="321"/>
      <c r="L773" s="321"/>
      <c r="M773" s="321"/>
      <c r="N773" s="321"/>
      <c r="O773" s="321"/>
      <c r="P773" s="321"/>
      <c r="Q773" s="321"/>
      <c r="R773" s="321"/>
      <c r="S773" s="321"/>
      <c r="T773" s="321"/>
      <c r="U773" s="321"/>
      <c r="V773" s="321"/>
      <c r="W773" s="321"/>
      <c r="X773" s="321"/>
      <c r="Y773" s="321"/>
      <c r="Z773" s="321"/>
      <c r="AA773" s="321"/>
      <c r="AB773" s="321"/>
      <c r="AC773" s="321"/>
      <c r="AD773" s="321"/>
    </row>
    <row r="774">
      <c r="A774" s="321"/>
      <c r="B774" s="321"/>
      <c r="C774" s="321"/>
      <c r="D774" s="321"/>
      <c r="E774" s="321"/>
      <c r="F774" s="321"/>
      <c r="G774" s="454"/>
      <c r="H774" s="454"/>
      <c r="I774" s="454"/>
      <c r="J774" s="454"/>
      <c r="K774" s="321"/>
      <c r="L774" s="321"/>
      <c r="M774" s="321"/>
      <c r="N774" s="321"/>
      <c r="O774" s="321"/>
      <c r="P774" s="321"/>
      <c r="Q774" s="321"/>
      <c r="R774" s="321"/>
      <c r="S774" s="321"/>
      <c r="T774" s="321"/>
      <c r="U774" s="321"/>
      <c r="V774" s="321"/>
      <c r="W774" s="321"/>
      <c r="X774" s="321"/>
      <c r="Y774" s="321"/>
      <c r="Z774" s="321"/>
      <c r="AA774" s="321"/>
      <c r="AB774" s="321"/>
      <c r="AC774" s="321"/>
      <c r="AD774" s="321"/>
    </row>
    <row r="775">
      <c r="A775" s="321"/>
      <c r="B775" s="321"/>
      <c r="C775" s="321"/>
      <c r="D775" s="321"/>
      <c r="E775" s="321"/>
      <c r="F775" s="321"/>
      <c r="G775" s="454"/>
      <c r="H775" s="454"/>
      <c r="I775" s="454"/>
      <c r="J775" s="454"/>
      <c r="K775" s="321"/>
      <c r="L775" s="321"/>
      <c r="M775" s="321"/>
      <c r="N775" s="321"/>
      <c r="O775" s="321"/>
      <c r="P775" s="321"/>
      <c r="Q775" s="321"/>
      <c r="R775" s="321"/>
      <c r="S775" s="321"/>
      <c r="T775" s="321"/>
      <c r="U775" s="321"/>
      <c r="V775" s="321"/>
      <c r="W775" s="321"/>
      <c r="X775" s="321"/>
      <c r="Y775" s="321"/>
      <c r="Z775" s="321"/>
      <c r="AA775" s="321"/>
      <c r="AB775" s="321"/>
      <c r="AC775" s="321"/>
      <c r="AD775" s="321"/>
    </row>
    <row r="776">
      <c r="A776" s="321"/>
      <c r="B776" s="321"/>
      <c r="C776" s="321"/>
      <c r="D776" s="321"/>
      <c r="E776" s="321"/>
      <c r="F776" s="321"/>
      <c r="G776" s="454"/>
      <c r="H776" s="454"/>
      <c r="I776" s="454"/>
      <c r="J776" s="454"/>
      <c r="K776" s="321"/>
      <c r="L776" s="321"/>
      <c r="M776" s="321"/>
      <c r="N776" s="321"/>
      <c r="O776" s="321"/>
      <c r="P776" s="321"/>
      <c r="Q776" s="321"/>
      <c r="R776" s="321"/>
      <c r="S776" s="321"/>
      <c r="T776" s="321"/>
      <c r="U776" s="321"/>
      <c r="V776" s="321"/>
      <c r="W776" s="321"/>
      <c r="X776" s="321"/>
      <c r="Y776" s="321"/>
      <c r="Z776" s="321"/>
      <c r="AA776" s="321"/>
      <c r="AB776" s="321"/>
      <c r="AC776" s="321"/>
      <c r="AD776" s="321"/>
    </row>
    <row r="777">
      <c r="A777" s="321"/>
      <c r="B777" s="321"/>
      <c r="C777" s="321"/>
      <c r="D777" s="321"/>
      <c r="E777" s="321"/>
      <c r="F777" s="321"/>
      <c r="G777" s="454"/>
      <c r="H777" s="454"/>
      <c r="I777" s="454"/>
      <c r="J777" s="454"/>
      <c r="K777" s="321"/>
      <c r="L777" s="321"/>
      <c r="M777" s="321"/>
      <c r="N777" s="321"/>
      <c r="O777" s="321"/>
      <c r="P777" s="321"/>
      <c r="Q777" s="321"/>
      <c r="R777" s="321"/>
      <c r="S777" s="321"/>
      <c r="T777" s="321"/>
      <c r="U777" s="321"/>
      <c r="V777" s="321"/>
      <c r="W777" s="321"/>
      <c r="X777" s="321"/>
      <c r="Y777" s="321"/>
      <c r="Z777" s="321"/>
      <c r="AA777" s="321"/>
      <c r="AB777" s="321"/>
      <c r="AC777" s="321"/>
      <c r="AD777" s="321"/>
    </row>
    <row r="778">
      <c r="A778" s="321"/>
      <c r="B778" s="321"/>
      <c r="C778" s="321"/>
      <c r="D778" s="321"/>
      <c r="E778" s="321"/>
      <c r="F778" s="321"/>
      <c r="G778" s="454"/>
      <c r="H778" s="454"/>
      <c r="I778" s="454"/>
      <c r="J778" s="454"/>
      <c r="K778" s="321"/>
      <c r="L778" s="321"/>
      <c r="M778" s="321"/>
      <c r="N778" s="321"/>
      <c r="O778" s="321"/>
      <c r="P778" s="321"/>
      <c r="Q778" s="321"/>
      <c r="R778" s="321"/>
      <c r="S778" s="321"/>
      <c r="T778" s="321"/>
      <c r="U778" s="321"/>
      <c r="V778" s="321"/>
      <c r="W778" s="321"/>
      <c r="X778" s="321"/>
      <c r="Y778" s="321"/>
      <c r="Z778" s="321"/>
      <c r="AA778" s="321"/>
      <c r="AB778" s="321"/>
      <c r="AC778" s="321"/>
      <c r="AD778" s="321"/>
    </row>
    <row r="779">
      <c r="A779" s="321"/>
      <c r="B779" s="321"/>
      <c r="C779" s="321"/>
      <c r="D779" s="321"/>
      <c r="E779" s="321"/>
      <c r="F779" s="321"/>
      <c r="G779" s="454"/>
      <c r="H779" s="454"/>
      <c r="I779" s="454"/>
      <c r="J779" s="454"/>
      <c r="K779" s="321"/>
      <c r="L779" s="321"/>
      <c r="M779" s="321"/>
      <c r="N779" s="321"/>
      <c r="O779" s="321"/>
      <c r="P779" s="321"/>
      <c r="Q779" s="321"/>
      <c r="R779" s="321"/>
      <c r="S779" s="321"/>
      <c r="T779" s="321"/>
      <c r="U779" s="321"/>
      <c r="V779" s="321"/>
      <c r="W779" s="321"/>
      <c r="X779" s="321"/>
      <c r="Y779" s="321"/>
      <c r="Z779" s="321"/>
      <c r="AA779" s="321"/>
      <c r="AB779" s="321"/>
      <c r="AC779" s="321"/>
      <c r="AD779" s="321"/>
    </row>
    <row r="780">
      <c r="A780" s="321"/>
      <c r="B780" s="321"/>
      <c r="C780" s="321"/>
      <c r="D780" s="321"/>
      <c r="E780" s="321"/>
      <c r="F780" s="321"/>
      <c r="G780" s="454"/>
      <c r="H780" s="454"/>
      <c r="I780" s="454"/>
      <c r="J780" s="454"/>
      <c r="K780" s="321"/>
      <c r="L780" s="321"/>
      <c r="M780" s="321"/>
      <c r="N780" s="321"/>
      <c r="O780" s="321"/>
      <c r="P780" s="321"/>
      <c r="Q780" s="321"/>
      <c r="R780" s="321"/>
      <c r="S780" s="321"/>
      <c r="T780" s="321"/>
      <c r="U780" s="321"/>
      <c r="V780" s="321"/>
      <c r="W780" s="321"/>
      <c r="X780" s="321"/>
      <c r="Y780" s="321"/>
      <c r="Z780" s="321"/>
      <c r="AA780" s="321"/>
      <c r="AB780" s="321"/>
      <c r="AC780" s="321"/>
      <c r="AD780" s="321"/>
    </row>
    <row r="781">
      <c r="A781" s="321"/>
      <c r="B781" s="321"/>
      <c r="C781" s="321"/>
      <c r="D781" s="321"/>
      <c r="E781" s="321"/>
      <c r="F781" s="321"/>
      <c r="G781" s="454"/>
      <c r="H781" s="454"/>
      <c r="I781" s="454"/>
      <c r="J781" s="454"/>
      <c r="K781" s="321"/>
      <c r="L781" s="321"/>
      <c r="M781" s="321"/>
      <c r="N781" s="321"/>
      <c r="O781" s="321"/>
      <c r="P781" s="321"/>
      <c r="Q781" s="321"/>
      <c r="R781" s="321"/>
      <c r="S781" s="321"/>
      <c r="T781" s="321"/>
      <c r="U781" s="321"/>
      <c r="V781" s="321"/>
      <c r="W781" s="321"/>
      <c r="X781" s="321"/>
      <c r="Y781" s="321"/>
      <c r="Z781" s="321"/>
      <c r="AA781" s="321"/>
      <c r="AB781" s="321"/>
      <c r="AC781" s="321"/>
      <c r="AD781" s="321"/>
    </row>
    <row r="782">
      <c r="A782" s="321"/>
      <c r="B782" s="321"/>
      <c r="C782" s="321"/>
      <c r="D782" s="321"/>
      <c r="E782" s="321"/>
      <c r="F782" s="321"/>
      <c r="G782" s="454"/>
      <c r="H782" s="454"/>
      <c r="I782" s="454"/>
      <c r="J782" s="454"/>
      <c r="K782" s="321"/>
      <c r="L782" s="321"/>
      <c r="M782" s="321"/>
      <c r="N782" s="321"/>
      <c r="O782" s="321"/>
      <c r="P782" s="321"/>
      <c r="Q782" s="321"/>
      <c r="R782" s="321"/>
      <c r="S782" s="321"/>
      <c r="T782" s="321"/>
      <c r="U782" s="321"/>
      <c r="V782" s="321"/>
      <c r="W782" s="321"/>
      <c r="X782" s="321"/>
      <c r="Y782" s="321"/>
      <c r="Z782" s="321"/>
      <c r="AA782" s="321"/>
      <c r="AB782" s="321"/>
      <c r="AC782" s="321"/>
      <c r="AD782" s="321"/>
    </row>
    <row r="783">
      <c r="A783" s="321"/>
      <c r="B783" s="321"/>
      <c r="C783" s="321"/>
      <c r="D783" s="321"/>
      <c r="E783" s="321"/>
      <c r="F783" s="321"/>
      <c r="G783" s="454"/>
      <c r="H783" s="454"/>
      <c r="I783" s="454"/>
      <c r="J783" s="454"/>
      <c r="K783" s="321"/>
      <c r="L783" s="321"/>
      <c r="M783" s="321"/>
      <c r="N783" s="321"/>
      <c r="O783" s="321"/>
      <c r="P783" s="321"/>
      <c r="Q783" s="321"/>
      <c r="R783" s="321"/>
      <c r="S783" s="321"/>
      <c r="T783" s="321"/>
      <c r="U783" s="321"/>
      <c r="V783" s="321"/>
      <c r="W783" s="321"/>
      <c r="X783" s="321"/>
      <c r="Y783" s="321"/>
      <c r="Z783" s="321"/>
      <c r="AA783" s="321"/>
      <c r="AB783" s="321"/>
      <c r="AC783" s="321"/>
      <c r="AD783" s="321"/>
    </row>
    <row r="784">
      <c r="A784" s="321"/>
      <c r="B784" s="321"/>
      <c r="C784" s="321"/>
      <c r="D784" s="321"/>
      <c r="E784" s="321"/>
      <c r="F784" s="321"/>
      <c r="G784" s="454"/>
      <c r="H784" s="454"/>
      <c r="I784" s="454"/>
      <c r="J784" s="454"/>
      <c r="K784" s="321"/>
      <c r="L784" s="321"/>
      <c r="M784" s="321"/>
      <c r="N784" s="321"/>
      <c r="O784" s="321"/>
      <c r="P784" s="321"/>
      <c r="Q784" s="321"/>
      <c r="R784" s="321"/>
      <c r="S784" s="321"/>
      <c r="T784" s="321"/>
      <c r="U784" s="321"/>
      <c r="V784" s="321"/>
      <c r="W784" s="321"/>
      <c r="X784" s="321"/>
      <c r="Y784" s="321"/>
      <c r="Z784" s="321"/>
      <c r="AA784" s="321"/>
      <c r="AB784" s="321"/>
      <c r="AC784" s="321"/>
      <c r="AD784" s="321"/>
    </row>
    <row r="785">
      <c r="A785" s="321"/>
      <c r="B785" s="321"/>
      <c r="C785" s="321"/>
      <c r="D785" s="321"/>
      <c r="E785" s="321"/>
      <c r="F785" s="321"/>
      <c r="G785" s="454"/>
      <c r="H785" s="454"/>
      <c r="I785" s="454"/>
      <c r="J785" s="454"/>
      <c r="K785" s="321"/>
      <c r="L785" s="321"/>
      <c r="M785" s="321"/>
      <c r="N785" s="321"/>
      <c r="O785" s="321"/>
      <c r="P785" s="321"/>
      <c r="Q785" s="321"/>
      <c r="R785" s="321"/>
      <c r="S785" s="321"/>
      <c r="T785" s="321"/>
      <c r="U785" s="321"/>
      <c r="V785" s="321"/>
      <c r="W785" s="321"/>
      <c r="X785" s="321"/>
      <c r="Y785" s="321"/>
      <c r="Z785" s="321"/>
      <c r="AA785" s="321"/>
      <c r="AB785" s="321"/>
      <c r="AC785" s="321"/>
      <c r="AD785" s="321"/>
    </row>
    <row r="786">
      <c r="A786" s="321"/>
      <c r="B786" s="321"/>
      <c r="C786" s="321"/>
      <c r="D786" s="321"/>
      <c r="E786" s="321"/>
      <c r="F786" s="321"/>
      <c r="G786" s="454"/>
      <c r="H786" s="454"/>
      <c r="I786" s="454"/>
      <c r="J786" s="454"/>
      <c r="K786" s="321"/>
      <c r="L786" s="321"/>
      <c r="M786" s="321"/>
      <c r="N786" s="321"/>
      <c r="O786" s="321"/>
      <c r="P786" s="321"/>
      <c r="Q786" s="321"/>
      <c r="R786" s="321"/>
      <c r="S786" s="321"/>
      <c r="T786" s="321"/>
      <c r="U786" s="321"/>
      <c r="V786" s="321"/>
      <c r="W786" s="321"/>
      <c r="X786" s="321"/>
      <c r="Y786" s="321"/>
      <c r="Z786" s="321"/>
      <c r="AA786" s="321"/>
      <c r="AB786" s="321"/>
      <c r="AC786" s="321"/>
      <c r="AD786" s="321"/>
    </row>
    <row r="787">
      <c r="A787" s="321"/>
      <c r="B787" s="321"/>
      <c r="C787" s="321"/>
      <c r="D787" s="321"/>
      <c r="E787" s="321"/>
      <c r="F787" s="321"/>
      <c r="G787" s="454"/>
      <c r="H787" s="454"/>
      <c r="I787" s="454"/>
      <c r="J787" s="454"/>
      <c r="K787" s="321"/>
      <c r="L787" s="321"/>
      <c r="M787" s="321"/>
      <c r="N787" s="321"/>
      <c r="O787" s="321"/>
      <c r="P787" s="321"/>
      <c r="Q787" s="321"/>
      <c r="R787" s="321"/>
      <c r="S787" s="321"/>
      <c r="T787" s="321"/>
      <c r="U787" s="321"/>
      <c r="V787" s="321"/>
      <c r="W787" s="321"/>
      <c r="X787" s="321"/>
      <c r="Y787" s="321"/>
      <c r="Z787" s="321"/>
      <c r="AA787" s="321"/>
      <c r="AB787" s="321"/>
      <c r="AC787" s="321"/>
      <c r="AD787" s="321"/>
    </row>
    <row r="788">
      <c r="A788" s="321"/>
      <c r="B788" s="321"/>
      <c r="C788" s="321"/>
      <c r="D788" s="321"/>
      <c r="E788" s="321"/>
      <c r="F788" s="321"/>
      <c r="G788" s="454"/>
      <c r="H788" s="454"/>
      <c r="I788" s="454"/>
      <c r="J788" s="454"/>
      <c r="K788" s="321"/>
      <c r="L788" s="321"/>
      <c r="M788" s="321"/>
      <c r="N788" s="321"/>
      <c r="O788" s="321"/>
      <c r="P788" s="321"/>
      <c r="Q788" s="321"/>
      <c r="R788" s="321"/>
      <c r="S788" s="321"/>
      <c r="T788" s="321"/>
      <c r="U788" s="321"/>
      <c r="V788" s="321"/>
      <c r="W788" s="321"/>
      <c r="X788" s="321"/>
      <c r="Y788" s="321"/>
      <c r="Z788" s="321"/>
      <c r="AA788" s="321"/>
      <c r="AB788" s="321"/>
      <c r="AC788" s="321"/>
      <c r="AD788" s="321"/>
    </row>
    <row r="789">
      <c r="A789" s="321"/>
      <c r="B789" s="321"/>
      <c r="C789" s="321"/>
      <c r="D789" s="321"/>
      <c r="E789" s="321"/>
      <c r="F789" s="321"/>
      <c r="G789" s="454"/>
      <c r="H789" s="454"/>
      <c r="I789" s="454"/>
      <c r="J789" s="454"/>
      <c r="K789" s="321"/>
      <c r="L789" s="321"/>
      <c r="M789" s="321"/>
      <c r="N789" s="321"/>
      <c r="O789" s="321"/>
      <c r="P789" s="321"/>
      <c r="Q789" s="321"/>
      <c r="R789" s="321"/>
      <c r="S789" s="321"/>
      <c r="T789" s="321"/>
      <c r="U789" s="321"/>
      <c r="V789" s="321"/>
      <c r="W789" s="321"/>
      <c r="X789" s="321"/>
      <c r="Y789" s="321"/>
      <c r="Z789" s="321"/>
      <c r="AA789" s="321"/>
      <c r="AB789" s="321"/>
      <c r="AC789" s="321"/>
      <c r="AD789" s="321"/>
    </row>
    <row r="790">
      <c r="A790" s="321"/>
      <c r="B790" s="321"/>
      <c r="C790" s="321"/>
      <c r="D790" s="321"/>
      <c r="E790" s="321"/>
      <c r="F790" s="321"/>
      <c r="G790" s="454"/>
      <c r="H790" s="454"/>
      <c r="I790" s="454"/>
      <c r="J790" s="454"/>
      <c r="K790" s="321"/>
      <c r="L790" s="321"/>
      <c r="M790" s="321"/>
      <c r="N790" s="321"/>
      <c r="O790" s="321"/>
      <c r="P790" s="321"/>
      <c r="Q790" s="321"/>
      <c r="R790" s="321"/>
      <c r="S790" s="321"/>
      <c r="T790" s="321"/>
      <c r="U790" s="321"/>
      <c r="V790" s="321"/>
      <c r="W790" s="321"/>
      <c r="X790" s="321"/>
      <c r="Y790" s="321"/>
      <c r="Z790" s="321"/>
      <c r="AA790" s="321"/>
      <c r="AB790" s="321"/>
      <c r="AC790" s="321"/>
      <c r="AD790" s="321"/>
    </row>
    <row r="791">
      <c r="A791" s="321"/>
      <c r="B791" s="321"/>
      <c r="C791" s="321"/>
      <c r="D791" s="321"/>
      <c r="E791" s="321"/>
      <c r="F791" s="321"/>
      <c r="G791" s="454"/>
      <c r="H791" s="454"/>
      <c r="I791" s="454"/>
      <c r="J791" s="454"/>
      <c r="K791" s="321"/>
      <c r="L791" s="321"/>
      <c r="M791" s="321"/>
      <c r="N791" s="321"/>
      <c r="O791" s="321"/>
      <c r="P791" s="321"/>
      <c r="Q791" s="321"/>
      <c r="R791" s="321"/>
      <c r="S791" s="321"/>
      <c r="T791" s="321"/>
      <c r="U791" s="321"/>
      <c r="V791" s="321"/>
      <c r="W791" s="321"/>
      <c r="X791" s="321"/>
      <c r="Y791" s="321"/>
      <c r="Z791" s="321"/>
      <c r="AA791" s="321"/>
      <c r="AB791" s="321"/>
      <c r="AC791" s="321"/>
      <c r="AD791" s="321"/>
    </row>
    <row r="792">
      <c r="A792" s="321"/>
      <c r="B792" s="321"/>
      <c r="C792" s="321"/>
      <c r="D792" s="321"/>
      <c r="E792" s="321"/>
      <c r="F792" s="321"/>
      <c r="G792" s="454"/>
      <c r="H792" s="454"/>
      <c r="I792" s="454"/>
      <c r="J792" s="454"/>
      <c r="K792" s="321"/>
      <c r="L792" s="321"/>
      <c r="M792" s="321"/>
      <c r="N792" s="321"/>
      <c r="O792" s="321"/>
      <c r="P792" s="321"/>
      <c r="Q792" s="321"/>
      <c r="R792" s="321"/>
      <c r="S792" s="321"/>
      <c r="T792" s="321"/>
      <c r="U792" s="321"/>
      <c r="V792" s="321"/>
      <c r="W792" s="321"/>
      <c r="X792" s="321"/>
      <c r="Y792" s="321"/>
      <c r="Z792" s="321"/>
      <c r="AA792" s="321"/>
      <c r="AB792" s="321"/>
      <c r="AC792" s="321"/>
      <c r="AD792" s="321"/>
    </row>
    <row r="793">
      <c r="A793" s="321"/>
      <c r="B793" s="321"/>
      <c r="C793" s="321"/>
      <c r="D793" s="321"/>
      <c r="E793" s="321"/>
      <c r="F793" s="321"/>
      <c r="G793" s="454"/>
      <c r="H793" s="454"/>
      <c r="I793" s="454"/>
      <c r="J793" s="454"/>
      <c r="K793" s="321"/>
      <c r="L793" s="321"/>
      <c r="M793" s="321"/>
      <c r="N793" s="321"/>
      <c r="O793" s="321"/>
      <c r="P793" s="321"/>
      <c r="Q793" s="321"/>
      <c r="R793" s="321"/>
      <c r="S793" s="321"/>
      <c r="T793" s="321"/>
      <c r="U793" s="321"/>
      <c r="V793" s="321"/>
      <c r="W793" s="321"/>
      <c r="X793" s="321"/>
      <c r="Y793" s="321"/>
      <c r="Z793" s="321"/>
      <c r="AA793" s="321"/>
      <c r="AB793" s="321"/>
      <c r="AC793" s="321"/>
      <c r="AD793" s="321"/>
    </row>
    <row r="794">
      <c r="A794" s="321"/>
      <c r="B794" s="321"/>
      <c r="C794" s="321"/>
      <c r="D794" s="321"/>
      <c r="E794" s="321"/>
      <c r="F794" s="321"/>
      <c r="G794" s="454"/>
      <c r="H794" s="454"/>
      <c r="I794" s="454"/>
      <c r="J794" s="454"/>
      <c r="K794" s="321"/>
      <c r="L794" s="321"/>
      <c r="M794" s="321"/>
      <c r="N794" s="321"/>
      <c r="O794" s="321"/>
      <c r="P794" s="321"/>
      <c r="Q794" s="321"/>
      <c r="R794" s="321"/>
      <c r="S794" s="321"/>
      <c r="T794" s="321"/>
      <c r="U794" s="321"/>
      <c r="V794" s="321"/>
      <c r="W794" s="321"/>
      <c r="X794" s="321"/>
      <c r="Y794" s="321"/>
      <c r="Z794" s="321"/>
      <c r="AA794" s="321"/>
      <c r="AB794" s="321"/>
      <c r="AC794" s="321"/>
      <c r="AD794" s="321"/>
    </row>
    <row r="795">
      <c r="A795" s="321"/>
      <c r="B795" s="321"/>
      <c r="C795" s="321"/>
      <c r="D795" s="321"/>
      <c r="E795" s="321"/>
      <c r="F795" s="321"/>
      <c r="G795" s="454"/>
      <c r="H795" s="454"/>
      <c r="I795" s="454"/>
      <c r="J795" s="454"/>
      <c r="K795" s="321"/>
      <c r="L795" s="321"/>
      <c r="M795" s="321"/>
      <c r="N795" s="321"/>
      <c r="O795" s="321"/>
      <c r="P795" s="321"/>
      <c r="Q795" s="321"/>
      <c r="R795" s="321"/>
      <c r="S795" s="321"/>
      <c r="T795" s="321"/>
      <c r="U795" s="321"/>
      <c r="V795" s="321"/>
      <c r="W795" s="321"/>
      <c r="X795" s="321"/>
      <c r="Y795" s="321"/>
      <c r="Z795" s="321"/>
      <c r="AA795" s="321"/>
      <c r="AB795" s="321"/>
      <c r="AC795" s="321"/>
      <c r="AD795" s="321"/>
    </row>
    <row r="796">
      <c r="A796" s="321"/>
      <c r="B796" s="321"/>
      <c r="C796" s="321"/>
      <c r="D796" s="321"/>
      <c r="E796" s="321"/>
      <c r="F796" s="321"/>
      <c r="G796" s="454"/>
      <c r="H796" s="454"/>
      <c r="I796" s="454"/>
      <c r="J796" s="454"/>
      <c r="K796" s="321"/>
      <c r="L796" s="321"/>
      <c r="M796" s="321"/>
      <c r="N796" s="321"/>
      <c r="O796" s="321"/>
      <c r="P796" s="321"/>
      <c r="Q796" s="321"/>
      <c r="R796" s="321"/>
      <c r="S796" s="321"/>
      <c r="T796" s="321"/>
      <c r="U796" s="321"/>
      <c r="V796" s="321"/>
      <c r="W796" s="321"/>
      <c r="X796" s="321"/>
      <c r="Y796" s="321"/>
      <c r="Z796" s="321"/>
      <c r="AA796" s="321"/>
      <c r="AB796" s="321"/>
      <c r="AC796" s="321"/>
      <c r="AD796" s="321"/>
    </row>
    <row r="797">
      <c r="A797" s="321"/>
      <c r="B797" s="321"/>
      <c r="C797" s="321"/>
      <c r="D797" s="321"/>
      <c r="E797" s="321"/>
      <c r="F797" s="321"/>
      <c r="G797" s="454"/>
      <c r="H797" s="454"/>
      <c r="I797" s="454"/>
      <c r="J797" s="454"/>
      <c r="K797" s="321"/>
      <c r="L797" s="321"/>
      <c r="M797" s="321"/>
      <c r="N797" s="321"/>
      <c r="O797" s="321"/>
      <c r="P797" s="321"/>
      <c r="Q797" s="321"/>
      <c r="R797" s="321"/>
      <c r="S797" s="321"/>
      <c r="T797" s="321"/>
      <c r="U797" s="321"/>
      <c r="V797" s="321"/>
      <c r="W797" s="321"/>
      <c r="X797" s="321"/>
      <c r="Y797" s="321"/>
      <c r="Z797" s="321"/>
      <c r="AA797" s="321"/>
      <c r="AB797" s="321"/>
      <c r="AC797" s="321"/>
      <c r="AD797" s="321"/>
    </row>
    <row r="798">
      <c r="A798" s="321"/>
      <c r="B798" s="321"/>
      <c r="C798" s="321"/>
      <c r="D798" s="321"/>
      <c r="E798" s="321"/>
      <c r="F798" s="321"/>
      <c r="G798" s="454"/>
      <c r="H798" s="454"/>
      <c r="I798" s="454"/>
      <c r="J798" s="454"/>
      <c r="K798" s="321"/>
      <c r="L798" s="321"/>
      <c r="M798" s="321"/>
      <c r="N798" s="321"/>
      <c r="O798" s="321"/>
      <c r="P798" s="321"/>
      <c r="Q798" s="321"/>
      <c r="R798" s="321"/>
      <c r="S798" s="321"/>
      <c r="T798" s="321"/>
      <c r="U798" s="321"/>
      <c r="V798" s="321"/>
      <c r="W798" s="321"/>
      <c r="X798" s="321"/>
      <c r="Y798" s="321"/>
      <c r="Z798" s="321"/>
      <c r="AA798" s="321"/>
      <c r="AB798" s="321"/>
      <c r="AC798" s="321"/>
      <c r="AD798" s="321"/>
    </row>
    <row r="799">
      <c r="A799" s="321"/>
      <c r="B799" s="321"/>
      <c r="C799" s="321"/>
      <c r="D799" s="321"/>
      <c r="E799" s="321"/>
      <c r="F799" s="321"/>
      <c r="G799" s="454"/>
      <c r="H799" s="454"/>
      <c r="I799" s="454"/>
      <c r="J799" s="454"/>
      <c r="K799" s="321"/>
      <c r="L799" s="321"/>
      <c r="M799" s="321"/>
      <c r="N799" s="321"/>
      <c r="O799" s="321"/>
      <c r="P799" s="321"/>
      <c r="Q799" s="321"/>
      <c r="R799" s="321"/>
      <c r="S799" s="321"/>
      <c r="T799" s="321"/>
      <c r="U799" s="321"/>
      <c r="V799" s="321"/>
      <c r="W799" s="321"/>
      <c r="X799" s="321"/>
      <c r="Y799" s="321"/>
      <c r="Z799" s="321"/>
      <c r="AA799" s="321"/>
      <c r="AB799" s="321"/>
      <c r="AC799" s="321"/>
      <c r="AD799" s="321"/>
    </row>
    <row r="800">
      <c r="A800" s="321"/>
      <c r="B800" s="321"/>
      <c r="C800" s="321"/>
      <c r="D800" s="321"/>
      <c r="E800" s="321"/>
      <c r="F800" s="321"/>
      <c r="G800" s="454"/>
      <c r="H800" s="454"/>
      <c r="I800" s="454"/>
      <c r="J800" s="454"/>
      <c r="K800" s="321"/>
      <c r="L800" s="321"/>
      <c r="M800" s="321"/>
      <c r="N800" s="321"/>
      <c r="O800" s="321"/>
      <c r="P800" s="321"/>
      <c r="Q800" s="321"/>
      <c r="R800" s="321"/>
      <c r="S800" s="321"/>
      <c r="T800" s="321"/>
      <c r="U800" s="321"/>
      <c r="V800" s="321"/>
      <c r="W800" s="321"/>
      <c r="X800" s="321"/>
      <c r="Y800" s="321"/>
      <c r="Z800" s="321"/>
      <c r="AA800" s="321"/>
      <c r="AB800" s="321"/>
      <c r="AC800" s="321"/>
      <c r="AD800" s="321"/>
    </row>
    <row r="801">
      <c r="A801" s="321"/>
      <c r="B801" s="321"/>
      <c r="C801" s="321"/>
      <c r="D801" s="321"/>
      <c r="E801" s="321"/>
      <c r="F801" s="321"/>
      <c r="G801" s="454"/>
      <c r="H801" s="454"/>
      <c r="I801" s="454"/>
      <c r="J801" s="454"/>
      <c r="K801" s="321"/>
      <c r="L801" s="321"/>
      <c r="M801" s="321"/>
      <c r="N801" s="321"/>
      <c r="O801" s="321"/>
      <c r="P801" s="321"/>
      <c r="Q801" s="321"/>
      <c r="R801" s="321"/>
      <c r="S801" s="321"/>
      <c r="T801" s="321"/>
      <c r="U801" s="321"/>
      <c r="V801" s="321"/>
      <c r="W801" s="321"/>
      <c r="X801" s="321"/>
      <c r="Y801" s="321"/>
      <c r="Z801" s="321"/>
      <c r="AA801" s="321"/>
      <c r="AB801" s="321"/>
      <c r="AC801" s="321"/>
      <c r="AD801" s="321"/>
    </row>
    <row r="802">
      <c r="A802" s="321"/>
      <c r="B802" s="321"/>
      <c r="C802" s="321"/>
      <c r="D802" s="321"/>
      <c r="E802" s="321"/>
      <c r="F802" s="321"/>
      <c r="G802" s="454"/>
      <c r="H802" s="454"/>
      <c r="I802" s="454"/>
      <c r="J802" s="454"/>
      <c r="K802" s="321"/>
      <c r="L802" s="321"/>
      <c r="M802" s="321"/>
      <c r="N802" s="321"/>
      <c r="O802" s="321"/>
      <c r="P802" s="321"/>
      <c r="Q802" s="321"/>
      <c r="R802" s="321"/>
      <c r="S802" s="321"/>
      <c r="T802" s="321"/>
      <c r="U802" s="321"/>
      <c r="V802" s="321"/>
      <c r="W802" s="321"/>
      <c r="X802" s="321"/>
      <c r="Y802" s="321"/>
      <c r="Z802" s="321"/>
      <c r="AA802" s="321"/>
      <c r="AB802" s="321"/>
      <c r="AC802" s="321"/>
      <c r="AD802" s="321"/>
    </row>
    <row r="803">
      <c r="A803" s="321"/>
      <c r="B803" s="321"/>
      <c r="C803" s="321"/>
      <c r="D803" s="321"/>
      <c r="E803" s="321"/>
      <c r="F803" s="321"/>
      <c r="G803" s="454"/>
      <c r="H803" s="454"/>
      <c r="I803" s="454"/>
      <c r="J803" s="454"/>
      <c r="K803" s="321"/>
      <c r="L803" s="321"/>
      <c r="M803" s="321"/>
      <c r="N803" s="321"/>
      <c r="O803" s="321"/>
      <c r="P803" s="321"/>
      <c r="Q803" s="321"/>
      <c r="R803" s="321"/>
      <c r="S803" s="321"/>
      <c r="T803" s="321"/>
      <c r="U803" s="321"/>
      <c r="V803" s="321"/>
      <c r="W803" s="321"/>
      <c r="X803" s="321"/>
      <c r="Y803" s="321"/>
      <c r="Z803" s="321"/>
      <c r="AA803" s="321"/>
      <c r="AB803" s="321"/>
      <c r="AC803" s="321"/>
      <c r="AD803" s="321"/>
    </row>
    <row r="804">
      <c r="A804" s="321"/>
      <c r="B804" s="321"/>
      <c r="C804" s="321"/>
      <c r="D804" s="321"/>
      <c r="E804" s="321"/>
      <c r="F804" s="321"/>
      <c r="G804" s="454"/>
      <c r="H804" s="454"/>
      <c r="I804" s="454"/>
      <c r="J804" s="454"/>
      <c r="K804" s="321"/>
      <c r="L804" s="321"/>
      <c r="M804" s="321"/>
      <c r="N804" s="321"/>
      <c r="O804" s="321"/>
      <c r="P804" s="321"/>
      <c r="Q804" s="321"/>
      <c r="R804" s="321"/>
      <c r="S804" s="321"/>
      <c r="T804" s="321"/>
      <c r="U804" s="321"/>
      <c r="V804" s="321"/>
      <c r="W804" s="321"/>
      <c r="X804" s="321"/>
      <c r="Y804" s="321"/>
      <c r="Z804" s="321"/>
      <c r="AA804" s="321"/>
      <c r="AB804" s="321"/>
      <c r="AC804" s="321"/>
      <c r="AD804" s="321"/>
    </row>
    <row r="805">
      <c r="A805" s="321"/>
      <c r="B805" s="321"/>
      <c r="C805" s="321"/>
      <c r="D805" s="321"/>
      <c r="E805" s="321"/>
      <c r="F805" s="321"/>
      <c r="G805" s="454"/>
      <c r="H805" s="454"/>
      <c r="I805" s="454"/>
      <c r="J805" s="454"/>
      <c r="K805" s="321"/>
      <c r="L805" s="321"/>
      <c r="M805" s="321"/>
      <c r="N805" s="321"/>
      <c r="O805" s="321"/>
      <c r="P805" s="321"/>
      <c r="Q805" s="321"/>
      <c r="R805" s="321"/>
      <c r="S805" s="321"/>
      <c r="T805" s="321"/>
      <c r="U805" s="321"/>
      <c r="V805" s="321"/>
      <c r="W805" s="321"/>
      <c r="X805" s="321"/>
      <c r="Y805" s="321"/>
      <c r="Z805" s="321"/>
      <c r="AA805" s="321"/>
      <c r="AB805" s="321"/>
      <c r="AC805" s="321"/>
      <c r="AD805" s="321"/>
    </row>
    <row r="806">
      <c r="A806" s="321"/>
      <c r="B806" s="321"/>
      <c r="C806" s="321"/>
      <c r="D806" s="321"/>
      <c r="E806" s="321"/>
      <c r="F806" s="321"/>
      <c r="G806" s="454"/>
      <c r="H806" s="454"/>
      <c r="I806" s="454"/>
      <c r="J806" s="454"/>
      <c r="K806" s="321"/>
      <c r="L806" s="321"/>
      <c r="M806" s="321"/>
      <c r="N806" s="321"/>
      <c r="O806" s="321"/>
      <c r="P806" s="321"/>
      <c r="Q806" s="321"/>
      <c r="R806" s="321"/>
      <c r="S806" s="321"/>
      <c r="T806" s="321"/>
      <c r="U806" s="321"/>
      <c r="V806" s="321"/>
      <c r="W806" s="321"/>
      <c r="X806" s="321"/>
      <c r="Y806" s="321"/>
      <c r="Z806" s="321"/>
      <c r="AA806" s="321"/>
      <c r="AB806" s="321"/>
      <c r="AC806" s="321"/>
      <c r="AD806" s="321"/>
    </row>
    <row r="807">
      <c r="A807" s="321"/>
      <c r="B807" s="321"/>
      <c r="C807" s="321"/>
      <c r="D807" s="321"/>
      <c r="E807" s="321"/>
      <c r="F807" s="321"/>
      <c r="G807" s="454"/>
      <c r="H807" s="454"/>
      <c r="I807" s="454"/>
      <c r="J807" s="454"/>
      <c r="K807" s="321"/>
      <c r="L807" s="321"/>
      <c r="M807" s="321"/>
      <c r="N807" s="321"/>
      <c r="O807" s="321"/>
      <c r="P807" s="321"/>
      <c r="Q807" s="321"/>
      <c r="R807" s="321"/>
      <c r="S807" s="321"/>
      <c r="T807" s="321"/>
      <c r="U807" s="321"/>
      <c r="V807" s="321"/>
      <c r="W807" s="321"/>
      <c r="X807" s="321"/>
      <c r="Y807" s="321"/>
      <c r="Z807" s="321"/>
      <c r="AA807" s="321"/>
      <c r="AB807" s="321"/>
      <c r="AC807" s="321"/>
      <c r="AD807" s="321"/>
    </row>
    <row r="808">
      <c r="A808" s="321"/>
      <c r="B808" s="321"/>
      <c r="C808" s="321"/>
      <c r="D808" s="321"/>
      <c r="E808" s="321"/>
      <c r="F808" s="321"/>
      <c r="G808" s="454"/>
      <c r="H808" s="454"/>
      <c r="I808" s="454"/>
      <c r="J808" s="454"/>
      <c r="K808" s="321"/>
      <c r="L808" s="321"/>
      <c r="M808" s="321"/>
      <c r="N808" s="321"/>
      <c r="O808" s="321"/>
      <c r="P808" s="321"/>
      <c r="Q808" s="321"/>
      <c r="R808" s="321"/>
      <c r="S808" s="321"/>
      <c r="T808" s="321"/>
      <c r="U808" s="321"/>
      <c r="V808" s="321"/>
      <c r="W808" s="321"/>
      <c r="X808" s="321"/>
      <c r="Y808" s="321"/>
      <c r="Z808" s="321"/>
      <c r="AA808" s="321"/>
      <c r="AB808" s="321"/>
      <c r="AC808" s="321"/>
      <c r="AD808" s="321"/>
    </row>
    <row r="809">
      <c r="A809" s="321"/>
      <c r="B809" s="321"/>
      <c r="C809" s="321"/>
      <c r="D809" s="321"/>
      <c r="E809" s="321"/>
      <c r="F809" s="321"/>
      <c r="G809" s="454"/>
      <c r="H809" s="454"/>
      <c r="I809" s="454"/>
      <c r="J809" s="454"/>
      <c r="K809" s="321"/>
      <c r="L809" s="321"/>
      <c r="M809" s="321"/>
      <c r="N809" s="321"/>
      <c r="O809" s="321"/>
      <c r="P809" s="321"/>
      <c r="Q809" s="321"/>
      <c r="R809" s="321"/>
      <c r="S809" s="321"/>
      <c r="T809" s="321"/>
      <c r="U809" s="321"/>
      <c r="V809" s="321"/>
      <c r="W809" s="321"/>
      <c r="X809" s="321"/>
      <c r="Y809" s="321"/>
      <c r="Z809" s="321"/>
      <c r="AA809" s="321"/>
      <c r="AB809" s="321"/>
      <c r="AC809" s="321"/>
      <c r="AD809" s="321"/>
    </row>
    <row r="810">
      <c r="A810" s="321"/>
      <c r="B810" s="321"/>
      <c r="C810" s="321"/>
      <c r="D810" s="321"/>
      <c r="E810" s="321"/>
      <c r="F810" s="321"/>
      <c r="G810" s="454"/>
      <c r="H810" s="454"/>
      <c r="I810" s="454"/>
      <c r="J810" s="454"/>
      <c r="K810" s="321"/>
      <c r="L810" s="321"/>
      <c r="M810" s="321"/>
      <c r="N810" s="321"/>
      <c r="O810" s="321"/>
      <c r="P810" s="321"/>
      <c r="Q810" s="321"/>
      <c r="R810" s="321"/>
      <c r="S810" s="321"/>
      <c r="T810" s="321"/>
      <c r="U810" s="321"/>
      <c r="V810" s="321"/>
      <c r="W810" s="321"/>
      <c r="X810" s="321"/>
      <c r="Y810" s="321"/>
      <c r="Z810" s="321"/>
      <c r="AA810" s="321"/>
      <c r="AB810" s="321"/>
      <c r="AC810" s="321"/>
      <c r="AD810" s="321"/>
    </row>
    <row r="811">
      <c r="A811" s="321"/>
      <c r="B811" s="321"/>
      <c r="C811" s="321"/>
      <c r="D811" s="321"/>
      <c r="E811" s="321"/>
      <c r="F811" s="321"/>
      <c r="G811" s="454"/>
      <c r="H811" s="454"/>
      <c r="I811" s="454"/>
      <c r="J811" s="454"/>
      <c r="K811" s="321"/>
      <c r="L811" s="321"/>
      <c r="M811" s="321"/>
      <c r="N811" s="321"/>
      <c r="O811" s="321"/>
      <c r="P811" s="321"/>
      <c r="Q811" s="321"/>
      <c r="R811" s="321"/>
      <c r="S811" s="321"/>
      <c r="T811" s="321"/>
      <c r="U811" s="321"/>
      <c r="V811" s="321"/>
      <c r="W811" s="321"/>
      <c r="X811" s="321"/>
      <c r="Y811" s="321"/>
      <c r="Z811" s="321"/>
      <c r="AA811" s="321"/>
      <c r="AB811" s="321"/>
      <c r="AC811" s="321"/>
      <c r="AD811" s="321"/>
    </row>
    <row r="812">
      <c r="A812" s="321"/>
      <c r="B812" s="321"/>
      <c r="C812" s="321"/>
      <c r="D812" s="321"/>
      <c r="E812" s="321"/>
      <c r="F812" s="321"/>
      <c r="G812" s="454"/>
      <c r="H812" s="454"/>
      <c r="I812" s="454"/>
      <c r="J812" s="454"/>
      <c r="K812" s="321"/>
      <c r="L812" s="321"/>
      <c r="M812" s="321"/>
      <c r="N812" s="321"/>
      <c r="O812" s="321"/>
      <c r="P812" s="321"/>
      <c r="Q812" s="321"/>
      <c r="R812" s="321"/>
      <c r="S812" s="321"/>
      <c r="T812" s="321"/>
      <c r="U812" s="321"/>
      <c r="V812" s="321"/>
      <c r="W812" s="321"/>
      <c r="X812" s="321"/>
      <c r="Y812" s="321"/>
      <c r="Z812" s="321"/>
      <c r="AA812" s="321"/>
      <c r="AB812" s="321"/>
      <c r="AC812" s="321"/>
      <c r="AD812" s="321"/>
    </row>
    <row r="813">
      <c r="A813" s="321"/>
      <c r="B813" s="321"/>
      <c r="C813" s="321"/>
      <c r="D813" s="321"/>
      <c r="E813" s="321"/>
      <c r="F813" s="321"/>
      <c r="G813" s="454"/>
      <c r="H813" s="454"/>
      <c r="I813" s="454"/>
      <c r="J813" s="454"/>
      <c r="K813" s="321"/>
      <c r="L813" s="321"/>
      <c r="M813" s="321"/>
      <c r="N813" s="321"/>
      <c r="O813" s="321"/>
      <c r="P813" s="321"/>
      <c r="Q813" s="321"/>
      <c r="R813" s="321"/>
      <c r="S813" s="321"/>
      <c r="T813" s="321"/>
      <c r="U813" s="321"/>
      <c r="V813" s="321"/>
      <c r="W813" s="321"/>
      <c r="X813" s="321"/>
      <c r="Y813" s="321"/>
      <c r="Z813" s="321"/>
      <c r="AA813" s="321"/>
      <c r="AB813" s="321"/>
      <c r="AC813" s="321"/>
      <c r="AD813" s="321"/>
    </row>
    <row r="814">
      <c r="A814" s="321"/>
      <c r="B814" s="321"/>
      <c r="C814" s="321"/>
      <c r="D814" s="321"/>
      <c r="E814" s="321"/>
      <c r="F814" s="321"/>
      <c r="G814" s="454"/>
      <c r="H814" s="454"/>
      <c r="I814" s="454"/>
      <c r="J814" s="454"/>
      <c r="K814" s="321"/>
      <c r="L814" s="321"/>
      <c r="M814" s="321"/>
      <c r="N814" s="321"/>
      <c r="O814" s="321"/>
      <c r="P814" s="321"/>
      <c r="Q814" s="321"/>
      <c r="R814" s="321"/>
      <c r="S814" s="321"/>
      <c r="T814" s="321"/>
      <c r="U814" s="321"/>
      <c r="V814" s="321"/>
      <c r="W814" s="321"/>
      <c r="X814" s="321"/>
      <c r="Y814" s="321"/>
      <c r="Z814" s="321"/>
      <c r="AA814" s="321"/>
      <c r="AB814" s="321"/>
      <c r="AC814" s="321"/>
      <c r="AD814" s="321"/>
    </row>
    <row r="815">
      <c r="A815" s="321"/>
      <c r="B815" s="321"/>
      <c r="C815" s="321"/>
      <c r="D815" s="321"/>
      <c r="E815" s="321"/>
      <c r="F815" s="321"/>
      <c r="G815" s="454"/>
      <c r="H815" s="454"/>
      <c r="I815" s="454"/>
      <c r="J815" s="454"/>
      <c r="K815" s="321"/>
      <c r="L815" s="321"/>
      <c r="M815" s="321"/>
      <c r="N815" s="321"/>
      <c r="O815" s="321"/>
      <c r="P815" s="321"/>
      <c r="Q815" s="321"/>
      <c r="R815" s="321"/>
      <c r="S815" s="321"/>
      <c r="T815" s="321"/>
      <c r="U815" s="321"/>
      <c r="V815" s="321"/>
      <c r="W815" s="321"/>
      <c r="X815" s="321"/>
      <c r="Y815" s="321"/>
      <c r="Z815" s="321"/>
      <c r="AA815" s="321"/>
      <c r="AB815" s="321"/>
      <c r="AC815" s="321"/>
      <c r="AD815" s="321"/>
    </row>
    <row r="816">
      <c r="A816" s="321"/>
      <c r="B816" s="321"/>
      <c r="C816" s="321"/>
      <c r="D816" s="321"/>
      <c r="E816" s="321"/>
      <c r="F816" s="321"/>
      <c r="G816" s="454"/>
      <c r="H816" s="454"/>
      <c r="I816" s="454"/>
      <c r="J816" s="454"/>
      <c r="K816" s="321"/>
      <c r="L816" s="321"/>
      <c r="M816" s="321"/>
      <c r="N816" s="321"/>
      <c r="O816" s="321"/>
      <c r="P816" s="321"/>
      <c r="Q816" s="321"/>
      <c r="R816" s="321"/>
      <c r="S816" s="321"/>
      <c r="T816" s="321"/>
      <c r="U816" s="321"/>
      <c r="V816" s="321"/>
      <c r="W816" s="321"/>
      <c r="X816" s="321"/>
      <c r="Y816" s="321"/>
      <c r="Z816" s="321"/>
      <c r="AA816" s="321"/>
      <c r="AB816" s="321"/>
      <c r="AC816" s="321"/>
      <c r="AD816" s="321"/>
    </row>
    <row r="817">
      <c r="A817" s="321"/>
      <c r="B817" s="321"/>
      <c r="C817" s="321"/>
      <c r="D817" s="321"/>
      <c r="E817" s="321"/>
      <c r="F817" s="321"/>
      <c r="G817" s="454"/>
      <c r="H817" s="454"/>
      <c r="I817" s="454"/>
      <c r="J817" s="454"/>
      <c r="K817" s="321"/>
      <c r="L817" s="321"/>
      <c r="M817" s="321"/>
      <c r="N817" s="321"/>
      <c r="O817" s="321"/>
      <c r="P817" s="321"/>
      <c r="Q817" s="321"/>
      <c r="R817" s="321"/>
      <c r="S817" s="321"/>
      <c r="T817" s="321"/>
      <c r="U817" s="321"/>
      <c r="V817" s="321"/>
      <c r="W817" s="321"/>
      <c r="X817" s="321"/>
      <c r="Y817" s="321"/>
      <c r="Z817" s="321"/>
      <c r="AA817" s="321"/>
      <c r="AB817" s="321"/>
      <c r="AC817" s="321"/>
      <c r="AD817" s="321"/>
    </row>
    <row r="818">
      <c r="A818" s="321"/>
      <c r="B818" s="321"/>
      <c r="C818" s="321"/>
      <c r="D818" s="321"/>
      <c r="E818" s="321"/>
      <c r="F818" s="321"/>
      <c r="G818" s="454"/>
      <c r="H818" s="454"/>
      <c r="I818" s="454"/>
      <c r="J818" s="454"/>
      <c r="K818" s="321"/>
      <c r="L818" s="321"/>
      <c r="M818" s="321"/>
      <c r="N818" s="321"/>
      <c r="O818" s="321"/>
      <c r="P818" s="321"/>
      <c r="Q818" s="321"/>
      <c r="R818" s="321"/>
      <c r="S818" s="321"/>
      <c r="T818" s="321"/>
      <c r="U818" s="321"/>
      <c r="V818" s="321"/>
      <c r="W818" s="321"/>
      <c r="X818" s="321"/>
      <c r="Y818" s="321"/>
      <c r="Z818" s="321"/>
      <c r="AA818" s="321"/>
      <c r="AB818" s="321"/>
      <c r="AC818" s="321"/>
      <c r="AD818" s="321"/>
    </row>
    <row r="819">
      <c r="A819" s="321"/>
      <c r="B819" s="321"/>
      <c r="C819" s="321"/>
      <c r="D819" s="321"/>
      <c r="E819" s="321"/>
      <c r="F819" s="321"/>
      <c r="G819" s="454"/>
      <c r="H819" s="454"/>
      <c r="I819" s="454"/>
      <c r="J819" s="454"/>
      <c r="K819" s="321"/>
      <c r="L819" s="321"/>
      <c r="M819" s="321"/>
      <c r="N819" s="321"/>
      <c r="O819" s="321"/>
      <c r="P819" s="321"/>
      <c r="Q819" s="321"/>
      <c r="R819" s="321"/>
      <c r="S819" s="321"/>
      <c r="T819" s="321"/>
      <c r="U819" s="321"/>
      <c r="V819" s="321"/>
      <c r="W819" s="321"/>
      <c r="X819" s="321"/>
      <c r="Y819" s="321"/>
      <c r="Z819" s="321"/>
      <c r="AA819" s="321"/>
      <c r="AB819" s="321"/>
      <c r="AC819" s="321"/>
      <c r="AD819" s="321"/>
    </row>
    <row r="820">
      <c r="A820" s="321"/>
      <c r="B820" s="321"/>
      <c r="C820" s="321"/>
      <c r="D820" s="321"/>
      <c r="E820" s="321"/>
      <c r="F820" s="321"/>
      <c r="G820" s="454"/>
      <c r="H820" s="454"/>
      <c r="I820" s="454"/>
      <c r="J820" s="454"/>
      <c r="K820" s="321"/>
      <c r="L820" s="321"/>
      <c r="M820" s="321"/>
      <c r="N820" s="321"/>
      <c r="O820" s="321"/>
      <c r="P820" s="321"/>
      <c r="Q820" s="321"/>
      <c r="R820" s="321"/>
      <c r="S820" s="321"/>
      <c r="T820" s="321"/>
      <c r="U820" s="321"/>
      <c r="V820" s="321"/>
      <c r="W820" s="321"/>
      <c r="X820" s="321"/>
      <c r="Y820" s="321"/>
      <c r="Z820" s="321"/>
      <c r="AA820" s="321"/>
      <c r="AB820" s="321"/>
      <c r="AC820" s="321"/>
      <c r="AD820" s="321"/>
    </row>
    <row r="821">
      <c r="A821" s="321"/>
      <c r="B821" s="321"/>
      <c r="C821" s="321"/>
      <c r="D821" s="321"/>
      <c r="E821" s="321"/>
      <c r="F821" s="321"/>
      <c r="G821" s="454"/>
      <c r="H821" s="454"/>
      <c r="I821" s="454"/>
      <c r="J821" s="454"/>
      <c r="K821" s="321"/>
      <c r="L821" s="321"/>
      <c r="M821" s="321"/>
      <c r="N821" s="321"/>
      <c r="O821" s="321"/>
      <c r="P821" s="321"/>
      <c r="Q821" s="321"/>
      <c r="R821" s="321"/>
      <c r="S821" s="321"/>
      <c r="T821" s="321"/>
      <c r="U821" s="321"/>
      <c r="V821" s="321"/>
      <c r="W821" s="321"/>
      <c r="X821" s="321"/>
      <c r="Y821" s="321"/>
      <c r="Z821" s="321"/>
      <c r="AA821" s="321"/>
      <c r="AB821" s="321"/>
      <c r="AC821" s="321"/>
      <c r="AD821" s="321"/>
    </row>
    <row r="822">
      <c r="A822" s="321"/>
      <c r="B822" s="321"/>
      <c r="C822" s="321"/>
      <c r="D822" s="321"/>
      <c r="E822" s="321"/>
      <c r="F822" s="321"/>
      <c r="G822" s="454"/>
      <c r="H822" s="454"/>
      <c r="I822" s="454"/>
      <c r="J822" s="454"/>
      <c r="K822" s="321"/>
      <c r="L822" s="321"/>
      <c r="M822" s="321"/>
      <c r="N822" s="321"/>
      <c r="O822" s="321"/>
      <c r="P822" s="321"/>
      <c r="Q822" s="321"/>
      <c r="R822" s="321"/>
      <c r="S822" s="321"/>
      <c r="T822" s="321"/>
      <c r="U822" s="321"/>
      <c r="V822" s="321"/>
      <c r="W822" s="321"/>
      <c r="X822" s="321"/>
      <c r="Y822" s="321"/>
      <c r="Z822" s="321"/>
      <c r="AA822" s="321"/>
      <c r="AB822" s="321"/>
      <c r="AC822" s="321"/>
      <c r="AD822" s="321"/>
    </row>
    <row r="823">
      <c r="A823" s="321"/>
      <c r="B823" s="321"/>
      <c r="C823" s="321"/>
      <c r="D823" s="321"/>
      <c r="E823" s="321"/>
      <c r="F823" s="321"/>
      <c r="G823" s="454"/>
      <c r="H823" s="454"/>
      <c r="I823" s="454"/>
      <c r="J823" s="454"/>
      <c r="K823" s="321"/>
      <c r="L823" s="321"/>
      <c r="M823" s="321"/>
      <c r="N823" s="321"/>
      <c r="O823" s="321"/>
      <c r="P823" s="321"/>
      <c r="Q823" s="321"/>
      <c r="R823" s="321"/>
      <c r="S823" s="321"/>
      <c r="T823" s="321"/>
      <c r="U823" s="321"/>
      <c r="V823" s="321"/>
      <c r="W823" s="321"/>
      <c r="X823" s="321"/>
      <c r="Y823" s="321"/>
      <c r="Z823" s="321"/>
      <c r="AA823" s="321"/>
      <c r="AB823" s="321"/>
      <c r="AC823" s="321"/>
      <c r="AD823" s="321"/>
    </row>
    <row r="824">
      <c r="A824" s="321"/>
      <c r="B824" s="321"/>
      <c r="C824" s="321"/>
      <c r="D824" s="321"/>
      <c r="E824" s="321"/>
      <c r="F824" s="321"/>
      <c r="G824" s="454"/>
      <c r="H824" s="454"/>
      <c r="I824" s="454"/>
      <c r="J824" s="454"/>
      <c r="K824" s="321"/>
      <c r="L824" s="321"/>
      <c r="M824" s="321"/>
      <c r="N824" s="321"/>
      <c r="O824" s="321"/>
      <c r="P824" s="321"/>
      <c r="Q824" s="321"/>
      <c r="R824" s="321"/>
      <c r="S824" s="321"/>
      <c r="T824" s="321"/>
      <c r="U824" s="321"/>
      <c r="V824" s="321"/>
      <c r="W824" s="321"/>
      <c r="X824" s="321"/>
      <c r="Y824" s="321"/>
      <c r="Z824" s="321"/>
      <c r="AA824" s="321"/>
      <c r="AB824" s="321"/>
      <c r="AC824" s="321"/>
      <c r="AD824" s="321"/>
    </row>
    <row r="825">
      <c r="A825" s="321"/>
      <c r="B825" s="321"/>
      <c r="C825" s="321"/>
      <c r="D825" s="321"/>
      <c r="E825" s="321"/>
      <c r="F825" s="321"/>
      <c r="G825" s="454"/>
      <c r="H825" s="454"/>
      <c r="I825" s="454"/>
      <c r="J825" s="454"/>
      <c r="K825" s="321"/>
      <c r="L825" s="321"/>
      <c r="M825" s="321"/>
      <c r="N825" s="321"/>
      <c r="O825" s="321"/>
      <c r="P825" s="321"/>
      <c r="Q825" s="321"/>
      <c r="R825" s="321"/>
      <c r="S825" s="321"/>
      <c r="T825" s="321"/>
      <c r="U825" s="321"/>
      <c r="V825" s="321"/>
      <c r="W825" s="321"/>
      <c r="X825" s="321"/>
      <c r="Y825" s="321"/>
      <c r="Z825" s="321"/>
      <c r="AA825" s="321"/>
      <c r="AB825" s="321"/>
      <c r="AC825" s="321"/>
      <c r="AD825" s="321"/>
    </row>
    <row r="826">
      <c r="A826" s="321"/>
      <c r="B826" s="321"/>
      <c r="C826" s="321"/>
      <c r="D826" s="321"/>
      <c r="E826" s="321"/>
      <c r="F826" s="321"/>
      <c r="G826" s="454"/>
      <c r="H826" s="454"/>
      <c r="I826" s="454"/>
      <c r="J826" s="454"/>
      <c r="K826" s="321"/>
      <c r="L826" s="321"/>
      <c r="M826" s="321"/>
      <c r="N826" s="321"/>
      <c r="O826" s="321"/>
      <c r="P826" s="321"/>
      <c r="Q826" s="321"/>
      <c r="R826" s="321"/>
      <c r="S826" s="321"/>
      <c r="T826" s="321"/>
      <c r="U826" s="321"/>
      <c r="V826" s="321"/>
      <c r="W826" s="321"/>
      <c r="X826" s="321"/>
      <c r="Y826" s="321"/>
      <c r="Z826" s="321"/>
      <c r="AA826" s="321"/>
      <c r="AB826" s="321"/>
      <c r="AC826" s="321"/>
      <c r="AD826" s="321"/>
    </row>
    <row r="827">
      <c r="A827" s="321"/>
      <c r="B827" s="321"/>
      <c r="C827" s="321"/>
      <c r="D827" s="321"/>
      <c r="E827" s="321"/>
      <c r="F827" s="321"/>
      <c r="G827" s="454"/>
      <c r="H827" s="454"/>
      <c r="I827" s="454"/>
      <c r="J827" s="454"/>
      <c r="K827" s="321"/>
      <c r="L827" s="321"/>
      <c r="M827" s="321"/>
      <c r="N827" s="321"/>
      <c r="O827" s="321"/>
      <c r="P827" s="321"/>
      <c r="Q827" s="321"/>
      <c r="R827" s="321"/>
      <c r="S827" s="321"/>
      <c r="T827" s="321"/>
      <c r="U827" s="321"/>
      <c r="V827" s="321"/>
      <c r="W827" s="321"/>
      <c r="X827" s="321"/>
      <c r="Y827" s="321"/>
      <c r="Z827" s="321"/>
      <c r="AA827" s="321"/>
      <c r="AB827" s="321"/>
      <c r="AC827" s="321"/>
      <c r="AD827" s="321"/>
    </row>
    <row r="828">
      <c r="A828" s="321"/>
      <c r="B828" s="321"/>
      <c r="C828" s="321"/>
      <c r="D828" s="321"/>
      <c r="E828" s="321"/>
      <c r="F828" s="321"/>
      <c r="G828" s="454"/>
      <c r="H828" s="454"/>
      <c r="I828" s="454"/>
      <c r="J828" s="454"/>
      <c r="K828" s="321"/>
      <c r="L828" s="321"/>
      <c r="M828" s="321"/>
      <c r="N828" s="321"/>
      <c r="O828" s="321"/>
      <c r="P828" s="321"/>
      <c r="Q828" s="321"/>
      <c r="R828" s="321"/>
      <c r="S828" s="321"/>
      <c r="T828" s="321"/>
      <c r="U828" s="321"/>
      <c r="V828" s="321"/>
      <c r="W828" s="321"/>
      <c r="X828" s="321"/>
      <c r="Y828" s="321"/>
      <c r="Z828" s="321"/>
      <c r="AA828" s="321"/>
      <c r="AB828" s="321"/>
      <c r="AC828" s="321"/>
      <c r="AD828" s="321"/>
    </row>
    <row r="829">
      <c r="A829" s="321"/>
      <c r="B829" s="321"/>
      <c r="C829" s="321"/>
      <c r="D829" s="321"/>
      <c r="E829" s="321"/>
      <c r="F829" s="321"/>
      <c r="G829" s="454"/>
      <c r="H829" s="454"/>
      <c r="I829" s="454"/>
      <c r="J829" s="454"/>
      <c r="K829" s="321"/>
      <c r="L829" s="321"/>
      <c r="M829" s="321"/>
      <c r="N829" s="321"/>
      <c r="O829" s="321"/>
      <c r="P829" s="321"/>
      <c r="Q829" s="321"/>
      <c r="R829" s="321"/>
      <c r="S829" s="321"/>
      <c r="T829" s="321"/>
      <c r="U829" s="321"/>
      <c r="V829" s="321"/>
      <c r="W829" s="321"/>
      <c r="X829" s="321"/>
      <c r="Y829" s="321"/>
      <c r="Z829" s="321"/>
      <c r="AA829" s="321"/>
      <c r="AB829" s="321"/>
      <c r="AC829" s="321"/>
      <c r="AD829" s="321"/>
    </row>
    <row r="830">
      <c r="A830" s="321"/>
      <c r="B830" s="321"/>
      <c r="C830" s="321"/>
      <c r="D830" s="321"/>
      <c r="E830" s="321"/>
      <c r="F830" s="321"/>
      <c r="G830" s="454"/>
      <c r="H830" s="454"/>
      <c r="I830" s="454"/>
      <c r="J830" s="454"/>
      <c r="K830" s="321"/>
      <c r="L830" s="321"/>
      <c r="M830" s="321"/>
      <c r="N830" s="321"/>
      <c r="O830" s="321"/>
      <c r="P830" s="321"/>
      <c r="Q830" s="321"/>
      <c r="R830" s="321"/>
      <c r="S830" s="321"/>
      <c r="T830" s="321"/>
      <c r="U830" s="321"/>
      <c r="V830" s="321"/>
      <c r="W830" s="321"/>
      <c r="X830" s="321"/>
      <c r="Y830" s="321"/>
      <c r="Z830" s="321"/>
      <c r="AA830" s="321"/>
      <c r="AB830" s="321"/>
      <c r="AC830" s="321"/>
      <c r="AD830" s="321"/>
    </row>
    <row r="831">
      <c r="A831" s="321"/>
      <c r="B831" s="321"/>
      <c r="C831" s="321"/>
      <c r="D831" s="321"/>
      <c r="E831" s="321"/>
      <c r="F831" s="321"/>
      <c r="G831" s="454"/>
      <c r="H831" s="454"/>
      <c r="I831" s="454"/>
      <c r="J831" s="454"/>
      <c r="K831" s="321"/>
      <c r="L831" s="321"/>
      <c r="M831" s="321"/>
      <c r="N831" s="321"/>
      <c r="O831" s="321"/>
      <c r="P831" s="321"/>
      <c r="Q831" s="321"/>
      <c r="R831" s="321"/>
      <c r="S831" s="321"/>
      <c r="T831" s="321"/>
      <c r="U831" s="321"/>
      <c r="V831" s="321"/>
      <c r="W831" s="321"/>
      <c r="X831" s="321"/>
      <c r="Y831" s="321"/>
      <c r="Z831" s="321"/>
      <c r="AA831" s="321"/>
      <c r="AB831" s="321"/>
      <c r="AC831" s="321"/>
      <c r="AD831" s="321"/>
    </row>
    <row r="832">
      <c r="A832" s="321"/>
      <c r="B832" s="321"/>
      <c r="C832" s="321"/>
      <c r="D832" s="321"/>
      <c r="E832" s="321"/>
      <c r="F832" s="321"/>
      <c r="G832" s="454"/>
      <c r="H832" s="454"/>
      <c r="I832" s="454"/>
      <c r="J832" s="454"/>
      <c r="K832" s="321"/>
      <c r="L832" s="321"/>
      <c r="M832" s="321"/>
      <c r="N832" s="321"/>
      <c r="O832" s="321"/>
      <c r="P832" s="321"/>
      <c r="Q832" s="321"/>
      <c r="R832" s="321"/>
      <c r="S832" s="321"/>
      <c r="T832" s="321"/>
      <c r="U832" s="321"/>
      <c r="V832" s="321"/>
      <c r="W832" s="321"/>
      <c r="X832" s="321"/>
      <c r="Y832" s="321"/>
      <c r="Z832" s="321"/>
      <c r="AA832" s="321"/>
      <c r="AB832" s="321"/>
      <c r="AC832" s="321"/>
      <c r="AD832" s="321"/>
    </row>
    <row r="833">
      <c r="A833" s="321"/>
      <c r="B833" s="321"/>
      <c r="C833" s="321"/>
      <c r="D833" s="321"/>
      <c r="E833" s="321"/>
      <c r="F833" s="321"/>
      <c r="G833" s="454"/>
      <c r="H833" s="454"/>
      <c r="I833" s="454"/>
      <c r="J833" s="454"/>
      <c r="K833" s="321"/>
      <c r="L833" s="321"/>
      <c r="M833" s="321"/>
      <c r="N833" s="321"/>
      <c r="O833" s="321"/>
      <c r="P833" s="321"/>
      <c r="Q833" s="321"/>
      <c r="R833" s="321"/>
      <c r="S833" s="321"/>
      <c r="T833" s="321"/>
      <c r="U833" s="321"/>
      <c r="V833" s="321"/>
      <c r="W833" s="321"/>
      <c r="X833" s="321"/>
      <c r="Y833" s="321"/>
      <c r="Z833" s="321"/>
      <c r="AA833" s="321"/>
      <c r="AB833" s="321"/>
      <c r="AC833" s="321"/>
      <c r="AD833" s="321"/>
    </row>
    <row r="834">
      <c r="A834" s="321"/>
      <c r="B834" s="321"/>
      <c r="C834" s="321"/>
      <c r="D834" s="321"/>
      <c r="E834" s="321"/>
      <c r="F834" s="321"/>
      <c r="G834" s="454"/>
      <c r="H834" s="454"/>
      <c r="I834" s="454"/>
      <c r="J834" s="454"/>
      <c r="K834" s="321"/>
      <c r="L834" s="321"/>
      <c r="M834" s="321"/>
      <c r="N834" s="321"/>
      <c r="O834" s="321"/>
      <c r="P834" s="321"/>
      <c r="Q834" s="321"/>
      <c r="R834" s="321"/>
      <c r="S834" s="321"/>
      <c r="T834" s="321"/>
      <c r="U834" s="321"/>
      <c r="V834" s="321"/>
      <c r="W834" s="321"/>
      <c r="X834" s="321"/>
      <c r="Y834" s="321"/>
      <c r="Z834" s="321"/>
      <c r="AA834" s="321"/>
      <c r="AB834" s="321"/>
      <c r="AC834" s="321"/>
      <c r="AD834" s="321"/>
    </row>
    <row r="835">
      <c r="A835" s="321"/>
      <c r="B835" s="321"/>
      <c r="C835" s="321"/>
      <c r="D835" s="321"/>
      <c r="E835" s="321"/>
      <c r="F835" s="321"/>
      <c r="G835" s="454"/>
      <c r="H835" s="454"/>
      <c r="I835" s="454"/>
      <c r="J835" s="454"/>
      <c r="K835" s="321"/>
      <c r="L835" s="321"/>
      <c r="M835" s="321"/>
      <c r="N835" s="321"/>
      <c r="O835" s="321"/>
      <c r="P835" s="321"/>
      <c r="Q835" s="321"/>
      <c r="R835" s="321"/>
      <c r="S835" s="321"/>
      <c r="T835" s="321"/>
      <c r="U835" s="321"/>
      <c r="V835" s="321"/>
      <c r="W835" s="321"/>
      <c r="X835" s="321"/>
      <c r="Y835" s="321"/>
      <c r="Z835" s="321"/>
      <c r="AA835" s="321"/>
      <c r="AB835" s="321"/>
      <c r="AC835" s="321"/>
      <c r="AD835" s="321"/>
    </row>
    <row r="836">
      <c r="A836" s="321"/>
      <c r="B836" s="321"/>
      <c r="C836" s="321"/>
      <c r="D836" s="321"/>
      <c r="E836" s="321"/>
      <c r="F836" s="321"/>
      <c r="G836" s="454"/>
      <c r="H836" s="454"/>
      <c r="I836" s="454"/>
      <c r="J836" s="454"/>
      <c r="K836" s="321"/>
      <c r="L836" s="321"/>
      <c r="M836" s="321"/>
      <c r="N836" s="321"/>
      <c r="O836" s="321"/>
      <c r="P836" s="321"/>
      <c r="Q836" s="321"/>
      <c r="R836" s="321"/>
      <c r="S836" s="321"/>
      <c r="T836" s="321"/>
      <c r="U836" s="321"/>
      <c r="V836" s="321"/>
      <c r="W836" s="321"/>
      <c r="X836" s="321"/>
      <c r="Y836" s="321"/>
      <c r="Z836" s="321"/>
      <c r="AA836" s="321"/>
      <c r="AB836" s="321"/>
      <c r="AC836" s="321"/>
      <c r="AD836" s="321"/>
    </row>
    <row r="837">
      <c r="A837" s="321"/>
      <c r="B837" s="321"/>
      <c r="C837" s="321"/>
      <c r="D837" s="321"/>
      <c r="E837" s="321"/>
      <c r="F837" s="321"/>
      <c r="G837" s="454"/>
      <c r="H837" s="454"/>
      <c r="I837" s="454"/>
      <c r="J837" s="454"/>
      <c r="K837" s="321"/>
      <c r="L837" s="321"/>
      <c r="M837" s="321"/>
      <c r="N837" s="321"/>
      <c r="O837" s="321"/>
      <c r="P837" s="321"/>
      <c r="Q837" s="321"/>
      <c r="R837" s="321"/>
      <c r="S837" s="321"/>
      <c r="T837" s="321"/>
      <c r="U837" s="321"/>
      <c r="V837" s="321"/>
      <c r="W837" s="321"/>
      <c r="X837" s="321"/>
      <c r="Y837" s="321"/>
      <c r="Z837" s="321"/>
      <c r="AA837" s="321"/>
      <c r="AB837" s="321"/>
      <c r="AC837" s="321"/>
      <c r="AD837" s="321"/>
    </row>
    <row r="838">
      <c r="A838" s="321"/>
      <c r="B838" s="321"/>
      <c r="C838" s="321"/>
      <c r="D838" s="321"/>
      <c r="E838" s="321"/>
      <c r="F838" s="321"/>
      <c r="G838" s="454"/>
      <c r="H838" s="454"/>
      <c r="I838" s="454"/>
      <c r="J838" s="454"/>
      <c r="K838" s="321"/>
      <c r="L838" s="321"/>
      <c r="M838" s="321"/>
      <c r="N838" s="321"/>
      <c r="O838" s="321"/>
      <c r="P838" s="321"/>
      <c r="Q838" s="321"/>
      <c r="R838" s="321"/>
      <c r="S838" s="321"/>
      <c r="T838" s="321"/>
      <c r="U838" s="321"/>
      <c r="V838" s="321"/>
      <c r="W838" s="321"/>
      <c r="X838" s="321"/>
      <c r="Y838" s="321"/>
      <c r="Z838" s="321"/>
      <c r="AA838" s="321"/>
      <c r="AB838" s="321"/>
      <c r="AC838" s="321"/>
      <c r="AD838" s="321"/>
    </row>
    <row r="839">
      <c r="A839" s="321"/>
      <c r="B839" s="321"/>
      <c r="C839" s="321"/>
      <c r="D839" s="321"/>
      <c r="E839" s="321"/>
      <c r="F839" s="321"/>
      <c r="G839" s="454"/>
      <c r="H839" s="454"/>
      <c r="I839" s="454"/>
      <c r="J839" s="454"/>
      <c r="K839" s="321"/>
      <c r="L839" s="321"/>
      <c r="M839" s="321"/>
      <c r="N839" s="321"/>
      <c r="O839" s="321"/>
      <c r="P839" s="321"/>
      <c r="Q839" s="321"/>
      <c r="R839" s="321"/>
      <c r="S839" s="321"/>
      <c r="T839" s="321"/>
      <c r="U839" s="321"/>
      <c r="V839" s="321"/>
      <c r="W839" s="321"/>
      <c r="X839" s="321"/>
      <c r="Y839" s="321"/>
      <c r="Z839" s="321"/>
      <c r="AA839" s="321"/>
      <c r="AB839" s="321"/>
      <c r="AC839" s="321"/>
      <c r="AD839" s="321"/>
    </row>
    <row r="840">
      <c r="A840" s="321"/>
      <c r="B840" s="321"/>
      <c r="C840" s="321"/>
      <c r="D840" s="321"/>
      <c r="E840" s="321"/>
      <c r="F840" s="321"/>
      <c r="G840" s="454"/>
      <c r="H840" s="454"/>
      <c r="I840" s="454"/>
      <c r="J840" s="454"/>
      <c r="K840" s="321"/>
      <c r="L840" s="321"/>
      <c r="M840" s="321"/>
      <c r="N840" s="321"/>
      <c r="O840" s="321"/>
      <c r="P840" s="321"/>
      <c r="Q840" s="321"/>
      <c r="R840" s="321"/>
      <c r="S840" s="321"/>
      <c r="T840" s="321"/>
      <c r="U840" s="321"/>
      <c r="V840" s="321"/>
      <c r="W840" s="321"/>
      <c r="X840" s="321"/>
      <c r="Y840" s="321"/>
      <c r="Z840" s="321"/>
      <c r="AA840" s="321"/>
      <c r="AB840" s="321"/>
      <c r="AC840" s="321"/>
      <c r="AD840" s="321"/>
    </row>
    <row r="841">
      <c r="A841" s="321"/>
      <c r="B841" s="321"/>
      <c r="C841" s="321"/>
      <c r="D841" s="321"/>
      <c r="E841" s="321"/>
      <c r="F841" s="321"/>
      <c r="G841" s="454"/>
      <c r="H841" s="454"/>
      <c r="I841" s="454"/>
      <c r="J841" s="454"/>
      <c r="K841" s="321"/>
      <c r="L841" s="321"/>
      <c r="M841" s="321"/>
      <c r="N841" s="321"/>
      <c r="O841" s="321"/>
      <c r="P841" s="321"/>
      <c r="Q841" s="321"/>
      <c r="R841" s="321"/>
      <c r="S841" s="321"/>
      <c r="T841" s="321"/>
      <c r="U841" s="321"/>
      <c r="V841" s="321"/>
      <c r="W841" s="321"/>
      <c r="X841" s="321"/>
      <c r="Y841" s="321"/>
      <c r="Z841" s="321"/>
      <c r="AA841" s="321"/>
      <c r="AB841" s="321"/>
      <c r="AC841" s="321"/>
      <c r="AD841" s="321"/>
    </row>
    <row r="842">
      <c r="A842" s="321"/>
      <c r="B842" s="321"/>
      <c r="C842" s="321"/>
      <c r="D842" s="321"/>
      <c r="E842" s="321"/>
      <c r="F842" s="321"/>
      <c r="G842" s="454"/>
      <c r="H842" s="454"/>
      <c r="I842" s="454"/>
      <c r="J842" s="454"/>
      <c r="K842" s="321"/>
      <c r="L842" s="321"/>
      <c r="M842" s="321"/>
      <c r="N842" s="321"/>
      <c r="O842" s="321"/>
      <c r="P842" s="321"/>
      <c r="Q842" s="321"/>
      <c r="R842" s="321"/>
      <c r="S842" s="321"/>
      <c r="T842" s="321"/>
      <c r="U842" s="321"/>
      <c r="V842" s="321"/>
      <c r="W842" s="321"/>
      <c r="X842" s="321"/>
      <c r="Y842" s="321"/>
      <c r="Z842" s="321"/>
      <c r="AA842" s="321"/>
      <c r="AB842" s="321"/>
      <c r="AC842" s="321"/>
      <c r="AD842" s="321"/>
    </row>
    <row r="843">
      <c r="A843" s="321"/>
      <c r="B843" s="321"/>
      <c r="C843" s="321"/>
      <c r="D843" s="321"/>
      <c r="E843" s="321"/>
      <c r="F843" s="321"/>
      <c r="G843" s="454"/>
      <c r="H843" s="454"/>
      <c r="I843" s="454"/>
      <c r="J843" s="454"/>
      <c r="K843" s="321"/>
      <c r="L843" s="321"/>
      <c r="M843" s="321"/>
      <c r="N843" s="321"/>
      <c r="O843" s="321"/>
      <c r="P843" s="321"/>
      <c r="Q843" s="321"/>
      <c r="R843" s="321"/>
      <c r="S843" s="321"/>
      <c r="T843" s="321"/>
      <c r="U843" s="321"/>
      <c r="V843" s="321"/>
      <c r="W843" s="321"/>
      <c r="X843" s="321"/>
      <c r="Y843" s="321"/>
      <c r="Z843" s="321"/>
      <c r="AA843" s="321"/>
      <c r="AB843" s="321"/>
      <c r="AC843" s="321"/>
      <c r="AD843" s="321"/>
    </row>
    <row r="844">
      <c r="A844" s="321"/>
      <c r="B844" s="321"/>
      <c r="C844" s="321"/>
      <c r="D844" s="321"/>
      <c r="E844" s="321"/>
      <c r="F844" s="321"/>
      <c r="G844" s="454"/>
      <c r="H844" s="454"/>
      <c r="I844" s="454"/>
      <c r="J844" s="454"/>
      <c r="K844" s="321"/>
      <c r="L844" s="321"/>
      <c r="M844" s="321"/>
      <c r="N844" s="321"/>
      <c r="O844" s="321"/>
      <c r="P844" s="321"/>
      <c r="Q844" s="321"/>
      <c r="R844" s="321"/>
      <c r="S844" s="321"/>
      <c r="T844" s="321"/>
      <c r="U844" s="321"/>
      <c r="V844" s="321"/>
      <c r="W844" s="321"/>
      <c r="X844" s="321"/>
      <c r="Y844" s="321"/>
      <c r="Z844" s="321"/>
      <c r="AA844" s="321"/>
      <c r="AB844" s="321"/>
      <c r="AC844" s="321"/>
      <c r="AD844" s="321"/>
    </row>
    <row r="845">
      <c r="A845" s="321"/>
      <c r="B845" s="321"/>
      <c r="C845" s="321"/>
      <c r="D845" s="321"/>
      <c r="E845" s="321"/>
      <c r="F845" s="321"/>
      <c r="G845" s="454"/>
      <c r="H845" s="454"/>
      <c r="I845" s="454"/>
      <c r="J845" s="454"/>
      <c r="K845" s="321"/>
      <c r="L845" s="321"/>
      <c r="M845" s="321"/>
      <c r="N845" s="321"/>
      <c r="O845" s="321"/>
      <c r="P845" s="321"/>
      <c r="Q845" s="321"/>
      <c r="R845" s="321"/>
      <c r="S845" s="321"/>
      <c r="T845" s="321"/>
      <c r="U845" s="321"/>
      <c r="V845" s="321"/>
      <c r="W845" s="321"/>
      <c r="X845" s="321"/>
      <c r="Y845" s="321"/>
      <c r="Z845" s="321"/>
      <c r="AA845" s="321"/>
      <c r="AB845" s="321"/>
      <c r="AC845" s="321"/>
      <c r="AD845" s="321"/>
    </row>
    <row r="846">
      <c r="A846" s="321"/>
      <c r="B846" s="321"/>
      <c r="C846" s="321"/>
      <c r="D846" s="321"/>
      <c r="E846" s="321"/>
      <c r="F846" s="321"/>
      <c r="G846" s="454"/>
      <c r="H846" s="454"/>
      <c r="I846" s="454"/>
      <c r="J846" s="454"/>
      <c r="K846" s="321"/>
      <c r="L846" s="321"/>
      <c r="M846" s="321"/>
      <c r="N846" s="321"/>
      <c r="O846" s="321"/>
      <c r="P846" s="321"/>
      <c r="Q846" s="321"/>
      <c r="R846" s="321"/>
      <c r="S846" s="321"/>
      <c r="T846" s="321"/>
      <c r="U846" s="321"/>
      <c r="V846" s="321"/>
      <c r="W846" s="321"/>
      <c r="X846" s="321"/>
      <c r="Y846" s="321"/>
      <c r="Z846" s="321"/>
      <c r="AA846" s="321"/>
      <c r="AB846" s="321"/>
      <c r="AC846" s="321"/>
      <c r="AD846" s="321"/>
    </row>
    <row r="847">
      <c r="A847" s="321"/>
      <c r="B847" s="321"/>
      <c r="C847" s="321"/>
      <c r="D847" s="321"/>
      <c r="E847" s="321"/>
      <c r="F847" s="321"/>
      <c r="G847" s="454"/>
      <c r="H847" s="454"/>
      <c r="I847" s="454"/>
      <c r="J847" s="454"/>
      <c r="K847" s="321"/>
      <c r="L847" s="321"/>
      <c r="M847" s="321"/>
      <c r="N847" s="321"/>
      <c r="O847" s="321"/>
      <c r="P847" s="321"/>
      <c r="Q847" s="321"/>
      <c r="R847" s="321"/>
      <c r="S847" s="321"/>
      <c r="T847" s="321"/>
      <c r="U847" s="321"/>
      <c r="V847" s="321"/>
      <c r="W847" s="321"/>
      <c r="X847" s="321"/>
      <c r="Y847" s="321"/>
      <c r="Z847" s="321"/>
      <c r="AA847" s="321"/>
      <c r="AB847" s="321"/>
      <c r="AC847" s="321"/>
      <c r="AD847" s="321"/>
    </row>
    <row r="848">
      <c r="A848" s="321"/>
      <c r="B848" s="321"/>
      <c r="C848" s="321"/>
      <c r="D848" s="321"/>
      <c r="E848" s="321"/>
      <c r="F848" s="321"/>
      <c r="G848" s="454"/>
      <c r="H848" s="454"/>
      <c r="I848" s="454"/>
      <c r="J848" s="454"/>
      <c r="K848" s="321"/>
      <c r="L848" s="321"/>
      <c r="M848" s="321"/>
      <c r="N848" s="321"/>
      <c r="O848" s="321"/>
      <c r="P848" s="321"/>
      <c r="Q848" s="321"/>
      <c r="R848" s="321"/>
      <c r="S848" s="321"/>
      <c r="T848" s="321"/>
      <c r="U848" s="321"/>
      <c r="V848" s="321"/>
      <c r="W848" s="321"/>
      <c r="X848" s="321"/>
      <c r="Y848" s="321"/>
      <c r="Z848" s="321"/>
      <c r="AA848" s="321"/>
      <c r="AB848" s="321"/>
      <c r="AC848" s="321"/>
      <c r="AD848" s="321"/>
    </row>
    <row r="849">
      <c r="A849" s="321"/>
      <c r="B849" s="321"/>
      <c r="C849" s="321"/>
      <c r="D849" s="321"/>
      <c r="E849" s="321"/>
      <c r="F849" s="321"/>
      <c r="G849" s="454"/>
      <c r="H849" s="454"/>
      <c r="I849" s="454"/>
      <c r="J849" s="454"/>
      <c r="K849" s="321"/>
      <c r="L849" s="321"/>
      <c r="M849" s="321"/>
      <c r="N849" s="321"/>
      <c r="O849" s="321"/>
      <c r="P849" s="321"/>
      <c r="Q849" s="321"/>
      <c r="R849" s="321"/>
      <c r="S849" s="321"/>
      <c r="T849" s="321"/>
      <c r="U849" s="321"/>
      <c r="V849" s="321"/>
      <c r="W849" s="321"/>
      <c r="X849" s="321"/>
      <c r="Y849" s="321"/>
      <c r="Z849" s="321"/>
      <c r="AA849" s="321"/>
      <c r="AB849" s="321"/>
      <c r="AC849" s="321"/>
      <c r="AD849" s="321"/>
    </row>
    <row r="850">
      <c r="A850" s="321"/>
      <c r="B850" s="321"/>
      <c r="C850" s="321"/>
      <c r="D850" s="321"/>
      <c r="E850" s="321"/>
      <c r="F850" s="321"/>
      <c r="G850" s="454"/>
      <c r="H850" s="454"/>
      <c r="I850" s="454"/>
      <c r="J850" s="454"/>
      <c r="K850" s="321"/>
      <c r="L850" s="321"/>
      <c r="M850" s="321"/>
      <c r="N850" s="321"/>
      <c r="O850" s="321"/>
      <c r="P850" s="321"/>
      <c r="Q850" s="321"/>
      <c r="R850" s="321"/>
      <c r="S850" s="321"/>
      <c r="T850" s="321"/>
      <c r="U850" s="321"/>
      <c r="V850" s="321"/>
      <c r="W850" s="321"/>
      <c r="X850" s="321"/>
      <c r="Y850" s="321"/>
      <c r="Z850" s="321"/>
      <c r="AA850" s="321"/>
      <c r="AB850" s="321"/>
      <c r="AC850" s="321"/>
      <c r="AD850" s="321"/>
    </row>
    <row r="851">
      <c r="A851" s="321"/>
      <c r="B851" s="321"/>
      <c r="C851" s="321"/>
      <c r="D851" s="321"/>
      <c r="E851" s="321"/>
      <c r="F851" s="321"/>
      <c r="G851" s="454"/>
      <c r="H851" s="454"/>
      <c r="I851" s="454"/>
      <c r="J851" s="454"/>
      <c r="K851" s="321"/>
      <c r="L851" s="321"/>
      <c r="M851" s="321"/>
      <c r="N851" s="321"/>
      <c r="O851" s="321"/>
      <c r="P851" s="321"/>
      <c r="Q851" s="321"/>
      <c r="R851" s="321"/>
      <c r="S851" s="321"/>
      <c r="T851" s="321"/>
      <c r="U851" s="321"/>
      <c r="V851" s="321"/>
      <c r="W851" s="321"/>
      <c r="X851" s="321"/>
      <c r="Y851" s="321"/>
      <c r="Z851" s="321"/>
      <c r="AA851" s="321"/>
      <c r="AB851" s="321"/>
      <c r="AC851" s="321"/>
      <c r="AD851" s="321"/>
    </row>
    <row r="852">
      <c r="A852" s="321"/>
      <c r="B852" s="321"/>
      <c r="C852" s="321"/>
      <c r="D852" s="321"/>
      <c r="E852" s="321"/>
      <c r="F852" s="321"/>
      <c r="G852" s="454"/>
      <c r="H852" s="454"/>
      <c r="I852" s="454"/>
      <c r="J852" s="454"/>
      <c r="K852" s="321"/>
      <c r="L852" s="321"/>
      <c r="M852" s="321"/>
      <c r="N852" s="321"/>
      <c r="O852" s="321"/>
      <c r="P852" s="321"/>
      <c r="Q852" s="321"/>
      <c r="R852" s="321"/>
      <c r="S852" s="321"/>
      <c r="T852" s="321"/>
      <c r="U852" s="321"/>
      <c r="V852" s="321"/>
      <c r="W852" s="321"/>
      <c r="X852" s="321"/>
      <c r="Y852" s="321"/>
      <c r="Z852" s="321"/>
      <c r="AA852" s="321"/>
      <c r="AB852" s="321"/>
      <c r="AC852" s="321"/>
      <c r="AD852" s="321"/>
    </row>
    <row r="853">
      <c r="A853" s="321"/>
      <c r="B853" s="321"/>
      <c r="C853" s="321"/>
      <c r="D853" s="321"/>
      <c r="E853" s="321"/>
      <c r="F853" s="321"/>
      <c r="G853" s="454"/>
      <c r="H853" s="454"/>
      <c r="I853" s="454"/>
      <c r="J853" s="454"/>
      <c r="K853" s="321"/>
      <c r="L853" s="321"/>
      <c r="M853" s="321"/>
      <c r="N853" s="321"/>
      <c r="O853" s="321"/>
      <c r="P853" s="321"/>
      <c r="Q853" s="321"/>
      <c r="R853" s="321"/>
      <c r="S853" s="321"/>
      <c r="T853" s="321"/>
      <c r="U853" s="321"/>
      <c r="V853" s="321"/>
      <c r="W853" s="321"/>
      <c r="X853" s="321"/>
      <c r="Y853" s="321"/>
      <c r="Z853" s="321"/>
      <c r="AA853" s="321"/>
      <c r="AB853" s="321"/>
      <c r="AC853" s="321"/>
      <c r="AD853" s="321"/>
    </row>
    <row r="854">
      <c r="A854" s="321"/>
      <c r="B854" s="321"/>
      <c r="C854" s="321"/>
      <c r="D854" s="321"/>
      <c r="E854" s="321"/>
      <c r="F854" s="321"/>
      <c r="G854" s="454"/>
      <c r="H854" s="454"/>
      <c r="I854" s="454"/>
      <c r="J854" s="454"/>
      <c r="K854" s="321"/>
      <c r="L854" s="321"/>
      <c r="M854" s="321"/>
      <c r="N854" s="321"/>
      <c r="O854" s="321"/>
      <c r="P854" s="321"/>
      <c r="Q854" s="321"/>
      <c r="R854" s="321"/>
      <c r="S854" s="321"/>
      <c r="T854" s="321"/>
      <c r="U854" s="321"/>
      <c r="V854" s="321"/>
      <c r="W854" s="321"/>
      <c r="X854" s="321"/>
      <c r="Y854" s="321"/>
      <c r="Z854" s="321"/>
      <c r="AA854" s="321"/>
      <c r="AB854" s="321"/>
      <c r="AC854" s="321"/>
      <c r="AD854" s="321"/>
    </row>
    <row r="855">
      <c r="A855" s="321"/>
      <c r="B855" s="321"/>
      <c r="C855" s="321"/>
      <c r="D855" s="321"/>
      <c r="E855" s="321"/>
      <c r="F855" s="321"/>
      <c r="G855" s="454"/>
      <c r="H855" s="454"/>
      <c r="I855" s="454"/>
      <c r="J855" s="454"/>
      <c r="K855" s="321"/>
      <c r="L855" s="321"/>
      <c r="M855" s="321"/>
      <c r="N855" s="321"/>
      <c r="O855" s="321"/>
      <c r="P855" s="321"/>
      <c r="Q855" s="321"/>
      <c r="R855" s="321"/>
      <c r="S855" s="321"/>
      <c r="T855" s="321"/>
      <c r="U855" s="321"/>
      <c r="V855" s="321"/>
      <c r="W855" s="321"/>
      <c r="X855" s="321"/>
      <c r="Y855" s="321"/>
      <c r="Z855" s="321"/>
      <c r="AA855" s="321"/>
      <c r="AB855" s="321"/>
      <c r="AC855" s="321"/>
      <c r="AD855" s="321"/>
    </row>
    <row r="856">
      <c r="A856" s="321"/>
      <c r="B856" s="321"/>
      <c r="C856" s="321"/>
      <c r="D856" s="321"/>
      <c r="E856" s="321"/>
      <c r="F856" s="321"/>
      <c r="G856" s="454"/>
      <c r="H856" s="454"/>
      <c r="I856" s="454"/>
      <c r="J856" s="454"/>
      <c r="K856" s="321"/>
      <c r="L856" s="321"/>
      <c r="M856" s="321"/>
      <c r="N856" s="321"/>
      <c r="O856" s="321"/>
      <c r="P856" s="321"/>
      <c r="Q856" s="321"/>
      <c r="R856" s="321"/>
      <c r="S856" s="321"/>
      <c r="T856" s="321"/>
      <c r="U856" s="321"/>
      <c r="V856" s="321"/>
      <c r="W856" s="321"/>
      <c r="X856" s="321"/>
      <c r="Y856" s="321"/>
      <c r="Z856" s="321"/>
      <c r="AA856" s="321"/>
      <c r="AB856" s="321"/>
      <c r="AC856" s="321"/>
      <c r="AD856" s="321"/>
    </row>
    <row r="857">
      <c r="A857" s="321"/>
      <c r="B857" s="321"/>
      <c r="C857" s="321"/>
      <c r="D857" s="321"/>
      <c r="E857" s="321"/>
      <c r="F857" s="321"/>
      <c r="G857" s="454"/>
      <c r="H857" s="454"/>
      <c r="I857" s="454"/>
      <c r="J857" s="454"/>
      <c r="K857" s="321"/>
      <c r="L857" s="321"/>
      <c r="M857" s="321"/>
      <c r="N857" s="321"/>
      <c r="O857" s="321"/>
      <c r="P857" s="321"/>
      <c r="Q857" s="321"/>
      <c r="R857" s="321"/>
      <c r="S857" s="321"/>
      <c r="T857" s="321"/>
      <c r="U857" s="321"/>
      <c r="V857" s="321"/>
      <c r="W857" s="321"/>
      <c r="X857" s="321"/>
      <c r="Y857" s="321"/>
      <c r="Z857" s="321"/>
      <c r="AA857" s="321"/>
      <c r="AB857" s="321"/>
      <c r="AC857" s="321"/>
      <c r="AD857" s="321"/>
    </row>
    <row r="858">
      <c r="A858" s="321"/>
      <c r="B858" s="321"/>
      <c r="C858" s="321"/>
      <c r="D858" s="321"/>
      <c r="E858" s="321"/>
      <c r="F858" s="321"/>
      <c r="G858" s="454"/>
      <c r="H858" s="454"/>
      <c r="I858" s="454"/>
      <c r="J858" s="454"/>
      <c r="K858" s="321"/>
      <c r="L858" s="321"/>
      <c r="M858" s="321"/>
      <c r="N858" s="321"/>
      <c r="O858" s="321"/>
      <c r="P858" s="321"/>
      <c r="Q858" s="321"/>
      <c r="R858" s="321"/>
      <c r="S858" s="321"/>
      <c r="T858" s="321"/>
      <c r="U858" s="321"/>
      <c r="V858" s="321"/>
      <c r="W858" s="321"/>
      <c r="X858" s="321"/>
      <c r="Y858" s="321"/>
      <c r="Z858" s="321"/>
      <c r="AA858" s="321"/>
      <c r="AB858" s="321"/>
      <c r="AC858" s="321"/>
      <c r="AD858" s="321"/>
    </row>
    <row r="859">
      <c r="A859" s="321"/>
      <c r="B859" s="321"/>
      <c r="C859" s="321"/>
      <c r="D859" s="321"/>
      <c r="E859" s="321"/>
      <c r="F859" s="321"/>
      <c r="G859" s="454"/>
      <c r="H859" s="454"/>
      <c r="I859" s="454"/>
      <c r="J859" s="454"/>
      <c r="K859" s="321"/>
      <c r="L859" s="321"/>
      <c r="M859" s="321"/>
      <c r="N859" s="321"/>
      <c r="O859" s="321"/>
      <c r="P859" s="321"/>
      <c r="Q859" s="321"/>
      <c r="R859" s="321"/>
      <c r="S859" s="321"/>
      <c r="T859" s="321"/>
      <c r="U859" s="321"/>
      <c r="V859" s="321"/>
      <c r="W859" s="321"/>
      <c r="X859" s="321"/>
      <c r="Y859" s="321"/>
      <c r="Z859" s="321"/>
      <c r="AA859" s="321"/>
      <c r="AB859" s="321"/>
      <c r="AC859" s="321"/>
      <c r="AD859" s="321"/>
    </row>
    <row r="860">
      <c r="A860" s="321"/>
      <c r="B860" s="321"/>
      <c r="C860" s="321"/>
      <c r="D860" s="321"/>
      <c r="E860" s="321"/>
      <c r="F860" s="321"/>
      <c r="G860" s="454"/>
      <c r="H860" s="454"/>
      <c r="I860" s="454"/>
      <c r="J860" s="454"/>
      <c r="K860" s="321"/>
      <c r="L860" s="321"/>
      <c r="M860" s="321"/>
      <c r="N860" s="321"/>
      <c r="O860" s="321"/>
      <c r="P860" s="321"/>
      <c r="Q860" s="321"/>
      <c r="R860" s="321"/>
      <c r="S860" s="321"/>
      <c r="T860" s="321"/>
      <c r="U860" s="321"/>
      <c r="V860" s="321"/>
      <c r="W860" s="321"/>
      <c r="X860" s="321"/>
      <c r="Y860" s="321"/>
      <c r="Z860" s="321"/>
      <c r="AA860" s="321"/>
      <c r="AB860" s="321"/>
      <c r="AC860" s="321"/>
      <c r="AD860" s="321"/>
    </row>
    <row r="861">
      <c r="A861" s="321"/>
      <c r="B861" s="321"/>
      <c r="C861" s="321"/>
      <c r="D861" s="321"/>
      <c r="E861" s="321"/>
      <c r="F861" s="321"/>
      <c r="G861" s="454"/>
      <c r="H861" s="454"/>
      <c r="I861" s="454"/>
      <c r="J861" s="454"/>
      <c r="K861" s="321"/>
      <c r="L861" s="321"/>
      <c r="M861" s="321"/>
      <c r="N861" s="321"/>
      <c r="O861" s="321"/>
      <c r="P861" s="321"/>
      <c r="Q861" s="321"/>
      <c r="R861" s="321"/>
      <c r="S861" s="321"/>
      <c r="T861" s="321"/>
      <c r="U861" s="321"/>
      <c r="V861" s="321"/>
      <c r="W861" s="321"/>
      <c r="X861" s="321"/>
      <c r="Y861" s="321"/>
      <c r="Z861" s="321"/>
      <c r="AA861" s="321"/>
      <c r="AB861" s="321"/>
      <c r="AC861" s="321"/>
      <c r="AD861" s="321"/>
    </row>
    <row r="862">
      <c r="A862" s="321"/>
      <c r="B862" s="321"/>
      <c r="C862" s="321"/>
      <c r="D862" s="321"/>
      <c r="E862" s="321"/>
      <c r="F862" s="321"/>
      <c r="G862" s="454"/>
      <c r="H862" s="454"/>
      <c r="I862" s="454"/>
      <c r="J862" s="454"/>
      <c r="K862" s="321"/>
      <c r="L862" s="321"/>
      <c r="M862" s="321"/>
      <c r="N862" s="321"/>
      <c r="O862" s="321"/>
      <c r="P862" s="321"/>
      <c r="Q862" s="321"/>
      <c r="R862" s="321"/>
      <c r="S862" s="321"/>
      <c r="T862" s="321"/>
      <c r="U862" s="321"/>
      <c r="V862" s="321"/>
      <c r="W862" s="321"/>
      <c r="X862" s="321"/>
      <c r="Y862" s="321"/>
      <c r="Z862" s="321"/>
      <c r="AA862" s="321"/>
      <c r="AB862" s="321"/>
      <c r="AC862" s="321"/>
      <c r="AD862" s="321"/>
    </row>
    <row r="863">
      <c r="A863" s="321"/>
      <c r="B863" s="321"/>
      <c r="C863" s="321"/>
      <c r="D863" s="321"/>
      <c r="E863" s="321"/>
      <c r="F863" s="321"/>
      <c r="G863" s="454"/>
      <c r="H863" s="454"/>
      <c r="I863" s="454"/>
      <c r="J863" s="454"/>
      <c r="K863" s="321"/>
      <c r="L863" s="321"/>
      <c r="M863" s="321"/>
      <c r="N863" s="321"/>
      <c r="O863" s="321"/>
      <c r="P863" s="321"/>
      <c r="Q863" s="321"/>
      <c r="R863" s="321"/>
      <c r="S863" s="321"/>
      <c r="T863" s="321"/>
      <c r="U863" s="321"/>
      <c r="V863" s="321"/>
      <c r="W863" s="321"/>
      <c r="X863" s="321"/>
      <c r="Y863" s="321"/>
      <c r="Z863" s="321"/>
      <c r="AA863" s="321"/>
      <c r="AB863" s="321"/>
      <c r="AC863" s="321"/>
      <c r="AD863" s="321"/>
    </row>
    <row r="864">
      <c r="A864" s="321"/>
      <c r="B864" s="321"/>
      <c r="C864" s="321"/>
      <c r="D864" s="321"/>
      <c r="E864" s="321"/>
      <c r="F864" s="321"/>
      <c r="G864" s="454"/>
      <c r="H864" s="454"/>
      <c r="I864" s="454"/>
      <c r="J864" s="454"/>
      <c r="K864" s="321"/>
      <c r="L864" s="321"/>
      <c r="M864" s="321"/>
      <c r="N864" s="321"/>
      <c r="O864" s="321"/>
      <c r="P864" s="321"/>
      <c r="Q864" s="321"/>
      <c r="R864" s="321"/>
      <c r="S864" s="321"/>
      <c r="T864" s="321"/>
      <c r="U864" s="321"/>
      <c r="V864" s="321"/>
      <c r="W864" s="321"/>
      <c r="X864" s="321"/>
      <c r="Y864" s="321"/>
      <c r="Z864" s="321"/>
      <c r="AA864" s="321"/>
      <c r="AB864" s="321"/>
      <c r="AC864" s="321"/>
      <c r="AD864" s="321"/>
    </row>
    <row r="865">
      <c r="A865" s="321"/>
      <c r="B865" s="321"/>
      <c r="C865" s="321"/>
      <c r="D865" s="321"/>
      <c r="E865" s="321"/>
      <c r="F865" s="321"/>
      <c r="G865" s="454"/>
      <c r="H865" s="454"/>
      <c r="I865" s="454"/>
      <c r="J865" s="454"/>
      <c r="K865" s="321"/>
      <c r="L865" s="321"/>
      <c r="M865" s="321"/>
      <c r="N865" s="321"/>
      <c r="O865" s="321"/>
      <c r="P865" s="321"/>
      <c r="Q865" s="321"/>
      <c r="R865" s="321"/>
      <c r="S865" s="321"/>
      <c r="T865" s="321"/>
      <c r="U865" s="321"/>
      <c r="V865" s="321"/>
      <c r="W865" s="321"/>
      <c r="X865" s="321"/>
      <c r="Y865" s="321"/>
      <c r="Z865" s="321"/>
      <c r="AA865" s="321"/>
      <c r="AB865" s="321"/>
      <c r="AC865" s="321"/>
      <c r="AD865" s="321"/>
    </row>
    <row r="866">
      <c r="A866" s="321"/>
      <c r="B866" s="321"/>
      <c r="C866" s="321"/>
      <c r="D866" s="321"/>
      <c r="E866" s="321"/>
      <c r="F866" s="321"/>
      <c r="G866" s="454"/>
      <c r="H866" s="454"/>
      <c r="I866" s="454"/>
      <c r="J866" s="454"/>
      <c r="K866" s="321"/>
      <c r="L866" s="321"/>
      <c r="M866" s="321"/>
      <c r="N866" s="321"/>
      <c r="O866" s="321"/>
      <c r="P866" s="321"/>
      <c r="Q866" s="321"/>
      <c r="R866" s="321"/>
      <c r="S866" s="321"/>
      <c r="T866" s="321"/>
      <c r="U866" s="321"/>
      <c r="V866" s="321"/>
      <c r="W866" s="321"/>
      <c r="X866" s="321"/>
      <c r="Y866" s="321"/>
      <c r="Z866" s="321"/>
      <c r="AA866" s="321"/>
      <c r="AB866" s="321"/>
      <c r="AC866" s="321"/>
      <c r="AD866" s="321"/>
    </row>
    <row r="867">
      <c r="A867" s="321"/>
      <c r="B867" s="321"/>
      <c r="C867" s="321"/>
      <c r="D867" s="321"/>
      <c r="E867" s="321"/>
      <c r="F867" s="321"/>
      <c r="G867" s="454"/>
      <c r="H867" s="454"/>
      <c r="I867" s="454"/>
      <c r="J867" s="454"/>
      <c r="K867" s="321"/>
      <c r="L867" s="321"/>
      <c r="M867" s="321"/>
      <c r="N867" s="321"/>
      <c r="O867" s="321"/>
      <c r="P867" s="321"/>
      <c r="Q867" s="321"/>
      <c r="R867" s="321"/>
      <c r="S867" s="321"/>
      <c r="T867" s="321"/>
      <c r="U867" s="321"/>
      <c r="V867" s="321"/>
      <c r="W867" s="321"/>
      <c r="X867" s="321"/>
      <c r="Y867" s="321"/>
      <c r="Z867" s="321"/>
      <c r="AA867" s="321"/>
      <c r="AB867" s="321"/>
      <c r="AC867" s="321"/>
      <c r="AD867" s="321"/>
    </row>
    <row r="868">
      <c r="A868" s="321"/>
      <c r="B868" s="321"/>
      <c r="C868" s="321"/>
      <c r="D868" s="321"/>
      <c r="E868" s="321"/>
      <c r="F868" s="321"/>
      <c r="G868" s="454"/>
      <c r="H868" s="454"/>
      <c r="I868" s="454"/>
      <c r="J868" s="454"/>
      <c r="K868" s="321"/>
      <c r="L868" s="321"/>
      <c r="M868" s="321"/>
      <c r="N868" s="321"/>
      <c r="O868" s="321"/>
      <c r="P868" s="321"/>
      <c r="Q868" s="321"/>
      <c r="R868" s="321"/>
      <c r="S868" s="321"/>
      <c r="T868" s="321"/>
      <c r="U868" s="321"/>
      <c r="V868" s="321"/>
      <c r="W868" s="321"/>
      <c r="X868" s="321"/>
      <c r="Y868" s="321"/>
      <c r="Z868" s="321"/>
      <c r="AA868" s="321"/>
      <c r="AB868" s="321"/>
      <c r="AC868" s="321"/>
      <c r="AD868" s="321"/>
    </row>
    <row r="869">
      <c r="A869" s="321"/>
      <c r="B869" s="321"/>
      <c r="C869" s="321"/>
      <c r="D869" s="321"/>
      <c r="E869" s="321"/>
      <c r="F869" s="321"/>
      <c r="G869" s="454"/>
      <c r="H869" s="454"/>
      <c r="I869" s="454"/>
      <c r="J869" s="454"/>
      <c r="K869" s="321"/>
      <c r="L869" s="321"/>
      <c r="M869" s="321"/>
      <c r="N869" s="321"/>
      <c r="O869" s="321"/>
      <c r="P869" s="321"/>
      <c r="Q869" s="321"/>
      <c r="R869" s="321"/>
      <c r="S869" s="321"/>
      <c r="T869" s="321"/>
      <c r="U869" s="321"/>
      <c r="V869" s="321"/>
      <c r="W869" s="321"/>
      <c r="X869" s="321"/>
      <c r="Y869" s="321"/>
      <c r="Z869" s="321"/>
      <c r="AA869" s="321"/>
      <c r="AB869" s="321"/>
      <c r="AC869" s="321"/>
      <c r="AD869" s="321"/>
    </row>
    <row r="870">
      <c r="A870" s="321"/>
      <c r="B870" s="321"/>
      <c r="C870" s="321"/>
      <c r="D870" s="321"/>
      <c r="E870" s="321"/>
      <c r="F870" s="321"/>
      <c r="G870" s="454"/>
      <c r="H870" s="454"/>
      <c r="I870" s="454"/>
      <c r="J870" s="454"/>
      <c r="K870" s="321"/>
      <c r="L870" s="321"/>
      <c r="M870" s="321"/>
      <c r="N870" s="321"/>
      <c r="O870" s="321"/>
      <c r="P870" s="321"/>
      <c r="Q870" s="321"/>
      <c r="R870" s="321"/>
      <c r="S870" s="321"/>
      <c r="T870" s="321"/>
      <c r="U870" s="321"/>
      <c r="V870" s="321"/>
      <c r="W870" s="321"/>
      <c r="X870" s="321"/>
      <c r="Y870" s="321"/>
      <c r="Z870" s="321"/>
      <c r="AA870" s="321"/>
      <c r="AB870" s="321"/>
      <c r="AC870" s="321"/>
      <c r="AD870" s="321"/>
    </row>
    <row r="871">
      <c r="A871" s="321"/>
      <c r="B871" s="321"/>
      <c r="C871" s="321"/>
      <c r="D871" s="321"/>
      <c r="E871" s="321"/>
      <c r="F871" s="321"/>
      <c r="G871" s="454"/>
      <c r="H871" s="454"/>
      <c r="I871" s="454"/>
      <c r="J871" s="454"/>
      <c r="K871" s="321"/>
      <c r="L871" s="321"/>
      <c r="M871" s="321"/>
      <c r="N871" s="321"/>
      <c r="O871" s="321"/>
      <c r="P871" s="321"/>
      <c r="Q871" s="321"/>
      <c r="R871" s="321"/>
      <c r="S871" s="321"/>
      <c r="T871" s="321"/>
      <c r="U871" s="321"/>
      <c r="V871" s="321"/>
      <c r="W871" s="321"/>
      <c r="X871" s="321"/>
      <c r="Y871" s="321"/>
      <c r="Z871" s="321"/>
      <c r="AA871" s="321"/>
      <c r="AB871" s="321"/>
      <c r="AC871" s="321"/>
      <c r="AD871" s="321"/>
    </row>
    <row r="872">
      <c r="A872" s="321"/>
      <c r="B872" s="321"/>
      <c r="C872" s="321"/>
      <c r="D872" s="321"/>
      <c r="E872" s="321"/>
      <c r="F872" s="321"/>
      <c r="G872" s="454"/>
      <c r="H872" s="454"/>
      <c r="I872" s="454"/>
      <c r="J872" s="454"/>
      <c r="K872" s="321"/>
      <c r="L872" s="321"/>
      <c r="M872" s="321"/>
      <c r="N872" s="321"/>
      <c r="O872" s="321"/>
      <c r="P872" s="321"/>
      <c r="Q872" s="321"/>
      <c r="R872" s="321"/>
      <c r="S872" s="321"/>
      <c r="T872" s="321"/>
      <c r="U872" s="321"/>
      <c r="V872" s="321"/>
      <c r="W872" s="321"/>
      <c r="X872" s="321"/>
      <c r="Y872" s="321"/>
      <c r="Z872" s="321"/>
      <c r="AA872" s="321"/>
      <c r="AB872" s="321"/>
      <c r="AC872" s="321"/>
      <c r="AD872" s="321"/>
    </row>
    <row r="873">
      <c r="A873" s="321"/>
      <c r="B873" s="321"/>
      <c r="C873" s="321"/>
      <c r="D873" s="321"/>
      <c r="E873" s="321"/>
      <c r="F873" s="321"/>
      <c r="G873" s="454"/>
      <c r="H873" s="454"/>
      <c r="I873" s="454"/>
      <c r="J873" s="454"/>
      <c r="K873" s="321"/>
      <c r="L873" s="321"/>
      <c r="M873" s="321"/>
      <c r="N873" s="321"/>
      <c r="O873" s="321"/>
      <c r="P873" s="321"/>
      <c r="Q873" s="321"/>
      <c r="R873" s="321"/>
      <c r="S873" s="321"/>
      <c r="T873" s="321"/>
      <c r="U873" s="321"/>
      <c r="V873" s="321"/>
      <c r="W873" s="321"/>
      <c r="X873" s="321"/>
      <c r="Y873" s="321"/>
      <c r="Z873" s="321"/>
      <c r="AA873" s="321"/>
      <c r="AB873" s="321"/>
      <c r="AC873" s="321"/>
      <c r="AD873" s="321"/>
    </row>
    <row r="874">
      <c r="A874" s="321"/>
      <c r="B874" s="321"/>
      <c r="C874" s="321"/>
      <c r="D874" s="321"/>
      <c r="E874" s="321"/>
      <c r="F874" s="321"/>
      <c r="G874" s="454"/>
      <c r="H874" s="454"/>
      <c r="I874" s="454"/>
      <c r="J874" s="454"/>
      <c r="K874" s="321"/>
      <c r="L874" s="321"/>
      <c r="M874" s="321"/>
      <c r="N874" s="321"/>
      <c r="O874" s="321"/>
      <c r="P874" s="321"/>
      <c r="Q874" s="321"/>
      <c r="R874" s="321"/>
      <c r="S874" s="321"/>
      <c r="T874" s="321"/>
      <c r="U874" s="321"/>
      <c r="V874" s="321"/>
      <c r="W874" s="321"/>
      <c r="X874" s="321"/>
      <c r="Y874" s="321"/>
      <c r="Z874" s="321"/>
      <c r="AA874" s="321"/>
      <c r="AB874" s="321"/>
      <c r="AC874" s="321"/>
      <c r="AD874" s="321"/>
    </row>
    <row r="875">
      <c r="A875" s="321"/>
      <c r="B875" s="321"/>
      <c r="C875" s="321"/>
      <c r="D875" s="321"/>
      <c r="E875" s="321"/>
      <c r="F875" s="321"/>
      <c r="G875" s="454"/>
      <c r="H875" s="454"/>
      <c r="I875" s="454"/>
      <c r="J875" s="454"/>
      <c r="K875" s="321"/>
      <c r="L875" s="321"/>
      <c r="M875" s="321"/>
      <c r="N875" s="321"/>
      <c r="O875" s="321"/>
      <c r="P875" s="321"/>
      <c r="Q875" s="321"/>
      <c r="R875" s="321"/>
      <c r="S875" s="321"/>
      <c r="T875" s="321"/>
      <c r="U875" s="321"/>
      <c r="V875" s="321"/>
      <c r="W875" s="321"/>
      <c r="X875" s="321"/>
      <c r="Y875" s="321"/>
      <c r="Z875" s="321"/>
      <c r="AA875" s="321"/>
      <c r="AB875" s="321"/>
      <c r="AC875" s="321"/>
      <c r="AD875" s="321"/>
    </row>
    <row r="876">
      <c r="A876" s="321"/>
      <c r="B876" s="321"/>
      <c r="C876" s="321"/>
      <c r="D876" s="321"/>
      <c r="E876" s="321"/>
      <c r="F876" s="321"/>
      <c r="G876" s="454"/>
      <c r="H876" s="454"/>
      <c r="I876" s="454"/>
      <c r="J876" s="454"/>
      <c r="K876" s="321"/>
      <c r="L876" s="321"/>
      <c r="M876" s="321"/>
      <c r="N876" s="321"/>
      <c r="O876" s="321"/>
      <c r="P876" s="321"/>
      <c r="Q876" s="321"/>
      <c r="R876" s="321"/>
      <c r="S876" s="321"/>
      <c r="T876" s="321"/>
      <c r="U876" s="321"/>
      <c r="V876" s="321"/>
      <c r="W876" s="321"/>
      <c r="X876" s="321"/>
      <c r="Y876" s="321"/>
      <c r="Z876" s="321"/>
      <c r="AA876" s="321"/>
      <c r="AB876" s="321"/>
      <c r="AC876" s="321"/>
      <c r="AD876" s="321"/>
    </row>
    <row r="877">
      <c r="A877" s="321"/>
      <c r="B877" s="321"/>
      <c r="C877" s="321"/>
      <c r="D877" s="321"/>
      <c r="E877" s="321"/>
      <c r="F877" s="321"/>
      <c r="G877" s="454"/>
      <c r="H877" s="454"/>
      <c r="I877" s="454"/>
      <c r="J877" s="454"/>
      <c r="K877" s="321"/>
      <c r="L877" s="321"/>
      <c r="M877" s="321"/>
      <c r="N877" s="321"/>
      <c r="O877" s="321"/>
      <c r="P877" s="321"/>
      <c r="Q877" s="321"/>
      <c r="R877" s="321"/>
      <c r="S877" s="321"/>
      <c r="T877" s="321"/>
      <c r="U877" s="321"/>
      <c r="V877" s="321"/>
      <c r="W877" s="321"/>
      <c r="X877" s="321"/>
      <c r="Y877" s="321"/>
      <c r="Z877" s="321"/>
      <c r="AA877" s="321"/>
      <c r="AB877" s="321"/>
      <c r="AC877" s="321"/>
      <c r="AD877" s="321"/>
    </row>
    <row r="878">
      <c r="A878" s="321"/>
      <c r="B878" s="321"/>
      <c r="C878" s="321"/>
      <c r="D878" s="321"/>
      <c r="E878" s="321"/>
      <c r="F878" s="321"/>
      <c r="G878" s="454"/>
      <c r="H878" s="454"/>
      <c r="I878" s="454"/>
      <c r="J878" s="454"/>
      <c r="K878" s="321"/>
      <c r="L878" s="321"/>
      <c r="M878" s="321"/>
      <c r="N878" s="321"/>
      <c r="O878" s="321"/>
      <c r="P878" s="321"/>
      <c r="Q878" s="321"/>
      <c r="R878" s="321"/>
      <c r="S878" s="321"/>
      <c r="T878" s="321"/>
      <c r="U878" s="321"/>
      <c r="V878" s="321"/>
      <c r="W878" s="321"/>
      <c r="X878" s="321"/>
      <c r="Y878" s="321"/>
      <c r="Z878" s="321"/>
      <c r="AA878" s="321"/>
      <c r="AB878" s="321"/>
      <c r="AC878" s="321"/>
      <c r="AD878" s="321"/>
    </row>
    <row r="879">
      <c r="A879" s="321"/>
      <c r="B879" s="321"/>
      <c r="C879" s="321"/>
      <c r="D879" s="321"/>
      <c r="E879" s="321"/>
      <c r="F879" s="321"/>
      <c r="G879" s="454"/>
      <c r="H879" s="454"/>
      <c r="I879" s="454"/>
      <c r="J879" s="454"/>
      <c r="K879" s="321"/>
      <c r="L879" s="321"/>
      <c r="M879" s="321"/>
      <c r="N879" s="321"/>
      <c r="O879" s="321"/>
      <c r="P879" s="321"/>
      <c r="Q879" s="321"/>
      <c r="R879" s="321"/>
      <c r="S879" s="321"/>
      <c r="T879" s="321"/>
      <c r="U879" s="321"/>
      <c r="V879" s="321"/>
      <c r="W879" s="321"/>
      <c r="X879" s="321"/>
      <c r="Y879" s="321"/>
      <c r="Z879" s="321"/>
      <c r="AA879" s="321"/>
      <c r="AB879" s="321"/>
      <c r="AC879" s="321"/>
      <c r="AD879" s="321"/>
    </row>
    <row r="880">
      <c r="A880" s="321"/>
      <c r="B880" s="321"/>
      <c r="C880" s="321"/>
      <c r="D880" s="321"/>
      <c r="E880" s="321"/>
      <c r="F880" s="321"/>
      <c r="G880" s="454"/>
      <c r="H880" s="454"/>
      <c r="I880" s="454"/>
      <c r="J880" s="454"/>
      <c r="K880" s="321"/>
      <c r="L880" s="321"/>
      <c r="M880" s="321"/>
      <c r="N880" s="321"/>
      <c r="O880" s="321"/>
      <c r="P880" s="321"/>
      <c r="Q880" s="321"/>
      <c r="R880" s="321"/>
      <c r="S880" s="321"/>
      <c r="T880" s="321"/>
      <c r="U880" s="321"/>
      <c r="V880" s="321"/>
      <c r="W880" s="321"/>
      <c r="X880" s="321"/>
      <c r="Y880" s="321"/>
      <c r="Z880" s="321"/>
      <c r="AA880" s="321"/>
      <c r="AB880" s="321"/>
      <c r="AC880" s="321"/>
      <c r="AD880" s="321"/>
    </row>
    <row r="881">
      <c r="A881" s="321"/>
      <c r="B881" s="321"/>
      <c r="C881" s="321"/>
      <c r="D881" s="321"/>
      <c r="E881" s="321"/>
      <c r="F881" s="321"/>
      <c r="G881" s="454"/>
      <c r="H881" s="454"/>
      <c r="I881" s="454"/>
      <c r="J881" s="454"/>
      <c r="K881" s="321"/>
      <c r="L881" s="321"/>
      <c r="M881" s="321"/>
      <c r="N881" s="321"/>
      <c r="O881" s="321"/>
      <c r="P881" s="321"/>
      <c r="Q881" s="321"/>
      <c r="R881" s="321"/>
      <c r="S881" s="321"/>
      <c r="T881" s="321"/>
      <c r="U881" s="321"/>
      <c r="V881" s="321"/>
      <c r="W881" s="321"/>
      <c r="X881" s="321"/>
      <c r="Y881" s="321"/>
      <c r="Z881" s="321"/>
      <c r="AA881" s="321"/>
      <c r="AB881" s="321"/>
      <c r="AC881" s="321"/>
      <c r="AD881" s="321"/>
    </row>
    <row r="882">
      <c r="A882" s="321"/>
      <c r="B882" s="321"/>
      <c r="C882" s="321"/>
      <c r="D882" s="321"/>
      <c r="E882" s="321"/>
      <c r="F882" s="321"/>
      <c r="G882" s="454"/>
      <c r="H882" s="454"/>
      <c r="I882" s="454"/>
      <c r="J882" s="454"/>
      <c r="K882" s="321"/>
      <c r="L882" s="321"/>
      <c r="M882" s="321"/>
      <c r="N882" s="321"/>
      <c r="O882" s="321"/>
      <c r="P882" s="321"/>
      <c r="Q882" s="321"/>
      <c r="R882" s="321"/>
      <c r="S882" s="321"/>
      <c r="T882" s="321"/>
      <c r="U882" s="321"/>
      <c r="V882" s="321"/>
      <c r="W882" s="321"/>
      <c r="X882" s="321"/>
      <c r="Y882" s="321"/>
      <c r="Z882" s="321"/>
      <c r="AA882" s="321"/>
      <c r="AB882" s="321"/>
      <c r="AC882" s="321"/>
      <c r="AD882" s="321"/>
    </row>
    <row r="883">
      <c r="A883" s="321"/>
      <c r="B883" s="321"/>
      <c r="C883" s="321"/>
      <c r="D883" s="321"/>
      <c r="E883" s="321"/>
      <c r="F883" s="321"/>
      <c r="G883" s="454"/>
      <c r="H883" s="454"/>
      <c r="I883" s="454"/>
      <c r="J883" s="454"/>
      <c r="K883" s="321"/>
      <c r="L883" s="321"/>
      <c r="M883" s="321"/>
      <c r="N883" s="321"/>
      <c r="O883" s="321"/>
      <c r="P883" s="321"/>
      <c r="Q883" s="321"/>
      <c r="R883" s="321"/>
      <c r="S883" s="321"/>
      <c r="T883" s="321"/>
      <c r="U883" s="321"/>
      <c r="V883" s="321"/>
      <c r="W883" s="321"/>
      <c r="X883" s="321"/>
      <c r="Y883" s="321"/>
      <c r="Z883" s="321"/>
      <c r="AA883" s="321"/>
      <c r="AB883" s="321"/>
      <c r="AC883" s="321"/>
      <c r="AD883" s="321"/>
    </row>
    <row r="884">
      <c r="A884" s="321"/>
      <c r="B884" s="321"/>
      <c r="C884" s="321"/>
      <c r="D884" s="321"/>
      <c r="E884" s="321"/>
      <c r="F884" s="321"/>
      <c r="G884" s="454"/>
      <c r="H884" s="454"/>
      <c r="I884" s="454"/>
      <c r="J884" s="454"/>
      <c r="K884" s="321"/>
      <c r="L884" s="321"/>
      <c r="M884" s="321"/>
      <c r="N884" s="321"/>
      <c r="O884" s="321"/>
      <c r="P884" s="321"/>
      <c r="Q884" s="321"/>
      <c r="R884" s="321"/>
      <c r="S884" s="321"/>
      <c r="T884" s="321"/>
      <c r="U884" s="321"/>
      <c r="V884" s="321"/>
      <c r="W884" s="321"/>
      <c r="X884" s="321"/>
      <c r="Y884" s="321"/>
      <c r="Z884" s="321"/>
      <c r="AA884" s="321"/>
      <c r="AB884" s="321"/>
      <c r="AC884" s="321"/>
      <c r="AD884" s="321"/>
    </row>
    <row r="885">
      <c r="A885" s="321"/>
      <c r="B885" s="321"/>
      <c r="C885" s="321"/>
      <c r="D885" s="321"/>
      <c r="E885" s="321"/>
      <c r="F885" s="321"/>
      <c r="G885" s="454"/>
      <c r="H885" s="454"/>
      <c r="I885" s="454"/>
      <c r="J885" s="454"/>
      <c r="K885" s="321"/>
      <c r="L885" s="321"/>
      <c r="M885" s="321"/>
      <c r="N885" s="321"/>
      <c r="O885" s="321"/>
      <c r="P885" s="321"/>
      <c r="Q885" s="321"/>
      <c r="R885" s="321"/>
      <c r="S885" s="321"/>
      <c r="T885" s="321"/>
      <c r="U885" s="321"/>
      <c r="V885" s="321"/>
      <c r="W885" s="321"/>
      <c r="X885" s="321"/>
      <c r="Y885" s="321"/>
      <c r="Z885" s="321"/>
      <c r="AA885" s="321"/>
      <c r="AB885" s="321"/>
      <c r="AC885" s="321"/>
      <c r="AD885" s="321"/>
    </row>
    <row r="886">
      <c r="A886" s="321"/>
      <c r="B886" s="321"/>
      <c r="C886" s="321"/>
      <c r="D886" s="321"/>
      <c r="E886" s="321"/>
      <c r="F886" s="321"/>
      <c r="G886" s="454"/>
      <c r="H886" s="454"/>
      <c r="I886" s="454"/>
      <c r="J886" s="454"/>
      <c r="K886" s="321"/>
      <c r="L886" s="321"/>
      <c r="M886" s="321"/>
      <c r="N886" s="321"/>
      <c r="O886" s="321"/>
      <c r="P886" s="321"/>
      <c r="Q886" s="321"/>
      <c r="R886" s="321"/>
      <c r="S886" s="321"/>
      <c r="T886" s="321"/>
      <c r="U886" s="321"/>
      <c r="V886" s="321"/>
      <c r="W886" s="321"/>
      <c r="X886" s="321"/>
      <c r="Y886" s="321"/>
      <c r="Z886" s="321"/>
      <c r="AA886" s="321"/>
      <c r="AB886" s="321"/>
      <c r="AC886" s="321"/>
      <c r="AD886" s="321"/>
    </row>
    <row r="887">
      <c r="A887" s="321"/>
      <c r="B887" s="321"/>
      <c r="C887" s="321"/>
      <c r="D887" s="321"/>
      <c r="E887" s="321"/>
      <c r="F887" s="321"/>
      <c r="G887" s="454"/>
      <c r="H887" s="454"/>
      <c r="I887" s="454"/>
      <c r="J887" s="454"/>
      <c r="K887" s="321"/>
      <c r="L887" s="321"/>
      <c r="M887" s="321"/>
      <c r="N887" s="321"/>
      <c r="O887" s="321"/>
      <c r="P887" s="321"/>
      <c r="Q887" s="321"/>
      <c r="R887" s="321"/>
      <c r="S887" s="321"/>
      <c r="T887" s="321"/>
      <c r="U887" s="321"/>
      <c r="V887" s="321"/>
      <c r="W887" s="321"/>
      <c r="X887" s="321"/>
      <c r="Y887" s="321"/>
      <c r="Z887" s="321"/>
      <c r="AA887" s="321"/>
      <c r="AB887" s="321"/>
      <c r="AC887" s="321"/>
      <c r="AD887" s="321"/>
    </row>
    <row r="888">
      <c r="A888" s="321"/>
      <c r="B888" s="321"/>
      <c r="C888" s="321"/>
      <c r="D888" s="321"/>
      <c r="E888" s="321"/>
      <c r="F888" s="321"/>
      <c r="G888" s="454"/>
      <c r="H888" s="454"/>
      <c r="I888" s="454"/>
      <c r="J888" s="454"/>
      <c r="K888" s="321"/>
      <c r="L888" s="321"/>
      <c r="M888" s="321"/>
      <c r="N888" s="321"/>
      <c r="O888" s="321"/>
      <c r="P888" s="321"/>
      <c r="Q888" s="321"/>
      <c r="R888" s="321"/>
      <c r="S888" s="321"/>
      <c r="T888" s="321"/>
      <c r="U888" s="321"/>
      <c r="V888" s="321"/>
      <c r="W888" s="321"/>
      <c r="X888" s="321"/>
      <c r="Y888" s="321"/>
      <c r="Z888" s="321"/>
      <c r="AA888" s="321"/>
      <c r="AB888" s="321"/>
      <c r="AC888" s="321"/>
      <c r="AD888" s="321"/>
    </row>
    <row r="889">
      <c r="A889" s="321"/>
      <c r="B889" s="321"/>
      <c r="C889" s="321"/>
      <c r="D889" s="321"/>
      <c r="E889" s="321"/>
      <c r="F889" s="321"/>
      <c r="G889" s="454"/>
      <c r="H889" s="454"/>
      <c r="I889" s="454"/>
      <c r="J889" s="454"/>
      <c r="K889" s="321"/>
      <c r="L889" s="321"/>
      <c r="M889" s="321"/>
      <c r="N889" s="321"/>
      <c r="O889" s="321"/>
      <c r="P889" s="321"/>
      <c r="Q889" s="321"/>
      <c r="R889" s="321"/>
      <c r="S889" s="321"/>
      <c r="T889" s="321"/>
      <c r="U889" s="321"/>
      <c r="V889" s="321"/>
      <c r="W889" s="321"/>
      <c r="X889" s="321"/>
      <c r="Y889" s="321"/>
      <c r="Z889" s="321"/>
      <c r="AA889" s="321"/>
      <c r="AB889" s="321"/>
      <c r="AC889" s="321"/>
      <c r="AD889" s="321"/>
    </row>
    <row r="890">
      <c r="A890" s="321"/>
      <c r="B890" s="321"/>
      <c r="C890" s="321"/>
      <c r="D890" s="321"/>
      <c r="E890" s="321"/>
      <c r="F890" s="321"/>
      <c r="G890" s="454"/>
      <c r="H890" s="454"/>
      <c r="I890" s="454"/>
      <c r="J890" s="454"/>
      <c r="K890" s="321"/>
      <c r="L890" s="321"/>
      <c r="M890" s="321"/>
      <c r="N890" s="321"/>
      <c r="O890" s="321"/>
      <c r="P890" s="321"/>
      <c r="Q890" s="321"/>
      <c r="R890" s="321"/>
      <c r="S890" s="321"/>
      <c r="T890" s="321"/>
      <c r="U890" s="321"/>
      <c r="V890" s="321"/>
      <c r="W890" s="321"/>
      <c r="X890" s="321"/>
      <c r="Y890" s="321"/>
      <c r="Z890" s="321"/>
      <c r="AA890" s="321"/>
      <c r="AB890" s="321"/>
      <c r="AC890" s="321"/>
      <c r="AD890" s="321"/>
    </row>
    <row r="891">
      <c r="A891" s="321"/>
      <c r="B891" s="321"/>
      <c r="C891" s="321"/>
      <c r="D891" s="321"/>
      <c r="E891" s="321"/>
      <c r="F891" s="321"/>
      <c r="G891" s="454"/>
      <c r="H891" s="454"/>
      <c r="I891" s="454"/>
      <c r="J891" s="454"/>
      <c r="K891" s="321"/>
      <c r="L891" s="321"/>
      <c r="M891" s="321"/>
      <c r="N891" s="321"/>
      <c r="O891" s="321"/>
      <c r="P891" s="321"/>
      <c r="Q891" s="321"/>
      <c r="R891" s="321"/>
      <c r="S891" s="321"/>
      <c r="T891" s="321"/>
      <c r="U891" s="321"/>
      <c r="V891" s="321"/>
      <c r="W891" s="321"/>
      <c r="X891" s="321"/>
      <c r="Y891" s="321"/>
      <c r="Z891" s="321"/>
      <c r="AA891" s="321"/>
      <c r="AB891" s="321"/>
      <c r="AC891" s="321"/>
      <c r="AD891" s="321"/>
    </row>
    <row r="892">
      <c r="A892" s="321"/>
      <c r="B892" s="321"/>
      <c r="C892" s="321"/>
      <c r="D892" s="321"/>
      <c r="E892" s="321"/>
      <c r="F892" s="321"/>
      <c r="G892" s="454"/>
      <c r="H892" s="454"/>
      <c r="I892" s="454"/>
      <c r="J892" s="454"/>
      <c r="K892" s="321"/>
      <c r="L892" s="321"/>
      <c r="M892" s="321"/>
      <c r="N892" s="321"/>
      <c r="O892" s="321"/>
      <c r="P892" s="321"/>
      <c r="Q892" s="321"/>
      <c r="R892" s="321"/>
      <c r="S892" s="321"/>
      <c r="T892" s="321"/>
      <c r="U892" s="321"/>
      <c r="V892" s="321"/>
      <c r="W892" s="321"/>
      <c r="X892" s="321"/>
      <c r="Y892" s="321"/>
      <c r="Z892" s="321"/>
      <c r="AA892" s="321"/>
      <c r="AB892" s="321"/>
      <c r="AC892" s="321"/>
      <c r="AD892" s="321"/>
    </row>
    <row r="893">
      <c r="A893" s="321"/>
      <c r="B893" s="321"/>
      <c r="C893" s="321"/>
      <c r="D893" s="321"/>
      <c r="E893" s="321"/>
      <c r="F893" s="321"/>
      <c r="G893" s="454"/>
      <c r="H893" s="454"/>
      <c r="I893" s="454"/>
      <c r="J893" s="454"/>
      <c r="K893" s="321"/>
      <c r="L893" s="321"/>
      <c r="M893" s="321"/>
      <c r="N893" s="321"/>
      <c r="O893" s="321"/>
      <c r="P893" s="321"/>
      <c r="Q893" s="321"/>
      <c r="R893" s="321"/>
      <c r="S893" s="321"/>
      <c r="T893" s="321"/>
      <c r="U893" s="321"/>
      <c r="V893" s="321"/>
      <c r="W893" s="321"/>
      <c r="X893" s="321"/>
      <c r="Y893" s="321"/>
      <c r="Z893" s="321"/>
      <c r="AA893" s="321"/>
      <c r="AB893" s="321"/>
      <c r="AC893" s="321"/>
      <c r="AD893" s="321"/>
    </row>
    <row r="894">
      <c r="A894" s="321"/>
      <c r="B894" s="321"/>
      <c r="C894" s="321"/>
      <c r="D894" s="321"/>
      <c r="E894" s="321"/>
      <c r="F894" s="321"/>
      <c r="G894" s="454"/>
      <c r="H894" s="454"/>
      <c r="I894" s="454"/>
      <c r="J894" s="454"/>
      <c r="K894" s="321"/>
      <c r="L894" s="321"/>
      <c r="M894" s="321"/>
      <c r="N894" s="321"/>
      <c r="O894" s="321"/>
      <c r="P894" s="321"/>
      <c r="Q894" s="321"/>
      <c r="R894" s="321"/>
      <c r="S894" s="321"/>
      <c r="T894" s="321"/>
      <c r="U894" s="321"/>
      <c r="V894" s="321"/>
      <c r="W894" s="321"/>
      <c r="X894" s="321"/>
      <c r="Y894" s="321"/>
      <c r="Z894" s="321"/>
      <c r="AA894" s="321"/>
      <c r="AB894" s="321"/>
      <c r="AC894" s="321"/>
      <c r="AD894" s="321"/>
    </row>
    <row r="895">
      <c r="A895" s="321"/>
      <c r="B895" s="321"/>
      <c r="C895" s="321"/>
      <c r="D895" s="321"/>
      <c r="E895" s="321"/>
      <c r="F895" s="321"/>
      <c r="G895" s="454"/>
      <c r="H895" s="454"/>
      <c r="I895" s="454"/>
      <c r="J895" s="454"/>
      <c r="K895" s="321"/>
      <c r="L895" s="321"/>
      <c r="M895" s="321"/>
      <c r="N895" s="321"/>
      <c r="O895" s="321"/>
      <c r="P895" s="321"/>
      <c r="Q895" s="321"/>
      <c r="R895" s="321"/>
      <c r="S895" s="321"/>
      <c r="T895" s="321"/>
      <c r="U895" s="321"/>
      <c r="V895" s="321"/>
      <c r="W895" s="321"/>
      <c r="X895" s="321"/>
      <c r="Y895" s="321"/>
      <c r="Z895" s="321"/>
      <c r="AA895" s="321"/>
      <c r="AB895" s="321"/>
      <c r="AC895" s="321"/>
      <c r="AD895" s="321"/>
    </row>
    <row r="896">
      <c r="A896" s="321"/>
      <c r="B896" s="321"/>
      <c r="C896" s="321"/>
      <c r="D896" s="321"/>
      <c r="E896" s="321"/>
      <c r="F896" s="321"/>
      <c r="G896" s="454"/>
      <c r="H896" s="454"/>
      <c r="I896" s="454"/>
      <c r="J896" s="454"/>
      <c r="K896" s="321"/>
      <c r="L896" s="321"/>
      <c r="M896" s="321"/>
      <c r="N896" s="321"/>
      <c r="O896" s="321"/>
      <c r="P896" s="321"/>
      <c r="Q896" s="321"/>
      <c r="R896" s="321"/>
      <c r="S896" s="321"/>
      <c r="T896" s="321"/>
      <c r="U896" s="321"/>
      <c r="V896" s="321"/>
      <c r="W896" s="321"/>
      <c r="X896" s="321"/>
      <c r="Y896" s="321"/>
      <c r="Z896" s="321"/>
      <c r="AA896" s="321"/>
      <c r="AB896" s="321"/>
      <c r="AC896" s="321"/>
      <c r="AD896" s="321"/>
    </row>
    <row r="897">
      <c r="A897" s="321"/>
      <c r="B897" s="321"/>
      <c r="C897" s="321"/>
      <c r="D897" s="321"/>
      <c r="E897" s="321"/>
      <c r="F897" s="321"/>
      <c r="G897" s="454"/>
      <c r="H897" s="454"/>
      <c r="I897" s="454"/>
      <c r="J897" s="454"/>
      <c r="K897" s="321"/>
      <c r="L897" s="321"/>
      <c r="M897" s="321"/>
      <c r="N897" s="321"/>
      <c r="O897" s="321"/>
      <c r="P897" s="321"/>
      <c r="Q897" s="321"/>
      <c r="R897" s="321"/>
      <c r="S897" s="321"/>
      <c r="T897" s="321"/>
      <c r="U897" s="321"/>
      <c r="V897" s="321"/>
      <c r="W897" s="321"/>
      <c r="X897" s="321"/>
      <c r="Y897" s="321"/>
      <c r="Z897" s="321"/>
      <c r="AA897" s="321"/>
      <c r="AB897" s="321"/>
      <c r="AC897" s="321"/>
      <c r="AD897" s="321"/>
    </row>
    <row r="898">
      <c r="A898" s="321"/>
      <c r="B898" s="321"/>
      <c r="C898" s="321"/>
      <c r="D898" s="321"/>
      <c r="E898" s="321"/>
      <c r="F898" s="321"/>
      <c r="G898" s="454"/>
      <c r="H898" s="454"/>
      <c r="I898" s="454"/>
      <c r="J898" s="454"/>
      <c r="K898" s="321"/>
      <c r="L898" s="321"/>
      <c r="M898" s="321"/>
      <c r="N898" s="321"/>
      <c r="O898" s="321"/>
      <c r="P898" s="321"/>
      <c r="Q898" s="321"/>
      <c r="R898" s="321"/>
      <c r="S898" s="321"/>
      <c r="T898" s="321"/>
      <c r="U898" s="321"/>
      <c r="V898" s="321"/>
      <c r="W898" s="321"/>
      <c r="X898" s="321"/>
      <c r="Y898" s="321"/>
      <c r="Z898" s="321"/>
      <c r="AA898" s="321"/>
      <c r="AB898" s="321"/>
      <c r="AC898" s="321"/>
      <c r="AD898" s="321"/>
    </row>
    <row r="899">
      <c r="A899" s="321"/>
      <c r="B899" s="321"/>
      <c r="C899" s="321"/>
      <c r="D899" s="321"/>
      <c r="E899" s="321"/>
      <c r="F899" s="321"/>
      <c r="G899" s="454"/>
      <c r="H899" s="454"/>
      <c r="I899" s="454"/>
      <c r="J899" s="454"/>
      <c r="K899" s="321"/>
      <c r="L899" s="321"/>
      <c r="M899" s="321"/>
      <c r="N899" s="321"/>
      <c r="O899" s="321"/>
      <c r="P899" s="321"/>
      <c r="Q899" s="321"/>
      <c r="R899" s="321"/>
      <c r="S899" s="321"/>
      <c r="T899" s="321"/>
      <c r="U899" s="321"/>
      <c r="V899" s="321"/>
      <c r="W899" s="321"/>
      <c r="X899" s="321"/>
      <c r="Y899" s="321"/>
      <c r="Z899" s="321"/>
      <c r="AA899" s="321"/>
      <c r="AB899" s="321"/>
      <c r="AC899" s="321"/>
      <c r="AD899" s="321"/>
    </row>
    <row r="900">
      <c r="A900" s="321"/>
      <c r="B900" s="321"/>
      <c r="C900" s="321"/>
      <c r="D900" s="321"/>
      <c r="E900" s="321"/>
      <c r="F900" s="321"/>
      <c r="G900" s="454"/>
      <c r="H900" s="454"/>
      <c r="I900" s="454"/>
      <c r="J900" s="454"/>
      <c r="K900" s="321"/>
      <c r="L900" s="321"/>
      <c r="M900" s="321"/>
      <c r="N900" s="321"/>
      <c r="O900" s="321"/>
      <c r="P900" s="321"/>
      <c r="Q900" s="321"/>
      <c r="R900" s="321"/>
      <c r="S900" s="321"/>
      <c r="T900" s="321"/>
      <c r="U900" s="321"/>
      <c r="V900" s="321"/>
      <c r="W900" s="321"/>
      <c r="X900" s="321"/>
      <c r="Y900" s="321"/>
      <c r="Z900" s="321"/>
      <c r="AA900" s="321"/>
      <c r="AB900" s="321"/>
      <c r="AC900" s="321"/>
      <c r="AD900" s="321"/>
    </row>
    <row r="901">
      <c r="A901" s="321"/>
      <c r="B901" s="321"/>
      <c r="C901" s="321"/>
      <c r="D901" s="321"/>
      <c r="E901" s="321"/>
      <c r="F901" s="321"/>
      <c r="G901" s="454"/>
      <c r="H901" s="454"/>
      <c r="I901" s="454"/>
      <c r="J901" s="454"/>
      <c r="K901" s="321"/>
      <c r="L901" s="321"/>
      <c r="M901" s="321"/>
      <c r="N901" s="321"/>
      <c r="O901" s="321"/>
      <c r="P901" s="321"/>
      <c r="Q901" s="321"/>
      <c r="R901" s="321"/>
      <c r="S901" s="321"/>
      <c r="T901" s="321"/>
      <c r="U901" s="321"/>
      <c r="V901" s="321"/>
      <c r="W901" s="321"/>
      <c r="X901" s="321"/>
      <c r="Y901" s="321"/>
      <c r="Z901" s="321"/>
      <c r="AA901" s="321"/>
      <c r="AB901" s="321"/>
      <c r="AC901" s="321"/>
      <c r="AD901" s="321"/>
    </row>
    <row r="902">
      <c r="A902" s="321"/>
      <c r="B902" s="321"/>
      <c r="C902" s="321"/>
      <c r="D902" s="321"/>
      <c r="E902" s="321"/>
      <c r="F902" s="321"/>
      <c r="G902" s="454"/>
      <c r="H902" s="454"/>
      <c r="I902" s="454"/>
      <c r="J902" s="454"/>
      <c r="K902" s="321"/>
      <c r="L902" s="321"/>
      <c r="M902" s="321"/>
      <c r="N902" s="321"/>
      <c r="O902" s="321"/>
      <c r="P902" s="321"/>
      <c r="Q902" s="321"/>
      <c r="R902" s="321"/>
      <c r="S902" s="321"/>
      <c r="T902" s="321"/>
      <c r="U902" s="321"/>
      <c r="V902" s="321"/>
      <c r="W902" s="321"/>
      <c r="X902" s="321"/>
      <c r="Y902" s="321"/>
      <c r="Z902" s="321"/>
      <c r="AA902" s="321"/>
      <c r="AB902" s="321"/>
      <c r="AC902" s="321"/>
      <c r="AD902" s="321"/>
    </row>
    <row r="903">
      <c r="A903" s="321"/>
      <c r="B903" s="321"/>
      <c r="C903" s="321"/>
      <c r="D903" s="321"/>
      <c r="E903" s="321"/>
      <c r="F903" s="321"/>
      <c r="G903" s="454"/>
      <c r="H903" s="454"/>
      <c r="I903" s="454"/>
      <c r="J903" s="454"/>
      <c r="K903" s="321"/>
      <c r="L903" s="321"/>
      <c r="M903" s="321"/>
      <c r="N903" s="321"/>
      <c r="O903" s="321"/>
      <c r="P903" s="321"/>
      <c r="Q903" s="321"/>
      <c r="R903" s="321"/>
      <c r="S903" s="321"/>
      <c r="T903" s="321"/>
      <c r="U903" s="321"/>
      <c r="V903" s="321"/>
      <c r="W903" s="321"/>
      <c r="X903" s="321"/>
      <c r="Y903" s="321"/>
      <c r="Z903" s="321"/>
      <c r="AA903" s="321"/>
      <c r="AB903" s="321"/>
      <c r="AC903" s="321"/>
      <c r="AD903" s="321"/>
    </row>
    <row r="904">
      <c r="A904" s="321"/>
      <c r="B904" s="321"/>
      <c r="C904" s="321"/>
      <c r="D904" s="321"/>
      <c r="E904" s="321"/>
      <c r="F904" s="321"/>
      <c r="G904" s="454"/>
      <c r="H904" s="454"/>
      <c r="I904" s="454"/>
      <c r="J904" s="454"/>
      <c r="K904" s="321"/>
      <c r="L904" s="321"/>
      <c r="M904" s="321"/>
      <c r="N904" s="321"/>
      <c r="O904" s="321"/>
      <c r="P904" s="321"/>
      <c r="Q904" s="321"/>
      <c r="R904" s="321"/>
      <c r="S904" s="321"/>
      <c r="T904" s="321"/>
      <c r="U904" s="321"/>
      <c r="V904" s="321"/>
      <c r="W904" s="321"/>
      <c r="X904" s="321"/>
      <c r="Y904" s="321"/>
      <c r="Z904" s="321"/>
      <c r="AA904" s="321"/>
      <c r="AB904" s="321"/>
      <c r="AC904" s="321"/>
      <c r="AD904" s="321"/>
    </row>
    <row r="905">
      <c r="A905" s="321"/>
      <c r="B905" s="321"/>
      <c r="C905" s="321"/>
      <c r="D905" s="321"/>
      <c r="E905" s="321"/>
      <c r="F905" s="321"/>
      <c r="G905" s="454"/>
      <c r="H905" s="454"/>
      <c r="I905" s="454"/>
      <c r="J905" s="454"/>
      <c r="K905" s="321"/>
      <c r="L905" s="321"/>
      <c r="M905" s="321"/>
      <c r="N905" s="321"/>
      <c r="O905" s="321"/>
      <c r="P905" s="321"/>
      <c r="Q905" s="321"/>
      <c r="R905" s="321"/>
      <c r="S905" s="321"/>
      <c r="T905" s="321"/>
      <c r="U905" s="321"/>
      <c r="V905" s="321"/>
      <c r="W905" s="321"/>
      <c r="X905" s="321"/>
      <c r="Y905" s="321"/>
      <c r="Z905" s="321"/>
      <c r="AA905" s="321"/>
      <c r="AB905" s="321"/>
      <c r="AC905" s="321"/>
      <c r="AD905" s="321"/>
    </row>
    <row r="906">
      <c r="A906" s="321"/>
      <c r="B906" s="321"/>
      <c r="C906" s="321"/>
      <c r="D906" s="321"/>
      <c r="E906" s="321"/>
      <c r="F906" s="321"/>
      <c r="G906" s="454"/>
      <c r="H906" s="454"/>
      <c r="I906" s="454"/>
      <c r="J906" s="454"/>
      <c r="K906" s="321"/>
      <c r="L906" s="321"/>
      <c r="M906" s="321"/>
      <c r="N906" s="321"/>
      <c r="O906" s="321"/>
      <c r="P906" s="321"/>
      <c r="Q906" s="321"/>
      <c r="R906" s="321"/>
      <c r="S906" s="321"/>
      <c r="T906" s="321"/>
      <c r="U906" s="321"/>
      <c r="V906" s="321"/>
      <c r="W906" s="321"/>
      <c r="X906" s="321"/>
      <c r="Y906" s="321"/>
      <c r="Z906" s="321"/>
      <c r="AA906" s="321"/>
      <c r="AB906" s="321"/>
      <c r="AC906" s="321"/>
      <c r="AD906" s="321"/>
    </row>
    <row r="907">
      <c r="A907" s="321"/>
      <c r="B907" s="321"/>
      <c r="C907" s="321"/>
      <c r="D907" s="321"/>
      <c r="E907" s="321"/>
      <c r="F907" s="321"/>
      <c r="G907" s="454"/>
      <c r="H907" s="454"/>
      <c r="I907" s="454"/>
      <c r="J907" s="454"/>
      <c r="K907" s="321"/>
      <c r="L907" s="321"/>
      <c r="M907" s="321"/>
      <c r="N907" s="321"/>
      <c r="O907" s="321"/>
      <c r="P907" s="321"/>
      <c r="Q907" s="321"/>
      <c r="R907" s="321"/>
      <c r="S907" s="321"/>
      <c r="T907" s="321"/>
      <c r="U907" s="321"/>
      <c r="V907" s="321"/>
      <c r="W907" s="321"/>
      <c r="X907" s="321"/>
      <c r="Y907" s="321"/>
      <c r="Z907" s="321"/>
      <c r="AA907" s="321"/>
      <c r="AB907" s="321"/>
      <c r="AC907" s="321"/>
      <c r="AD907" s="321"/>
    </row>
    <row r="908">
      <c r="A908" s="321"/>
      <c r="B908" s="321"/>
      <c r="C908" s="321"/>
      <c r="D908" s="321"/>
      <c r="E908" s="321"/>
      <c r="F908" s="321"/>
      <c r="G908" s="454"/>
      <c r="H908" s="454"/>
      <c r="I908" s="454"/>
      <c r="J908" s="454"/>
      <c r="K908" s="321"/>
      <c r="L908" s="321"/>
      <c r="M908" s="321"/>
      <c r="N908" s="321"/>
      <c r="O908" s="321"/>
      <c r="P908" s="321"/>
      <c r="Q908" s="321"/>
      <c r="R908" s="321"/>
      <c r="S908" s="321"/>
      <c r="T908" s="321"/>
      <c r="U908" s="321"/>
      <c r="V908" s="321"/>
      <c r="W908" s="321"/>
      <c r="X908" s="321"/>
      <c r="Y908" s="321"/>
      <c r="Z908" s="321"/>
      <c r="AA908" s="321"/>
      <c r="AB908" s="321"/>
      <c r="AC908" s="321"/>
      <c r="AD908" s="321"/>
    </row>
    <row r="909">
      <c r="A909" s="321"/>
      <c r="B909" s="321"/>
      <c r="C909" s="321"/>
      <c r="D909" s="321"/>
      <c r="E909" s="321"/>
      <c r="F909" s="321"/>
      <c r="G909" s="454"/>
      <c r="H909" s="454"/>
      <c r="I909" s="454"/>
      <c r="J909" s="454"/>
      <c r="K909" s="321"/>
      <c r="L909" s="321"/>
      <c r="M909" s="321"/>
      <c r="N909" s="321"/>
      <c r="O909" s="321"/>
      <c r="P909" s="321"/>
      <c r="Q909" s="321"/>
      <c r="R909" s="321"/>
      <c r="S909" s="321"/>
      <c r="T909" s="321"/>
      <c r="U909" s="321"/>
      <c r="V909" s="321"/>
      <c r="W909" s="321"/>
      <c r="X909" s="321"/>
      <c r="Y909" s="321"/>
      <c r="Z909" s="321"/>
      <c r="AA909" s="321"/>
      <c r="AB909" s="321"/>
      <c r="AC909" s="321"/>
      <c r="AD909" s="321"/>
    </row>
    <row r="910">
      <c r="A910" s="321"/>
      <c r="B910" s="321"/>
      <c r="C910" s="321"/>
      <c r="D910" s="321"/>
      <c r="E910" s="321"/>
      <c r="F910" s="321"/>
      <c r="G910" s="454"/>
      <c r="H910" s="454"/>
      <c r="I910" s="454"/>
      <c r="J910" s="454"/>
      <c r="K910" s="321"/>
      <c r="L910" s="321"/>
      <c r="M910" s="321"/>
      <c r="N910" s="321"/>
      <c r="O910" s="321"/>
      <c r="P910" s="321"/>
      <c r="Q910" s="321"/>
      <c r="R910" s="321"/>
      <c r="S910" s="321"/>
      <c r="T910" s="321"/>
      <c r="U910" s="321"/>
      <c r="V910" s="321"/>
      <c r="W910" s="321"/>
      <c r="X910" s="321"/>
      <c r="Y910" s="321"/>
      <c r="Z910" s="321"/>
      <c r="AA910" s="321"/>
      <c r="AB910" s="321"/>
      <c r="AC910" s="321"/>
      <c r="AD910" s="321"/>
    </row>
    <row r="911">
      <c r="A911" s="321"/>
      <c r="B911" s="321"/>
      <c r="C911" s="321"/>
      <c r="D911" s="321"/>
      <c r="E911" s="321"/>
      <c r="F911" s="321"/>
      <c r="G911" s="454"/>
      <c r="H911" s="454"/>
      <c r="I911" s="454"/>
      <c r="J911" s="454"/>
      <c r="K911" s="321"/>
      <c r="L911" s="321"/>
      <c r="M911" s="321"/>
      <c r="N911" s="321"/>
      <c r="O911" s="321"/>
      <c r="P911" s="321"/>
      <c r="Q911" s="321"/>
      <c r="R911" s="321"/>
      <c r="S911" s="321"/>
      <c r="T911" s="321"/>
      <c r="U911" s="321"/>
      <c r="V911" s="321"/>
      <c r="W911" s="321"/>
      <c r="X911" s="321"/>
      <c r="Y911" s="321"/>
      <c r="Z911" s="321"/>
      <c r="AA911" s="321"/>
      <c r="AB911" s="321"/>
      <c r="AC911" s="321"/>
      <c r="AD911" s="321"/>
    </row>
    <row r="912">
      <c r="A912" s="321"/>
      <c r="B912" s="321"/>
      <c r="C912" s="321"/>
      <c r="D912" s="321"/>
      <c r="E912" s="321"/>
      <c r="F912" s="321"/>
      <c r="G912" s="454"/>
      <c r="H912" s="454"/>
      <c r="I912" s="454"/>
      <c r="J912" s="454"/>
      <c r="K912" s="321"/>
      <c r="L912" s="321"/>
      <c r="M912" s="321"/>
      <c r="N912" s="321"/>
      <c r="O912" s="321"/>
      <c r="P912" s="321"/>
      <c r="Q912" s="321"/>
      <c r="R912" s="321"/>
      <c r="S912" s="321"/>
      <c r="T912" s="321"/>
      <c r="U912" s="321"/>
      <c r="V912" s="321"/>
      <c r="W912" s="321"/>
      <c r="X912" s="321"/>
      <c r="Y912" s="321"/>
      <c r="Z912" s="321"/>
      <c r="AA912" s="321"/>
      <c r="AB912" s="321"/>
      <c r="AC912" s="321"/>
      <c r="AD912" s="321"/>
    </row>
    <row r="913">
      <c r="A913" s="321"/>
      <c r="B913" s="321"/>
      <c r="C913" s="321"/>
      <c r="D913" s="321"/>
      <c r="E913" s="321"/>
      <c r="F913" s="321"/>
      <c r="G913" s="454"/>
      <c r="H913" s="454"/>
      <c r="I913" s="454"/>
      <c r="J913" s="454"/>
      <c r="K913" s="321"/>
      <c r="L913" s="321"/>
      <c r="M913" s="321"/>
      <c r="N913" s="321"/>
      <c r="O913" s="321"/>
      <c r="P913" s="321"/>
      <c r="Q913" s="321"/>
      <c r="R913" s="321"/>
      <c r="S913" s="321"/>
      <c r="T913" s="321"/>
      <c r="U913" s="321"/>
      <c r="V913" s="321"/>
      <c r="W913" s="321"/>
      <c r="X913" s="321"/>
      <c r="Y913" s="321"/>
      <c r="Z913" s="321"/>
      <c r="AA913" s="321"/>
      <c r="AB913" s="321"/>
      <c r="AC913" s="321"/>
      <c r="AD913" s="321"/>
    </row>
    <row r="914">
      <c r="A914" s="321"/>
      <c r="B914" s="321"/>
      <c r="C914" s="321"/>
      <c r="D914" s="321"/>
      <c r="E914" s="321"/>
      <c r="F914" s="321"/>
      <c r="G914" s="454"/>
      <c r="H914" s="454"/>
      <c r="I914" s="454"/>
      <c r="J914" s="454"/>
      <c r="K914" s="321"/>
      <c r="L914" s="321"/>
      <c r="M914" s="321"/>
      <c r="N914" s="321"/>
      <c r="O914" s="321"/>
      <c r="P914" s="321"/>
      <c r="Q914" s="321"/>
      <c r="R914" s="321"/>
      <c r="S914" s="321"/>
      <c r="T914" s="321"/>
      <c r="U914" s="321"/>
      <c r="V914" s="321"/>
      <c r="W914" s="321"/>
      <c r="X914" s="321"/>
      <c r="Y914" s="321"/>
      <c r="Z914" s="321"/>
      <c r="AA914" s="321"/>
      <c r="AB914" s="321"/>
      <c r="AC914" s="321"/>
      <c r="AD914" s="321"/>
    </row>
    <row r="915">
      <c r="A915" s="321"/>
      <c r="B915" s="321"/>
      <c r="C915" s="321"/>
      <c r="D915" s="321"/>
      <c r="E915" s="321"/>
      <c r="F915" s="321"/>
      <c r="G915" s="454"/>
      <c r="H915" s="454"/>
      <c r="I915" s="454"/>
      <c r="J915" s="454"/>
      <c r="K915" s="321"/>
      <c r="L915" s="321"/>
      <c r="M915" s="321"/>
      <c r="N915" s="321"/>
      <c r="O915" s="321"/>
      <c r="P915" s="321"/>
      <c r="Q915" s="321"/>
      <c r="R915" s="321"/>
      <c r="S915" s="321"/>
      <c r="T915" s="321"/>
      <c r="U915" s="321"/>
      <c r="V915" s="321"/>
      <c r="W915" s="321"/>
      <c r="X915" s="321"/>
      <c r="Y915" s="321"/>
      <c r="Z915" s="321"/>
      <c r="AA915" s="321"/>
      <c r="AB915" s="321"/>
      <c r="AC915" s="321"/>
      <c r="AD915" s="321"/>
    </row>
    <row r="916">
      <c r="A916" s="321"/>
      <c r="B916" s="321"/>
      <c r="C916" s="321"/>
      <c r="D916" s="321"/>
      <c r="E916" s="321"/>
      <c r="F916" s="321"/>
      <c r="G916" s="454"/>
      <c r="H916" s="454"/>
      <c r="I916" s="454"/>
      <c r="J916" s="454"/>
      <c r="K916" s="321"/>
      <c r="L916" s="321"/>
      <c r="M916" s="321"/>
      <c r="N916" s="321"/>
      <c r="O916" s="321"/>
      <c r="P916" s="321"/>
      <c r="Q916" s="321"/>
      <c r="R916" s="321"/>
      <c r="S916" s="321"/>
      <c r="T916" s="321"/>
      <c r="U916" s="321"/>
      <c r="V916" s="321"/>
      <c r="W916" s="321"/>
      <c r="X916" s="321"/>
      <c r="Y916" s="321"/>
      <c r="Z916" s="321"/>
      <c r="AA916" s="321"/>
      <c r="AB916" s="321"/>
      <c r="AC916" s="321"/>
      <c r="AD916" s="321"/>
    </row>
    <row r="917">
      <c r="A917" s="321"/>
      <c r="B917" s="321"/>
      <c r="C917" s="321"/>
      <c r="D917" s="321"/>
      <c r="E917" s="321"/>
      <c r="F917" s="321"/>
      <c r="G917" s="454"/>
      <c r="H917" s="454"/>
      <c r="I917" s="454"/>
      <c r="J917" s="454"/>
      <c r="K917" s="321"/>
      <c r="L917" s="321"/>
      <c r="M917" s="321"/>
      <c r="N917" s="321"/>
      <c r="O917" s="321"/>
      <c r="P917" s="321"/>
      <c r="Q917" s="321"/>
      <c r="R917" s="321"/>
      <c r="S917" s="321"/>
      <c r="T917" s="321"/>
      <c r="U917" s="321"/>
      <c r="V917" s="321"/>
      <c r="W917" s="321"/>
      <c r="X917" s="321"/>
      <c r="Y917" s="321"/>
      <c r="Z917" s="321"/>
      <c r="AA917" s="321"/>
      <c r="AB917" s="321"/>
      <c r="AC917" s="321"/>
      <c r="AD917" s="321"/>
    </row>
    <row r="918">
      <c r="A918" s="321"/>
      <c r="B918" s="321"/>
      <c r="C918" s="321"/>
      <c r="D918" s="321"/>
      <c r="E918" s="321"/>
      <c r="F918" s="321"/>
      <c r="G918" s="454"/>
      <c r="H918" s="454"/>
      <c r="I918" s="454"/>
      <c r="J918" s="454"/>
      <c r="K918" s="321"/>
      <c r="L918" s="321"/>
      <c r="M918" s="321"/>
      <c r="N918" s="321"/>
      <c r="O918" s="321"/>
      <c r="P918" s="321"/>
      <c r="Q918" s="321"/>
      <c r="R918" s="321"/>
      <c r="S918" s="321"/>
      <c r="T918" s="321"/>
      <c r="U918" s="321"/>
      <c r="V918" s="321"/>
      <c r="W918" s="321"/>
      <c r="X918" s="321"/>
      <c r="Y918" s="321"/>
      <c r="Z918" s="321"/>
      <c r="AA918" s="321"/>
      <c r="AB918" s="321"/>
      <c r="AC918" s="321"/>
      <c r="AD918" s="321"/>
    </row>
    <row r="919">
      <c r="A919" s="321"/>
      <c r="B919" s="321"/>
      <c r="C919" s="321"/>
      <c r="D919" s="321"/>
      <c r="E919" s="321"/>
      <c r="F919" s="321"/>
      <c r="G919" s="454"/>
      <c r="H919" s="454"/>
      <c r="I919" s="454"/>
      <c r="J919" s="454"/>
      <c r="K919" s="321"/>
      <c r="L919" s="321"/>
      <c r="M919" s="321"/>
      <c r="N919" s="321"/>
      <c r="O919" s="321"/>
      <c r="P919" s="321"/>
      <c r="Q919" s="321"/>
      <c r="R919" s="321"/>
      <c r="S919" s="321"/>
      <c r="T919" s="321"/>
      <c r="U919" s="321"/>
      <c r="V919" s="321"/>
      <c r="W919" s="321"/>
      <c r="X919" s="321"/>
      <c r="Y919" s="321"/>
      <c r="Z919" s="321"/>
      <c r="AA919" s="321"/>
      <c r="AB919" s="321"/>
      <c r="AC919" s="321"/>
      <c r="AD919" s="321"/>
    </row>
    <row r="920">
      <c r="A920" s="321"/>
      <c r="B920" s="321"/>
      <c r="C920" s="321"/>
      <c r="D920" s="321"/>
      <c r="E920" s="321"/>
      <c r="F920" s="321"/>
      <c r="G920" s="454"/>
      <c r="H920" s="454"/>
      <c r="I920" s="454"/>
      <c r="J920" s="454"/>
      <c r="K920" s="321"/>
      <c r="L920" s="321"/>
      <c r="M920" s="321"/>
      <c r="N920" s="321"/>
      <c r="O920" s="321"/>
      <c r="P920" s="321"/>
      <c r="Q920" s="321"/>
      <c r="R920" s="321"/>
      <c r="S920" s="321"/>
      <c r="T920" s="321"/>
      <c r="U920" s="321"/>
      <c r="V920" s="321"/>
      <c r="W920" s="321"/>
      <c r="X920" s="321"/>
      <c r="Y920" s="321"/>
      <c r="Z920" s="321"/>
      <c r="AA920" s="321"/>
      <c r="AB920" s="321"/>
      <c r="AC920" s="321"/>
      <c r="AD920" s="321"/>
    </row>
    <row r="921">
      <c r="A921" s="321"/>
      <c r="B921" s="321"/>
      <c r="C921" s="321"/>
      <c r="D921" s="321"/>
      <c r="E921" s="321"/>
      <c r="F921" s="321"/>
      <c r="G921" s="454"/>
      <c r="H921" s="454"/>
      <c r="I921" s="454"/>
      <c r="J921" s="454"/>
      <c r="K921" s="321"/>
      <c r="L921" s="321"/>
      <c r="M921" s="321"/>
      <c r="N921" s="321"/>
      <c r="O921" s="321"/>
      <c r="P921" s="321"/>
      <c r="Q921" s="321"/>
      <c r="R921" s="321"/>
      <c r="S921" s="321"/>
      <c r="T921" s="321"/>
      <c r="U921" s="321"/>
      <c r="V921" s="321"/>
      <c r="W921" s="321"/>
      <c r="X921" s="321"/>
      <c r="Y921" s="321"/>
      <c r="Z921" s="321"/>
      <c r="AA921" s="321"/>
      <c r="AB921" s="321"/>
      <c r="AC921" s="321"/>
      <c r="AD921" s="321"/>
    </row>
    <row r="922">
      <c r="A922" s="321"/>
      <c r="B922" s="321"/>
      <c r="C922" s="321"/>
      <c r="D922" s="321"/>
      <c r="E922" s="321"/>
      <c r="F922" s="321"/>
      <c r="G922" s="454"/>
      <c r="H922" s="454"/>
      <c r="I922" s="454"/>
      <c r="J922" s="454"/>
      <c r="K922" s="321"/>
      <c r="L922" s="321"/>
      <c r="M922" s="321"/>
      <c r="N922" s="321"/>
      <c r="O922" s="321"/>
      <c r="P922" s="321"/>
      <c r="Q922" s="321"/>
      <c r="R922" s="321"/>
      <c r="S922" s="321"/>
      <c r="T922" s="321"/>
      <c r="U922" s="321"/>
      <c r="V922" s="321"/>
      <c r="W922" s="321"/>
      <c r="X922" s="321"/>
      <c r="Y922" s="321"/>
      <c r="Z922" s="321"/>
      <c r="AA922" s="321"/>
      <c r="AB922" s="321"/>
      <c r="AC922" s="321"/>
      <c r="AD922" s="321"/>
    </row>
    <row r="923">
      <c r="A923" s="321"/>
      <c r="B923" s="321"/>
      <c r="C923" s="321"/>
      <c r="D923" s="321"/>
      <c r="E923" s="321"/>
      <c r="F923" s="321"/>
      <c r="G923" s="454"/>
      <c r="H923" s="454"/>
      <c r="I923" s="454"/>
      <c r="J923" s="454"/>
      <c r="K923" s="321"/>
      <c r="L923" s="321"/>
      <c r="M923" s="321"/>
      <c r="N923" s="321"/>
      <c r="O923" s="321"/>
      <c r="P923" s="321"/>
      <c r="Q923" s="321"/>
      <c r="R923" s="321"/>
      <c r="S923" s="321"/>
      <c r="T923" s="321"/>
      <c r="U923" s="321"/>
      <c r="V923" s="321"/>
      <c r="W923" s="321"/>
      <c r="X923" s="321"/>
      <c r="Y923" s="321"/>
      <c r="Z923" s="321"/>
      <c r="AA923" s="321"/>
      <c r="AB923" s="321"/>
      <c r="AC923" s="321"/>
      <c r="AD923" s="321"/>
    </row>
    <row r="924">
      <c r="A924" s="321"/>
      <c r="B924" s="321"/>
      <c r="C924" s="321"/>
      <c r="D924" s="321"/>
      <c r="E924" s="321"/>
      <c r="F924" s="321"/>
      <c r="G924" s="454"/>
      <c r="H924" s="454"/>
      <c r="I924" s="454"/>
      <c r="J924" s="454"/>
      <c r="K924" s="321"/>
      <c r="L924" s="321"/>
      <c r="M924" s="321"/>
      <c r="N924" s="321"/>
      <c r="O924" s="321"/>
      <c r="P924" s="321"/>
      <c r="Q924" s="321"/>
      <c r="R924" s="321"/>
      <c r="S924" s="321"/>
      <c r="T924" s="321"/>
      <c r="U924" s="321"/>
      <c r="V924" s="321"/>
      <c r="W924" s="321"/>
      <c r="X924" s="321"/>
      <c r="Y924" s="321"/>
      <c r="Z924" s="321"/>
      <c r="AA924" s="321"/>
      <c r="AB924" s="321"/>
      <c r="AC924" s="321"/>
      <c r="AD924" s="321"/>
    </row>
    <row r="925">
      <c r="A925" s="321"/>
      <c r="B925" s="321"/>
      <c r="C925" s="321"/>
      <c r="D925" s="321"/>
      <c r="E925" s="321"/>
      <c r="F925" s="321"/>
      <c r="G925" s="454"/>
      <c r="H925" s="454"/>
      <c r="I925" s="454"/>
      <c r="J925" s="454"/>
      <c r="K925" s="321"/>
      <c r="L925" s="321"/>
      <c r="M925" s="321"/>
      <c r="N925" s="321"/>
      <c r="O925" s="321"/>
      <c r="P925" s="321"/>
      <c r="Q925" s="321"/>
      <c r="R925" s="321"/>
      <c r="S925" s="321"/>
      <c r="T925" s="321"/>
      <c r="U925" s="321"/>
      <c r="V925" s="321"/>
      <c r="W925" s="321"/>
      <c r="X925" s="321"/>
      <c r="Y925" s="321"/>
      <c r="Z925" s="321"/>
      <c r="AA925" s="321"/>
      <c r="AB925" s="321"/>
      <c r="AC925" s="321"/>
      <c r="AD925" s="321"/>
    </row>
    <row r="926">
      <c r="A926" s="321"/>
      <c r="B926" s="321"/>
      <c r="C926" s="321"/>
      <c r="D926" s="321"/>
      <c r="E926" s="321"/>
      <c r="F926" s="321"/>
      <c r="G926" s="454"/>
      <c r="H926" s="454"/>
      <c r="I926" s="454"/>
      <c r="J926" s="454"/>
      <c r="K926" s="321"/>
      <c r="L926" s="321"/>
      <c r="M926" s="321"/>
      <c r="N926" s="321"/>
      <c r="O926" s="321"/>
      <c r="P926" s="321"/>
      <c r="Q926" s="321"/>
      <c r="R926" s="321"/>
      <c r="S926" s="321"/>
      <c r="T926" s="321"/>
      <c r="U926" s="321"/>
      <c r="V926" s="321"/>
      <c r="W926" s="321"/>
      <c r="X926" s="321"/>
      <c r="Y926" s="321"/>
      <c r="Z926" s="321"/>
      <c r="AA926" s="321"/>
      <c r="AB926" s="321"/>
      <c r="AC926" s="321"/>
      <c r="AD926" s="321"/>
    </row>
    <row r="927">
      <c r="A927" s="321"/>
      <c r="B927" s="321"/>
      <c r="C927" s="321"/>
      <c r="D927" s="321"/>
      <c r="E927" s="321"/>
      <c r="F927" s="321"/>
      <c r="G927" s="454"/>
      <c r="H927" s="454"/>
      <c r="I927" s="454"/>
      <c r="J927" s="454"/>
      <c r="K927" s="321"/>
      <c r="L927" s="321"/>
      <c r="M927" s="321"/>
      <c r="N927" s="321"/>
      <c r="O927" s="321"/>
      <c r="P927" s="321"/>
      <c r="Q927" s="321"/>
      <c r="R927" s="321"/>
      <c r="S927" s="321"/>
      <c r="T927" s="321"/>
      <c r="U927" s="321"/>
      <c r="V927" s="321"/>
      <c r="W927" s="321"/>
      <c r="X927" s="321"/>
      <c r="Y927" s="321"/>
      <c r="Z927" s="321"/>
      <c r="AA927" s="321"/>
      <c r="AB927" s="321"/>
      <c r="AC927" s="321"/>
      <c r="AD927" s="321"/>
    </row>
    <row r="928">
      <c r="A928" s="321"/>
      <c r="B928" s="321"/>
      <c r="C928" s="321"/>
      <c r="D928" s="321"/>
      <c r="E928" s="321"/>
      <c r="F928" s="321"/>
      <c r="G928" s="454"/>
      <c r="H928" s="454"/>
      <c r="I928" s="454"/>
      <c r="J928" s="454"/>
      <c r="K928" s="321"/>
      <c r="L928" s="321"/>
      <c r="M928" s="321"/>
      <c r="N928" s="321"/>
      <c r="O928" s="321"/>
      <c r="P928" s="321"/>
      <c r="Q928" s="321"/>
      <c r="R928" s="321"/>
      <c r="S928" s="321"/>
      <c r="T928" s="321"/>
      <c r="U928" s="321"/>
      <c r="V928" s="321"/>
      <c r="W928" s="321"/>
      <c r="X928" s="321"/>
      <c r="Y928" s="321"/>
      <c r="Z928" s="321"/>
      <c r="AA928" s="321"/>
      <c r="AB928" s="321"/>
      <c r="AC928" s="321"/>
      <c r="AD928" s="321"/>
    </row>
    <row r="929">
      <c r="A929" s="321"/>
      <c r="B929" s="321"/>
      <c r="C929" s="321"/>
      <c r="D929" s="321"/>
      <c r="E929" s="321"/>
      <c r="F929" s="321"/>
      <c r="G929" s="454"/>
      <c r="H929" s="454"/>
      <c r="I929" s="454"/>
      <c r="J929" s="454"/>
      <c r="K929" s="321"/>
      <c r="L929" s="321"/>
      <c r="M929" s="321"/>
      <c r="N929" s="321"/>
      <c r="O929" s="321"/>
      <c r="P929" s="321"/>
      <c r="Q929" s="321"/>
      <c r="R929" s="321"/>
      <c r="S929" s="321"/>
      <c r="T929" s="321"/>
      <c r="U929" s="321"/>
      <c r="V929" s="321"/>
      <c r="W929" s="321"/>
      <c r="X929" s="321"/>
      <c r="Y929" s="321"/>
      <c r="Z929" s="321"/>
      <c r="AA929" s="321"/>
      <c r="AB929" s="321"/>
      <c r="AC929" s="321"/>
      <c r="AD929" s="321"/>
    </row>
    <row r="930">
      <c r="A930" s="321"/>
      <c r="B930" s="321"/>
      <c r="C930" s="321"/>
      <c r="D930" s="321"/>
      <c r="E930" s="321"/>
      <c r="F930" s="321"/>
      <c r="G930" s="454"/>
      <c r="H930" s="454"/>
      <c r="I930" s="454"/>
      <c r="J930" s="454"/>
      <c r="K930" s="321"/>
      <c r="L930" s="321"/>
      <c r="M930" s="321"/>
      <c r="N930" s="321"/>
      <c r="O930" s="321"/>
      <c r="P930" s="321"/>
      <c r="Q930" s="321"/>
      <c r="R930" s="321"/>
      <c r="S930" s="321"/>
      <c r="T930" s="321"/>
      <c r="U930" s="321"/>
      <c r="V930" s="321"/>
      <c r="W930" s="321"/>
      <c r="X930" s="321"/>
      <c r="Y930" s="321"/>
      <c r="Z930" s="321"/>
      <c r="AA930" s="321"/>
      <c r="AB930" s="321"/>
      <c r="AC930" s="321"/>
      <c r="AD930" s="321"/>
    </row>
    <row r="931">
      <c r="A931" s="321"/>
      <c r="B931" s="321"/>
      <c r="C931" s="321"/>
      <c r="D931" s="321"/>
      <c r="E931" s="321"/>
      <c r="F931" s="321"/>
      <c r="G931" s="454"/>
      <c r="H931" s="454"/>
      <c r="I931" s="454"/>
      <c r="J931" s="454"/>
      <c r="K931" s="321"/>
      <c r="L931" s="321"/>
      <c r="M931" s="321"/>
      <c r="N931" s="321"/>
      <c r="O931" s="321"/>
      <c r="P931" s="321"/>
      <c r="Q931" s="321"/>
      <c r="R931" s="321"/>
      <c r="S931" s="321"/>
      <c r="T931" s="321"/>
      <c r="U931" s="321"/>
      <c r="V931" s="321"/>
      <c r="W931" s="321"/>
      <c r="X931" s="321"/>
      <c r="Y931" s="321"/>
      <c r="Z931" s="321"/>
      <c r="AA931" s="321"/>
      <c r="AB931" s="321"/>
      <c r="AC931" s="321"/>
      <c r="AD931" s="321"/>
    </row>
    <row r="932">
      <c r="A932" s="321"/>
      <c r="B932" s="321"/>
      <c r="C932" s="321"/>
      <c r="D932" s="321"/>
      <c r="E932" s="321"/>
      <c r="F932" s="321"/>
      <c r="G932" s="454"/>
      <c r="H932" s="454"/>
      <c r="I932" s="454"/>
      <c r="J932" s="454"/>
      <c r="K932" s="321"/>
      <c r="L932" s="321"/>
      <c r="M932" s="321"/>
      <c r="N932" s="321"/>
      <c r="O932" s="321"/>
      <c r="P932" s="321"/>
      <c r="Q932" s="321"/>
      <c r="R932" s="321"/>
      <c r="S932" s="321"/>
      <c r="T932" s="321"/>
      <c r="U932" s="321"/>
      <c r="V932" s="321"/>
      <c r="W932" s="321"/>
      <c r="X932" s="321"/>
      <c r="Y932" s="321"/>
      <c r="Z932" s="321"/>
      <c r="AA932" s="321"/>
      <c r="AB932" s="321"/>
      <c r="AC932" s="321"/>
      <c r="AD932" s="321"/>
    </row>
    <row r="933">
      <c r="A933" s="321"/>
      <c r="B933" s="321"/>
      <c r="C933" s="321"/>
      <c r="D933" s="321"/>
      <c r="E933" s="321"/>
      <c r="F933" s="321"/>
      <c r="G933" s="454"/>
      <c r="H933" s="454"/>
      <c r="I933" s="454"/>
      <c r="J933" s="454"/>
      <c r="K933" s="321"/>
      <c r="L933" s="321"/>
      <c r="M933" s="321"/>
      <c r="N933" s="321"/>
      <c r="O933" s="321"/>
      <c r="P933" s="321"/>
      <c r="Q933" s="321"/>
      <c r="R933" s="321"/>
      <c r="S933" s="321"/>
      <c r="T933" s="321"/>
      <c r="U933" s="321"/>
      <c r="V933" s="321"/>
      <c r="W933" s="321"/>
      <c r="X933" s="321"/>
      <c r="Y933" s="321"/>
      <c r="Z933" s="321"/>
      <c r="AA933" s="321"/>
      <c r="AB933" s="321"/>
      <c r="AC933" s="321"/>
      <c r="AD933" s="321"/>
    </row>
    <row r="934">
      <c r="A934" s="321"/>
      <c r="B934" s="321"/>
      <c r="C934" s="321"/>
      <c r="D934" s="321"/>
      <c r="E934" s="321"/>
      <c r="F934" s="321"/>
      <c r="G934" s="454"/>
      <c r="H934" s="454"/>
      <c r="I934" s="454"/>
      <c r="J934" s="454"/>
      <c r="K934" s="321"/>
      <c r="L934" s="321"/>
      <c r="M934" s="321"/>
      <c r="N934" s="321"/>
      <c r="O934" s="321"/>
      <c r="P934" s="321"/>
      <c r="Q934" s="321"/>
      <c r="R934" s="321"/>
      <c r="S934" s="321"/>
      <c r="T934" s="321"/>
      <c r="U934" s="321"/>
      <c r="V934" s="321"/>
      <c r="W934" s="321"/>
      <c r="X934" s="321"/>
      <c r="Y934" s="321"/>
      <c r="Z934" s="321"/>
      <c r="AA934" s="321"/>
      <c r="AB934" s="321"/>
      <c r="AC934" s="321"/>
      <c r="AD934" s="321"/>
    </row>
    <row r="935">
      <c r="A935" s="321"/>
      <c r="B935" s="321"/>
      <c r="C935" s="321"/>
      <c r="D935" s="321"/>
      <c r="E935" s="321"/>
      <c r="F935" s="321"/>
      <c r="G935" s="454"/>
      <c r="H935" s="454"/>
      <c r="I935" s="454"/>
      <c r="J935" s="454"/>
      <c r="K935" s="321"/>
      <c r="L935" s="321"/>
      <c r="M935" s="321"/>
      <c r="N935" s="321"/>
      <c r="O935" s="321"/>
      <c r="P935" s="321"/>
      <c r="Q935" s="321"/>
      <c r="R935" s="321"/>
      <c r="S935" s="321"/>
      <c r="T935" s="321"/>
      <c r="U935" s="321"/>
      <c r="V935" s="321"/>
      <c r="W935" s="321"/>
      <c r="X935" s="321"/>
      <c r="Y935" s="321"/>
      <c r="Z935" s="321"/>
      <c r="AA935" s="321"/>
      <c r="AB935" s="321"/>
      <c r="AC935" s="321"/>
      <c r="AD935" s="321"/>
    </row>
    <row r="936">
      <c r="A936" s="321"/>
      <c r="B936" s="321"/>
      <c r="C936" s="321"/>
      <c r="D936" s="321"/>
      <c r="E936" s="321"/>
      <c r="F936" s="321"/>
      <c r="G936" s="454"/>
      <c r="H936" s="454"/>
      <c r="I936" s="454"/>
      <c r="J936" s="454"/>
      <c r="K936" s="321"/>
      <c r="L936" s="321"/>
      <c r="M936" s="321"/>
      <c r="N936" s="321"/>
      <c r="O936" s="321"/>
      <c r="P936" s="321"/>
      <c r="Q936" s="321"/>
      <c r="R936" s="321"/>
      <c r="S936" s="321"/>
      <c r="T936" s="321"/>
      <c r="U936" s="321"/>
      <c r="V936" s="321"/>
      <c r="W936" s="321"/>
      <c r="X936" s="321"/>
      <c r="Y936" s="321"/>
      <c r="Z936" s="321"/>
      <c r="AA936" s="321"/>
      <c r="AB936" s="321"/>
      <c r="AC936" s="321"/>
      <c r="AD936" s="321"/>
    </row>
    <row r="937">
      <c r="A937" s="321"/>
      <c r="B937" s="321"/>
      <c r="C937" s="321"/>
      <c r="D937" s="321"/>
      <c r="E937" s="321"/>
      <c r="F937" s="321"/>
      <c r="G937" s="454"/>
      <c r="H937" s="454"/>
      <c r="I937" s="454"/>
      <c r="J937" s="454"/>
      <c r="K937" s="321"/>
      <c r="L937" s="321"/>
      <c r="M937" s="321"/>
      <c r="N937" s="321"/>
      <c r="O937" s="321"/>
      <c r="P937" s="321"/>
      <c r="Q937" s="321"/>
      <c r="R937" s="321"/>
      <c r="S937" s="321"/>
      <c r="T937" s="321"/>
      <c r="U937" s="321"/>
      <c r="V937" s="321"/>
      <c r="W937" s="321"/>
      <c r="X937" s="321"/>
      <c r="Y937" s="321"/>
      <c r="Z937" s="321"/>
      <c r="AA937" s="321"/>
      <c r="AB937" s="321"/>
      <c r="AC937" s="321"/>
      <c r="AD937" s="321"/>
    </row>
    <row r="938">
      <c r="A938" s="321"/>
      <c r="B938" s="321"/>
      <c r="C938" s="321"/>
      <c r="D938" s="321"/>
      <c r="E938" s="321"/>
      <c r="F938" s="321"/>
      <c r="G938" s="454"/>
      <c r="H938" s="454"/>
      <c r="I938" s="454"/>
      <c r="J938" s="454"/>
      <c r="K938" s="321"/>
      <c r="L938" s="321"/>
      <c r="M938" s="321"/>
      <c r="N938" s="321"/>
      <c r="O938" s="321"/>
      <c r="P938" s="321"/>
      <c r="Q938" s="321"/>
      <c r="R938" s="321"/>
      <c r="S938" s="321"/>
      <c r="T938" s="321"/>
      <c r="U938" s="321"/>
      <c r="V938" s="321"/>
      <c r="W938" s="321"/>
      <c r="X938" s="321"/>
      <c r="Y938" s="321"/>
      <c r="Z938" s="321"/>
      <c r="AA938" s="321"/>
      <c r="AB938" s="321"/>
      <c r="AC938" s="321"/>
      <c r="AD938" s="321"/>
    </row>
    <row r="939">
      <c r="A939" s="321"/>
      <c r="B939" s="321"/>
      <c r="C939" s="321"/>
      <c r="D939" s="321"/>
      <c r="E939" s="321"/>
      <c r="F939" s="321"/>
      <c r="G939" s="454"/>
      <c r="H939" s="454"/>
      <c r="I939" s="454"/>
      <c r="J939" s="454"/>
      <c r="K939" s="321"/>
      <c r="L939" s="321"/>
      <c r="M939" s="321"/>
      <c r="N939" s="321"/>
      <c r="O939" s="321"/>
      <c r="P939" s="321"/>
      <c r="Q939" s="321"/>
      <c r="R939" s="321"/>
      <c r="S939" s="321"/>
      <c r="T939" s="321"/>
      <c r="U939" s="321"/>
      <c r="V939" s="321"/>
      <c r="W939" s="321"/>
      <c r="X939" s="321"/>
      <c r="Y939" s="321"/>
      <c r="Z939" s="321"/>
      <c r="AA939" s="321"/>
      <c r="AB939" s="321"/>
      <c r="AC939" s="321"/>
      <c r="AD939" s="321"/>
    </row>
    <row r="940">
      <c r="A940" s="321"/>
      <c r="B940" s="321"/>
      <c r="C940" s="321"/>
      <c r="D940" s="321"/>
      <c r="E940" s="321"/>
      <c r="F940" s="321"/>
      <c r="G940" s="454"/>
      <c r="H940" s="454"/>
      <c r="I940" s="454"/>
      <c r="J940" s="454"/>
      <c r="K940" s="321"/>
      <c r="L940" s="321"/>
      <c r="M940" s="321"/>
      <c r="N940" s="321"/>
      <c r="O940" s="321"/>
      <c r="P940" s="321"/>
      <c r="Q940" s="321"/>
      <c r="R940" s="321"/>
      <c r="S940" s="321"/>
      <c r="T940" s="321"/>
      <c r="U940" s="321"/>
      <c r="V940" s="321"/>
      <c r="W940" s="321"/>
      <c r="X940" s="321"/>
      <c r="Y940" s="321"/>
      <c r="Z940" s="321"/>
      <c r="AA940" s="321"/>
      <c r="AB940" s="321"/>
      <c r="AC940" s="321"/>
      <c r="AD940" s="321"/>
    </row>
    <row r="941">
      <c r="A941" s="321"/>
      <c r="B941" s="321"/>
      <c r="C941" s="321"/>
      <c r="D941" s="321"/>
      <c r="E941" s="321"/>
      <c r="F941" s="321"/>
      <c r="G941" s="454"/>
      <c r="H941" s="454"/>
      <c r="I941" s="454"/>
      <c r="J941" s="454"/>
      <c r="K941" s="321"/>
      <c r="L941" s="321"/>
      <c r="M941" s="321"/>
      <c r="N941" s="321"/>
      <c r="O941" s="321"/>
      <c r="P941" s="321"/>
      <c r="Q941" s="321"/>
      <c r="R941" s="321"/>
      <c r="S941" s="321"/>
      <c r="T941" s="321"/>
      <c r="U941" s="321"/>
      <c r="V941" s="321"/>
      <c r="W941" s="321"/>
      <c r="X941" s="321"/>
      <c r="Y941" s="321"/>
      <c r="Z941" s="321"/>
      <c r="AA941" s="321"/>
      <c r="AB941" s="321"/>
      <c r="AC941" s="321"/>
      <c r="AD941" s="321"/>
    </row>
    <row r="942">
      <c r="A942" s="321"/>
      <c r="B942" s="321"/>
      <c r="C942" s="321"/>
      <c r="D942" s="321"/>
      <c r="E942" s="321"/>
      <c r="F942" s="321"/>
      <c r="G942" s="454"/>
      <c r="H942" s="454"/>
      <c r="I942" s="454"/>
      <c r="J942" s="454"/>
      <c r="K942" s="321"/>
      <c r="L942" s="321"/>
      <c r="M942" s="321"/>
      <c r="N942" s="321"/>
      <c r="O942" s="321"/>
      <c r="P942" s="321"/>
      <c r="Q942" s="321"/>
      <c r="R942" s="321"/>
      <c r="S942" s="321"/>
      <c r="T942" s="321"/>
      <c r="U942" s="321"/>
      <c r="V942" s="321"/>
      <c r="W942" s="321"/>
      <c r="X942" s="321"/>
      <c r="Y942" s="321"/>
      <c r="Z942" s="321"/>
      <c r="AA942" s="321"/>
      <c r="AB942" s="321"/>
      <c r="AC942" s="321"/>
      <c r="AD942" s="321"/>
    </row>
    <row r="943">
      <c r="A943" s="321"/>
      <c r="B943" s="321"/>
      <c r="C943" s="321"/>
      <c r="D943" s="321"/>
      <c r="E943" s="321"/>
      <c r="F943" s="321"/>
      <c r="G943" s="454"/>
      <c r="H943" s="454"/>
      <c r="I943" s="454"/>
      <c r="J943" s="454"/>
      <c r="K943" s="321"/>
      <c r="L943" s="321"/>
      <c r="M943" s="321"/>
      <c r="N943" s="321"/>
      <c r="O943" s="321"/>
      <c r="P943" s="321"/>
      <c r="Q943" s="321"/>
      <c r="R943" s="321"/>
      <c r="S943" s="321"/>
      <c r="T943" s="321"/>
      <c r="U943" s="321"/>
      <c r="V943" s="321"/>
      <c r="W943" s="321"/>
      <c r="X943" s="321"/>
      <c r="Y943" s="321"/>
      <c r="Z943" s="321"/>
      <c r="AA943" s="321"/>
      <c r="AB943" s="321"/>
      <c r="AC943" s="321"/>
      <c r="AD943" s="321"/>
    </row>
    <row r="944">
      <c r="A944" s="321"/>
      <c r="B944" s="321"/>
      <c r="C944" s="321"/>
      <c r="D944" s="321"/>
      <c r="E944" s="321"/>
      <c r="F944" s="321"/>
      <c r="G944" s="454"/>
      <c r="H944" s="454"/>
      <c r="I944" s="454"/>
      <c r="J944" s="454"/>
      <c r="K944" s="321"/>
      <c r="L944" s="321"/>
      <c r="M944" s="321"/>
      <c r="N944" s="321"/>
      <c r="O944" s="321"/>
      <c r="P944" s="321"/>
      <c r="Q944" s="321"/>
      <c r="R944" s="321"/>
      <c r="S944" s="321"/>
      <c r="T944" s="321"/>
      <c r="U944" s="321"/>
      <c r="V944" s="321"/>
      <c r="W944" s="321"/>
      <c r="X944" s="321"/>
      <c r="Y944" s="321"/>
      <c r="Z944" s="321"/>
      <c r="AA944" s="321"/>
      <c r="AB944" s="321"/>
      <c r="AC944" s="321"/>
      <c r="AD944" s="321"/>
    </row>
    <row r="945">
      <c r="A945" s="321"/>
      <c r="B945" s="321"/>
      <c r="C945" s="321"/>
      <c r="D945" s="321"/>
      <c r="E945" s="321"/>
      <c r="F945" s="321"/>
      <c r="G945" s="454"/>
      <c r="H945" s="454"/>
      <c r="I945" s="454"/>
      <c r="J945" s="454"/>
      <c r="K945" s="321"/>
      <c r="L945" s="321"/>
      <c r="M945" s="321"/>
      <c r="N945" s="321"/>
      <c r="O945" s="321"/>
      <c r="P945" s="321"/>
      <c r="Q945" s="321"/>
      <c r="R945" s="321"/>
      <c r="S945" s="321"/>
      <c r="T945" s="321"/>
      <c r="U945" s="321"/>
      <c r="V945" s="321"/>
      <c r="W945" s="321"/>
      <c r="X945" s="321"/>
      <c r="Y945" s="321"/>
      <c r="Z945" s="321"/>
      <c r="AA945" s="321"/>
      <c r="AB945" s="321"/>
      <c r="AC945" s="321"/>
      <c r="AD945" s="321"/>
    </row>
    <row r="946">
      <c r="A946" s="321"/>
      <c r="B946" s="321"/>
      <c r="C946" s="321"/>
      <c r="D946" s="321"/>
      <c r="E946" s="321"/>
      <c r="F946" s="321"/>
      <c r="G946" s="454"/>
      <c r="H946" s="454"/>
      <c r="I946" s="454"/>
      <c r="J946" s="454"/>
      <c r="K946" s="321"/>
      <c r="L946" s="321"/>
      <c r="M946" s="321"/>
      <c r="N946" s="321"/>
      <c r="O946" s="321"/>
      <c r="P946" s="321"/>
      <c r="Q946" s="321"/>
      <c r="R946" s="321"/>
      <c r="S946" s="321"/>
      <c r="T946" s="321"/>
      <c r="U946" s="321"/>
      <c r="V946" s="321"/>
      <c r="W946" s="321"/>
      <c r="X946" s="321"/>
      <c r="Y946" s="321"/>
      <c r="Z946" s="321"/>
      <c r="AA946" s="321"/>
      <c r="AB946" s="321"/>
      <c r="AC946" s="321"/>
      <c r="AD946" s="321"/>
    </row>
    <row r="947">
      <c r="A947" s="321"/>
      <c r="B947" s="321"/>
      <c r="C947" s="321"/>
      <c r="D947" s="321"/>
      <c r="E947" s="321"/>
      <c r="F947" s="321"/>
      <c r="G947" s="454"/>
      <c r="H947" s="454"/>
      <c r="I947" s="454"/>
      <c r="J947" s="454"/>
      <c r="K947" s="321"/>
      <c r="L947" s="321"/>
      <c r="M947" s="321"/>
      <c r="N947" s="321"/>
      <c r="O947" s="321"/>
      <c r="P947" s="321"/>
      <c r="Q947" s="321"/>
      <c r="R947" s="321"/>
      <c r="S947" s="321"/>
      <c r="T947" s="321"/>
      <c r="U947" s="321"/>
      <c r="V947" s="321"/>
      <c r="W947" s="321"/>
      <c r="X947" s="321"/>
      <c r="Y947" s="321"/>
      <c r="Z947" s="321"/>
      <c r="AA947" s="321"/>
      <c r="AB947" s="321"/>
      <c r="AC947" s="321"/>
      <c r="AD947" s="321"/>
    </row>
    <row r="948">
      <c r="A948" s="321"/>
      <c r="B948" s="321"/>
      <c r="C948" s="321"/>
      <c r="D948" s="321"/>
      <c r="E948" s="321"/>
      <c r="F948" s="321"/>
      <c r="G948" s="454"/>
      <c r="H948" s="454"/>
      <c r="I948" s="454"/>
      <c r="J948" s="454"/>
      <c r="K948" s="321"/>
      <c r="L948" s="321"/>
      <c r="M948" s="321"/>
      <c r="N948" s="321"/>
      <c r="O948" s="321"/>
      <c r="P948" s="321"/>
      <c r="Q948" s="321"/>
      <c r="R948" s="321"/>
      <c r="S948" s="321"/>
      <c r="T948" s="321"/>
      <c r="U948" s="321"/>
      <c r="V948" s="321"/>
      <c r="W948" s="321"/>
      <c r="X948" s="321"/>
      <c r="Y948" s="321"/>
      <c r="Z948" s="321"/>
      <c r="AA948" s="321"/>
      <c r="AB948" s="321"/>
      <c r="AC948" s="321"/>
      <c r="AD948" s="321"/>
    </row>
    <row r="949">
      <c r="A949" s="321"/>
      <c r="B949" s="321"/>
      <c r="C949" s="321"/>
      <c r="D949" s="321"/>
      <c r="E949" s="321"/>
      <c r="F949" s="321"/>
      <c r="G949" s="454"/>
      <c r="H949" s="454"/>
      <c r="I949" s="454"/>
      <c r="J949" s="454"/>
      <c r="K949" s="321"/>
      <c r="L949" s="321"/>
      <c r="M949" s="321"/>
      <c r="N949" s="321"/>
      <c r="O949" s="321"/>
      <c r="P949" s="321"/>
      <c r="Q949" s="321"/>
      <c r="R949" s="321"/>
      <c r="S949" s="321"/>
      <c r="T949" s="321"/>
      <c r="U949" s="321"/>
      <c r="V949" s="321"/>
      <c r="W949" s="321"/>
      <c r="X949" s="321"/>
      <c r="Y949" s="321"/>
      <c r="Z949" s="321"/>
      <c r="AA949" s="321"/>
      <c r="AB949" s="321"/>
      <c r="AC949" s="321"/>
      <c r="AD949" s="321"/>
    </row>
    <row r="950">
      <c r="A950" s="321"/>
      <c r="B950" s="321"/>
      <c r="C950" s="321"/>
      <c r="D950" s="321"/>
      <c r="E950" s="321"/>
      <c r="F950" s="321"/>
      <c r="G950" s="454"/>
      <c r="H950" s="454"/>
      <c r="I950" s="454"/>
      <c r="J950" s="454"/>
      <c r="K950" s="321"/>
      <c r="L950" s="321"/>
      <c r="M950" s="321"/>
      <c r="N950" s="321"/>
      <c r="O950" s="321"/>
      <c r="P950" s="321"/>
      <c r="Q950" s="321"/>
      <c r="R950" s="321"/>
      <c r="S950" s="321"/>
      <c r="T950" s="321"/>
      <c r="U950" s="321"/>
      <c r="V950" s="321"/>
      <c r="W950" s="321"/>
      <c r="X950" s="321"/>
      <c r="Y950" s="321"/>
      <c r="Z950" s="321"/>
      <c r="AA950" s="321"/>
      <c r="AB950" s="321"/>
      <c r="AC950" s="321"/>
      <c r="AD950" s="321"/>
    </row>
    <row r="951">
      <c r="A951" s="321"/>
      <c r="B951" s="321"/>
      <c r="C951" s="321"/>
      <c r="D951" s="321"/>
      <c r="E951" s="321"/>
      <c r="F951" s="321"/>
      <c r="G951" s="454"/>
      <c r="H951" s="454"/>
      <c r="I951" s="454"/>
      <c r="J951" s="454"/>
      <c r="K951" s="321"/>
      <c r="L951" s="321"/>
      <c r="M951" s="321"/>
      <c r="N951" s="321"/>
      <c r="O951" s="321"/>
      <c r="P951" s="321"/>
      <c r="Q951" s="321"/>
      <c r="R951" s="321"/>
      <c r="S951" s="321"/>
      <c r="T951" s="321"/>
      <c r="U951" s="321"/>
      <c r="V951" s="321"/>
      <c r="W951" s="321"/>
      <c r="X951" s="321"/>
      <c r="Y951" s="321"/>
      <c r="Z951" s="321"/>
      <c r="AA951" s="321"/>
      <c r="AB951" s="321"/>
      <c r="AC951" s="321"/>
      <c r="AD951" s="321"/>
    </row>
    <row r="952">
      <c r="A952" s="321"/>
      <c r="B952" s="321"/>
      <c r="C952" s="321"/>
      <c r="D952" s="321"/>
      <c r="E952" s="321"/>
      <c r="F952" s="321"/>
      <c r="G952" s="454"/>
      <c r="H952" s="454"/>
      <c r="I952" s="454"/>
      <c r="J952" s="454"/>
      <c r="K952" s="321"/>
      <c r="L952" s="321"/>
      <c r="M952" s="321"/>
      <c r="N952" s="321"/>
      <c r="O952" s="321"/>
      <c r="P952" s="321"/>
      <c r="Q952" s="321"/>
      <c r="R952" s="321"/>
      <c r="S952" s="321"/>
      <c r="T952" s="321"/>
      <c r="U952" s="321"/>
      <c r="V952" s="321"/>
      <c r="W952" s="321"/>
      <c r="X952" s="321"/>
      <c r="Y952" s="321"/>
      <c r="Z952" s="321"/>
      <c r="AA952" s="321"/>
      <c r="AB952" s="321"/>
      <c r="AC952" s="321"/>
      <c r="AD952" s="321"/>
    </row>
    <row r="953">
      <c r="A953" s="321"/>
      <c r="B953" s="321"/>
      <c r="C953" s="321"/>
      <c r="D953" s="321"/>
      <c r="E953" s="321"/>
      <c r="F953" s="321"/>
      <c r="G953" s="454"/>
      <c r="H953" s="454"/>
      <c r="I953" s="454"/>
      <c r="J953" s="454"/>
      <c r="K953" s="321"/>
      <c r="L953" s="321"/>
      <c r="M953" s="321"/>
      <c r="N953" s="321"/>
      <c r="O953" s="321"/>
      <c r="P953" s="321"/>
      <c r="Q953" s="321"/>
      <c r="R953" s="321"/>
      <c r="S953" s="321"/>
      <c r="T953" s="321"/>
      <c r="U953" s="321"/>
      <c r="V953" s="321"/>
      <c r="W953" s="321"/>
      <c r="X953" s="321"/>
      <c r="Y953" s="321"/>
      <c r="Z953" s="321"/>
      <c r="AA953" s="321"/>
      <c r="AB953" s="321"/>
      <c r="AC953" s="321"/>
      <c r="AD953" s="321"/>
    </row>
    <row r="954">
      <c r="A954" s="321"/>
      <c r="B954" s="321"/>
      <c r="C954" s="321"/>
      <c r="D954" s="321"/>
      <c r="E954" s="321"/>
      <c r="F954" s="321"/>
      <c r="G954" s="454"/>
      <c r="H954" s="454"/>
      <c r="I954" s="454"/>
      <c r="J954" s="454"/>
      <c r="K954" s="321"/>
      <c r="L954" s="321"/>
      <c r="M954" s="321"/>
      <c r="N954" s="321"/>
      <c r="O954" s="321"/>
      <c r="P954" s="321"/>
      <c r="Q954" s="321"/>
      <c r="R954" s="321"/>
      <c r="S954" s="321"/>
      <c r="T954" s="321"/>
      <c r="U954" s="321"/>
      <c r="V954" s="321"/>
      <c r="W954" s="321"/>
      <c r="X954" s="321"/>
      <c r="Y954" s="321"/>
      <c r="Z954" s="321"/>
      <c r="AA954" s="321"/>
      <c r="AB954" s="321"/>
      <c r="AC954" s="321"/>
      <c r="AD954" s="321"/>
    </row>
    <row r="955">
      <c r="A955" s="321"/>
      <c r="B955" s="321"/>
      <c r="C955" s="321"/>
      <c r="D955" s="321"/>
      <c r="E955" s="321"/>
      <c r="F955" s="321"/>
      <c r="G955" s="454"/>
      <c r="H955" s="454"/>
      <c r="I955" s="454"/>
      <c r="J955" s="454"/>
      <c r="K955" s="321"/>
      <c r="L955" s="321"/>
      <c r="M955" s="321"/>
      <c r="N955" s="321"/>
      <c r="O955" s="321"/>
      <c r="P955" s="321"/>
      <c r="Q955" s="321"/>
      <c r="R955" s="321"/>
      <c r="S955" s="321"/>
      <c r="T955" s="321"/>
      <c r="U955" s="321"/>
      <c r="V955" s="321"/>
      <c r="W955" s="321"/>
      <c r="X955" s="321"/>
      <c r="Y955" s="321"/>
      <c r="Z955" s="321"/>
      <c r="AA955" s="321"/>
      <c r="AB955" s="321"/>
      <c r="AC955" s="321"/>
      <c r="AD955" s="321"/>
    </row>
    <row r="956">
      <c r="A956" s="321"/>
      <c r="B956" s="321"/>
      <c r="C956" s="321"/>
      <c r="D956" s="321"/>
      <c r="E956" s="321"/>
      <c r="F956" s="321"/>
      <c r="G956" s="454"/>
      <c r="H956" s="454"/>
      <c r="I956" s="454"/>
      <c r="J956" s="454"/>
      <c r="K956" s="321"/>
      <c r="L956" s="321"/>
      <c r="M956" s="321"/>
      <c r="N956" s="321"/>
      <c r="O956" s="321"/>
      <c r="P956" s="321"/>
      <c r="Q956" s="321"/>
      <c r="R956" s="321"/>
      <c r="S956" s="321"/>
      <c r="T956" s="321"/>
      <c r="U956" s="321"/>
      <c r="V956" s="321"/>
      <c r="W956" s="321"/>
      <c r="X956" s="321"/>
      <c r="Y956" s="321"/>
      <c r="Z956" s="321"/>
      <c r="AA956" s="321"/>
      <c r="AB956" s="321"/>
      <c r="AC956" s="321"/>
      <c r="AD956" s="321"/>
    </row>
    <row r="957">
      <c r="A957" s="321"/>
      <c r="B957" s="321"/>
      <c r="C957" s="321"/>
      <c r="D957" s="321"/>
      <c r="E957" s="321"/>
      <c r="F957" s="321"/>
      <c r="G957" s="454"/>
      <c r="H957" s="454"/>
      <c r="I957" s="454"/>
      <c r="J957" s="454"/>
      <c r="K957" s="321"/>
      <c r="L957" s="321"/>
      <c r="M957" s="321"/>
      <c r="N957" s="321"/>
      <c r="O957" s="321"/>
      <c r="P957" s="321"/>
      <c r="Q957" s="321"/>
      <c r="R957" s="321"/>
      <c r="S957" s="321"/>
      <c r="T957" s="321"/>
      <c r="U957" s="321"/>
      <c r="V957" s="321"/>
      <c r="W957" s="321"/>
      <c r="X957" s="321"/>
      <c r="Y957" s="321"/>
      <c r="Z957" s="321"/>
      <c r="AA957" s="321"/>
      <c r="AB957" s="321"/>
      <c r="AC957" s="321"/>
      <c r="AD957" s="321"/>
    </row>
    <row r="958">
      <c r="A958" s="321"/>
      <c r="B958" s="321"/>
      <c r="C958" s="321"/>
      <c r="D958" s="321"/>
      <c r="E958" s="321"/>
      <c r="F958" s="321"/>
      <c r="G958" s="454"/>
      <c r="H958" s="454"/>
      <c r="I958" s="454"/>
      <c r="J958" s="454"/>
      <c r="K958" s="321"/>
      <c r="L958" s="321"/>
      <c r="M958" s="321"/>
      <c r="N958" s="321"/>
      <c r="O958" s="321"/>
      <c r="P958" s="321"/>
      <c r="Q958" s="321"/>
      <c r="R958" s="321"/>
      <c r="S958" s="321"/>
      <c r="T958" s="321"/>
      <c r="U958" s="321"/>
      <c r="V958" s="321"/>
      <c r="W958" s="321"/>
      <c r="X958" s="321"/>
      <c r="Y958" s="321"/>
      <c r="Z958" s="321"/>
      <c r="AA958" s="321"/>
      <c r="AB958" s="321"/>
      <c r="AC958" s="321"/>
      <c r="AD958" s="321"/>
    </row>
    <row r="959">
      <c r="A959" s="321"/>
      <c r="B959" s="321"/>
      <c r="C959" s="321"/>
      <c r="D959" s="321"/>
      <c r="E959" s="321"/>
      <c r="F959" s="321"/>
      <c r="G959" s="454"/>
      <c r="H959" s="454"/>
      <c r="I959" s="454"/>
      <c r="J959" s="454"/>
      <c r="K959" s="321"/>
      <c r="L959" s="321"/>
      <c r="M959" s="321"/>
      <c r="N959" s="321"/>
      <c r="O959" s="321"/>
      <c r="P959" s="321"/>
      <c r="Q959" s="321"/>
      <c r="R959" s="321"/>
      <c r="S959" s="321"/>
      <c r="T959" s="321"/>
      <c r="U959" s="321"/>
      <c r="V959" s="321"/>
      <c r="W959" s="321"/>
      <c r="X959" s="321"/>
      <c r="Y959" s="321"/>
      <c r="Z959" s="321"/>
      <c r="AA959" s="321"/>
      <c r="AB959" s="321"/>
      <c r="AC959" s="321"/>
      <c r="AD959" s="321"/>
    </row>
    <row r="960">
      <c r="A960" s="321"/>
      <c r="B960" s="321"/>
      <c r="C960" s="321"/>
      <c r="D960" s="321"/>
      <c r="E960" s="321"/>
      <c r="F960" s="321"/>
      <c r="G960" s="454"/>
      <c r="H960" s="454"/>
      <c r="I960" s="454"/>
      <c r="J960" s="454"/>
      <c r="K960" s="321"/>
      <c r="L960" s="321"/>
      <c r="M960" s="321"/>
      <c r="N960" s="321"/>
      <c r="O960" s="321"/>
      <c r="P960" s="321"/>
      <c r="Q960" s="321"/>
      <c r="R960" s="321"/>
      <c r="S960" s="321"/>
      <c r="T960" s="321"/>
      <c r="U960" s="321"/>
      <c r="V960" s="321"/>
      <c r="W960" s="321"/>
      <c r="X960" s="321"/>
      <c r="Y960" s="321"/>
      <c r="Z960" s="321"/>
      <c r="AA960" s="321"/>
      <c r="AB960" s="321"/>
      <c r="AC960" s="321"/>
      <c r="AD960" s="321"/>
    </row>
    <row r="961">
      <c r="A961" s="321"/>
      <c r="B961" s="321"/>
      <c r="C961" s="321"/>
      <c r="D961" s="321"/>
      <c r="E961" s="321"/>
      <c r="F961" s="321"/>
      <c r="G961" s="454"/>
      <c r="H961" s="454"/>
      <c r="I961" s="454"/>
      <c r="J961" s="454"/>
      <c r="K961" s="321"/>
      <c r="L961" s="321"/>
      <c r="M961" s="321"/>
      <c r="N961" s="321"/>
      <c r="O961" s="321"/>
      <c r="P961" s="321"/>
      <c r="Q961" s="321"/>
      <c r="R961" s="321"/>
      <c r="S961" s="321"/>
      <c r="T961" s="321"/>
      <c r="U961" s="321"/>
      <c r="V961" s="321"/>
      <c r="W961" s="321"/>
      <c r="X961" s="321"/>
      <c r="Y961" s="321"/>
      <c r="Z961" s="321"/>
      <c r="AA961" s="321"/>
      <c r="AB961" s="321"/>
      <c r="AC961" s="321"/>
      <c r="AD961" s="321"/>
    </row>
    <row r="962">
      <c r="A962" s="321"/>
      <c r="B962" s="321"/>
      <c r="C962" s="321"/>
      <c r="D962" s="321"/>
      <c r="E962" s="321"/>
      <c r="F962" s="321"/>
      <c r="G962" s="454"/>
      <c r="H962" s="454"/>
      <c r="I962" s="454"/>
      <c r="J962" s="454"/>
      <c r="K962" s="321"/>
      <c r="L962" s="321"/>
      <c r="M962" s="321"/>
      <c r="N962" s="321"/>
      <c r="O962" s="321"/>
      <c r="P962" s="321"/>
      <c r="Q962" s="321"/>
      <c r="R962" s="321"/>
      <c r="S962" s="321"/>
      <c r="T962" s="321"/>
      <c r="U962" s="321"/>
      <c r="V962" s="321"/>
      <c r="W962" s="321"/>
      <c r="X962" s="321"/>
      <c r="Y962" s="321"/>
      <c r="Z962" s="321"/>
      <c r="AA962" s="321"/>
      <c r="AB962" s="321"/>
      <c r="AC962" s="321"/>
      <c r="AD962" s="321"/>
    </row>
    <row r="963">
      <c r="A963" s="321"/>
      <c r="B963" s="321"/>
      <c r="C963" s="321"/>
      <c r="D963" s="321"/>
      <c r="E963" s="321"/>
      <c r="F963" s="321"/>
      <c r="G963" s="454"/>
      <c r="H963" s="454"/>
      <c r="I963" s="454"/>
      <c r="J963" s="454"/>
      <c r="K963" s="321"/>
      <c r="L963" s="321"/>
      <c r="M963" s="321"/>
      <c r="N963" s="321"/>
      <c r="O963" s="321"/>
      <c r="P963" s="321"/>
      <c r="Q963" s="321"/>
      <c r="R963" s="321"/>
      <c r="S963" s="321"/>
      <c r="T963" s="321"/>
      <c r="U963" s="321"/>
      <c r="V963" s="321"/>
      <c r="W963" s="321"/>
      <c r="X963" s="321"/>
      <c r="Y963" s="321"/>
      <c r="Z963" s="321"/>
      <c r="AA963" s="321"/>
      <c r="AB963" s="321"/>
      <c r="AC963" s="321"/>
      <c r="AD963" s="321"/>
    </row>
    <row r="964">
      <c r="A964" s="321"/>
      <c r="B964" s="321"/>
      <c r="C964" s="321"/>
      <c r="D964" s="321"/>
      <c r="E964" s="321"/>
      <c r="F964" s="321"/>
      <c r="G964" s="454"/>
      <c r="H964" s="454"/>
      <c r="I964" s="454"/>
      <c r="J964" s="454"/>
      <c r="K964" s="321"/>
      <c r="L964" s="321"/>
      <c r="M964" s="321"/>
      <c r="N964" s="321"/>
      <c r="O964" s="321"/>
      <c r="P964" s="321"/>
      <c r="Q964" s="321"/>
      <c r="R964" s="321"/>
      <c r="S964" s="321"/>
      <c r="T964" s="321"/>
      <c r="U964" s="321"/>
      <c r="V964" s="321"/>
      <c r="W964" s="321"/>
      <c r="X964" s="321"/>
      <c r="Y964" s="321"/>
      <c r="Z964" s="321"/>
      <c r="AA964" s="321"/>
      <c r="AB964" s="321"/>
      <c r="AC964" s="321"/>
      <c r="AD964" s="321"/>
    </row>
    <row r="965">
      <c r="A965" s="321"/>
      <c r="B965" s="321"/>
      <c r="C965" s="321"/>
      <c r="D965" s="321"/>
      <c r="E965" s="321"/>
      <c r="F965" s="321"/>
      <c r="G965" s="454"/>
      <c r="H965" s="454"/>
      <c r="I965" s="454"/>
      <c r="J965" s="454"/>
      <c r="K965" s="321"/>
      <c r="L965" s="321"/>
      <c r="M965" s="321"/>
      <c r="N965" s="321"/>
      <c r="O965" s="321"/>
      <c r="P965" s="321"/>
      <c r="Q965" s="321"/>
      <c r="R965" s="321"/>
      <c r="S965" s="321"/>
      <c r="T965" s="321"/>
      <c r="U965" s="321"/>
      <c r="V965" s="321"/>
      <c r="W965" s="321"/>
      <c r="X965" s="321"/>
      <c r="Y965" s="321"/>
      <c r="Z965" s="321"/>
      <c r="AA965" s="321"/>
      <c r="AB965" s="321"/>
      <c r="AC965" s="321"/>
      <c r="AD965" s="321"/>
    </row>
    <row r="966">
      <c r="A966" s="321"/>
      <c r="B966" s="321"/>
      <c r="C966" s="321"/>
      <c r="D966" s="321"/>
      <c r="E966" s="321"/>
      <c r="F966" s="321"/>
      <c r="G966" s="454"/>
      <c r="H966" s="454"/>
      <c r="I966" s="454"/>
      <c r="J966" s="454"/>
      <c r="K966" s="321"/>
      <c r="L966" s="321"/>
      <c r="M966" s="321"/>
      <c r="N966" s="321"/>
      <c r="O966" s="321"/>
      <c r="P966" s="321"/>
      <c r="Q966" s="321"/>
      <c r="R966" s="321"/>
      <c r="S966" s="321"/>
      <c r="T966" s="321"/>
      <c r="U966" s="321"/>
      <c r="V966" s="321"/>
      <c r="W966" s="321"/>
      <c r="X966" s="321"/>
      <c r="Y966" s="321"/>
      <c r="Z966" s="321"/>
      <c r="AA966" s="321"/>
      <c r="AB966" s="321"/>
      <c r="AC966" s="321"/>
      <c r="AD966" s="321"/>
    </row>
    <row r="967">
      <c r="A967" s="321"/>
      <c r="B967" s="321"/>
      <c r="C967" s="321"/>
      <c r="D967" s="321"/>
      <c r="E967" s="321"/>
      <c r="F967" s="321"/>
      <c r="G967" s="454"/>
      <c r="H967" s="454"/>
      <c r="I967" s="454"/>
      <c r="J967" s="454"/>
      <c r="K967" s="321"/>
      <c r="L967" s="321"/>
      <c r="M967" s="321"/>
      <c r="N967" s="321"/>
      <c r="O967" s="321"/>
      <c r="P967" s="321"/>
      <c r="Q967" s="321"/>
      <c r="R967" s="321"/>
      <c r="S967" s="321"/>
      <c r="T967" s="321"/>
      <c r="U967" s="321"/>
      <c r="V967" s="321"/>
      <c r="W967" s="321"/>
      <c r="X967" s="321"/>
      <c r="Y967" s="321"/>
      <c r="Z967" s="321"/>
      <c r="AA967" s="321"/>
      <c r="AB967" s="321"/>
      <c r="AC967" s="321"/>
      <c r="AD967" s="321"/>
    </row>
    <row r="968">
      <c r="A968" s="321"/>
      <c r="B968" s="321"/>
      <c r="C968" s="321"/>
      <c r="D968" s="321"/>
      <c r="E968" s="321"/>
      <c r="F968" s="321"/>
      <c r="G968" s="454"/>
      <c r="H968" s="454"/>
      <c r="I968" s="454"/>
      <c r="J968" s="454"/>
      <c r="K968" s="321"/>
      <c r="L968" s="321"/>
      <c r="M968" s="321"/>
      <c r="N968" s="321"/>
      <c r="O968" s="321"/>
      <c r="P968" s="321"/>
      <c r="Q968" s="321"/>
      <c r="R968" s="321"/>
      <c r="S968" s="321"/>
      <c r="T968" s="321"/>
      <c r="U968" s="321"/>
      <c r="V968" s="321"/>
      <c r="W968" s="321"/>
      <c r="X968" s="321"/>
      <c r="Y968" s="321"/>
      <c r="Z968" s="321"/>
      <c r="AA968" s="321"/>
      <c r="AB968" s="321"/>
      <c r="AC968" s="321"/>
      <c r="AD968" s="321"/>
    </row>
    <row r="969">
      <c r="A969" s="321"/>
      <c r="B969" s="321"/>
      <c r="C969" s="321"/>
      <c r="D969" s="321"/>
      <c r="E969" s="321"/>
      <c r="F969" s="321"/>
      <c r="G969" s="454"/>
      <c r="H969" s="454"/>
      <c r="I969" s="454"/>
      <c r="J969" s="454"/>
      <c r="K969" s="321"/>
      <c r="L969" s="321"/>
      <c r="M969" s="321"/>
      <c r="N969" s="321"/>
      <c r="O969" s="321"/>
      <c r="P969" s="321"/>
      <c r="Q969" s="321"/>
      <c r="R969" s="321"/>
      <c r="S969" s="321"/>
      <c r="T969" s="321"/>
      <c r="U969" s="321"/>
      <c r="V969" s="321"/>
      <c r="W969" s="321"/>
      <c r="X969" s="321"/>
      <c r="Y969" s="321"/>
      <c r="Z969" s="321"/>
      <c r="AA969" s="321"/>
      <c r="AB969" s="321"/>
      <c r="AC969" s="321"/>
      <c r="AD969" s="321"/>
    </row>
    <row r="970">
      <c r="A970" s="321"/>
      <c r="B970" s="321"/>
      <c r="C970" s="321"/>
      <c r="D970" s="321"/>
      <c r="E970" s="321"/>
      <c r="F970" s="321"/>
      <c r="G970" s="454"/>
      <c r="H970" s="454"/>
      <c r="I970" s="454"/>
      <c r="J970" s="454"/>
      <c r="K970" s="321"/>
      <c r="L970" s="321"/>
      <c r="M970" s="321"/>
      <c r="N970" s="321"/>
      <c r="O970" s="321"/>
      <c r="P970" s="321"/>
      <c r="Q970" s="321"/>
      <c r="R970" s="321"/>
      <c r="S970" s="321"/>
      <c r="T970" s="321"/>
      <c r="U970" s="321"/>
      <c r="V970" s="321"/>
      <c r="W970" s="321"/>
      <c r="X970" s="321"/>
      <c r="Y970" s="321"/>
      <c r="Z970" s="321"/>
      <c r="AA970" s="321"/>
      <c r="AB970" s="321"/>
      <c r="AC970" s="321"/>
      <c r="AD970" s="321"/>
    </row>
    <row r="971">
      <c r="A971" s="321"/>
      <c r="B971" s="321"/>
      <c r="C971" s="321"/>
      <c r="D971" s="321"/>
      <c r="E971" s="321"/>
      <c r="F971" s="321"/>
      <c r="G971" s="454"/>
      <c r="H971" s="454"/>
      <c r="I971" s="454"/>
      <c r="J971" s="454"/>
      <c r="K971" s="321"/>
      <c r="L971" s="321"/>
      <c r="M971" s="321"/>
      <c r="N971" s="321"/>
      <c r="O971" s="321"/>
      <c r="P971" s="321"/>
      <c r="Q971" s="321"/>
      <c r="R971" s="321"/>
      <c r="S971" s="321"/>
      <c r="T971" s="321"/>
      <c r="U971" s="321"/>
      <c r="V971" s="321"/>
      <c r="W971" s="321"/>
      <c r="X971" s="321"/>
      <c r="Y971" s="321"/>
      <c r="Z971" s="321"/>
      <c r="AA971" s="321"/>
      <c r="AB971" s="321"/>
      <c r="AC971" s="321"/>
      <c r="AD971" s="321"/>
    </row>
    <row r="972">
      <c r="A972" s="321"/>
      <c r="B972" s="321"/>
      <c r="C972" s="321"/>
      <c r="D972" s="321"/>
      <c r="E972" s="321"/>
      <c r="F972" s="321"/>
      <c r="G972" s="454"/>
      <c r="H972" s="454"/>
      <c r="I972" s="454"/>
      <c r="J972" s="454"/>
      <c r="K972" s="321"/>
      <c r="L972" s="321"/>
      <c r="M972" s="321"/>
      <c r="N972" s="321"/>
      <c r="O972" s="321"/>
      <c r="P972" s="321"/>
      <c r="Q972" s="321"/>
      <c r="R972" s="321"/>
      <c r="S972" s="321"/>
      <c r="T972" s="321"/>
      <c r="U972" s="321"/>
      <c r="V972" s="321"/>
      <c r="W972" s="321"/>
      <c r="X972" s="321"/>
      <c r="Y972" s="321"/>
      <c r="Z972" s="321"/>
      <c r="AA972" s="321"/>
      <c r="AB972" s="321"/>
      <c r="AC972" s="321"/>
      <c r="AD972" s="321"/>
    </row>
    <row r="973">
      <c r="A973" s="321"/>
      <c r="B973" s="321"/>
      <c r="C973" s="321"/>
      <c r="D973" s="321"/>
      <c r="E973" s="321"/>
      <c r="F973" s="321"/>
      <c r="G973" s="454"/>
      <c r="H973" s="454"/>
      <c r="I973" s="454"/>
      <c r="J973" s="454"/>
      <c r="K973" s="321"/>
      <c r="L973" s="321"/>
      <c r="M973" s="321"/>
      <c r="N973" s="321"/>
      <c r="O973" s="321"/>
      <c r="P973" s="321"/>
      <c r="Q973" s="321"/>
      <c r="R973" s="321"/>
      <c r="S973" s="321"/>
      <c r="T973" s="321"/>
      <c r="U973" s="321"/>
      <c r="V973" s="321"/>
      <c r="W973" s="321"/>
      <c r="X973" s="321"/>
      <c r="Y973" s="321"/>
      <c r="Z973" s="321"/>
      <c r="AA973" s="321"/>
      <c r="AB973" s="321"/>
      <c r="AC973" s="321"/>
      <c r="AD973" s="321"/>
    </row>
    <row r="974">
      <c r="A974" s="321"/>
      <c r="B974" s="321"/>
      <c r="C974" s="321"/>
      <c r="D974" s="321"/>
      <c r="E974" s="321"/>
      <c r="F974" s="321"/>
      <c r="G974" s="454"/>
      <c r="H974" s="454"/>
      <c r="I974" s="454"/>
      <c r="J974" s="454"/>
      <c r="K974" s="321"/>
      <c r="L974" s="321"/>
      <c r="M974" s="321"/>
      <c r="N974" s="321"/>
      <c r="O974" s="321"/>
      <c r="P974" s="321"/>
      <c r="Q974" s="321"/>
      <c r="R974" s="321"/>
      <c r="S974" s="321"/>
      <c r="T974" s="321"/>
      <c r="U974" s="321"/>
      <c r="V974" s="321"/>
      <c r="W974" s="321"/>
      <c r="X974" s="321"/>
      <c r="Y974" s="321"/>
      <c r="Z974" s="321"/>
      <c r="AA974" s="321"/>
      <c r="AB974" s="321"/>
      <c r="AC974" s="321"/>
      <c r="AD974" s="321"/>
    </row>
    <row r="975">
      <c r="A975" s="321"/>
      <c r="B975" s="321"/>
      <c r="C975" s="321"/>
      <c r="D975" s="321"/>
      <c r="E975" s="321"/>
      <c r="F975" s="321"/>
      <c r="G975" s="454"/>
      <c r="H975" s="454"/>
      <c r="I975" s="454"/>
      <c r="J975" s="454"/>
      <c r="K975" s="321"/>
      <c r="L975" s="321"/>
      <c r="M975" s="321"/>
      <c r="N975" s="321"/>
      <c r="O975" s="321"/>
      <c r="P975" s="321"/>
      <c r="Q975" s="321"/>
      <c r="R975" s="321"/>
      <c r="S975" s="321"/>
      <c r="T975" s="321"/>
      <c r="U975" s="321"/>
      <c r="V975" s="321"/>
      <c r="W975" s="321"/>
      <c r="X975" s="321"/>
      <c r="Y975" s="321"/>
      <c r="Z975" s="321"/>
      <c r="AA975" s="321"/>
      <c r="AB975" s="321"/>
      <c r="AC975" s="321"/>
      <c r="AD975" s="321"/>
    </row>
    <row r="976">
      <c r="A976" s="321"/>
      <c r="B976" s="321"/>
      <c r="C976" s="321"/>
      <c r="D976" s="321"/>
      <c r="E976" s="321"/>
      <c r="F976" s="321"/>
      <c r="G976" s="454"/>
      <c r="H976" s="454"/>
      <c r="I976" s="454"/>
      <c r="J976" s="454"/>
      <c r="K976" s="321"/>
      <c r="L976" s="321"/>
      <c r="M976" s="321"/>
      <c r="N976" s="321"/>
      <c r="O976" s="321"/>
      <c r="P976" s="321"/>
      <c r="Q976" s="321"/>
      <c r="R976" s="321"/>
      <c r="S976" s="321"/>
      <c r="T976" s="321"/>
      <c r="U976" s="321"/>
      <c r="V976" s="321"/>
      <c r="W976" s="321"/>
      <c r="X976" s="321"/>
      <c r="Y976" s="321"/>
      <c r="Z976" s="321"/>
      <c r="AA976" s="321"/>
      <c r="AB976" s="321"/>
      <c r="AC976" s="321"/>
      <c r="AD976" s="321"/>
    </row>
    <row r="977">
      <c r="A977" s="321"/>
      <c r="B977" s="321"/>
      <c r="C977" s="321"/>
      <c r="D977" s="321"/>
      <c r="E977" s="321"/>
      <c r="F977" s="321"/>
      <c r="G977" s="454"/>
      <c r="H977" s="454"/>
      <c r="I977" s="454"/>
      <c r="J977" s="454"/>
      <c r="K977" s="321"/>
      <c r="L977" s="321"/>
      <c r="M977" s="321"/>
      <c r="N977" s="321"/>
      <c r="O977" s="321"/>
      <c r="P977" s="321"/>
      <c r="Q977" s="321"/>
      <c r="R977" s="321"/>
      <c r="S977" s="321"/>
      <c r="T977" s="321"/>
      <c r="U977" s="321"/>
      <c r="V977" s="321"/>
      <c r="W977" s="321"/>
      <c r="X977" s="321"/>
      <c r="Y977" s="321"/>
      <c r="Z977" s="321"/>
      <c r="AA977" s="321"/>
      <c r="AB977" s="321"/>
      <c r="AC977" s="321"/>
      <c r="AD977" s="321"/>
    </row>
    <row r="978">
      <c r="A978" s="321"/>
      <c r="B978" s="321"/>
      <c r="C978" s="321"/>
      <c r="D978" s="321"/>
      <c r="E978" s="321"/>
      <c r="F978" s="321"/>
      <c r="G978" s="454"/>
      <c r="H978" s="454"/>
      <c r="I978" s="454"/>
      <c r="J978" s="454"/>
      <c r="K978" s="321"/>
      <c r="L978" s="321"/>
      <c r="M978" s="321"/>
      <c r="N978" s="321"/>
      <c r="O978" s="321"/>
      <c r="P978" s="321"/>
      <c r="Q978" s="321"/>
      <c r="R978" s="321"/>
      <c r="S978" s="321"/>
      <c r="T978" s="321"/>
      <c r="U978" s="321"/>
      <c r="V978" s="321"/>
      <c r="W978" s="321"/>
      <c r="X978" s="321"/>
      <c r="Y978" s="321"/>
      <c r="Z978" s="321"/>
      <c r="AA978" s="321"/>
      <c r="AB978" s="321"/>
      <c r="AC978" s="321"/>
      <c r="AD978" s="321"/>
    </row>
    <row r="979">
      <c r="A979" s="321"/>
      <c r="B979" s="321"/>
      <c r="C979" s="321"/>
      <c r="D979" s="321"/>
      <c r="E979" s="321"/>
      <c r="F979" s="321"/>
      <c r="G979" s="454"/>
      <c r="H979" s="454"/>
      <c r="I979" s="454"/>
      <c r="J979" s="454"/>
      <c r="K979" s="321"/>
      <c r="L979" s="321"/>
      <c r="M979" s="321"/>
      <c r="N979" s="321"/>
      <c r="O979" s="321"/>
      <c r="P979" s="321"/>
      <c r="Q979" s="321"/>
      <c r="R979" s="321"/>
      <c r="S979" s="321"/>
      <c r="T979" s="321"/>
      <c r="U979" s="321"/>
      <c r="V979" s="321"/>
      <c r="W979" s="321"/>
      <c r="X979" s="321"/>
      <c r="Y979" s="321"/>
      <c r="Z979" s="321"/>
      <c r="AA979" s="321"/>
      <c r="AB979" s="321"/>
      <c r="AC979" s="321"/>
      <c r="AD979" s="321"/>
    </row>
    <row r="980">
      <c r="A980" s="321"/>
      <c r="B980" s="321"/>
      <c r="C980" s="321"/>
      <c r="D980" s="321"/>
      <c r="E980" s="321"/>
      <c r="F980" s="321"/>
      <c r="G980" s="454"/>
      <c r="H980" s="454"/>
      <c r="I980" s="454"/>
      <c r="J980" s="454"/>
      <c r="K980" s="321"/>
      <c r="L980" s="321"/>
      <c r="M980" s="321"/>
      <c r="N980" s="321"/>
      <c r="O980" s="321"/>
      <c r="P980" s="321"/>
      <c r="Q980" s="321"/>
      <c r="R980" s="321"/>
      <c r="S980" s="321"/>
      <c r="T980" s="321"/>
      <c r="U980" s="321"/>
      <c r="V980" s="321"/>
      <c r="W980" s="321"/>
      <c r="X980" s="321"/>
      <c r="Y980" s="321"/>
      <c r="Z980" s="321"/>
      <c r="AA980" s="321"/>
      <c r="AB980" s="321"/>
      <c r="AC980" s="321"/>
      <c r="AD980" s="321"/>
    </row>
    <row r="981">
      <c r="A981" s="321"/>
      <c r="B981" s="321"/>
      <c r="C981" s="321"/>
      <c r="D981" s="321"/>
      <c r="E981" s="321"/>
      <c r="F981" s="321"/>
      <c r="G981" s="454"/>
      <c r="H981" s="454"/>
      <c r="I981" s="454"/>
      <c r="J981" s="454"/>
      <c r="K981" s="321"/>
      <c r="L981" s="321"/>
      <c r="M981" s="321"/>
      <c r="N981" s="321"/>
      <c r="O981" s="321"/>
      <c r="P981" s="321"/>
      <c r="Q981" s="321"/>
      <c r="R981" s="321"/>
      <c r="S981" s="321"/>
      <c r="T981" s="321"/>
      <c r="U981" s="321"/>
      <c r="V981" s="321"/>
      <c r="W981" s="321"/>
      <c r="X981" s="321"/>
      <c r="Y981" s="321"/>
      <c r="Z981" s="321"/>
      <c r="AA981" s="321"/>
      <c r="AB981" s="321"/>
      <c r="AC981" s="321"/>
      <c r="AD981" s="321"/>
    </row>
    <row r="982">
      <c r="A982" s="321"/>
      <c r="B982" s="321"/>
      <c r="C982" s="321"/>
      <c r="D982" s="321"/>
      <c r="E982" s="321"/>
      <c r="F982" s="321"/>
      <c r="G982" s="454"/>
      <c r="H982" s="454"/>
      <c r="I982" s="454"/>
      <c r="J982" s="454"/>
      <c r="K982" s="321"/>
      <c r="L982" s="321"/>
      <c r="M982" s="321"/>
      <c r="N982" s="321"/>
      <c r="O982" s="321"/>
      <c r="P982" s="321"/>
      <c r="Q982" s="321"/>
      <c r="R982" s="321"/>
      <c r="S982" s="321"/>
      <c r="T982" s="321"/>
      <c r="U982" s="321"/>
      <c r="V982" s="321"/>
      <c r="W982" s="321"/>
      <c r="X982" s="321"/>
      <c r="Y982" s="321"/>
      <c r="Z982" s="321"/>
      <c r="AA982" s="321"/>
      <c r="AB982" s="321"/>
      <c r="AC982" s="321"/>
      <c r="AD982" s="321"/>
    </row>
    <row r="983">
      <c r="A983" s="321"/>
      <c r="B983" s="321"/>
      <c r="C983" s="321"/>
      <c r="D983" s="321"/>
      <c r="E983" s="321"/>
      <c r="F983" s="321"/>
      <c r="G983" s="454"/>
      <c r="H983" s="454"/>
      <c r="I983" s="454"/>
      <c r="J983" s="454"/>
      <c r="K983" s="321"/>
      <c r="L983" s="321"/>
      <c r="M983" s="321"/>
      <c r="N983" s="321"/>
      <c r="O983" s="321"/>
      <c r="P983" s="321"/>
      <c r="Q983" s="321"/>
      <c r="R983" s="321"/>
      <c r="S983" s="321"/>
      <c r="T983" s="321"/>
      <c r="U983" s="321"/>
      <c r="V983" s="321"/>
      <c r="W983" s="321"/>
      <c r="X983" s="321"/>
      <c r="Y983" s="321"/>
      <c r="Z983" s="321"/>
      <c r="AA983" s="321"/>
      <c r="AB983" s="321"/>
      <c r="AC983" s="321"/>
      <c r="AD983" s="321"/>
    </row>
    <row r="984">
      <c r="A984" s="321"/>
      <c r="B984" s="321"/>
      <c r="C984" s="321"/>
      <c r="D984" s="321"/>
      <c r="E984" s="321"/>
      <c r="F984" s="321"/>
      <c r="G984" s="454"/>
      <c r="H984" s="454"/>
      <c r="I984" s="454"/>
      <c r="J984" s="454"/>
      <c r="K984" s="321"/>
      <c r="L984" s="321"/>
      <c r="M984" s="321"/>
      <c r="N984" s="321"/>
      <c r="O984" s="321"/>
      <c r="P984" s="321"/>
      <c r="Q984" s="321"/>
      <c r="R984" s="321"/>
      <c r="S984" s="321"/>
      <c r="T984" s="321"/>
      <c r="U984" s="321"/>
      <c r="V984" s="321"/>
      <c r="W984" s="321"/>
      <c r="X984" s="321"/>
      <c r="Y984" s="321"/>
      <c r="Z984" s="321"/>
      <c r="AA984" s="321"/>
      <c r="AB984" s="321"/>
      <c r="AC984" s="321"/>
      <c r="AD984" s="321"/>
    </row>
    <row r="985">
      <c r="A985" s="321"/>
      <c r="B985" s="321"/>
      <c r="C985" s="321"/>
      <c r="D985" s="321"/>
      <c r="E985" s="321"/>
      <c r="F985" s="321"/>
      <c r="G985" s="454"/>
      <c r="H985" s="454"/>
      <c r="I985" s="454"/>
      <c r="J985" s="454"/>
      <c r="K985" s="321"/>
      <c r="L985" s="321"/>
      <c r="M985" s="321"/>
      <c r="N985" s="321"/>
      <c r="O985" s="321"/>
      <c r="P985" s="321"/>
      <c r="Q985" s="321"/>
      <c r="R985" s="321"/>
      <c r="S985" s="321"/>
      <c r="T985" s="321"/>
      <c r="U985" s="321"/>
      <c r="V985" s="321"/>
      <c r="W985" s="321"/>
      <c r="X985" s="321"/>
      <c r="Y985" s="321"/>
      <c r="Z985" s="321"/>
      <c r="AA985" s="321"/>
      <c r="AB985" s="321"/>
      <c r="AC985" s="321"/>
      <c r="AD985" s="321"/>
    </row>
    <row r="986">
      <c r="A986" s="321"/>
      <c r="B986" s="321"/>
      <c r="C986" s="321"/>
      <c r="D986" s="321"/>
      <c r="E986" s="321"/>
      <c r="F986" s="321"/>
      <c r="G986" s="454"/>
      <c r="H986" s="454"/>
      <c r="I986" s="454"/>
      <c r="J986" s="454"/>
      <c r="K986" s="321"/>
      <c r="L986" s="321"/>
      <c r="M986" s="321"/>
      <c r="N986" s="321"/>
      <c r="O986" s="321"/>
      <c r="P986" s="321"/>
      <c r="Q986" s="321"/>
      <c r="R986" s="321"/>
      <c r="S986" s="321"/>
      <c r="T986" s="321"/>
      <c r="U986" s="321"/>
      <c r="V986" s="321"/>
      <c r="W986" s="321"/>
      <c r="X986" s="321"/>
      <c r="Y986" s="321"/>
      <c r="Z986" s="321"/>
      <c r="AA986" s="321"/>
      <c r="AB986" s="321"/>
      <c r="AC986" s="321"/>
      <c r="AD986" s="321"/>
    </row>
    <row r="987">
      <c r="A987" s="321"/>
      <c r="B987" s="321"/>
      <c r="C987" s="321"/>
      <c r="D987" s="321"/>
      <c r="E987" s="321"/>
      <c r="F987" s="321"/>
      <c r="G987" s="454"/>
      <c r="H987" s="454"/>
      <c r="I987" s="454"/>
      <c r="J987" s="454"/>
      <c r="K987" s="321"/>
      <c r="L987" s="321"/>
      <c r="M987" s="321"/>
      <c r="N987" s="321"/>
      <c r="O987" s="321"/>
      <c r="P987" s="321"/>
      <c r="Q987" s="321"/>
      <c r="R987" s="321"/>
      <c r="S987" s="321"/>
      <c r="T987" s="321"/>
      <c r="U987" s="321"/>
      <c r="V987" s="321"/>
      <c r="W987" s="321"/>
      <c r="X987" s="321"/>
      <c r="Y987" s="321"/>
      <c r="Z987" s="321"/>
      <c r="AA987" s="321"/>
      <c r="AB987" s="321"/>
      <c r="AC987" s="321"/>
      <c r="AD987" s="321"/>
    </row>
    <row r="988">
      <c r="A988" s="321"/>
      <c r="B988" s="321"/>
      <c r="C988" s="321"/>
      <c r="D988" s="321"/>
      <c r="E988" s="321"/>
      <c r="F988" s="321"/>
      <c r="G988" s="454"/>
      <c r="H988" s="454"/>
      <c r="I988" s="454"/>
      <c r="J988" s="454"/>
      <c r="K988" s="321"/>
      <c r="L988" s="321"/>
      <c r="M988" s="321"/>
      <c r="N988" s="321"/>
      <c r="O988" s="321"/>
      <c r="P988" s="321"/>
      <c r="Q988" s="321"/>
      <c r="R988" s="321"/>
      <c r="S988" s="321"/>
      <c r="T988" s="321"/>
      <c r="U988" s="321"/>
      <c r="V988" s="321"/>
      <c r="W988" s="321"/>
      <c r="X988" s="321"/>
      <c r="Y988" s="321"/>
      <c r="Z988" s="321"/>
      <c r="AA988" s="321"/>
      <c r="AB988" s="321"/>
      <c r="AC988" s="321"/>
      <c r="AD988" s="321"/>
    </row>
    <row r="989">
      <c r="A989" s="321"/>
      <c r="B989" s="321"/>
      <c r="C989" s="321"/>
      <c r="D989" s="321"/>
      <c r="E989" s="321"/>
      <c r="F989" s="321"/>
      <c r="G989" s="454"/>
      <c r="H989" s="454"/>
      <c r="I989" s="454"/>
      <c r="J989" s="454"/>
      <c r="K989" s="321"/>
      <c r="L989" s="321"/>
      <c r="M989" s="321"/>
      <c r="N989" s="321"/>
      <c r="O989" s="321"/>
      <c r="P989" s="321"/>
      <c r="Q989" s="321"/>
      <c r="R989" s="321"/>
      <c r="S989" s="321"/>
      <c r="T989" s="321"/>
      <c r="U989" s="321"/>
      <c r="V989" s="321"/>
      <c r="W989" s="321"/>
      <c r="X989" s="321"/>
      <c r="Y989" s="321"/>
      <c r="Z989" s="321"/>
      <c r="AA989" s="321"/>
      <c r="AB989" s="321"/>
      <c r="AC989" s="321"/>
      <c r="AD989" s="321"/>
    </row>
    <row r="990">
      <c r="A990" s="321"/>
      <c r="B990" s="321"/>
      <c r="C990" s="321"/>
      <c r="D990" s="321"/>
      <c r="E990" s="321"/>
      <c r="F990" s="321"/>
      <c r="G990" s="454"/>
      <c r="H990" s="454"/>
      <c r="I990" s="454"/>
      <c r="J990" s="454"/>
      <c r="K990" s="321"/>
      <c r="L990" s="321"/>
      <c r="M990" s="321"/>
      <c r="N990" s="321"/>
      <c r="O990" s="321"/>
      <c r="P990" s="321"/>
      <c r="Q990" s="321"/>
      <c r="R990" s="321"/>
      <c r="S990" s="321"/>
      <c r="T990" s="321"/>
      <c r="U990" s="321"/>
      <c r="V990" s="321"/>
      <c r="W990" s="321"/>
      <c r="X990" s="321"/>
      <c r="Y990" s="321"/>
      <c r="Z990" s="321"/>
      <c r="AA990" s="321"/>
      <c r="AB990" s="321"/>
      <c r="AC990" s="321"/>
      <c r="AD990" s="321"/>
    </row>
    <row r="991">
      <c r="A991" s="321"/>
      <c r="B991" s="321"/>
      <c r="C991" s="321"/>
      <c r="D991" s="321"/>
      <c r="E991" s="321"/>
      <c r="F991" s="321"/>
      <c r="G991" s="454"/>
      <c r="H991" s="454"/>
      <c r="I991" s="454"/>
      <c r="J991" s="454"/>
      <c r="K991" s="321"/>
      <c r="L991" s="321"/>
      <c r="M991" s="321"/>
      <c r="N991" s="321"/>
      <c r="O991" s="321"/>
      <c r="P991" s="321"/>
      <c r="Q991" s="321"/>
      <c r="R991" s="321"/>
      <c r="S991" s="321"/>
      <c r="T991" s="321"/>
      <c r="U991" s="321"/>
      <c r="V991" s="321"/>
      <c r="W991" s="321"/>
      <c r="X991" s="321"/>
      <c r="Y991" s="321"/>
      <c r="Z991" s="321"/>
      <c r="AA991" s="321"/>
      <c r="AB991" s="321"/>
      <c r="AC991" s="321"/>
      <c r="AD991" s="321"/>
    </row>
    <row r="992">
      <c r="A992" s="321"/>
      <c r="B992" s="321"/>
      <c r="C992" s="321"/>
      <c r="D992" s="321"/>
      <c r="E992" s="321"/>
      <c r="F992" s="321"/>
      <c r="G992" s="454"/>
      <c r="H992" s="454"/>
      <c r="I992" s="454"/>
      <c r="J992" s="454"/>
      <c r="K992" s="321"/>
      <c r="L992" s="321"/>
      <c r="M992" s="321"/>
      <c r="N992" s="321"/>
      <c r="O992" s="321"/>
      <c r="P992" s="321"/>
      <c r="Q992" s="321"/>
      <c r="R992" s="321"/>
      <c r="S992" s="321"/>
      <c r="T992" s="321"/>
      <c r="U992" s="321"/>
      <c r="V992" s="321"/>
      <c r="W992" s="321"/>
      <c r="X992" s="321"/>
      <c r="Y992" s="321"/>
      <c r="Z992" s="321"/>
      <c r="AA992" s="321"/>
      <c r="AB992" s="321"/>
      <c r="AC992" s="321"/>
      <c r="AD992" s="321"/>
    </row>
    <row r="993">
      <c r="A993" s="321"/>
      <c r="B993" s="321"/>
      <c r="C993" s="321"/>
      <c r="D993" s="321"/>
      <c r="E993" s="321"/>
      <c r="F993" s="321"/>
      <c r="G993" s="454"/>
      <c r="H993" s="454"/>
      <c r="I993" s="454"/>
      <c r="J993" s="454"/>
      <c r="K993" s="321"/>
      <c r="L993" s="321"/>
      <c r="M993" s="321"/>
      <c r="N993" s="321"/>
      <c r="O993" s="321"/>
      <c r="P993" s="321"/>
      <c r="Q993" s="321"/>
      <c r="R993" s="321"/>
      <c r="S993" s="321"/>
      <c r="T993" s="321"/>
      <c r="U993" s="321"/>
      <c r="V993" s="321"/>
      <c r="W993" s="321"/>
      <c r="X993" s="321"/>
      <c r="Y993" s="321"/>
      <c r="Z993" s="321"/>
      <c r="AA993" s="321"/>
      <c r="AB993" s="321"/>
      <c r="AC993" s="321"/>
      <c r="AD993" s="321"/>
    </row>
    <row r="994">
      <c r="A994" s="321"/>
      <c r="B994" s="321"/>
      <c r="C994" s="321"/>
      <c r="D994" s="321"/>
      <c r="E994" s="321"/>
      <c r="F994" s="321"/>
      <c r="G994" s="454"/>
      <c r="H994" s="454"/>
      <c r="I994" s="454"/>
      <c r="J994" s="454"/>
      <c r="K994" s="321"/>
      <c r="L994" s="321"/>
      <c r="M994" s="321"/>
      <c r="N994" s="321"/>
      <c r="O994" s="321"/>
      <c r="P994" s="321"/>
      <c r="Q994" s="321"/>
      <c r="R994" s="321"/>
      <c r="S994" s="321"/>
      <c r="T994" s="321"/>
      <c r="U994" s="321"/>
      <c r="V994" s="321"/>
      <c r="W994" s="321"/>
      <c r="X994" s="321"/>
      <c r="Y994" s="321"/>
      <c r="Z994" s="321"/>
      <c r="AA994" s="321"/>
      <c r="AB994" s="321"/>
      <c r="AC994" s="321"/>
      <c r="AD994" s="321"/>
    </row>
    <row r="995">
      <c r="A995" s="321"/>
      <c r="B995" s="321"/>
      <c r="C995" s="321"/>
      <c r="D995" s="321"/>
      <c r="E995" s="321"/>
      <c r="F995" s="321"/>
      <c r="G995" s="454"/>
      <c r="H995" s="454"/>
      <c r="I995" s="454"/>
      <c r="J995" s="454"/>
      <c r="K995" s="321"/>
      <c r="L995" s="321"/>
      <c r="M995" s="321"/>
      <c r="N995" s="321"/>
      <c r="O995" s="321"/>
      <c r="P995" s="321"/>
      <c r="Q995" s="321"/>
      <c r="R995" s="321"/>
      <c r="S995" s="321"/>
      <c r="T995" s="321"/>
      <c r="U995" s="321"/>
      <c r="V995" s="321"/>
      <c r="W995" s="321"/>
      <c r="X995" s="321"/>
      <c r="Y995" s="321"/>
      <c r="Z995" s="321"/>
      <c r="AA995" s="321"/>
      <c r="AB995" s="321"/>
      <c r="AC995" s="321"/>
      <c r="AD995" s="321"/>
    </row>
    <row r="996">
      <c r="A996" s="321"/>
      <c r="B996" s="321"/>
      <c r="C996" s="321"/>
      <c r="D996" s="321"/>
      <c r="E996" s="321"/>
      <c r="F996" s="321"/>
      <c r="G996" s="454"/>
      <c r="H996" s="454"/>
      <c r="I996" s="454"/>
      <c r="J996" s="454"/>
      <c r="K996" s="321"/>
      <c r="L996" s="321"/>
      <c r="M996" s="321"/>
      <c r="N996" s="321"/>
      <c r="O996" s="321"/>
      <c r="P996" s="321"/>
      <c r="Q996" s="321"/>
      <c r="R996" s="321"/>
      <c r="S996" s="321"/>
      <c r="T996" s="321"/>
      <c r="U996" s="321"/>
      <c r="V996" s="321"/>
      <c r="W996" s="321"/>
      <c r="X996" s="321"/>
      <c r="Y996" s="321"/>
      <c r="Z996" s="321"/>
      <c r="AA996" s="321"/>
      <c r="AB996" s="321"/>
      <c r="AC996" s="321"/>
      <c r="AD996" s="321"/>
    </row>
    <row r="997">
      <c r="A997" s="321"/>
      <c r="B997" s="321"/>
      <c r="C997" s="321"/>
      <c r="D997" s="321"/>
      <c r="E997" s="321"/>
      <c r="F997" s="321"/>
      <c r="G997" s="454"/>
      <c r="H997" s="454"/>
      <c r="I997" s="454"/>
      <c r="J997" s="454"/>
      <c r="K997" s="321"/>
      <c r="L997" s="321"/>
      <c r="M997" s="321"/>
      <c r="N997" s="321"/>
      <c r="O997" s="321"/>
      <c r="P997" s="321"/>
      <c r="Q997" s="321"/>
      <c r="R997" s="321"/>
      <c r="S997" s="321"/>
      <c r="T997" s="321"/>
      <c r="U997" s="321"/>
      <c r="V997" s="321"/>
      <c r="W997" s="321"/>
      <c r="X997" s="321"/>
      <c r="Y997" s="321"/>
      <c r="Z997" s="321"/>
      <c r="AA997" s="321"/>
      <c r="AB997" s="321"/>
      <c r="AC997" s="321"/>
      <c r="AD997" s="321"/>
    </row>
    <row r="998">
      <c r="A998" s="321"/>
      <c r="B998" s="321"/>
      <c r="C998" s="321"/>
      <c r="D998" s="321"/>
      <c r="E998" s="321"/>
      <c r="F998" s="321"/>
      <c r="G998" s="454"/>
      <c r="H998" s="454"/>
      <c r="I998" s="454"/>
      <c r="J998" s="454"/>
      <c r="K998" s="321"/>
      <c r="L998" s="321"/>
      <c r="M998" s="321"/>
      <c r="N998" s="321"/>
      <c r="O998" s="321"/>
      <c r="P998" s="321"/>
      <c r="Q998" s="321"/>
      <c r="R998" s="321"/>
      <c r="S998" s="321"/>
      <c r="T998" s="321"/>
      <c r="U998" s="321"/>
      <c r="V998" s="321"/>
      <c r="W998" s="321"/>
      <c r="X998" s="321"/>
      <c r="Y998" s="321"/>
      <c r="Z998" s="321"/>
      <c r="AA998" s="321"/>
      <c r="AB998" s="321"/>
      <c r="AC998" s="321"/>
      <c r="AD998" s="321"/>
    </row>
    <row r="999">
      <c r="A999" s="321"/>
      <c r="B999" s="321"/>
      <c r="C999" s="321"/>
      <c r="D999" s="321"/>
      <c r="E999" s="321"/>
      <c r="F999" s="321"/>
      <c r="G999" s="454"/>
      <c r="H999" s="454"/>
      <c r="I999" s="454"/>
      <c r="J999" s="454"/>
      <c r="K999" s="321"/>
      <c r="L999" s="321"/>
      <c r="M999" s="321"/>
      <c r="N999" s="321"/>
      <c r="O999" s="321"/>
      <c r="P999" s="321"/>
      <c r="Q999" s="321"/>
      <c r="R999" s="321"/>
      <c r="S999" s="321"/>
      <c r="T999" s="321"/>
      <c r="U999" s="321"/>
      <c r="V999" s="321"/>
      <c r="W999" s="321"/>
      <c r="X999" s="321"/>
      <c r="Y999" s="321"/>
      <c r="Z999" s="321"/>
      <c r="AA999" s="321"/>
      <c r="AB999" s="321"/>
      <c r="AC999" s="321"/>
      <c r="AD999" s="321"/>
    </row>
    <row r="1000">
      <c r="A1000" s="321"/>
      <c r="B1000" s="321"/>
      <c r="C1000" s="321"/>
      <c r="D1000" s="321"/>
      <c r="E1000" s="321"/>
      <c r="F1000" s="321"/>
      <c r="G1000" s="454"/>
      <c r="H1000" s="454"/>
      <c r="I1000" s="454"/>
      <c r="J1000" s="454"/>
      <c r="K1000" s="321"/>
      <c r="L1000" s="321"/>
      <c r="M1000" s="321"/>
      <c r="N1000" s="321"/>
      <c r="O1000" s="321"/>
      <c r="P1000" s="321"/>
      <c r="Q1000" s="321"/>
      <c r="R1000" s="321"/>
      <c r="S1000" s="321"/>
      <c r="T1000" s="321"/>
      <c r="U1000" s="321"/>
      <c r="V1000" s="321"/>
      <c r="W1000" s="321"/>
      <c r="X1000" s="321"/>
      <c r="Y1000" s="321"/>
      <c r="Z1000" s="321"/>
      <c r="AA1000" s="321"/>
      <c r="AB1000" s="321"/>
      <c r="AC1000" s="321"/>
      <c r="AD1000" s="321"/>
    </row>
    <row r="1001">
      <c r="A1001" s="321"/>
      <c r="B1001" s="321"/>
      <c r="C1001" s="321"/>
      <c r="D1001" s="321"/>
      <c r="E1001" s="321"/>
      <c r="F1001" s="321"/>
      <c r="G1001" s="454"/>
      <c r="H1001" s="454"/>
      <c r="I1001" s="454"/>
      <c r="J1001" s="454"/>
      <c r="K1001" s="321"/>
      <c r="L1001" s="321"/>
      <c r="M1001" s="321"/>
      <c r="N1001" s="321"/>
      <c r="O1001" s="321"/>
      <c r="P1001" s="321"/>
      <c r="Q1001" s="321"/>
      <c r="R1001" s="321"/>
      <c r="S1001" s="321"/>
      <c r="T1001" s="321"/>
      <c r="U1001" s="321"/>
      <c r="V1001" s="321"/>
      <c r="W1001" s="321"/>
      <c r="X1001" s="321"/>
      <c r="Y1001" s="321"/>
      <c r="Z1001" s="321"/>
      <c r="AA1001" s="321"/>
      <c r="AB1001" s="321"/>
      <c r="AC1001" s="321"/>
      <c r="AD1001" s="321"/>
    </row>
    <row r="1002">
      <c r="A1002" s="321"/>
      <c r="B1002" s="321"/>
      <c r="C1002" s="321"/>
      <c r="D1002" s="321"/>
      <c r="E1002" s="321"/>
      <c r="F1002" s="321"/>
      <c r="G1002" s="454"/>
      <c r="H1002" s="454"/>
      <c r="I1002" s="454"/>
      <c r="J1002" s="454"/>
      <c r="K1002" s="321"/>
      <c r="L1002" s="321"/>
      <c r="M1002" s="321"/>
      <c r="N1002" s="321"/>
      <c r="O1002" s="321"/>
      <c r="P1002" s="321"/>
      <c r="Q1002" s="321"/>
      <c r="R1002" s="321"/>
      <c r="S1002" s="321"/>
      <c r="T1002" s="321"/>
      <c r="U1002" s="321"/>
      <c r="V1002" s="321"/>
      <c r="W1002" s="321"/>
      <c r="X1002" s="321"/>
      <c r="Y1002" s="321"/>
      <c r="Z1002" s="321"/>
      <c r="AA1002" s="321"/>
      <c r="AB1002" s="321"/>
      <c r="AC1002" s="321"/>
      <c r="AD1002" s="321"/>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C4"/>
    <hyperlink r:id="rId2" ref="R4"/>
    <hyperlink r:id="rId3" ref="R5"/>
    <hyperlink r:id="rId4" ref="C6"/>
    <hyperlink r:id="rId5" ref="R6"/>
    <hyperlink r:id="rId6" ref="C7"/>
    <hyperlink r:id="rId7" ref="R7"/>
    <hyperlink r:id="rId8" ref="C8"/>
    <hyperlink r:id="rId9" ref="R8"/>
    <hyperlink r:id="rId10" ref="R9"/>
    <hyperlink r:id="rId11" ref="R10"/>
    <hyperlink r:id="rId12" ref="C11"/>
    <hyperlink r:id="rId13" ref="R11"/>
    <hyperlink r:id="rId14" ref="R12"/>
    <hyperlink r:id="rId15" ref="R13"/>
    <hyperlink r:id="rId16" ref="C14"/>
    <hyperlink r:id="rId17" ref="R14"/>
    <hyperlink r:id="rId18" ref="R15"/>
    <hyperlink r:id="rId19" ref="R16"/>
    <hyperlink r:id="rId20" ref="C17"/>
    <hyperlink r:id="rId21" ref="R17"/>
    <hyperlink r:id="rId22" ref="C18"/>
    <hyperlink r:id="rId23" ref="C19"/>
    <hyperlink r:id="rId24" ref="R19"/>
    <hyperlink r:id="rId25" ref="C20"/>
    <hyperlink r:id="rId26" ref="R20"/>
    <hyperlink r:id="rId27" ref="C21"/>
    <hyperlink r:id="rId28" ref="R21"/>
    <hyperlink r:id="rId29" ref="C22"/>
    <hyperlink r:id="rId30" ref="R22"/>
    <hyperlink r:id="rId31" ref="R23"/>
    <hyperlink r:id="rId32" ref="C24"/>
    <hyperlink r:id="rId33" ref="R24"/>
    <hyperlink r:id="rId34" ref="R25"/>
    <hyperlink r:id="rId35" ref="C26"/>
    <hyperlink r:id="rId36" ref="R26"/>
    <hyperlink r:id="rId37" ref="C27"/>
    <hyperlink r:id="rId38" ref="R27"/>
    <hyperlink r:id="rId39" ref="C28"/>
    <hyperlink r:id="rId40" ref="R28"/>
    <hyperlink r:id="rId41" ref="C29"/>
    <hyperlink r:id="rId42" ref="R29"/>
    <hyperlink r:id="rId43" ref="C30"/>
    <hyperlink r:id="rId44" ref="R30"/>
    <hyperlink r:id="rId45" ref="R31"/>
    <hyperlink r:id="rId46" ref="R32"/>
    <hyperlink r:id="rId47" ref="R33"/>
    <hyperlink r:id="rId48" ref="C34"/>
    <hyperlink r:id="rId49" ref="R34"/>
    <hyperlink r:id="rId50" ref="R35"/>
    <hyperlink r:id="rId51" ref="R36"/>
    <hyperlink r:id="rId52" ref="C37"/>
    <hyperlink r:id="rId53" ref="R37"/>
    <hyperlink r:id="rId54" ref="R39"/>
    <hyperlink r:id="rId55" ref="C40"/>
    <hyperlink r:id="rId56" ref="R40"/>
    <hyperlink r:id="rId57" ref="C41"/>
    <hyperlink r:id="rId58" ref="R41"/>
    <hyperlink r:id="rId59" ref="C42"/>
    <hyperlink r:id="rId60" ref="R42"/>
    <hyperlink r:id="rId61" ref="C43"/>
    <hyperlink r:id="rId62" ref="R43"/>
    <hyperlink r:id="rId63" ref="C44"/>
    <hyperlink r:id="rId64" ref="R44"/>
    <hyperlink r:id="rId65" ref="C45"/>
    <hyperlink r:id="rId66" ref="R45"/>
    <hyperlink r:id="rId67" ref="R46"/>
    <hyperlink r:id="rId68" ref="C47"/>
    <hyperlink r:id="rId69" ref="R47"/>
    <hyperlink r:id="rId70" ref="C48"/>
    <hyperlink r:id="rId71" ref="R48"/>
    <hyperlink r:id="rId72" ref="C49"/>
    <hyperlink r:id="rId73" ref="M49"/>
    <hyperlink r:id="rId74" ref="R49"/>
    <hyperlink r:id="rId75" ref="C50"/>
    <hyperlink r:id="rId76" ref="R50"/>
    <hyperlink r:id="rId77" ref="C51"/>
    <hyperlink r:id="rId78" ref="R51"/>
    <hyperlink r:id="rId79" ref="C52"/>
    <hyperlink r:id="rId80" ref="M52"/>
    <hyperlink r:id="rId81" ref="R52"/>
    <hyperlink r:id="rId82" ref="C53"/>
    <hyperlink r:id="rId83" ref="M53"/>
    <hyperlink r:id="rId84" ref="R53"/>
    <hyperlink r:id="rId85" ref="C54"/>
    <hyperlink r:id="rId86" ref="M54"/>
    <hyperlink r:id="rId87" ref="R54"/>
    <hyperlink r:id="rId88" ref="C55"/>
    <hyperlink r:id="rId89" ref="M55"/>
    <hyperlink r:id="rId90" ref="R55"/>
    <hyperlink r:id="rId91" ref="M56"/>
    <hyperlink r:id="rId92" ref="R56"/>
    <hyperlink r:id="rId93" ref="C57"/>
    <hyperlink r:id="rId94" ref="M57"/>
    <hyperlink r:id="rId95" ref="R57"/>
    <hyperlink r:id="rId96" ref="C58"/>
    <hyperlink r:id="rId97" ref="M58"/>
    <hyperlink r:id="rId98" ref="R58"/>
    <hyperlink r:id="rId99" ref="C59"/>
    <hyperlink r:id="rId100" ref="M59"/>
    <hyperlink r:id="rId101" ref="R59"/>
    <hyperlink r:id="rId102" ref="M60"/>
    <hyperlink r:id="rId103" ref="R60"/>
    <hyperlink r:id="rId104" ref="C61"/>
    <hyperlink r:id="rId105" ref="M61"/>
    <hyperlink r:id="rId106" ref="R61"/>
    <hyperlink r:id="rId107" ref="M62"/>
    <hyperlink r:id="rId108" ref="R62"/>
    <hyperlink r:id="rId109" ref="M63"/>
    <hyperlink r:id="rId110" ref="R63"/>
    <hyperlink r:id="rId111" ref="C64"/>
    <hyperlink r:id="rId112" ref="M64"/>
    <hyperlink r:id="rId113" ref="R64"/>
    <hyperlink r:id="rId114" ref="C65"/>
    <hyperlink r:id="rId115" ref="M65"/>
    <hyperlink r:id="rId116" ref="R65"/>
    <hyperlink r:id="rId117" ref="C66"/>
    <hyperlink r:id="rId118" ref="M66"/>
    <hyperlink r:id="rId119" ref="R66"/>
    <hyperlink r:id="rId120" ref="C67"/>
    <hyperlink r:id="rId121" ref="M67"/>
    <hyperlink r:id="rId122" ref="R67"/>
    <hyperlink r:id="rId123" ref="M68"/>
    <hyperlink r:id="rId124" ref="R68"/>
    <hyperlink r:id="rId125" ref="C69"/>
    <hyperlink r:id="rId126" ref="M69"/>
    <hyperlink r:id="rId127" ref="R69"/>
    <hyperlink r:id="rId128" ref="C70"/>
    <hyperlink r:id="rId129" ref="M70"/>
    <hyperlink r:id="rId130" ref="R70"/>
    <hyperlink r:id="rId131" ref="C71"/>
    <hyperlink r:id="rId132" ref="M71"/>
    <hyperlink r:id="rId133" ref="R71"/>
    <hyperlink r:id="rId134" ref="C72"/>
    <hyperlink r:id="rId135" ref="M72"/>
    <hyperlink r:id="rId136" ref="R72"/>
    <hyperlink r:id="rId137" ref="C73"/>
    <hyperlink r:id="rId138" ref="M73"/>
    <hyperlink r:id="rId139" ref="R73"/>
    <hyperlink r:id="rId140" ref="M74"/>
    <hyperlink r:id="rId141" ref="R74"/>
    <hyperlink r:id="rId142" ref="C75"/>
    <hyperlink r:id="rId143" ref="M75"/>
    <hyperlink r:id="rId144" ref="R75"/>
    <hyperlink r:id="rId145" ref="M76"/>
    <hyperlink r:id="rId146" ref="R76"/>
    <hyperlink r:id="rId147" ref="C77"/>
    <hyperlink r:id="rId148" ref="M77"/>
    <hyperlink r:id="rId149" ref="R77"/>
    <hyperlink r:id="rId150" ref="M78"/>
    <hyperlink r:id="rId151" ref="R78"/>
    <hyperlink r:id="rId152" ref="C79"/>
    <hyperlink r:id="rId153" ref="M79"/>
    <hyperlink r:id="rId154" ref="R79"/>
    <hyperlink r:id="rId155" ref="C80"/>
    <hyperlink r:id="rId156" ref="M80"/>
    <hyperlink r:id="rId157" ref="R80"/>
    <hyperlink r:id="rId158" ref="C81"/>
    <hyperlink r:id="rId159" ref="M81"/>
    <hyperlink r:id="rId160" ref="R81"/>
    <hyperlink r:id="rId161" ref="C82"/>
    <hyperlink r:id="rId162" ref="M82"/>
    <hyperlink r:id="rId163" ref="R82"/>
    <hyperlink r:id="rId164" ref="C83"/>
    <hyperlink r:id="rId165" ref="M83"/>
    <hyperlink r:id="rId166" ref="R83"/>
    <hyperlink r:id="rId167" ref="C84"/>
    <hyperlink r:id="rId168" ref="M84"/>
    <hyperlink r:id="rId169" ref="R84"/>
    <hyperlink r:id="rId170" ref="C85"/>
    <hyperlink r:id="rId171" location="cite_note-15" ref="E85"/>
    <hyperlink r:id="rId172" ref="M85"/>
    <hyperlink r:id="rId173" ref="R85"/>
    <hyperlink r:id="rId174" ref="C86"/>
    <hyperlink r:id="rId175" ref="R86"/>
    <hyperlink r:id="rId176" ref="C87"/>
    <hyperlink r:id="rId177" ref="M87"/>
    <hyperlink r:id="rId178" ref="R87"/>
    <hyperlink r:id="rId179" ref="C88"/>
    <hyperlink r:id="rId180" ref="M88"/>
    <hyperlink r:id="rId181" ref="R88"/>
    <hyperlink r:id="rId182" ref="M89"/>
    <hyperlink r:id="rId183" ref="R89"/>
    <hyperlink r:id="rId184" ref="C90"/>
    <hyperlink r:id="rId185" ref="M90"/>
    <hyperlink r:id="rId186" ref="R90"/>
    <hyperlink r:id="rId187" ref="M91"/>
    <hyperlink r:id="rId188" ref="R91"/>
    <hyperlink r:id="rId189" ref="C92"/>
    <hyperlink r:id="rId190" ref="M92"/>
    <hyperlink r:id="rId191" ref="R92"/>
    <hyperlink r:id="rId192" ref="C93"/>
    <hyperlink r:id="rId193" ref="M93"/>
    <hyperlink r:id="rId194" ref="R93"/>
    <hyperlink r:id="rId195" ref="M94"/>
    <hyperlink r:id="rId196" ref="R94"/>
    <hyperlink r:id="rId197" ref="C95"/>
    <hyperlink r:id="rId198" ref="M95"/>
    <hyperlink r:id="rId199" ref="R95"/>
    <hyperlink r:id="rId200" ref="C96"/>
    <hyperlink r:id="rId201" ref="M96"/>
    <hyperlink r:id="rId202" ref="R96"/>
    <hyperlink r:id="rId203" ref="M97"/>
    <hyperlink r:id="rId204" ref="R97"/>
    <hyperlink r:id="rId205" ref="M98"/>
    <hyperlink r:id="rId206" ref="R98"/>
    <hyperlink r:id="rId207" ref="C99"/>
    <hyperlink r:id="rId208" ref="M99"/>
    <hyperlink r:id="rId209" ref="R99"/>
    <hyperlink r:id="rId210" ref="M100"/>
    <hyperlink r:id="rId211" ref="R100"/>
    <hyperlink r:id="rId212" ref="C101"/>
    <hyperlink r:id="rId213" ref="M101"/>
    <hyperlink r:id="rId214" ref="R101"/>
    <hyperlink r:id="rId215" ref="C102"/>
    <hyperlink r:id="rId216" ref="M102"/>
    <hyperlink r:id="rId217" ref="R102"/>
    <hyperlink r:id="rId218" ref="M103"/>
    <hyperlink r:id="rId219" ref="R103"/>
    <hyperlink r:id="rId220" ref="C104"/>
    <hyperlink r:id="rId221" ref="M104"/>
    <hyperlink r:id="rId222" ref="R104"/>
    <hyperlink r:id="rId223" ref="M105"/>
    <hyperlink r:id="rId224" ref="R105"/>
    <hyperlink r:id="rId225" ref="C106"/>
    <hyperlink r:id="rId226" ref="M106"/>
    <hyperlink r:id="rId227" ref="R106"/>
    <hyperlink r:id="rId228" ref="M107"/>
    <hyperlink r:id="rId229" ref="R107"/>
    <hyperlink r:id="rId230" ref="C108"/>
    <hyperlink r:id="rId231" ref="M108"/>
    <hyperlink r:id="rId232" ref="R108"/>
    <hyperlink r:id="rId233" ref="C109"/>
    <hyperlink r:id="rId234" ref="M109"/>
    <hyperlink r:id="rId235" ref="R109"/>
    <hyperlink r:id="rId236" ref="C110"/>
    <hyperlink r:id="rId237" ref="M110"/>
    <hyperlink r:id="rId238" ref="R110"/>
    <hyperlink r:id="rId239" ref="M111"/>
    <hyperlink r:id="rId240" ref="R111"/>
    <hyperlink r:id="rId241" ref="M112"/>
    <hyperlink r:id="rId242" ref="R112"/>
    <hyperlink r:id="rId243" ref="C113"/>
    <hyperlink r:id="rId244" ref="M113"/>
    <hyperlink r:id="rId245" ref="R113"/>
    <hyperlink r:id="rId246" ref="M114"/>
    <hyperlink r:id="rId247" ref="R114"/>
    <hyperlink r:id="rId248" ref="C115"/>
    <hyperlink r:id="rId249" ref="M115"/>
    <hyperlink r:id="rId250" ref="R115"/>
    <hyperlink r:id="rId251" ref="M116"/>
    <hyperlink r:id="rId252" ref="R116"/>
    <hyperlink r:id="rId253" ref="M117"/>
    <hyperlink r:id="rId254" ref="R117"/>
    <hyperlink r:id="rId255" ref="M118"/>
    <hyperlink r:id="rId256" ref="R118"/>
    <hyperlink r:id="rId257" ref="C119"/>
    <hyperlink r:id="rId258" ref="M119"/>
    <hyperlink r:id="rId259" ref="R119"/>
    <hyperlink r:id="rId260" ref="C120"/>
    <hyperlink r:id="rId261" ref="M120"/>
    <hyperlink r:id="rId262" ref="R120"/>
    <hyperlink r:id="rId263" ref="C121"/>
    <hyperlink r:id="rId264" ref="M121"/>
    <hyperlink r:id="rId265" ref="R121"/>
    <hyperlink r:id="rId266" ref="C122"/>
    <hyperlink r:id="rId267" ref="M122"/>
    <hyperlink r:id="rId268" ref="R122"/>
    <hyperlink r:id="rId269" ref="C123"/>
    <hyperlink r:id="rId270" ref="M123"/>
    <hyperlink r:id="rId271" ref="R123"/>
    <hyperlink r:id="rId272" ref="C124"/>
    <hyperlink r:id="rId273" ref="M124"/>
    <hyperlink r:id="rId274" ref="R124"/>
    <hyperlink r:id="rId275" ref="C125"/>
    <hyperlink r:id="rId276" ref="M125"/>
    <hyperlink r:id="rId277" ref="R125"/>
    <hyperlink r:id="rId278" ref="C126"/>
    <hyperlink r:id="rId279" ref="M126"/>
    <hyperlink r:id="rId280" ref="R126"/>
    <hyperlink r:id="rId281" ref="R127"/>
    <hyperlink r:id="rId282" ref="C128"/>
    <hyperlink r:id="rId283" ref="M128"/>
    <hyperlink r:id="rId284" ref="R128"/>
    <hyperlink r:id="rId285" ref="C129"/>
    <hyperlink r:id="rId286" ref="M129"/>
    <hyperlink r:id="rId287" ref="R129"/>
    <hyperlink r:id="rId288" ref="C130"/>
    <hyperlink r:id="rId289" ref="M130"/>
    <hyperlink r:id="rId290" ref="R130"/>
    <hyperlink r:id="rId291" ref="M131"/>
    <hyperlink r:id="rId292" ref="R131"/>
    <hyperlink r:id="rId293" ref="C132"/>
    <hyperlink r:id="rId294" ref="M132"/>
    <hyperlink r:id="rId295" ref="R132"/>
    <hyperlink r:id="rId296" ref="C133"/>
    <hyperlink r:id="rId297" ref="M133"/>
    <hyperlink r:id="rId298" ref="R133"/>
    <hyperlink r:id="rId299" ref="M134"/>
    <hyperlink r:id="rId300" ref="R134"/>
    <hyperlink r:id="rId301" ref="M135"/>
    <hyperlink r:id="rId302" ref="R135"/>
    <hyperlink r:id="rId303" ref="M136"/>
    <hyperlink r:id="rId304" ref="R136"/>
    <hyperlink r:id="rId305" ref="M137"/>
    <hyperlink r:id="rId306" ref="R137"/>
    <hyperlink r:id="rId307" ref="C138"/>
    <hyperlink r:id="rId308" ref="M138"/>
    <hyperlink r:id="rId309" ref="R138"/>
    <hyperlink r:id="rId310" ref="M139"/>
    <hyperlink r:id="rId311" ref="R139"/>
    <hyperlink r:id="rId312" ref="C140"/>
    <hyperlink r:id="rId313" ref="M140"/>
    <hyperlink r:id="rId314" ref="R140"/>
    <hyperlink r:id="rId315" ref="C141"/>
    <hyperlink r:id="rId316" ref="M141"/>
    <hyperlink r:id="rId317" ref="R141"/>
    <hyperlink r:id="rId318" ref="C142"/>
    <hyperlink r:id="rId319" ref="M142"/>
    <hyperlink r:id="rId320" ref="R142"/>
    <hyperlink r:id="rId321" ref="C143"/>
    <hyperlink r:id="rId322" ref="M143"/>
    <hyperlink r:id="rId323" ref="R143"/>
    <hyperlink r:id="rId324" ref="M144"/>
    <hyperlink r:id="rId325" ref="R144"/>
    <hyperlink r:id="rId326" ref="C145"/>
    <hyperlink r:id="rId327" ref="M145"/>
    <hyperlink r:id="rId328" ref="R145"/>
    <hyperlink r:id="rId329" ref="C146"/>
    <hyperlink r:id="rId330" ref="M146"/>
    <hyperlink r:id="rId331" ref="R146"/>
    <hyperlink r:id="rId332" ref="C147"/>
    <hyperlink r:id="rId333" ref="M147"/>
    <hyperlink r:id="rId334" ref="R147"/>
    <hyperlink r:id="rId335" ref="C148"/>
    <hyperlink r:id="rId336" ref="M148"/>
    <hyperlink r:id="rId337" ref="R148"/>
    <hyperlink r:id="rId338" ref="C149"/>
    <hyperlink r:id="rId339" ref="M149"/>
    <hyperlink r:id="rId340" ref="R149"/>
    <hyperlink r:id="rId341" ref="C150"/>
    <hyperlink r:id="rId342" ref="M150"/>
    <hyperlink r:id="rId343" ref="R150"/>
    <hyperlink r:id="rId344" ref="C151"/>
    <hyperlink r:id="rId345" ref="M151"/>
    <hyperlink r:id="rId346" ref="R151"/>
    <hyperlink r:id="rId347" ref="M152"/>
    <hyperlink r:id="rId348" ref="R152"/>
    <hyperlink r:id="rId349" ref="C153"/>
    <hyperlink r:id="rId350" ref="M153"/>
    <hyperlink r:id="rId351" ref="R153"/>
    <hyperlink r:id="rId352" ref="C154"/>
    <hyperlink r:id="rId353" ref="M154"/>
    <hyperlink r:id="rId354" ref="R154"/>
    <hyperlink r:id="rId355" ref="C156"/>
    <hyperlink r:id="rId356" ref="M156"/>
    <hyperlink r:id="rId357" ref="R156"/>
    <hyperlink r:id="rId358" ref="C157"/>
    <hyperlink r:id="rId359" ref="M157"/>
    <hyperlink r:id="rId360" ref="M158"/>
    <hyperlink r:id="rId361" ref="R158"/>
    <hyperlink r:id="rId362" ref="C159"/>
    <hyperlink r:id="rId363" ref="M159"/>
    <hyperlink r:id="rId364" ref="R159"/>
    <hyperlink r:id="rId365" ref="C160"/>
    <hyperlink r:id="rId366" ref="M160"/>
    <hyperlink r:id="rId367" ref="R160"/>
    <hyperlink r:id="rId368" ref="R161"/>
    <hyperlink r:id="rId369" ref="M162"/>
    <hyperlink r:id="rId370" ref="R162"/>
    <hyperlink r:id="rId371" ref="C163"/>
    <hyperlink r:id="rId372" ref="M163"/>
    <hyperlink r:id="rId373" ref="C164"/>
    <hyperlink r:id="rId374" ref="M164"/>
    <hyperlink r:id="rId375" ref="R164"/>
    <hyperlink r:id="rId376" ref="R166"/>
    <hyperlink r:id="rId377" ref="C167"/>
    <hyperlink r:id="rId378" ref="M167"/>
    <hyperlink r:id="rId379" ref="R167"/>
    <hyperlink r:id="rId380" ref="C168"/>
    <hyperlink r:id="rId381" ref="F168"/>
    <hyperlink r:id="rId382" ref="M168"/>
    <hyperlink r:id="rId383" ref="R168"/>
    <hyperlink r:id="rId384" ref="C169"/>
    <hyperlink r:id="rId385" ref="M169"/>
    <hyperlink r:id="rId386" ref="R169"/>
    <hyperlink r:id="rId387" ref="M170"/>
    <hyperlink r:id="rId388" ref="C171"/>
    <hyperlink r:id="rId389" ref="M171"/>
    <hyperlink r:id="rId390" ref="M172"/>
    <hyperlink r:id="rId391" ref="R172"/>
    <hyperlink r:id="rId392" ref="C173"/>
    <hyperlink r:id="rId393" ref="R173"/>
    <hyperlink r:id="rId394" ref="C174"/>
    <hyperlink r:id="rId395" ref="M174"/>
    <hyperlink r:id="rId396" ref="R175"/>
    <hyperlink r:id="rId397" ref="C176"/>
    <hyperlink r:id="rId398" ref="F176"/>
    <hyperlink r:id="rId399" ref="M176"/>
    <hyperlink r:id="rId400" ref="F177"/>
    <hyperlink r:id="rId401" ref="C178"/>
    <hyperlink r:id="rId402" ref="F178"/>
    <hyperlink r:id="rId403" ref="M178"/>
    <hyperlink r:id="rId404" ref="R178"/>
    <hyperlink r:id="rId405" ref="M179"/>
    <hyperlink r:id="rId406" ref="R179"/>
    <hyperlink r:id="rId407" ref="C180"/>
    <hyperlink r:id="rId408" ref="M180"/>
    <hyperlink r:id="rId409" location="cite_note-2" ref="O180"/>
    <hyperlink r:id="rId410" ref="C181"/>
    <hyperlink r:id="rId411" ref="M181"/>
    <hyperlink r:id="rId412" ref="C182"/>
    <hyperlink r:id="rId413" ref="M182"/>
    <hyperlink r:id="rId414" ref="C184"/>
    <hyperlink r:id="rId415" ref="M184"/>
    <hyperlink r:id="rId416" ref="C186"/>
    <hyperlink r:id="rId417" ref="M186"/>
    <hyperlink r:id="rId418" ref="C187"/>
    <hyperlink r:id="rId419" ref="M187"/>
    <hyperlink r:id="rId420" ref="C188"/>
    <hyperlink r:id="rId421" ref="M190"/>
  </hyperlinks>
  <drawing r:id="rId42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3" max="4" width="17.0"/>
  </cols>
  <sheetData>
    <row r="1" ht="15.0" customHeight="1" outlineLevel="1">
      <c r="A1" s="1" t="s">
        <v>0</v>
      </c>
      <c r="B1" s="2" t="s">
        <v>1</v>
      </c>
      <c r="C1" s="2" t="s">
        <v>2</v>
      </c>
      <c r="D1" s="2" t="s">
        <v>2</v>
      </c>
      <c r="E1" s="3"/>
      <c r="F1" s="30" t="s">
        <v>1577</v>
      </c>
      <c r="G1" s="30" t="s">
        <v>4</v>
      </c>
      <c r="H1" s="30" t="s">
        <v>5</v>
      </c>
      <c r="I1" s="30" t="s">
        <v>6</v>
      </c>
      <c r="J1" s="30" t="s">
        <v>7</v>
      </c>
      <c r="K1" s="1" t="s">
        <v>8</v>
      </c>
      <c r="L1" s="7" t="s">
        <v>9</v>
      </c>
      <c r="N1" s="10" t="s">
        <v>14</v>
      </c>
      <c r="P1" s="167"/>
      <c r="Q1" s="167"/>
      <c r="R1" s="30"/>
      <c r="S1" s="20"/>
      <c r="T1" s="20"/>
      <c r="U1" s="20"/>
      <c r="V1" s="20"/>
      <c r="W1" s="20"/>
      <c r="X1" s="20"/>
      <c r="Y1" s="20"/>
      <c r="Z1" s="20"/>
      <c r="AA1" s="20"/>
      <c r="AB1" s="20"/>
      <c r="AC1" s="20"/>
      <c r="AD1" s="20"/>
    </row>
    <row r="2" ht="16.5" customHeight="1" outlineLevel="1">
      <c r="A2" s="23"/>
      <c r="B2" s="480"/>
      <c r="C2" s="325"/>
      <c r="D2" s="325"/>
      <c r="E2" s="3"/>
      <c r="F2" s="168">
        <v>43424.0</v>
      </c>
      <c r="G2" s="168">
        <v>43500.0</v>
      </c>
      <c r="H2" s="21">
        <f>G2-TODAY()</f>
        <v>-235</v>
      </c>
      <c r="I2" s="168">
        <v>43474.0</v>
      </c>
      <c r="J2" s="168">
        <v>43563.0</v>
      </c>
      <c r="K2" s="23"/>
      <c r="L2" s="26">
        <f>CountIFS($E:$E,"=Dem",$A:$A,"=House")</f>
        <v>99</v>
      </c>
      <c r="M2" s="28">
        <f>CountIFS($E:$E,"=Rep",$A:$A,"=House")</f>
        <v>42</v>
      </c>
      <c r="N2" s="26">
        <f>CountIFS($E:$E,"=Dem",$A:$A,"=Senate")</f>
        <v>32</v>
      </c>
      <c r="O2" s="28">
        <f>CountIFS($E:$E,"=Rep",$A:$A,"=Senate")</f>
        <v>15</v>
      </c>
      <c r="P2" s="167"/>
      <c r="Q2" s="167"/>
      <c r="R2" s="30"/>
      <c r="S2" s="20"/>
      <c r="T2" s="20"/>
      <c r="U2" s="20"/>
      <c r="V2" s="20"/>
      <c r="W2" s="20"/>
      <c r="X2" s="20"/>
      <c r="Y2" s="20"/>
      <c r="Z2" s="20"/>
      <c r="AA2" s="20"/>
      <c r="AB2" s="20"/>
      <c r="AC2" s="20"/>
      <c r="AD2" s="20"/>
    </row>
    <row r="3">
      <c r="A3" s="30" t="s">
        <v>29</v>
      </c>
      <c r="B3" s="365" t="s">
        <v>30</v>
      </c>
      <c r="C3" s="2" t="s">
        <v>31</v>
      </c>
      <c r="D3" s="2" t="s">
        <v>32</v>
      </c>
      <c r="E3" s="3" t="s">
        <v>33</v>
      </c>
      <c r="F3" s="1" t="s">
        <v>10</v>
      </c>
      <c r="G3" s="1" t="s">
        <v>34</v>
      </c>
      <c r="H3" s="1" t="s">
        <v>34</v>
      </c>
      <c r="I3" s="1" t="s">
        <v>34</v>
      </c>
      <c r="J3" s="1" t="s">
        <v>34</v>
      </c>
      <c r="K3" s="1" t="s">
        <v>35</v>
      </c>
      <c r="L3" s="19" t="s">
        <v>36</v>
      </c>
      <c r="M3" s="19" t="s">
        <v>37</v>
      </c>
      <c r="N3" s="19" t="s">
        <v>38</v>
      </c>
      <c r="O3" s="17" t="s">
        <v>39</v>
      </c>
      <c r="P3" s="11" t="s">
        <v>40</v>
      </c>
      <c r="Q3" s="11" t="s">
        <v>41</v>
      </c>
      <c r="R3" s="17" t="s">
        <v>42</v>
      </c>
      <c r="S3" s="20"/>
      <c r="T3" s="20"/>
      <c r="U3" s="20"/>
      <c r="V3" s="20"/>
      <c r="W3" s="20"/>
      <c r="X3" s="20"/>
      <c r="Y3" s="20"/>
      <c r="Z3" s="20"/>
      <c r="AA3" s="20"/>
      <c r="AB3" s="20"/>
      <c r="AC3" s="20"/>
      <c r="AD3" s="20"/>
    </row>
    <row r="4">
      <c r="A4" s="481" t="s">
        <v>44</v>
      </c>
      <c r="B4" s="482" t="s">
        <v>6151</v>
      </c>
      <c r="C4" s="483" t="s">
        <v>6155</v>
      </c>
      <c r="D4" s="483" t="s">
        <v>6162</v>
      </c>
      <c r="E4" s="484" t="s">
        <v>53</v>
      </c>
      <c r="L4" s="485" t="s">
        <v>6163</v>
      </c>
      <c r="M4" s="14" t="s">
        <v>6164</v>
      </c>
    </row>
    <row r="5">
      <c r="A5" s="481" t="s">
        <v>44</v>
      </c>
      <c r="B5" s="482" t="s">
        <v>6165</v>
      </c>
      <c r="C5" s="486" t="s">
        <v>1231</v>
      </c>
      <c r="D5" s="486" t="s">
        <v>6169</v>
      </c>
      <c r="E5" s="484" t="s">
        <v>53</v>
      </c>
      <c r="L5" s="14">
        <v>4.108413404E9</v>
      </c>
      <c r="M5" t="str">
        <f t="shared" ref="M5:M86" si="1">concatenate(lower(C5),".",lower(D5),"@house.state.md.us")</f>
        <v>jason.buckel@house.state.md.us</v>
      </c>
    </row>
    <row r="6">
      <c r="A6" s="481" t="s">
        <v>44</v>
      </c>
      <c r="B6" s="482" t="s">
        <v>6170</v>
      </c>
      <c r="C6" s="483" t="s">
        <v>2490</v>
      </c>
      <c r="D6" s="483" t="s">
        <v>6180</v>
      </c>
      <c r="E6" s="484" t="s">
        <v>53</v>
      </c>
      <c r="L6" s="487" t="s">
        <v>6181</v>
      </c>
      <c r="M6" t="str">
        <f t="shared" si="1"/>
        <v>michael.mckay@house.state.md.us</v>
      </c>
    </row>
    <row r="7">
      <c r="A7" s="481" t="s">
        <v>44</v>
      </c>
      <c r="B7" s="482" t="s">
        <v>6182</v>
      </c>
      <c r="C7" s="483" t="s">
        <v>500</v>
      </c>
      <c r="D7" s="483" t="s">
        <v>6183</v>
      </c>
      <c r="E7" s="484" t="s">
        <v>53</v>
      </c>
      <c r="L7" s="487" t="s">
        <v>6184</v>
      </c>
      <c r="M7" t="str">
        <f t="shared" si="1"/>
        <v>neil.parrott@house.state.md.us</v>
      </c>
    </row>
    <row r="8">
      <c r="A8" s="481" t="s">
        <v>44</v>
      </c>
      <c r="B8" s="482" t="s">
        <v>6182</v>
      </c>
      <c r="C8" s="483" t="s">
        <v>1058</v>
      </c>
      <c r="D8" s="483" t="s">
        <v>6185</v>
      </c>
      <c r="E8" s="484" t="s">
        <v>53</v>
      </c>
      <c r="L8" s="14" t="s">
        <v>6186</v>
      </c>
      <c r="M8" t="str">
        <f t="shared" si="1"/>
        <v>william.wivell@house.state.md.us</v>
      </c>
    </row>
    <row r="9">
      <c r="A9" s="481" t="s">
        <v>44</v>
      </c>
      <c r="B9" s="482" t="s">
        <v>6189</v>
      </c>
      <c r="C9" s="483" t="s">
        <v>679</v>
      </c>
      <c r="D9" s="483" t="s">
        <v>6194</v>
      </c>
      <c r="E9" s="484" t="s">
        <v>53</v>
      </c>
      <c r="L9" s="14" t="s">
        <v>6195</v>
      </c>
      <c r="M9" t="str">
        <f t="shared" si="1"/>
        <v>paul.corderman@house.state.md.us</v>
      </c>
    </row>
    <row r="10">
      <c r="A10" s="481" t="s">
        <v>44</v>
      </c>
      <c r="B10" s="482" t="s">
        <v>6196</v>
      </c>
      <c r="C10" s="483" t="s">
        <v>801</v>
      </c>
      <c r="D10" s="483" t="s">
        <v>6197</v>
      </c>
      <c r="E10" s="491" t="s">
        <v>49</v>
      </c>
      <c r="L10" s="14" t="s">
        <v>6198</v>
      </c>
      <c r="M10" t="str">
        <f t="shared" si="1"/>
        <v>carol.krimm@house.state.md.us</v>
      </c>
    </row>
    <row r="11">
      <c r="A11" s="481" t="s">
        <v>44</v>
      </c>
      <c r="B11" s="482" t="s">
        <v>6196</v>
      </c>
      <c r="C11" s="483" t="s">
        <v>1153</v>
      </c>
      <c r="D11" s="483" t="s">
        <v>429</v>
      </c>
      <c r="E11" s="491" t="s">
        <v>49</v>
      </c>
      <c r="L11" s="492" t="s">
        <v>6199</v>
      </c>
      <c r="M11" t="str">
        <f t="shared" si="1"/>
        <v>karen.young@house.state.md.us</v>
      </c>
    </row>
    <row r="12">
      <c r="A12" s="481" t="s">
        <v>44</v>
      </c>
      <c r="B12" s="482" t="s">
        <v>6200</v>
      </c>
      <c r="C12" s="483" t="s">
        <v>1049</v>
      </c>
      <c r="D12" s="483" t="s">
        <v>1244</v>
      </c>
      <c r="E12" s="491" t="s">
        <v>49</v>
      </c>
      <c r="M12" t="str">
        <f t="shared" si="1"/>
        <v>ken.kerr@house.state.md.us</v>
      </c>
    </row>
    <row r="13">
      <c r="A13" s="481" t="s">
        <v>44</v>
      </c>
      <c r="B13" s="482">
        <v>4.0</v>
      </c>
      <c r="C13" s="486" t="s">
        <v>239</v>
      </c>
      <c r="D13" s="486" t="s">
        <v>3708</v>
      </c>
      <c r="E13" s="484" t="s">
        <v>53</v>
      </c>
      <c r="M13" t="str">
        <f t="shared" si="1"/>
        <v>dan.cox@house.state.md.us</v>
      </c>
    </row>
    <row r="14">
      <c r="A14" s="481" t="s">
        <v>44</v>
      </c>
      <c r="B14" s="482">
        <v>4.0</v>
      </c>
      <c r="C14" s="486" t="s">
        <v>6201</v>
      </c>
      <c r="D14" s="486" t="s">
        <v>6202</v>
      </c>
      <c r="E14" s="484" t="s">
        <v>53</v>
      </c>
      <c r="L14" s="14" t="s">
        <v>6203</v>
      </c>
      <c r="M14" t="str">
        <f t="shared" si="1"/>
        <v>barrie.ciliberti@house.state.md.us</v>
      </c>
    </row>
    <row r="15">
      <c r="A15" s="481" t="s">
        <v>44</v>
      </c>
      <c r="B15" s="482">
        <v>4.0</v>
      </c>
      <c r="C15" s="486" t="s">
        <v>386</v>
      </c>
      <c r="D15" s="486" t="s">
        <v>6204</v>
      </c>
      <c r="E15" s="484" t="s">
        <v>53</v>
      </c>
      <c r="M15" t="str">
        <f t="shared" si="1"/>
        <v>jesse.pippy@house.state.md.us</v>
      </c>
    </row>
    <row r="16">
      <c r="A16" s="481" t="s">
        <v>44</v>
      </c>
      <c r="B16" s="482">
        <v>5.0</v>
      </c>
      <c r="C16" s="486" t="s">
        <v>1446</v>
      </c>
      <c r="D16" s="486" t="s">
        <v>6205</v>
      </c>
      <c r="E16" s="484" t="s">
        <v>53</v>
      </c>
      <c r="L16" s="494" t="s">
        <v>6206</v>
      </c>
      <c r="M16" t="str">
        <f t="shared" si="1"/>
        <v>susan.krebs@house.state.md.us</v>
      </c>
    </row>
    <row r="17">
      <c r="A17" s="481" t="s">
        <v>44</v>
      </c>
      <c r="B17" s="482">
        <v>5.0</v>
      </c>
      <c r="C17" s="486" t="s">
        <v>480</v>
      </c>
      <c r="D17" s="486" t="s">
        <v>2719</v>
      </c>
      <c r="E17" s="484" t="s">
        <v>53</v>
      </c>
      <c r="L17" s="485" t="s">
        <v>6207</v>
      </c>
      <c r="M17" t="str">
        <f t="shared" si="1"/>
        <v>april.rose@house.state.md.us</v>
      </c>
    </row>
    <row r="18">
      <c r="A18" s="481" t="s">
        <v>44</v>
      </c>
      <c r="B18" s="482">
        <v>5.0</v>
      </c>
      <c r="C18" s="486" t="s">
        <v>6208</v>
      </c>
      <c r="D18" s="486" t="s">
        <v>6209</v>
      </c>
      <c r="E18" s="484" t="s">
        <v>53</v>
      </c>
      <c r="L18" s="14" t="s">
        <v>6210</v>
      </c>
      <c r="M18" t="str">
        <f t="shared" si="1"/>
        <v>haven.shoemaker@house.state.md.us</v>
      </c>
    </row>
    <row r="19">
      <c r="A19" s="481" t="s">
        <v>44</v>
      </c>
      <c r="B19" s="482">
        <v>6.0</v>
      </c>
      <c r="C19" s="486" t="s">
        <v>1651</v>
      </c>
      <c r="D19" s="486" t="s">
        <v>6213</v>
      </c>
      <c r="E19" s="484" t="s">
        <v>53</v>
      </c>
      <c r="L19" s="485" t="s">
        <v>6214</v>
      </c>
      <c r="M19" t="str">
        <f t="shared" si="1"/>
        <v>robin.grammer@house.state.md.us</v>
      </c>
    </row>
    <row r="20">
      <c r="A20" s="481" t="s">
        <v>44</v>
      </c>
      <c r="B20" s="482">
        <v>6.0</v>
      </c>
      <c r="C20" s="486" t="s">
        <v>1134</v>
      </c>
      <c r="D20" s="486" t="s">
        <v>4836</v>
      </c>
      <c r="E20" s="484" t="s">
        <v>53</v>
      </c>
      <c r="L20" s="14" t="s">
        <v>6217</v>
      </c>
      <c r="M20" t="str">
        <f t="shared" si="1"/>
        <v>robert.long@house.state.md.us</v>
      </c>
    </row>
    <row r="21">
      <c r="A21" s="481" t="s">
        <v>44</v>
      </c>
      <c r="B21" s="482">
        <v>6.0</v>
      </c>
      <c r="C21" s="486" t="s">
        <v>1112</v>
      </c>
      <c r="D21" s="486" t="s">
        <v>6218</v>
      </c>
      <c r="E21" s="484" t="s">
        <v>53</v>
      </c>
      <c r="L21" s="14" t="s">
        <v>6219</v>
      </c>
      <c r="M21" t="str">
        <f t="shared" si="1"/>
        <v>richard.metzgar@house.state.md.us</v>
      </c>
    </row>
    <row r="22">
      <c r="A22" s="481" t="s">
        <v>44</v>
      </c>
      <c r="B22" s="482">
        <v>7.0</v>
      </c>
      <c r="C22" s="486" t="s">
        <v>1112</v>
      </c>
      <c r="D22" s="486" t="s">
        <v>6220</v>
      </c>
      <c r="E22" s="484" t="s">
        <v>53</v>
      </c>
      <c r="L22" s="14" t="s">
        <v>6221</v>
      </c>
      <c r="M22" t="str">
        <f t="shared" si="1"/>
        <v>richard.impallaria@house.state.md.us</v>
      </c>
    </row>
    <row r="23">
      <c r="A23" s="481" t="s">
        <v>44</v>
      </c>
      <c r="B23" s="482">
        <v>7.0</v>
      </c>
      <c r="C23" s="486" t="s">
        <v>3317</v>
      </c>
      <c r="D23" s="486" t="s">
        <v>6222</v>
      </c>
      <c r="E23" s="484" t="s">
        <v>53</v>
      </c>
      <c r="M23" t="str">
        <f t="shared" si="1"/>
        <v>lauren.arikan@house.state.md.us</v>
      </c>
    </row>
    <row r="24">
      <c r="A24" s="481" t="s">
        <v>44</v>
      </c>
      <c r="B24" s="482">
        <v>7.0</v>
      </c>
      <c r="C24" s="486" t="s">
        <v>2724</v>
      </c>
      <c r="D24" s="486" t="s">
        <v>6223</v>
      </c>
      <c r="E24" s="484" t="s">
        <v>53</v>
      </c>
      <c r="L24" s="494" t="s">
        <v>6224</v>
      </c>
      <c r="M24" t="str">
        <f t="shared" si="1"/>
        <v>kathy.szeliga@house.state.md.us</v>
      </c>
    </row>
    <row r="25">
      <c r="A25" s="481" t="s">
        <v>44</v>
      </c>
      <c r="B25" s="482">
        <v>8.0</v>
      </c>
      <c r="C25" s="486" t="s">
        <v>2302</v>
      </c>
      <c r="D25" s="486" t="s">
        <v>6225</v>
      </c>
      <c r="E25" s="491" t="s">
        <v>49</v>
      </c>
      <c r="G25" s="14" t="s">
        <v>6227</v>
      </c>
      <c r="M25" t="str">
        <f t="shared" si="1"/>
        <v>eric.bromwell@house.state.md.us</v>
      </c>
    </row>
    <row r="26">
      <c r="A26" s="481" t="s">
        <v>44</v>
      </c>
      <c r="B26" s="482">
        <v>8.0</v>
      </c>
      <c r="C26" s="486" t="s">
        <v>2527</v>
      </c>
      <c r="D26" s="486" t="s">
        <v>5289</v>
      </c>
      <c r="E26" s="484" t="s">
        <v>53</v>
      </c>
      <c r="L26" t="s">
        <v>6229</v>
      </c>
      <c r="M26" t="str">
        <f t="shared" si="1"/>
        <v>joseph.cluster@house.state.md.us</v>
      </c>
    </row>
    <row r="27">
      <c r="A27" s="481" t="s">
        <v>44</v>
      </c>
      <c r="B27" s="482">
        <v>8.0</v>
      </c>
      <c r="C27" s="486" t="s">
        <v>543</v>
      </c>
      <c r="D27" s="486" t="s">
        <v>6230</v>
      </c>
      <c r="E27" s="491" t="s">
        <v>49</v>
      </c>
      <c r="M27" t="str">
        <f t="shared" si="1"/>
        <v>harry.bhandari@house.state.md.us</v>
      </c>
    </row>
    <row r="28">
      <c r="A28" s="481" t="s">
        <v>44</v>
      </c>
      <c r="B28" s="482" t="s">
        <v>6231</v>
      </c>
      <c r="C28" s="486" t="s">
        <v>2298</v>
      </c>
      <c r="D28" s="486" t="s">
        <v>6232</v>
      </c>
      <c r="E28" s="484" t="s">
        <v>53</v>
      </c>
      <c r="M28" t="str">
        <f t="shared" si="1"/>
        <v>trent.kittleman@house.state.md.us</v>
      </c>
    </row>
    <row r="29">
      <c r="A29" s="481" t="s">
        <v>44</v>
      </c>
      <c r="B29" s="482" t="s">
        <v>6231</v>
      </c>
      <c r="C29" s="486" t="s">
        <v>646</v>
      </c>
      <c r="D29" s="486" t="s">
        <v>1501</v>
      </c>
      <c r="E29" s="484" t="s">
        <v>53</v>
      </c>
      <c r="L29" s="14" t="s">
        <v>6233</v>
      </c>
      <c r="M29" t="str">
        <f t="shared" si="1"/>
        <v>warren.miller@house.state.md.us</v>
      </c>
    </row>
    <row r="30">
      <c r="A30" s="481" t="s">
        <v>44</v>
      </c>
      <c r="B30" s="482" t="s">
        <v>6234</v>
      </c>
      <c r="C30" s="486" t="s">
        <v>3014</v>
      </c>
      <c r="D30" s="486" t="s">
        <v>853</v>
      </c>
      <c r="E30" s="491" t="s">
        <v>49</v>
      </c>
      <c r="M30" t="str">
        <f t="shared" si="1"/>
        <v>courtney.watson@house.state.md.us</v>
      </c>
    </row>
    <row r="31">
      <c r="A31" s="481" t="s">
        <v>44</v>
      </c>
      <c r="B31" s="482">
        <v>10.0</v>
      </c>
      <c r="C31" s="486" t="s">
        <v>5957</v>
      </c>
      <c r="D31" s="486" t="s">
        <v>1141</v>
      </c>
      <c r="E31" s="491" t="s">
        <v>49</v>
      </c>
      <c r="L31" s="14" t="s">
        <v>6236</v>
      </c>
      <c r="M31" t="str">
        <f t="shared" si="1"/>
        <v>benjamin.brooks@house.state.md.us</v>
      </c>
    </row>
    <row r="32">
      <c r="A32" s="481" t="s">
        <v>44</v>
      </c>
      <c r="B32" s="482">
        <v>10.0</v>
      </c>
      <c r="C32" s="486" t="s">
        <v>1013</v>
      </c>
      <c r="D32" s="486" t="s">
        <v>6237</v>
      </c>
      <c r="E32" s="491" t="s">
        <v>49</v>
      </c>
      <c r="L32" s="14" t="s">
        <v>6238</v>
      </c>
      <c r="M32" t="str">
        <f t="shared" si="1"/>
        <v>jay.jalisi@house.state.md.us</v>
      </c>
    </row>
    <row r="33">
      <c r="A33" s="481" t="s">
        <v>44</v>
      </c>
      <c r="B33" s="482">
        <v>10.0</v>
      </c>
      <c r="C33" s="486" t="s">
        <v>1862</v>
      </c>
      <c r="D33" s="486" t="s">
        <v>706</v>
      </c>
      <c r="E33" s="491" t="s">
        <v>49</v>
      </c>
      <c r="L33" s="14" t="s">
        <v>6239</v>
      </c>
      <c r="M33" t="str">
        <f t="shared" si="1"/>
        <v>adrienne.jones@house.state.md.us</v>
      </c>
    </row>
    <row r="34">
      <c r="A34" s="481" t="s">
        <v>44</v>
      </c>
      <c r="B34" s="482">
        <v>11.0</v>
      </c>
      <c r="C34" s="486" t="s">
        <v>3698</v>
      </c>
      <c r="D34" s="486" t="s">
        <v>6240</v>
      </c>
      <c r="E34" s="491" t="s">
        <v>49</v>
      </c>
      <c r="L34" s="14" t="s">
        <v>6241</v>
      </c>
      <c r="M34" t="str">
        <f t="shared" si="1"/>
        <v>shelly.hettleman@house.state.md.us</v>
      </c>
    </row>
    <row r="35">
      <c r="A35" s="481" t="s">
        <v>44</v>
      </c>
      <c r="B35" s="482">
        <v>11.0</v>
      </c>
      <c r="C35" s="486" t="s">
        <v>1387</v>
      </c>
      <c r="D35" s="486" t="s">
        <v>6242</v>
      </c>
      <c r="E35" s="491" t="s">
        <v>49</v>
      </c>
      <c r="M35" t="str">
        <f t="shared" si="1"/>
        <v>jon.cardin@house.state.md.us</v>
      </c>
    </row>
    <row r="36">
      <c r="A36" s="481" t="s">
        <v>44</v>
      </c>
      <c r="B36" s="482">
        <v>11.0</v>
      </c>
      <c r="C36" s="486" t="s">
        <v>6243</v>
      </c>
      <c r="D36" s="486" t="s">
        <v>6244</v>
      </c>
      <c r="E36" s="491" t="s">
        <v>49</v>
      </c>
      <c r="L36" s="494" t="s">
        <v>6245</v>
      </c>
      <c r="M36" t="str">
        <f t="shared" si="1"/>
        <v>dana.stein@house.state.md.us</v>
      </c>
    </row>
    <row r="37">
      <c r="A37" s="481" t="s">
        <v>44</v>
      </c>
      <c r="B37" s="482">
        <v>12.0</v>
      </c>
      <c r="C37" s="486" t="s">
        <v>2302</v>
      </c>
      <c r="D37" s="486" t="s">
        <v>6246</v>
      </c>
      <c r="E37" s="491" t="s">
        <v>49</v>
      </c>
      <c r="L37" s="14" t="s">
        <v>6247</v>
      </c>
      <c r="M37" t="str">
        <f t="shared" si="1"/>
        <v>eric.ebersole@house.state.md.us</v>
      </c>
    </row>
    <row r="38">
      <c r="A38" s="481" t="s">
        <v>44</v>
      </c>
      <c r="B38" s="482">
        <v>12.0</v>
      </c>
      <c r="C38" s="486" t="s">
        <v>6166</v>
      </c>
      <c r="D38" s="486" t="s">
        <v>6248</v>
      </c>
      <c r="E38" s="491" t="s">
        <v>49</v>
      </c>
      <c r="M38" t="str">
        <f t="shared" si="1"/>
        <v>jessica.feldmark@house.state.md.us</v>
      </c>
    </row>
    <row r="39">
      <c r="A39" s="481" t="s">
        <v>44</v>
      </c>
      <c r="B39" s="482">
        <v>12.0</v>
      </c>
      <c r="C39" s="486" t="s">
        <v>3600</v>
      </c>
      <c r="D39" s="486" t="s">
        <v>6249</v>
      </c>
      <c r="E39" s="491" t="s">
        <v>49</v>
      </c>
      <c r="L39" s="14" t="s">
        <v>6250</v>
      </c>
      <c r="M39" t="str">
        <f t="shared" si="1"/>
        <v>clarence.lam@house.state.md.us</v>
      </c>
    </row>
    <row r="40">
      <c r="A40" s="481" t="s">
        <v>44</v>
      </c>
      <c r="B40" s="482">
        <v>13.0</v>
      </c>
      <c r="C40" s="486" t="s">
        <v>4804</v>
      </c>
      <c r="D40" s="486" t="s">
        <v>6251</v>
      </c>
      <c r="E40" s="491" t="s">
        <v>49</v>
      </c>
      <c r="G40" s="14" t="s">
        <v>517</v>
      </c>
      <c r="L40" s="14" t="s">
        <v>6252</v>
      </c>
      <c r="M40" t="str">
        <f t="shared" si="1"/>
        <v>vanessa.atterbeary@house.state.md.us</v>
      </c>
    </row>
    <row r="41">
      <c r="A41" s="481" t="s">
        <v>44</v>
      </c>
      <c r="B41" s="482">
        <v>13.0</v>
      </c>
      <c r="C41" s="486" t="s">
        <v>756</v>
      </c>
      <c r="D41" s="486" t="s">
        <v>6253</v>
      </c>
      <c r="E41" s="491" t="s">
        <v>49</v>
      </c>
      <c r="L41" s="494" t="s">
        <v>6254</v>
      </c>
      <c r="M41" t="str">
        <f t="shared" si="1"/>
        <v>shane.pendergrass@house.state.md.us</v>
      </c>
    </row>
    <row r="42">
      <c r="A42" s="481" t="s">
        <v>44</v>
      </c>
      <c r="B42" s="482">
        <v>13.0</v>
      </c>
      <c r="C42" s="486" t="s">
        <v>4364</v>
      </c>
      <c r="D42" s="486" t="s">
        <v>6255</v>
      </c>
      <c r="E42" s="491" t="s">
        <v>49</v>
      </c>
      <c r="L42" s="487" t="s">
        <v>6256</v>
      </c>
      <c r="M42" t="str">
        <f t="shared" si="1"/>
        <v>jen.terrasa@house.state.md.us</v>
      </c>
    </row>
    <row r="43">
      <c r="A43" s="481" t="s">
        <v>44</v>
      </c>
      <c r="B43" s="482">
        <v>14.0</v>
      </c>
      <c r="C43" s="486" t="s">
        <v>2560</v>
      </c>
      <c r="D43" s="486" t="s">
        <v>6257</v>
      </c>
      <c r="E43" s="491" t="s">
        <v>49</v>
      </c>
      <c r="L43" s="485" t="s">
        <v>6256</v>
      </c>
      <c r="M43" t="str">
        <f t="shared" si="1"/>
        <v>anne.kaiser@house.state.md.us</v>
      </c>
    </row>
    <row r="44">
      <c r="A44" s="481" t="s">
        <v>44</v>
      </c>
      <c r="B44" s="482">
        <v>14.0</v>
      </c>
      <c r="C44" s="486" t="s">
        <v>2302</v>
      </c>
      <c r="D44" s="486" t="s">
        <v>6258</v>
      </c>
      <c r="E44" s="491" t="s">
        <v>49</v>
      </c>
      <c r="F44" s="12" t="s">
        <v>6259</v>
      </c>
      <c r="L44" s="487" t="s">
        <v>6261</v>
      </c>
      <c r="M44" t="str">
        <f t="shared" si="1"/>
        <v>eric.luedtke@house.state.md.us</v>
      </c>
    </row>
    <row r="45">
      <c r="A45" s="481" t="s">
        <v>44</v>
      </c>
      <c r="B45" s="482">
        <v>14.0</v>
      </c>
      <c r="C45" s="486" t="s">
        <v>760</v>
      </c>
      <c r="D45" s="486" t="s">
        <v>6262</v>
      </c>
      <c r="E45" s="491" t="s">
        <v>49</v>
      </c>
      <c r="L45" s="487" t="s">
        <v>6263</v>
      </c>
      <c r="M45" t="str">
        <f t="shared" si="1"/>
        <v>pamela.queen@house.state.md.us</v>
      </c>
    </row>
    <row r="46">
      <c r="A46" s="481" t="s">
        <v>44</v>
      </c>
      <c r="B46" s="482">
        <v>15.0</v>
      </c>
      <c r="C46" s="486" t="s">
        <v>2554</v>
      </c>
      <c r="D46" s="486" t="s">
        <v>6264</v>
      </c>
      <c r="E46" s="491" t="s">
        <v>49</v>
      </c>
      <c r="F46" s="12" t="s">
        <v>176</v>
      </c>
      <c r="L46" s="494" t="s">
        <v>6265</v>
      </c>
      <c r="M46" t="str">
        <f t="shared" si="1"/>
        <v>kathleen.dumais@house.state.md.us</v>
      </c>
    </row>
    <row r="47">
      <c r="A47" s="481" t="s">
        <v>44</v>
      </c>
      <c r="B47" s="482">
        <v>15.0</v>
      </c>
      <c r="C47" s="486" t="s">
        <v>108</v>
      </c>
      <c r="D47" s="486" t="s">
        <v>6266</v>
      </c>
      <c r="E47" s="491" t="s">
        <v>49</v>
      </c>
      <c r="L47" s="494" t="s">
        <v>6267</v>
      </c>
      <c r="M47" t="str">
        <f t="shared" si="1"/>
        <v>david.fraser-hidalgo@house.state.md.us</v>
      </c>
    </row>
    <row r="48">
      <c r="A48" s="481" t="s">
        <v>44</v>
      </c>
      <c r="B48" s="482">
        <v>15.0</v>
      </c>
      <c r="C48" s="486" t="s">
        <v>6268</v>
      </c>
      <c r="D48" s="486" t="s">
        <v>6269</v>
      </c>
      <c r="E48" s="491" t="s">
        <v>49</v>
      </c>
      <c r="M48" t="str">
        <f t="shared" si="1"/>
        <v>lily.qi@house.state.md.us</v>
      </c>
    </row>
    <row r="49">
      <c r="A49" s="481" t="s">
        <v>44</v>
      </c>
      <c r="B49" s="482">
        <v>16.0</v>
      </c>
      <c r="C49" s="486" t="s">
        <v>171</v>
      </c>
      <c r="D49" s="486" t="s">
        <v>1235</v>
      </c>
      <c r="E49" s="491" t="s">
        <v>49</v>
      </c>
      <c r="M49" t="str">
        <f t="shared" si="1"/>
        <v>sara.love@house.state.md.us</v>
      </c>
    </row>
    <row r="50">
      <c r="A50" s="481" t="s">
        <v>44</v>
      </c>
      <c r="B50" s="482">
        <v>16.0</v>
      </c>
      <c r="C50" s="486" t="s">
        <v>6271</v>
      </c>
      <c r="D50" s="486" t="s">
        <v>130</v>
      </c>
      <c r="E50" s="491" t="s">
        <v>49</v>
      </c>
      <c r="L50" s="494" t="s">
        <v>6272</v>
      </c>
      <c r="M50" t="str">
        <f t="shared" si="1"/>
        <v>ariana.kelly@house.state.md.us</v>
      </c>
    </row>
    <row r="51">
      <c r="A51" s="481" t="s">
        <v>44</v>
      </c>
      <c r="B51" s="482">
        <v>16.0</v>
      </c>
      <c r="C51" s="486" t="s">
        <v>1431</v>
      </c>
      <c r="D51" s="486" t="s">
        <v>6273</v>
      </c>
      <c r="E51" s="491" t="s">
        <v>49</v>
      </c>
      <c r="L51" s="485" t="s">
        <v>6274</v>
      </c>
      <c r="M51" t="str">
        <f t="shared" si="1"/>
        <v>marc.korman@house.state.md.us</v>
      </c>
    </row>
    <row r="52">
      <c r="A52" s="481" t="s">
        <v>44</v>
      </c>
      <c r="B52" s="482">
        <v>17.0</v>
      </c>
      <c r="C52" s="486" t="s">
        <v>6275</v>
      </c>
      <c r="D52" s="486" t="s">
        <v>6276</v>
      </c>
      <c r="E52" s="491" t="s">
        <v>49</v>
      </c>
      <c r="L52" s="485" t="s">
        <v>6277</v>
      </c>
      <c r="M52" t="str">
        <f t="shared" si="1"/>
        <v>kumar.barve@house.state.md.us</v>
      </c>
    </row>
    <row r="53">
      <c r="A53" s="481" t="s">
        <v>44</v>
      </c>
      <c r="B53" s="482">
        <v>17.0</v>
      </c>
      <c r="C53" s="486" t="s">
        <v>930</v>
      </c>
      <c r="D53" s="486" t="s">
        <v>6278</v>
      </c>
      <c r="E53" s="491" t="s">
        <v>49</v>
      </c>
      <c r="M53" t="str">
        <f t="shared" si="1"/>
        <v>james.gilchrist@house.state.md.us</v>
      </c>
    </row>
    <row r="54">
      <c r="A54" s="481" t="s">
        <v>44</v>
      </c>
      <c r="B54" s="482">
        <v>17.0</v>
      </c>
      <c r="C54" s="486" t="s">
        <v>2133</v>
      </c>
      <c r="D54" s="486" t="s">
        <v>6279</v>
      </c>
      <c r="E54" s="491" t="s">
        <v>49</v>
      </c>
      <c r="M54" t="str">
        <f t="shared" si="1"/>
        <v>julie.palakovich@house.state.md.us</v>
      </c>
    </row>
    <row r="55">
      <c r="A55" s="481" t="s">
        <v>44</v>
      </c>
      <c r="B55" s="482">
        <v>18.0</v>
      </c>
      <c r="C55" s="486" t="s">
        <v>5783</v>
      </c>
      <c r="D55" s="486" t="s">
        <v>4774</v>
      </c>
      <c r="E55" s="491" t="s">
        <v>49</v>
      </c>
      <c r="K55" s="14" t="s">
        <v>6281</v>
      </c>
      <c r="L55" s="485" t="s">
        <v>6282</v>
      </c>
      <c r="M55" t="str">
        <f t="shared" si="1"/>
        <v>alfred.carr@house.state.md.us</v>
      </c>
    </row>
    <row r="56">
      <c r="A56" s="481" t="s">
        <v>44</v>
      </c>
      <c r="B56" s="482">
        <v>18.0</v>
      </c>
      <c r="C56" s="486" t="s">
        <v>1674</v>
      </c>
      <c r="D56" s="486" t="s">
        <v>6283</v>
      </c>
      <c r="E56" s="491" t="s">
        <v>49</v>
      </c>
      <c r="M56" t="str">
        <f t="shared" si="1"/>
        <v>emily.shetty@house.state.md.us</v>
      </c>
    </row>
    <row r="57">
      <c r="A57" s="481" t="s">
        <v>44</v>
      </c>
      <c r="B57" s="482">
        <v>18.0</v>
      </c>
      <c r="C57" s="486" t="s">
        <v>2285</v>
      </c>
      <c r="D57" s="486" t="s">
        <v>6284</v>
      </c>
      <c r="E57" s="491" t="s">
        <v>49</v>
      </c>
      <c r="M57" t="str">
        <f t="shared" si="1"/>
        <v>jared.solomon@house.state.md.us</v>
      </c>
    </row>
    <row r="58">
      <c r="A58" s="481" t="s">
        <v>44</v>
      </c>
      <c r="B58" s="482">
        <v>19.0</v>
      </c>
      <c r="C58" s="486" t="s">
        <v>3666</v>
      </c>
      <c r="D58" s="486" t="s">
        <v>6285</v>
      </c>
      <c r="E58" s="491" t="s">
        <v>49</v>
      </c>
      <c r="L58" s="14" t="s">
        <v>6286</v>
      </c>
      <c r="M58" t="str">
        <f t="shared" si="1"/>
        <v>bonnie.cullison@house.state.md.us</v>
      </c>
    </row>
    <row r="59">
      <c r="A59" s="481" t="s">
        <v>44</v>
      </c>
      <c r="B59" s="482">
        <v>19.0</v>
      </c>
      <c r="C59" s="486" t="s">
        <v>4913</v>
      </c>
      <c r="D59" s="486" t="s">
        <v>6287</v>
      </c>
      <c r="E59" s="491" t="s">
        <v>49</v>
      </c>
      <c r="M59" t="str">
        <f t="shared" si="1"/>
        <v>charlotte.crutchfield@house.state.md.us</v>
      </c>
    </row>
    <row r="60">
      <c r="A60" s="481" t="s">
        <v>44</v>
      </c>
      <c r="B60" s="482">
        <v>19.0</v>
      </c>
      <c r="C60" s="486" t="s">
        <v>6288</v>
      </c>
      <c r="D60" s="486" t="s">
        <v>3220</v>
      </c>
      <c r="E60" s="491" t="s">
        <v>49</v>
      </c>
      <c r="M60" t="str">
        <f t="shared" si="1"/>
        <v>vaughn.stewart@house.state.md.us</v>
      </c>
    </row>
    <row r="61">
      <c r="A61" s="481" t="s">
        <v>44</v>
      </c>
      <c r="B61" s="482">
        <v>20.0</v>
      </c>
      <c r="C61" s="486" t="s">
        <v>6289</v>
      </c>
      <c r="D61" s="486" t="s">
        <v>6290</v>
      </c>
      <c r="E61" s="491" t="s">
        <v>49</v>
      </c>
      <c r="M61" t="str">
        <f t="shared" si="1"/>
        <v>lorig.charkoudian@house.state.md.us</v>
      </c>
    </row>
    <row r="62">
      <c r="A62" s="481" t="s">
        <v>44</v>
      </c>
      <c r="B62" s="482">
        <v>20.0</v>
      </c>
      <c r="C62" s="486" t="s">
        <v>108</v>
      </c>
      <c r="D62" s="486" t="s">
        <v>3756</v>
      </c>
      <c r="E62" s="491" t="s">
        <v>49</v>
      </c>
      <c r="L62" s="485" t="s">
        <v>6291</v>
      </c>
      <c r="M62" t="str">
        <f t="shared" si="1"/>
        <v>david.moon@house.state.md.us</v>
      </c>
    </row>
    <row r="63">
      <c r="A63" s="481" t="s">
        <v>44</v>
      </c>
      <c r="B63" s="482">
        <v>20.0</v>
      </c>
      <c r="C63" s="486" t="s">
        <v>6293</v>
      </c>
      <c r="D63" s="486" t="s">
        <v>6294</v>
      </c>
      <c r="E63" s="491" t="s">
        <v>49</v>
      </c>
      <c r="L63" s="485" t="s">
        <v>6295</v>
      </c>
      <c r="M63" t="str">
        <f t="shared" si="1"/>
        <v>jheanelle.wilkins@house.state.md.us</v>
      </c>
    </row>
    <row r="64">
      <c r="A64" s="481" t="s">
        <v>44</v>
      </c>
      <c r="B64" s="482">
        <v>21.0</v>
      </c>
      <c r="C64" s="499" t="s">
        <v>5957</v>
      </c>
      <c r="D64" s="499" t="s">
        <v>6297</v>
      </c>
      <c r="E64" s="491" t="s">
        <v>49</v>
      </c>
      <c r="L64" s="485" t="s">
        <v>6298</v>
      </c>
      <c r="M64" t="str">
        <f t="shared" si="1"/>
        <v>benjamin.barnes@house.state.md.us</v>
      </c>
    </row>
    <row r="65">
      <c r="A65" s="481" t="s">
        <v>44</v>
      </c>
      <c r="B65" s="482">
        <v>21.0</v>
      </c>
      <c r="C65" s="499" t="s">
        <v>514</v>
      </c>
      <c r="D65" s="499" t="s">
        <v>4780</v>
      </c>
      <c r="E65" s="491" t="s">
        <v>49</v>
      </c>
      <c r="M65" t="str">
        <f t="shared" si="1"/>
        <v>mary.lehman@house.state.md.us</v>
      </c>
    </row>
    <row r="66">
      <c r="A66" s="481" t="s">
        <v>44</v>
      </c>
      <c r="B66" s="482">
        <v>21.0</v>
      </c>
      <c r="C66" s="499" t="s">
        <v>6299</v>
      </c>
      <c r="D66" s="499" t="s">
        <v>6300</v>
      </c>
      <c r="E66" s="491" t="s">
        <v>49</v>
      </c>
      <c r="G66" s="14" t="s">
        <v>6301</v>
      </c>
      <c r="M66" t="str">
        <f t="shared" si="1"/>
        <v>joseline.pena-melnyk@house.state.md.us</v>
      </c>
    </row>
    <row r="67">
      <c r="A67" s="481" t="s">
        <v>44</v>
      </c>
      <c r="B67" s="482">
        <v>22.0</v>
      </c>
      <c r="C67" s="499" t="s">
        <v>6302</v>
      </c>
      <c r="D67" s="499" t="s">
        <v>2003</v>
      </c>
      <c r="E67" s="491" t="s">
        <v>49</v>
      </c>
      <c r="M67" t="str">
        <f t="shared" si="1"/>
        <v>tawanna.gaines@house.state.md.us</v>
      </c>
    </row>
    <row r="68">
      <c r="A68" s="481" t="s">
        <v>44</v>
      </c>
      <c r="B68" s="482">
        <v>22.0</v>
      </c>
      <c r="C68" s="499" t="s">
        <v>2560</v>
      </c>
      <c r="D68" s="499" t="s">
        <v>6303</v>
      </c>
      <c r="E68" s="491" t="s">
        <v>49</v>
      </c>
      <c r="M68" t="str">
        <f t="shared" si="1"/>
        <v>anne.healey@house.state.md.us</v>
      </c>
    </row>
    <row r="69">
      <c r="A69" s="481" t="s">
        <v>44</v>
      </c>
      <c r="B69" s="482">
        <v>22.0</v>
      </c>
      <c r="C69" s="499" t="s">
        <v>6304</v>
      </c>
      <c r="D69" s="499" t="s">
        <v>277</v>
      </c>
      <c r="E69" s="491" t="s">
        <v>49</v>
      </c>
      <c r="M69" t="str">
        <f t="shared" si="1"/>
        <v>alonzo.washington@house.state.md.us</v>
      </c>
    </row>
    <row r="70">
      <c r="A70" s="481" t="s">
        <v>44</v>
      </c>
      <c r="B70" s="482" t="s">
        <v>6306</v>
      </c>
      <c r="C70" s="499" t="s">
        <v>635</v>
      </c>
      <c r="D70" s="499" t="s">
        <v>6307</v>
      </c>
      <c r="E70" s="491" t="s">
        <v>49</v>
      </c>
      <c r="L70" s="485" t="s">
        <v>6308</v>
      </c>
      <c r="M70" t="str">
        <f t="shared" si="1"/>
        <v>geraldine.valentino-smith@house.state.md.us</v>
      </c>
    </row>
    <row r="71">
      <c r="A71" s="481" t="s">
        <v>44</v>
      </c>
      <c r="B71" s="482" t="s">
        <v>6309</v>
      </c>
      <c r="C71" s="499" t="s">
        <v>6310</v>
      </c>
      <c r="D71" s="499" t="s">
        <v>379</v>
      </c>
      <c r="E71" s="491" t="s">
        <v>49</v>
      </c>
      <c r="L71" s="487" t="s">
        <v>6311</v>
      </c>
      <c r="M71" t="str">
        <f t="shared" si="1"/>
        <v>marvin.holmes@house.state.md.us</v>
      </c>
    </row>
    <row r="72">
      <c r="A72" s="481" t="s">
        <v>44</v>
      </c>
      <c r="B72" s="482" t="s">
        <v>6309</v>
      </c>
      <c r="C72" s="499" t="s">
        <v>1813</v>
      </c>
      <c r="D72" s="499" t="s">
        <v>853</v>
      </c>
      <c r="E72" s="491" t="s">
        <v>49</v>
      </c>
      <c r="M72" t="str">
        <f t="shared" si="1"/>
        <v>ron.watson@house.state.md.us</v>
      </c>
    </row>
    <row r="73">
      <c r="A73" s="481" t="s">
        <v>44</v>
      </c>
      <c r="B73" s="482">
        <v>24.0</v>
      </c>
      <c r="C73" s="499" t="s">
        <v>6312</v>
      </c>
      <c r="D73" s="499" t="s">
        <v>6313</v>
      </c>
      <c r="E73" s="491" t="s">
        <v>49</v>
      </c>
      <c r="L73" s="494" t="s">
        <v>6314</v>
      </c>
      <c r="M73" t="str">
        <f t="shared" si="1"/>
        <v>erek.barron@house.state.md.us</v>
      </c>
    </row>
    <row r="74">
      <c r="A74" s="481" t="s">
        <v>44</v>
      </c>
      <c r="B74" s="482">
        <v>24.0</v>
      </c>
      <c r="C74" s="499" t="s">
        <v>3902</v>
      </c>
      <c r="D74" s="499" t="s">
        <v>297</v>
      </c>
      <c r="E74" s="491" t="s">
        <v>49</v>
      </c>
      <c r="L74" s="485" t="s">
        <v>6315</v>
      </c>
      <c r="M74" t="str">
        <f t="shared" si="1"/>
        <v>carolyn.howard@house.state.md.us</v>
      </c>
    </row>
    <row r="75">
      <c r="A75" s="481" t="s">
        <v>44</v>
      </c>
      <c r="B75" s="482">
        <v>24.0</v>
      </c>
      <c r="C75" s="499" t="s">
        <v>6316</v>
      </c>
      <c r="D75" s="499" t="s">
        <v>1707</v>
      </c>
      <c r="E75" s="491" t="s">
        <v>49</v>
      </c>
      <c r="F75" s="12" t="s">
        <v>6317</v>
      </c>
      <c r="L75" s="485" t="s">
        <v>6318</v>
      </c>
      <c r="M75" t="str">
        <f t="shared" si="1"/>
        <v>jazz.lewis@house.state.md.us</v>
      </c>
    </row>
    <row r="76">
      <c r="A76" s="481" t="s">
        <v>44</v>
      </c>
      <c r="B76" s="482">
        <v>25.0</v>
      </c>
      <c r="C76" s="499" t="s">
        <v>3030</v>
      </c>
      <c r="D76" s="499" t="s">
        <v>1287</v>
      </c>
      <c r="E76" s="491" t="s">
        <v>49</v>
      </c>
      <c r="M76" t="str">
        <f t="shared" si="1"/>
        <v>nick.charles@house.state.md.us</v>
      </c>
    </row>
    <row r="77">
      <c r="A77" s="481" t="s">
        <v>44</v>
      </c>
      <c r="B77" s="482">
        <v>25.0</v>
      </c>
      <c r="C77" s="499" t="s">
        <v>3245</v>
      </c>
      <c r="D77" s="499" t="s">
        <v>6297</v>
      </c>
      <c r="E77" s="491" t="s">
        <v>49</v>
      </c>
      <c r="F77" s="12" t="s">
        <v>6319</v>
      </c>
      <c r="L77" s="485" t="s">
        <v>6320</v>
      </c>
      <c r="M77" t="str">
        <f t="shared" si="1"/>
        <v>darryl.barnes@house.state.md.us</v>
      </c>
    </row>
    <row r="78">
      <c r="A78" s="481" t="s">
        <v>44</v>
      </c>
      <c r="B78" s="482">
        <v>25.0</v>
      </c>
      <c r="C78" s="499" t="s">
        <v>6321</v>
      </c>
      <c r="D78" s="499" t="s">
        <v>1254</v>
      </c>
      <c r="E78" s="491" t="s">
        <v>49</v>
      </c>
      <c r="L78" s="487" t="s">
        <v>6323</v>
      </c>
      <c r="M78" t="str">
        <f t="shared" si="1"/>
        <v>dereck.davis@house.state.md.us</v>
      </c>
    </row>
    <row r="79">
      <c r="A79" s="481" t="s">
        <v>44</v>
      </c>
      <c r="B79" s="482">
        <v>26.0</v>
      </c>
      <c r="C79" s="499" t="s">
        <v>6324</v>
      </c>
      <c r="D79" s="499" t="s">
        <v>3193</v>
      </c>
      <c r="E79" s="491" t="s">
        <v>49</v>
      </c>
      <c r="M79" t="str">
        <f t="shared" si="1"/>
        <v>veronica.turner@house.state.md.us</v>
      </c>
    </row>
    <row r="80">
      <c r="A80" s="481" t="s">
        <v>44</v>
      </c>
      <c r="B80" s="482">
        <v>26.0</v>
      </c>
      <c r="C80" s="499" t="s">
        <v>6326</v>
      </c>
      <c r="D80" s="499" t="s">
        <v>6327</v>
      </c>
      <c r="E80" s="491" t="s">
        <v>49</v>
      </c>
      <c r="F80" s="12" t="s">
        <v>6328</v>
      </c>
      <c r="L80" s="487" t="s">
        <v>6329</v>
      </c>
      <c r="M80" t="str">
        <f t="shared" si="1"/>
        <v>kriselda.valderrama@house.state.md.us</v>
      </c>
    </row>
    <row r="81">
      <c r="A81" s="481" t="s">
        <v>44</v>
      </c>
      <c r="B81" s="482">
        <v>26.0</v>
      </c>
      <c r="C81" s="499" t="s">
        <v>1013</v>
      </c>
      <c r="D81" s="499" t="s">
        <v>1275</v>
      </c>
      <c r="E81" s="491" t="s">
        <v>49</v>
      </c>
      <c r="L81" s="494" t="s">
        <v>6330</v>
      </c>
      <c r="M81" t="str">
        <f t="shared" si="1"/>
        <v>jay.walker@house.state.md.us</v>
      </c>
    </row>
    <row r="82">
      <c r="A82" s="481" t="s">
        <v>44</v>
      </c>
      <c r="B82" s="482" t="s">
        <v>6331</v>
      </c>
      <c r="C82" s="499" t="s">
        <v>5077</v>
      </c>
      <c r="D82" s="499" t="s">
        <v>6332</v>
      </c>
      <c r="E82" s="491" t="s">
        <v>49</v>
      </c>
      <c r="L82" s="494" t="s">
        <v>6333</v>
      </c>
      <c r="M82" t="str">
        <f t="shared" si="1"/>
        <v>susie.proctor@house.state.md.us</v>
      </c>
    </row>
    <row r="83">
      <c r="A83" s="481" t="s">
        <v>44</v>
      </c>
      <c r="B83" s="482" t="s">
        <v>6334</v>
      </c>
      <c r="C83" s="499" t="s">
        <v>2490</v>
      </c>
      <c r="D83" s="499" t="s">
        <v>567</v>
      </c>
      <c r="E83" s="491" t="s">
        <v>49</v>
      </c>
      <c r="L83" s="494" t="s">
        <v>6335</v>
      </c>
      <c r="M83" t="str">
        <f t="shared" si="1"/>
        <v>michael.jackson@house.state.md.us</v>
      </c>
    </row>
    <row r="84">
      <c r="A84" s="481" t="s">
        <v>44</v>
      </c>
      <c r="B84" s="482" t="s">
        <v>6336</v>
      </c>
      <c r="C84" s="499" t="s">
        <v>91</v>
      </c>
      <c r="D84" s="499" t="s">
        <v>5307</v>
      </c>
      <c r="E84" s="484" t="s">
        <v>53</v>
      </c>
      <c r="L84" s="487" t="s">
        <v>6337</v>
      </c>
      <c r="M84" t="str">
        <f t="shared" si="1"/>
        <v>mark.fisher@house.state.md.us</v>
      </c>
    </row>
    <row r="85">
      <c r="A85" s="481" t="s">
        <v>44</v>
      </c>
      <c r="B85" s="482">
        <v>28.0</v>
      </c>
      <c r="C85" s="499" t="s">
        <v>2601</v>
      </c>
      <c r="D85" s="499" t="s">
        <v>1254</v>
      </c>
      <c r="E85" s="491" t="s">
        <v>49</v>
      </c>
      <c r="M85" t="str">
        <f t="shared" si="1"/>
        <v>debra.davis@house.state.md.us</v>
      </c>
    </row>
    <row r="86">
      <c r="A86" s="481" t="s">
        <v>44</v>
      </c>
      <c r="B86" s="482">
        <v>28.0</v>
      </c>
      <c r="C86" s="499" t="s">
        <v>6339</v>
      </c>
      <c r="D86" s="499" t="s">
        <v>1510</v>
      </c>
      <c r="E86" s="491" t="s">
        <v>49</v>
      </c>
      <c r="L86" s="500" t="s">
        <v>6340</v>
      </c>
      <c r="M86" t="str">
        <f t="shared" si="1"/>
        <v>edith.patterson@house.state.md.us</v>
      </c>
    </row>
    <row r="87">
      <c r="A87" s="481" t="s">
        <v>44</v>
      </c>
      <c r="B87" s="482">
        <v>28.0</v>
      </c>
      <c r="C87" s="499" t="s">
        <v>6342</v>
      </c>
      <c r="D87" s="499" t="s">
        <v>62</v>
      </c>
      <c r="E87" s="491" t="s">
        <v>49</v>
      </c>
      <c r="L87" s="487" t="s">
        <v>6343</v>
      </c>
      <c r="M87" s="14" t="s">
        <v>6344</v>
      </c>
    </row>
    <row r="88">
      <c r="A88" s="481" t="s">
        <v>44</v>
      </c>
      <c r="B88" s="482" t="s">
        <v>6345</v>
      </c>
      <c r="C88" s="499" t="s">
        <v>163</v>
      </c>
      <c r="D88" s="499" t="s">
        <v>141</v>
      </c>
      <c r="E88" s="484" t="s">
        <v>53</v>
      </c>
      <c r="L88" s="487" t="s">
        <v>6346</v>
      </c>
      <c r="M88" s="14" t="s">
        <v>6347</v>
      </c>
    </row>
    <row r="89">
      <c r="A89" s="481" t="s">
        <v>44</v>
      </c>
      <c r="B89" s="482" t="s">
        <v>6348</v>
      </c>
      <c r="C89" s="499" t="s">
        <v>1331</v>
      </c>
      <c r="D89" s="499" t="s">
        <v>6349</v>
      </c>
      <c r="E89" s="491" t="s">
        <v>49</v>
      </c>
      <c r="L89" s="501"/>
      <c r="M89" t="str">
        <f t="shared" ref="M89:M128" si="2">concatenate(lower(C89),".",lower(D89),"@house.state.md.us")</f>
        <v>brian.crosby@house.state.md.us</v>
      </c>
    </row>
    <row r="90">
      <c r="A90" s="481" t="s">
        <v>44</v>
      </c>
      <c r="B90" s="482" t="s">
        <v>6354</v>
      </c>
      <c r="C90" s="499" t="s">
        <v>987</v>
      </c>
      <c r="D90" s="499" t="s">
        <v>2063</v>
      </c>
      <c r="E90" s="484" t="s">
        <v>53</v>
      </c>
      <c r="L90" s="487" t="s">
        <v>6355</v>
      </c>
      <c r="M90" t="str">
        <f t="shared" si="2"/>
        <v>gerald.clark@house.state.md.us</v>
      </c>
    </row>
    <row r="91">
      <c r="A91" s="481" t="s">
        <v>44</v>
      </c>
      <c r="B91" s="482" t="s">
        <v>6356</v>
      </c>
      <c r="C91" s="499" t="s">
        <v>2490</v>
      </c>
      <c r="D91" s="499" t="s">
        <v>6357</v>
      </c>
      <c r="E91" s="491" t="s">
        <v>49</v>
      </c>
      <c r="F91" s="12" t="s">
        <v>1056</v>
      </c>
      <c r="L91" s="494" t="s">
        <v>6358</v>
      </c>
      <c r="M91" t="str">
        <f t="shared" si="2"/>
        <v>michael.busch@house.state.md.us</v>
      </c>
    </row>
    <row r="92">
      <c r="A92" s="481" t="s">
        <v>44</v>
      </c>
      <c r="B92" s="482" t="s">
        <v>6356</v>
      </c>
      <c r="C92" s="499" t="s">
        <v>5331</v>
      </c>
      <c r="D92" s="499" t="s">
        <v>6359</v>
      </c>
      <c r="E92" s="491" t="s">
        <v>49</v>
      </c>
      <c r="M92" t="str">
        <f t="shared" si="2"/>
        <v>alice.cain@house.state.md.us</v>
      </c>
    </row>
    <row r="93">
      <c r="A93" s="481" t="s">
        <v>44</v>
      </c>
      <c r="B93" s="482" t="s">
        <v>6361</v>
      </c>
      <c r="C93" s="499" t="s">
        <v>6075</v>
      </c>
      <c r="D93" s="499" t="s">
        <v>297</v>
      </c>
      <c r="E93" s="484" t="s">
        <v>53</v>
      </c>
      <c r="L93" s="500" t="s">
        <v>6362</v>
      </c>
      <c r="M93" t="str">
        <f t="shared" si="2"/>
        <v>seth.howard@house.state.md.us</v>
      </c>
    </row>
    <row r="94">
      <c r="A94" s="481" t="s">
        <v>44</v>
      </c>
      <c r="B94" s="482" t="s">
        <v>6363</v>
      </c>
      <c r="C94" s="499" t="s">
        <v>2705</v>
      </c>
      <c r="D94" s="499" t="s">
        <v>4788</v>
      </c>
      <c r="E94" s="491" t="s">
        <v>49</v>
      </c>
      <c r="L94" s="487" t="s">
        <v>6364</v>
      </c>
      <c r="M94" t="str">
        <f t="shared" si="2"/>
        <v>edward.carey@house.state.md.us</v>
      </c>
    </row>
    <row r="95">
      <c r="A95" s="481" t="s">
        <v>44</v>
      </c>
      <c r="B95" s="482" t="s">
        <v>6365</v>
      </c>
      <c r="C95" s="499" t="s">
        <v>1331</v>
      </c>
      <c r="D95" s="499" t="s">
        <v>6366</v>
      </c>
      <c r="E95" s="484" t="s">
        <v>53</v>
      </c>
      <c r="M95" t="str">
        <f t="shared" si="2"/>
        <v>brian.chisholm@house.state.md.us</v>
      </c>
    </row>
    <row r="96">
      <c r="A96" s="481" t="s">
        <v>44</v>
      </c>
      <c r="B96" s="482" t="s">
        <v>6365</v>
      </c>
      <c r="C96" s="499" t="s">
        <v>6368</v>
      </c>
      <c r="D96" s="499" t="s">
        <v>6369</v>
      </c>
      <c r="E96" s="491" t="s">
        <v>49</v>
      </c>
      <c r="L96" s="485" t="s">
        <v>6370</v>
      </c>
      <c r="M96" t="str">
        <f t="shared" si="2"/>
        <v>meagan.simonaire@house.state.md.us</v>
      </c>
    </row>
    <row r="97">
      <c r="A97" s="481" t="s">
        <v>44</v>
      </c>
      <c r="B97" s="482">
        <v>32.0</v>
      </c>
      <c r="C97" s="499" t="s">
        <v>5229</v>
      </c>
      <c r="D97" s="499" t="s">
        <v>4800</v>
      </c>
      <c r="E97" s="491" t="s">
        <v>49</v>
      </c>
      <c r="M97" t="str">
        <f t="shared" si="2"/>
        <v>sandy.bartlett@house.state.md.us</v>
      </c>
    </row>
    <row r="98">
      <c r="A98" s="481" t="s">
        <v>44</v>
      </c>
      <c r="B98" s="482">
        <v>32.0</v>
      </c>
      <c r="C98" s="499" t="s">
        <v>91</v>
      </c>
      <c r="D98" s="499" t="s">
        <v>2199</v>
      </c>
      <c r="E98" s="491" t="s">
        <v>49</v>
      </c>
      <c r="L98" s="485" t="s">
        <v>6371</v>
      </c>
      <c r="M98" t="str">
        <f t="shared" si="2"/>
        <v>mark.chang@house.state.md.us</v>
      </c>
    </row>
    <row r="99">
      <c r="A99" s="481" t="s">
        <v>44</v>
      </c>
      <c r="B99" s="482">
        <v>32.0</v>
      </c>
      <c r="C99" s="499" t="s">
        <v>157</v>
      </c>
      <c r="D99" s="499" t="s">
        <v>494</v>
      </c>
      <c r="E99" s="491" t="s">
        <v>49</v>
      </c>
      <c r="M99" t="str">
        <f t="shared" si="2"/>
        <v>mike.rogers@house.state.md.us</v>
      </c>
    </row>
    <row r="100">
      <c r="A100" s="481" t="s">
        <v>44</v>
      </c>
      <c r="B100" s="482">
        <v>33.0</v>
      </c>
      <c r="C100" s="499" t="s">
        <v>2490</v>
      </c>
      <c r="D100" s="499" t="s">
        <v>6372</v>
      </c>
      <c r="E100" s="484" t="s">
        <v>53</v>
      </c>
      <c r="L100" s="494" t="s">
        <v>6373</v>
      </c>
      <c r="M100" t="str">
        <f t="shared" si="2"/>
        <v>michael.malone@house.state.md.us</v>
      </c>
    </row>
    <row r="101">
      <c r="A101" s="481" t="s">
        <v>44</v>
      </c>
      <c r="B101" s="482">
        <v>33.0</v>
      </c>
      <c r="C101" s="499" t="s">
        <v>980</v>
      </c>
      <c r="D101" s="499" t="s">
        <v>4873</v>
      </c>
      <c r="E101" s="484" t="s">
        <v>53</v>
      </c>
      <c r="L101" s="502" t="s">
        <v>6374</v>
      </c>
      <c r="M101" t="str">
        <f t="shared" si="2"/>
        <v>tony.mcconkey@house.state.md.us</v>
      </c>
    </row>
    <row r="102">
      <c r="A102" s="481" t="s">
        <v>44</v>
      </c>
      <c r="B102" s="482">
        <v>33.0</v>
      </c>
      <c r="C102" s="499" t="s">
        <v>6375</v>
      </c>
      <c r="D102" s="499" t="s">
        <v>6376</v>
      </c>
      <c r="E102" s="484" t="s">
        <v>53</v>
      </c>
      <c r="L102" s="485" t="s">
        <v>6378</v>
      </c>
      <c r="M102" t="str">
        <f t="shared" si="2"/>
        <v>sid.saab@house.state.md.us</v>
      </c>
    </row>
    <row r="103">
      <c r="A103" s="481" t="s">
        <v>44</v>
      </c>
      <c r="B103" s="482" t="s">
        <v>6379</v>
      </c>
      <c r="C103" s="483" t="s">
        <v>55</v>
      </c>
      <c r="D103" s="483" t="s">
        <v>118</v>
      </c>
      <c r="E103" s="491" t="s">
        <v>49</v>
      </c>
      <c r="M103" t="str">
        <f t="shared" si="2"/>
        <v>steve.johnson@house.state.md.us</v>
      </c>
    </row>
    <row r="104">
      <c r="A104" s="481" t="s">
        <v>44</v>
      </c>
      <c r="B104" s="482" t="s">
        <v>6379</v>
      </c>
      <c r="C104" s="483" t="s">
        <v>6381</v>
      </c>
      <c r="D104" s="483" t="s">
        <v>6382</v>
      </c>
      <c r="E104" s="491" t="s">
        <v>49</v>
      </c>
      <c r="L104" s="485" t="s">
        <v>6383</v>
      </c>
      <c r="M104" t="str">
        <f t="shared" si="2"/>
        <v>maryann.lisanti@house.state.md.us</v>
      </c>
    </row>
    <row r="105">
      <c r="A105" s="481" t="s">
        <v>44</v>
      </c>
      <c r="B105" s="482" t="s">
        <v>6384</v>
      </c>
      <c r="C105" s="483" t="s">
        <v>1446</v>
      </c>
      <c r="D105" s="483" t="s">
        <v>6385</v>
      </c>
      <c r="E105" s="484" t="s">
        <v>53</v>
      </c>
      <c r="L105" s="494" t="s">
        <v>6386</v>
      </c>
      <c r="M105" t="str">
        <f t="shared" si="2"/>
        <v>susan.mccomas@house.state.md.us</v>
      </c>
    </row>
    <row r="106">
      <c r="A106" s="481" t="s">
        <v>44</v>
      </c>
      <c r="B106" s="482" t="s">
        <v>6387</v>
      </c>
      <c r="C106" s="483" t="s">
        <v>971</v>
      </c>
      <c r="D106" s="483" t="s">
        <v>6388</v>
      </c>
      <c r="E106" s="484" t="s">
        <v>53</v>
      </c>
      <c r="L106" s="485" t="s">
        <v>6389</v>
      </c>
      <c r="M106" t="str">
        <f t="shared" si="2"/>
        <v>kevin.hornberger@house.state.md.us</v>
      </c>
    </row>
    <row r="107">
      <c r="A107" s="481" t="s">
        <v>44</v>
      </c>
      <c r="B107" s="482" t="s">
        <v>6390</v>
      </c>
      <c r="C107" s="499" t="s">
        <v>80</v>
      </c>
      <c r="D107" s="499" t="s">
        <v>6391</v>
      </c>
      <c r="E107" s="484" t="s">
        <v>53</v>
      </c>
      <c r="L107" s="485" t="s">
        <v>6392</v>
      </c>
      <c r="M107" t="str">
        <f t="shared" si="2"/>
        <v>andrew.cassilly@house.state.md.us</v>
      </c>
    </row>
    <row r="108">
      <c r="A108" s="481" t="s">
        <v>44</v>
      </c>
      <c r="B108" s="482" t="s">
        <v>6390</v>
      </c>
      <c r="C108" s="499" t="s">
        <v>493</v>
      </c>
      <c r="D108" s="499" t="s">
        <v>6393</v>
      </c>
      <c r="E108" s="484" t="s">
        <v>53</v>
      </c>
      <c r="L108" s="485" t="s">
        <v>6394</v>
      </c>
      <c r="M108" t="str">
        <f t="shared" si="2"/>
        <v>teresa.reilly@house.state.md.us</v>
      </c>
    </row>
    <row r="109">
      <c r="A109" s="481" t="s">
        <v>44</v>
      </c>
      <c r="B109" s="482">
        <v>36.0</v>
      </c>
      <c r="C109" s="499" t="s">
        <v>1897</v>
      </c>
      <c r="D109" s="499" t="s">
        <v>6395</v>
      </c>
      <c r="E109" s="484" t="s">
        <v>53</v>
      </c>
      <c r="L109" s="485" t="s">
        <v>6396</v>
      </c>
      <c r="M109" t="str">
        <f t="shared" si="2"/>
        <v>steven.arentz@house.state.md.us</v>
      </c>
    </row>
    <row r="110">
      <c r="A110" s="481" t="s">
        <v>44</v>
      </c>
      <c r="B110" s="482">
        <v>36.0</v>
      </c>
      <c r="C110" s="499" t="s">
        <v>467</v>
      </c>
      <c r="D110" s="499" t="s">
        <v>6397</v>
      </c>
      <c r="E110" s="484" t="s">
        <v>53</v>
      </c>
      <c r="L110" s="494" t="s">
        <v>6398</v>
      </c>
      <c r="M110" t="str">
        <f t="shared" si="2"/>
        <v>jefferson.ghrist@house.state.md.us</v>
      </c>
    </row>
    <row r="111">
      <c r="A111" s="481" t="s">
        <v>44</v>
      </c>
      <c r="B111" s="482">
        <v>36.0</v>
      </c>
      <c r="C111" s="499" t="s">
        <v>1013</v>
      </c>
      <c r="D111" s="499" t="s">
        <v>3075</v>
      </c>
      <c r="E111" s="484" t="s">
        <v>53</v>
      </c>
      <c r="L111" s="485" t="s">
        <v>6399</v>
      </c>
      <c r="M111" t="str">
        <f t="shared" si="2"/>
        <v>jay.jacobs@house.state.md.us</v>
      </c>
    </row>
    <row r="112">
      <c r="A112" s="481" t="s">
        <v>44</v>
      </c>
      <c r="B112" s="482" t="s">
        <v>6401</v>
      </c>
      <c r="C112" s="499" t="s">
        <v>6402</v>
      </c>
      <c r="D112" s="499" t="s">
        <v>6404</v>
      </c>
      <c r="E112" s="491" t="s">
        <v>49</v>
      </c>
      <c r="L112" s="487" t="s">
        <v>6405</v>
      </c>
      <c r="M112" t="str">
        <f t="shared" si="2"/>
        <v>sheree.sample-hughes@house.state.md.us</v>
      </c>
    </row>
    <row r="113">
      <c r="A113" s="481" t="s">
        <v>44</v>
      </c>
      <c r="B113" s="482" t="s">
        <v>6407</v>
      </c>
      <c r="C113" s="499" t="s">
        <v>575</v>
      </c>
      <c r="D113" s="499" t="s">
        <v>5375</v>
      </c>
      <c r="E113" s="484" t="s">
        <v>53</v>
      </c>
      <c r="L113" s="494" t="s">
        <v>6408</v>
      </c>
      <c r="M113" t="str">
        <f t="shared" si="2"/>
        <v>christopher.adams@house.state.md.us</v>
      </c>
    </row>
    <row r="114">
      <c r="A114" s="481" t="s">
        <v>44</v>
      </c>
      <c r="B114" s="482" t="s">
        <v>6407</v>
      </c>
      <c r="C114" s="499" t="s">
        <v>278</v>
      </c>
      <c r="D114" s="499" t="s">
        <v>6409</v>
      </c>
      <c r="E114" s="484" t="s">
        <v>53</v>
      </c>
      <c r="L114" s="485" t="s">
        <v>6410</v>
      </c>
      <c r="M114" t="str">
        <f t="shared" si="2"/>
        <v>john.mautz@house.state.md.us</v>
      </c>
    </row>
    <row r="115">
      <c r="A115" s="481" t="s">
        <v>44</v>
      </c>
      <c r="B115" s="482" t="s">
        <v>6411</v>
      </c>
      <c r="C115" s="499" t="s">
        <v>1287</v>
      </c>
      <c r="D115" s="499" t="s">
        <v>6412</v>
      </c>
      <c r="E115" s="484" t="s">
        <v>53</v>
      </c>
      <c r="L115" s="494" t="s">
        <v>6413</v>
      </c>
      <c r="M115" t="str">
        <f t="shared" si="2"/>
        <v>charles.otto@house.state.md.us</v>
      </c>
    </row>
    <row r="116">
      <c r="A116" s="481" t="s">
        <v>44</v>
      </c>
      <c r="B116" s="482" t="s">
        <v>6414</v>
      </c>
      <c r="C116" s="499" t="s">
        <v>4087</v>
      </c>
      <c r="D116" s="499" t="s">
        <v>6415</v>
      </c>
      <c r="E116" s="484" t="s">
        <v>53</v>
      </c>
      <c r="L116" s="494" t="s">
        <v>6416</v>
      </c>
      <c r="M116" t="str">
        <f t="shared" si="2"/>
        <v>carl.anderton@house.state.md.us</v>
      </c>
    </row>
    <row r="117">
      <c r="A117" s="481" t="s">
        <v>44</v>
      </c>
      <c r="B117" s="482" t="s">
        <v>6417</v>
      </c>
      <c r="C117" s="499" t="s">
        <v>6418</v>
      </c>
      <c r="D117" s="499" t="s">
        <v>6419</v>
      </c>
      <c r="E117" s="484" t="s">
        <v>53</v>
      </c>
      <c r="M117" t="str">
        <f t="shared" si="2"/>
        <v>wayne.hartman@house.state.md.us</v>
      </c>
    </row>
    <row r="118">
      <c r="A118" s="481" t="s">
        <v>44</v>
      </c>
      <c r="B118" s="482">
        <v>39.0</v>
      </c>
      <c r="C118" s="486" t="s">
        <v>1661</v>
      </c>
      <c r="D118" s="486" t="s">
        <v>6420</v>
      </c>
      <c r="E118" s="491" t="s">
        <v>49</v>
      </c>
      <c r="L118" s="494" t="s">
        <v>6421</v>
      </c>
      <c r="M118" t="str">
        <f t="shared" si="2"/>
        <v>gabriel.acevero@house.state.md.us</v>
      </c>
    </row>
    <row r="119">
      <c r="A119" s="481" t="s">
        <v>44</v>
      </c>
      <c r="B119" s="482">
        <v>39.0</v>
      </c>
      <c r="C119" s="486" t="s">
        <v>6422</v>
      </c>
      <c r="D119" s="486" t="s">
        <v>6423</v>
      </c>
      <c r="E119" s="491" t="s">
        <v>49</v>
      </c>
      <c r="M119" t="str">
        <f t="shared" si="2"/>
        <v>kirill.reznik@house.state.md.us</v>
      </c>
    </row>
    <row r="120">
      <c r="A120" s="481" t="s">
        <v>44</v>
      </c>
      <c r="B120" s="482">
        <v>39.0</v>
      </c>
      <c r="C120" s="486" t="s">
        <v>6425</v>
      </c>
      <c r="D120" s="486" t="s">
        <v>2855</v>
      </c>
      <c r="E120" s="491" t="s">
        <v>49</v>
      </c>
      <c r="M120" t="str">
        <f t="shared" si="2"/>
        <v>lesley.lopez@house.state.md.us</v>
      </c>
    </row>
    <row r="121">
      <c r="A121" s="481" t="s">
        <v>44</v>
      </c>
      <c r="B121" s="482">
        <v>40.0</v>
      </c>
      <c r="C121" s="486" t="s">
        <v>1000</v>
      </c>
      <c r="D121" s="486" t="s">
        <v>6426</v>
      </c>
      <c r="E121" s="491" t="s">
        <v>49</v>
      </c>
      <c r="M121" t="str">
        <f t="shared" si="2"/>
        <v>frank.conaway@house.state.md.us</v>
      </c>
    </row>
    <row r="122">
      <c r="A122" s="481" t="s">
        <v>44</v>
      </c>
      <c r="B122" s="482">
        <v>40.0</v>
      </c>
      <c r="C122" s="486" t="s">
        <v>1884</v>
      </c>
      <c r="D122" s="486" t="s">
        <v>5673</v>
      </c>
      <c r="E122" s="491" t="s">
        <v>49</v>
      </c>
      <c r="M122" t="str">
        <f t="shared" si="2"/>
        <v>melissa.wells@house.state.md.us</v>
      </c>
    </row>
    <row r="123">
      <c r="A123" s="481" t="s">
        <v>44</v>
      </c>
      <c r="B123" s="482">
        <v>40.0</v>
      </c>
      <c r="C123" s="486" t="s">
        <v>3030</v>
      </c>
      <c r="D123" s="486" t="s">
        <v>6427</v>
      </c>
      <c r="E123" s="491" t="s">
        <v>49</v>
      </c>
      <c r="L123" s="487" t="s">
        <v>6428</v>
      </c>
      <c r="M123" t="str">
        <f t="shared" si="2"/>
        <v>nick.mosby@house.state.md.us</v>
      </c>
    </row>
    <row r="124">
      <c r="A124" s="481" t="s">
        <v>44</v>
      </c>
      <c r="B124" s="482">
        <v>41.0</v>
      </c>
      <c r="C124" s="486" t="s">
        <v>6429</v>
      </c>
      <c r="D124" s="486" t="s">
        <v>6430</v>
      </c>
      <c r="E124" s="491" t="s">
        <v>49</v>
      </c>
      <c r="M124" t="str">
        <f t="shared" si="2"/>
        <v>dalya.attar@house.state.md.us</v>
      </c>
    </row>
    <row r="125">
      <c r="A125" s="481" t="s">
        <v>44</v>
      </c>
      <c r="B125" s="482">
        <v>41.0</v>
      </c>
      <c r="C125" s="486" t="s">
        <v>980</v>
      </c>
      <c r="D125" s="486" t="s">
        <v>1629</v>
      </c>
      <c r="E125" s="491" t="s">
        <v>49</v>
      </c>
      <c r="M125" t="str">
        <f t="shared" si="2"/>
        <v>tony.bridges@house.state.md.us</v>
      </c>
    </row>
    <row r="126">
      <c r="A126" s="481" t="s">
        <v>44</v>
      </c>
      <c r="B126" s="482">
        <v>41.0</v>
      </c>
      <c r="C126" s="486" t="s">
        <v>3668</v>
      </c>
      <c r="D126" s="486" t="s">
        <v>6431</v>
      </c>
      <c r="E126" s="491" t="s">
        <v>49</v>
      </c>
      <c r="L126" s="487" t="s">
        <v>6432</v>
      </c>
      <c r="M126" t="str">
        <f t="shared" si="2"/>
        <v>samuel.rosenberg@house.state.md.us</v>
      </c>
    </row>
    <row r="127">
      <c r="A127" s="481" t="s">
        <v>44</v>
      </c>
      <c r="B127" s="482" t="s">
        <v>6433</v>
      </c>
      <c r="C127" s="486" t="s">
        <v>1505</v>
      </c>
      <c r="D127" s="486" t="s">
        <v>6434</v>
      </c>
      <c r="E127" s="491" t="s">
        <v>49</v>
      </c>
      <c r="L127" s="494" t="s">
        <v>6435</v>
      </c>
      <c r="M127" t="str">
        <f t="shared" si="2"/>
        <v>stephen.lafferty@house.state.md.us</v>
      </c>
    </row>
    <row r="128">
      <c r="A128" s="481" t="s">
        <v>44</v>
      </c>
      <c r="B128" s="482" t="s">
        <v>6436</v>
      </c>
      <c r="C128" s="486" t="s">
        <v>6437</v>
      </c>
      <c r="D128" s="486" t="s">
        <v>6438</v>
      </c>
      <c r="E128" s="484" t="s">
        <v>53</v>
      </c>
      <c r="M128" t="str">
        <f t="shared" si="2"/>
        <v>nino.mangione@house.state.md.us</v>
      </c>
    </row>
    <row r="129">
      <c r="A129" s="481" t="s">
        <v>44</v>
      </c>
      <c r="B129" s="482" t="s">
        <v>6436</v>
      </c>
      <c r="C129" s="486" t="s">
        <v>575</v>
      </c>
      <c r="D129" s="486" t="s">
        <v>4286</v>
      </c>
      <c r="E129" s="491" t="s">
        <v>49</v>
      </c>
      <c r="L129" s="487" t="s">
        <v>6439</v>
      </c>
      <c r="M129" s="14" t="s">
        <v>6440</v>
      </c>
    </row>
    <row r="130">
      <c r="A130" s="481" t="s">
        <v>44</v>
      </c>
      <c r="B130" s="482">
        <v>43.0</v>
      </c>
      <c r="C130" s="486" t="s">
        <v>4099</v>
      </c>
      <c r="D130" s="486" t="s">
        <v>3961</v>
      </c>
      <c r="E130" s="491" t="s">
        <v>49</v>
      </c>
      <c r="L130" s="487" t="s">
        <v>6441</v>
      </c>
      <c r="M130" s="14" t="s">
        <v>6442</v>
      </c>
    </row>
    <row r="131">
      <c r="A131" s="481" t="s">
        <v>44</v>
      </c>
      <c r="B131" s="482">
        <v>43.0</v>
      </c>
      <c r="C131" s="486" t="s">
        <v>6443</v>
      </c>
      <c r="D131" s="486" t="s">
        <v>6444</v>
      </c>
      <c r="E131" s="491" t="s">
        <v>49</v>
      </c>
      <c r="L131" s="494" t="s">
        <v>6277</v>
      </c>
      <c r="M131" t="str">
        <f t="shared" ref="M131:M134" si="3">concatenate(lower(C131),".",lower(D131),"@house.state.md.us")</f>
        <v>maggie.mcintosh@house.state.md.us</v>
      </c>
    </row>
    <row r="132">
      <c r="A132" s="481" t="s">
        <v>44</v>
      </c>
      <c r="B132" s="482">
        <v>43.0</v>
      </c>
      <c r="C132" s="486" t="s">
        <v>659</v>
      </c>
      <c r="D132" s="486" t="s">
        <v>6447</v>
      </c>
      <c r="E132" s="491" t="s">
        <v>49</v>
      </c>
      <c r="M132" t="str">
        <f t="shared" si="3"/>
        <v>regina.boyce@house.state.md.us</v>
      </c>
    </row>
    <row r="133">
      <c r="A133" s="481" t="s">
        <v>44</v>
      </c>
      <c r="B133" s="482" t="s">
        <v>6448</v>
      </c>
      <c r="C133" s="486" t="s">
        <v>1617</v>
      </c>
      <c r="D133" s="486" t="s">
        <v>6449</v>
      </c>
      <c r="E133" s="491" t="s">
        <v>49</v>
      </c>
      <c r="F133" s="12" t="s">
        <v>6450</v>
      </c>
      <c r="L133" s="485" t="s">
        <v>6451</v>
      </c>
      <c r="M133" t="str">
        <f t="shared" si="3"/>
        <v>keith.haynes@house.state.md.us</v>
      </c>
    </row>
    <row r="134">
      <c r="A134" s="481" t="s">
        <v>44</v>
      </c>
      <c r="B134" s="482" t="s">
        <v>6452</v>
      </c>
      <c r="C134" s="486" t="s">
        <v>1287</v>
      </c>
      <c r="D134" s="486" t="s">
        <v>6453</v>
      </c>
      <c r="E134" s="491" t="s">
        <v>49</v>
      </c>
      <c r="L134" s="485" t="s">
        <v>6454</v>
      </c>
      <c r="M134" t="str">
        <f t="shared" si="3"/>
        <v>charles.sydnor@house.state.md.us</v>
      </c>
    </row>
    <row r="135">
      <c r="A135" s="481" t="s">
        <v>44</v>
      </c>
      <c r="B135" s="482" t="s">
        <v>6452</v>
      </c>
      <c r="C135" s="486" t="s">
        <v>1914</v>
      </c>
      <c r="D135" s="486" t="s">
        <v>429</v>
      </c>
      <c r="E135" s="491" t="s">
        <v>49</v>
      </c>
      <c r="L135" s="494" t="s">
        <v>6455</v>
      </c>
      <c r="M135" s="14" t="s">
        <v>6456</v>
      </c>
    </row>
    <row r="136">
      <c r="A136" s="481" t="s">
        <v>44</v>
      </c>
      <c r="B136" s="482">
        <v>45.0</v>
      </c>
      <c r="C136" s="486" t="s">
        <v>6457</v>
      </c>
      <c r="D136" s="486" t="s">
        <v>29</v>
      </c>
      <c r="E136" s="491" t="s">
        <v>49</v>
      </c>
      <c r="L136" s="494" t="s">
        <v>6458</v>
      </c>
      <c r="M136" t="str">
        <f t="shared" ref="M136:M144" si="4">concatenate(lower(C136),".",lower(D136),"@house.state.md.us")</f>
        <v>talmadge.branch@house.state.md.us</v>
      </c>
    </row>
    <row r="137">
      <c r="A137" s="481" t="s">
        <v>44</v>
      </c>
      <c r="B137" s="482">
        <v>45.0</v>
      </c>
      <c r="C137" s="486" t="s">
        <v>5120</v>
      </c>
      <c r="D137" s="486" t="s">
        <v>3589</v>
      </c>
      <c r="E137" s="491" t="s">
        <v>49</v>
      </c>
      <c r="G137" s="14" t="s">
        <v>6460</v>
      </c>
      <c r="L137" s="485" t="s">
        <v>6461</v>
      </c>
      <c r="M137" t="str">
        <f t="shared" si="4"/>
        <v>cheryl.glenn@house.state.md.us</v>
      </c>
    </row>
    <row r="138">
      <c r="A138" s="481" t="s">
        <v>44</v>
      </c>
      <c r="B138" s="482">
        <v>45.0</v>
      </c>
      <c r="C138" s="486" t="s">
        <v>2254</v>
      </c>
      <c r="D138" s="486" t="s">
        <v>1451</v>
      </c>
      <c r="E138" s="491" t="s">
        <v>49</v>
      </c>
      <c r="M138" t="str">
        <f t="shared" si="4"/>
        <v>stephanie.smith@house.state.md.us</v>
      </c>
    </row>
    <row r="139">
      <c r="A139" s="481" t="s">
        <v>44</v>
      </c>
      <c r="B139" s="482">
        <v>46.0</v>
      </c>
      <c r="C139" s="486" t="s">
        <v>3309</v>
      </c>
      <c r="D139" s="486" t="s">
        <v>6462</v>
      </c>
      <c r="E139" s="491" t="s">
        <v>49</v>
      </c>
      <c r="G139" s="14" t="s">
        <v>877</v>
      </c>
      <c r="L139" s="494" t="s">
        <v>6463</v>
      </c>
      <c r="M139" t="str">
        <f t="shared" si="4"/>
        <v>luke.clippinger@house.state.md.us</v>
      </c>
    </row>
    <row r="140">
      <c r="A140" s="481" t="s">
        <v>44</v>
      </c>
      <c r="B140" s="482">
        <v>46.0</v>
      </c>
      <c r="C140" s="486" t="s">
        <v>6464</v>
      </c>
      <c r="D140" s="486" t="s">
        <v>1707</v>
      </c>
      <c r="E140" s="491" t="s">
        <v>49</v>
      </c>
      <c r="L140" s="487" t="s">
        <v>6465</v>
      </c>
      <c r="M140" t="str">
        <f t="shared" si="4"/>
        <v>robbyn.lewis@house.state.md.us</v>
      </c>
    </row>
    <row r="141">
      <c r="A141" s="481" t="s">
        <v>44</v>
      </c>
      <c r="B141" s="482">
        <v>46.0</v>
      </c>
      <c r="C141" s="486" t="s">
        <v>3850</v>
      </c>
      <c r="D141" s="486" t="s">
        <v>6466</v>
      </c>
      <c r="E141" s="491" t="s">
        <v>49</v>
      </c>
      <c r="L141" s="485" t="s">
        <v>6467</v>
      </c>
      <c r="M141" t="str">
        <f t="shared" si="4"/>
        <v>brooke.lierman@house.state.md.us</v>
      </c>
    </row>
    <row r="142">
      <c r="A142" s="481" t="s">
        <v>44</v>
      </c>
      <c r="B142" s="482" t="s">
        <v>6468</v>
      </c>
      <c r="C142" s="483" t="s">
        <v>2482</v>
      </c>
      <c r="D142" s="483" t="s">
        <v>6471</v>
      </c>
      <c r="E142" s="491" t="s">
        <v>49</v>
      </c>
      <c r="L142" s="494" t="s">
        <v>6472</v>
      </c>
      <c r="M142" t="str">
        <f t="shared" si="4"/>
        <v>diana.fennell@house.state.md.us</v>
      </c>
    </row>
    <row r="143">
      <c r="A143" s="481" t="s">
        <v>44</v>
      </c>
      <c r="B143" s="482" t="s">
        <v>6468</v>
      </c>
      <c r="C143" s="483" t="s">
        <v>5321</v>
      </c>
      <c r="D143" s="483" t="s">
        <v>1127</v>
      </c>
      <c r="E143" s="491" t="s">
        <v>49</v>
      </c>
      <c r="M143" t="str">
        <f t="shared" si="4"/>
        <v>julian.ivey@house.state.md.us</v>
      </c>
    </row>
    <row r="144">
      <c r="A144" s="481" t="s">
        <v>44</v>
      </c>
      <c r="B144" s="482" t="s">
        <v>6473</v>
      </c>
      <c r="C144" s="483" t="s">
        <v>6474</v>
      </c>
      <c r="D144" s="483" t="s">
        <v>5307</v>
      </c>
      <c r="E144" s="491" t="s">
        <v>49</v>
      </c>
      <c r="M144" t="str">
        <f t="shared" si="4"/>
        <v>wanika.fisher@house.state.md.us</v>
      </c>
    </row>
    <row r="145">
      <c r="A145" s="70"/>
      <c r="B145" s="345"/>
      <c r="C145" s="71"/>
      <c r="D145" s="71"/>
      <c r="E145" s="70"/>
      <c r="F145" s="70"/>
      <c r="G145" s="70"/>
      <c r="H145" s="70"/>
      <c r="I145" s="70"/>
      <c r="J145" s="70"/>
      <c r="K145" s="70"/>
      <c r="L145" s="70"/>
      <c r="M145" s="70"/>
      <c r="N145" s="70"/>
      <c r="O145" s="70"/>
      <c r="P145" s="70"/>
      <c r="Q145" s="70"/>
      <c r="R145" s="70"/>
      <c r="S145" s="70"/>
      <c r="T145" s="70"/>
      <c r="U145" s="70"/>
      <c r="V145" s="70"/>
      <c r="W145" s="70"/>
      <c r="X145" s="70"/>
      <c r="Y145" s="70"/>
      <c r="Z145" s="70"/>
      <c r="AA145" s="70"/>
      <c r="AB145" s="70"/>
      <c r="AC145" s="70"/>
      <c r="AD145" s="70"/>
    </row>
    <row r="146">
      <c r="A146" s="14" t="s">
        <v>286</v>
      </c>
      <c r="B146" s="505">
        <v>1.0</v>
      </c>
      <c r="C146" s="35" t="s">
        <v>98</v>
      </c>
      <c r="D146" s="38" t="s">
        <v>6476</v>
      </c>
      <c r="E146" s="506" t="s">
        <v>53</v>
      </c>
      <c r="F146" s="502"/>
      <c r="G146" s="507" t="s">
        <v>6478</v>
      </c>
      <c r="H146" s="112"/>
      <c r="L146" s="14" t="s">
        <v>6479</v>
      </c>
      <c r="M146" s="14" t="s">
        <v>6480</v>
      </c>
    </row>
    <row r="147">
      <c r="A147" s="14" t="s">
        <v>286</v>
      </c>
      <c r="B147" s="505">
        <v>2.0</v>
      </c>
      <c r="C147" s="35" t="s">
        <v>80</v>
      </c>
      <c r="D147" s="38" t="s">
        <v>6481</v>
      </c>
      <c r="E147" s="506" t="s">
        <v>53</v>
      </c>
      <c r="F147" s="508"/>
      <c r="G147" s="507" t="s">
        <v>6478</v>
      </c>
      <c r="H147" s="112"/>
      <c r="L147" s="14" t="s">
        <v>6482</v>
      </c>
      <c r="M147" t="str">
        <f t="shared" ref="M147:M192" si="5">concatenate(lower(C147),".",lower(D147),"@senate.state.md.us")</f>
        <v>andrew.serafini@senate.state.md.us</v>
      </c>
    </row>
    <row r="148">
      <c r="A148" s="14" t="s">
        <v>286</v>
      </c>
      <c r="B148" s="505">
        <v>3.0</v>
      </c>
      <c r="C148" s="35" t="s">
        <v>393</v>
      </c>
      <c r="D148" s="38" t="s">
        <v>429</v>
      </c>
      <c r="E148" s="509" t="s">
        <v>49</v>
      </c>
      <c r="F148" s="138"/>
      <c r="G148" s="510"/>
      <c r="H148" s="112"/>
      <c r="L148" s="14" t="s">
        <v>6484</v>
      </c>
      <c r="M148" t="str">
        <f t="shared" si="5"/>
        <v>ronald.young@senate.state.md.us</v>
      </c>
    </row>
    <row r="149">
      <c r="A149" s="14" t="s">
        <v>286</v>
      </c>
      <c r="B149" s="505">
        <v>4.0</v>
      </c>
      <c r="C149" s="35" t="s">
        <v>2490</v>
      </c>
      <c r="D149" s="38" t="s">
        <v>6485</v>
      </c>
      <c r="E149" s="506" t="s">
        <v>53</v>
      </c>
      <c r="F149" s="138"/>
      <c r="G149" s="510"/>
      <c r="H149" s="112"/>
      <c r="L149" s="14" t="s">
        <v>6486</v>
      </c>
      <c r="M149" t="str">
        <f t="shared" si="5"/>
        <v>michael.hough@senate.state.md.us</v>
      </c>
    </row>
    <row r="150">
      <c r="A150" s="14" t="s">
        <v>286</v>
      </c>
      <c r="B150" s="505">
        <v>5.0</v>
      </c>
      <c r="C150" s="35" t="s">
        <v>786</v>
      </c>
      <c r="D150" s="38" t="s">
        <v>6487</v>
      </c>
      <c r="E150" s="506" t="s">
        <v>53</v>
      </c>
      <c r="F150" s="138"/>
      <c r="G150" s="510"/>
      <c r="H150" s="112"/>
      <c r="L150" s="14" t="s">
        <v>6488</v>
      </c>
      <c r="M150" t="str">
        <f t="shared" si="5"/>
        <v>justin.ready@senate.state.md.us</v>
      </c>
    </row>
    <row r="151">
      <c r="A151" s="14" t="s">
        <v>286</v>
      </c>
      <c r="B151" s="505">
        <v>6.0</v>
      </c>
      <c r="C151" s="35" t="s">
        <v>1421</v>
      </c>
      <c r="D151" s="38" t="s">
        <v>6489</v>
      </c>
      <c r="E151" s="506" t="s">
        <v>53</v>
      </c>
      <c r="F151" s="138"/>
      <c r="G151" s="507" t="s">
        <v>6478</v>
      </c>
      <c r="H151" s="112"/>
      <c r="L151" s="14" t="s">
        <v>6490</v>
      </c>
      <c r="M151" t="str">
        <f t="shared" si="5"/>
        <v>johnny.salling@senate.state.md.us</v>
      </c>
    </row>
    <row r="152">
      <c r="A152" s="14" t="s">
        <v>286</v>
      </c>
      <c r="B152" s="505">
        <v>7.0</v>
      </c>
      <c r="C152" s="38" t="s">
        <v>6492</v>
      </c>
      <c r="D152" s="38" t="s">
        <v>2987</v>
      </c>
      <c r="E152" s="506" t="s">
        <v>53</v>
      </c>
      <c r="F152" s="129"/>
      <c r="G152" s="510"/>
      <c r="H152" s="112"/>
      <c r="L152" s="14" t="s">
        <v>6493</v>
      </c>
      <c r="M152" t="str">
        <f t="shared" si="5"/>
        <v>jb.jennings@senate.state.md.us</v>
      </c>
    </row>
    <row r="153">
      <c r="A153" s="14" t="s">
        <v>286</v>
      </c>
      <c r="B153" s="505">
        <v>8.0</v>
      </c>
      <c r="C153" s="35" t="s">
        <v>6494</v>
      </c>
      <c r="D153" s="38" t="s">
        <v>6495</v>
      </c>
      <c r="E153" s="509" t="s">
        <v>49</v>
      </c>
      <c r="F153" s="129"/>
      <c r="G153" s="510"/>
      <c r="H153" s="112"/>
      <c r="L153" s="14" t="s">
        <v>6497</v>
      </c>
      <c r="M153" t="str">
        <f t="shared" si="5"/>
        <v>katherine.klausmeier@senate.state.md.us</v>
      </c>
    </row>
    <row r="154">
      <c r="A154" s="14" t="s">
        <v>286</v>
      </c>
      <c r="B154" s="505">
        <v>9.0</v>
      </c>
      <c r="C154" s="35" t="s">
        <v>2317</v>
      </c>
      <c r="D154" s="38" t="s">
        <v>1886</v>
      </c>
      <c r="E154" s="509" t="s">
        <v>49</v>
      </c>
      <c r="F154" s="138"/>
      <c r="G154" s="510"/>
      <c r="H154" s="112"/>
      <c r="M154" t="str">
        <f t="shared" si="5"/>
        <v>katie.hester@senate.state.md.us</v>
      </c>
    </row>
    <row r="155">
      <c r="A155" s="14" t="s">
        <v>286</v>
      </c>
      <c r="B155" s="505">
        <v>10.0</v>
      </c>
      <c r="C155" s="35" t="s">
        <v>3061</v>
      </c>
      <c r="D155" s="38" t="s">
        <v>3146</v>
      </c>
      <c r="E155" s="509" t="s">
        <v>49</v>
      </c>
      <c r="F155" s="138"/>
      <c r="G155" s="507" t="s">
        <v>1272</v>
      </c>
      <c r="H155" s="112"/>
      <c r="L155" s="14" t="s">
        <v>6500</v>
      </c>
      <c r="M155" t="str">
        <f t="shared" si="5"/>
        <v>delores.kelley@senate.state.md.us</v>
      </c>
    </row>
    <row r="156">
      <c r="A156" s="14" t="s">
        <v>286</v>
      </c>
      <c r="B156" s="505">
        <v>11.0</v>
      </c>
      <c r="C156" s="35" t="s">
        <v>1134</v>
      </c>
      <c r="D156" s="38" t="s">
        <v>6501</v>
      </c>
      <c r="E156" s="509" t="s">
        <v>49</v>
      </c>
      <c r="F156" s="138"/>
      <c r="G156" s="507" t="s">
        <v>6502</v>
      </c>
      <c r="H156" s="112"/>
      <c r="L156" s="14" t="s">
        <v>6503</v>
      </c>
      <c r="M156" t="str">
        <f t="shared" si="5"/>
        <v>robert.zirkin@senate.state.md.us</v>
      </c>
    </row>
    <row r="157">
      <c r="A157" s="14" t="s">
        <v>286</v>
      </c>
      <c r="B157" s="505">
        <v>12.0</v>
      </c>
      <c r="C157" s="35" t="s">
        <v>3600</v>
      </c>
      <c r="D157" s="38" t="s">
        <v>6249</v>
      </c>
      <c r="E157" s="509" t="s">
        <v>49</v>
      </c>
      <c r="F157" s="138"/>
      <c r="G157" s="510"/>
      <c r="H157" s="112"/>
      <c r="M157" t="str">
        <f t="shared" si="5"/>
        <v>clarence.lam@senate.state.md.us</v>
      </c>
    </row>
    <row r="158">
      <c r="A158" s="14" t="s">
        <v>286</v>
      </c>
      <c r="B158" s="505">
        <v>13.0</v>
      </c>
      <c r="C158" s="35" t="s">
        <v>6504</v>
      </c>
      <c r="D158" s="256" t="s">
        <v>6505</v>
      </c>
      <c r="E158" s="509" t="s">
        <v>49</v>
      </c>
      <c r="F158" s="129"/>
      <c r="G158" s="507" t="s">
        <v>6478</v>
      </c>
      <c r="H158" s="112"/>
      <c r="L158" s="14" t="s">
        <v>6506</v>
      </c>
      <c r="M158" t="str">
        <f t="shared" si="5"/>
        <v>guy.guzzone@senate.state.md.us</v>
      </c>
    </row>
    <row r="159">
      <c r="A159" s="14" t="s">
        <v>286</v>
      </c>
      <c r="B159" s="505">
        <v>14.0</v>
      </c>
      <c r="C159" s="35" t="s">
        <v>373</v>
      </c>
      <c r="D159" s="38" t="s">
        <v>6507</v>
      </c>
      <c r="E159" s="509" t="s">
        <v>49</v>
      </c>
      <c r="F159" s="138"/>
      <c r="G159" s="507" t="s">
        <v>6478</v>
      </c>
      <c r="H159" s="407" t="s">
        <v>6508</v>
      </c>
      <c r="L159" s="14" t="s">
        <v>6509</v>
      </c>
      <c r="M159" t="str">
        <f t="shared" si="5"/>
        <v>craig.zucker@senate.state.md.us</v>
      </c>
    </row>
    <row r="160">
      <c r="A160" s="14" t="s">
        <v>286</v>
      </c>
      <c r="B160" s="505">
        <v>15.0</v>
      </c>
      <c r="C160" s="35" t="s">
        <v>1331</v>
      </c>
      <c r="D160" s="38" t="s">
        <v>6510</v>
      </c>
      <c r="E160" s="509" t="s">
        <v>49</v>
      </c>
      <c r="F160" s="138"/>
      <c r="G160" s="507" t="s">
        <v>6511</v>
      </c>
      <c r="H160" s="112"/>
      <c r="L160" s="14" t="s">
        <v>6512</v>
      </c>
      <c r="M160" t="str">
        <f t="shared" si="5"/>
        <v>brian.feldman@senate.state.md.us</v>
      </c>
    </row>
    <row r="161">
      <c r="A161" s="14" t="s">
        <v>286</v>
      </c>
      <c r="B161" s="505">
        <v>16.0</v>
      </c>
      <c r="C161" s="35" t="s">
        <v>1446</v>
      </c>
      <c r="D161" s="38" t="s">
        <v>629</v>
      </c>
      <c r="E161" s="509" t="s">
        <v>49</v>
      </c>
      <c r="F161" s="129"/>
      <c r="G161" s="510"/>
      <c r="H161" s="112"/>
      <c r="L161" s="14" t="s">
        <v>6513</v>
      </c>
      <c r="M161" t="str">
        <f t="shared" si="5"/>
        <v>susan.lee@senate.state.md.us</v>
      </c>
    </row>
    <row r="162">
      <c r="A162" s="14" t="s">
        <v>286</v>
      </c>
      <c r="B162" s="505">
        <v>17.0</v>
      </c>
      <c r="C162" s="35" t="s">
        <v>5120</v>
      </c>
      <c r="D162" s="38" t="s">
        <v>2431</v>
      </c>
      <c r="E162" s="509" t="s">
        <v>49</v>
      </c>
      <c r="F162" s="138"/>
      <c r="G162" s="510"/>
      <c r="H162" s="112"/>
      <c r="L162" s="14" t="s">
        <v>6514</v>
      </c>
      <c r="M162" t="str">
        <f t="shared" si="5"/>
        <v>cheryl.kagan@senate.state.md.us</v>
      </c>
    </row>
    <row r="163">
      <c r="A163" s="14" t="s">
        <v>286</v>
      </c>
      <c r="B163" s="505">
        <v>18.0</v>
      </c>
      <c r="C163" s="35" t="s">
        <v>683</v>
      </c>
      <c r="D163" s="38" t="s">
        <v>6515</v>
      </c>
      <c r="E163" s="509" t="s">
        <v>49</v>
      </c>
      <c r="F163" s="138"/>
      <c r="G163" s="510"/>
      <c r="H163" s="112"/>
      <c r="M163" t="str">
        <f t="shared" si="5"/>
        <v>jeff.waldstreicher@senate.state.md.us</v>
      </c>
    </row>
    <row r="164">
      <c r="A164" s="14" t="s">
        <v>286</v>
      </c>
      <c r="B164" s="505">
        <v>19.0</v>
      </c>
      <c r="C164" s="35" t="s">
        <v>195</v>
      </c>
      <c r="D164" s="38" t="s">
        <v>6516</v>
      </c>
      <c r="E164" s="509" t="s">
        <v>49</v>
      </c>
      <c r="F164" s="138"/>
      <c r="G164" s="510"/>
      <c r="H164" s="112"/>
      <c r="M164" t="str">
        <f t="shared" si="5"/>
        <v>ben.kramer@senate.state.md.us</v>
      </c>
    </row>
    <row r="165">
      <c r="A165" s="14" t="s">
        <v>286</v>
      </c>
      <c r="B165" s="505">
        <v>20.0</v>
      </c>
      <c r="C165" s="35" t="s">
        <v>689</v>
      </c>
      <c r="D165" s="38" t="s">
        <v>1451</v>
      </c>
      <c r="E165" s="509" t="s">
        <v>49</v>
      </c>
      <c r="F165" s="138"/>
      <c r="G165" s="507" t="s">
        <v>6517</v>
      </c>
      <c r="H165" s="112"/>
      <c r="L165" s="14" t="s">
        <v>6518</v>
      </c>
      <c r="M165" t="str">
        <f t="shared" si="5"/>
        <v>will.smith@senate.state.md.us</v>
      </c>
    </row>
    <row r="166">
      <c r="A166" s="14" t="s">
        <v>286</v>
      </c>
      <c r="B166" s="505">
        <v>21.0</v>
      </c>
      <c r="C166" s="35" t="s">
        <v>930</v>
      </c>
      <c r="D166" s="38" t="s">
        <v>6519</v>
      </c>
      <c r="E166" s="509" t="s">
        <v>49</v>
      </c>
      <c r="F166" s="129"/>
      <c r="G166" s="507" t="s">
        <v>6478</v>
      </c>
      <c r="H166" s="112"/>
      <c r="L166" s="14" t="s">
        <v>6520</v>
      </c>
      <c r="M166" t="str">
        <f t="shared" si="5"/>
        <v>james.rosapepe@senate.state.md.us</v>
      </c>
    </row>
    <row r="167">
      <c r="A167" s="14" t="s">
        <v>286</v>
      </c>
      <c r="B167" s="505">
        <v>22.0</v>
      </c>
      <c r="C167" s="35" t="s">
        <v>679</v>
      </c>
      <c r="D167" s="38" t="s">
        <v>6521</v>
      </c>
      <c r="E167" s="509" t="s">
        <v>49</v>
      </c>
      <c r="F167" s="138"/>
      <c r="G167" s="507" t="s">
        <v>6522</v>
      </c>
      <c r="H167" s="112"/>
      <c r="L167" s="14" t="s">
        <v>6523</v>
      </c>
      <c r="M167" t="str">
        <f t="shared" si="5"/>
        <v>paul.pinsky@senate.state.md.us</v>
      </c>
    </row>
    <row r="168">
      <c r="A168" s="14" t="s">
        <v>286</v>
      </c>
      <c r="B168" s="505">
        <v>23.0</v>
      </c>
      <c r="C168" s="35" t="s">
        <v>1312</v>
      </c>
      <c r="D168" s="38" t="s">
        <v>2358</v>
      </c>
      <c r="E168" s="509" t="s">
        <v>49</v>
      </c>
      <c r="F168" s="129"/>
      <c r="G168" s="507" t="s">
        <v>6478</v>
      </c>
      <c r="H168" s="112"/>
      <c r="L168" s="14" t="s">
        <v>6524</v>
      </c>
      <c r="M168" t="str">
        <f t="shared" si="5"/>
        <v>douglas.peters@senate.state.md.us</v>
      </c>
    </row>
    <row r="169">
      <c r="A169" s="14" t="s">
        <v>286</v>
      </c>
      <c r="B169" s="505">
        <v>24.0</v>
      </c>
      <c r="C169" s="35" t="s">
        <v>832</v>
      </c>
      <c r="D169" s="38" t="s">
        <v>5021</v>
      </c>
      <c r="E169" s="509" t="s">
        <v>49</v>
      </c>
      <c r="F169" s="129"/>
      <c r="G169" s="507" t="s">
        <v>6526</v>
      </c>
      <c r="H169" s="112"/>
      <c r="L169" s="14" t="s">
        <v>6527</v>
      </c>
      <c r="M169" t="str">
        <f t="shared" si="5"/>
        <v>joanne.benson@senate.state.md.us</v>
      </c>
    </row>
    <row r="170">
      <c r="A170" s="14" t="s">
        <v>286</v>
      </c>
      <c r="B170" s="505">
        <v>25.0</v>
      </c>
      <c r="C170" s="35" t="s">
        <v>3006</v>
      </c>
      <c r="D170" s="38" t="s">
        <v>2642</v>
      </c>
      <c r="E170" s="509" t="s">
        <v>49</v>
      </c>
      <c r="F170" s="138"/>
      <c r="G170" s="507" t="s">
        <v>6478</v>
      </c>
      <c r="H170" s="112"/>
      <c r="L170" s="14" t="s">
        <v>6528</v>
      </c>
      <c r="M170" t="str">
        <f t="shared" si="5"/>
        <v>melony.griffith@senate.state.md.us</v>
      </c>
    </row>
    <row r="171">
      <c r="A171" s="14" t="s">
        <v>286</v>
      </c>
      <c r="B171" s="505">
        <v>26.0</v>
      </c>
      <c r="C171" s="35" t="s">
        <v>6529</v>
      </c>
      <c r="D171" s="35" t="s">
        <v>1510</v>
      </c>
      <c r="E171" s="509" t="s">
        <v>49</v>
      </c>
      <c r="F171" s="138"/>
      <c r="G171" s="510"/>
      <c r="H171" s="112"/>
      <c r="M171" t="str">
        <f t="shared" si="5"/>
        <v>obie.patterson@senate.state.md.us</v>
      </c>
    </row>
    <row r="172">
      <c r="A172" s="14" t="s">
        <v>286</v>
      </c>
      <c r="B172" s="505">
        <v>27.0</v>
      </c>
      <c r="C172" s="35" t="s">
        <v>561</v>
      </c>
      <c r="D172" s="38" t="s">
        <v>1501</v>
      </c>
      <c r="E172" s="509" t="s">
        <v>49</v>
      </c>
      <c r="F172" s="511" t="s">
        <v>1156</v>
      </c>
      <c r="G172" s="510"/>
      <c r="H172" s="112"/>
      <c r="M172" t="str">
        <f t="shared" si="5"/>
        <v>thomas.miller@senate.state.md.us</v>
      </c>
    </row>
    <row r="173">
      <c r="A173" s="14" t="s">
        <v>286</v>
      </c>
      <c r="B173" s="505">
        <v>28.0</v>
      </c>
      <c r="C173" s="35" t="s">
        <v>802</v>
      </c>
      <c r="D173" s="35" t="s">
        <v>451</v>
      </c>
      <c r="E173" s="509" t="s">
        <v>49</v>
      </c>
      <c r="F173" s="138"/>
      <c r="G173" s="510"/>
      <c r="H173" s="112"/>
      <c r="M173" t="str">
        <f t="shared" si="5"/>
        <v>arthur.ellis@senate.state.md.us</v>
      </c>
    </row>
    <row r="174">
      <c r="A174" s="14" t="s">
        <v>286</v>
      </c>
      <c r="B174" s="505">
        <v>29.0</v>
      </c>
      <c r="C174" s="35" t="s">
        <v>792</v>
      </c>
      <c r="D174" s="35" t="s">
        <v>4464</v>
      </c>
      <c r="E174" s="506" t="s">
        <v>53</v>
      </c>
      <c r="F174" s="138"/>
      <c r="G174" s="510"/>
      <c r="H174" s="112"/>
      <c r="M174" t="str">
        <f t="shared" si="5"/>
        <v>jack.bailey@senate.state.md.us</v>
      </c>
    </row>
    <row r="175">
      <c r="A175" s="14" t="s">
        <v>286</v>
      </c>
      <c r="B175" s="505">
        <v>30.0</v>
      </c>
      <c r="C175" s="35" t="s">
        <v>210</v>
      </c>
      <c r="D175" s="35" t="s">
        <v>6533</v>
      </c>
      <c r="E175" s="509" t="s">
        <v>49</v>
      </c>
      <c r="F175" s="138"/>
      <c r="G175" s="507" t="s">
        <v>6478</v>
      </c>
      <c r="H175" s="112"/>
      <c r="M175" t="str">
        <f t="shared" si="5"/>
        <v>sarah.elfreth@senate.state.md.us</v>
      </c>
    </row>
    <row r="176">
      <c r="A176" s="14" t="s">
        <v>286</v>
      </c>
      <c r="B176" s="505">
        <v>31.0</v>
      </c>
      <c r="C176" s="35" t="s">
        <v>2775</v>
      </c>
      <c r="D176" s="35" t="s">
        <v>6534</v>
      </c>
      <c r="E176" s="506" t="s">
        <v>53</v>
      </c>
      <c r="F176" s="138"/>
      <c r="G176" s="510"/>
      <c r="H176" s="112"/>
      <c r="L176" s="14" t="s">
        <v>6535</v>
      </c>
      <c r="M176" t="str">
        <f t="shared" si="5"/>
        <v>bryan.simonaire[38]@senate.state.md.us</v>
      </c>
    </row>
    <row r="177">
      <c r="A177" s="14" t="s">
        <v>286</v>
      </c>
      <c r="B177" s="505">
        <v>32.0</v>
      </c>
      <c r="C177" s="35" t="s">
        <v>760</v>
      </c>
      <c r="D177" s="35" t="s">
        <v>6537</v>
      </c>
      <c r="E177" s="509" t="s">
        <v>49</v>
      </c>
      <c r="F177" s="138"/>
      <c r="G177" s="510"/>
      <c r="H177" s="112"/>
      <c r="M177" t="str">
        <f t="shared" si="5"/>
        <v>pamela.beidle@senate.state.md.us</v>
      </c>
    </row>
    <row r="178">
      <c r="A178" s="14" t="s">
        <v>286</v>
      </c>
      <c r="B178" s="505">
        <v>33.0</v>
      </c>
      <c r="C178" s="35" t="s">
        <v>2705</v>
      </c>
      <c r="D178" s="35" t="s">
        <v>6393</v>
      </c>
      <c r="E178" s="506" t="s">
        <v>53</v>
      </c>
      <c r="F178" s="138"/>
      <c r="G178" s="510"/>
      <c r="H178" s="112"/>
      <c r="L178" s="14" t="s">
        <v>6539</v>
      </c>
      <c r="M178" t="str">
        <f t="shared" si="5"/>
        <v>edward.reilly@senate.state.md.us</v>
      </c>
    </row>
    <row r="179">
      <c r="A179" s="14" t="s">
        <v>286</v>
      </c>
      <c r="B179" s="505">
        <v>34.0</v>
      </c>
      <c r="C179" s="35" t="s">
        <v>1134</v>
      </c>
      <c r="D179" s="35" t="s">
        <v>6391</v>
      </c>
      <c r="E179" s="506" t="s">
        <v>53</v>
      </c>
      <c r="F179" s="138"/>
      <c r="G179" s="510"/>
      <c r="H179" s="112"/>
      <c r="L179" s="14" t="s">
        <v>6540</v>
      </c>
      <c r="M179" t="str">
        <f t="shared" si="5"/>
        <v>robert.cassilly@senate.state.md.us</v>
      </c>
    </row>
    <row r="180">
      <c r="A180" s="14" t="s">
        <v>286</v>
      </c>
      <c r="B180" s="505">
        <v>35.0</v>
      </c>
      <c r="C180" s="35" t="s">
        <v>1231</v>
      </c>
      <c r="D180" s="35" t="s">
        <v>6541</v>
      </c>
      <c r="E180" s="506" t="s">
        <v>53</v>
      </c>
      <c r="F180" s="138"/>
      <c r="G180" s="510"/>
      <c r="H180" s="112"/>
      <c r="M180" t="str">
        <f t="shared" si="5"/>
        <v>jason.gallion@senate.state.md.us</v>
      </c>
    </row>
    <row r="181">
      <c r="A181" s="14" t="s">
        <v>286</v>
      </c>
      <c r="B181" s="505">
        <v>36.0</v>
      </c>
      <c r="C181" s="35" t="s">
        <v>1505</v>
      </c>
      <c r="D181" s="35" t="s">
        <v>6542</v>
      </c>
      <c r="E181" s="506" t="s">
        <v>53</v>
      </c>
      <c r="F181" s="129"/>
      <c r="G181" s="510"/>
      <c r="H181" s="112"/>
      <c r="L181" s="14" t="s">
        <v>6543</v>
      </c>
      <c r="M181" t="str">
        <f t="shared" si="5"/>
        <v>stephen.hershey@senate.state.md.us</v>
      </c>
    </row>
    <row r="182">
      <c r="A182" s="14" t="s">
        <v>286</v>
      </c>
      <c r="B182" s="505">
        <v>37.0</v>
      </c>
      <c r="C182" s="35" t="s">
        <v>6544</v>
      </c>
      <c r="D182" s="35" t="s">
        <v>6547</v>
      </c>
      <c r="E182" s="506" t="s">
        <v>53</v>
      </c>
      <c r="F182" s="138"/>
      <c r="G182" s="507" t="s">
        <v>6478</v>
      </c>
      <c r="H182" s="112"/>
      <c r="L182" s="14" t="s">
        <v>6549</v>
      </c>
      <c r="M182" t="str">
        <f t="shared" si="5"/>
        <v>adelaide.eckardt@senate.state.md.us</v>
      </c>
    </row>
    <row r="183">
      <c r="A183" s="14" t="s">
        <v>286</v>
      </c>
      <c r="B183" s="505">
        <v>38.0</v>
      </c>
      <c r="C183" s="38" t="s">
        <v>6550</v>
      </c>
      <c r="D183" s="35" t="s">
        <v>6551</v>
      </c>
      <c r="E183" s="506" t="s">
        <v>53</v>
      </c>
      <c r="F183" s="138"/>
      <c r="G183" s="510"/>
      <c r="H183" s="112"/>
      <c r="M183" t="str">
        <f t="shared" si="5"/>
        <v>mary beth.carozza@senate.state.md.us</v>
      </c>
    </row>
    <row r="184">
      <c r="A184" s="14" t="s">
        <v>286</v>
      </c>
      <c r="B184" s="505">
        <v>39.0</v>
      </c>
      <c r="C184" s="35" t="s">
        <v>123</v>
      </c>
      <c r="D184" s="35" t="s">
        <v>5219</v>
      </c>
      <c r="E184" s="509" t="s">
        <v>49</v>
      </c>
      <c r="F184" s="138"/>
      <c r="G184" s="507" t="s">
        <v>6478</v>
      </c>
      <c r="H184" s="112"/>
      <c r="L184" s="14" t="s">
        <v>6553</v>
      </c>
      <c r="M184" t="str">
        <f t="shared" si="5"/>
        <v>nancy.king@senate.state.md.us</v>
      </c>
    </row>
    <row r="185">
      <c r="A185" s="14" t="s">
        <v>286</v>
      </c>
      <c r="B185" s="505">
        <v>40.0</v>
      </c>
      <c r="C185" s="35" t="s">
        <v>4489</v>
      </c>
      <c r="D185" s="35" t="s">
        <v>2568</v>
      </c>
      <c r="E185" s="509" t="s">
        <v>49</v>
      </c>
      <c r="F185" s="138"/>
      <c r="G185" s="510"/>
      <c r="H185" s="112"/>
      <c r="M185" t="str">
        <f t="shared" si="5"/>
        <v>antonio.hayes@senate.state.md.us</v>
      </c>
    </row>
    <row r="186">
      <c r="A186" s="14" t="s">
        <v>286</v>
      </c>
      <c r="B186" s="505">
        <v>41.0</v>
      </c>
      <c r="C186" s="35" t="s">
        <v>6555</v>
      </c>
      <c r="D186" s="35" t="s">
        <v>1256</v>
      </c>
      <c r="E186" s="509" t="s">
        <v>49</v>
      </c>
      <c r="F186" s="138"/>
      <c r="G186" s="510"/>
      <c r="H186" s="112"/>
      <c r="M186" t="str">
        <f t="shared" si="5"/>
        <v>jill.carter@senate.state.md.us</v>
      </c>
    </row>
    <row r="187">
      <c r="A187" s="14" t="s">
        <v>286</v>
      </c>
      <c r="B187" s="505">
        <v>42.0</v>
      </c>
      <c r="C187" s="35" t="s">
        <v>173</v>
      </c>
      <c r="D187" s="35" t="s">
        <v>4286</v>
      </c>
      <c r="E187" s="506" t="s">
        <v>53</v>
      </c>
      <c r="F187" s="138"/>
      <c r="G187" s="510"/>
      <c r="H187" s="112"/>
      <c r="M187" t="str">
        <f t="shared" si="5"/>
        <v>chris.west@senate.state.md.us</v>
      </c>
    </row>
    <row r="188">
      <c r="A188" s="14" t="s">
        <v>286</v>
      </c>
      <c r="B188" s="505">
        <v>43.0</v>
      </c>
      <c r="C188" s="35" t="s">
        <v>514</v>
      </c>
      <c r="D188" s="35" t="s">
        <v>277</v>
      </c>
      <c r="E188" s="509" t="s">
        <v>49</v>
      </c>
      <c r="F188" s="138"/>
      <c r="G188" s="510"/>
      <c r="H188" s="112"/>
      <c r="M188" t="str">
        <f t="shared" si="5"/>
        <v>mary.washington@senate.state.md.us</v>
      </c>
    </row>
    <row r="189">
      <c r="A189" s="14" t="s">
        <v>286</v>
      </c>
      <c r="B189" s="505">
        <v>44.0</v>
      </c>
      <c r="C189" s="35" t="s">
        <v>1985</v>
      </c>
      <c r="D189" s="35" t="s">
        <v>6564</v>
      </c>
      <c r="E189" s="509" t="s">
        <v>49</v>
      </c>
      <c r="F189" s="138"/>
      <c r="G189" s="507" t="s">
        <v>6565</v>
      </c>
      <c r="H189" s="112"/>
      <c r="L189" s="14" t="s">
        <v>6566</v>
      </c>
      <c r="M189" t="str">
        <f t="shared" si="5"/>
        <v>shirley.nathan-pulliam@senate.state.md.us</v>
      </c>
    </row>
    <row r="190">
      <c r="A190" s="14" t="s">
        <v>286</v>
      </c>
      <c r="B190" s="505">
        <v>45.0</v>
      </c>
      <c r="C190" s="35" t="s">
        <v>2493</v>
      </c>
      <c r="D190" s="35" t="s">
        <v>6567</v>
      </c>
      <c r="E190" s="509" t="s">
        <v>49</v>
      </c>
      <c r="F190" s="138"/>
      <c r="G190" s="507" t="s">
        <v>6478</v>
      </c>
      <c r="H190" s="112"/>
      <c r="M190" t="str">
        <f t="shared" si="5"/>
        <v>cory.mccray@senate.state.md.us</v>
      </c>
    </row>
    <row r="191">
      <c r="A191" s="14" t="s">
        <v>286</v>
      </c>
      <c r="B191" s="505">
        <v>46.0</v>
      </c>
      <c r="C191" s="35" t="s">
        <v>1058</v>
      </c>
      <c r="D191" s="35" t="s">
        <v>1079</v>
      </c>
      <c r="E191" s="509" t="s">
        <v>49</v>
      </c>
      <c r="F191" s="138"/>
      <c r="G191" s="507" t="s">
        <v>6478</v>
      </c>
      <c r="H191" s="112"/>
      <c r="L191" s="14" t="s">
        <v>6570</v>
      </c>
      <c r="M191" t="str">
        <f t="shared" si="5"/>
        <v>william.ferguson@senate.state.md.us</v>
      </c>
    </row>
    <row r="192">
      <c r="A192" s="14" t="s">
        <v>286</v>
      </c>
      <c r="B192" s="505">
        <v>47.0</v>
      </c>
      <c r="C192" s="35" t="s">
        <v>6572</v>
      </c>
      <c r="D192" s="35" t="s">
        <v>6573</v>
      </c>
      <c r="E192" s="509" t="s">
        <v>49</v>
      </c>
      <c r="F192" s="138"/>
      <c r="G192" s="510"/>
      <c r="H192" s="112"/>
      <c r="M192" t="str">
        <f t="shared" si="5"/>
        <v>malcolm.augustine@senate.state.md.us</v>
      </c>
    </row>
    <row r="193">
      <c r="A193" s="70"/>
      <c r="B193" s="345"/>
      <c r="C193" s="71"/>
      <c r="D193" s="71"/>
      <c r="E193" s="70"/>
      <c r="F193" s="70"/>
      <c r="G193" s="70"/>
      <c r="H193" s="70"/>
      <c r="I193" s="70"/>
      <c r="J193" s="70"/>
      <c r="K193" s="70"/>
      <c r="L193" s="70"/>
      <c r="M193" s="70"/>
      <c r="N193" s="70"/>
      <c r="O193" s="70"/>
      <c r="P193" s="70"/>
      <c r="Q193" s="70"/>
      <c r="R193" s="70"/>
      <c r="S193" s="70"/>
      <c r="T193" s="70"/>
      <c r="U193" s="70"/>
      <c r="V193" s="70"/>
      <c r="W193" s="70"/>
      <c r="X193" s="70"/>
      <c r="Y193" s="70"/>
      <c r="Z193" s="70"/>
      <c r="AA193" s="70"/>
      <c r="AB193" s="70"/>
      <c r="AC193" s="70"/>
      <c r="AD193" s="70"/>
    </row>
    <row r="194">
      <c r="A194" s="14" t="s">
        <v>421</v>
      </c>
      <c r="B194" s="303"/>
      <c r="C194" s="77" t="s">
        <v>839</v>
      </c>
      <c r="D194" s="77" t="s">
        <v>4301</v>
      </c>
      <c r="E194" s="506" t="s">
        <v>53</v>
      </c>
    </row>
    <row r="195">
      <c r="A195" s="70"/>
      <c r="B195" s="345"/>
      <c r="C195" s="71"/>
      <c r="D195" s="71"/>
      <c r="E195" s="70"/>
      <c r="F195" s="70"/>
      <c r="G195" s="70"/>
      <c r="H195" s="70"/>
      <c r="I195" s="70"/>
      <c r="J195" s="70"/>
      <c r="K195" s="70"/>
      <c r="L195" s="70"/>
      <c r="M195" s="70"/>
      <c r="N195" s="70"/>
      <c r="O195" s="70"/>
      <c r="P195" s="70"/>
      <c r="Q195" s="70"/>
      <c r="R195" s="70"/>
      <c r="S195" s="70"/>
      <c r="T195" s="70"/>
      <c r="U195" s="70"/>
      <c r="V195" s="70"/>
      <c r="W195" s="70"/>
      <c r="X195" s="70"/>
      <c r="Y195" s="70"/>
      <c r="Z195" s="70"/>
      <c r="AA195" s="70"/>
      <c r="AB195" s="70"/>
      <c r="AC195" s="70"/>
      <c r="AD195" s="70"/>
    </row>
    <row r="196">
      <c r="A196" s="14" t="s">
        <v>427</v>
      </c>
      <c r="B196" s="226">
        <v>1.0</v>
      </c>
      <c r="C196" s="77" t="s">
        <v>109</v>
      </c>
      <c r="D196" s="77" t="s">
        <v>2362</v>
      </c>
      <c r="E196" s="506" t="s">
        <v>53</v>
      </c>
    </row>
    <row r="197">
      <c r="A197" s="14" t="s">
        <v>427</v>
      </c>
      <c r="B197" s="226">
        <v>2.0</v>
      </c>
      <c r="C197" s="77" t="s">
        <v>6575</v>
      </c>
      <c r="D197" s="77" t="s">
        <v>6576</v>
      </c>
      <c r="E197" s="509" t="s">
        <v>49</v>
      </c>
    </row>
    <row r="198">
      <c r="A198" s="14" t="s">
        <v>427</v>
      </c>
      <c r="B198" s="226">
        <v>3.0</v>
      </c>
      <c r="C198" s="77" t="s">
        <v>278</v>
      </c>
      <c r="D198" s="77" t="s">
        <v>6578</v>
      </c>
      <c r="E198" s="509" t="s">
        <v>49</v>
      </c>
    </row>
    <row r="199">
      <c r="A199" s="14" t="s">
        <v>427</v>
      </c>
      <c r="B199" s="226">
        <v>4.0</v>
      </c>
      <c r="C199" s="77" t="s">
        <v>496</v>
      </c>
      <c r="D199" s="77" t="s">
        <v>447</v>
      </c>
      <c r="E199" s="509" t="s">
        <v>49</v>
      </c>
    </row>
    <row r="200">
      <c r="A200" s="14" t="s">
        <v>427</v>
      </c>
      <c r="B200" s="226">
        <v>5.0</v>
      </c>
      <c r="C200" s="77" t="s">
        <v>6579</v>
      </c>
      <c r="D200" s="77" t="s">
        <v>6580</v>
      </c>
      <c r="E200" s="509" t="s">
        <v>49</v>
      </c>
    </row>
    <row r="201">
      <c r="A201" s="14" t="s">
        <v>427</v>
      </c>
      <c r="B201" s="226">
        <v>6.0</v>
      </c>
      <c r="C201" s="77" t="s">
        <v>108</v>
      </c>
      <c r="D201" s="77" t="s">
        <v>6581</v>
      </c>
      <c r="E201" s="509" t="s">
        <v>49</v>
      </c>
    </row>
    <row r="202">
      <c r="A202" s="14" t="s">
        <v>427</v>
      </c>
      <c r="B202" s="226">
        <v>7.0</v>
      </c>
      <c r="C202" s="77" t="s">
        <v>6582</v>
      </c>
      <c r="D202" s="77" t="s">
        <v>2610</v>
      </c>
      <c r="E202" s="509" t="s">
        <v>49</v>
      </c>
    </row>
    <row r="203">
      <c r="A203" s="14" t="s">
        <v>427</v>
      </c>
      <c r="B203" s="226">
        <v>8.0</v>
      </c>
      <c r="C203" s="77" t="s">
        <v>283</v>
      </c>
      <c r="D203" s="77" t="s">
        <v>6583</v>
      </c>
      <c r="E203" s="509" t="s">
        <v>49</v>
      </c>
    </row>
    <row r="204">
      <c r="A204" s="70"/>
      <c r="B204" s="345"/>
      <c r="C204" s="71"/>
      <c r="D204" s="71"/>
      <c r="E204" s="70"/>
      <c r="F204" s="70"/>
      <c r="G204" s="70"/>
      <c r="H204" s="70"/>
      <c r="I204" s="70"/>
      <c r="J204" s="70"/>
      <c r="K204" s="70"/>
      <c r="L204" s="70"/>
      <c r="M204" s="70"/>
      <c r="N204" s="70"/>
      <c r="O204" s="70"/>
      <c r="P204" s="70"/>
      <c r="Q204" s="70"/>
      <c r="R204" s="70"/>
      <c r="S204" s="70"/>
      <c r="T204" s="70"/>
      <c r="U204" s="70"/>
      <c r="V204" s="70"/>
      <c r="W204" s="70"/>
      <c r="X204" s="70"/>
      <c r="Y204" s="70"/>
      <c r="Z204" s="70"/>
      <c r="AA204" s="70"/>
      <c r="AB204" s="70"/>
      <c r="AC204" s="70"/>
      <c r="AD204" s="70"/>
    </row>
    <row r="205">
      <c r="A205" s="14" t="s">
        <v>430</v>
      </c>
      <c r="B205" s="226" t="s">
        <v>431</v>
      </c>
      <c r="C205" s="77" t="s">
        <v>173</v>
      </c>
      <c r="D205" s="77" t="s">
        <v>6585</v>
      </c>
      <c r="E205" s="509" t="s">
        <v>49</v>
      </c>
    </row>
    <row r="206">
      <c r="A206" s="14" t="s">
        <v>430</v>
      </c>
      <c r="B206" s="226" t="s">
        <v>434</v>
      </c>
      <c r="C206" s="77" t="s">
        <v>195</v>
      </c>
      <c r="D206" s="77" t="s">
        <v>6242</v>
      </c>
      <c r="E206" s="509" t="s">
        <v>49</v>
      </c>
    </row>
    <row r="207">
      <c r="A207" s="70"/>
      <c r="B207" s="345"/>
      <c r="C207" s="71"/>
      <c r="D207" s="71"/>
      <c r="E207" s="70"/>
      <c r="F207" s="70"/>
      <c r="G207" s="70"/>
      <c r="H207" s="70"/>
      <c r="I207" s="70"/>
      <c r="J207" s="70"/>
      <c r="K207" s="70"/>
      <c r="L207" s="70"/>
      <c r="M207" s="70"/>
      <c r="N207" s="70"/>
      <c r="O207" s="70"/>
      <c r="P207" s="70"/>
      <c r="Q207" s="70"/>
      <c r="R207" s="70"/>
      <c r="S207" s="70"/>
      <c r="T207" s="70"/>
      <c r="U207" s="70"/>
      <c r="V207" s="70"/>
      <c r="W207" s="70"/>
      <c r="X207" s="70"/>
      <c r="Y207" s="70"/>
      <c r="Z207" s="70"/>
      <c r="AA207" s="70"/>
      <c r="AB207" s="70"/>
      <c r="AC207" s="70"/>
      <c r="AD207" s="70"/>
    </row>
    <row r="208">
      <c r="A208" s="14" t="s">
        <v>438</v>
      </c>
      <c r="B208" s="303"/>
      <c r="C208" s="77" t="s">
        <v>1331</v>
      </c>
      <c r="D208" s="77" t="s">
        <v>6587</v>
      </c>
      <c r="E208" s="509" t="s">
        <v>49</v>
      </c>
    </row>
    <row r="209">
      <c r="A209" s="70"/>
      <c r="B209" s="345"/>
      <c r="C209" s="71"/>
      <c r="D209" s="71"/>
      <c r="E209" s="70"/>
      <c r="F209" s="70"/>
      <c r="G209" s="70"/>
      <c r="H209" s="70"/>
      <c r="I209" s="70"/>
      <c r="J209" s="70"/>
      <c r="K209" s="70"/>
      <c r="L209" s="70"/>
      <c r="M209" s="70"/>
      <c r="N209" s="70"/>
      <c r="O209" s="70"/>
      <c r="P209" s="70"/>
      <c r="Q209" s="70"/>
      <c r="R209" s="70"/>
      <c r="S209" s="70"/>
      <c r="T209" s="70"/>
      <c r="U209" s="70"/>
      <c r="V209" s="70"/>
      <c r="W209" s="70"/>
      <c r="X209" s="70"/>
      <c r="Y209" s="70"/>
      <c r="Z209" s="70"/>
      <c r="AA209" s="70"/>
      <c r="AB209" s="70"/>
      <c r="AC209" s="70"/>
      <c r="AD209" s="70"/>
    </row>
    <row r="210">
      <c r="B210" s="303"/>
      <c r="C210" s="139"/>
      <c r="D210" s="139"/>
    </row>
    <row r="211">
      <c r="B211" s="303"/>
      <c r="C211" s="139"/>
      <c r="D211" s="139"/>
    </row>
    <row r="212">
      <c r="B212" s="303"/>
      <c r="C212" s="139"/>
      <c r="D212" s="139"/>
    </row>
    <row r="213">
      <c r="B213" s="303"/>
      <c r="C213" s="139"/>
      <c r="D213" s="139"/>
    </row>
    <row r="214">
      <c r="B214" s="303"/>
      <c r="C214" s="139"/>
      <c r="D214" s="139"/>
    </row>
    <row r="215">
      <c r="B215" s="303"/>
      <c r="C215" s="139"/>
      <c r="D215" s="139"/>
    </row>
    <row r="216">
      <c r="B216" s="303"/>
      <c r="C216" s="139"/>
      <c r="D216" s="139"/>
    </row>
    <row r="217">
      <c r="B217" s="303"/>
      <c r="C217" s="139"/>
      <c r="D217" s="139"/>
    </row>
    <row r="218">
      <c r="B218" s="303"/>
      <c r="C218" s="139"/>
      <c r="D218" s="139"/>
    </row>
    <row r="219">
      <c r="B219" s="303"/>
      <c r="C219" s="139"/>
      <c r="D219" s="139"/>
    </row>
    <row r="220">
      <c r="B220" s="303"/>
      <c r="C220" s="139"/>
      <c r="D220" s="139"/>
    </row>
    <row r="221">
      <c r="B221" s="303"/>
      <c r="C221" s="139"/>
      <c r="D221" s="139"/>
    </row>
    <row r="222">
      <c r="B222" s="303"/>
      <c r="C222" s="139"/>
      <c r="D222" s="139"/>
    </row>
    <row r="223">
      <c r="B223" s="303"/>
      <c r="C223" s="139"/>
      <c r="D223" s="139"/>
    </row>
    <row r="224">
      <c r="B224" s="303"/>
      <c r="C224" s="139"/>
      <c r="D224" s="139"/>
    </row>
    <row r="225">
      <c r="B225" s="303"/>
      <c r="C225" s="139"/>
      <c r="D225" s="139"/>
    </row>
    <row r="226">
      <c r="B226" s="303"/>
      <c r="C226" s="139"/>
      <c r="D226" s="139"/>
    </row>
    <row r="227">
      <c r="B227" s="303"/>
      <c r="C227" s="139"/>
      <c r="D227" s="139"/>
    </row>
    <row r="228">
      <c r="B228" s="303"/>
      <c r="C228" s="139"/>
      <c r="D228" s="139"/>
    </row>
    <row r="229">
      <c r="B229" s="303"/>
      <c r="C229" s="139"/>
      <c r="D229" s="139"/>
    </row>
    <row r="230">
      <c r="B230" s="303"/>
      <c r="C230" s="139"/>
      <c r="D230" s="139"/>
    </row>
    <row r="231">
      <c r="B231" s="303"/>
      <c r="C231" s="139"/>
      <c r="D231" s="139"/>
    </row>
    <row r="232">
      <c r="B232" s="303"/>
      <c r="C232" s="139"/>
      <c r="D232" s="139"/>
    </row>
    <row r="233">
      <c r="B233" s="303"/>
      <c r="C233" s="139"/>
      <c r="D233" s="139"/>
    </row>
    <row r="234">
      <c r="B234" s="303"/>
      <c r="C234" s="139"/>
      <c r="D234" s="139"/>
    </row>
    <row r="235">
      <c r="B235" s="303"/>
      <c r="C235" s="139"/>
      <c r="D235" s="139"/>
    </row>
    <row r="236">
      <c r="B236" s="303"/>
      <c r="C236" s="139"/>
      <c r="D236" s="139"/>
    </row>
    <row r="237">
      <c r="B237" s="303"/>
      <c r="C237" s="139"/>
      <c r="D237" s="139"/>
    </row>
    <row r="238">
      <c r="B238" s="303"/>
      <c r="C238" s="139"/>
      <c r="D238" s="139"/>
    </row>
    <row r="239">
      <c r="B239" s="303"/>
      <c r="C239" s="139"/>
      <c r="D239" s="139"/>
    </row>
    <row r="240">
      <c r="B240" s="303"/>
      <c r="C240" s="139"/>
      <c r="D240" s="139"/>
    </row>
    <row r="241">
      <c r="B241" s="303"/>
      <c r="C241" s="139"/>
      <c r="D241" s="139"/>
    </row>
    <row r="242">
      <c r="B242" s="303"/>
      <c r="C242" s="139"/>
      <c r="D242" s="139"/>
    </row>
    <row r="243">
      <c r="B243" s="303"/>
      <c r="C243" s="139"/>
      <c r="D243" s="139"/>
    </row>
    <row r="244">
      <c r="B244" s="303"/>
      <c r="C244" s="139"/>
      <c r="D244" s="139"/>
    </row>
    <row r="245">
      <c r="B245" s="303"/>
      <c r="C245" s="139"/>
      <c r="D245" s="139"/>
    </row>
    <row r="246">
      <c r="B246" s="303"/>
      <c r="C246" s="139"/>
      <c r="D246" s="139"/>
    </row>
    <row r="247">
      <c r="B247" s="303"/>
      <c r="C247" s="139"/>
      <c r="D247" s="139"/>
    </row>
    <row r="248">
      <c r="B248" s="303"/>
      <c r="C248" s="139"/>
      <c r="D248" s="139"/>
    </row>
    <row r="249">
      <c r="B249" s="303"/>
      <c r="C249" s="139"/>
      <c r="D249" s="139"/>
    </row>
    <row r="250">
      <c r="B250" s="303"/>
      <c r="C250" s="139"/>
      <c r="D250" s="139"/>
    </row>
    <row r="251">
      <c r="B251" s="303"/>
      <c r="C251" s="139"/>
      <c r="D251" s="139"/>
    </row>
    <row r="252">
      <c r="B252" s="303"/>
      <c r="C252" s="139"/>
      <c r="D252" s="139"/>
    </row>
    <row r="253">
      <c r="B253" s="303"/>
      <c r="C253" s="139"/>
      <c r="D253" s="139"/>
    </row>
    <row r="254">
      <c r="B254" s="303"/>
      <c r="C254" s="139"/>
      <c r="D254" s="139"/>
    </row>
    <row r="255">
      <c r="B255" s="303"/>
      <c r="C255" s="139"/>
      <c r="D255" s="139"/>
    </row>
    <row r="256">
      <c r="B256" s="303"/>
      <c r="C256" s="139"/>
      <c r="D256" s="139"/>
    </row>
    <row r="257">
      <c r="B257" s="303"/>
      <c r="C257" s="139"/>
      <c r="D257" s="139"/>
    </row>
    <row r="258">
      <c r="B258" s="303"/>
      <c r="C258" s="139"/>
      <c r="D258" s="139"/>
    </row>
    <row r="259">
      <c r="B259" s="303"/>
      <c r="C259" s="139"/>
      <c r="D259" s="139"/>
    </row>
    <row r="260">
      <c r="B260" s="303"/>
      <c r="C260" s="139"/>
      <c r="D260" s="139"/>
    </row>
    <row r="261">
      <c r="B261" s="303"/>
      <c r="C261" s="139"/>
      <c r="D261" s="139"/>
    </row>
    <row r="262">
      <c r="B262" s="303"/>
      <c r="C262" s="139"/>
      <c r="D262" s="139"/>
    </row>
    <row r="263">
      <c r="B263" s="303"/>
      <c r="C263" s="139"/>
      <c r="D263" s="139"/>
    </row>
    <row r="264">
      <c r="B264" s="303"/>
      <c r="C264" s="139"/>
      <c r="D264" s="139"/>
    </row>
    <row r="265">
      <c r="B265" s="303"/>
      <c r="C265" s="139"/>
      <c r="D265" s="139"/>
    </row>
    <row r="266">
      <c r="B266" s="303"/>
      <c r="C266" s="139"/>
      <c r="D266" s="139"/>
    </row>
    <row r="267">
      <c r="B267" s="303"/>
      <c r="C267" s="139"/>
      <c r="D267" s="139"/>
    </row>
    <row r="268">
      <c r="B268" s="303"/>
      <c r="C268" s="139"/>
      <c r="D268" s="139"/>
    </row>
    <row r="269">
      <c r="B269" s="303"/>
      <c r="C269" s="139"/>
      <c r="D269" s="139"/>
    </row>
    <row r="270">
      <c r="B270" s="303"/>
      <c r="C270" s="139"/>
      <c r="D270" s="139"/>
    </row>
    <row r="271">
      <c r="B271" s="303"/>
      <c r="C271" s="139"/>
      <c r="D271" s="139"/>
    </row>
    <row r="272">
      <c r="B272" s="303"/>
      <c r="C272" s="139"/>
      <c r="D272" s="139"/>
    </row>
    <row r="273">
      <c r="B273" s="303"/>
      <c r="C273" s="139"/>
      <c r="D273" s="139"/>
    </row>
    <row r="274">
      <c r="B274" s="303"/>
      <c r="C274" s="139"/>
      <c r="D274" s="139"/>
    </row>
    <row r="275">
      <c r="B275" s="303"/>
      <c r="C275" s="139"/>
      <c r="D275" s="139"/>
    </row>
    <row r="276">
      <c r="B276" s="303"/>
      <c r="C276" s="139"/>
      <c r="D276" s="139"/>
    </row>
    <row r="277">
      <c r="B277" s="303"/>
      <c r="C277" s="139"/>
      <c r="D277" s="139"/>
    </row>
    <row r="278">
      <c r="B278" s="303"/>
      <c r="C278" s="139"/>
      <c r="D278" s="139"/>
    </row>
    <row r="279">
      <c r="B279" s="303"/>
      <c r="C279" s="139"/>
      <c r="D279" s="139"/>
    </row>
    <row r="280">
      <c r="B280" s="303"/>
      <c r="C280" s="139"/>
      <c r="D280" s="139"/>
    </row>
    <row r="281">
      <c r="B281" s="303"/>
      <c r="C281" s="139"/>
      <c r="D281" s="139"/>
    </row>
    <row r="282">
      <c r="B282" s="303"/>
      <c r="C282" s="139"/>
      <c r="D282" s="139"/>
    </row>
    <row r="283">
      <c r="B283" s="303"/>
      <c r="C283" s="139"/>
      <c r="D283" s="139"/>
    </row>
    <row r="284">
      <c r="B284" s="303"/>
      <c r="C284" s="139"/>
      <c r="D284" s="139"/>
    </row>
    <row r="285">
      <c r="B285" s="303"/>
      <c r="C285" s="139"/>
      <c r="D285" s="139"/>
    </row>
    <row r="286">
      <c r="B286" s="303"/>
      <c r="C286" s="139"/>
      <c r="D286" s="139"/>
    </row>
    <row r="287">
      <c r="B287" s="303"/>
      <c r="C287" s="139"/>
      <c r="D287" s="139"/>
    </row>
    <row r="288">
      <c r="B288" s="303"/>
      <c r="C288" s="139"/>
      <c r="D288" s="139"/>
    </row>
    <row r="289">
      <c r="B289" s="303"/>
      <c r="C289" s="139"/>
      <c r="D289" s="139"/>
    </row>
    <row r="290">
      <c r="B290" s="303"/>
      <c r="C290" s="139"/>
      <c r="D290" s="139"/>
    </row>
    <row r="291">
      <c r="B291" s="303"/>
      <c r="C291" s="139"/>
      <c r="D291" s="139"/>
    </row>
    <row r="292">
      <c r="B292" s="303"/>
      <c r="C292" s="139"/>
      <c r="D292" s="139"/>
    </row>
    <row r="293">
      <c r="B293" s="303"/>
      <c r="C293" s="139"/>
      <c r="D293" s="139"/>
    </row>
    <row r="294">
      <c r="B294" s="303"/>
      <c r="C294" s="139"/>
      <c r="D294" s="139"/>
    </row>
    <row r="295">
      <c r="B295" s="303"/>
      <c r="C295" s="139"/>
      <c r="D295" s="139"/>
    </row>
    <row r="296">
      <c r="B296" s="303"/>
      <c r="C296" s="139"/>
      <c r="D296" s="139"/>
    </row>
    <row r="297">
      <c r="B297" s="303"/>
      <c r="C297" s="139"/>
      <c r="D297" s="139"/>
    </row>
    <row r="298">
      <c r="B298" s="303"/>
      <c r="C298" s="139"/>
      <c r="D298" s="139"/>
    </row>
    <row r="299">
      <c r="B299" s="303"/>
      <c r="C299" s="139"/>
      <c r="D299" s="139"/>
    </row>
    <row r="300">
      <c r="B300" s="303"/>
      <c r="C300" s="139"/>
      <c r="D300" s="139"/>
    </row>
    <row r="301">
      <c r="B301" s="303"/>
      <c r="C301" s="139"/>
      <c r="D301" s="139"/>
    </row>
    <row r="302">
      <c r="B302" s="303"/>
      <c r="C302" s="139"/>
      <c r="D302" s="139"/>
    </row>
    <row r="303">
      <c r="B303" s="303"/>
      <c r="C303" s="139"/>
      <c r="D303" s="139"/>
    </row>
    <row r="304">
      <c r="B304" s="303"/>
      <c r="C304" s="139"/>
      <c r="D304" s="139"/>
    </row>
    <row r="305">
      <c r="B305" s="303"/>
      <c r="C305" s="139"/>
      <c r="D305" s="139"/>
    </row>
    <row r="306">
      <c r="B306" s="303"/>
      <c r="C306" s="139"/>
      <c r="D306" s="139"/>
    </row>
    <row r="307">
      <c r="B307" s="303"/>
      <c r="C307" s="139"/>
      <c r="D307" s="139"/>
    </row>
    <row r="308">
      <c r="B308" s="303"/>
      <c r="C308" s="139"/>
      <c r="D308" s="139"/>
    </row>
    <row r="309">
      <c r="B309" s="303"/>
      <c r="C309" s="139"/>
      <c r="D309" s="139"/>
    </row>
    <row r="310">
      <c r="B310" s="303"/>
      <c r="C310" s="139"/>
      <c r="D310" s="139"/>
    </row>
    <row r="311">
      <c r="B311" s="303"/>
      <c r="C311" s="139"/>
      <c r="D311" s="139"/>
    </row>
    <row r="312">
      <c r="B312" s="303"/>
      <c r="C312" s="139"/>
      <c r="D312" s="139"/>
    </row>
    <row r="313">
      <c r="B313" s="303"/>
      <c r="C313" s="139"/>
      <c r="D313" s="139"/>
    </row>
    <row r="314">
      <c r="B314" s="303"/>
      <c r="C314" s="139"/>
      <c r="D314" s="139"/>
    </row>
    <row r="315">
      <c r="B315" s="303"/>
      <c r="C315" s="139"/>
      <c r="D315" s="139"/>
    </row>
    <row r="316">
      <c r="B316" s="303"/>
      <c r="C316" s="139"/>
      <c r="D316" s="139"/>
    </row>
    <row r="317">
      <c r="B317" s="303"/>
      <c r="C317" s="139"/>
      <c r="D317" s="139"/>
    </row>
    <row r="318">
      <c r="B318" s="303"/>
      <c r="C318" s="139"/>
      <c r="D318" s="139"/>
    </row>
    <row r="319">
      <c r="B319" s="303"/>
      <c r="C319" s="139"/>
      <c r="D319" s="139"/>
    </row>
    <row r="320">
      <c r="B320" s="303"/>
      <c r="C320" s="139"/>
      <c r="D320" s="139"/>
    </row>
    <row r="321">
      <c r="B321" s="303"/>
      <c r="C321" s="139"/>
      <c r="D321" s="139"/>
    </row>
    <row r="322">
      <c r="B322" s="303"/>
      <c r="C322" s="139"/>
      <c r="D322" s="139"/>
    </row>
    <row r="323">
      <c r="B323" s="303"/>
      <c r="C323" s="139"/>
      <c r="D323" s="139"/>
    </row>
    <row r="324">
      <c r="B324" s="303"/>
      <c r="C324" s="139"/>
      <c r="D324" s="139"/>
    </row>
    <row r="325">
      <c r="B325" s="303"/>
      <c r="C325" s="139"/>
      <c r="D325" s="139"/>
    </row>
    <row r="326">
      <c r="B326" s="303"/>
      <c r="C326" s="139"/>
      <c r="D326" s="139"/>
    </row>
    <row r="327">
      <c r="B327" s="303"/>
      <c r="C327" s="139"/>
      <c r="D327" s="139"/>
    </row>
    <row r="328">
      <c r="B328" s="303"/>
      <c r="C328" s="139"/>
      <c r="D328" s="139"/>
    </row>
    <row r="329">
      <c r="B329" s="303"/>
      <c r="C329" s="139"/>
      <c r="D329" s="139"/>
    </row>
    <row r="330">
      <c r="B330" s="303"/>
      <c r="C330" s="139"/>
      <c r="D330" s="139"/>
    </row>
    <row r="331">
      <c r="B331" s="303"/>
      <c r="C331" s="139"/>
      <c r="D331" s="139"/>
    </row>
    <row r="332">
      <c r="B332" s="303"/>
      <c r="C332" s="139"/>
      <c r="D332" s="139"/>
    </row>
    <row r="333">
      <c r="B333" s="303"/>
      <c r="C333" s="139"/>
      <c r="D333" s="139"/>
    </row>
    <row r="334">
      <c r="B334" s="303"/>
      <c r="C334" s="139"/>
      <c r="D334" s="139"/>
    </row>
    <row r="335">
      <c r="B335" s="303"/>
      <c r="C335" s="139"/>
      <c r="D335" s="139"/>
    </row>
    <row r="336">
      <c r="B336" s="303"/>
      <c r="C336" s="139"/>
      <c r="D336" s="139"/>
    </row>
    <row r="337">
      <c r="B337" s="303"/>
      <c r="C337" s="139"/>
      <c r="D337" s="139"/>
    </row>
    <row r="338">
      <c r="B338" s="303"/>
      <c r="C338" s="139"/>
      <c r="D338" s="139"/>
    </row>
    <row r="339">
      <c r="B339" s="303"/>
      <c r="C339" s="139"/>
      <c r="D339" s="139"/>
    </row>
    <row r="340">
      <c r="B340" s="303"/>
      <c r="C340" s="139"/>
      <c r="D340" s="139"/>
    </row>
    <row r="341">
      <c r="B341" s="303"/>
      <c r="C341" s="139"/>
      <c r="D341" s="139"/>
    </row>
    <row r="342">
      <c r="B342" s="303"/>
      <c r="C342" s="139"/>
      <c r="D342" s="139"/>
    </row>
    <row r="343">
      <c r="B343" s="303"/>
      <c r="C343" s="139"/>
      <c r="D343" s="139"/>
    </row>
    <row r="344">
      <c r="B344" s="303"/>
      <c r="C344" s="139"/>
      <c r="D344" s="139"/>
    </row>
    <row r="345">
      <c r="B345" s="303"/>
      <c r="C345" s="139"/>
      <c r="D345" s="139"/>
    </row>
    <row r="346">
      <c r="B346" s="303"/>
      <c r="C346" s="139"/>
      <c r="D346" s="139"/>
    </row>
    <row r="347">
      <c r="B347" s="303"/>
      <c r="C347" s="139"/>
      <c r="D347" s="139"/>
    </row>
    <row r="348">
      <c r="B348" s="303"/>
      <c r="C348" s="139"/>
      <c r="D348" s="139"/>
    </row>
    <row r="349">
      <c r="B349" s="303"/>
      <c r="C349" s="139"/>
      <c r="D349" s="139"/>
    </row>
    <row r="350">
      <c r="B350" s="303"/>
      <c r="C350" s="139"/>
      <c r="D350" s="139"/>
    </row>
    <row r="351">
      <c r="B351" s="303"/>
      <c r="C351" s="139"/>
      <c r="D351" s="139"/>
    </row>
    <row r="352">
      <c r="B352" s="303"/>
      <c r="C352" s="139"/>
      <c r="D352" s="139"/>
    </row>
    <row r="353">
      <c r="B353" s="303"/>
      <c r="C353" s="139"/>
      <c r="D353" s="139"/>
    </row>
    <row r="354">
      <c r="B354" s="303"/>
      <c r="C354" s="139"/>
      <c r="D354" s="139"/>
    </row>
    <row r="355">
      <c r="B355" s="303"/>
      <c r="C355" s="139"/>
      <c r="D355" s="139"/>
    </row>
    <row r="356">
      <c r="B356" s="303"/>
      <c r="C356" s="139"/>
      <c r="D356" s="139"/>
    </row>
    <row r="357">
      <c r="B357" s="303"/>
      <c r="C357" s="139"/>
      <c r="D357" s="139"/>
    </row>
    <row r="358">
      <c r="B358" s="303"/>
      <c r="C358" s="139"/>
      <c r="D358" s="139"/>
    </row>
    <row r="359">
      <c r="B359" s="303"/>
      <c r="C359" s="139"/>
      <c r="D359" s="139"/>
    </row>
    <row r="360">
      <c r="B360" s="303"/>
      <c r="C360" s="139"/>
      <c r="D360" s="139"/>
    </row>
    <row r="361">
      <c r="B361" s="303"/>
      <c r="C361" s="139"/>
      <c r="D361" s="139"/>
    </row>
    <row r="362">
      <c r="B362" s="303"/>
      <c r="C362" s="139"/>
      <c r="D362" s="139"/>
    </row>
    <row r="363">
      <c r="B363" s="303"/>
      <c r="C363" s="139"/>
      <c r="D363" s="139"/>
    </row>
    <row r="364">
      <c r="B364" s="303"/>
      <c r="C364" s="139"/>
      <c r="D364" s="139"/>
    </row>
    <row r="365">
      <c r="B365" s="303"/>
      <c r="C365" s="139"/>
      <c r="D365" s="139"/>
    </row>
    <row r="366">
      <c r="B366" s="303"/>
      <c r="C366" s="139"/>
      <c r="D366" s="139"/>
    </row>
    <row r="367">
      <c r="B367" s="303"/>
      <c r="C367" s="139"/>
      <c r="D367" s="139"/>
    </row>
    <row r="368">
      <c r="B368" s="303"/>
      <c r="C368" s="139"/>
      <c r="D368" s="139"/>
    </row>
    <row r="369">
      <c r="B369" s="303"/>
      <c r="C369" s="139"/>
      <c r="D369" s="139"/>
    </row>
    <row r="370">
      <c r="B370" s="303"/>
      <c r="C370" s="139"/>
      <c r="D370" s="139"/>
    </row>
    <row r="371">
      <c r="B371" s="303"/>
      <c r="C371" s="139"/>
      <c r="D371" s="139"/>
    </row>
    <row r="372">
      <c r="B372" s="303"/>
      <c r="C372" s="139"/>
      <c r="D372" s="139"/>
    </row>
    <row r="373">
      <c r="B373" s="303"/>
      <c r="C373" s="139"/>
      <c r="D373" s="139"/>
    </row>
    <row r="374">
      <c r="B374" s="303"/>
      <c r="C374" s="139"/>
      <c r="D374" s="139"/>
    </row>
    <row r="375">
      <c r="B375" s="303"/>
      <c r="C375" s="139"/>
      <c r="D375" s="139"/>
    </row>
    <row r="376">
      <c r="B376" s="303"/>
      <c r="C376" s="139"/>
      <c r="D376" s="139"/>
    </row>
    <row r="377">
      <c r="B377" s="303"/>
      <c r="C377" s="139"/>
      <c r="D377" s="139"/>
    </row>
    <row r="378">
      <c r="B378" s="303"/>
      <c r="C378" s="139"/>
      <c r="D378" s="139"/>
    </row>
    <row r="379">
      <c r="B379" s="303"/>
      <c r="C379" s="139"/>
      <c r="D379" s="139"/>
    </row>
    <row r="380">
      <c r="B380" s="303"/>
      <c r="C380" s="139"/>
      <c r="D380" s="139"/>
    </row>
    <row r="381">
      <c r="B381" s="303"/>
      <c r="C381" s="139"/>
      <c r="D381" s="139"/>
    </row>
    <row r="382">
      <c r="B382" s="303"/>
      <c r="C382" s="139"/>
      <c r="D382" s="139"/>
    </row>
    <row r="383">
      <c r="B383" s="303"/>
      <c r="C383" s="139"/>
      <c r="D383" s="139"/>
    </row>
    <row r="384">
      <c r="B384" s="303"/>
      <c r="C384" s="139"/>
      <c r="D384" s="139"/>
    </row>
    <row r="385">
      <c r="B385" s="303"/>
      <c r="C385" s="139"/>
      <c r="D385" s="139"/>
    </row>
    <row r="386">
      <c r="B386" s="303"/>
      <c r="C386" s="139"/>
      <c r="D386" s="139"/>
    </row>
    <row r="387">
      <c r="B387" s="303"/>
      <c r="C387" s="139"/>
      <c r="D387" s="139"/>
    </row>
    <row r="388">
      <c r="B388" s="303"/>
      <c r="C388" s="139"/>
      <c r="D388" s="139"/>
    </row>
    <row r="389">
      <c r="B389" s="303"/>
      <c r="C389" s="139"/>
      <c r="D389" s="139"/>
    </row>
    <row r="390">
      <c r="B390" s="303"/>
      <c r="C390" s="139"/>
      <c r="D390" s="139"/>
    </row>
    <row r="391">
      <c r="B391" s="303"/>
      <c r="C391" s="139"/>
      <c r="D391" s="139"/>
    </row>
    <row r="392">
      <c r="B392" s="303"/>
      <c r="C392" s="139"/>
      <c r="D392" s="139"/>
    </row>
    <row r="393">
      <c r="B393" s="303"/>
      <c r="C393" s="139"/>
      <c r="D393" s="139"/>
    </row>
    <row r="394">
      <c r="B394" s="303"/>
      <c r="C394" s="139"/>
      <c r="D394" s="139"/>
    </row>
    <row r="395">
      <c r="B395" s="303"/>
      <c r="C395" s="139"/>
      <c r="D395" s="139"/>
    </row>
    <row r="396">
      <c r="B396" s="303"/>
      <c r="C396" s="139"/>
      <c r="D396" s="139"/>
    </row>
    <row r="397">
      <c r="B397" s="303"/>
      <c r="C397" s="139"/>
      <c r="D397" s="139"/>
    </row>
    <row r="398">
      <c r="B398" s="303"/>
      <c r="C398" s="139"/>
      <c r="D398" s="139"/>
    </row>
    <row r="399">
      <c r="B399" s="303"/>
      <c r="C399" s="139"/>
      <c r="D399" s="139"/>
    </row>
    <row r="400">
      <c r="B400" s="303"/>
      <c r="C400" s="139"/>
      <c r="D400" s="139"/>
    </row>
    <row r="401">
      <c r="B401" s="303"/>
      <c r="C401" s="139"/>
      <c r="D401" s="139"/>
    </row>
    <row r="402">
      <c r="B402" s="303"/>
      <c r="C402" s="139"/>
      <c r="D402" s="139"/>
    </row>
    <row r="403">
      <c r="B403" s="303"/>
      <c r="C403" s="139"/>
      <c r="D403" s="139"/>
    </row>
    <row r="404">
      <c r="B404" s="303"/>
      <c r="C404" s="139"/>
      <c r="D404" s="139"/>
    </row>
    <row r="405">
      <c r="B405" s="303"/>
      <c r="C405" s="139"/>
      <c r="D405" s="139"/>
    </row>
    <row r="406">
      <c r="B406" s="303"/>
      <c r="C406" s="139"/>
      <c r="D406" s="139"/>
    </row>
    <row r="407">
      <c r="B407" s="303"/>
      <c r="C407" s="139"/>
      <c r="D407" s="139"/>
    </row>
    <row r="408">
      <c r="B408" s="303"/>
      <c r="C408" s="139"/>
      <c r="D408" s="139"/>
    </row>
    <row r="409">
      <c r="B409" s="303"/>
      <c r="C409" s="139"/>
      <c r="D409" s="139"/>
    </row>
    <row r="410">
      <c r="B410" s="303"/>
      <c r="C410" s="139"/>
      <c r="D410" s="139"/>
    </row>
    <row r="411">
      <c r="B411" s="303"/>
      <c r="C411" s="139"/>
      <c r="D411" s="139"/>
    </row>
    <row r="412">
      <c r="B412" s="303"/>
      <c r="C412" s="139"/>
      <c r="D412" s="139"/>
    </row>
    <row r="413">
      <c r="B413" s="303"/>
      <c r="C413" s="139"/>
      <c r="D413" s="139"/>
    </row>
    <row r="414">
      <c r="B414" s="303"/>
      <c r="C414" s="139"/>
      <c r="D414" s="139"/>
    </row>
    <row r="415">
      <c r="B415" s="303"/>
      <c r="C415" s="139"/>
      <c r="D415" s="139"/>
    </row>
    <row r="416">
      <c r="B416" s="303"/>
      <c r="C416" s="139"/>
      <c r="D416" s="139"/>
    </row>
    <row r="417">
      <c r="B417" s="303"/>
      <c r="C417" s="139"/>
      <c r="D417" s="139"/>
    </row>
    <row r="418">
      <c r="B418" s="303"/>
      <c r="C418" s="139"/>
      <c r="D418" s="139"/>
    </row>
    <row r="419">
      <c r="B419" s="303"/>
      <c r="C419" s="139"/>
      <c r="D419" s="139"/>
    </row>
    <row r="420">
      <c r="B420" s="303"/>
      <c r="C420" s="139"/>
      <c r="D420" s="139"/>
    </row>
    <row r="421">
      <c r="B421" s="303"/>
      <c r="C421" s="139"/>
      <c r="D421" s="139"/>
    </row>
    <row r="422">
      <c r="B422" s="303"/>
      <c r="C422" s="139"/>
      <c r="D422" s="139"/>
    </row>
    <row r="423">
      <c r="B423" s="303"/>
      <c r="C423" s="139"/>
      <c r="D423" s="139"/>
    </row>
    <row r="424">
      <c r="B424" s="303"/>
      <c r="C424" s="139"/>
      <c r="D424" s="139"/>
    </row>
    <row r="425">
      <c r="B425" s="303"/>
      <c r="C425" s="139"/>
      <c r="D425" s="139"/>
    </row>
    <row r="426">
      <c r="B426" s="303"/>
      <c r="C426" s="139"/>
      <c r="D426" s="139"/>
    </row>
    <row r="427">
      <c r="B427" s="303"/>
      <c r="C427" s="139"/>
      <c r="D427" s="139"/>
    </row>
    <row r="428">
      <c r="B428" s="303"/>
      <c r="C428" s="139"/>
      <c r="D428" s="139"/>
    </row>
    <row r="429">
      <c r="B429" s="303"/>
      <c r="C429" s="139"/>
      <c r="D429" s="139"/>
    </row>
    <row r="430">
      <c r="B430" s="303"/>
      <c r="C430" s="139"/>
      <c r="D430" s="139"/>
    </row>
    <row r="431">
      <c r="B431" s="303"/>
      <c r="C431" s="139"/>
      <c r="D431" s="139"/>
    </row>
    <row r="432">
      <c r="B432" s="303"/>
      <c r="C432" s="139"/>
      <c r="D432" s="139"/>
    </row>
    <row r="433">
      <c r="B433" s="303"/>
      <c r="C433" s="139"/>
      <c r="D433" s="139"/>
    </row>
    <row r="434">
      <c r="B434" s="303"/>
      <c r="C434" s="139"/>
      <c r="D434" s="139"/>
    </row>
    <row r="435">
      <c r="B435" s="303"/>
      <c r="C435" s="139"/>
      <c r="D435" s="139"/>
    </row>
    <row r="436">
      <c r="B436" s="303"/>
      <c r="C436" s="139"/>
      <c r="D436" s="139"/>
    </row>
    <row r="437">
      <c r="B437" s="303"/>
      <c r="C437" s="139"/>
      <c r="D437" s="139"/>
    </row>
    <row r="438">
      <c r="B438" s="303"/>
      <c r="C438" s="139"/>
      <c r="D438" s="139"/>
    </row>
    <row r="439">
      <c r="B439" s="303"/>
      <c r="C439" s="139"/>
      <c r="D439" s="139"/>
    </row>
    <row r="440">
      <c r="B440" s="303"/>
      <c r="C440" s="139"/>
      <c r="D440" s="139"/>
    </row>
    <row r="441">
      <c r="B441" s="303"/>
      <c r="C441" s="139"/>
      <c r="D441" s="139"/>
    </row>
    <row r="442">
      <c r="B442" s="303"/>
      <c r="C442" s="139"/>
      <c r="D442" s="139"/>
    </row>
    <row r="443">
      <c r="B443" s="303"/>
      <c r="C443" s="139"/>
      <c r="D443" s="139"/>
    </row>
    <row r="444">
      <c r="B444" s="303"/>
      <c r="C444" s="139"/>
      <c r="D444" s="139"/>
    </row>
    <row r="445">
      <c r="B445" s="303"/>
      <c r="C445" s="139"/>
      <c r="D445" s="139"/>
    </row>
    <row r="446">
      <c r="B446" s="303"/>
      <c r="C446" s="139"/>
      <c r="D446" s="139"/>
    </row>
    <row r="447">
      <c r="B447" s="303"/>
      <c r="C447" s="139"/>
      <c r="D447" s="139"/>
    </row>
    <row r="448">
      <c r="B448" s="303"/>
      <c r="C448" s="139"/>
      <c r="D448" s="139"/>
    </row>
    <row r="449">
      <c r="B449" s="303"/>
      <c r="C449" s="139"/>
      <c r="D449" s="139"/>
    </row>
    <row r="450">
      <c r="B450" s="303"/>
      <c r="C450" s="139"/>
      <c r="D450" s="139"/>
    </row>
    <row r="451">
      <c r="B451" s="303"/>
      <c r="C451" s="139"/>
      <c r="D451" s="139"/>
    </row>
    <row r="452">
      <c r="B452" s="303"/>
      <c r="C452" s="139"/>
      <c r="D452" s="139"/>
    </row>
    <row r="453">
      <c r="B453" s="303"/>
      <c r="C453" s="139"/>
      <c r="D453" s="139"/>
    </row>
    <row r="454">
      <c r="B454" s="303"/>
      <c r="C454" s="139"/>
      <c r="D454" s="139"/>
    </row>
    <row r="455">
      <c r="B455" s="303"/>
      <c r="C455" s="139"/>
      <c r="D455" s="139"/>
    </row>
    <row r="456">
      <c r="B456" s="303"/>
      <c r="C456" s="139"/>
      <c r="D456" s="139"/>
    </row>
    <row r="457">
      <c r="B457" s="303"/>
      <c r="C457" s="139"/>
      <c r="D457" s="139"/>
    </row>
    <row r="458">
      <c r="B458" s="303"/>
      <c r="C458" s="139"/>
      <c r="D458" s="139"/>
    </row>
    <row r="459">
      <c r="B459" s="303"/>
      <c r="C459" s="139"/>
      <c r="D459" s="139"/>
    </row>
    <row r="460">
      <c r="B460" s="303"/>
      <c r="C460" s="139"/>
      <c r="D460" s="139"/>
    </row>
    <row r="461">
      <c r="B461" s="303"/>
      <c r="C461" s="139"/>
      <c r="D461" s="139"/>
    </row>
    <row r="462">
      <c r="B462" s="303"/>
      <c r="C462" s="139"/>
      <c r="D462" s="139"/>
    </row>
    <row r="463">
      <c r="B463" s="303"/>
      <c r="C463" s="139"/>
      <c r="D463" s="139"/>
    </row>
    <row r="464">
      <c r="B464" s="303"/>
      <c r="C464" s="139"/>
      <c r="D464" s="139"/>
    </row>
    <row r="465">
      <c r="B465" s="303"/>
      <c r="C465" s="139"/>
      <c r="D465" s="139"/>
    </row>
    <row r="466">
      <c r="B466" s="303"/>
      <c r="C466" s="139"/>
      <c r="D466" s="139"/>
    </row>
    <row r="467">
      <c r="B467" s="303"/>
      <c r="C467" s="139"/>
      <c r="D467" s="139"/>
    </row>
    <row r="468">
      <c r="B468" s="303"/>
      <c r="C468" s="139"/>
      <c r="D468" s="139"/>
    </row>
    <row r="469">
      <c r="B469" s="303"/>
      <c r="C469" s="139"/>
      <c r="D469" s="139"/>
    </row>
    <row r="470">
      <c r="B470" s="303"/>
      <c r="C470" s="139"/>
      <c r="D470" s="139"/>
    </row>
    <row r="471">
      <c r="B471" s="303"/>
      <c r="C471" s="139"/>
      <c r="D471" s="139"/>
    </row>
    <row r="472">
      <c r="B472" s="303"/>
      <c r="C472" s="139"/>
      <c r="D472" s="139"/>
    </row>
    <row r="473">
      <c r="B473" s="303"/>
      <c r="C473" s="139"/>
      <c r="D473" s="139"/>
    </row>
    <row r="474">
      <c r="B474" s="303"/>
      <c r="C474" s="139"/>
      <c r="D474" s="139"/>
    </row>
    <row r="475">
      <c r="B475" s="303"/>
      <c r="C475" s="139"/>
      <c r="D475" s="139"/>
    </row>
    <row r="476">
      <c r="B476" s="303"/>
      <c r="C476" s="139"/>
      <c r="D476" s="139"/>
    </row>
    <row r="477">
      <c r="B477" s="303"/>
      <c r="C477" s="139"/>
      <c r="D477" s="139"/>
    </row>
    <row r="478">
      <c r="B478" s="303"/>
      <c r="C478" s="139"/>
      <c r="D478" s="139"/>
    </row>
    <row r="479">
      <c r="B479" s="303"/>
      <c r="C479" s="139"/>
      <c r="D479" s="139"/>
    </row>
    <row r="480">
      <c r="B480" s="303"/>
      <c r="C480" s="139"/>
      <c r="D480" s="139"/>
    </row>
    <row r="481">
      <c r="B481" s="303"/>
      <c r="C481" s="139"/>
      <c r="D481" s="139"/>
    </row>
    <row r="482">
      <c r="B482" s="303"/>
      <c r="C482" s="139"/>
      <c r="D482" s="139"/>
    </row>
    <row r="483">
      <c r="B483" s="303"/>
      <c r="C483" s="139"/>
      <c r="D483" s="139"/>
    </row>
    <row r="484">
      <c r="B484" s="303"/>
      <c r="C484" s="139"/>
      <c r="D484" s="139"/>
    </row>
    <row r="485">
      <c r="B485" s="303"/>
      <c r="C485" s="139"/>
      <c r="D485" s="139"/>
    </row>
    <row r="486">
      <c r="B486" s="303"/>
      <c r="C486" s="139"/>
      <c r="D486" s="139"/>
    </row>
    <row r="487">
      <c r="B487" s="303"/>
      <c r="C487" s="139"/>
      <c r="D487" s="139"/>
    </row>
    <row r="488">
      <c r="B488" s="303"/>
      <c r="C488" s="139"/>
      <c r="D488" s="139"/>
    </row>
    <row r="489">
      <c r="B489" s="303"/>
      <c r="C489" s="139"/>
      <c r="D489" s="139"/>
    </row>
    <row r="490">
      <c r="B490" s="303"/>
      <c r="C490" s="139"/>
      <c r="D490" s="139"/>
    </row>
    <row r="491">
      <c r="B491" s="303"/>
      <c r="C491" s="139"/>
      <c r="D491" s="139"/>
    </row>
    <row r="492">
      <c r="B492" s="303"/>
      <c r="C492" s="139"/>
      <c r="D492" s="139"/>
    </row>
    <row r="493">
      <c r="B493" s="303"/>
      <c r="C493" s="139"/>
      <c r="D493" s="139"/>
    </row>
    <row r="494">
      <c r="B494" s="303"/>
      <c r="C494" s="139"/>
      <c r="D494" s="139"/>
    </row>
    <row r="495">
      <c r="B495" s="303"/>
      <c r="C495" s="139"/>
      <c r="D495" s="139"/>
    </row>
    <row r="496">
      <c r="B496" s="303"/>
      <c r="C496" s="139"/>
      <c r="D496" s="139"/>
    </row>
    <row r="497">
      <c r="B497" s="303"/>
      <c r="C497" s="139"/>
      <c r="D497" s="139"/>
    </row>
    <row r="498">
      <c r="B498" s="303"/>
      <c r="C498" s="139"/>
      <c r="D498" s="139"/>
    </row>
    <row r="499">
      <c r="B499" s="303"/>
      <c r="C499" s="139"/>
      <c r="D499" s="139"/>
    </row>
    <row r="500">
      <c r="B500" s="303"/>
      <c r="C500" s="139"/>
      <c r="D500" s="139"/>
    </row>
    <row r="501">
      <c r="B501" s="303"/>
      <c r="C501" s="139"/>
      <c r="D501" s="139"/>
    </row>
    <row r="502">
      <c r="B502" s="303"/>
      <c r="C502" s="139"/>
      <c r="D502" s="139"/>
    </row>
    <row r="503">
      <c r="B503" s="303"/>
      <c r="C503" s="139"/>
      <c r="D503" s="139"/>
    </row>
    <row r="504">
      <c r="B504" s="303"/>
      <c r="C504" s="139"/>
      <c r="D504" s="139"/>
    </row>
    <row r="505">
      <c r="B505" s="303"/>
      <c r="C505" s="139"/>
      <c r="D505" s="139"/>
    </row>
    <row r="506">
      <c r="B506" s="303"/>
      <c r="C506" s="139"/>
      <c r="D506" s="139"/>
    </row>
    <row r="507">
      <c r="B507" s="303"/>
      <c r="C507" s="139"/>
      <c r="D507" s="139"/>
    </row>
    <row r="508">
      <c r="B508" s="303"/>
      <c r="C508" s="139"/>
      <c r="D508" s="139"/>
    </row>
    <row r="509">
      <c r="B509" s="303"/>
      <c r="C509" s="139"/>
      <c r="D509" s="139"/>
    </row>
    <row r="510">
      <c r="B510" s="303"/>
      <c r="C510" s="139"/>
      <c r="D510" s="139"/>
    </row>
    <row r="511">
      <c r="B511" s="303"/>
      <c r="C511" s="139"/>
      <c r="D511" s="139"/>
    </row>
    <row r="512">
      <c r="B512" s="303"/>
      <c r="C512" s="139"/>
      <c r="D512" s="139"/>
    </row>
    <row r="513">
      <c r="B513" s="303"/>
      <c r="C513" s="139"/>
      <c r="D513" s="139"/>
    </row>
    <row r="514">
      <c r="B514" s="303"/>
      <c r="C514" s="139"/>
      <c r="D514" s="139"/>
    </row>
    <row r="515">
      <c r="B515" s="303"/>
      <c r="C515" s="139"/>
      <c r="D515" s="139"/>
    </row>
    <row r="516">
      <c r="B516" s="303"/>
      <c r="C516" s="139"/>
      <c r="D516" s="139"/>
    </row>
    <row r="517">
      <c r="B517" s="303"/>
      <c r="C517" s="139"/>
      <c r="D517" s="139"/>
    </row>
    <row r="518">
      <c r="B518" s="303"/>
      <c r="C518" s="139"/>
      <c r="D518" s="139"/>
    </row>
    <row r="519">
      <c r="B519" s="303"/>
      <c r="C519" s="139"/>
      <c r="D519" s="139"/>
    </row>
    <row r="520">
      <c r="B520" s="303"/>
      <c r="C520" s="139"/>
      <c r="D520" s="139"/>
    </row>
    <row r="521">
      <c r="B521" s="303"/>
      <c r="C521" s="139"/>
      <c r="D521" s="139"/>
    </row>
    <row r="522">
      <c r="B522" s="303"/>
      <c r="C522" s="139"/>
      <c r="D522" s="139"/>
    </row>
    <row r="523">
      <c r="B523" s="303"/>
      <c r="C523" s="139"/>
      <c r="D523" s="139"/>
    </row>
    <row r="524">
      <c r="B524" s="303"/>
      <c r="C524" s="139"/>
      <c r="D524" s="139"/>
    </row>
    <row r="525">
      <c r="B525" s="303"/>
      <c r="C525" s="139"/>
      <c r="D525" s="139"/>
    </row>
    <row r="526">
      <c r="B526" s="303"/>
      <c r="C526" s="139"/>
      <c r="D526" s="139"/>
    </row>
    <row r="527">
      <c r="B527" s="303"/>
      <c r="C527" s="139"/>
      <c r="D527" s="139"/>
    </row>
    <row r="528">
      <c r="B528" s="303"/>
      <c r="C528" s="139"/>
      <c r="D528" s="139"/>
    </row>
    <row r="529">
      <c r="B529" s="303"/>
      <c r="C529" s="139"/>
      <c r="D529" s="139"/>
    </row>
    <row r="530">
      <c r="B530" s="303"/>
      <c r="C530" s="139"/>
      <c r="D530" s="139"/>
    </row>
    <row r="531">
      <c r="B531" s="303"/>
      <c r="C531" s="139"/>
      <c r="D531" s="139"/>
    </row>
    <row r="532">
      <c r="B532" s="303"/>
      <c r="C532" s="139"/>
      <c r="D532" s="139"/>
    </row>
    <row r="533">
      <c r="B533" s="303"/>
      <c r="C533" s="139"/>
      <c r="D533" s="139"/>
    </row>
    <row r="534">
      <c r="B534" s="303"/>
      <c r="C534" s="139"/>
      <c r="D534" s="139"/>
    </row>
    <row r="535">
      <c r="B535" s="303"/>
      <c r="C535" s="139"/>
      <c r="D535" s="139"/>
    </row>
    <row r="536">
      <c r="B536" s="303"/>
      <c r="C536" s="139"/>
      <c r="D536" s="139"/>
    </row>
    <row r="537">
      <c r="B537" s="303"/>
      <c r="C537" s="139"/>
      <c r="D537" s="139"/>
    </row>
    <row r="538">
      <c r="B538" s="303"/>
      <c r="C538" s="139"/>
      <c r="D538" s="139"/>
    </row>
    <row r="539">
      <c r="B539" s="303"/>
      <c r="C539" s="139"/>
      <c r="D539" s="139"/>
    </row>
    <row r="540">
      <c r="B540" s="303"/>
      <c r="C540" s="139"/>
      <c r="D540" s="139"/>
    </row>
    <row r="541">
      <c r="B541" s="303"/>
      <c r="C541" s="139"/>
      <c r="D541" s="139"/>
    </row>
    <row r="542">
      <c r="B542" s="303"/>
      <c r="C542" s="139"/>
      <c r="D542" s="139"/>
    </row>
    <row r="543">
      <c r="B543" s="303"/>
      <c r="C543" s="139"/>
      <c r="D543" s="139"/>
    </row>
    <row r="544">
      <c r="B544" s="303"/>
      <c r="C544" s="139"/>
      <c r="D544" s="139"/>
    </row>
    <row r="545">
      <c r="B545" s="303"/>
      <c r="C545" s="139"/>
      <c r="D545" s="139"/>
    </row>
    <row r="546">
      <c r="B546" s="303"/>
      <c r="C546" s="139"/>
      <c r="D546" s="139"/>
    </row>
    <row r="547">
      <c r="B547" s="303"/>
      <c r="C547" s="139"/>
      <c r="D547" s="139"/>
    </row>
    <row r="548">
      <c r="B548" s="303"/>
      <c r="C548" s="139"/>
      <c r="D548" s="139"/>
    </row>
    <row r="549">
      <c r="B549" s="303"/>
      <c r="C549" s="139"/>
      <c r="D549" s="139"/>
    </row>
    <row r="550">
      <c r="B550" s="303"/>
      <c r="C550" s="139"/>
      <c r="D550" s="139"/>
    </row>
    <row r="551">
      <c r="B551" s="303"/>
      <c r="C551" s="139"/>
      <c r="D551" s="139"/>
    </row>
    <row r="552">
      <c r="B552" s="303"/>
      <c r="C552" s="139"/>
      <c r="D552" s="139"/>
    </row>
    <row r="553">
      <c r="B553" s="303"/>
      <c r="C553" s="139"/>
      <c r="D553" s="139"/>
    </row>
    <row r="554">
      <c r="B554" s="303"/>
      <c r="C554" s="139"/>
      <c r="D554" s="139"/>
    </row>
    <row r="555">
      <c r="B555" s="303"/>
      <c r="C555" s="139"/>
      <c r="D555" s="139"/>
    </row>
    <row r="556">
      <c r="B556" s="303"/>
      <c r="C556" s="139"/>
      <c r="D556" s="139"/>
    </row>
    <row r="557">
      <c r="B557" s="303"/>
      <c r="C557" s="139"/>
      <c r="D557" s="139"/>
    </row>
    <row r="558">
      <c r="B558" s="303"/>
      <c r="C558" s="139"/>
      <c r="D558" s="139"/>
    </row>
    <row r="559">
      <c r="B559" s="303"/>
      <c r="C559" s="139"/>
      <c r="D559" s="139"/>
    </row>
    <row r="560">
      <c r="B560" s="303"/>
      <c r="C560" s="139"/>
      <c r="D560" s="139"/>
    </row>
    <row r="561">
      <c r="B561" s="303"/>
      <c r="C561" s="139"/>
      <c r="D561" s="139"/>
    </row>
    <row r="562">
      <c r="B562" s="303"/>
      <c r="C562" s="139"/>
      <c r="D562" s="139"/>
    </row>
    <row r="563">
      <c r="B563" s="303"/>
      <c r="C563" s="139"/>
      <c r="D563" s="139"/>
    </row>
    <row r="564">
      <c r="B564" s="303"/>
      <c r="C564" s="139"/>
      <c r="D564" s="139"/>
    </row>
    <row r="565">
      <c r="B565" s="303"/>
      <c r="C565" s="139"/>
      <c r="D565" s="139"/>
    </row>
    <row r="566">
      <c r="B566" s="303"/>
      <c r="C566" s="139"/>
      <c r="D566" s="139"/>
    </row>
    <row r="567">
      <c r="B567" s="303"/>
      <c r="C567" s="139"/>
      <c r="D567" s="139"/>
    </row>
    <row r="568">
      <c r="B568" s="303"/>
      <c r="C568" s="139"/>
      <c r="D568" s="139"/>
    </row>
    <row r="569">
      <c r="B569" s="303"/>
      <c r="C569" s="139"/>
      <c r="D569" s="139"/>
    </row>
    <row r="570">
      <c r="B570" s="303"/>
      <c r="C570" s="139"/>
      <c r="D570" s="139"/>
    </row>
    <row r="571">
      <c r="B571" s="303"/>
      <c r="C571" s="139"/>
      <c r="D571" s="139"/>
    </row>
    <row r="572">
      <c r="B572" s="303"/>
      <c r="C572" s="139"/>
      <c r="D572" s="139"/>
    </row>
    <row r="573">
      <c r="B573" s="303"/>
      <c r="C573" s="139"/>
      <c r="D573" s="139"/>
    </row>
    <row r="574">
      <c r="B574" s="303"/>
      <c r="C574" s="139"/>
      <c r="D574" s="139"/>
    </row>
    <row r="575">
      <c r="B575" s="303"/>
      <c r="C575" s="139"/>
      <c r="D575" s="139"/>
    </row>
    <row r="576">
      <c r="B576" s="303"/>
      <c r="C576" s="139"/>
      <c r="D576" s="139"/>
    </row>
    <row r="577">
      <c r="B577" s="303"/>
      <c r="C577" s="139"/>
      <c r="D577" s="139"/>
    </row>
    <row r="578">
      <c r="B578" s="303"/>
      <c r="C578" s="139"/>
      <c r="D578" s="139"/>
    </row>
    <row r="579">
      <c r="B579" s="303"/>
      <c r="C579" s="139"/>
      <c r="D579" s="139"/>
    </row>
    <row r="580">
      <c r="B580" s="303"/>
      <c r="C580" s="139"/>
      <c r="D580" s="139"/>
    </row>
    <row r="581">
      <c r="B581" s="303"/>
      <c r="C581" s="139"/>
      <c r="D581" s="139"/>
    </row>
    <row r="582">
      <c r="B582" s="303"/>
      <c r="C582" s="139"/>
      <c r="D582" s="139"/>
    </row>
    <row r="583">
      <c r="B583" s="303"/>
      <c r="C583" s="139"/>
      <c r="D583" s="139"/>
    </row>
    <row r="584">
      <c r="B584" s="303"/>
      <c r="C584" s="139"/>
      <c r="D584" s="139"/>
    </row>
    <row r="585">
      <c r="B585" s="303"/>
      <c r="C585" s="139"/>
      <c r="D585" s="139"/>
    </row>
    <row r="586">
      <c r="B586" s="303"/>
      <c r="C586" s="139"/>
      <c r="D586" s="139"/>
    </row>
    <row r="587">
      <c r="B587" s="303"/>
      <c r="C587" s="139"/>
      <c r="D587" s="139"/>
    </row>
    <row r="588">
      <c r="B588" s="303"/>
      <c r="C588" s="139"/>
      <c r="D588" s="139"/>
    </row>
    <row r="589">
      <c r="B589" s="303"/>
      <c r="C589" s="139"/>
      <c r="D589" s="139"/>
    </row>
    <row r="590">
      <c r="B590" s="303"/>
      <c r="C590" s="139"/>
      <c r="D590" s="139"/>
    </row>
    <row r="591">
      <c r="B591" s="303"/>
      <c r="C591" s="139"/>
      <c r="D591" s="139"/>
    </row>
    <row r="592">
      <c r="B592" s="303"/>
      <c r="C592" s="139"/>
      <c r="D592" s="139"/>
    </row>
    <row r="593">
      <c r="B593" s="303"/>
      <c r="C593" s="139"/>
      <c r="D593" s="139"/>
    </row>
    <row r="594">
      <c r="B594" s="303"/>
      <c r="C594" s="139"/>
      <c r="D594" s="139"/>
    </row>
    <row r="595">
      <c r="B595" s="303"/>
      <c r="C595" s="139"/>
      <c r="D595" s="139"/>
    </row>
    <row r="596">
      <c r="B596" s="303"/>
      <c r="C596" s="139"/>
      <c r="D596" s="139"/>
    </row>
    <row r="597">
      <c r="B597" s="303"/>
      <c r="C597" s="139"/>
      <c r="D597" s="139"/>
    </row>
    <row r="598">
      <c r="B598" s="303"/>
      <c r="C598" s="139"/>
      <c r="D598" s="139"/>
    </row>
    <row r="599">
      <c r="B599" s="303"/>
      <c r="C599" s="139"/>
      <c r="D599" s="139"/>
    </row>
    <row r="600">
      <c r="B600" s="303"/>
      <c r="C600" s="139"/>
      <c r="D600" s="139"/>
    </row>
    <row r="601">
      <c r="B601" s="303"/>
      <c r="C601" s="139"/>
      <c r="D601" s="139"/>
    </row>
    <row r="602">
      <c r="B602" s="303"/>
      <c r="C602" s="139"/>
      <c r="D602" s="139"/>
    </row>
    <row r="603">
      <c r="B603" s="303"/>
      <c r="C603" s="139"/>
      <c r="D603" s="139"/>
    </row>
    <row r="604">
      <c r="B604" s="303"/>
      <c r="C604" s="139"/>
      <c r="D604" s="139"/>
    </row>
    <row r="605">
      <c r="B605" s="303"/>
      <c r="C605" s="139"/>
      <c r="D605" s="139"/>
    </row>
    <row r="606">
      <c r="B606" s="303"/>
      <c r="C606" s="139"/>
      <c r="D606" s="139"/>
    </row>
    <row r="607">
      <c r="B607" s="303"/>
      <c r="C607" s="139"/>
      <c r="D607" s="139"/>
    </row>
    <row r="608">
      <c r="B608" s="303"/>
      <c r="C608" s="139"/>
      <c r="D608" s="139"/>
    </row>
    <row r="609">
      <c r="B609" s="303"/>
      <c r="C609" s="139"/>
      <c r="D609" s="139"/>
    </row>
    <row r="610">
      <c r="B610" s="303"/>
      <c r="C610" s="139"/>
      <c r="D610" s="139"/>
    </row>
    <row r="611">
      <c r="B611" s="303"/>
      <c r="C611" s="139"/>
      <c r="D611" s="139"/>
    </row>
    <row r="612">
      <c r="B612" s="303"/>
      <c r="C612" s="139"/>
      <c r="D612" s="139"/>
    </row>
    <row r="613">
      <c r="B613" s="303"/>
      <c r="C613" s="139"/>
      <c r="D613" s="139"/>
    </row>
    <row r="614">
      <c r="B614" s="303"/>
      <c r="C614" s="139"/>
      <c r="D614" s="139"/>
    </row>
    <row r="615">
      <c r="B615" s="303"/>
      <c r="C615" s="139"/>
      <c r="D615" s="139"/>
    </row>
    <row r="616">
      <c r="B616" s="303"/>
      <c r="C616" s="139"/>
      <c r="D616" s="139"/>
    </row>
    <row r="617">
      <c r="B617" s="303"/>
      <c r="C617" s="139"/>
      <c r="D617" s="139"/>
    </row>
    <row r="618">
      <c r="B618" s="303"/>
      <c r="C618" s="139"/>
      <c r="D618" s="139"/>
    </row>
    <row r="619">
      <c r="B619" s="303"/>
      <c r="C619" s="139"/>
      <c r="D619" s="139"/>
    </row>
    <row r="620">
      <c r="B620" s="303"/>
      <c r="C620" s="139"/>
      <c r="D620" s="139"/>
    </row>
    <row r="621">
      <c r="B621" s="303"/>
      <c r="C621" s="139"/>
      <c r="D621" s="139"/>
    </row>
    <row r="622">
      <c r="B622" s="303"/>
      <c r="C622" s="139"/>
      <c r="D622" s="139"/>
    </row>
    <row r="623">
      <c r="B623" s="303"/>
      <c r="C623" s="139"/>
      <c r="D623" s="139"/>
    </row>
    <row r="624">
      <c r="B624" s="303"/>
      <c r="C624" s="139"/>
      <c r="D624" s="139"/>
    </row>
    <row r="625">
      <c r="B625" s="303"/>
      <c r="C625" s="139"/>
      <c r="D625" s="139"/>
    </row>
    <row r="626">
      <c r="B626" s="303"/>
      <c r="C626" s="139"/>
      <c r="D626" s="139"/>
    </row>
    <row r="627">
      <c r="B627" s="303"/>
      <c r="C627" s="139"/>
      <c r="D627" s="139"/>
    </row>
    <row r="628">
      <c r="B628" s="303"/>
      <c r="C628" s="139"/>
      <c r="D628" s="139"/>
    </row>
    <row r="629">
      <c r="B629" s="303"/>
      <c r="C629" s="139"/>
      <c r="D629" s="139"/>
    </row>
    <row r="630">
      <c r="B630" s="303"/>
      <c r="C630" s="139"/>
      <c r="D630" s="139"/>
    </row>
    <row r="631">
      <c r="B631" s="303"/>
      <c r="C631" s="139"/>
      <c r="D631" s="139"/>
    </row>
    <row r="632">
      <c r="B632" s="303"/>
      <c r="C632" s="139"/>
      <c r="D632" s="139"/>
    </row>
    <row r="633">
      <c r="B633" s="303"/>
      <c r="C633" s="139"/>
      <c r="D633" s="139"/>
    </row>
    <row r="634">
      <c r="B634" s="303"/>
      <c r="C634" s="139"/>
      <c r="D634" s="139"/>
    </row>
    <row r="635">
      <c r="B635" s="303"/>
      <c r="C635" s="139"/>
      <c r="D635" s="139"/>
    </row>
    <row r="636">
      <c r="B636" s="303"/>
      <c r="C636" s="139"/>
      <c r="D636" s="139"/>
    </row>
    <row r="637">
      <c r="B637" s="303"/>
      <c r="C637" s="139"/>
      <c r="D637" s="139"/>
    </row>
    <row r="638">
      <c r="B638" s="303"/>
      <c r="C638" s="139"/>
      <c r="D638" s="139"/>
    </row>
    <row r="639">
      <c r="B639" s="303"/>
      <c r="C639" s="139"/>
      <c r="D639" s="139"/>
    </row>
    <row r="640">
      <c r="B640" s="303"/>
      <c r="C640" s="139"/>
      <c r="D640" s="139"/>
    </row>
    <row r="641">
      <c r="B641" s="303"/>
      <c r="C641" s="139"/>
      <c r="D641" s="139"/>
    </row>
    <row r="642">
      <c r="B642" s="303"/>
      <c r="C642" s="139"/>
      <c r="D642" s="139"/>
    </row>
    <row r="643">
      <c r="B643" s="303"/>
      <c r="C643" s="139"/>
      <c r="D643" s="139"/>
    </row>
    <row r="644">
      <c r="B644" s="303"/>
      <c r="C644" s="139"/>
      <c r="D644" s="139"/>
    </row>
    <row r="645">
      <c r="B645" s="303"/>
      <c r="C645" s="139"/>
      <c r="D645" s="139"/>
    </row>
    <row r="646">
      <c r="B646" s="303"/>
      <c r="C646" s="139"/>
      <c r="D646" s="139"/>
    </row>
    <row r="647">
      <c r="B647" s="303"/>
      <c r="C647" s="139"/>
      <c r="D647" s="139"/>
    </row>
    <row r="648">
      <c r="B648" s="303"/>
      <c r="C648" s="139"/>
      <c r="D648" s="139"/>
    </row>
    <row r="649">
      <c r="B649" s="303"/>
      <c r="C649" s="139"/>
      <c r="D649" s="139"/>
    </row>
    <row r="650">
      <c r="B650" s="303"/>
      <c r="C650" s="139"/>
      <c r="D650" s="139"/>
    </row>
    <row r="651">
      <c r="B651" s="303"/>
      <c r="C651" s="139"/>
      <c r="D651" s="139"/>
    </row>
    <row r="652">
      <c r="B652" s="303"/>
      <c r="C652" s="139"/>
      <c r="D652" s="139"/>
    </row>
    <row r="653">
      <c r="B653" s="303"/>
      <c r="C653" s="139"/>
      <c r="D653" s="139"/>
    </row>
    <row r="654">
      <c r="B654" s="303"/>
      <c r="C654" s="139"/>
      <c r="D654" s="139"/>
    </row>
    <row r="655">
      <c r="B655" s="303"/>
      <c r="C655" s="139"/>
      <c r="D655" s="139"/>
    </row>
    <row r="656">
      <c r="B656" s="303"/>
      <c r="C656" s="139"/>
      <c r="D656" s="139"/>
    </row>
    <row r="657">
      <c r="B657" s="303"/>
      <c r="C657" s="139"/>
      <c r="D657" s="139"/>
    </row>
    <row r="658">
      <c r="B658" s="303"/>
      <c r="C658" s="139"/>
      <c r="D658" s="139"/>
    </row>
    <row r="659">
      <c r="B659" s="303"/>
      <c r="C659" s="139"/>
      <c r="D659" s="139"/>
    </row>
    <row r="660">
      <c r="B660" s="303"/>
      <c r="C660" s="139"/>
      <c r="D660" s="139"/>
    </row>
    <row r="661">
      <c r="B661" s="303"/>
      <c r="C661" s="139"/>
      <c r="D661" s="139"/>
    </row>
    <row r="662">
      <c r="B662" s="303"/>
      <c r="C662" s="139"/>
      <c r="D662" s="139"/>
    </row>
    <row r="663">
      <c r="B663" s="303"/>
      <c r="C663" s="139"/>
      <c r="D663" s="139"/>
    </row>
    <row r="664">
      <c r="B664" s="303"/>
      <c r="C664" s="139"/>
      <c r="D664" s="139"/>
    </row>
    <row r="665">
      <c r="B665" s="303"/>
      <c r="C665" s="139"/>
      <c r="D665" s="139"/>
    </row>
    <row r="666">
      <c r="B666" s="303"/>
      <c r="C666" s="139"/>
      <c r="D666" s="139"/>
    </row>
    <row r="667">
      <c r="B667" s="303"/>
      <c r="C667" s="139"/>
      <c r="D667" s="139"/>
    </row>
    <row r="668">
      <c r="B668" s="303"/>
      <c r="C668" s="139"/>
      <c r="D668" s="139"/>
    </row>
    <row r="669">
      <c r="B669" s="303"/>
      <c r="C669" s="139"/>
      <c r="D669" s="139"/>
    </row>
    <row r="670">
      <c r="B670" s="303"/>
      <c r="C670" s="139"/>
      <c r="D670" s="139"/>
    </row>
    <row r="671">
      <c r="B671" s="303"/>
      <c r="C671" s="139"/>
      <c r="D671" s="139"/>
    </row>
    <row r="672">
      <c r="B672" s="303"/>
      <c r="C672" s="139"/>
      <c r="D672" s="139"/>
    </row>
    <row r="673">
      <c r="B673" s="303"/>
      <c r="C673" s="139"/>
      <c r="D673" s="139"/>
    </row>
    <row r="674">
      <c r="B674" s="303"/>
      <c r="C674" s="139"/>
      <c r="D674" s="139"/>
    </row>
    <row r="675">
      <c r="B675" s="303"/>
      <c r="C675" s="139"/>
      <c r="D675" s="139"/>
    </row>
    <row r="676">
      <c r="B676" s="303"/>
      <c r="C676" s="139"/>
      <c r="D676" s="139"/>
    </row>
    <row r="677">
      <c r="B677" s="303"/>
      <c r="C677" s="139"/>
      <c r="D677" s="139"/>
    </row>
    <row r="678">
      <c r="B678" s="303"/>
      <c r="C678" s="139"/>
      <c r="D678" s="139"/>
    </row>
    <row r="679">
      <c r="B679" s="303"/>
      <c r="C679" s="139"/>
      <c r="D679" s="139"/>
    </row>
    <row r="680">
      <c r="B680" s="303"/>
      <c r="C680" s="139"/>
      <c r="D680" s="139"/>
    </row>
    <row r="681">
      <c r="B681" s="303"/>
      <c r="C681" s="139"/>
      <c r="D681" s="139"/>
    </row>
    <row r="682">
      <c r="B682" s="303"/>
      <c r="C682" s="139"/>
      <c r="D682" s="139"/>
    </row>
    <row r="683">
      <c r="B683" s="303"/>
      <c r="C683" s="139"/>
      <c r="D683" s="139"/>
    </row>
    <row r="684">
      <c r="B684" s="303"/>
      <c r="C684" s="139"/>
      <c r="D684" s="139"/>
    </row>
    <row r="685">
      <c r="B685" s="303"/>
      <c r="C685" s="139"/>
      <c r="D685" s="139"/>
    </row>
    <row r="686">
      <c r="B686" s="303"/>
      <c r="C686" s="139"/>
      <c r="D686" s="139"/>
    </row>
    <row r="687">
      <c r="B687" s="303"/>
      <c r="C687" s="139"/>
      <c r="D687" s="139"/>
    </row>
    <row r="688">
      <c r="B688" s="303"/>
      <c r="C688" s="139"/>
      <c r="D688" s="139"/>
    </row>
    <row r="689">
      <c r="B689" s="303"/>
      <c r="C689" s="139"/>
      <c r="D689" s="139"/>
    </row>
    <row r="690">
      <c r="B690" s="303"/>
      <c r="C690" s="139"/>
      <c r="D690" s="139"/>
    </row>
    <row r="691">
      <c r="B691" s="303"/>
      <c r="C691" s="139"/>
      <c r="D691" s="139"/>
    </row>
    <row r="692">
      <c r="B692" s="303"/>
      <c r="C692" s="139"/>
      <c r="D692" s="139"/>
    </row>
    <row r="693">
      <c r="B693" s="303"/>
      <c r="C693" s="139"/>
      <c r="D693" s="139"/>
    </row>
    <row r="694">
      <c r="B694" s="303"/>
      <c r="C694" s="139"/>
      <c r="D694" s="139"/>
    </row>
    <row r="695">
      <c r="B695" s="303"/>
      <c r="C695" s="139"/>
      <c r="D695" s="139"/>
    </row>
    <row r="696">
      <c r="B696" s="303"/>
      <c r="C696" s="139"/>
      <c r="D696" s="139"/>
    </row>
    <row r="697">
      <c r="B697" s="303"/>
      <c r="C697" s="139"/>
      <c r="D697" s="139"/>
    </row>
    <row r="698">
      <c r="B698" s="303"/>
      <c r="C698" s="139"/>
      <c r="D698" s="139"/>
    </row>
    <row r="699">
      <c r="B699" s="303"/>
      <c r="C699" s="139"/>
      <c r="D699" s="139"/>
    </row>
    <row r="700">
      <c r="B700" s="303"/>
      <c r="C700" s="139"/>
      <c r="D700" s="139"/>
    </row>
    <row r="701">
      <c r="B701" s="303"/>
      <c r="C701" s="139"/>
      <c r="D701" s="139"/>
    </row>
    <row r="702">
      <c r="B702" s="303"/>
      <c r="C702" s="139"/>
      <c r="D702" s="139"/>
    </row>
    <row r="703">
      <c r="B703" s="303"/>
      <c r="C703" s="139"/>
      <c r="D703" s="139"/>
    </row>
    <row r="704">
      <c r="B704" s="303"/>
      <c r="C704" s="139"/>
      <c r="D704" s="139"/>
    </row>
    <row r="705">
      <c r="B705" s="303"/>
      <c r="C705" s="139"/>
      <c r="D705" s="139"/>
    </row>
    <row r="706">
      <c r="B706" s="303"/>
      <c r="C706" s="139"/>
      <c r="D706" s="139"/>
    </row>
    <row r="707">
      <c r="B707" s="303"/>
      <c r="C707" s="139"/>
      <c r="D707" s="139"/>
    </row>
    <row r="708">
      <c r="B708" s="303"/>
      <c r="C708" s="139"/>
      <c r="D708" s="139"/>
    </row>
    <row r="709">
      <c r="B709" s="303"/>
      <c r="C709" s="139"/>
      <c r="D709" s="139"/>
    </row>
    <row r="710">
      <c r="B710" s="303"/>
      <c r="C710" s="139"/>
      <c r="D710" s="139"/>
    </row>
    <row r="711">
      <c r="B711" s="303"/>
      <c r="C711" s="139"/>
      <c r="D711" s="139"/>
    </row>
    <row r="712">
      <c r="B712" s="303"/>
      <c r="C712" s="139"/>
      <c r="D712" s="139"/>
    </row>
    <row r="713">
      <c r="B713" s="303"/>
      <c r="C713" s="139"/>
      <c r="D713" s="139"/>
    </row>
    <row r="714">
      <c r="B714" s="303"/>
      <c r="C714" s="139"/>
      <c r="D714" s="139"/>
    </row>
    <row r="715">
      <c r="B715" s="303"/>
      <c r="C715" s="139"/>
      <c r="D715" s="139"/>
    </row>
    <row r="716">
      <c r="B716" s="303"/>
      <c r="C716" s="139"/>
      <c r="D716" s="139"/>
    </row>
    <row r="717">
      <c r="B717" s="303"/>
      <c r="C717" s="139"/>
      <c r="D717" s="139"/>
    </row>
    <row r="718">
      <c r="B718" s="303"/>
      <c r="C718" s="139"/>
      <c r="D718" s="139"/>
    </row>
    <row r="719">
      <c r="B719" s="303"/>
      <c r="C719" s="139"/>
      <c r="D719" s="139"/>
    </row>
    <row r="720">
      <c r="B720" s="303"/>
      <c r="C720" s="139"/>
      <c r="D720" s="139"/>
    </row>
    <row r="721">
      <c r="B721" s="303"/>
      <c r="C721" s="139"/>
      <c r="D721" s="139"/>
    </row>
    <row r="722">
      <c r="B722" s="303"/>
      <c r="C722" s="139"/>
      <c r="D722" s="139"/>
    </row>
    <row r="723">
      <c r="B723" s="303"/>
      <c r="C723" s="139"/>
      <c r="D723" s="139"/>
    </row>
    <row r="724">
      <c r="B724" s="303"/>
      <c r="C724" s="139"/>
      <c r="D724" s="139"/>
    </row>
    <row r="725">
      <c r="B725" s="303"/>
      <c r="C725" s="139"/>
      <c r="D725" s="139"/>
    </row>
    <row r="726">
      <c r="B726" s="303"/>
      <c r="C726" s="139"/>
      <c r="D726" s="139"/>
    </row>
    <row r="727">
      <c r="B727" s="303"/>
      <c r="C727" s="139"/>
      <c r="D727" s="139"/>
    </row>
    <row r="728">
      <c r="B728" s="303"/>
      <c r="C728" s="139"/>
      <c r="D728" s="139"/>
    </row>
    <row r="729">
      <c r="B729" s="303"/>
      <c r="C729" s="139"/>
      <c r="D729" s="139"/>
    </row>
    <row r="730">
      <c r="B730" s="303"/>
      <c r="C730" s="139"/>
      <c r="D730" s="139"/>
    </row>
    <row r="731">
      <c r="B731" s="303"/>
      <c r="C731" s="139"/>
      <c r="D731" s="139"/>
    </row>
    <row r="732">
      <c r="B732" s="303"/>
      <c r="C732" s="139"/>
      <c r="D732" s="139"/>
    </row>
    <row r="733">
      <c r="B733" s="303"/>
      <c r="C733" s="139"/>
      <c r="D733" s="139"/>
    </row>
    <row r="734">
      <c r="B734" s="303"/>
      <c r="C734" s="139"/>
      <c r="D734" s="139"/>
    </row>
    <row r="735">
      <c r="B735" s="303"/>
      <c r="C735" s="139"/>
      <c r="D735" s="139"/>
    </row>
    <row r="736">
      <c r="B736" s="303"/>
      <c r="C736" s="139"/>
      <c r="D736" s="139"/>
    </row>
    <row r="737">
      <c r="B737" s="303"/>
      <c r="C737" s="139"/>
      <c r="D737" s="139"/>
    </row>
    <row r="738">
      <c r="B738" s="303"/>
      <c r="C738" s="139"/>
      <c r="D738" s="139"/>
    </row>
    <row r="739">
      <c r="B739" s="303"/>
      <c r="C739" s="139"/>
      <c r="D739" s="139"/>
    </row>
    <row r="740">
      <c r="B740" s="303"/>
      <c r="C740" s="139"/>
      <c r="D740" s="139"/>
    </row>
    <row r="741">
      <c r="B741" s="303"/>
      <c r="C741" s="139"/>
      <c r="D741" s="139"/>
    </row>
    <row r="742">
      <c r="B742" s="303"/>
      <c r="C742" s="139"/>
      <c r="D742" s="139"/>
    </row>
    <row r="743">
      <c r="B743" s="303"/>
      <c r="C743" s="139"/>
      <c r="D743" s="139"/>
    </row>
    <row r="744">
      <c r="B744" s="303"/>
      <c r="C744" s="139"/>
      <c r="D744" s="139"/>
    </row>
    <row r="745">
      <c r="B745" s="303"/>
      <c r="C745" s="139"/>
      <c r="D745" s="139"/>
    </row>
    <row r="746">
      <c r="B746" s="303"/>
      <c r="C746" s="139"/>
      <c r="D746" s="139"/>
    </row>
    <row r="747">
      <c r="B747" s="303"/>
      <c r="C747" s="139"/>
      <c r="D747" s="139"/>
    </row>
    <row r="748">
      <c r="B748" s="303"/>
      <c r="C748" s="139"/>
      <c r="D748" s="139"/>
    </row>
    <row r="749">
      <c r="B749" s="303"/>
      <c r="C749" s="139"/>
      <c r="D749" s="139"/>
    </row>
    <row r="750">
      <c r="B750" s="303"/>
      <c r="C750" s="139"/>
      <c r="D750" s="139"/>
    </row>
    <row r="751">
      <c r="B751" s="303"/>
      <c r="C751" s="139"/>
      <c r="D751" s="139"/>
    </row>
    <row r="752">
      <c r="B752" s="303"/>
      <c r="C752" s="139"/>
      <c r="D752" s="139"/>
    </row>
    <row r="753">
      <c r="B753" s="303"/>
      <c r="C753" s="139"/>
      <c r="D753" s="139"/>
    </row>
    <row r="754">
      <c r="B754" s="303"/>
      <c r="C754" s="139"/>
      <c r="D754" s="139"/>
    </row>
    <row r="755">
      <c r="B755" s="303"/>
      <c r="C755" s="139"/>
      <c r="D755" s="139"/>
    </row>
    <row r="756">
      <c r="B756" s="303"/>
      <c r="C756" s="139"/>
      <c r="D756" s="139"/>
    </row>
    <row r="757">
      <c r="B757" s="303"/>
      <c r="C757" s="139"/>
      <c r="D757" s="139"/>
    </row>
    <row r="758">
      <c r="B758" s="303"/>
      <c r="C758" s="139"/>
      <c r="D758" s="139"/>
    </row>
    <row r="759">
      <c r="B759" s="303"/>
      <c r="C759" s="139"/>
      <c r="D759" s="139"/>
    </row>
    <row r="760">
      <c r="B760" s="303"/>
      <c r="C760" s="139"/>
      <c r="D760" s="139"/>
    </row>
    <row r="761">
      <c r="B761" s="303"/>
      <c r="C761" s="139"/>
      <c r="D761" s="139"/>
    </row>
    <row r="762">
      <c r="B762" s="303"/>
      <c r="C762" s="139"/>
      <c r="D762" s="139"/>
    </row>
    <row r="763">
      <c r="B763" s="303"/>
      <c r="C763" s="139"/>
      <c r="D763" s="139"/>
    </row>
    <row r="764">
      <c r="B764" s="303"/>
      <c r="C764" s="139"/>
      <c r="D764" s="139"/>
    </row>
    <row r="765">
      <c r="B765" s="303"/>
      <c r="C765" s="139"/>
      <c r="D765" s="139"/>
    </row>
    <row r="766">
      <c r="B766" s="303"/>
      <c r="C766" s="139"/>
      <c r="D766" s="139"/>
    </row>
    <row r="767">
      <c r="B767" s="303"/>
      <c r="C767" s="139"/>
      <c r="D767" s="139"/>
    </row>
    <row r="768">
      <c r="B768" s="303"/>
      <c r="C768" s="139"/>
      <c r="D768" s="139"/>
    </row>
    <row r="769">
      <c r="B769" s="303"/>
      <c r="C769" s="139"/>
      <c r="D769" s="139"/>
    </row>
    <row r="770">
      <c r="B770" s="303"/>
      <c r="C770" s="139"/>
      <c r="D770" s="139"/>
    </row>
    <row r="771">
      <c r="B771" s="303"/>
      <c r="C771" s="139"/>
      <c r="D771" s="139"/>
    </row>
    <row r="772">
      <c r="B772" s="303"/>
      <c r="C772" s="139"/>
      <c r="D772" s="139"/>
    </row>
    <row r="773">
      <c r="B773" s="303"/>
      <c r="C773" s="139"/>
      <c r="D773" s="139"/>
    </row>
    <row r="774">
      <c r="B774" s="303"/>
      <c r="C774" s="139"/>
      <c r="D774" s="139"/>
    </row>
    <row r="775">
      <c r="B775" s="303"/>
      <c r="C775" s="139"/>
      <c r="D775" s="139"/>
    </row>
    <row r="776">
      <c r="B776" s="303"/>
      <c r="C776" s="139"/>
      <c r="D776" s="139"/>
    </row>
    <row r="777">
      <c r="B777" s="303"/>
      <c r="C777" s="139"/>
      <c r="D777" s="139"/>
    </row>
    <row r="778">
      <c r="B778" s="303"/>
      <c r="C778" s="139"/>
      <c r="D778" s="139"/>
    </row>
    <row r="779">
      <c r="B779" s="303"/>
      <c r="C779" s="139"/>
      <c r="D779" s="139"/>
    </row>
    <row r="780">
      <c r="B780" s="303"/>
      <c r="C780" s="139"/>
      <c r="D780" s="139"/>
    </row>
    <row r="781">
      <c r="B781" s="303"/>
      <c r="C781" s="139"/>
      <c r="D781" s="139"/>
    </row>
    <row r="782">
      <c r="B782" s="303"/>
      <c r="C782" s="139"/>
      <c r="D782" s="139"/>
    </row>
    <row r="783">
      <c r="B783" s="303"/>
      <c r="C783" s="139"/>
      <c r="D783" s="139"/>
    </row>
    <row r="784">
      <c r="B784" s="303"/>
      <c r="C784" s="139"/>
      <c r="D784" s="139"/>
    </row>
    <row r="785">
      <c r="B785" s="303"/>
      <c r="C785" s="139"/>
      <c r="D785" s="139"/>
    </row>
    <row r="786">
      <c r="B786" s="303"/>
      <c r="C786" s="139"/>
      <c r="D786" s="139"/>
    </row>
    <row r="787">
      <c r="B787" s="303"/>
      <c r="C787" s="139"/>
      <c r="D787" s="139"/>
    </row>
    <row r="788">
      <c r="B788" s="303"/>
      <c r="C788" s="139"/>
      <c r="D788" s="139"/>
    </row>
    <row r="789">
      <c r="B789" s="303"/>
      <c r="C789" s="139"/>
      <c r="D789" s="139"/>
    </row>
    <row r="790">
      <c r="B790" s="303"/>
      <c r="C790" s="139"/>
      <c r="D790" s="139"/>
    </row>
    <row r="791">
      <c r="B791" s="303"/>
      <c r="C791" s="139"/>
      <c r="D791" s="139"/>
    </row>
    <row r="792">
      <c r="B792" s="303"/>
      <c r="C792" s="139"/>
      <c r="D792" s="139"/>
    </row>
    <row r="793">
      <c r="B793" s="303"/>
      <c r="C793" s="139"/>
      <c r="D793" s="139"/>
    </row>
    <row r="794">
      <c r="B794" s="303"/>
      <c r="C794" s="139"/>
      <c r="D794" s="139"/>
    </row>
    <row r="795">
      <c r="B795" s="303"/>
      <c r="C795" s="139"/>
      <c r="D795" s="139"/>
    </row>
    <row r="796">
      <c r="B796" s="303"/>
      <c r="C796" s="139"/>
      <c r="D796" s="139"/>
    </row>
    <row r="797">
      <c r="B797" s="303"/>
      <c r="C797" s="139"/>
      <c r="D797" s="139"/>
    </row>
    <row r="798">
      <c r="B798" s="303"/>
      <c r="C798" s="139"/>
      <c r="D798" s="139"/>
    </row>
    <row r="799">
      <c r="B799" s="303"/>
      <c r="C799" s="139"/>
      <c r="D799" s="139"/>
    </row>
    <row r="800">
      <c r="B800" s="303"/>
      <c r="C800" s="139"/>
      <c r="D800" s="139"/>
    </row>
    <row r="801">
      <c r="B801" s="303"/>
      <c r="C801" s="139"/>
      <c r="D801" s="139"/>
    </row>
    <row r="802">
      <c r="B802" s="303"/>
      <c r="C802" s="139"/>
      <c r="D802" s="139"/>
    </row>
    <row r="803">
      <c r="B803" s="303"/>
      <c r="C803" s="139"/>
      <c r="D803" s="139"/>
    </row>
    <row r="804">
      <c r="B804" s="303"/>
      <c r="C804" s="139"/>
      <c r="D804" s="139"/>
    </row>
    <row r="805">
      <c r="B805" s="303"/>
      <c r="C805" s="139"/>
      <c r="D805" s="139"/>
    </row>
    <row r="806">
      <c r="B806" s="303"/>
      <c r="C806" s="139"/>
      <c r="D806" s="139"/>
    </row>
    <row r="807">
      <c r="B807" s="303"/>
      <c r="C807" s="139"/>
      <c r="D807" s="139"/>
    </row>
    <row r="808">
      <c r="B808" s="303"/>
      <c r="C808" s="139"/>
      <c r="D808" s="139"/>
    </row>
    <row r="809">
      <c r="B809" s="303"/>
      <c r="C809" s="139"/>
      <c r="D809" s="139"/>
    </row>
    <row r="810">
      <c r="B810" s="303"/>
      <c r="C810" s="139"/>
      <c r="D810" s="139"/>
    </row>
    <row r="811">
      <c r="B811" s="303"/>
      <c r="C811" s="139"/>
      <c r="D811" s="139"/>
    </row>
    <row r="812">
      <c r="B812" s="303"/>
      <c r="C812" s="139"/>
      <c r="D812" s="139"/>
    </row>
    <row r="813">
      <c r="B813" s="303"/>
      <c r="C813" s="139"/>
      <c r="D813" s="139"/>
    </row>
    <row r="814">
      <c r="B814" s="303"/>
      <c r="C814" s="139"/>
      <c r="D814" s="139"/>
    </row>
    <row r="815">
      <c r="B815" s="303"/>
      <c r="C815" s="139"/>
      <c r="D815" s="139"/>
    </row>
    <row r="816">
      <c r="B816" s="303"/>
      <c r="C816" s="139"/>
      <c r="D816" s="139"/>
    </row>
    <row r="817">
      <c r="B817" s="303"/>
      <c r="C817" s="139"/>
      <c r="D817" s="139"/>
    </row>
    <row r="818">
      <c r="B818" s="303"/>
      <c r="C818" s="139"/>
      <c r="D818" s="139"/>
    </row>
    <row r="819">
      <c r="B819" s="303"/>
      <c r="C819" s="139"/>
      <c r="D819" s="139"/>
    </row>
    <row r="820">
      <c r="B820" s="303"/>
      <c r="C820" s="139"/>
      <c r="D820" s="139"/>
    </row>
    <row r="821">
      <c r="B821" s="303"/>
      <c r="C821" s="139"/>
      <c r="D821" s="139"/>
    </row>
    <row r="822">
      <c r="B822" s="303"/>
      <c r="C822" s="139"/>
      <c r="D822" s="139"/>
    </row>
    <row r="823">
      <c r="B823" s="303"/>
      <c r="C823" s="139"/>
      <c r="D823" s="139"/>
    </row>
    <row r="824">
      <c r="B824" s="303"/>
      <c r="C824" s="139"/>
      <c r="D824" s="139"/>
    </row>
    <row r="825">
      <c r="B825" s="303"/>
      <c r="C825" s="139"/>
      <c r="D825" s="139"/>
    </row>
    <row r="826">
      <c r="B826" s="303"/>
      <c r="C826" s="139"/>
      <c r="D826" s="139"/>
    </row>
    <row r="827">
      <c r="B827" s="303"/>
      <c r="C827" s="139"/>
      <c r="D827" s="139"/>
    </row>
    <row r="828">
      <c r="B828" s="303"/>
      <c r="C828" s="139"/>
      <c r="D828" s="139"/>
    </row>
    <row r="829">
      <c r="B829" s="303"/>
      <c r="C829" s="139"/>
      <c r="D829" s="139"/>
    </row>
    <row r="830">
      <c r="B830" s="303"/>
      <c r="C830" s="139"/>
      <c r="D830" s="139"/>
    </row>
    <row r="831">
      <c r="B831" s="303"/>
      <c r="C831" s="139"/>
      <c r="D831" s="139"/>
    </row>
    <row r="832">
      <c r="B832" s="303"/>
      <c r="C832" s="139"/>
      <c r="D832" s="139"/>
    </row>
    <row r="833">
      <c r="B833" s="303"/>
      <c r="C833" s="139"/>
      <c r="D833" s="139"/>
    </row>
    <row r="834">
      <c r="B834" s="303"/>
      <c r="C834" s="139"/>
      <c r="D834" s="139"/>
    </row>
    <row r="835">
      <c r="B835" s="303"/>
      <c r="C835" s="139"/>
      <c r="D835" s="139"/>
    </row>
    <row r="836">
      <c r="B836" s="303"/>
      <c r="C836" s="139"/>
      <c r="D836" s="139"/>
    </row>
    <row r="837">
      <c r="B837" s="303"/>
      <c r="C837" s="139"/>
      <c r="D837" s="139"/>
    </row>
    <row r="838">
      <c r="B838" s="303"/>
      <c r="C838" s="139"/>
      <c r="D838" s="139"/>
    </row>
    <row r="839">
      <c r="B839" s="303"/>
      <c r="C839" s="139"/>
      <c r="D839" s="139"/>
    </row>
    <row r="840">
      <c r="B840" s="303"/>
      <c r="C840" s="139"/>
      <c r="D840" s="139"/>
    </row>
    <row r="841">
      <c r="B841" s="303"/>
      <c r="C841" s="139"/>
      <c r="D841" s="139"/>
    </row>
    <row r="842">
      <c r="B842" s="303"/>
      <c r="C842" s="139"/>
      <c r="D842" s="139"/>
    </row>
    <row r="843">
      <c r="B843" s="303"/>
      <c r="C843" s="139"/>
      <c r="D843" s="139"/>
    </row>
    <row r="844">
      <c r="B844" s="303"/>
      <c r="C844" s="139"/>
      <c r="D844" s="139"/>
    </row>
    <row r="845">
      <c r="B845" s="303"/>
      <c r="C845" s="139"/>
      <c r="D845" s="139"/>
    </row>
    <row r="846">
      <c r="B846" s="303"/>
      <c r="C846" s="139"/>
      <c r="D846" s="139"/>
    </row>
    <row r="847">
      <c r="B847" s="303"/>
      <c r="C847" s="139"/>
      <c r="D847" s="139"/>
    </row>
    <row r="848">
      <c r="B848" s="303"/>
      <c r="C848" s="139"/>
      <c r="D848" s="139"/>
    </row>
    <row r="849">
      <c r="B849" s="303"/>
      <c r="C849" s="139"/>
      <c r="D849" s="139"/>
    </row>
    <row r="850">
      <c r="B850" s="303"/>
      <c r="C850" s="139"/>
      <c r="D850" s="139"/>
    </row>
    <row r="851">
      <c r="B851" s="303"/>
      <c r="C851" s="139"/>
      <c r="D851" s="139"/>
    </row>
    <row r="852">
      <c r="B852" s="303"/>
      <c r="C852" s="139"/>
      <c r="D852" s="139"/>
    </row>
    <row r="853">
      <c r="B853" s="303"/>
      <c r="C853" s="139"/>
      <c r="D853" s="139"/>
    </row>
    <row r="854">
      <c r="B854" s="303"/>
      <c r="C854" s="139"/>
      <c r="D854" s="139"/>
    </row>
    <row r="855">
      <c r="B855" s="303"/>
      <c r="C855" s="139"/>
      <c r="D855" s="139"/>
    </row>
    <row r="856">
      <c r="B856" s="303"/>
      <c r="C856" s="139"/>
      <c r="D856" s="139"/>
    </row>
    <row r="857">
      <c r="B857" s="303"/>
      <c r="C857" s="139"/>
      <c r="D857" s="139"/>
    </row>
    <row r="858">
      <c r="B858" s="303"/>
      <c r="C858" s="139"/>
      <c r="D858" s="139"/>
    </row>
    <row r="859">
      <c r="B859" s="303"/>
      <c r="C859" s="139"/>
      <c r="D859" s="139"/>
    </row>
    <row r="860">
      <c r="B860" s="303"/>
      <c r="C860" s="139"/>
      <c r="D860" s="139"/>
    </row>
    <row r="861">
      <c r="B861" s="303"/>
      <c r="C861" s="139"/>
      <c r="D861" s="139"/>
    </row>
    <row r="862">
      <c r="B862" s="303"/>
      <c r="C862" s="139"/>
      <c r="D862" s="139"/>
    </row>
    <row r="863">
      <c r="B863" s="303"/>
      <c r="C863" s="139"/>
      <c r="D863" s="139"/>
    </row>
    <row r="864">
      <c r="B864" s="303"/>
      <c r="C864" s="139"/>
      <c r="D864" s="139"/>
    </row>
    <row r="865">
      <c r="B865" s="303"/>
      <c r="C865" s="139"/>
      <c r="D865" s="139"/>
    </row>
    <row r="866">
      <c r="B866" s="303"/>
      <c r="C866" s="139"/>
      <c r="D866" s="139"/>
    </row>
    <row r="867">
      <c r="B867" s="303"/>
      <c r="C867" s="139"/>
      <c r="D867" s="139"/>
    </row>
    <row r="868">
      <c r="B868" s="303"/>
      <c r="C868" s="139"/>
      <c r="D868" s="139"/>
    </row>
    <row r="869">
      <c r="B869" s="303"/>
      <c r="C869" s="139"/>
      <c r="D869" s="139"/>
    </row>
    <row r="870">
      <c r="B870" s="303"/>
      <c r="C870" s="139"/>
      <c r="D870" s="139"/>
    </row>
    <row r="871">
      <c r="B871" s="303"/>
      <c r="C871" s="139"/>
      <c r="D871" s="139"/>
    </row>
    <row r="872">
      <c r="B872" s="303"/>
      <c r="C872" s="139"/>
      <c r="D872" s="139"/>
    </row>
    <row r="873">
      <c r="B873" s="303"/>
      <c r="C873" s="139"/>
      <c r="D873" s="139"/>
    </row>
    <row r="874">
      <c r="B874" s="303"/>
      <c r="C874" s="139"/>
      <c r="D874" s="139"/>
    </row>
    <row r="875">
      <c r="B875" s="303"/>
      <c r="C875" s="139"/>
      <c r="D875" s="139"/>
    </row>
    <row r="876">
      <c r="B876" s="303"/>
      <c r="C876" s="139"/>
      <c r="D876" s="139"/>
    </row>
    <row r="877">
      <c r="B877" s="303"/>
      <c r="C877" s="139"/>
      <c r="D877" s="139"/>
    </row>
    <row r="878">
      <c r="B878" s="303"/>
      <c r="C878" s="139"/>
      <c r="D878" s="139"/>
    </row>
    <row r="879">
      <c r="B879" s="303"/>
      <c r="C879" s="139"/>
      <c r="D879" s="139"/>
    </row>
    <row r="880">
      <c r="B880" s="303"/>
      <c r="C880" s="139"/>
      <c r="D880" s="139"/>
    </row>
    <row r="881">
      <c r="B881" s="303"/>
      <c r="C881" s="139"/>
      <c r="D881" s="139"/>
    </row>
    <row r="882">
      <c r="B882" s="303"/>
      <c r="C882" s="139"/>
      <c r="D882" s="139"/>
    </row>
    <row r="883">
      <c r="B883" s="303"/>
      <c r="C883" s="139"/>
      <c r="D883" s="139"/>
    </row>
    <row r="884">
      <c r="B884" s="303"/>
      <c r="C884" s="139"/>
      <c r="D884" s="139"/>
    </row>
    <row r="885">
      <c r="B885" s="303"/>
      <c r="C885" s="139"/>
      <c r="D885" s="139"/>
    </row>
    <row r="886">
      <c r="B886" s="303"/>
      <c r="C886" s="139"/>
      <c r="D886" s="139"/>
    </row>
    <row r="887">
      <c r="B887" s="303"/>
      <c r="C887" s="139"/>
      <c r="D887" s="139"/>
    </row>
    <row r="888">
      <c r="B888" s="303"/>
      <c r="C888" s="139"/>
      <c r="D888" s="139"/>
    </row>
    <row r="889">
      <c r="B889" s="303"/>
      <c r="C889" s="139"/>
      <c r="D889" s="139"/>
    </row>
    <row r="890">
      <c r="B890" s="303"/>
      <c r="C890" s="139"/>
      <c r="D890" s="139"/>
    </row>
    <row r="891">
      <c r="B891" s="303"/>
      <c r="C891" s="139"/>
      <c r="D891" s="139"/>
    </row>
    <row r="892">
      <c r="B892" s="303"/>
      <c r="C892" s="139"/>
      <c r="D892" s="139"/>
    </row>
    <row r="893">
      <c r="B893" s="303"/>
      <c r="C893" s="139"/>
      <c r="D893" s="139"/>
    </row>
    <row r="894">
      <c r="B894" s="303"/>
      <c r="C894" s="139"/>
      <c r="D894" s="139"/>
    </row>
    <row r="895">
      <c r="B895" s="303"/>
      <c r="C895" s="139"/>
      <c r="D895" s="139"/>
    </row>
    <row r="896">
      <c r="B896" s="303"/>
      <c r="C896" s="139"/>
      <c r="D896" s="139"/>
    </row>
    <row r="897">
      <c r="B897" s="303"/>
      <c r="C897" s="139"/>
      <c r="D897" s="139"/>
    </row>
    <row r="898">
      <c r="B898" s="303"/>
      <c r="C898" s="139"/>
      <c r="D898" s="139"/>
    </row>
    <row r="899">
      <c r="B899" s="303"/>
      <c r="C899" s="139"/>
      <c r="D899" s="139"/>
    </row>
    <row r="900">
      <c r="B900" s="303"/>
      <c r="C900" s="139"/>
      <c r="D900" s="139"/>
    </row>
    <row r="901">
      <c r="B901" s="303"/>
      <c r="C901" s="139"/>
      <c r="D901" s="139"/>
    </row>
    <row r="902">
      <c r="B902" s="303"/>
      <c r="C902" s="139"/>
      <c r="D902" s="139"/>
    </row>
    <row r="903">
      <c r="B903" s="303"/>
      <c r="C903" s="139"/>
      <c r="D903" s="139"/>
    </row>
    <row r="904">
      <c r="B904" s="303"/>
      <c r="C904" s="139"/>
      <c r="D904" s="139"/>
    </row>
    <row r="905">
      <c r="B905" s="303"/>
      <c r="C905" s="139"/>
      <c r="D905" s="139"/>
    </row>
    <row r="906">
      <c r="B906" s="303"/>
      <c r="C906" s="139"/>
      <c r="D906" s="139"/>
    </row>
    <row r="907">
      <c r="B907" s="303"/>
      <c r="C907" s="139"/>
      <c r="D907" s="139"/>
    </row>
    <row r="908">
      <c r="B908" s="303"/>
      <c r="C908" s="139"/>
      <c r="D908" s="139"/>
    </row>
    <row r="909">
      <c r="B909" s="303"/>
      <c r="C909" s="139"/>
      <c r="D909" s="139"/>
    </row>
    <row r="910">
      <c r="B910" s="303"/>
      <c r="C910" s="139"/>
      <c r="D910" s="139"/>
    </row>
    <row r="911">
      <c r="B911" s="303"/>
      <c r="C911" s="139"/>
      <c r="D911" s="139"/>
    </row>
    <row r="912">
      <c r="B912" s="303"/>
      <c r="C912" s="139"/>
      <c r="D912" s="139"/>
    </row>
    <row r="913">
      <c r="B913" s="303"/>
      <c r="C913" s="139"/>
      <c r="D913" s="139"/>
    </row>
    <row r="914">
      <c r="B914" s="303"/>
      <c r="C914" s="139"/>
      <c r="D914" s="139"/>
    </row>
    <row r="915">
      <c r="B915" s="303"/>
      <c r="C915" s="139"/>
      <c r="D915" s="139"/>
    </row>
    <row r="916">
      <c r="B916" s="303"/>
      <c r="C916" s="139"/>
      <c r="D916" s="139"/>
    </row>
    <row r="917">
      <c r="B917" s="303"/>
      <c r="C917" s="139"/>
      <c r="D917" s="139"/>
    </row>
    <row r="918">
      <c r="B918" s="303"/>
      <c r="C918" s="139"/>
      <c r="D918" s="139"/>
    </row>
    <row r="919">
      <c r="B919" s="303"/>
      <c r="C919" s="139"/>
      <c r="D919" s="139"/>
    </row>
    <row r="920">
      <c r="B920" s="303"/>
      <c r="C920" s="139"/>
      <c r="D920" s="139"/>
    </row>
    <row r="921">
      <c r="B921" s="303"/>
      <c r="C921" s="139"/>
      <c r="D921" s="139"/>
    </row>
    <row r="922">
      <c r="B922" s="303"/>
      <c r="C922" s="139"/>
      <c r="D922" s="139"/>
    </row>
    <row r="923">
      <c r="B923" s="303"/>
      <c r="C923" s="139"/>
      <c r="D923" s="139"/>
    </row>
    <row r="924">
      <c r="B924" s="303"/>
      <c r="C924" s="139"/>
      <c r="D924" s="139"/>
    </row>
    <row r="925">
      <c r="B925" s="303"/>
      <c r="C925" s="139"/>
      <c r="D925" s="139"/>
    </row>
    <row r="926">
      <c r="B926" s="303"/>
      <c r="C926" s="139"/>
      <c r="D926" s="139"/>
    </row>
    <row r="927">
      <c r="B927" s="303"/>
      <c r="C927" s="139"/>
      <c r="D927" s="139"/>
    </row>
    <row r="928">
      <c r="B928" s="303"/>
      <c r="C928" s="139"/>
      <c r="D928" s="139"/>
    </row>
    <row r="929">
      <c r="B929" s="303"/>
      <c r="C929" s="139"/>
      <c r="D929" s="139"/>
    </row>
    <row r="930">
      <c r="B930" s="303"/>
      <c r="C930" s="139"/>
      <c r="D930" s="139"/>
    </row>
    <row r="931">
      <c r="B931" s="303"/>
      <c r="C931" s="139"/>
      <c r="D931" s="139"/>
    </row>
    <row r="932">
      <c r="B932" s="303"/>
      <c r="C932" s="139"/>
      <c r="D932" s="139"/>
    </row>
    <row r="933">
      <c r="B933" s="303"/>
      <c r="C933" s="139"/>
      <c r="D933" s="139"/>
    </row>
    <row r="934">
      <c r="B934" s="303"/>
      <c r="C934" s="139"/>
      <c r="D934" s="139"/>
    </row>
    <row r="935">
      <c r="B935" s="303"/>
      <c r="C935" s="139"/>
      <c r="D935" s="139"/>
    </row>
    <row r="936">
      <c r="B936" s="303"/>
      <c r="C936" s="139"/>
      <c r="D936" s="139"/>
    </row>
    <row r="937">
      <c r="B937" s="303"/>
      <c r="C937" s="139"/>
      <c r="D937" s="139"/>
    </row>
    <row r="938">
      <c r="B938" s="303"/>
      <c r="C938" s="139"/>
      <c r="D938" s="139"/>
    </row>
    <row r="939">
      <c r="B939" s="303"/>
      <c r="C939" s="139"/>
      <c r="D939" s="139"/>
    </row>
    <row r="940">
      <c r="B940" s="303"/>
      <c r="C940" s="139"/>
      <c r="D940" s="139"/>
    </row>
    <row r="941">
      <c r="B941" s="303"/>
      <c r="C941" s="139"/>
      <c r="D941" s="139"/>
    </row>
    <row r="942">
      <c r="B942" s="303"/>
      <c r="C942" s="139"/>
      <c r="D942" s="139"/>
    </row>
    <row r="943">
      <c r="B943" s="303"/>
      <c r="C943" s="139"/>
      <c r="D943" s="139"/>
    </row>
    <row r="944">
      <c r="B944" s="303"/>
      <c r="C944" s="139"/>
      <c r="D944" s="139"/>
    </row>
    <row r="945">
      <c r="B945" s="303"/>
      <c r="C945" s="139"/>
      <c r="D945" s="139"/>
    </row>
    <row r="946">
      <c r="B946" s="303"/>
      <c r="C946" s="139"/>
      <c r="D946" s="139"/>
    </row>
    <row r="947">
      <c r="B947" s="303"/>
      <c r="C947" s="139"/>
      <c r="D947" s="139"/>
    </row>
    <row r="948">
      <c r="B948" s="303"/>
      <c r="C948" s="139"/>
      <c r="D948" s="139"/>
    </row>
    <row r="949">
      <c r="B949" s="303"/>
      <c r="C949" s="139"/>
      <c r="D949" s="139"/>
    </row>
    <row r="950">
      <c r="B950" s="303"/>
      <c r="C950" s="139"/>
      <c r="D950" s="139"/>
    </row>
    <row r="951">
      <c r="B951" s="303"/>
      <c r="C951" s="139"/>
      <c r="D951" s="139"/>
    </row>
    <row r="952">
      <c r="B952" s="303"/>
      <c r="C952" s="139"/>
      <c r="D952" s="139"/>
    </row>
    <row r="953">
      <c r="B953" s="303"/>
      <c r="C953" s="139"/>
      <c r="D953" s="139"/>
    </row>
    <row r="954">
      <c r="B954" s="303"/>
      <c r="C954" s="139"/>
      <c r="D954" s="139"/>
    </row>
    <row r="955">
      <c r="B955" s="303"/>
      <c r="C955" s="139"/>
      <c r="D955" s="139"/>
    </row>
    <row r="956">
      <c r="B956" s="303"/>
      <c r="C956" s="139"/>
      <c r="D956" s="139"/>
    </row>
    <row r="957">
      <c r="B957" s="303"/>
      <c r="C957" s="139"/>
      <c r="D957" s="139"/>
    </row>
    <row r="958">
      <c r="B958" s="303"/>
      <c r="C958" s="139"/>
      <c r="D958" s="139"/>
    </row>
    <row r="959">
      <c r="B959" s="303"/>
      <c r="C959" s="139"/>
      <c r="D959" s="139"/>
    </row>
    <row r="960">
      <c r="B960" s="303"/>
      <c r="C960" s="139"/>
      <c r="D960" s="139"/>
    </row>
    <row r="961">
      <c r="B961" s="303"/>
      <c r="C961" s="139"/>
      <c r="D961" s="139"/>
    </row>
    <row r="962">
      <c r="B962" s="303"/>
      <c r="C962" s="139"/>
      <c r="D962" s="139"/>
    </row>
    <row r="963">
      <c r="B963" s="303"/>
      <c r="C963" s="139"/>
      <c r="D963" s="139"/>
    </row>
    <row r="964">
      <c r="B964" s="303"/>
      <c r="C964" s="139"/>
      <c r="D964" s="139"/>
    </row>
    <row r="965">
      <c r="B965" s="303"/>
      <c r="C965" s="139"/>
      <c r="D965" s="139"/>
    </row>
    <row r="966">
      <c r="B966" s="303"/>
      <c r="C966" s="139"/>
      <c r="D966" s="139"/>
    </row>
    <row r="967">
      <c r="B967" s="303"/>
      <c r="C967" s="139"/>
      <c r="D967" s="139"/>
    </row>
    <row r="968">
      <c r="B968" s="303"/>
      <c r="C968" s="139"/>
      <c r="D968" s="139"/>
    </row>
    <row r="969">
      <c r="B969" s="303"/>
      <c r="C969" s="139"/>
      <c r="D969" s="139"/>
    </row>
    <row r="970">
      <c r="B970" s="303"/>
      <c r="C970" s="139"/>
      <c r="D970" s="139"/>
    </row>
    <row r="971">
      <c r="B971" s="303"/>
      <c r="C971" s="139"/>
      <c r="D971" s="139"/>
    </row>
    <row r="972">
      <c r="B972" s="303"/>
      <c r="C972" s="139"/>
      <c r="D972" s="139"/>
    </row>
    <row r="973">
      <c r="B973" s="303"/>
      <c r="C973" s="139"/>
      <c r="D973" s="139"/>
    </row>
    <row r="974">
      <c r="B974" s="303"/>
      <c r="C974" s="139"/>
      <c r="D974" s="139"/>
    </row>
    <row r="975">
      <c r="B975" s="303"/>
      <c r="C975" s="139"/>
      <c r="D975" s="139"/>
    </row>
    <row r="976">
      <c r="B976" s="303"/>
      <c r="C976" s="139"/>
      <c r="D976" s="139"/>
    </row>
    <row r="977">
      <c r="B977" s="303"/>
      <c r="C977" s="139"/>
      <c r="D977" s="139"/>
    </row>
    <row r="978">
      <c r="B978" s="303"/>
      <c r="C978" s="139"/>
      <c r="D978" s="139"/>
    </row>
    <row r="979">
      <c r="B979" s="303"/>
      <c r="C979" s="139"/>
      <c r="D979" s="139"/>
    </row>
    <row r="980">
      <c r="B980" s="303"/>
      <c r="C980" s="139"/>
      <c r="D980" s="139"/>
    </row>
    <row r="981">
      <c r="B981" s="303"/>
      <c r="C981" s="139"/>
      <c r="D981" s="139"/>
    </row>
    <row r="982">
      <c r="B982" s="303"/>
      <c r="C982" s="139"/>
      <c r="D982" s="139"/>
    </row>
    <row r="983">
      <c r="B983" s="303"/>
      <c r="C983" s="139"/>
      <c r="D983" s="139"/>
    </row>
    <row r="984">
      <c r="B984" s="303"/>
      <c r="C984" s="139"/>
      <c r="D984" s="139"/>
    </row>
    <row r="985">
      <c r="B985" s="303"/>
      <c r="C985" s="139"/>
      <c r="D985" s="139"/>
    </row>
    <row r="986">
      <c r="B986" s="303"/>
      <c r="C986" s="139"/>
      <c r="D986" s="139"/>
    </row>
    <row r="987">
      <c r="B987" s="303"/>
      <c r="C987" s="139"/>
      <c r="D987" s="139"/>
    </row>
    <row r="988">
      <c r="B988" s="303"/>
      <c r="C988" s="139"/>
      <c r="D988" s="139"/>
    </row>
    <row r="989">
      <c r="B989" s="303"/>
      <c r="C989" s="139"/>
      <c r="D989" s="139"/>
    </row>
    <row r="990">
      <c r="B990" s="303"/>
      <c r="C990" s="139"/>
      <c r="D990" s="139"/>
    </row>
    <row r="991">
      <c r="B991" s="303"/>
      <c r="C991" s="139"/>
      <c r="D991" s="139"/>
    </row>
    <row r="992">
      <c r="B992" s="303"/>
      <c r="C992" s="139"/>
      <c r="D992" s="139"/>
    </row>
    <row r="993">
      <c r="B993" s="303"/>
      <c r="C993" s="139"/>
      <c r="D993" s="139"/>
    </row>
    <row r="994">
      <c r="B994" s="303"/>
      <c r="C994" s="139"/>
      <c r="D994" s="139"/>
    </row>
    <row r="995">
      <c r="B995" s="303"/>
      <c r="C995" s="139"/>
      <c r="D995" s="139"/>
    </row>
    <row r="996">
      <c r="B996" s="303"/>
      <c r="C996" s="139"/>
      <c r="D996" s="139"/>
    </row>
    <row r="997">
      <c r="B997" s="303"/>
      <c r="C997" s="139"/>
      <c r="D997" s="139"/>
    </row>
    <row r="998">
      <c r="B998" s="303"/>
      <c r="C998" s="139"/>
      <c r="D998" s="139"/>
    </row>
    <row r="999">
      <c r="B999" s="303"/>
      <c r="C999" s="139"/>
      <c r="D999" s="139"/>
    </row>
    <row r="1000">
      <c r="B1000" s="303"/>
      <c r="C1000" s="139"/>
      <c r="D1000" s="139"/>
    </row>
    <row r="1001">
      <c r="B1001" s="303"/>
      <c r="C1001" s="139"/>
      <c r="D1001" s="139"/>
    </row>
    <row r="1002">
      <c r="B1002" s="303"/>
      <c r="C1002" s="139"/>
      <c r="D1002" s="139"/>
    </row>
    <row r="1003">
      <c r="B1003" s="303"/>
      <c r="C1003" s="139"/>
      <c r="D1003" s="139"/>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2" ref="C4"/>
    <hyperlink r:id="rId3" ref="C6"/>
    <hyperlink r:id="rId4" ref="C7"/>
    <hyperlink r:id="rId5" ref="C8"/>
    <hyperlink r:id="rId6" ref="C9"/>
    <hyperlink r:id="rId7" ref="C142"/>
    <hyperlink r:id="rId8" ref="C178"/>
    <hyperlink r:id="rId9" ref="C179"/>
    <hyperlink r:id="rId10" ref="C182"/>
    <hyperlink r:id="rId11" ref="C184"/>
    <hyperlink r:id="rId12" ref="C186"/>
    <hyperlink r:id="rId13" ref="C189"/>
    <hyperlink r:id="rId14" ref="C191"/>
  </hyperlinks>
  <drawing r:id="rId15"/>
  <legacyDrawing r:id="rId1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outlineLevelRow="1"/>
  <cols>
    <col customWidth="1" min="3" max="3" width="18.29"/>
  </cols>
  <sheetData>
    <row r="1" ht="15.0" customHeight="1" outlineLevel="1">
      <c r="A1" s="1" t="s">
        <v>0</v>
      </c>
      <c r="B1" s="2" t="s">
        <v>1</v>
      </c>
      <c r="C1" s="2" t="s">
        <v>2</v>
      </c>
      <c r="D1" s="2" t="s">
        <v>2</v>
      </c>
      <c r="E1" s="519"/>
      <c r="F1" s="30" t="s">
        <v>1577</v>
      </c>
      <c r="G1" s="30" t="s">
        <v>4</v>
      </c>
      <c r="H1" s="30" t="s">
        <v>5</v>
      </c>
      <c r="I1" s="30" t="s">
        <v>6</v>
      </c>
      <c r="J1" s="30" t="s">
        <v>7</v>
      </c>
      <c r="K1" s="1" t="s">
        <v>8</v>
      </c>
      <c r="L1" s="7" t="s">
        <v>9</v>
      </c>
      <c r="N1" s="10" t="s">
        <v>14</v>
      </c>
      <c r="P1" s="167"/>
      <c r="Q1" s="167"/>
      <c r="R1" s="30"/>
      <c r="S1" s="20"/>
      <c r="T1" s="20"/>
      <c r="U1" s="20"/>
      <c r="V1" s="20"/>
      <c r="W1" s="20"/>
      <c r="X1" s="20"/>
      <c r="Y1" s="20"/>
      <c r="Z1" s="20"/>
      <c r="AA1" s="20"/>
      <c r="AB1" s="20"/>
      <c r="AC1" s="20"/>
      <c r="AD1" s="20"/>
    </row>
    <row r="2" ht="16.5" customHeight="1" outlineLevel="1">
      <c r="A2" s="21" t="s">
        <v>786</v>
      </c>
      <c r="B2" s="23"/>
      <c r="C2" s="325"/>
      <c r="D2" s="325"/>
      <c r="E2" s="519"/>
      <c r="F2" s="168">
        <v>43467.0</v>
      </c>
      <c r="G2" s="168">
        <v>43483.0</v>
      </c>
      <c r="H2" s="21">
        <f>G2-TODAY()</f>
        <v>-252</v>
      </c>
      <c r="I2" s="520">
        <v>43467.0</v>
      </c>
      <c r="J2" s="168">
        <v>43789.0</v>
      </c>
      <c r="K2" s="23"/>
      <c r="L2" s="26">
        <f>CountIFS($E:$E,"=Dem",$A:$A,"=House")</f>
        <v>117</v>
      </c>
      <c r="M2" s="28">
        <f>CountIFS($E:$E,"=Rep",$A:$A,"=House")</f>
        <v>34</v>
      </c>
      <c r="N2" s="26">
        <f>CountIFS($E:$E,"=Dem",$A:$A,"=Senate")</f>
        <v>31</v>
      </c>
      <c r="O2" s="28">
        <f>CountIFS($E:$E,"=Rep",$A:$A,"=Senate")</f>
        <v>7</v>
      </c>
      <c r="P2" s="167"/>
      <c r="Q2" s="167"/>
      <c r="R2" s="30"/>
      <c r="S2" s="20"/>
      <c r="T2" s="20"/>
      <c r="U2" s="20"/>
      <c r="V2" s="20"/>
      <c r="W2" s="20"/>
      <c r="X2" s="20"/>
      <c r="Y2" s="20"/>
      <c r="Z2" s="20"/>
      <c r="AA2" s="20"/>
      <c r="AB2" s="20"/>
      <c r="AC2" s="20"/>
      <c r="AD2" s="20"/>
    </row>
    <row r="3">
      <c r="A3" s="30" t="s">
        <v>29</v>
      </c>
      <c r="B3" s="30" t="s">
        <v>30</v>
      </c>
      <c r="C3" s="2" t="s">
        <v>31</v>
      </c>
      <c r="D3" s="2" t="s">
        <v>32</v>
      </c>
      <c r="E3" s="260" t="s">
        <v>33</v>
      </c>
      <c r="F3" s="1" t="s">
        <v>10</v>
      </c>
      <c r="G3" s="1" t="s">
        <v>34</v>
      </c>
      <c r="H3" s="1" t="s">
        <v>34</v>
      </c>
      <c r="I3" s="1" t="s">
        <v>34</v>
      </c>
      <c r="J3" s="1" t="s">
        <v>34</v>
      </c>
      <c r="K3" s="1" t="s">
        <v>35</v>
      </c>
      <c r="L3" s="19" t="s">
        <v>36</v>
      </c>
      <c r="M3" s="19" t="s">
        <v>37</v>
      </c>
      <c r="N3" s="19" t="s">
        <v>38</v>
      </c>
      <c r="O3" s="17" t="s">
        <v>39</v>
      </c>
      <c r="P3" s="11" t="s">
        <v>40</v>
      </c>
      <c r="Q3" s="11" t="s">
        <v>41</v>
      </c>
      <c r="R3" s="17" t="s">
        <v>42</v>
      </c>
      <c r="S3" s="20"/>
      <c r="T3" s="20"/>
      <c r="U3" s="20"/>
      <c r="V3" s="20"/>
      <c r="W3" s="20"/>
      <c r="X3" s="20"/>
      <c r="Y3" s="20"/>
      <c r="Z3" s="20"/>
      <c r="AA3" s="20"/>
      <c r="AB3" s="20"/>
      <c r="AC3" s="20"/>
      <c r="AD3" s="20"/>
    </row>
    <row r="4">
      <c r="A4" s="14" t="s">
        <v>44</v>
      </c>
      <c r="B4" s="521">
        <v>1.0</v>
      </c>
      <c r="C4" s="264" t="s">
        <v>2507</v>
      </c>
      <c r="D4" s="264" t="s">
        <v>6667</v>
      </c>
      <c r="E4" s="522" t="s">
        <v>53</v>
      </c>
      <c r="F4" s="226"/>
      <c r="G4" s="523"/>
      <c r="H4" s="524"/>
      <c r="I4" s="525"/>
      <c r="J4" s="303"/>
      <c r="K4" s="303"/>
      <c r="L4" s="526"/>
      <c r="M4" s="526" t="str">
        <f t="shared" ref="M4:M163" si="1">concatenate(C4,".",D4,"@mahouse.gov")</f>
        <v>Timothy.Whelan@mahouse.gov</v>
      </c>
      <c r="N4" s="526"/>
      <c r="O4" s="526"/>
      <c r="P4" s="526"/>
      <c r="Q4" s="89"/>
      <c r="R4" s="89"/>
    </row>
    <row r="5">
      <c r="A5" s="14" t="s">
        <v>44</v>
      </c>
      <c r="B5" s="521">
        <v>2.0</v>
      </c>
      <c r="C5" s="264" t="s">
        <v>1058</v>
      </c>
      <c r="D5" s="264" t="s">
        <v>6677</v>
      </c>
      <c r="E5" s="522" t="s">
        <v>53</v>
      </c>
      <c r="F5" s="226"/>
      <c r="G5" s="226"/>
      <c r="H5" s="527"/>
      <c r="I5" s="525"/>
      <c r="J5" s="303"/>
      <c r="K5" s="303"/>
      <c r="L5" s="526"/>
      <c r="M5" s="526" t="str">
        <f t="shared" si="1"/>
        <v>William.Crocker@mahouse.gov</v>
      </c>
      <c r="N5" s="526"/>
      <c r="O5" s="526"/>
      <c r="P5" s="526"/>
      <c r="Q5" s="89"/>
      <c r="R5" s="89"/>
    </row>
    <row r="6">
      <c r="A6" s="14" t="s">
        <v>44</v>
      </c>
      <c r="B6" s="521">
        <v>3.0</v>
      </c>
      <c r="C6" s="264" t="s">
        <v>108</v>
      </c>
      <c r="D6" s="264" t="s">
        <v>6683</v>
      </c>
      <c r="E6" s="522" t="s">
        <v>53</v>
      </c>
      <c r="F6" s="226"/>
      <c r="G6" s="523"/>
      <c r="H6" s="524"/>
      <c r="I6" s="525"/>
      <c r="J6" s="303"/>
      <c r="K6" s="303"/>
      <c r="L6" s="526"/>
      <c r="M6" s="526" t="str">
        <f t="shared" si="1"/>
        <v>David.Vieira@mahouse.gov</v>
      </c>
      <c r="N6" s="526"/>
      <c r="O6" s="526"/>
      <c r="P6" s="526"/>
      <c r="Q6" s="89"/>
      <c r="R6" s="89"/>
    </row>
    <row r="7">
      <c r="A7" s="14" t="s">
        <v>44</v>
      </c>
      <c r="B7" s="521">
        <v>4.0</v>
      </c>
      <c r="C7" s="264" t="s">
        <v>210</v>
      </c>
      <c r="D7" s="264" t="s">
        <v>6688</v>
      </c>
      <c r="E7" s="528" t="s">
        <v>49</v>
      </c>
      <c r="F7" s="226"/>
      <c r="G7" s="523"/>
      <c r="H7" s="524"/>
      <c r="I7" s="525"/>
      <c r="J7" s="303"/>
      <c r="K7" s="303"/>
      <c r="L7" s="526"/>
      <c r="M7" s="526" t="str">
        <f t="shared" si="1"/>
        <v>Sarah.Peake@mahouse.gov</v>
      </c>
      <c r="N7" s="526"/>
      <c r="O7" s="526"/>
      <c r="P7" s="526"/>
      <c r="Q7" s="89"/>
      <c r="R7" s="89"/>
    </row>
    <row r="8">
      <c r="A8" s="14" t="s">
        <v>44</v>
      </c>
      <c r="B8" s="521">
        <v>5.0</v>
      </c>
      <c r="C8" s="264" t="s">
        <v>412</v>
      </c>
      <c r="D8" s="264" t="s">
        <v>6693</v>
      </c>
      <c r="E8" s="522" t="s">
        <v>53</v>
      </c>
      <c r="F8" s="226"/>
      <c r="G8" s="226"/>
      <c r="H8" s="527"/>
      <c r="I8" s="525"/>
      <c r="J8" s="303"/>
      <c r="K8" s="303"/>
      <c r="L8" s="526"/>
      <c r="M8" s="526" t="str">
        <f t="shared" si="1"/>
        <v>Randy.Hunt@mahouse.gov</v>
      </c>
      <c r="N8" s="526"/>
      <c r="O8" s="526"/>
      <c r="P8" s="526"/>
      <c r="Q8" s="89"/>
      <c r="R8" s="89"/>
    </row>
    <row r="9">
      <c r="A9" s="14" t="s">
        <v>44</v>
      </c>
      <c r="B9" s="521">
        <v>6.0</v>
      </c>
      <c r="C9" s="264" t="s">
        <v>1814</v>
      </c>
      <c r="D9" s="264" t="s">
        <v>6698</v>
      </c>
      <c r="E9" s="528" t="s">
        <v>49</v>
      </c>
      <c r="F9" s="226"/>
      <c r="G9" s="523"/>
      <c r="H9" s="524"/>
      <c r="I9" s="525"/>
      <c r="J9" s="303"/>
      <c r="K9" s="303"/>
      <c r="L9" s="526"/>
      <c r="M9" s="526" t="str">
        <f t="shared" si="1"/>
        <v>Dylan.Fernandes@mahouse.gov</v>
      </c>
      <c r="N9" s="526"/>
      <c r="O9" s="526"/>
      <c r="P9" s="526"/>
      <c r="Q9" s="89"/>
      <c r="R9" s="89"/>
    </row>
    <row r="10">
      <c r="A10" s="14" t="s">
        <v>44</v>
      </c>
      <c r="B10" s="521">
        <v>7.0</v>
      </c>
      <c r="C10" s="264" t="s">
        <v>278</v>
      </c>
      <c r="D10" s="264" t="s">
        <v>4745</v>
      </c>
      <c r="E10" s="528" t="s">
        <v>49</v>
      </c>
      <c r="F10" s="226"/>
      <c r="G10" s="226"/>
      <c r="H10" s="527"/>
      <c r="I10" s="529"/>
      <c r="J10" s="303"/>
      <c r="K10" s="303"/>
      <c r="L10" s="526"/>
      <c r="M10" s="526" t="str">
        <f t="shared" si="1"/>
        <v>John.Barrett@mahouse.gov</v>
      </c>
      <c r="N10" s="526"/>
      <c r="O10" s="526"/>
      <c r="P10" s="526"/>
      <c r="Q10" s="89"/>
      <c r="R10" s="89"/>
    </row>
    <row r="11">
      <c r="A11" s="14" t="s">
        <v>44</v>
      </c>
      <c r="B11" s="521">
        <v>8.0</v>
      </c>
      <c r="C11" s="264" t="s">
        <v>679</v>
      </c>
      <c r="D11" s="264" t="s">
        <v>91</v>
      </c>
      <c r="E11" s="528" t="s">
        <v>49</v>
      </c>
      <c r="F11" s="226"/>
      <c r="G11" s="523"/>
      <c r="H11" s="524"/>
      <c r="I11" s="525"/>
      <c r="J11" s="303"/>
      <c r="K11" s="303"/>
      <c r="L11" s="526"/>
      <c r="M11" s="526" t="str">
        <f t="shared" si="1"/>
        <v>Paul.Mark@mahouse.gov</v>
      </c>
      <c r="N11" s="526"/>
      <c r="O11" s="526"/>
      <c r="P11" s="526"/>
      <c r="Q11" s="89"/>
      <c r="R11" s="89"/>
    </row>
    <row r="12">
      <c r="A12" s="14" t="s">
        <v>44</v>
      </c>
      <c r="B12" s="521">
        <v>9.0</v>
      </c>
      <c r="C12" s="264" t="s">
        <v>6706</v>
      </c>
      <c r="D12" s="264" t="s">
        <v>6710</v>
      </c>
      <c r="E12" s="528" t="s">
        <v>49</v>
      </c>
      <c r="F12" s="226"/>
      <c r="G12" s="523"/>
      <c r="H12" s="524"/>
      <c r="I12" s="529"/>
      <c r="J12" s="303"/>
      <c r="K12" s="303"/>
      <c r="L12" s="526"/>
      <c r="M12" s="526" t="str">
        <f t="shared" si="1"/>
        <v>Tricia.Farley-Bouvier@mahouse.gov</v>
      </c>
      <c r="N12" s="526"/>
      <c r="O12" s="526"/>
      <c r="P12" s="526"/>
      <c r="Q12" s="89"/>
      <c r="R12" s="89"/>
    </row>
    <row r="13">
      <c r="A13" s="14" t="s">
        <v>44</v>
      </c>
      <c r="B13" s="521">
        <v>10.0</v>
      </c>
      <c r="C13" s="264" t="s">
        <v>1058</v>
      </c>
      <c r="D13" s="264" t="s">
        <v>6712</v>
      </c>
      <c r="E13" s="528" t="s">
        <v>49</v>
      </c>
      <c r="F13" s="226"/>
      <c r="G13" s="523"/>
      <c r="H13" s="524"/>
      <c r="I13" s="525"/>
      <c r="J13" s="303"/>
      <c r="K13" s="303"/>
      <c r="L13" s="526"/>
      <c r="M13" s="526" t="str">
        <f t="shared" si="1"/>
        <v>William.Pignatelli@mahouse.gov</v>
      </c>
      <c r="N13" s="526"/>
      <c r="O13" s="526"/>
      <c r="P13" s="526"/>
      <c r="Q13" s="89"/>
      <c r="R13" s="89"/>
    </row>
    <row r="14">
      <c r="A14" s="14" t="s">
        <v>44</v>
      </c>
      <c r="B14" s="521">
        <v>11.0</v>
      </c>
      <c r="C14" s="264" t="s">
        <v>1013</v>
      </c>
      <c r="D14" s="264" t="s">
        <v>6713</v>
      </c>
      <c r="E14" s="384" t="s">
        <v>53</v>
      </c>
      <c r="F14" s="226"/>
      <c r="G14" s="226"/>
      <c r="H14" s="527"/>
      <c r="I14" s="303"/>
      <c r="J14" s="303"/>
      <c r="K14" s="303"/>
      <c r="L14" s="526"/>
      <c r="M14" s="526" t="str">
        <f t="shared" si="1"/>
        <v>Jay.Barrows@mahouse.gov</v>
      </c>
      <c r="N14" s="526"/>
      <c r="O14" s="526"/>
      <c r="P14" s="526"/>
      <c r="Q14" s="89"/>
      <c r="R14" s="89"/>
    </row>
    <row r="15">
      <c r="A15" s="14" t="s">
        <v>44</v>
      </c>
      <c r="B15" s="521">
        <v>12.0</v>
      </c>
      <c r="C15" s="264" t="s">
        <v>930</v>
      </c>
      <c r="D15" s="264" t="s">
        <v>3233</v>
      </c>
      <c r="E15" s="394" t="s">
        <v>49</v>
      </c>
      <c r="F15" s="226"/>
      <c r="G15" s="523"/>
      <c r="H15" s="530"/>
      <c r="I15" s="303"/>
      <c r="J15" s="303"/>
      <c r="K15" s="303"/>
      <c r="L15" s="526"/>
      <c r="M15" s="526" t="str">
        <f t="shared" si="1"/>
        <v>James.Hawkins@mahouse.gov</v>
      </c>
      <c r="N15" s="526"/>
      <c r="O15" s="526"/>
      <c r="P15" s="526"/>
      <c r="Q15" s="89"/>
      <c r="R15" s="89"/>
    </row>
    <row r="16">
      <c r="A16" s="14" t="s">
        <v>44</v>
      </c>
      <c r="B16" s="521">
        <v>13.0</v>
      </c>
      <c r="C16" s="264" t="s">
        <v>6717</v>
      </c>
      <c r="D16" s="264" t="s">
        <v>6720</v>
      </c>
      <c r="E16" s="384" t="s">
        <v>53</v>
      </c>
      <c r="F16" s="226"/>
      <c r="G16" s="226"/>
      <c r="H16" s="527"/>
      <c r="I16" s="303"/>
      <c r="J16" s="303"/>
      <c r="K16" s="303"/>
      <c r="L16" s="526"/>
      <c r="M16" s="526" t="str">
        <f t="shared" si="1"/>
        <v>Shaunna.O'Connell@mahouse.gov</v>
      </c>
      <c r="N16" s="526"/>
      <c r="O16" s="526"/>
      <c r="P16" s="526"/>
      <c r="Q16" s="89"/>
      <c r="R16" s="89"/>
    </row>
    <row r="17">
      <c r="A17" s="14" t="s">
        <v>44</v>
      </c>
      <c r="B17" s="521">
        <v>14.0</v>
      </c>
      <c r="C17" s="264" t="s">
        <v>1897</v>
      </c>
      <c r="D17" s="264" t="s">
        <v>6722</v>
      </c>
      <c r="E17" s="384" t="s">
        <v>53</v>
      </c>
      <c r="F17" s="226"/>
      <c r="G17" s="226"/>
      <c r="H17" s="527"/>
      <c r="I17" s="303"/>
      <c r="J17" s="303"/>
      <c r="K17" s="303"/>
      <c r="L17" s="526"/>
      <c r="M17" s="526" t="str">
        <f t="shared" si="1"/>
        <v>Steven.Howitt@mahouse.gov</v>
      </c>
      <c r="N17" s="526"/>
      <c r="O17" s="526"/>
      <c r="P17" s="526"/>
      <c r="Q17" s="89"/>
      <c r="R17" s="89"/>
    </row>
    <row r="18">
      <c r="A18" s="14" t="s">
        <v>44</v>
      </c>
      <c r="B18" s="521">
        <v>15.0</v>
      </c>
      <c r="C18" s="264" t="s">
        <v>2249</v>
      </c>
      <c r="D18" s="264" t="s">
        <v>2572</v>
      </c>
      <c r="E18" s="394" t="s">
        <v>49</v>
      </c>
      <c r="F18" s="226"/>
      <c r="G18" s="523"/>
      <c r="H18" s="530"/>
      <c r="I18" s="303"/>
      <c r="J18" s="303"/>
      <c r="K18" s="303"/>
      <c r="L18" s="526"/>
      <c r="M18" s="526" t="str">
        <f t="shared" si="1"/>
        <v>Patricia.Haddad@mahouse.gov</v>
      </c>
      <c r="N18" s="526"/>
      <c r="O18" s="526"/>
      <c r="P18" s="526"/>
      <c r="Q18" s="89"/>
      <c r="R18" s="89"/>
    </row>
    <row r="19">
      <c r="A19" s="14" t="s">
        <v>44</v>
      </c>
      <c r="B19" s="521">
        <v>16.0</v>
      </c>
      <c r="C19" s="264" t="s">
        <v>6726</v>
      </c>
      <c r="D19" s="264" t="s">
        <v>6728</v>
      </c>
      <c r="E19" s="394" t="s">
        <v>49</v>
      </c>
      <c r="F19" s="226"/>
      <c r="G19" s="226"/>
      <c r="H19" s="527"/>
      <c r="I19" s="303"/>
      <c r="J19" s="303"/>
      <c r="K19" s="303"/>
      <c r="L19" s="526"/>
      <c r="M19" s="526" t="str">
        <f t="shared" si="1"/>
        <v>Carole.Fiola@mahouse.gov</v>
      </c>
      <c r="N19" s="526"/>
      <c r="O19" s="526"/>
      <c r="P19" s="526"/>
      <c r="Q19" s="89"/>
      <c r="R19" s="89"/>
    </row>
    <row r="20">
      <c r="A20" s="14" t="s">
        <v>44</v>
      </c>
      <c r="B20" s="521">
        <v>17.0</v>
      </c>
      <c r="C20" s="264" t="s">
        <v>551</v>
      </c>
      <c r="D20" s="264" t="s">
        <v>6731</v>
      </c>
      <c r="E20" s="394" t="s">
        <v>49</v>
      </c>
      <c r="F20" s="226"/>
      <c r="G20" s="226"/>
      <c r="H20" s="527"/>
      <c r="I20" s="303"/>
      <c r="J20" s="303"/>
      <c r="K20" s="303"/>
      <c r="L20" s="526"/>
      <c r="M20" s="526" t="str">
        <f t="shared" si="1"/>
        <v>Alan.Silvia@mahouse.gov</v>
      </c>
      <c r="N20" s="526"/>
      <c r="O20" s="526"/>
      <c r="P20" s="526"/>
      <c r="Q20" s="89"/>
      <c r="R20" s="89"/>
    </row>
    <row r="21">
      <c r="A21" s="14" t="s">
        <v>44</v>
      </c>
      <c r="B21" s="521">
        <v>18.0</v>
      </c>
      <c r="C21" s="264" t="s">
        <v>679</v>
      </c>
      <c r="D21" s="264" t="s">
        <v>6733</v>
      </c>
      <c r="E21" s="394" t="s">
        <v>49</v>
      </c>
      <c r="F21" s="226"/>
      <c r="G21" s="226"/>
      <c r="H21" s="527"/>
      <c r="I21" s="303"/>
      <c r="J21" s="303"/>
      <c r="K21" s="303"/>
      <c r="L21" s="526"/>
      <c r="M21" s="526" t="str">
        <f t="shared" si="1"/>
        <v>Paul.Schmid@mahouse.gov</v>
      </c>
      <c r="N21" s="526"/>
      <c r="O21" s="526"/>
      <c r="P21" s="526"/>
      <c r="Q21" s="89"/>
      <c r="R21" s="89"/>
    </row>
    <row r="22">
      <c r="A22" s="14" t="s">
        <v>44</v>
      </c>
      <c r="B22" s="521">
        <v>19.0</v>
      </c>
      <c r="C22" s="264" t="s">
        <v>575</v>
      </c>
      <c r="D22" s="264" t="s">
        <v>6736</v>
      </c>
      <c r="E22" s="394" t="s">
        <v>49</v>
      </c>
      <c r="F22" s="226"/>
      <c r="G22" s="226"/>
      <c r="H22" s="527"/>
      <c r="I22" s="303"/>
      <c r="J22" s="303"/>
      <c r="K22" s="303"/>
      <c r="L22" s="526"/>
      <c r="M22" s="526" t="str">
        <f t="shared" si="1"/>
        <v>Christopher.Markey@mahouse.gov</v>
      </c>
      <c r="N22" s="526"/>
      <c r="O22" s="526"/>
      <c r="P22" s="526"/>
      <c r="Q22" s="89"/>
      <c r="R22" s="89"/>
    </row>
    <row r="23">
      <c r="A23" s="14" t="s">
        <v>44</v>
      </c>
      <c r="B23" s="521">
        <v>20.0</v>
      </c>
      <c r="C23" s="264" t="s">
        <v>1058</v>
      </c>
      <c r="D23" s="264" t="s">
        <v>6738</v>
      </c>
      <c r="E23" s="394" t="s">
        <v>49</v>
      </c>
      <c r="F23" s="226"/>
      <c r="G23" s="226"/>
      <c r="H23" s="527"/>
      <c r="I23" s="303"/>
      <c r="J23" s="303"/>
      <c r="K23" s="303"/>
      <c r="L23" s="526"/>
      <c r="M23" s="526" t="str">
        <f t="shared" si="1"/>
        <v>William.Straus@mahouse.gov</v>
      </c>
      <c r="N23" s="526"/>
      <c r="O23" s="526"/>
      <c r="P23" s="526"/>
      <c r="Q23" s="89"/>
      <c r="R23" s="89"/>
    </row>
    <row r="24">
      <c r="A24" s="14" t="s">
        <v>44</v>
      </c>
      <c r="B24" s="521">
        <v>21.0</v>
      </c>
      <c r="C24" s="264" t="s">
        <v>1134</v>
      </c>
      <c r="D24" s="264" t="s">
        <v>6742</v>
      </c>
      <c r="E24" s="394" t="s">
        <v>49</v>
      </c>
      <c r="F24" s="226"/>
      <c r="G24" s="226"/>
      <c r="H24" s="527"/>
      <c r="I24" s="303"/>
      <c r="J24" s="303"/>
      <c r="K24" s="303"/>
      <c r="L24" s="526"/>
      <c r="M24" s="526" t="str">
        <f t="shared" si="1"/>
        <v>Robert.Koczera@mahouse.gov</v>
      </c>
      <c r="N24" s="526"/>
      <c r="O24" s="526"/>
      <c r="P24" s="526"/>
      <c r="Q24" s="89"/>
      <c r="R24" s="89"/>
    </row>
    <row r="25">
      <c r="A25" s="14" t="s">
        <v>44</v>
      </c>
      <c r="B25" s="521">
        <v>22.0</v>
      </c>
      <c r="C25" s="264" t="s">
        <v>6743</v>
      </c>
      <c r="D25" s="264" t="s">
        <v>6744</v>
      </c>
      <c r="E25" s="384" t="s">
        <v>53</v>
      </c>
      <c r="F25" s="226"/>
      <c r="G25" s="226"/>
      <c r="H25" s="527"/>
      <c r="I25" s="303"/>
      <c r="J25" s="303"/>
      <c r="K25" s="303"/>
      <c r="L25" s="526"/>
      <c r="M25" s="526" t="str">
        <f t="shared" si="1"/>
        <v>Keiko.Orrall@mahouse.gov</v>
      </c>
      <c r="N25" s="526"/>
      <c r="O25" s="526"/>
      <c r="P25" s="526"/>
      <c r="Q25" s="89"/>
      <c r="R25" s="89"/>
    </row>
    <row r="26">
      <c r="A26" s="14" t="s">
        <v>44</v>
      </c>
      <c r="B26" s="521">
        <v>23.0</v>
      </c>
      <c r="C26" s="264" t="s">
        <v>4489</v>
      </c>
      <c r="D26" s="264" t="s">
        <v>6747</v>
      </c>
      <c r="E26" s="394" t="s">
        <v>49</v>
      </c>
      <c r="F26" s="226"/>
      <c r="G26" s="226"/>
      <c r="H26" s="527"/>
      <c r="I26" s="303"/>
      <c r="J26" s="303"/>
      <c r="K26" s="303"/>
      <c r="L26" s="526"/>
      <c r="M26" s="526" t="str">
        <f t="shared" si="1"/>
        <v>Antonio.Cabral@mahouse.gov</v>
      </c>
      <c r="N26" s="526"/>
      <c r="O26" s="526"/>
      <c r="P26" s="526"/>
      <c r="Q26" s="89"/>
      <c r="R26" s="89"/>
    </row>
    <row r="27">
      <c r="A27" s="14" t="s">
        <v>44</v>
      </c>
      <c r="B27" s="521">
        <v>24.0</v>
      </c>
      <c r="C27" s="264" t="s">
        <v>2830</v>
      </c>
      <c r="D27" s="264" t="s">
        <v>6749</v>
      </c>
      <c r="E27" s="384" t="s">
        <v>53</v>
      </c>
      <c r="F27" s="226"/>
      <c r="G27" s="523"/>
      <c r="H27" s="530"/>
      <c r="I27" s="303"/>
      <c r="J27" s="303"/>
      <c r="K27" s="303"/>
      <c r="L27" s="526"/>
      <c r="M27" s="526" t="str">
        <f t="shared" si="1"/>
        <v>Elizabeth.Poirier@mahouse.gov</v>
      </c>
      <c r="N27" s="526"/>
      <c r="O27" s="526"/>
      <c r="P27" s="526"/>
      <c r="Q27" s="89"/>
      <c r="R27" s="89"/>
    </row>
    <row r="28">
      <c r="A28" s="14" t="s">
        <v>44</v>
      </c>
      <c r="B28" s="521">
        <v>25.0</v>
      </c>
      <c r="C28" s="264" t="s">
        <v>930</v>
      </c>
      <c r="D28" s="264" t="s">
        <v>6752</v>
      </c>
      <c r="E28" s="384" t="s">
        <v>53</v>
      </c>
      <c r="F28" s="226"/>
      <c r="G28" s="226"/>
      <c r="H28" s="527"/>
      <c r="I28" s="303"/>
      <c r="J28" s="303"/>
      <c r="K28" s="303"/>
      <c r="L28" s="526"/>
      <c r="M28" s="526" t="str">
        <f t="shared" si="1"/>
        <v>James.Kelcourse@mahouse.gov</v>
      </c>
      <c r="N28" s="526"/>
      <c r="O28" s="526"/>
      <c r="P28" s="526"/>
      <c r="Q28" s="89"/>
      <c r="R28" s="89"/>
    </row>
    <row r="29">
      <c r="A29" s="14" t="s">
        <v>44</v>
      </c>
      <c r="B29" s="521">
        <v>26.0</v>
      </c>
      <c r="C29" s="264" t="s">
        <v>4737</v>
      </c>
      <c r="D29" s="264" t="s">
        <v>6754</v>
      </c>
      <c r="E29" s="384" t="s">
        <v>53</v>
      </c>
      <c r="F29" s="226"/>
      <c r="G29" s="523"/>
      <c r="H29" s="530"/>
      <c r="I29" s="303"/>
      <c r="J29" s="303"/>
      <c r="K29" s="303"/>
      <c r="L29" s="526"/>
      <c r="M29" s="526" t="str">
        <f t="shared" si="1"/>
        <v>Leonard.Mirra@mahouse.gov</v>
      </c>
      <c r="N29" s="526"/>
      <c r="O29" s="526"/>
      <c r="P29" s="526"/>
      <c r="Q29" s="89"/>
      <c r="R29" s="89"/>
    </row>
    <row r="30">
      <c r="A30" s="14" t="s">
        <v>44</v>
      </c>
      <c r="B30" s="521">
        <v>27.0</v>
      </c>
      <c r="C30" s="264" t="s">
        <v>109</v>
      </c>
      <c r="D30" s="264" t="s">
        <v>2357</v>
      </c>
      <c r="E30" s="394" t="s">
        <v>49</v>
      </c>
      <c r="F30" s="226"/>
      <c r="G30" s="523"/>
      <c r="H30" s="530"/>
      <c r="I30" s="303"/>
      <c r="J30" s="303"/>
      <c r="K30" s="303"/>
      <c r="L30" s="526"/>
      <c r="M30" s="526" t="str">
        <f t="shared" si="1"/>
        <v>Andy.Vargas@mahouse.gov</v>
      </c>
      <c r="N30" s="526"/>
      <c r="O30" s="526"/>
      <c r="P30" s="526"/>
      <c r="Q30" s="89"/>
      <c r="R30" s="89"/>
    </row>
    <row r="31">
      <c r="A31" s="14" t="s">
        <v>44</v>
      </c>
      <c r="B31" s="521">
        <v>28.0</v>
      </c>
      <c r="C31" s="264" t="s">
        <v>2241</v>
      </c>
      <c r="D31" s="264" t="s">
        <v>485</v>
      </c>
      <c r="E31" s="384" t="s">
        <v>53</v>
      </c>
      <c r="F31" s="226"/>
      <c r="G31" s="226"/>
      <c r="H31" s="527"/>
      <c r="I31" s="303"/>
      <c r="J31" s="303"/>
      <c r="K31" s="303"/>
      <c r="L31" s="526"/>
      <c r="M31" s="526" t="str">
        <f t="shared" si="1"/>
        <v>Bradford.Hill@mahouse.gov</v>
      </c>
      <c r="N31" s="526"/>
      <c r="O31" s="526"/>
      <c r="P31" s="526"/>
      <c r="Q31" s="89"/>
      <c r="R31" s="89"/>
    </row>
    <row r="32">
      <c r="A32" s="14" t="s">
        <v>44</v>
      </c>
      <c r="B32" s="521">
        <v>29.0</v>
      </c>
      <c r="C32" s="264" t="s">
        <v>6761</v>
      </c>
      <c r="D32" s="264" t="s">
        <v>6763</v>
      </c>
      <c r="E32" s="394" t="s">
        <v>49</v>
      </c>
      <c r="F32" s="226"/>
      <c r="G32" s="523"/>
      <c r="H32" s="530"/>
      <c r="I32" s="303"/>
      <c r="J32" s="303"/>
      <c r="K32" s="303"/>
      <c r="L32" s="526"/>
      <c r="M32" s="526" t="str">
        <f t="shared" si="1"/>
        <v>Ann-Margaret.Ferrante@mahouse.gov</v>
      </c>
      <c r="N32" s="526"/>
      <c r="O32" s="526"/>
      <c r="P32" s="526"/>
      <c r="Q32" s="89"/>
      <c r="R32" s="89"/>
    </row>
    <row r="33">
      <c r="A33" s="14" t="s">
        <v>44</v>
      </c>
      <c r="B33" s="521">
        <v>30.0</v>
      </c>
      <c r="C33" s="264" t="s">
        <v>2105</v>
      </c>
      <c r="D33" s="264" t="s">
        <v>6767</v>
      </c>
      <c r="E33" s="394" t="s">
        <v>49</v>
      </c>
      <c r="F33" s="226"/>
      <c r="G33" s="226"/>
      <c r="H33" s="527"/>
      <c r="I33" s="303"/>
      <c r="J33" s="303"/>
      <c r="K33" s="303"/>
      <c r="L33" s="526"/>
      <c r="M33" s="526" t="str">
        <f t="shared" si="1"/>
        <v>Jerry.Parisella@mahouse.gov</v>
      </c>
      <c r="N33" s="526"/>
      <c r="O33" s="526"/>
      <c r="P33" s="526"/>
      <c r="Q33" s="89"/>
      <c r="R33" s="89"/>
    </row>
    <row r="34">
      <c r="A34" s="14" t="s">
        <v>44</v>
      </c>
      <c r="B34" s="521">
        <v>31.0</v>
      </c>
      <c r="C34" s="264" t="s">
        <v>679</v>
      </c>
      <c r="D34" s="264" t="s">
        <v>6027</v>
      </c>
      <c r="E34" s="394" t="s">
        <v>49</v>
      </c>
      <c r="F34" s="226"/>
      <c r="G34" s="226"/>
      <c r="H34" s="527"/>
      <c r="I34" s="303"/>
      <c r="J34" s="303"/>
      <c r="K34" s="303"/>
      <c r="L34" s="526"/>
      <c r="M34" s="526" t="str">
        <f t="shared" si="1"/>
        <v>Paul.Tucker@mahouse.gov</v>
      </c>
      <c r="N34" s="526"/>
      <c r="O34" s="526"/>
      <c r="P34" s="526"/>
      <c r="Q34" s="89"/>
      <c r="R34" s="89"/>
    </row>
    <row r="35">
      <c r="A35" s="14" t="s">
        <v>44</v>
      </c>
      <c r="B35" s="521">
        <v>32.0</v>
      </c>
      <c r="C35" s="264" t="s">
        <v>2149</v>
      </c>
      <c r="D35" s="264" t="s">
        <v>6773</v>
      </c>
      <c r="E35" s="394" t="s">
        <v>49</v>
      </c>
      <c r="F35" s="226"/>
      <c r="G35" s="523"/>
      <c r="H35" s="530"/>
      <c r="I35" s="303"/>
      <c r="J35" s="303"/>
      <c r="K35" s="303"/>
      <c r="L35" s="526"/>
      <c r="M35" s="526" t="str">
        <f t="shared" si="1"/>
        <v>Lori.Ehrlich@mahouse.gov</v>
      </c>
      <c r="N35" s="526"/>
      <c r="O35" s="526"/>
      <c r="P35" s="526"/>
      <c r="Q35" s="89"/>
      <c r="R35" s="89"/>
    </row>
    <row r="36">
      <c r="A36" s="14" t="s">
        <v>44</v>
      </c>
      <c r="B36" s="521">
        <v>33.0</v>
      </c>
      <c r="C36" s="264" t="s">
        <v>2139</v>
      </c>
      <c r="D36" s="264" t="s">
        <v>6775</v>
      </c>
      <c r="E36" s="384" t="s">
        <v>53</v>
      </c>
      <c r="F36" s="226"/>
      <c r="G36" s="226"/>
      <c r="H36" s="527"/>
      <c r="I36" s="303"/>
      <c r="J36" s="303"/>
      <c r="K36" s="303"/>
      <c r="L36" s="526"/>
      <c r="M36" s="526" t="str">
        <f t="shared" si="1"/>
        <v>Donald.Wong@mahouse.gov</v>
      </c>
      <c r="N36" s="526"/>
      <c r="O36" s="526"/>
      <c r="P36" s="526"/>
      <c r="Q36" s="89"/>
      <c r="R36" s="89"/>
    </row>
    <row r="37">
      <c r="A37" s="14" t="s">
        <v>44</v>
      </c>
      <c r="B37" s="521">
        <v>34.0</v>
      </c>
      <c r="C37" s="264" t="s">
        <v>239</v>
      </c>
      <c r="D37" s="264" t="s">
        <v>6780</v>
      </c>
      <c r="E37" s="394" t="s">
        <v>49</v>
      </c>
      <c r="F37" s="226"/>
      <c r="G37" s="226"/>
      <c r="H37" s="527"/>
      <c r="I37" s="303"/>
      <c r="J37" s="303"/>
      <c r="K37" s="303"/>
      <c r="L37" s="526"/>
      <c r="M37" s="526" t="str">
        <f t="shared" si="1"/>
        <v>Dan.Cahill@mahouse.gov</v>
      </c>
      <c r="N37" s="526"/>
      <c r="O37" s="526"/>
      <c r="P37" s="526"/>
      <c r="Q37" s="89"/>
      <c r="R37" s="89"/>
    </row>
    <row r="38">
      <c r="A38" s="14" t="s">
        <v>44</v>
      </c>
      <c r="B38" s="521">
        <v>35.0</v>
      </c>
      <c r="C38" s="264"/>
      <c r="D38" s="264"/>
      <c r="E38" s="532"/>
      <c r="F38" s="226"/>
      <c r="G38" s="523"/>
      <c r="H38" s="530"/>
      <c r="I38" s="303"/>
      <c r="J38" s="303"/>
      <c r="K38" s="303"/>
      <c r="L38" s="526"/>
      <c r="M38" s="526" t="str">
        <f t="shared" si="1"/>
        <v>.@mahouse.gov</v>
      </c>
      <c r="N38" s="526"/>
      <c r="O38" s="526"/>
      <c r="P38" s="526"/>
      <c r="Q38" s="89"/>
      <c r="R38" s="89"/>
    </row>
    <row r="39">
      <c r="A39" s="14" t="s">
        <v>44</v>
      </c>
      <c r="B39" s="521">
        <v>36.0</v>
      </c>
      <c r="C39" s="264" t="s">
        <v>561</v>
      </c>
      <c r="D39" s="264" t="s">
        <v>2877</v>
      </c>
      <c r="E39" s="394" t="s">
        <v>49</v>
      </c>
      <c r="F39" s="226"/>
      <c r="G39" s="226"/>
      <c r="H39" s="527"/>
      <c r="I39" s="303"/>
      <c r="J39" s="303"/>
      <c r="K39" s="303"/>
      <c r="L39" s="526"/>
      <c r="M39" s="526" t="str">
        <f t="shared" si="1"/>
        <v>Thomas.Walsh@mahouse.gov</v>
      </c>
      <c r="N39" s="526"/>
      <c r="O39" s="526"/>
      <c r="P39" s="526"/>
      <c r="Q39" s="89"/>
      <c r="R39" s="89"/>
    </row>
    <row r="40">
      <c r="A40" s="14" t="s">
        <v>44</v>
      </c>
      <c r="B40" s="521">
        <v>37.0</v>
      </c>
      <c r="C40" s="264" t="s">
        <v>5772</v>
      </c>
      <c r="D40" s="264" t="s">
        <v>6785</v>
      </c>
      <c r="E40" s="394" t="s">
        <v>49</v>
      </c>
      <c r="F40" s="226"/>
      <c r="G40" s="523"/>
      <c r="H40" s="530"/>
      <c r="I40" s="303"/>
      <c r="J40" s="303"/>
      <c r="K40" s="303"/>
      <c r="L40" s="526"/>
      <c r="M40" s="526" t="str">
        <f t="shared" si="1"/>
        <v>Theodore.Speliotis@mahouse.gov</v>
      </c>
      <c r="N40" s="526"/>
      <c r="O40" s="526"/>
      <c r="P40" s="526"/>
      <c r="Q40" s="89"/>
      <c r="R40" s="89"/>
    </row>
    <row r="41">
      <c r="A41" s="14" t="s">
        <v>44</v>
      </c>
      <c r="B41" s="521">
        <v>38.0</v>
      </c>
      <c r="C41" s="264" t="s">
        <v>2482</v>
      </c>
      <c r="D41" s="264" t="s">
        <v>6789</v>
      </c>
      <c r="E41" s="394" t="s">
        <v>49</v>
      </c>
      <c r="F41" s="226"/>
      <c r="G41" s="523"/>
      <c r="H41" s="530"/>
      <c r="I41" s="303"/>
      <c r="J41" s="303"/>
      <c r="K41" s="303"/>
      <c r="L41" s="526"/>
      <c r="M41" s="526" t="str">
        <f t="shared" si="1"/>
        <v>Diana.DiZoglio@mahouse.gov</v>
      </c>
      <c r="N41" s="526"/>
      <c r="O41" s="526"/>
      <c r="P41" s="526"/>
      <c r="Q41" s="89"/>
      <c r="R41" s="89"/>
    </row>
    <row r="42">
      <c r="A42" s="14" t="s">
        <v>44</v>
      </c>
      <c r="B42" s="521">
        <v>39.0</v>
      </c>
      <c r="C42" s="264" t="s">
        <v>978</v>
      </c>
      <c r="D42" s="264" t="s">
        <v>530</v>
      </c>
      <c r="E42" s="394" t="s">
        <v>49</v>
      </c>
      <c r="F42" s="226"/>
      <c r="G42" s="523"/>
      <c r="H42" s="530"/>
      <c r="I42" s="303"/>
      <c r="J42" s="303"/>
      <c r="K42" s="303"/>
      <c r="L42" s="526"/>
      <c r="M42" s="526" t="str">
        <f t="shared" si="1"/>
        <v>Linda.Campbell@mahouse.gov</v>
      </c>
      <c r="N42" s="526"/>
      <c r="O42" s="526"/>
      <c r="P42" s="526"/>
      <c r="Q42" s="89"/>
      <c r="R42" s="89"/>
    </row>
    <row r="43">
      <c r="A43" s="14" t="s">
        <v>44</v>
      </c>
      <c r="B43" s="521">
        <v>40.0</v>
      </c>
      <c r="C43" s="264" t="s">
        <v>6791</v>
      </c>
      <c r="D43" s="264" t="s">
        <v>6793</v>
      </c>
      <c r="E43" s="394" t="s">
        <v>49</v>
      </c>
      <c r="F43" s="226"/>
      <c r="G43" s="226"/>
      <c r="H43" s="527"/>
      <c r="I43" s="303"/>
      <c r="J43" s="303"/>
      <c r="K43" s="303"/>
      <c r="L43" s="526"/>
      <c r="M43" s="526" t="str">
        <f t="shared" si="1"/>
        <v>Juana.Matias@mahouse.gov</v>
      </c>
      <c r="N43" s="526"/>
      <c r="O43" s="526"/>
      <c r="P43" s="526"/>
      <c r="Q43" s="89"/>
      <c r="R43" s="89"/>
    </row>
    <row r="44">
      <c r="A44" s="14" t="s">
        <v>44</v>
      </c>
      <c r="B44" s="521">
        <v>41.0</v>
      </c>
      <c r="C44" s="264" t="s">
        <v>1000</v>
      </c>
      <c r="D44" s="264" t="s">
        <v>5541</v>
      </c>
      <c r="E44" s="394" t="s">
        <v>49</v>
      </c>
      <c r="F44" s="226"/>
      <c r="G44" s="523"/>
      <c r="H44" s="530"/>
      <c r="I44" s="303"/>
      <c r="J44" s="303"/>
      <c r="K44" s="303"/>
      <c r="L44" s="526"/>
      <c r="M44" s="526" t="str">
        <f t="shared" si="1"/>
        <v>Frank.Moran@mahouse.gov</v>
      </c>
      <c r="N44" s="526"/>
      <c r="O44" s="526"/>
      <c r="P44" s="526"/>
      <c r="Q44" s="89"/>
      <c r="R44" s="89"/>
    </row>
    <row r="45">
      <c r="A45" s="14" t="s">
        <v>44</v>
      </c>
      <c r="B45" s="521">
        <v>42.0</v>
      </c>
      <c r="C45" s="264" t="s">
        <v>930</v>
      </c>
      <c r="D45" s="264" t="s">
        <v>6088</v>
      </c>
      <c r="E45" s="384" t="s">
        <v>53</v>
      </c>
      <c r="F45" s="226"/>
      <c r="G45" s="226"/>
      <c r="H45" s="527"/>
      <c r="I45" s="303"/>
      <c r="J45" s="303"/>
      <c r="K45" s="303"/>
      <c r="L45" s="526"/>
      <c r="M45" s="526" t="str">
        <f t="shared" si="1"/>
        <v>James.Lyons@mahouse.gov</v>
      </c>
      <c r="N45" s="526"/>
      <c r="O45" s="526"/>
      <c r="P45" s="526"/>
      <c r="Q45" s="89"/>
      <c r="R45" s="89"/>
    </row>
    <row r="46">
      <c r="A46" s="14" t="s">
        <v>44</v>
      </c>
      <c r="B46" s="521">
        <v>43.0</v>
      </c>
      <c r="C46" s="264" t="s">
        <v>1505</v>
      </c>
      <c r="D46" s="264" t="s">
        <v>6803</v>
      </c>
      <c r="E46" s="394" t="s">
        <v>49</v>
      </c>
      <c r="F46" s="226"/>
      <c r="G46" s="523"/>
      <c r="H46" s="530"/>
      <c r="I46" s="303"/>
      <c r="J46" s="303"/>
      <c r="K46" s="303"/>
      <c r="L46" s="526"/>
      <c r="M46" s="526" t="str">
        <f t="shared" si="1"/>
        <v>Stephen.Kulik@mahouse.gov</v>
      </c>
      <c r="N46" s="526"/>
      <c r="O46" s="526"/>
      <c r="P46" s="526"/>
      <c r="Q46" s="89"/>
      <c r="R46" s="89"/>
    </row>
    <row r="47">
      <c r="A47" s="14" t="s">
        <v>44</v>
      </c>
      <c r="B47" s="521">
        <v>44.0</v>
      </c>
      <c r="C47" s="264" t="s">
        <v>6804</v>
      </c>
      <c r="D47" s="264" t="s">
        <v>6806</v>
      </c>
      <c r="E47" s="534" t="s">
        <v>5529</v>
      </c>
      <c r="F47" s="226"/>
      <c r="G47" s="226"/>
      <c r="H47" s="527"/>
      <c r="I47" s="303"/>
      <c r="J47" s="303"/>
      <c r="K47" s="303"/>
      <c r="L47" s="526"/>
      <c r="M47" s="526" t="str">
        <f t="shared" si="1"/>
        <v>Susannah.Whipps@mahouse.gov</v>
      </c>
      <c r="N47" s="526"/>
      <c r="O47" s="526"/>
      <c r="P47" s="526"/>
      <c r="Q47" s="89"/>
      <c r="R47" s="89"/>
    </row>
    <row r="48">
      <c r="A48" s="14" t="s">
        <v>44</v>
      </c>
      <c r="B48" s="521">
        <v>45.0</v>
      </c>
      <c r="C48" s="264" t="s">
        <v>1974</v>
      </c>
      <c r="D48" s="264" t="s">
        <v>6813</v>
      </c>
      <c r="E48" s="384" t="s">
        <v>53</v>
      </c>
      <c r="F48" s="226"/>
      <c r="G48" s="523"/>
      <c r="H48" s="530"/>
      <c r="I48" s="303"/>
      <c r="J48" s="303"/>
      <c r="K48" s="303"/>
      <c r="L48" s="526"/>
      <c r="M48" s="526" t="str">
        <f t="shared" si="1"/>
        <v>Todd.Smola@mahouse.gov</v>
      </c>
      <c r="N48" s="526"/>
      <c r="O48" s="526"/>
      <c r="P48" s="526"/>
      <c r="Q48" s="89"/>
      <c r="R48" s="89"/>
    </row>
    <row r="49">
      <c r="A49" s="14" t="s">
        <v>44</v>
      </c>
      <c r="B49" s="521">
        <v>46.0</v>
      </c>
      <c r="C49" s="264" t="s">
        <v>1331</v>
      </c>
      <c r="D49" s="264" t="s">
        <v>6815</v>
      </c>
      <c r="E49" s="394" t="s">
        <v>49</v>
      </c>
      <c r="F49" s="226"/>
      <c r="G49" s="226"/>
      <c r="H49" s="527"/>
      <c r="I49" s="303"/>
      <c r="J49" s="303"/>
      <c r="K49" s="303"/>
      <c r="L49" s="526"/>
      <c r="M49" s="526" t="str">
        <f t="shared" si="1"/>
        <v>Brian.Ashe@mahouse.gov</v>
      </c>
      <c r="N49" s="526"/>
      <c r="O49" s="526"/>
      <c r="P49" s="526"/>
      <c r="Q49" s="89"/>
      <c r="R49" s="89"/>
    </row>
    <row r="50">
      <c r="A50" s="14" t="s">
        <v>44</v>
      </c>
      <c r="B50" s="521">
        <v>47.0</v>
      </c>
      <c r="C50" s="264" t="s">
        <v>3097</v>
      </c>
      <c r="D50" s="264" t="s">
        <v>6820</v>
      </c>
      <c r="E50" s="384" t="s">
        <v>53</v>
      </c>
      <c r="F50" s="226"/>
      <c r="G50" s="226"/>
      <c r="H50" s="527"/>
      <c r="I50" s="303"/>
      <c r="J50" s="303"/>
      <c r="K50" s="303"/>
      <c r="L50" s="526"/>
      <c r="M50" s="526" t="str">
        <f t="shared" si="1"/>
        <v>Nicholas.Boldyga@mahouse.gov</v>
      </c>
      <c r="N50" s="526"/>
      <c r="O50" s="526"/>
      <c r="P50" s="526"/>
      <c r="Q50" s="89"/>
      <c r="R50" s="89"/>
    </row>
    <row r="51">
      <c r="A51" s="14" t="s">
        <v>44</v>
      </c>
      <c r="B51" s="521">
        <v>48.0</v>
      </c>
      <c r="C51" s="264" t="s">
        <v>278</v>
      </c>
      <c r="D51" s="264" t="s">
        <v>6822</v>
      </c>
      <c r="E51" s="394" t="s">
        <v>49</v>
      </c>
      <c r="F51" s="226"/>
      <c r="G51" s="523"/>
      <c r="H51" s="530"/>
      <c r="I51" s="303"/>
      <c r="J51" s="303"/>
      <c r="K51" s="303"/>
      <c r="L51" s="526"/>
      <c r="M51" s="526" t="str">
        <f t="shared" si="1"/>
        <v>John.Velis@mahouse.gov</v>
      </c>
      <c r="N51" s="526"/>
      <c r="O51" s="526"/>
      <c r="P51" s="526"/>
      <c r="Q51" s="89"/>
      <c r="R51" s="89"/>
    </row>
    <row r="52">
      <c r="A52" s="14" t="s">
        <v>44</v>
      </c>
      <c r="B52" s="521">
        <v>49.0</v>
      </c>
      <c r="C52" s="264" t="s">
        <v>1107</v>
      </c>
      <c r="D52" s="264" t="s">
        <v>6823</v>
      </c>
      <c r="E52" s="394" t="s">
        <v>49</v>
      </c>
      <c r="F52" s="226"/>
      <c r="G52" s="226"/>
      <c r="H52" s="527"/>
      <c r="I52" s="303"/>
      <c r="J52" s="303"/>
      <c r="K52" s="303"/>
      <c r="L52" s="526"/>
      <c r="M52" s="526" t="str">
        <f t="shared" si="1"/>
        <v>Aaron.Vega@mahouse.gov</v>
      </c>
      <c r="N52" s="526"/>
      <c r="O52" s="526"/>
      <c r="P52" s="526"/>
      <c r="Q52" s="89"/>
      <c r="R52" s="89"/>
    </row>
    <row r="53">
      <c r="A53" s="14" t="s">
        <v>44</v>
      </c>
      <c r="B53" s="521">
        <v>50.0</v>
      </c>
      <c r="C53" s="264" t="s">
        <v>2490</v>
      </c>
      <c r="D53" s="264" t="s">
        <v>6824</v>
      </c>
      <c r="E53" s="394" t="s">
        <v>49</v>
      </c>
      <c r="F53" s="226"/>
      <c r="G53" s="523"/>
      <c r="H53" s="530"/>
      <c r="I53" s="303"/>
      <c r="J53" s="303"/>
      <c r="K53" s="303"/>
      <c r="L53" s="526"/>
      <c r="M53" s="526" t="str">
        <f t="shared" si="1"/>
        <v>Michael.Finn@mahouse.gov</v>
      </c>
      <c r="N53" s="526"/>
      <c r="O53" s="526"/>
      <c r="P53" s="526"/>
      <c r="Q53" s="89"/>
      <c r="R53" s="89"/>
    </row>
    <row r="54">
      <c r="A54" s="14" t="s">
        <v>44</v>
      </c>
      <c r="B54" s="521">
        <v>51.0</v>
      </c>
      <c r="C54" s="264" t="s">
        <v>561</v>
      </c>
      <c r="D54" s="264" t="s">
        <v>6827</v>
      </c>
      <c r="E54" s="394" t="s">
        <v>49</v>
      </c>
      <c r="F54" s="226"/>
      <c r="G54" s="523"/>
      <c r="H54" s="530"/>
      <c r="I54" s="303"/>
      <c r="J54" s="303"/>
      <c r="K54" s="303"/>
      <c r="L54" s="526"/>
      <c r="M54" s="526" t="str">
        <f t="shared" si="1"/>
        <v>Thomas.Petrolati@mahouse.gov</v>
      </c>
      <c r="N54" s="526"/>
      <c r="O54" s="526"/>
      <c r="P54" s="526"/>
      <c r="Q54" s="89"/>
      <c r="R54" s="89"/>
    </row>
    <row r="55">
      <c r="A55" s="14" t="s">
        <v>44</v>
      </c>
      <c r="B55" s="521">
        <v>52.0</v>
      </c>
      <c r="C55" s="264" t="s">
        <v>2527</v>
      </c>
      <c r="D55" s="264" t="s">
        <v>6832</v>
      </c>
      <c r="E55" s="394" t="s">
        <v>49</v>
      </c>
      <c r="F55" s="226"/>
      <c r="G55" s="523"/>
      <c r="H55" s="530"/>
      <c r="I55" s="303"/>
      <c r="J55" s="303"/>
      <c r="K55" s="303"/>
      <c r="L55" s="526"/>
      <c r="M55" s="526" t="str">
        <f t="shared" si="1"/>
        <v>Joseph.Wagner@mahouse.gov</v>
      </c>
      <c r="N55" s="526"/>
      <c r="O55" s="526"/>
      <c r="P55" s="526"/>
      <c r="Q55" s="89"/>
      <c r="R55" s="89"/>
    </row>
    <row r="56">
      <c r="A56" s="14" t="s">
        <v>44</v>
      </c>
      <c r="B56" s="521">
        <v>53.0</v>
      </c>
      <c r="C56" s="264" t="s">
        <v>1823</v>
      </c>
      <c r="D56" s="264" t="s">
        <v>6834</v>
      </c>
      <c r="E56" s="394" t="s">
        <v>49</v>
      </c>
      <c r="F56" s="226"/>
      <c r="G56" s="226"/>
      <c r="H56" s="527"/>
      <c r="I56" s="303"/>
      <c r="J56" s="303"/>
      <c r="K56" s="303"/>
      <c r="L56" s="526"/>
      <c r="M56" s="526" t="str">
        <f t="shared" si="1"/>
        <v>Jose.Tosado@mahouse.gov</v>
      </c>
      <c r="N56" s="526"/>
      <c r="O56" s="526"/>
      <c r="P56" s="526"/>
      <c r="Q56" s="89"/>
      <c r="R56" s="89"/>
    </row>
    <row r="57">
      <c r="A57" s="14" t="s">
        <v>44</v>
      </c>
      <c r="B57" s="521">
        <v>54.0</v>
      </c>
      <c r="C57" s="264" t="s">
        <v>2975</v>
      </c>
      <c r="D57" s="264" t="s">
        <v>2496</v>
      </c>
      <c r="E57" s="394" t="s">
        <v>49</v>
      </c>
      <c r="F57" s="226"/>
      <c r="G57" s="226"/>
      <c r="H57" s="527"/>
      <c r="I57" s="303"/>
      <c r="J57" s="303"/>
      <c r="K57" s="303"/>
      <c r="L57" s="526"/>
      <c r="M57" s="526" t="str">
        <f t="shared" si="1"/>
        <v>Carlos.Gonzalez@mahouse.gov</v>
      </c>
      <c r="N57" s="526"/>
      <c r="O57" s="526"/>
      <c r="P57" s="526"/>
      <c r="Q57" s="89"/>
      <c r="R57" s="89"/>
    </row>
    <row r="58">
      <c r="A58" s="14" t="s">
        <v>44</v>
      </c>
      <c r="B58" s="521">
        <v>55.0</v>
      </c>
      <c r="C58" s="264" t="s">
        <v>5523</v>
      </c>
      <c r="D58" s="264" t="s">
        <v>793</v>
      </c>
      <c r="E58" s="394" t="s">
        <v>49</v>
      </c>
      <c r="F58" s="226"/>
      <c r="G58" s="226"/>
      <c r="H58" s="527"/>
      <c r="I58" s="303"/>
      <c r="J58" s="303"/>
      <c r="K58" s="303"/>
      <c r="L58" s="526"/>
      <c r="M58" s="526" t="str">
        <f t="shared" si="1"/>
        <v>Bud.Williams@mahouse.gov</v>
      </c>
      <c r="N58" s="526"/>
      <c r="O58" s="526"/>
      <c r="P58" s="526"/>
      <c r="Q58" s="89"/>
      <c r="R58" s="89"/>
    </row>
    <row r="59">
      <c r="A59" s="14" t="s">
        <v>44</v>
      </c>
      <c r="B59" s="521">
        <v>56.0</v>
      </c>
      <c r="C59" s="264" t="s">
        <v>6837</v>
      </c>
      <c r="D59" s="264" t="s">
        <v>6838</v>
      </c>
      <c r="E59" s="394" t="s">
        <v>49</v>
      </c>
      <c r="F59" s="226"/>
      <c r="G59" s="226"/>
      <c r="H59" s="527"/>
      <c r="I59" s="303"/>
      <c r="J59" s="303"/>
      <c r="K59" s="303"/>
      <c r="L59" s="526"/>
      <c r="M59" s="526" t="str">
        <f t="shared" si="1"/>
        <v>Angelo.Puppolo@mahouse.gov</v>
      </c>
      <c r="N59" s="526"/>
      <c r="O59" s="526"/>
      <c r="P59" s="526"/>
      <c r="Q59" s="89"/>
      <c r="R59" s="89"/>
    </row>
    <row r="60">
      <c r="A60" s="14" t="s">
        <v>44</v>
      </c>
      <c r="B60" s="521">
        <v>57.0</v>
      </c>
      <c r="C60" s="264"/>
      <c r="D60" s="264"/>
      <c r="E60" s="532"/>
      <c r="F60" s="226"/>
      <c r="G60" s="226"/>
      <c r="H60" s="527"/>
      <c r="I60" s="303"/>
      <c r="J60" s="303"/>
      <c r="K60" s="303"/>
      <c r="L60" s="526"/>
      <c r="M60" s="526" t="str">
        <f t="shared" si="1"/>
        <v>.@mahouse.gov</v>
      </c>
      <c r="N60" s="526"/>
      <c r="O60" s="526"/>
      <c r="P60" s="526"/>
      <c r="Q60" s="89"/>
      <c r="R60" s="89"/>
    </row>
    <row r="61">
      <c r="A61" s="14" t="s">
        <v>44</v>
      </c>
      <c r="B61" s="521">
        <v>58.0</v>
      </c>
      <c r="C61" s="264" t="s">
        <v>278</v>
      </c>
      <c r="D61" s="264" t="s">
        <v>6839</v>
      </c>
      <c r="E61" s="394" t="s">
        <v>49</v>
      </c>
      <c r="F61" s="226"/>
      <c r="G61" s="523"/>
      <c r="H61" s="530"/>
      <c r="I61" s="303"/>
      <c r="J61" s="303"/>
      <c r="K61" s="303"/>
      <c r="L61" s="526"/>
      <c r="M61" s="526" t="str">
        <f t="shared" si="1"/>
        <v>John.Scibak@mahouse.gov</v>
      </c>
      <c r="N61" s="526"/>
      <c r="O61" s="526"/>
      <c r="P61" s="526"/>
      <c r="Q61" s="89"/>
      <c r="R61" s="89"/>
    </row>
    <row r="62">
      <c r="A62" s="14" t="s">
        <v>44</v>
      </c>
      <c r="B62" s="521">
        <v>59.0</v>
      </c>
      <c r="C62" s="264" t="s">
        <v>6284</v>
      </c>
      <c r="D62" s="264" t="s">
        <v>6842</v>
      </c>
      <c r="E62" s="534" t="s">
        <v>5529</v>
      </c>
      <c r="F62" s="226"/>
      <c r="G62" s="523"/>
      <c r="H62" s="530"/>
      <c r="I62" s="303"/>
      <c r="J62" s="303"/>
      <c r="K62" s="303"/>
      <c r="L62" s="526"/>
      <c r="M62" s="526" t="str">
        <f t="shared" si="1"/>
        <v>Solomon.Goldstein-Rose@mahouse.gov</v>
      </c>
      <c r="N62" s="526"/>
      <c r="O62" s="526"/>
      <c r="P62" s="526"/>
      <c r="Q62" s="89"/>
      <c r="R62" s="89"/>
    </row>
    <row r="63">
      <c r="A63" s="14" t="s">
        <v>44</v>
      </c>
      <c r="B63" s="521">
        <v>60.0</v>
      </c>
      <c r="C63" s="264" t="s">
        <v>3432</v>
      </c>
      <c r="D63" s="264" t="s">
        <v>2748</v>
      </c>
      <c r="E63" s="384" t="s">
        <v>53</v>
      </c>
      <c r="F63" s="226"/>
      <c r="G63" s="523"/>
      <c r="H63" s="530"/>
      <c r="I63" s="303"/>
      <c r="J63" s="303"/>
      <c r="K63" s="303"/>
      <c r="L63" s="526"/>
      <c r="M63" s="526" t="str">
        <f t="shared" si="1"/>
        <v>Sheila.Harrington@mahouse.gov</v>
      </c>
      <c r="N63" s="526"/>
      <c r="O63" s="526"/>
      <c r="P63" s="526"/>
      <c r="Q63" s="89"/>
      <c r="R63" s="89"/>
    </row>
    <row r="64">
      <c r="A64" s="14" t="s">
        <v>44</v>
      </c>
      <c r="B64" s="521">
        <v>61.0</v>
      </c>
      <c r="C64" s="264" t="s">
        <v>930</v>
      </c>
      <c r="D64" s="264" t="s">
        <v>6848</v>
      </c>
      <c r="E64" s="394" t="s">
        <v>49</v>
      </c>
      <c r="F64" s="226"/>
      <c r="G64" s="523"/>
      <c r="H64" s="530"/>
      <c r="I64" s="303"/>
      <c r="J64" s="303"/>
      <c r="K64" s="303"/>
      <c r="L64" s="526"/>
      <c r="M64" s="526" t="str">
        <f t="shared" si="1"/>
        <v>James.Arciero@mahouse.gov</v>
      </c>
      <c r="N64" s="526"/>
      <c r="O64" s="526"/>
      <c r="P64" s="526"/>
      <c r="Q64" s="89"/>
      <c r="R64" s="89"/>
    </row>
    <row r="65">
      <c r="A65" s="14" t="s">
        <v>44</v>
      </c>
      <c r="B65" s="521">
        <v>62.0</v>
      </c>
      <c r="C65" s="264" t="s">
        <v>1354</v>
      </c>
      <c r="D65" s="264" t="s">
        <v>4301</v>
      </c>
      <c r="E65" s="394" t="s">
        <v>49</v>
      </c>
      <c r="F65" s="226"/>
      <c r="G65" s="523"/>
      <c r="H65" s="530"/>
      <c r="I65" s="303"/>
      <c r="J65" s="303"/>
      <c r="K65" s="303"/>
      <c r="L65" s="526"/>
      <c r="M65" s="526" t="str">
        <f t="shared" si="1"/>
        <v>Kate.Hogan@mahouse.gov</v>
      </c>
      <c r="N65" s="526"/>
      <c r="O65" s="526"/>
      <c r="P65" s="526"/>
      <c r="Q65" s="89"/>
      <c r="R65" s="89"/>
    </row>
    <row r="66">
      <c r="A66" s="14" t="s">
        <v>44</v>
      </c>
      <c r="B66" s="521">
        <v>63.0</v>
      </c>
      <c r="C66" s="264" t="s">
        <v>6853</v>
      </c>
      <c r="D66" s="264" t="s">
        <v>6854</v>
      </c>
      <c r="E66" s="394" t="s">
        <v>49</v>
      </c>
      <c r="F66" s="226"/>
      <c r="G66" s="523"/>
      <c r="H66" s="530"/>
      <c r="I66" s="303"/>
      <c r="J66" s="303"/>
      <c r="K66" s="303"/>
      <c r="L66" s="526"/>
      <c r="M66" s="526" t="str">
        <f t="shared" si="1"/>
        <v>Danielle.Gregoire@mahouse.gov</v>
      </c>
      <c r="N66" s="526"/>
      <c r="O66" s="526"/>
      <c r="P66" s="526"/>
      <c r="Q66" s="89"/>
      <c r="R66" s="89"/>
    </row>
    <row r="67">
      <c r="A67" s="14" t="s">
        <v>44</v>
      </c>
      <c r="B67" s="521">
        <v>64.0</v>
      </c>
      <c r="C67" s="264" t="s">
        <v>108</v>
      </c>
      <c r="D67" s="264" t="s">
        <v>6857</v>
      </c>
      <c r="E67" s="394" t="s">
        <v>49</v>
      </c>
      <c r="F67" s="226"/>
      <c r="G67" s="523"/>
      <c r="H67" s="530"/>
      <c r="I67" s="303"/>
      <c r="J67" s="303"/>
      <c r="K67" s="303"/>
      <c r="L67" s="526"/>
      <c r="M67" s="526" t="str">
        <f t="shared" si="1"/>
        <v>David.Linsky@mahouse.gov</v>
      </c>
      <c r="N67" s="526"/>
      <c r="O67" s="526"/>
      <c r="P67" s="526"/>
      <c r="Q67" s="89"/>
      <c r="R67" s="89"/>
    </row>
    <row r="68">
      <c r="A68" s="14" t="s">
        <v>44</v>
      </c>
      <c r="B68" s="521">
        <v>65.0</v>
      </c>
      <c r="C68" s="264" t="s">
        <v>6821</v>
      </c>
      <c r="D68" s="264"/>
      <c r="E68" s="532"/>
      <c r="F68" s="226"/>
      <c r="G68" s="523"/>
      <c r="H68" s="530"/>
      <c r="I68" s="303"/>
      <c r="J68" s="303"/>
      <c r="K68" s="303"/>
      <c r="L68" s="526"/>
      <c r="M68" s="526" t="str">
        <f t="shared" si="1"/>
        <v>Vacant.@mahouse.gov</v>
      </c>
      <c r="N68" s="526"/>
      <c r="O68" s="526"/>
      <c r="P68" s="526"/>
      <c r="Q68" s="89"/>
      <c r="R68" s="89"/>
    </row>
    <row r="69">
      <c r="A69" s="14" t="s">
        <v>44</v>
      </c>
      <c r="B69" s="521">
        <v>66.0</v>
      </c>
      <c r="C69" s="542" t="s">
        <v>792</v>
      </c>
      <c r="D69" s="542" t="s">
        <v>1707</v>
      </c>
      <c r="E69" s="394" t="s">
        <v>49</v>
      </c>
      <c r="F69" s="226"/>
      <c r="G69" s="523"/>
      <c r="H69" s="530"/>
      <c r="I69" s="303"/>
      <c r="J69" s="303"/>
      <c r="K69" s="303"/>
      <c r="L69" s="526"/>
      <c r="M69" s="526" t="str">
        <f t="shared" si="1"/>
        <v>Jack.Lewis@mahouse.gov</v>
      </c>
      <c r="N69" s="526"/>
      <c r="O69" s="526"/>
      <c r="P69" s="526"/>
      <c r="Q69" s="89"/>
      <c r="R69" s="89"/>
    </row>
    <row r="70">
      <c r="A70" s="14" t="s">
        <v>44</v>
      </c>
      <c r="B70" s="521">
        <v>67.0</v>
      </c>
      <c r="C70" s="264" t="s">
        <v>3902</v>
      </c>
      <c r="D70" s="264" t="s">
        <v>6867</v>
      </c>
      <c r="E70" s="394" t="s">
        <v>49</v>
      </c>
      <c r="F70" s="226"/>
      <c r="G70" s="523"/>
      <c r="H70" s="530"/>
      <c r="I70" s="303"/>
      <c r="J70" s="303"/>
      <c r="K70" s="303"/>
      <c r="L70" s="526"/>
      <c r="M70" s="526" t="str">
        <f t="shared" si="1"/>
        <v>Carolyn.Dykema@mahouse.gov</v>
      </c>
      <c r="N70" s="526"/>
      <c r="O70" s="526"/>
      <c r="P70" s="526"/>
      <c r="Q70" s="89"/>
      <c r="R70" s="89"/>
    </row>
    <row r="71">
      <c r="A71" s="14" t="s">
        <v>44</v>
      </c>
      <c r="B71" s="521">
        <v>68.0</v>
      </c>
      <c r="C71" s="264" t="s">
        <v>561</v>
      </c>
      <c r="D71" s="264" t="s">
        <v>3550</v>
      </c>
      <c r="E71" s="394" t="s">
        <v>49</v>
      </c>
      <c r="F71" s="226"/>
      <c r="G71" s="523"/>
      <c r="H71" s="530"/>
      <c r="I71" s="303"/>
      <c r="J71" s="303"/>
      <c r="K71" s="303"/>
      <c r="L71" s="526"/>
      <c r="M71" s="526" t="str">
        <f t="shared" si="1"/>
        <v>Thomas.Stanley@mahouse.gov</v>
      </c>
      <c r="N71" s="526"/>
      <c r="O71" s="526"/>
      <c r="P71" s="526"/>
      <c r="Q71" s="89"/>
      <c r="R71" s="89"/>
    </row>
    <row r="72">
      <c r="A72" s="14" t="s">
        <v>44</v>
      </c>
      <c r="B72" s="521">
        <v>69.0</v>
      </c>
      <c r="C72" s="264" t="s">
        <v>278</v>
      </c>
      <c r="D72" s="264" t="s">
        <v>6875</v>
      </c>
      <c r="E72" s="394" t="s">
        <v>49</v>
      </c>
      <c r="F72" s="226"/>
      <c r="G72" s="226"/>
      <c r="H72" s="527"/>
      <c r="I72" s="303"/>
      <c r="J72" s="303"/>
      <c r="K72" s="303"/>
      <c r="L72" s="526"/>
      <c r="M72" s="526" t="str">
        <f t="shared" si="1"/>
        <v>John.Lawn@mahouse.gov</v>
      </c>
      <c r="N72" s="526"/>
      <c r="O72" s="526"/>
      <c r="P72" s="526"/>
      <c r="Q72" s="89"/>
      <c r="R72" s="89"/>
    </row>
    <row r="73">
      <c r="A73" s="14" t="s">
        <v>44</v>
      </c>
      <c r="B73" s="521">
        <v>70.0</v>
      </c>
      <c r="C73" s="264" t="s">
        <v>1125</v>
      </c>
      <c r="D73" s="264" t="s">
        <v>6877</v>
      </c>
      <c r="E73" s="394" t="s">
        <v>49</v>
      </c>
      <c r="F73" s="226"/>
      <c r="G73" s="523"/>
      <c r="H73" s="530"/>
      <c r="I73" s="303"/>
      <c r="J73" s="303"/>
      <c r="K73" s="303"/>
      <c r="L73" s="526"/>
      <c r="M73" s="526" t="str">
        <f t="shared" si="1"/>
        <v>Kay.Khan@mahouse.gov</v>
      </c>
      <c r="N73" s="526"/>
      <c r="O73" s="526"/>
      <c r="P73" s="526"/>
      <c r="Q73" s="89"/>
      <c r="R73" s="89"/>
    </row>
    <row r="74">
      <c r="A74" s="14" t="s">
        <v>44</v>
      </c>
      <c r="B74" s="521">
        <v>71.0</v>
      </c>
      <c r="C74" s="264" t="s">
        <v>2779</v>
      </c>
      <c r="D74" s="264" t="s">
        <v>6881</v>
      </c>
      <c r="E74" s="394" t="s">
        <v>49</v>
      </c>
      <c r="F74" s="226"/>
      <c r="G74" s="226"/>
      <c r="H74" s="527"/>
      <c r="I74" s="303"/>
      <c r="J74" s="303"/>
      <c r="K74" s="303"/>
      <c r="L74" s="526"/>
      <c r="M74" s="526" t="str">
        <f t="shared" si="1"/>
        <v>Ruth.Balser@mahouse.gov</v>
      </c>
      <c r="N74" s="526"/>
      <c r="O74" s="526"/>
      <c r="P74" s="526"/>
      <c r="Q74" s="89"/>
      <c r="R74" s="89"/>
    </row>
    <row r="75">
      <c r="A75" s="14" t="s">
        <v>44</v>
      </c>
      <c r="B75" s="521">
        <v>72.0</v>
      </c>
      <c r="C75" s="542" t="s">
        <v>6882</v>
      </c>
      <c r="D75" s="542" t="s">
        <v>6883</v>
      </c>
      <c r="E75" s="394" t="s">
        <v>49</v>
      </c>
      <c r="F75" s="226"/>
      <c r="G75" s="523"/>
      <c r="H75" s="530"/>
      <c r="I75" s="303"/>
      <c r="J75" s="303"/>
      <c r="K75" s="303"/>
      <c r="L75" s="526"/>
      <c r="M75" s="526" t="str">
        <f t="shared" si="1"/>
        <v>Carmine.Gentile@mahouse.gov</v>
      </c>
      <c r="N75" s="526"/>
      <c r="O75" s="526"/>
      <c r="P75" s="526"/>
      <c r="Q75" s="89"/>
      <c r="R75" s="89"/>
    </row>
    <row r="76">
      <c r="A76" s="14" t="s">
        <v>44</v>
      </c>
      <c r="B76" s="521">
        <v>73.0</v>
      </c>
      <c r="C76" s="264" t="s">
        <v>2493</v>
      </c>
      <c r="D76" s="264" t="s">
        <v>2263</v>
      </c>
      <c r="E76" s="394" t="s">
        <v>49</v>
      </c>
      <c r="F76" s="226"/>
      <c r="G76" s="523"/>
      <c r="H76" s="530"/>
      <c r="I76" s="303"/>
      <c r="J76" s="303"/>
      <c r="K76" s="303"/>
      <c r="L76" s="526"/>
      <c r="M76" s="526" t="str">
        <f t="shared" si="1"/>
        <v>Cory.Atkins@mahouse.gov</v>
      </c>
      <c r="N76" s="526"/>
      <c r="O76" s="526"/>
      <c r="P76" s="526"/>
      <c r="Q76" s="89"/>
      <c r="R76" s="89"/>
    </row>
    <row r="77">
      <c r="A77" s="14" t="s">
        <v>44</v>
      </c>
      <c r="B77" s="521">
        <v>74.0</v>
      </c>
      <c r="C77" s="264" t="s">
        <v>1013</v>
      </c>
      <c r="D77" s="264" t="s">
        <v>6886</v>
      </c>
      <c r="E77" s="394" t="s">
        <v>49</v>
      </c>
      <c r="F77" s="226"/>
      <c r="G77" s="523"/>
      <c r="H77" s="530"/>
      <c r="I77" s="303"/>
      <c r="J77" s="303"/>
      <c r="K77" s="303"/>
      <c r="L77" s="526"/>
      <c r="M77" s="526" t="str">
        <f t="shared" si="1"/>
        <v>Jay.Kaufman@mahouse.gov</v>
      </c>
      <c r="N77" s="526"/>
      <c r="O77" s="526"/>
      <c r="P77" s="526"/>
      <c r="Q77" s="89"/>
      <c r="R77" s="89"/>
    </row>
    <row r="78">
      <c r="A78" s="14" t="s">
        <v>44</v>
      </c>
      <c r="B78" s="521">
        <v>75.0</v>
      </c>
      <c r="C78" s="264" t="s">
        <v>561</v>
      </c>
      <c r="D78" s="264" t="s">
        <v>6887</v>
      </c>
      <c r="E78" s="394" t="s">
        <v>49</v>
      </c>
      <c r="F78" s="226"/>
      <c r="G78" s="523"/>
      <c r="H78" s="530"/>
      <c r="I78" s="303"/>
      <c r="J78" s="303"/>
      <c r="K78" s="303"/>
      <c r="L78" s="526"/>
      <c r="M78" s="526" t="str">
        <f t="shared" si="1"/>
        <v>Thomas.Golden@mahouse.gov</v>
      </c>
      <c r="N78" s="526"/>
      <c r="O78" s="526"/>
      <c r="P78" s="526"/>
      <c r="Q78" s="89"/>
      <c r="R78" s="89"/>
    </row>
    <row r="79">
      <c r="A79" s="14" t="s">
        <v>44</v>
      </c>
      <c r="B79" s="521">
        <v>76.0</v>
      </c>
      <c r="C79" s="264" t="s">
        <v>108</v>
      </c>
      <c r="D79" s="264" t="s">
        <v>6888</v>
      </c>
      <c r="E79" s="394" t="s">
        <v>49</v>
      </c>
      <c r="F79" s="226"/>
      <c r="G79" s="523"/>
      <c r="H79" s="530"/>
      <c r="I79" s="303"/>
      <c r="J79" s="303"/>
      <c r="K79" s="303"/>
      <c r="L79" s="526"/>
      <c r="M79" s="526" t="str">
        <f t="shared" si="1"/>
        <v>David.Nangle@mahouse.gov</v>
      </c>
      <c r="N79" s="526"/>
      <c r="O79" s="526"/>
      <c r="P79" s="526"/>
      <c r="Q79" s="89"/>
      <c r="R79" s="89"/>
    </row>
    <row r="80">
      <c r="A80" s="14" t="s">
        <v>44</v>
      </c>
      <c r="B80" s="521">
        <v>77.0</v>
      </c>
      <c r="C80" s="264" t="s">
        <v>6889</v>
      </c>
      <c r="D80" s="264" t="s">
        <v>6891</v>
      </c>
      <c r="E80" s="394" t="s">
        <v>49</v>
      </c>
      <c r="F80" s="226"/>
      <c r="G80" s="523"/>
      <c r="H80" s="530"/>
      <c r="I80" s="303"/>
      <c r="J80" s="303"/>
      <c r="K80" s="303"/>
      <c r="L80" s="526"/>
      <c r="M80" s="526" t="str">
        <f t="shared" si="1"/>
        <v>Rady.Mom@mahouse.gov</v>
      </c>
      <c r="N80" s="526"/>
      <c r="O80" s="526"/>
      <c r="P80" s="526"/>
      <c r="Q80" s="89"/>
      <c r="R80" s="89"/>
    </row>
    <row r="81">
      <c r="A81" s="14" t="s">
        <v>44</v>
      </c>
      <c r="B81" s="521">
        <v>78.0</v>
      </c>
      <c r="C81" s="264"/>
      <c r="D81" s="264"/>
      <c r="E81" s="532"/>
      <c r="F81" s="226"/>
      <c r="G81" s="523"/>
      <c r="H81" s="530"/>
      <c r="I81" s="303"/>
      <c r="J81" s="303"/>
      <c r="K81" s="303"/>
      <c r="L81" s="526"/>
      <c r="M81" s="526" t="str">
        <f t="shared" si="1"/>
        <v>.@mahouse.gov</v>
      </c>
      <c r="N81" s="526"/>
      <c r="O81" s="526"/>
      <c r="P81" s="526"/>
      <c r="Q81" s="89"/>
      <c r="R81" s="89"/>
    </row>
    <row r="82">
      <c r="A82" s="14" t="s">
        <v>44</v>
      </c>
      <c r="B82" s="521">
        <v>79.0</v>
      </c>
      <c r="C82" s="264" t="s">
        <v>1130</v>
      </c>
      <c r="D82" s="264" t="s">
        <v>706</v>
      </c>
      <c r="E82" s="384" t="s">
        <v>53</v>
      </c>
      <c r="F82" s="226"/>
      <c r="G82" s="226"/>
      <c r="H82" s="527"/>
      <c r="I82" s="303"/>
      <c r="J82" s="303"/>
      <c r="K82" s="303"/>
      <c r="L82" s="526"/>
      <c r="M82" s="526" t="str">
        <f t="shared" si="1"/>
        <v>Bradley.Jones@mahouse.gov</v>
      </c>
      <c r="N82" s="526"/>
      <c r="O82" s="526"/>
      <c r="P82" s="526"/>
      <c r="Q82" s="89"/>
      <c r="R82" s="89"/>
    </row>
    <row r="83">
      <c r="A83" s="14" t="s">
        <v>44</v>
      </c>
      <c r="B83" s="521">
        <v>80.0</v>
      </c>
      <c r="C83" s="264" t="s">
        <v>2777</v>
      </c>
      <c r="D83" s="264" t="s">
        <v>4142</v>
      </c>
      <c r="E83" s="394" t="s">
        <v>49</v>
      </c>
      <c r="F83" s="226"/>
      <c r="G83" s="523"/>
      <c r="H83" s="530"/>
      <c r="I83" s="303"/>
      <c r="J83" s="303"/>
      <c r="K83" s="303"/>
      <c r="L83" s="526"/>
      <c r="M83" s="526" t="str">
        <f t="shared" si="1"/>
        <v>Kenneth.Gordon@mahouse.gov</v>
      </c>
      <c r="N83" s="526"/>
      <c r="O83" s="526"/>
      <c r="P83" s="526"/>
      <c r="Q83" s="89"/>
      <c r="R83" s="89"/>
    </row>
    <row r="84">
      <c r="A84" s="14" t="s">
        <v>44</v>
      </c>
      <c r="B84" s="521">
        <v>81.0</v>
      </c>
      <c r="C84" s="264" t="s">
        <v>1431</v>
      </c>
      <c r="D84" s="264" t="s">
        <v>6896</v>
      </c>
      <c r="E84" s="384" t="s">
        <v>53</v>
      </c>
      <c r="F84" s="226"/>
      <c r="G84" s="226"/>
      <c r="H84" s="527"/>
      <c r="I84" s="303"/>
      <c r="J84" s="303"/>
      <c r="K84" s="303"/>
      <c r="L84" s="526"/>
      <c r="M84" s="526" t="str">
        <f t="shared" si="1"/>
        <v>Marc.Lombardo@mahouse.gov</v>
      </c>
      <c r="N84" s="526"/>
      <c r="O84" s="526"/>
      <c r="P84" s="526"/>
      <c r="Q84" s="89"/>
      <c r="R84" s="89"/>
    </row>
    <row r="85">
      <c r="A85" s="14" t="s">
        <v>44</v>
      </c>
      <c r="B85" s="521">
        <v>82.0</v>
      </c>
      <c r="C85" s="264" t="s">
        <v>1276</v>
      </c>
      <c r="D85" s="264" t="s">
        <v>6898</v>
      </c>
      <c r="E85" s="394" t="s">
        <v>49</v>
      </c>
      <c r="F85" s="226"/>
      <c r="G85" s="523"/>
      <c r="H85" s="530"/>
      <c r="I85" s="303"/>
      <c r="J85" s="303"/>
      <c r="K85" s="303"/>
      <c r="L85" s="526"/>
      <c r="M85" s="526" t="str">
        <f t="shared" si="1"/>
        <v>Sean.Garballey@mahouse.gov</v>
      </c>
      <c r="N85" s="526"/>
      <c r="O85" s="526"/>
      <c r="P85" s="526"/>
      <c r="Q85" s="89"/>
      <c r="R85" s="89"/>
    </row>
    <row r="86">
      <c r="A86" s="14" t="s">
        <v>44</v>
      </c>
      <c r="B86" s="521">
        <v>83.0</v>
      </c>
      <c r="C86" s="264" t="s">
        <v>108</v>
      </c>
      <c r="D86" s="264" t="s">
        <v>494</v>
      </c>
      <c r="E86" s="394" t="s">
        <v>49</v>
      </c>
      <c r="F86" s="226"/>
      <c r="G86" s="523"/>
      <c r="H86" s="530"/>
      <c r="I86" s="303"/>
      <c r="J86" s="303"/>
      <c r="K86" s="303"/>
      <c r="L86" s="526"/>
      <c r="M86" s="526" t="str">
        <f t="shared" si="1"/>
        <v>David.Rogers@mahouse.gov</v>
      </c>
      <c r="N86" s="526"/>
      <c r="O86" s="526"/>
      <c r="P86" s="526"/>
      <c r="Q86" s="89"/>
      <c r="R86" s="89"/>
    </row>
    <row r="87">
      <c r="A87" s="14" t="s">
        <v>44</v>
      </c>
      <c r="B87" s="521">
        <v>84.0</v>
      </c>
      <c r="C87" s="264" t="s">
        <v>6900</v>
      </c>
      <c r="D87" s="264" t="s">
        <v>6902</v>
      </c>
      <c r="E87" s="394" t="s">
        <v>49</v>
      </c>
      <c r="F87" s="226"/>
      <c r="G87" s="226"/>
      <c r="H87" s="527"/>
      <c r="I87" s="303"/>
      <c r="J87" s="303"/>
      <c r="K87" s="303"/>
      <c r="L87" s="526"/>
      <c r="M87" s="526" t="str">
        <f t="shared" si="1"/>
        <v>Marjorie.Decker@mahouse.gov</v>
      </c>
      <c r="N87" s="526"/>
      <c r="O87" s="526"/>
      <c r="P87" s="526"/>
      <c r="Q87" s="89"/>
      <c r="R87" s="89"/>
    </row>
    <row r="88">
      <c r="A88" s="14" t="s">
        <v>44</v>
      </c>
      <c r="B88" s="521">
        <v>85.0</v>
      </c>
      <c r="C88" s="264" t="s">
        <v>157</v>
      </c>
      <c r="D88" s="264" t="s">
        <v>6906</v>
      </c>
      <c r="E88" s="394" t="s">
        <v>49</v>
      </c>
      <c r="F88" s="226"/>
      <c r="G88" s="523"/>
      <c r="H88" s="530"/>
      <c r="I88" s="303"/>
      <c r="J88" s="303"/>
      <c r="K88" s="303"/>
      <c r="L88" s="526"/>
      <c r="M88" s="526" t="str">
        <f t="shared" si="1"/>
        <v>Mike.Connolly@mahouse.gov</v>
      </c>
      <c r="N88" s="526"/>
      <c r="O88" s="526"/>
      <c r="P88" s="526"/>
      <c r="Q88" s="89"/>
      <c r="R88" s="89"/>
    </row>
    <row r="89">
      <c r="A89" s="14" t="s">
        <v>44</v>
      </c>
      <c r="B89" s="521">
        <v>86.0</v>
      </c>
      <c r="C89" s="264" t="s">
        <v>932</v>
      </c>
      <c r="D89" s="264" t="s">
        <v>6908</v>
      </c>
      <c r="E89" s="394" t="s">
        <v>49</v>
      </c>
      <c r="F89" s="226"/>
      <c r="G89" s="523"/>
      <c r="H89" s="530"/>
      <c r="I89" s="303"/>
      <c r="J89" s="303"/>
      <c r="K89" s="303"/>
      <c r="L89" s="526"/>
      <c r="M89" s="526" t="str">
        <f t="shared" si="1"/>
        <v>Denise.Provost@mahouse.gov</v>
      </c>
      <c r="N89" s="526"/>
      <c r="O89" s="526"/>
      <c r="P89" s="526"/>
      <c r="Q89" s="89"/>
      <c r="R89" s="89"/>
    </row>
    <row r="90">
      <c r="A90" s="14" t="s">
        <v>44</v>
      </c>
      <c r="B90" s="521">
        <v>87.0</v>
      </c>
      <c r="C90" s="264" t="s">
        <v>2527</v>
      </c>
      <c r="D90" s="264" t="s">
        <v>6911</v>
      </c>
      <c r="E90" s="394" t="s">
        <v>49</v>
      </c>
      <c r="F90" s="226"/>
      <c r="G90" s="523"/>
      <c r="H90" s="530"/>
      <c r="I90" s="303"/>
      <c r="J90" s="303"/>
      <c r="K90" s="303"/>
      <c r="L90" s="526"/>
      <c r="M90" s="526" t="str">
        <f t="shared" si="1"/>
        <v>Joseph.McGonagle@mahouse.gov</v>
      </c>
      <c r="N90" s="526"/>
      <c r="O90" s="526"/>
      <c r="P90" s="526"/>
      <c r="Q90" s="89"/>
      <c r="R90" s="89"/>
    </row>
    <row r="91">
      <c r="A91" s="14" t="s">
        <v>44</v>
      </c>
      <c r="B91" s="521">
        <v>88.0</v>
      </c>
      <c r="C91" s="264" t="s">
        <v>235</v>
      </c>
      <c r="D91" s="264" t="s">
        <v>6912</v>
      </c>
      <c r="E91" s="394" t="s">
        <v>49</v>
      </c>
      <c r="F91" s="226"/>
      <c r="G91" s="523"/>
      <c r="H91" s="530"/>
      <c r="I91" s="303"/>
      <c r="J91" s="303"/>
      <c r="K91" s="303"/>
      <c r="L91" s="526"/>
      <c r="M91" s="526" t="str">
        <f t="shared" si="1"/>
        <v>Jonathan.Hecht@mahouse.gov</v>
      </c>
      <c r="N91" s="526"/>
      <c r="O91" s="526"/>
      <c r="P91" s="526"/>
      <c r="Q91" s="89"/>
      <c r="R91" s="89"/>
    </row>
    <row r="92">
      <c r="A92" s="14" t="s">
        <v>44</v>
      </c>
      <c r="B92" s="521">
        <v>89.0</v>
      </c>
      <c r="C92" s="264" t="s">
        <v>930</v>
      </c>
      <c r="D92" s="264" t="s">
        <v>6913</v>
      </c>
      <c r="E92" s="394" t="s">
        <v>49</v>
      </c>
      <c r="F92" s="226"/>
      <c r="G92" s="523"/>
      <c r="H92" s="530"/>
      <c r="I92" s="303"/>
      <c r="J92" s="303"/>
      <c r="K92" s="303"/>
      <c r="L92" s="526"/>
      <c r="M92" s="526" t="str">
        <f t="shared" si="1"/>
        <v>James.Dwyer@mahouse.gov</v>
      </c>
      <c r="N92" s="526"/>
      <c r="O92" s="526"/>
      <c r="P92" s="526"/>
      <c r="Q92" s="89"/>
      <c r="R92" s="89"/>
    </row>
    <row r="93">
      <c r="A93" s="14" t="s">
        <v>44</v>
      </c>
      <c r="B93" s="521">
        <v>90.0</v>
      </c>
      <c r="C93" s="264" t="s">
        <v>2490</v>
      </c>
      <c r="D93" s="264" t="s">
        <v>6915</v>
      </c>
      <c r="E93" s="394" t="s">
        <v>49</v>
      </c>
      <c r="F93" s="226"/>
      <c r="G93" s="523"/>
      <c r="H93" s="530"/>
      <c r="I93" s="303"/>
      <c r="J93" s="303"/>
      <c r="K93" s="303"/>
      <c r="L93" s="526"/>
      <c r="M93" s="526" t="str">
        <f t="shared" si="1"/>
        <v>Michael.Day@mahouse.gov</v>
      </c>
      <c r="N93" s="526"/>
      <c r="O93" s="526"/>
      <c r="P93" s="526"/>
      <c r="Q93" s="89"/>
      <c r="R93" s="89"/>
    </row>
    <row r="94">
      <c r="A94" s="14" t="s">
        <v>44</v>
      </c>
      <c r="B94" s="521">
        <v>91.0</v>
      </c>
      <c r="C94" s="264" t="s">
        <v>679</v>
      </c>
      <c r="D94" s="264" t="s">
        <v>6917</v>
      </c>
      <c r="E94" s="394" t="s">
        <v>49</v>
      </c>
      <c r="F94" s="226"/>
      <c r="G94" s="523"/>
      <c r="H94" s="530"/>
      <c r="I94" s="303"/>
      <c r="J94" s="303"/>
      <c r="K94" s="303"/>
      <c r="L94" s="526"/>
      <c r="M94" s="526" t="str">
        <f t="shared" si="1"/>
        <v>Paul.Brodeur@mahouse.gov</v>
      </c>
      <c r="N94" s="526"/>
      <c r="O94" s="526"/>
      <c r="P94" s="526"/>
      <c r="Q94" s="89"/>
      <c r="R94" s="89"/>
    </row>
    <row r="95">
      <c r="A95" s="14" t="s">
        <v>44</v>
      </c>
      <c r="B95" s="521">
        <v>92.0</v>
      </c>
      <c r="C95" s="264" t="s">
        <v>1897</v>
      </c>
      <c r="D95" s="264" t="s">
        <v>6921</v>
      </c>
      <c r="E95" s="394" t="s">
        <v>49</v>
      </c>
      <c r="F95" s="226"/>
      <c r="G95" s="226"/>
      <c r="H95" s="527"/>
      <c r="I95" s="303"/>
      <c r="J95" s="303"/>
      <c r="K95" s="303"/>
      <c r="L95" s="526"/>
      <c r="M95" s="526" t="str">
        <f t="shared" si="1"/>
        <v>Steven.Ultrino@mahouse.gov</v>
      </c>
      <c r="N95" s="526"/>
      <c r="O95" s="526"/>
      <c r="P95" s="526"/>
      <c r="Q95" s="89"/>
      <c r="R95" s="89"/>
    </row>
    <row r="96">
      <c r="A96" s="14" t="s">
        <v>44</v>
      </c>
      <c r="B96" s="521">
        <v>93.0</v>
      </c>
      <c r="C96" s="264" t="s">
        <v>2551</v>
      </c>
      <c r="D96" s="264" t="s">
        <v>6923</v>
      </c>
      <c r="E96" s="394" t="s">
        <v>49</v>
      </c>
      <c r="F96" s="226"/>
      <c r="G96" s="226"/>
      <c r="H96" s="527"/>
      <c r="I96" s="303"/>
      <c r="J96" s="303"/>
      <c r="K96" s="303"/>
      <c r="L96" s="526"/>
      <c r="M96" s="526" t="str">
        <f t="shared" si="1"/>
        <v>Christine.Barber@mahouse.gov</v>
      </c>
      <c r="N96" s="526"/>
      <c r="O96" s="526"/>
      <c r="P96" s="526"/>
      <c r="Q96" s="89"/>
      <c r="R96" s="89"/>
    </row>
    <row r="97">
      <c r="A97" s="14" t="s">
        <v>44</v>
      </c>
      <c r="B97" s="521">
        <v>94.0</v>
      </c>
      <c r="C97" s="264" t="s">
        <v>679</v>
      </c>
      <c r="D97" s="264" t="s">
        <v>6924</v>
      </c>
      <c r="E97" s="394" t="s">
        <v>49</v>
      </c>
      <c r="F97" s="226"/>
      <c r="G97" s="523"/>
      <c r="H97" s="530"/>
      <c r="I97" s="303"/>
      <c r="J97" s="303"/>
      <c r="K97" s="303"/>
      <c r="L97" s="526"/>
      <c r="M97" s="526" t="str">
        <f t="shared" si="1"/>
        <v>Paul.Donato@mahouse.gov</v>
      </c>
      <c r="N97" s="526"/>
      <c r="O97" s="526"/>
      <c r="P97" s="526"/>
      <c r="Q97" s="89"/>
      <c r="R97" s="89"/>
    </row>
    <row r="98">
      <c r="A98" s="14" t="s">
        <v>44</v>
      </c>
      <c r="B98" s="521">
        <v>95.0</v>
      </c>
      <c r="C98" s="264" t="s">
        <v>84</v>
      </c>
      <c r="D98" s="264" t="s">
        <v>6928</v>
      </c>
      <c r="E98" s="394" t="s">
        <v>49</v>
      </c>
      <c r="F98" s="226"/>
      <c r="G98" s="226"/>
      <c r="H98" s="527"/>
      <c r="I98" s="303"/>
      <c r="J98" s="303"/>
      <c r="K98" s="303"/>
      <c r="L98" s="526"/>
      <c r="M98" s="526" t="str">
        <f t="shared" si="1"/>
        <v>Colleen.Garry@mahouse.gov</v>
      </c>
      <c r="N98" s="526"/>
      <c r="O98" s="526"/>
      <c r="P98" s="526"/>
      <c r="Q98" s="89"/>
      <c r="R98" s="89"/>
    </row>
    <row r="99">
      <c r="A99" s="14" t="s">
        <v>44</v>
      </c>
      <c r="B99" s="521">
        <v>96.0</v>
      </c>
      <c r="C99" s="264" t="s">
        <v>191</v>
      </c>
      <c r="D99" s="264" t="s">
        <v>5021</v>
      </c>
      <c r="E99" s="394" t="s">
        <v>49</v>
      </c>
      <c r="F99" s="226"/>
      <c r="G99" s="523"/>
      <c r="H99" s="530"/>
      <c r="I99" s="303"/>
      <c r="J99" s="303"/>
      <c r="K99" s="303"/>
      <c r="L99" s="526"/>
      <c r="M99" s="526" t="str">
        <f t="shared" si="1"/>
        <v>Jennifer.Benson@mahouse.gov</v>
      </c>
      <c r="N99" s="526"/>
      <c r="O99" s="526"/>
      <c r="P99" s="526"/>
      <c r="Q99" s="89"/>
      <c r="R99" s="89"/>
    </row>
    <row r="100">
      <c r="A100" s="14" t="s">
        <v>44</v>
      </c>
      <c r="B100" s="521">
        <v>97.0</v>
      </c>
      <c r="C100" s="264" t="s">
        <v>1193</v>
      </c>
      <c r="D100" s="264" t="s">
        <v>6930</v>
      </c>
      <c r="E100" s="394" t="s">
        <v>49</v>
      </c>
      <c r="F100" s="226"/>
      <c r="G100" s="523"/>
      <c r="H100" s="530"/>
      <c r="I100" s="303"/>
      <c r="J100" s="303"/>
      <c r="K100" s="303"/>
      <c r="L100" s="526"/>
      <c r="M100" s="526" t="str">
        <f t="shared" si="1"/>
        <v>Bruce.Ayers@mahouse.gov</v>
      </c>
      <c r="N100" s="526"/>
      <c r="O100" s="526"/>
      <c r="P100" s="526"/>
      <c r="Q100" s="89"/>
      <c r="R100" s="89"/>
    </row>
    <row r="101">
      <c r="A101" s="14" t="s">
        <v>44</v>
      </c>
      <c r="B101" s="521">
        <v>98.0</v>
      </c>
      <c r="C101" s="264" t="s">
        <v>6931</v>
      </c>
      <c r="D101" s="264" t="s">
        <v>6932</v>
      </c>
      <c r="E101" s="394" t="s">
        <v>49</v>
      </c>
      <c r="F101" s="226"/>
      <c r="G101" s="523"/>
      <c r="H101" s="530"/>
      <c r="I101" s="303"/>
      <c r="J101" s="303"/>
      <c r="K101" s="303"/>
      <c r="L101" s="526"/>
      <c r="M101" s="526" t="str">
        <f t="shared" si="1"/>
        <v>Tackey.Chan@mahouse.gov</v>
      </c>
      <c r="N101" s="526"/>
      <c r="O101" s="526"/>
      <c r="P101" s="526"/>
      <c r="Q101" s="89"/>
      <c r="R101" s="89"/>
    </row>
    <row r="102">
      <c r="A102" s="14" t="s">
        <v>44</v>
      </c>
      <c r="B102" s="521">
        <v>99.0</v>
      </c>
      <c r="C102" s="264" t="s">
        <v>393</v>
      </c>
      <c r="D102" s="264" t="s">
        <v>2930</v>
      </c>
      <c r="E102" s="394" t="s">
        <v>49</v>
      </c>
      <c r="F102" s="226"/>
      <c r="G102" s="523"/>
      <c r="H102" s="530"/>
      <c r="I102" s="303"/>
      <c r="J102" s="303"/>
      <c r="K102" s="303"/>
      <c r="L102" s="526"/>
      <c r="M102" s="526" t="str">
        <f t="shared" si="1"/>
        <v>Ronald.Mariano@mahouse.gov</v>
      </c>
      <c r="N102" s="526"/>
      <c r="O102" s="526"/>
      <c r="P102" s="526"/>
      <c r="Q102" s="89"/>
      <c r="R102" s="89"/>
    </row>
    <row r="103">
      <c r="A103" s="14" t="s">
        <v>44</v>
      </c>
      <c r="B103" s="521">
        <v>100.0</v>
      </c>
      <c r="C103" s="264" t="s">
        <v>930</v>
      </c>
      <c r="D103" s="264" t="s">
        <v>3019</v>
      </c>
      <c r="E103" s="394" t="s">
        <v>49</v>
      </c>
      <c r="F103" s="226"/>
      <c r="G103" s="226"/>
      <c r="H103" s="527"/>
      <c r="I103" s="303"/>
      <c r="J103" s="303"/>
      <c r="K103" s="303"/>
      <c r="L103" s="526"/>
      <c r="M103" s="526" t="str">
        <f t="shared" si="1"/>
        <v>James.Murphy@mahouse.gov</v>
      </c>
      <c r="N103" s="526"/>
      <c r="O103" s="526"/>
      <c r="P103" s="526"/>
      <c r="Q103" s="89"/>
      <c r="R103" s="89"/>
    </row>
    <row r="104">
      <c r="A104" s="14" t="s">
        <v>44</v>
      </c>
      <c r="B104" s="521">
        <v>101.0</v>
      </c>
      <c r="C104" s="264" t="s">
        <v>91</v>
      </c>
      <c r="D104" s="264" t="s">
        <v>6936</v>
      </c>
      <c r="E104" s="394" t="s">
        <v>49</v>
      </c>
      <c r="F104" s="226"/>
      <c r="G104" s="523"/>
      <c r="H104" s="530"/>
      <c r="I104" s="303"/>
      <c r="J104" s="303"/>
      <c r="K104" s="303"/>
      <c r="L104" s="526"/>
      <c r="M104" s="526" t="str">
        <f t="shared" si="1"/>
        <v>Mark.Cusack@mahouse.gov</v>
      </c>
      <c r="N104" s="526"/>
      <c r="O104" s="526"/>
      <c r="P104" s="526"/>
      <c r="Q104" s="89"/>
      <c r="R104" s="89"/>
    </row>
    <row r="105">
      <c r="A105" s="14" t="s">
        <v>44</v>
      </c>
      <c r="B105" s="521">
        <v>102.0</v>
      </c>
      <c r="C105" s="264" t="s">
        <v>1058</v>
      </c>
      <c r="D105" s="264" t="s">
        <v>6937</v>
      </c>
      <c r="E105" s="394" t="s">
        <v>49</v>
      </c>
      <c r="F105" s="226"/>
      <c r="G105" s="523"/>
      <c r="H105" s="530"/>
      <c r="I105" s="303"/>
      <c r="J105" s="303"/>
      <c r="K105" s="303"/>
      <c r="L105" s="526"/>
      <c r="M105" s="526" t="str">
        <f t="shared" si="1"/>
        <v>William.Galvin@mahouse.gov</v>
      </c>
      <c r="N105" s="526"/>
      <c r="O105" s="526"/>
      <c r="P105" s="526"/>
      <c r="Q105" s="89"/>
      <c r="R105" s="89"/>
    </row>
    <row r="106">
      <c r="A106" s="14" t="s">
        <v>44</v>
      </c>
      <c r="B106" s="521">
        <v>103.0</v>
      </c>
      <c r="C106" s="264" t="s">
        <v>1058</v>
      </c>
      <c r="D106" s="264" t="s">
        <v>6941</v>
      </c>
      <c r="E106" s="394" t="s">
        <v>49</v>
      </c>
      <c r="F106" s="226"/>
      <c r="G106" s="523"/>
      <c r="H106" s="530"/>
      <c r="I106" s="303"/>
      <c r="J106" s="303"/>
      <c r="K106" s="303"/>
      <c r="L106" s="526"/>
      <c r="M106" s="526" t="str">
        <f t="shared" si="1"/>
        <v>William.Driscoll@mahouse.gov</v>
      </c>
      <c r="N106" s="526"/>
      <c r="O106" s="526"/>
      <c r="P106" s="526"/>
      <c r="Q106" s="89"/>
      <c r="R106" s="89"/>
    </row>
    <row r="107">
      <c r="A107" s="14" t="s">
        <v>44</v>
      </c>
      <c r="B107" s="521">
        <v>104.0</v>
      </c>
      <c r="C107" s="264" t="s">
        <v>4971</v>
      </c>
      <c r="D107" s="264" t="s">
        <v>6943</v>
      </c>
      <c r="E107" s="394" t="s">
        <v>49</v>
      </c>
      <c r="F107" s="226"/>
      <c r="G107" s="226"/>
      <c r="H107" s="527"/>
      <c r="I107" s="303"/>
      <c r="J107" s="303"/>
      <c r="K107" s="303"/>
      <c r="L107" s="526"/>
      <c r="M107" s="526" t="str">
        <f t="shared" si="1"/>
        <v>Louis.Kafka@mahouse.gov</v>
      </c>
      <c r="N107" s="526"/>
      <c r="O107" s="526"/>
      <c r="P107" s="526"/>
      <c r="Q107" s="89"/>
      <c r="R107" s="89"/>
    </row>
    <row r="108">
      <c r="A108" s="14" t="s">
        <v>44</v>
      </c>
      <c r="B108" s="521">
        <v>105.0</v>
      </c>
      <c r="C108" s="264" t="s">
        <v>5855</v>
      </c>
      <c r="D108" s="264" t="s">
        <v>6946</v>
      </c>
      <c r="E108" s="384" t="s">
        <v>53</v>
      </c>
      <c r="F108" s="226"/>
      <c r="G108" s="523"/>
      <c r="H108" s="530"/>
      <c r="I108" s="303"/>
      <c r="J108" s="303"/>
      <c r="K108" s="303"/>
      <c r="L108" s="526"/>
      <c r="M108" s="526" t="str">
        <f t="shared" si="1"/>
        <v>Shawn.Dooley@mahouse.gov</v>
      </c>
      <c r="N108" s="526"/>
      <c r="O108" s="526"/>
      <c r="P108" s="526"/>
      <c r="Q108" s="89"/>
      <c r="R108" s="89"/>
    </row>
    <row r="109">
      <c r="A109" s="14" t="s">
        <v>44</v>
      </c>
      <c r="B109" s="521">
        <v>106.0</v>
      </c>
      <c r="C109" s="264" t="s">
        <v>2512</v>
      </c>
      <c r="D109" s="264" t="s">
        <v>3411</v>
      </c>
      <c r="E109" s="394" t="s">
        <v>49</v>
      </c>
      <c r="F109" s="226"/>
      <c r="G109" s="226"/>
      <c r="H109" s="527"/>
      <c r="I109" s="303"/>
      <c r="J109" s="303"/>
      <c r="K109" s="303"/>
      <c r="L109" s="526"/>
      <c r="M109" s="526" t="str">
        <f t="shared" si="1"/>
        <v>Jeffrey.Roy@mahouse.gov</v>
      </c>
      <c r="N109" s="526"/>
      <c r="O109" s="526"/>
      <c r="P109" s="526"/>
      <c r="Q109" s="89"/>
      <c r="R109" s="89"/>
    </row>
    <row r="110">
      <c r="A110" s="14" t="s">
        <v>44</v>
      </c>
      <c r="B110" s="521">
        <v>107.0</v>
      </c>
      <c r="C110" s="264" t="s">
        <v>679</v>
      </c>
      <c r="D110" s="264" t="s">
        <v>6948</v>
      </c>
      <c r="E110" s="394" t="s">
        <v>49</v>
      </c>
      <c r="F110" s="226"/>
      <c r="G110" s="523"/>
      <c r="H110" s="530"/>
      <c r="I110" s="303"/>
      <c r="J110" s="303"/>
      <c r="K110" s="303"/>
      <c r="L110" s="526"/>
      <c r="M110" s="526" t="str">
        <f t="shared" si="1"/>
        <v>Paul.McMurtry@mahouse.gov</v>
      </c>
      <c r="N110" s="526"/>
      <c r="O110" s="526"/>
      <c r="P110" s="526"/>
      <c r="Q110" s="89"/>
      <c r="R110" s="89"/>
    </row>
    <row r="111">
      <c r="A111" s="14" t="s">
        <v>44</v>
      </c>
      <c r="B111" s="521">
        <v>108.0</v>
      </c>
      <c r="C111" s="264" t="s">
        <v>278</v>
      </c>
      <c r="D111" s="264" t="s">
        <v>494</v>
      </c>
      <c r="E111" s="394" t="s">
        <v>49</v>
      </c>
      <c r="F111" s="226"/>
      <c r="G111" s="523"/>
      <c r="H111" s="530"/>
      <c r="I111" s="303"/>
      <c r="J111" s="303"/>
      <c r="K111" s="303"/>
      <c r="L111" s="526"/>
      <c r="M111" s="526" t="str">
        <f t="shared" si="1"/>
        <v>John.Rogers@mahouse.gov</v>
      </c>
      <c r="N111" s="526"/>
      <c r="O111" s="526"/>
      <c r="P111" s="526"/>
      <c r="Q111" s="89"/>
      <c r="R111" s="89"/>
    </row>
    <row r="112">
      <c r="A112" s="14" t="s">
        <v>44</v>
      </c>
      <c r="B112" s="521">
        <v>109.0</v>
      </c>
      <c r="C112" s="264" t="s">
        <v>932</v>
      </c>
      <c r="D112" s="264" t="s">
        <v>6952</v>
      </c>
      <c r="E112" s="394" t="s">
        <v>49</v>
      </c>
      <c r="F112" s="226"/>
      <c r="G112" s="226"/>
      <c r="H112" s="527"/>
      <c r="I112" s="303"/>
      <c r="J112" s="303"/>
      <c r="K112" s="303"/>
      <c r="L112" s="526"/>
      <c r="M112" s="526" t="str">
        <f t="shared" si="1"/>
        <v>Denise.Garlick@mahouse.gov</v>
      </c>
      <c r="N112" s="526"/>
      <c r="O112" s="526"/>
      <c r="P112" s="526"/>
      <c r="Q112" s="89"/>
      <c r="R112" s="89"/>
    </row>
    <row r="113">
      <c r="A113" s="14" t="s">
        <v>44</v>
      </c>
      <c r="B113" s="521">
        <v>110.0</v>
      </c>
      <c r="C113" s="264" t="s">
        <v>5331</v>
      </c>
      <c r="D113" s="264" t="s">
        <v>6953</v>
      </c>
      <c r="E113" s="394" t="s">
        <v>49</v>
      </c>
      <c r="F113" s="226"/>
      <c r="G113" s="523"/>
      <c r="H113" s="530"/>
      <c r="I113" s="303"/>
      <c r="J113" s="303"/>
      <c r="K113" s="303"/>
      <c r="L113" s="526"/>
      <c r="M113" s="526" t="str">
        <f t="shared" si="1"/>
        <v>Alice.Peisch@mahouse.gov</v>
      </c>
      <c r="N113" s="526"/>
      <c r="O113" s="526"/>
      <c r="P113" s="526"/>
      <c r="Q113" s="89"/>
      <c r="R113" s="89"/>
    </row>
    <row r="114">
      <c r="A114" s="14" t="s">
        <v>44</v>
      </c>
      <c r="B114" s="521">
        <v>111.0</v>
      </c>
      <c r="C114" s="264" t="s">
        <v>1000</v>
      </c>
      <c r="D114" s="264" t="s">
        <v>6956</v>
      </c>
      <c r="E114" s="394" t="s">
        <v>49</v>
      </c>
      <c r="F114" s="226"/>
      <c r="G114" s="226"/>
      <c r="H114" s="527"/>
      <c r="I114" s="303"/>
      <c r="J114" s="303"/>
      <c r="K114" s="303"/>
      <c r="L114" s="526"/>
      <c r="M114" s="526" t="str">
        <f t="shared" si="1"/>
        <v>Frank.Smizik@mahouse.gov</v>
      </c>
      <c r="N114" s="526"/>
      <c r="O114" s="526"/>
      <c r="P114" s="526"/>
      <c r="Q114" s="89"/>
      <c r="R114" s="89"/>
    </row>
    <row r="115">
      <c r="A115" s="14" t="s">
        <v>44</v>
      </c>
      <c r="B115" s="521">
        <v>112.0</v>
      </c>
      <c r="C115" s="264" t="s">
        <v>1982</v>
      </c>
      <c r="D115" s="264" t="s">
        <v>6959</v>
      </c>
      <c r="E115" s="384" t="s">
        <v>53</v>
      </c>
      <c r="F115" s="226"/>
      <c r="G115" s="226"/>
      <c r="H115" s="527"/>
      <c r="I115" s="303"/>
      <c r="J115" s="303"/>
      <c r="K115" s="303"/>
      <c r="L115" s="526"/>
      <c r="M115" s="526" t="str">
        <f t="shared" si="1"/>
        <v>Mathew.Muratore@mahouse.gov</v>
      </c>
      <c r="N115" s="526"/>
      <c r="O115" s="526"/>
      <c r="P115" s="526"/>
      <c r="Q115" s="89"/>
      <c r="R115" s="89"/>
    </row>
    <row r="116">
      <c r="A116" s="14" t="s">
        <v>44</v>
      </c>
      <c r="B116" s="521">
        <v>113.0</v>
      </c>
      <c r="C116" s="264" t="s">
        <v>1446</v>
      </c>
      <c r="D116" s="264" t="s">
        <v>6960</v>
      </c>
      <c r="E116" s="384" t="s">
        <v>53</v>
      </c>
      <c r="F116" s="226"/>
      <c r="G116" s="226"/>
      <c r="H116" s="527"/>
      <c r="I116" s="303"/>
      <c r="J116" s="303"/>
      <c r="K116" s="303"/>
      <c r="L116" s="526"/>
      <c r="M116" s="526" t="str">
        <f t="shared" si="1"/>
        <v>Susan.Gifford@mahouse.gov</v>
      </c>
      <c r="N116" s="526"/>
      <c r="O116" s="526"/>
      <c r="P116" s="526"/>
      <c r="Q116" s="89"/>
      <c r="R116" s="89"/>
    </row>
    <row r="117">
      <c r="A117" s="14" t="s">
        <v>44</v>
      </c>
      <c r="B117" s="521">
        <v>114.0</v>
      </c>
      <c r="C117" s="264" t="s">
        <v>2882</v>
      </c>
      <c r="D117" s="264" t="s">
        <v>6961</v>
      </c>
      <c r="E117" s="394" t="s">
        <v>49</v>
      </c>
      <c r="F117" s="226"/>
      <c r="G117" s="523"/>
      <c r="H117" s="530"/>
      <c r="I117" s="303"/>
      <c r="J117" s="303"/>
      <c r="K117" s="303"/>
      <c r="L117" s="526"/>
      <c r="M117" s="526" t="str">
        <f t="shared" si="1"/>
        <v>Joan.Meschino@mahouse.gov</v>
      </c>
      <c r="N117" s="526"/>
      <c r="O117" s="526"/>
      <c r="P117" s="526"/>
      <c r="Q117" s="89"/>
      <c r="R117" s="89"/>
    </row>
    <row r="118">
      <c r="A118" s="14" t="s">
        <v>44</v>
      </c>
      <c r="B118" s="521">
        <v>115.0</v>
      </c>
      <c r="C118" s="264" t="s">
        <v>6821</v>
      </c>
      <c r="D118" s="264"/>
      <c r="E118" s="532"/>
      <c r="F118" s="226"/>
      <c r="G118" s="523"/>
      <c r="H118" s="530"/>
      <c r="I118" s="303"/>
      <c r="J118" s="303"/>
      <c r="K118" s="303"/>
      <c r="L118" s="526"/>
      <c r="M118" s="526" t="str">
        <f t="shared" si="1"/>
        <v>Vacant.@mahouse.gov</v>
      </c>
      <c r="N118" s="526"/>
      <c r="O118" s="526"/>
      <c r="P118" s="526"/>
      <c r="Q118" s="89"/>
      <c r="R118" s="89"/>
    </row>
    <row r="119">
      <c r="A119" s="14" t="s">
        <v>44</v>
      </c>
      <c r="B119" s="521">
        <v>116.0</v>
      </c>
      <c r="C119" s="264" t="s">
        <v>108</v>
      </c>
      <c r="D119" s="264" t="s">
        <v>6964</v>
      </c>
      <c r="E119" s="384" t="s">
        <v>53</v>
      </c>
      <c r="F119" s="226"/>
      <c r="G119" s="523"/>
      <c r="H119" s="530"/>
      <c r="I119" s="303"/>
      <c r="J119" s="303"/>
      <c r="K119" s="303"/>
      <c r="L119" s="526"/>
      <c r="M119" s="526" t="str">
        <f t="shared" si="1"/>
        <v>David.DeCoste@mahouse.gov</v>
      </c>
      <c r="N119" s="526"/>
      <c r="O119" s="526"/>
      <c r="P119" s="526"/>
      <c r="Q119" s="89"/>
      <c r="R119" s="89"/>
    </row>
    <row r="120">
      <c r="A120" s="14" t="s">
        <v>44</v>
      </c>
      <c r="B120" s="521">
        <v>117.0</v>
      </c>
      <c r="C120" s="264" t="s">
        <v>180</v>
      </c>
      <c r="D120" s="264" t="s">
        <v>6967</v>
      </c>
      <c r="E120" s="394" t="s">
        <v>49</v>
      </c>
      <c r="F120" s="226"/>
      <c r="G120" s="523"/>
      <c r="H120" s="530"/>
      <c r="I120" s="303"/>
      <c r="J120" s="303"/>
      <c r="K120" s="303"/>
      <c r="L120" s="526"/>
      <c r="M120" s="526" t="str">
        <f t="shared" si="1"/>
        <v>Josh.Cutler@mahouse.gov</v>
      </c>
      <c r="N120" s="526"/>
      <c r="O120" s="526"/>
      <c r="P120" s="526"/>
      <c r="Q120" s="89"/>
      <c r="R120" s="89"/>
    </row>
    <row r="121">
      <c r="A121" s="14" t="s">
        <v>44</v>
      </c>
      <c r="B121" s="521">
        <v>118.0</v>
      </c>
      <c r="C121" s="264" t="s">
        <v>2515</v>
      </c>
      <c r="D121" s="264" t="s">
        <v>6968</v>
      </c>
      <c r="E121" s="384" t="s">
        <v>53</v>
      </c>
      <c r="F121" s="226"/>
      <c r="G121" s="523"/>
      <c r="H121" s="530"/>
      <c r="I121" s="303"/>
      <c r="J121" s="303"/>
      <c r="K121" s="303"/>
      <c r="L121" s="526"/>
      <c r="M121" s="526" t="str">
        <f t="shared" si="1"/>
        <v>Geoff.Diehl@mahouse.gov</v>
      </c>
      <c r="N121" s="526"/>
      <c r="O121" s="526"/>
      <c r="P121" s="526"/>
      <c r="Q121" s="89"/>
      <c r="R121" s="89"/>
    </row>
    <row r="122">
      <c r="A122" s="14" t="s">
        <v>44</v>
      </c>
      <c r="B122" s="521">
        <v>119.0</v>
      </c>
      <c r="C122" s="264" t="s">
        <v>6837</v>
      </c>
      <c r="D122" s="264" t="s">
        <v>6970</v>
      </c>
      <c r="E122" s="384" t="s">
        <v>53</v>
      </c>
      <c r="F122" s="226"/>
      <c r="G122" s="226"/>
      <c r="H122" s="527"/>
      <c r="I122" s="303"/>
      <c r="J122" s="303"/>
      <c r="K122" s="303"/>
      <c r="L122" s="526"/>
      <c r="M122" s="526" t="str">
        <f t="shared" si="1"/>
        <v>Angelo.D'Emilia@mahouse.gov</v>
      </c>
      <c r="N122" s="526"/>
      <c r="O122" s="526"/>
      <c r="P122" s="526"/>
      <c r="Q122" s="89"/>
      <c r="R122" s="89"/>
    </row>
    <row r="123">
      <c r="A123" s="14" t="s">
        <v>44</v>
      </c>
      <c r="B123" s="521">
        <v>120.0</v>
      </c>
      <c r="C123" s="264" t="s">
        <v>6971</v>
      </c>
      <c r="D123" s="264" t="s">
        <v>4044</v>
      </c>
      <c r="E123" s="394" t="s">
        <v>49</v>
      </c>
      <c r="F123" s="226"/>
      <c r="G123" s="226"/>
      <c r="H123" s="527"/>
      <c r="I123" s="303"/>
      <c r="J123" s="303"/>
      <c r="K123" s="303"/>
      <c r="L123" s="526"/>
      <c r="M123" s="526" t="str">
        <f t="shared" si="1"/>
        <v>Gerry.Cassidy@mahouse.gov</v>
      </c>
      <c r="N123" s="526"/>
      <c r="O123" s="526"/>
      <c r="P123" s="526"/>
      <c r="Q123" s="89"/>
      <c r="R123" s="89"/>
    </row>
    <row r="124">
      <c r="A124" s="14" t="s">
        <v>44</v>
      </c>
      <c r="B124" s="521">
        <v>121.0</v>
      </c>
      <c r="C124" s="264" t="s">
        <v>22</v>
      </c>
      <c r="D124" s="264" t="s">
        <v>6977</v>
      </c>
      <c r="E124" s="394" t="s">
        <v>49</v>
      </c>
      <c r="F124" s="226"/>
      <c r="G124" s="523"/>
      <c r="H124" s="530"/>
      <c r="I124" s="303"/>
      <c r="J124" s="303"/>
      <c r="K124" s="303"/>
      <c r="L124" s="526"/>
      <c r="M124" s="526" t="str">
        <f t="shared" si="1"/>
        <v>Michelle.DuBois@mahouse.gov</v>
      </c>
      <c r="N124" s="526"/>
      <c r="O124" s="526"/>
      <c r="P124" s="526"/>
      <c r="Q124" s="89"/>
      <c r="R124" s="89"/>
    </row>
    <row r="125">
      <c r="A125" s="14" t="s">
        <v>44</v>
      </c>
      <c r="B125" s="521">
        <v>122.0</v>
      </c>
      <c r="C125" s="264" t="s">
        <v>5601</v>
      </c>
      <c r="D125" s="264" t="s">
        <v>6979</v>
      </c>
      <c r="E125" s="394" t="s">
        <v>49</v>
      </c>
      <c r="F125" s="226"/>
      <c r="G125" s="523"/>
      <c r="H125" s="530"/>
      <c r="I125" s="303"/>
      <c r="J125" s="303"/>
      <c r="K125" s="303"/>
      <c r="L125" s="526"/>
      <c r="M125" s="526" t="str">
        <f t="shared" si="1"/>
        <v>Claire.Cronin@mahouse.gov</v>
      </c>
      <c r="N125" s="526"/>
      <c r="O125" s="526"/>
      <c r="P125" s="526"/>
      <c r="Q125" s="89"/>
      <c r="R125" s="89"/>
    </row>
    <row r="126">
      <c r="A126" s="14" t="s">
        <v>44</v>
      </c>
      <c r="B126" s="521">
        <v>123.0</v>
      </c>
      <c r="C126" s="264"/>
      <c r="D126" s="264"/>
      <c r="E126" s="532"/>
      <c r="F126" s="226"/>
      <c r="G126" s="523"/>
      <c r="H126" s="530"/>
      <c r="I126" s="303"/>
      <c r="J126" s="303"/>
      <c r="K126" s="303"/>
      <c r="L126" s="526"/>
      <c r="M126" s="526" t="str">
        <f t="shared" si="1"/>
        <v>.@mahouse.gov</v>
      </c>
      <c r="N126" s="526"/>
      <c r="O126" s="526"/>
      <c r="P126" s="526"/>
      <c r="Q126" s="89"/>
      <c r="R126" s="89"/>
    </row>
    <row r="127">
      <c r="A127" s="14" t="s">
        <v>44</v>
      </c>
      <c r="B127" s="521">
        <v>124.0</v>
      </c>
      <c r="C127" s="264" t="s">
        <v>6980</v>
      </c>
      <c r="D127" s="264" t="s">
        <v>6981</v>
      </c>
      <c r="E127" s="394" t="s">
        <v>49</v>
      </c>
      <c r="F127" s="226"/>
      <c r="G127" s="226"/>
      <c r="H127" s="527"/>
      <c r="I127" s="303"/>
      <c r="J127" s="303"/>
      <c r="K127" s="303"/>
      <c r="L127" s="526"/>
      <c r="M127" s="526" t="str">
        <f t="shared" si="1"/>
        <v>Adrian.Madaro@mahouse.gov</v>
      </c>
      <c r="N127" s="526"/>
      <c r="O127" s="526"/>
      <c r="P127" s="526"/>
      <c r="Q127" s="89"/>
      <c r="R127" s="89"/>
    </row>
    <row r="128">
      <c r="A128" s="14" t="s">
        <v>44</v>
      </c>
      <c r="B128" s="521">
        <v>125.0</v>
      </c>
      <c r="C128" s="542" t="s">
        <v>552</v>
      </c>
      <c r="D128" s="542" t="s">
        <v>2780</v>
      </c>
      <c r="E128" s="394" t="s">
        <v>49</v>
      </c>
      <c r="F128" s="226"/>
      <c r="G128" s="523"/>
      <c r="H128" s="530"/>
      <c r="I128" s="303"/>
      <c r="J128" s="303"/>
      <c r="K128" s="303"/>
      <c r="L128" s="526"/>
      <c r="M128" s="526" t="str">
        <f t="shared" si="1"/>
        <v>Daniel.Ryan@mahouse.gov</v>
      </c>
      <c r="N128" s="526"/>
      <c r="O128" s="526"/>
      <c r="P128" s="526"/>
      <c r="Q128" s="89"/>
      <c r="R128" s="89"/>
    </row>
    <row r="129">
      <c r="A129" s="14" t="s">
        <v>44</v>
      </c>
      <c r="B129" s="521">
        <v>126.0</v>
      </c>
      <c r="C129" s="264" t="s">
        <v>1107</v>
      </c>
      <c r="D129" s="264" t="s">
        <v>6988</v>
      </c>
      <c r="E129" s="394" t="s">
        <v>49</v>
      </c>
      <c r="F129" s="226"/>
      <c r="G129" s="523"/>
      <c r="H129" s="530"/>
      <c r="I129" s="303"/>
      <c r="J129" s="303"/>
      <c r="K129" s="303"/>
      <c r="L129" s="526"/>
      <c r="M129" s="526" t="str">
        <f t="shared" si="1"/>
        <v>Aaron.Michlewitz@mahouse.gov</v>
      </c>
      <c r="N129" s="526"/>
      <c r="O129" s="526"/>
      <c r="P129" s="526"/>
      <c r="Q129" s="89"/>
      <c r="R129" s="89"/>
    </row>
    <row r="130">
      <c r="A130" s="14" t="s">
        <v>44</v>
      </c>
      <c r="B130" s="521">
        <v>127.0</v>
      </c>
      <c r="C130" s="264"/>
      <c r="D130" s="264"/>
      <c r="E130" s="532"/>
      <c r="F130" s="226"/>
      <c r="G130" s="523"/>
      <c r="H130" s="530"/>
      <c r="I130" s="303"/>
      <c r="J130" s="303"/>
      <c r="K130" s="303"/>
      <c r="L130" s="526"/>
      <c r="M130" s="526" t="str">
        <f t="shared" si="1"/>
        <v>.@mahouse.gov</v>
      </c>
      <c r="N130" s="526"/>
      <c r="O130" s="526"/>
      <c r="P130" s="526"/>
      <c r="Q130" s="89"/>
      <c r="R130" s="89"/>
    </row>
    <row r="131">
      <c r="A131" s="14" t="s">
        <v>44</v>
      </c>
      <c r="B131" s="521">
        <v>128.0</v>
      </c>
      <c r="C131" s="264" t="s">
        <v>6989</v>
      </c>
      <c r="D131" s="264" t="s">
        <v>6990</v>
      </c>
      <c r="E131" s="394" t="s">
        <v>49</v>
      </c>
      <c r="F131" s="226"/>
      <c r="G131" s="523"/>
      <c r="H131" s="530"/>
      <c r="I131" s="303"/>
      <c r="J131" s="303"/>
      <c r="K131" s="303"/>
      <c r="L131" s="526"/>
      <c r="M131" s="526" t="str">
        <f t="shared" si="1"/>
        <v>Evandro.Carvalho@mahouse.gov</v>
      </c>
      <c r="N131" s="526"/>
      <c r="O131" s="526"/>
      <c r="P131" s="526"/>
      <c r="Q131" s="89"/>
      <c r="R131" s="89"/>
    </row>
    <row r="132">
      <c r="A132" s="14" t="s">
        <v>44</v>
      </c>
      <c r="B132" s="521">
        <v>129.0</v>
      </c>
      <c r="C132" s="264" t="s">
        <v>1054</v>
      </c>
      <c r="D132" s="264" t="s">
        <v>379</v>
      </c>
      <c r="E132" s="394" t="s">
        <v>49</v>
      </c>
      <c r="F132" s="226"/>
      <c r="G132" s="523"/>
      <c r="H132" s="530"/>
      <c r="I132" s="303"/>
      <c r="J132" s="303"/>
      <c r="K132" s="303"/>
      <c r="L132" s="526"/>
      <c r="M132" s="526" t="str">
        <f t="shared" si="1"/>
        <v>Russell.Holmes@mahouse.gov</v>
      </c>
      <c r="N132" s="526"/>
      <c r="O132" s="526"/>
      <c r="P132" s="526"/>
      <c r="Q132" s="89"/>
      <c r="R132" s="89"/>
    </row>
    <row r="133">
      <c r="A133" s="14" t="s">
        <v>44</v>
      </c>
      <c r="B133" s="521">
        <v>130.0</v>
      </c>
      <c r="C133" s="264" t="s">
        <v>6995</v>
      </c>
      <c r="D133" s="264" t="s">
        <v>1323</v>
      </c>
      <c r="E133" s="394" t="s">
        <v>49</v>
      </c>
      <c r="F133" s="226"/>
      <c r="G133" s="523"/>
      <c r="H133" s="530"/>
      <c r="I133" s="303"/>
      <c r="J133" s="303"/>
      <c r="K133" s="303"/>
      <c r="L133" s="526"/>
      <c r="M133" s="526" t="str">
        <f t="shared" si="1"/>
        <v>Chynah.Tyler@mahouse.gov</v>
      </c>
      <c r="N133" s="526"/>
      <c r="O133" s="526"/>
      <c r="P133" s="526"/>
      <c r="Q133" s="89"/>
      <c r="R133" s="89"/>
    </row>
    <row r="134">
      <c r="A134" s="14" t="s">
        <v>44</v>
      </c>
      <c r="B134" s="521">
        <v>131.0</v>
      </c>
      <c r="C134" s="264" t="s">
        <v>1013</v>
      </c>
      <c r="D134" s="264" t="s">
        <v>6999</v>
      </c>
      <c r="E134" s="394" t="s">
        <v>49</v>
      </c>
      <c r="F134" s="226"/>
      <c r="G134" s="523"/>
      <c r="H134" s="530"/>
      <c r="I134" s="303"/>
      <c r="J134" s="303"/>
      <c r="K134" s="303"/>
      <c r="L134" s="526"/>
      <c r="M134" s="526" t="str">
        <f t="shared" si="1"/>
        <v>Jay.Livingstone@mahouse.gov</v>
      </c>
      <c r="N134" s="526"/>
      <c r="O134" s="526"/>
      <c r="P134" s="526"/>
      <c r="Q134" s="89"/>
      <c r="R134" s="89"/>
    </row>
    <row r="135">
      <c r="A135" s="14" t="s">
        <v>44</v>
      </c>
      <c r="B135" s="521">
        <v>132.0</v>
      </c>
      <c r="C135" s="264" t="s">
        <v>2537</v>
      </c>
      <c r="D135" s="264" t="s">
        <v>1215</v>
      </c>
      <c r="E135" s="394" t="s">
        <v>49</v>
      </c>
      <c r="F135" s="226"/>
      <c r="G135" s="523"/>
      <c r="H135" s="530"/>
      <c r="I135" s="303"/>
      <c r="J135" s="303"/>
      <c r="K135" s="303"/>
      <c r="L135" s="526"/>
      <c r="M135" s="526" t="str">
        <f t="shared" si="1"/>
        <v>Byron.Rushing@mahouse.gov</v>
      </c>
      <c r="N135" s="526"/>
      <c r="O135" s="526"/>
      <c r="P135" s="526"/>
      <c r="Q135" s="89"/>
      <c r="R135" s="89"/>
    </row>
    <row r="136">
      <c r="A136" s="14" t="s">
        <v>44</v>
      </c>
      <c r="B136" s="521">
        <v>133.0</v>
      </c>
      <c r="C136" s="264" t="s">
        <v>2705</v>
      </c>
      <c r="D136" s="264" t="s">
        <v>7002</v>
      </c>
      <c r="E136" s="394" t="s">
        <v>49</v>
      </c>
      <c r="F136" s="226"/>
      <c r="G136" s="523"/>
      <c r="H136" s="530"/>
      <c r="I136" s="303"/>
      <c r="J136" s="303"/>
      <c r="K136" s="303"/>
      <c r="L136" s="526"/>
      <c r="M136" s="526" t="str">
        <f t="shared" si="1"/>
        <v>Edward.Coppinger@mahouse.gov</v>
      </c>
      <c r="N136" s="526"/>
      <c r="O136" s="526"/>
      <c r="P136" s="526"/>
      <c r="Q136" s="89"/>
      <c r="R136" s="89"/>
    </row>
    <row r="137">
      <c r="A137" s="14" t="s">
        <v>44</v>
      </c>
      <c r="B137" s="521">
        <v>134.0</v>
      </c>
      <c r="C137" s="264" t="s">
        <v>2830</v>
      </c>
      <c r="D137" s="264" t="s">
        <v>7003</v>
      </c>
      <c r="E137" s="394" t="s">
        <v>49</v>
      </c>
      <c r="F137" s="226"/>
      <c r="G137" s="523"/>
      <c r="H137" s="530"/>
      <c r="I137" s="303"/>
      <c r="J137" s="303"/>
      <c r="K137" s="303"/>
      <c r="L137" s="526"/>
      <c r="M137" s="526" t="str">
        <f t="shared" si="1"/>
        <v>Elizabeth.Malia@mahouse.gov</v>
      </c>
      <c r="N137" s="526"/>
      <c r="O137" s="526"/>
      <c r="P137" s="526"/>
      <c r="Q137" s="89"/>
      <c r="R137" s="89"/>
    </row>
    <row r="138">
      <c r="A138" s="14" t="s">
        <v>44</v>
      </c>
      <c r="B138" s="521">
        <v>135.0</v>
      </c>
      <c r="C138" s="264" t="s">
        <v>239</v>
      </c>
      <c r="D138" s="264" t="s">
        <v>7004</v>
      </c>
      <c r="E138" s="394" t="s">
        <v>49</v>
      </c>
      <c r="F138" s="226"/>
      <c r="G138" s="523"/>
      <c r="H138" s="530"/>
      <c r="I138" s="303"/>
      <c r="J138" s="303"/>
      <c r="K138" s="303"/>
      <c r="L138" s="526"/>
      <c r="M138" s="526" t="str">
        <f t="shared" si="1"/>
        <v>Dan.Cullinane@mahouse.gov</v>
      </c>
      <c r="N138" s="526"/>
      <c r="O138" s="526"/>
      <c r="P138" s="526"/>
      <c r="Q138" s="89"/>
      <c r="R138" s="89"/>
    </row>
    <row r="139">
      <c r="A139" s="14" t="s">
        <v>44</v>
      </c>
      <c r="B139" s="521">
        <v>136.0</v>
      </c>
      <c r="C139" s="264" t="s">
        <v>552</v>
      </c>
      <c r="D139" s="264" t="s">
        <v>6693</v>
      </c>
      <c r="E139" s="394" t="s">
        <v>49</v>
      </c>
      <c r="F139" s="226"/>
      <c r="G139" s="226"/>
      <c r="H139" s="527"/>
      <c r="I139" s="303"/>
      <c r="J139" s="303"/>
      <c r="K139" s="303"/>
      <c r="L139" s="526"/>
      <c r="M139" s="526" t="str">
        <f t="shared" si="1"/>
        <v>Daniel.Hunt@mahouse.gov</v>
      </c>
      <c r="N139" s="526"/>
      <c r="O139" s="526"/>
      <c r="P139" s="526"/>
      <c r="Q139" s="89"/>
      <c r="R139" s="89"/>
    </row>
    <row r="140">
      <c r="A140" s="14" t="s">
        <v>44</v>
      </c>
      <c r="B140" s="521">
        <v>137.0</v>
      </c>
      <c r="C140" s="264" t="s">
        <v>6837</v>
      </c>
      <c r="D140" s="264" t="s">
        <v>7010</v>
      </c>
      <c r="E140" s="394" t="s">
        <v>49</v>
      </c>
      <c r="F140" s="226"/>
      <c r="G140" s="226"/>
      <c r="H140" s="527"/>
      <c r="I140" s="303"/>
      <c r="J140" s="303"/>
      <c r="K140" s="303"/>
      <c r="L140" s="526"/>
      <c r="M140" s="526" t="str">
        <f t="shared" si="1"/>
        <v>Angelo.Scaccia@mahouse.gov</v>
      </c>
      <c r="N140" s="526"/>
      <c r="O140" s="526"/>
      <c r="P140" s="526"/>
      <c r="Q140" s="89"/>
      <c r="R140" s="89"/>
    </row>
    <row r="141">
      <c r="A141" s="14" t="s">
        <v>44</v>
      </c>
      <c r="B141" s="521">
        <v>138.0</v>
      </c>
      <c r="C141" s="264" t="s">
        <v>2512</v>
      </c>
      <c r="D141" s="264" t="s">
        <v>7011</v>
      </c>
      <c r="E141" s="394" t="s">
        <v>49</v>
      </c>
      <c r="F141" s="226"/>
      <c r="G141" s="523"/>
      <c r="H141" s="530"/>
      <c r="I141" s="303"/>
      <c r="J141" s="303"/>
      <c r="K141" s="303"/>
      <c r="L141" s="526"/>
      <c r="M141" s="526" t="str">
        <f t="shared" si="1"/>
        <v>Jeffrey.Sánchez@mahouse.gov</v>
      </c>
      <c r="N141" s="526"/>
      <c r="O141" s="526"/>
      <c r="P141" s="526"/>
      <c r="Q141" s="89"/>
      <c r="R141" s="89"/>
    </row>
    <row r="142">
      <c r="A142" s="14" t="s">
        <v>44</v>
      </c>
      <c r="B142" s="521">
        <v>139.0</v>
      </c>
      <c r="C142" s="264" t="s">
        <v>7015</v>
      </c>
      <c r="D142" s="264" t="s">
        <v>2635</v>
      </c>
      <c r="E142" s="394" t="s">
        <v>49</v>
      </c>
      <c r="F142" s="226"/>
      <c r="G142" s="523"/>
      <c r="H142" s="530"/>
      <c r="I142" s="303"/>
      <c r="J142" s="303"/>
      <c r="K142" s="303"/>
      <c r="L142" s="526"/>
      <c r="M142" s="526" t="str">
        <f t="shared" si="1"/>
        <v>RoseLee.Vincent@mahouse.gov</v>
      </c>
      <c r="N142" s="526"/>
      <c r="O142" s="526"/>
      <c r="P142" s="526"/>
      <c r="Q142" s="89"/>
      <c r="R142" s="89"/>
    </row>
    <row r="143">
      <c r="A143" s="14" t="s">
        <v>44</v>
      </c>
      <c r="B143" s="521">
        <v>140.0</v>
      </c>
      <c r="C143" s="264" t="s">
        <v>971</v>
      </c>
      <c r="D143" s="264" t="s">
        <v>7019</v>
      </c>
      <c r="E143" s="394" t="s">
        <v>49</v>
      </c>
      <c r="F143" s="226"/>
      <c r="G143" s="523"/>
      <c r="H143" s="530"/>
      <c r="I143" s="303"/>
      <c r="J143" s="303"/>
      <c r="K143" s="303"/>
      <c r="L143" s="526"/>
      <c r="M143" s="526" t="str">
        <f t="shared" si="1"/>
        <v>Kevin.Honan@mahouse.gov</v>
      </c>
      <c r="N143" s="526"/>
      <c r="O143" s="526"/>
      <c r="P143" s="526"/>
      <c r="Q143" s="89"/>
      <c r="R143" s="89"/>
    </row>
    <row r="144">
      <c r="A144" s="14" t="s">
        <v>44</v>
      </c>
      <c r="B144" s="521">
        <v>141.0</v>
      </c>
      <c r="C144" s="264" t="s">
        <v>2490</v>
      </c>
      <c r="D144" s="264" t="s">
        <v>5541</v>
      </c>
      <c r="E144" s="394" t="s">
        <v>49</v>
      </c>
      <c r="F144" s="226"/>
      <c r="G144" s="226"/>
      <c r="H144" s="527"/>
      <c r="I144" s="303"/>
      <c r="J144" s="303"/>
      <c r="K144" s="303"/>
      <c r="L144" s="526"/>
      <c r="M144" s="526" t="str">
        <f t="shared" si="1"/>
        <v>Michael.Moran@mahouse.gov</v>
      </c>
      <c r="N144" s="526"/>
      <c r="O144" s="526"/>
      <c r="P144" s="526"/>
      <c r="Q144" s="89"/>
      <c r="R144" s="89"/>
    </row>
    <row r="145">
      <c r="A145" s="14" t="s">
        <v>44</v>
      </c>
      <c r="B145" s="521">
        <v>142.0</v>
      </c>
      <c r="C145" s="264" t="s">
        <v>1134</v>
      </c>
      <c r="D145" s="264" t="s">
        <v>7022</v>
      </c>
      <c r="E145" s="394" t="s">
        <v>49</v>
      </c>
      <c r="F145" s="226" t="s">
        <v>1056</v>
      </c>
      <c r="G145" s="523"/>
      <c r="H145" s="530"/>
      <c r="I145" s="303"/>
      <c r="J145" s="303"/>
      <c r="K145" s="303"/>
      <c r="L145" s="526"/>
      <c r="M145" s="526" t="str">
        <f t="shared" si="1"/>
        <v>Robert.DeLeo@mahouse.gov</v>
      </c>
      <c r="N145" s="526"/>
      <c r="O145" s="526"/>
      <c r="P145" s="526"/>
      <c r="Q145" s="89"/>
      <c r="R145" s="89"/>
    </row>
    <row r="146">
      <c r="A146" s="14" t="s">
        <v>44</v>
      </c>
      <c r="B146" s="521">
        <v>143.0</v>
      </c>
      <c r="C146" s="264" t="s">
        <v>2689</v>
      </c>
      <c r="D146" s="264" t="s">
        <v>1079</v>
      </c>
      <c r="E146" s="384" t="s">
        <v>53</v>
      </c>
      <c r="F146" s="226"/>
      <c r="G146" s="523"/>
      <c r="H146" s="530"/>
      <c r="I146" s="303"/>
      <c r="J146" s="303"/>
      <c r="K146" s="303"/>
      <c r="L146" s="526"/>
      <c r="M146" s="526" t="str">
        <f t="shared" si="1"/>
        <v>Kimberly.Ferguson@mahouse.gov</v>
      </c>
      <c r="N146" s="526"/>
      <c r="O146" s="526"/>
      <c r="P146" s="526"/>
      <c r="Q146" s="89"/>
      <c r="R146" s="89"/>
    </row>
    <row r="147">
      <c r="A147" s="14" t="s">
        <v>44</v>
      </c>
      <c r="B147" s="521">
        <v>144.0</v>
      </c>
      <c r="C147" s="264" t="s">
        <v>235</v>
      </c>
      <c r="D147" s="264" t="s">
        <v>7026</v>
      </c>
      <c r="E147" s="394" t="s">
        <v>49</v>
      </c>
      <c r="F147" s="226"/>
      <c r="G147" s="523"/>
      <c r="H147" s="530"/>
      <c r="I147" s="303"/>
      <c r="J147" s="303"/>
      <c r="K147" s="303"/>
      <c r="L147" s="526"/>
      <c r="M147" s="526" t="str">
        <f t="shared" si="1"/>
        <v>Jonathan.Zlotnik@mahouse.gov</v>
      </c>
      <c r="N147" s="526"/>
      <c r="O147" s="526"/>
      <c r="P147" s="526"/>
      <c r="Q147" s="89"/>
      <c r="R147" s="89"/>
    </row>
    <row r="148">
      <c r="A148" s="14" t="s">
        <v>44</v>
      </c>
      <c r="B148" s="521">
        <v>145.0</v>
      </c>
      <c r="C148" s="264" t="s">
        <v>7029</v>
      </c>
      <c r="D148" s="264" t="s">
        <v>7032</v>
      </c>
      <c r="E148" s="394" t="s">
        <v>49</v>
      </c>
      <c r="F148" s="226"/>
      <c r="G148" s="226"/>
      <c r="H148" s="527"/>
      <c r="I148" s="303"/>
      <c r="J148" s="303"/>
      <c r="K148" s="303"/>
      <c r="L148" s="526"/>
      <c r="M148" s="526" t="str">
        <f t="shared" si="1"/>
        <v>Stephan.Hay@mahouse.gov</v>
      </c>
      <c r="N148" s="526"/>
      <c r="O148" s="526"/>
      <c r="P148" s="526"/>
      <c r="Q148" s="89"/>
      <c r="R148" s="89"/>
    </row>
    <row r="149">
      <c r="A149" s="14" t="s">
        <v>44</v>
      </c>
      <c r="B149" s="521">
        <v>146.0</v>
      </c>
      <c r="C149" s="264" t="s">
        <v>4433</v>
      </c>
      <c r="D149" s="264" t="s">
        <v>6799</v>
      </c>
      <c r="E149" s="394" t="s">
        <v>49</v>
      </c>
      <c r="F149" s="226"/>
      <c r="G149" s="523"/>
      <c r="H149" s="530"/>
      <c r="I149" s="303"/>
      <c r="J149" s="303"/>
      <c r="K149" s="303"/>
      <c r="L149" s="526"/>
      <c r="M149" s="526" t="str">
        <f t="shared" si="1"/>
        <v>Natalie.Higgins@mahouse.gov</v>
      </c>
      <c r="N149" s="526"/>
      <c r="O149" s="526"/>
      <c r="P149" s="526"/>
      <c r="Q149" s="89"/>
      <c r="R149" s="89"/>
    </row>
    <row r="150">
      <c r="A150" s="14" t="s">
        <v>44</v>
      </c>
      <c r="B150" s="521">
        <v>147.0</v>
      </c>
      <c r="C150" s="264" t="s">
        <v>2139</v>
      </c>
      <c r="D150" s="264" t="s">
        <v>7038</v>
      </c>
      <c r="E150" s="384" t="s">
        <v>53</v>
      </c>
      <c r="F150" s="226"/>
      <c r="G150" s="523"/>
      <c r="H150" s="530"/>
      <c r="I150" s="303"/>
      <c r="J150" s="303"/>
      <c r="K150" s="303"/>
      <c r="L150" s="526"/>
      <c r="M150" s="526" t="str">
        <f t="shared" si="1"/>
        <v>Donald.Berthiaume@mahouse.gov</v>
      </c>
      <c r="N150" s="526"/>
      <c r="O150" s="526"/>
      <c r="P150" s="526"/>
      <c r="Q150" s="89"/>
      <c r="R150" s="89"/>
    </row>
    <row r="151">
      <c r="A151" s="14" t="s">
        <v>44</v>
      </c>
      <c r="B151" s="521">
        <v>148.0</v>
      </c>
      <c r="C151" s="264" t="s">
        <v>367</v>
      </c>
      <c r="D151" s="264" t="s">
        <v>7042</v>
      </c>
      <c r="E151" s="384" t="s">
        <v>53</v>
      </c>
      <c r="F151" s="226"/>
      <c r="G151" s="523"/>
      <c r="H151" s="530"/>
      <c r="I151" s="303"/>
      <c r="J151" s="303"/>
      <c r="K151" s="303"/>
      <c r="L151" s="526"/>
      <c r="M151" s="526" t="str">
        <f t="shared" si="1"/>
        <v>Peter.Durant@mahouse.gov</v>
      </c>
      <c r="N151" s="526"/>
      <c r="O151" s="526"/>
      <c r="P151" s="526"/>
      <c r="Q151" s="89"/>
      <c r="R151" s="89"/>
    </row>
    <row r="152">
      <c r="A152" s="14" t="s">
        <v>44</v>
      </c>
      <c r="B152" s="521">
        <v>149.0</v>
      </c>
      <c r="C152" s="264" t="s">
        <v>679</v>
      </c>
      <c r="D152" s="264" t="s">
        <v>7043</v>
      </c>
      <c r="E152" s="384" t="s">
        <v>53</v>
      </c>
      <c r="F152" s="226"/>
      <c r="G152" s="523"/>
      <c r="H152" s="530"/>
      <c r="I152" s="303"/>
      <c r="J152" s="303"/>
      <c r="K152" s="303"/>
      <c r="L152" s="526"/>
      <c r="M152" s="526" t="str">
        <f t="shared" si="1"/>
        <v>Paul.Frost@mahouse.gov</v>
      </c>
      <c r="N152" s="526"/>
      <c r="O152" s="526"/>
      <c r="P152" s="526"/>
      <c r="Q152" s="89"/>
      <c r="R152" s="89"/>
    </row>
    <row r="153">
      <c r="A153" s="14" t="s">
        <v>44</v>
      </c>
      <c r="B153" s="521">
        <v>150.0</v>
      </c>
      <c r="C153" s="264" t="s">
        <v>971</v>
      </c>
      <c r="D153" s="264" t="s">
        <v>7047</v>
      </c>
      <c r="E153" s="384" t="s">
        <v>53</v>
      </c>
      <c r="F153" s="226"/>
      <c r="G153" s="523"/>
      <c r="H153" s="530"/>
      <c r="I153" s="303"/>
      <c r="J153" s="303"/>
      <c r="K153" s="303"/>
      <c r="L153" s="526"/>
      <c r="M153" s="526" t="str">
        <f t="shared" si="1"/>
        <v>Kevin.Kuros@mahouse.gov</v>
      </c>
      <c r="N153" s="526"/>
      <c r="O153" s="526"/>
      <c r="P153" s="526"/>
      <c r="Q153" s="89"/>
      <c r="R153" s="89"/>
    </row>
    <row r="154">
      <c r="A154" s="14" t="s">
        <v>44</v>
      </c>
      <c r="B154" s="521">
        <v>151.0</v>
      </c>
      <c r="C154" s="264" t="s">
        <v>108</v>
      </c>
      <c r="D154" s="264" t="s">
        <v>7051</v>
      </c>
      <c r="E154" s="384" t="s">
        <v>53</v>
      </c>
      <c r="F154" s="226"/>
      <c r="G154" s="523"/>
      <c r="H154" s="530"/>
      <c r="I154" s="303"/>
      <c r="J154" s="303"/>
      <c r="K154" s="303"/>
      <c r="L154" s="526"/>
      <c r="M154" s="526" t="str">
        <f t="shared" si="1"/>
        <v>David.Muradian@mahouse.gov</v>
      </c>
      <c r="N154" s="526"/>
      <c r="O154" s="526"/>
      <c r="P154" s="526"/>
      <c r="Q154" s="89"/>
      <c r="R154" s="89"/>
    </row>
    <row r="155">
      <c r="A155" s="14" t="s">
        <v>44</v>
      </c>
      <c r="B155" s="552">
        <v>152.0</v>
      </c>
      <c r="C155" s="264" t="s">
        <v>1331</v>
      </c>
      <c r="D155" s="264" t="s">
        <v>7063</v>
      </c>
      <c r="E155" s="394" t="s">
        <v>49</v>
      </c>
      <c r="F155" s="226"/>
      <c r="G155" s="523"/>
      <c r="H155" s="530"/>
      <c r="I155" s="303"/>
      <c r="J155" s="303"/>
      <c r="K155" s="303"/>
      <c r="L155" s="526"/>
      <c r="M155" s="526" t="str">
        <f t="shared" si="1"/>
        <v>Brian.Murray@mahouse.gov</v>
      </c>
      <c r="N155" s="526"/>
      <c r="O155" s="526"/>
      <c r="P155" s="526"/>
      <c r="Q155" s="89"/>
      <c r="R155" s="89"/>
    </row>
    <row r="156">
      <c r="A156" s="14" t="s">
        <v>44</v>
      </c>
      <c r="B156" s="552">
        <v>153.0</v>
      </c>
      <c r="C156" s="264" t="s">
        <v>7065</v>
      </c>
      <c r="D156" s="264" t="s">
        <v>7072</v>
      </c>
      <c r="E156" s="384" t="s">
        <v>53</v>
      </c>
      <c r="F156" s="226"/>
      <c r="G156" s="226"/>
      <c r="H156" s="527"/>
      <c r="I156" s="303"/>
      <c r="J156" s="303"/>
      <c r="K156" s="303"/>
      <c r="L156" s="526"/>
      <c r="M156" s="526" t="str">
        <f t="shared" si="1"/>
        <v>Hannah.Kane@mahouse.gov</v>
      </c>
      <c r="N156" s="526"/>
      <c r="O156" s="526"/>
      <c r="P156" s="526"/>
      <c r="Q156" s="89"/>
      <c r="R156" s="89"/>
    </row>
    <row r="157">
      <c r="A157" s="14" t="s">
        <v>44</v>
      </c>
      <c r="B157" s="552">
        <v>154.0</v>
      </c>
      <c r="C157" s="264" t="s">
        <v>4516</v>
      </c>
      <c r="D157" s="264" t="s">
        <v>7079</v>
      </c>
      <c r="E157" s="394" t="s">
        <v>49</v>
      </c>
      <c r="F157" s="226"/>
      <c r="G157" s="226"/>
      <c r="H157" s="527"/>
      <c r="I157" s="303"/>
      <c r="J157" s="303"/>
      <c r="K157" s="303"/>
      <c r="L157" s="526"/>
      <c r="M157" s="526" t="str">
        <f t="shared" si="1"/>
        <v>Harold.Naughton@mahouse.gov</v>
      </c>
      <c r="N157" s="526"/>
      <c r="O157" s="526"/>
      <c r="P157" s="526"/>
      <c r="Q157" s="89"/>
      <c r="R157" s="89"/>
    </row>
    <row r="158">
      <c r="A158" s="14" t="s">
        <v>44</v>
      </c>
      <c r="B158" s="552">
        <v>155.0</v>
      </c>
      <c r="C158" s="264" t="s">
        <v>278</v>
      </c>
      <c r="D158" s="264" t="s">
        <v>7086</v>
      </c>
      <c r="E158" s="394" t="s">
        <v>49</v>
      </c>
      <c r="F158" s="226"/>
      <c r="G158" s="523"/>
      <c r="H158" s="530"/>
      <c r="I158" s="303"/>
      <c r="J158" s="303"/>
      <c r="K158" s="303"/>
      <c r="L158" s="526"/>
      <c r="M158" s="526" t="str">
        <f t="shared" si="1"/>
        <v>John.Mahoney@mahouse.gov</v>
      </c>
      <c r="N158" s="526"/>
      <c r="O158" s="526"/>
      <c r="P158" s="526"/>
      <c r="Q158" s="89"/>
      <c r="R158" s="89"/>
    </row>
    <row r="159">
      <c r="A159" s="14" t="s">
        <v>44</v>
      </c>
      <c r="B159" s="552">
        <v>156.0</v>
      </c>
      <c r="C159" s="264" t="s">
        <v>930</v>
      </c>
      <c r="D159" s="264" t="s">
        <v>7092</v>
      </c>
      <c r="E159" s="394" t="s">
        <v>49</v>
      </c>
      <c r="F159" s="226"/>
      <c r="G159" s="523"/>
      <c r="H159" s="530"/>
      <c r="I159" s="303"/>
      <c r="J159" s="303"/>
      <c r="K159" s="303"/>
      <c r="L159" s="526"/>
      <c r="M159" s="526" t="str">
        <f t="shared" si="1"/>
        <v>James.O'Day@mahouse.gov</v>
      </c>
      <c r="N159" s="526"/>
      <c r="O159" s="526"/>
      <c r="P159" s="526"/>
      <c r="Q159" s="89"/>
      <c r="R159" s="89"/>
    </row>
    <row r="160">
      <c r="A160" s="14" t="s">
        <v>44</v>
      </c>
      <c r="B160" s="552">
        <v>157.0</v>
      </c>
      <c r="C160" s="264" t="s">
        <v>514</v>
      </c>
      <c r="D160" s="264" t="s">
        <v>7099</v>
      </c>
      <c r="E160" s="394" t="s">
        <v>49</v>
      </c>
      <c r="F160" s="226"/>
      <c r="G160" s="523"/>
      <c r="H160" s="530"/>
      <c r="I160" s="303"/>
      <c r="J160" s="303"/>
      <c r="K160" s="303"/>
      <c r="L160" s="526"/>
      <c r="M160" s="526" t="str">
        <f t="shared" si="1"/>
        <v>Mary.Keefe@mahouse.gov</v>
      </c>
      <c r="N160" s="526"/>
      <c r="O160" s="526"/>
      <c r="P160" s="526"/>
      <c r="Q160" s="89"/>
      <c r="R160" s="89"/>
    </row>
    <row r="161">
      <c r="A161" s="14" t="s">
        <v>44</v>
      </c>
      <c r="B161" s="552">
        <v>158.0</v>
      </c>
      <c r="C161" s="264" t="s">
        <v>552</v>
      </c>
      <c r="D161" s="264" t="s">
        <v>6632</v>
      </c>
      <c r="E161" s="394" t="s">
        <v>49</v>
      </c>
      <c r="F161" s="226"/>
      <c r="G161" s="523"/>
      <c r="H161" s="530"/>
      <c r="I161" s="303"/>
      <c r="J161" s="303"/>
      <c r="K161" s="303"/>
      <c r="L161" s="526"/>
      <c r="M161" s="526" t="str">
        <f t="shared" si="1"/>
        <v>Daniel.Donahue@mahouse.gov</v>
      </c>
      <c r="N161" s="526"/>
      <c r="O161" s="526"/>
      <c r="P161" s="526"/>
      <c r="Q161" s="89"/>
      <c r="R161" s="89"/>
    </row>
    <row r="162">
      <c r="A162" s="14" t="s">
        <v>44</v>
      </c>
      <c r="B162" s="552">
        <v>159.0</v>
      </c>
      <c r="C162" s="264" t="s">
        <v>1354</v>
      </c>
      <c r="D162" s="264" t="s">
        <v>7110</v>
      </c>
      <c r="E162" s="384" t="s">
        <v>53</v>
      </c>
      <c r="F162" s="226"/>
      <c r="G162" s="226"/>
      <c r="H162" s="527"/>
      <c r="I162" s="303"/>
      <c r="J162" s="303"/>
      <c r="K162" s="303"/>
      <c r="L162" s="526"/>
      <c r="M162" s="526" t="str">
        <f t="shared" si="1"/>
        <v>Kate.Campanale@mahouse.gov</v>
      </c>
      <c r="N162" s="526"/>
      <c r="O162" s="526"/>
      <c r="P162" s="526"/>
      <c r="Q162" s="89"/>
      <c r="R162" s="89"/>
    </row>
    <row r="163">
      <c r="A163" s="14" t="s">
        <v>44</v>
      </c>
      <c r="B163" s="552">
        <v>160.0</v>
      </c>
      <c r="C163" s="264" t="s">
        <v>2527</v>
      </c>
      <c r="D163" s="264" t="s">
        <v>7115</v>
      </c>
      <c r="E163" s="384" t="s">
        <v>53</v>
      </c>
      <c r="F163" s="226"/>
      <c r="G163" s="523"/>
      <c r="H163" s="303"/>
      <c r="I163" s="303"/>
      <c r="J163" s="303"/>
      <c r="K163" s="303"/>
      <c r="L163" s="526"/>
      <c r="M163" s="526" t="str">
        <f t="shared" si="1"/>
        <v>Joseph.McKenna@mahouse.gov</v>
      </c>
      <c r="N163" s="526"/>
      <c r="O163" s="526"/>
      <c r="P163" s="526"/>
      <c r="Q163" s="89"/>
      <c r="R163" s="89"/>
    </row>
    <row r="164">
      <c r="A164" s="70"/>
      <c r="B164" s="553"/>
      <c r="C164" s="371"/>
      <c r="D164" s="371"/>
      <c r="E164" s="104"/>
      <c r="F164" s="345"/>
      <c r="G164" s="345"/>
      <c r="H164" s="345"/>
      <c r="I164" s="345"/>
      <c r="J164" s="345"/>
      <c r="K164" s="345"/>
      <c r="L164" s="345"/>
      <c r="M164" s="345"/>
      <c r="N164" s="345"/>
      <c r="O164" s="345"/>
      <c r="P164" s="345"/>
      <c r="Q164" s="345"/>
      <c r="R164" s="345"/>
      <c r="S164" s="345"/>
      <c r="T164" s="70"/>
      <c r="U164" s="70"/>
      <c r="V164" s="70"/>
      <c r="W164" s="70"/>
      <c r="X164" s="70"/>
      <c r="Y164" s="70"/>
      <c r="Z164" s="70"/>
      <c r="AA164" s="70"/>
      <c r="AB164" s="70"/>
      <c r="AC164" s="70"/>
      <c r="AD164" s="70"/>
    </row>
    <row r="165">
      <c r="A165" s="14" t="s">
        <v>286</v>
      </c>
      <c r="B165" s="521">
        <v>1.0</v>
      </c>
      <c r="C165" s="264" t="s">
        <v>69</v>
      </c>
      <c r="D165" s="264" t="s">
        <v>7126</v>
      </c>
      <c r="E165" s="394" t="s">
        <v>49</v>
      </c>
      <c r="F165" s="226"/>
      <c r="G165" s="523"/>
      <c r="H165" s="530"/>
      <c r="I165" s="303"/>
      <c r="J165" s="303"/>
      <c r="K165" s="303"/>
      <c r="L165" s="526"/>
      <c r="M165" s="526" t="str">
        <f t="shared" ref="M165:M204" si="2">concatenate(C165,".",D165,"@masenate.gov")</f>
        <v>Adam.Hinds@masenate.gov</v>
      </c>
      <c r="N165" s="526"/>
      <c r="O165" s="526"/>
      <c r="P165" s="526"/>
      <c r="Q165" s="89"/>
      <c r="R165" s="89"/>
    </row>
    <row r="166">
      <c r="A166" s="14" t="s">
        <v>286</v>
      </c>
      <c r="B166" s="521">
        <v>2.0</v>
      </c>
      <c r="C166" s="264" t="s">
        <v>679</v>
      </c>
      <c r="D166" s="264" t="s">
        <v>7136</v>
      </c>
      <c r="E166" s="394" t="s">
        <v>49</v>
      </c>
      <c r="F166" s="226"/>
      <c r="G166" s="226"/>
      <c r="H166" s="527"/>
      <c r="I166" s="303"/>
      <c r="J166" s="303"/>
      <c r="K166" s="303"/>
      <c r="L166" s="526"/>
      <c r="M166" s="526" t="str">
        <f t="shared" si="2"/>
        <v>Paul.Feeney@masenate.gov</v>
      </c>
      <c r="N166" s="526"/>
      <c r="O166" s="526"/>
      <c r="P166" s="526"/>
      <c r="Q166" s="89"/>
      <c r="R166" s="89"/>
    </row>
    <row r="167">
      <c r="A167" s="14" t="s">
        <v>286</v>
      </c>
      <c r="B167" s="521">
        <v>3.0</v>
      </c>
      <c r="C167" s="264" t="s">
        <v>2490</v>
      </c>
      <c r="D167" s="264" t="s">
        <v>3044</v>
      </c>
      <c r="E167" s="394" t="s">
        <v>49</v>
      </c>
      <c r="F167" s="226"/>
      <c r="G167" s="226"/>
      <c r="H167" s="527"/>
      <c r="I167" s="303"/>
      <c r="J167" s="303"/>
      <c r="K167" s="303"/>
      <c r="L167" s="526"/>
      <c r="M167" s="526" t="str">
        <f t="shared" si="2"/>
        <v>Michael.Rodrigues@masenate.gov</v>
      </c>
      <c r="N167" s="526"/>
      <c r="O167" s="526"/>
      <c r="P167" s="526"/>
      <c r="Q167" s="89"/>
      <c r="R167" s="89"/>
    </row>
    <row r="168">
      <c r="A168" s="14" t="s">
        <v>286</v>
      </c>
      <c r="B168" s="521">
        <v>4.0</v>
      </c>
      <c r="C168" s="264" t="s">
        <v>91</v>
      </c>
      <c r="D168" s="264" t="s">
        <v>7148</v>
      </c>
      <c r="E168" s="394" t="s">
        <v>49</v>
      </c>
      <c r="F168" s="226"/>
      <c r="G168" s="523"/>
      <c r="H168" s="530"/>
      <c r="I168" s="303"/>
      <c r="J168" s="303"/>
      <c r="K168" s="303"/>
      <c r="L168" s="526"/>
      <c r="M168" s="526" t="str">
        <f t="shared" si="2"/>
        <v>Mark.Montigny@masenate.gov</v>
      </c>
      <c r="N168" s="526"/>
      <c r="O168" s="526"/>
      <c r="P168" s="526"/>
      <c r="Q168" s="89"/>
      <c r="R168" s="89"/>
    </row>
    <row r="169">
      <c r="A169" s="14" t="s">
        <v>286</v>
      </c>
      <c r="B169" s="521">
        <v>5.0</v>
      </c>
      <c r="C169" s="542" t="s">
        <v>5321</v>
      </c>
      <c r="D169" s="542" t="s">
        <v>7158</v>
      </c>
      <c r="E169" s="394" t="s">
        <v>49</v>
      </c>
      <c r="F169" s="226"/>
      <c r="G169" s="523"/>
      <c r="H169" s="530"/>
      <c r="I169" s="303"/>
      <c r="J169" s="303"/>
      <c r="K169" s="303"/>
      <c r="L169" s="526"/>
      <c r="M169" s="526" t="str">
        <f t="shared" si="2"/>
        <v>Julian.Cyr@masenate.gov</v>
      </c>
      <c r="N169" s="526"/>
      <c r="O169" s="526"/>
      <c r="P169" s="526"/>
      <c r="Q169" s="89"/>
      <c r="R169" s="89"/>
    </row>
    <row r="170">
      <c r="A170" s="14" t="s">
        <v>286</v>
      </c>
      <c r="B170" s="521">
        <v>6.0</v>
      </c>
      <c r="C170" s="542" t="s">
        <v>2554</v>
      </c>
      <c r="D170" s="542" t="s">
        <v>7165</v>
      </c>
      <c r="E170" s="394" t="s">
        <v>49</v>
      </c>
      <c r="F170" s="226"/>
      <c r="G170" s="523"/>
      <c r="H170" s="530"/>
      <c r="I170" s="303"/>
      <c r="J170" s="303"/>
      <c r="K170" s="303"/>
      <c r="L170" s="526"/>
      <c r="M170" s="526" t="str">
        <f t="shared" si="2"/>
        <v>Kathleen.Ives@masenate.gov</v>
      </c>
      <c r="N170" s="526"/>
      <c r="O170" s="526"/>
      <c r="P170" s="526"/>
      <c r="Q170" s="89"/>
      <c r="R170" s="89"/>
    </row>
    <row r="171">
      <c r="A171" s="14" t="s">
        <v>286</v>
      </c>
      <c r="B171" s="521">
        <v>7.0</v>
      </c>
      <c r="C171" s="264" t="s">
        <v>2882</v>
      </c>
      <c r="D171" s="264" t="s">
        <v>7168</v>
      </c>
      <c r="E171" s="394" t="s">
        <v>49</v>
      </c>
      <c r="F171" s="226"/>
      <c r="G171" s="226"/>
      <c r="H171" s="527"/>
      <c r="I171" s="303"/>
      <c r="J171" s="303"/>
      <c r="K171" s="303"/>
      <c r="L171" s="526"/>
      <c r="M171" s="526" t="str">
        <f t="shared" si="2"/>
        <v>Joan.Lovely@masenate.gov</v>
      </c>
      <c r="N171" s="526"/>
      <c r="O171" s="526"/>
      <c r="P171" s="526"/>
      <c r="Q171" s="89"/>
      <c r="R171" s="89"/>
    </row>
    <row r="172">
      <c r="A172" s="14" t="s">
        <v>286</v>
      </c>
      <c r="B172" s="521">
        <v>8.0</v>
      </c>
      <c r="C172" s="264" t="s">
        <v>7173</v>
      </c>
      <c r="D172" s="264" t="s">
        <v>7177</v>
      </c>
      <c r="E172" s="394" t="s">
        <v>49</v>
      </c>
      <c r="F172" s="226"/>
      <c r="G172" s="226"/>
      <c r="H172" s="527"/>
      <c r="I172" s="303"/>
      <c r="J172" s="303"/>
      <c r="K172" s="303"/>
      <c r="L172" s="526"/>
      <c r="M172" s="526" t="str">
        <f t="shared" si="2"/>
        <v>Brendan.Crighton@masenate.gov</v>
      </c>
      <c r="N172" s="526"/>
      <c r="O172" s="526"/>
      <c r="P172" s="526"/>
      <c r="Q172" s="89"/>
      <c r="R172" s="89"/>
    </row>
    <row r="173">
      <c r="A173" s="14" t="s">
        <v>286</v>
      </c>
      <c r="B173" s="521">
        <v>9.0</v>
      </c>
      <c r="C173" s="264" t="s">
        <v>1193</v>
      </c>
      <c r="D173" s="264" t="s">
        <v>160</v>
      </c>
      <c r="E173" s="384" t="s">
        <v>53</v>
      </c>
      <c r="F173" s="226"/>
      <c r="G173" s="523"/>
      <c r="H173" s="530"/>
      <c r="I173" s="303"/>
      <c r="J173" s="303"/>
      <c r="K173" s="303"/>
      <c r="L173" s="526"/>
      <c r="M173" s="526" t="str">
        <f t="shared" si="2"/>
        <v>Bruce.Tarr@masenate.gov</v>
      </c>
      <c r="N173" s="526"/>
      <c r="O173" s="526"/>
      <c r="P173" s="526"/>
      <c r="Q173" s="89"/>
      <c r="R173" s="89"/>
    </row>
    <row r="174">
      <c r="A174" s="14" t="s">
        <v>286</v>
      </c>
      <c r="B174" s="521">
        <v>10.0</v>
      </c>
      <c r="C174" s="264" t="s">
        <v>384</v>
      </c>
      <c r="D174" s="264" t="s">
        <v>7193</v>
      </c>
      <c r="E174" s="394" t="s">
        <v>49</v>
      </c>
      <c r="F174" s="226"/>
      <c r="G174" s="226"/>
      <c r="H174" s="527"/>
      <c r="I174" s="303"/>
      <c r="J174" s="303"/>
      <c r="K174" s="303"/>
      <c r="L174" s="526"/>
      <c r="M174" s="526" t="str">
        <f t="shared" si="2"/>
        <v>Barbara.L'Italien@masenate.gov</v>
      </c>
      <c r="N174" s="526"/>
      <c r="O174" s="526"/>
      <c r="P174" s="526"/>
      <c r="Q174" s="89"/>
      <c r="R174" s="89"/>
    </row>
    <row r="175">
      <c r="A175" s="14" t="s">
        <v>286</v>
      </c>
      <c r="B175" s="521">
        <v>11.0</v>
      </c>
      <c r="C175" s="264" t="s">
        <v>930</v>
      </c>
      <c r="D175" s="264" t="s">
        <v>3731</v>
      </c>
      <c r="E175" s="394" t="s">
        <v>49</v>
      </c>
      <c r="F175" s="226"/>
      <c r="G175" s="523"/>
      <c r="H175" s="530"/>
      <c r="I175" s="303"/>
      <c r="J175" s="303"/>
      <c r="K175" s="303"/>
      <c r="L175" s="526"/>
      <c r="M175" s="526" t="str">
        <f t="shared" si="2"/>
        <v>James.Welch@masenate.gov</v>
      </c>
      <c r="N175" s="526"/>
      <c r="O175" s="526"/>
      <c r="P175" s="526"/>
      <c r="Q175" s="89"/>
      <c r="R175" s="89"/>
    </row>
    <row r="176">
      <c r="A176" s="14" t="s">
        <v>286</v>
      </c>
      <c r="B176" s="521">
        <v>12.0</v>
      </c>
      <c r="C176" s="264" t="s">
        <v>2302</v>
      </c>
      <c r="D176" s="264" t="s">
        <v>2676</v>
      </c>
      <c r="E176" s="394" t="s">
        <v>49</v>
      </c>
      <c r="F176" s="226"/>
      <c r="G176" s="226"/>
      <c r="H176" s="527"/>
      <c r="I176" s="303"/>
      <c r="J176" s="303"/>
      <c r="K176" s="303"/>
      <c r="L176" s="526"/>
      <c r="M176" s="526" t="str">
        <f t="shared" si="2"/>
        <v>Eric.Lesser@masenate.gov</v>
      </c>
      <c r="N176" s="526"/>
      <c r="O176" s="526"/>
      <c r="P176" s="526"/>
      <c r="Q176" s="89"/>
      <c r="R176" s="89"/>
    </row>
    <row r="177">
      <c r="A177" s="14" t="s">
        <v>286</v>
      </c>
      <c r="B177" s="521">
        <v>13.0</v>
      </c>
      <c r="C177" s="264" t="s">
        <v>2139</v>
      </c>
      <c r="D177" s="264" t="s">
        <v>7215</v>
      </c>
      <c r="E177" s="384" t="s">
        <v>53</v>
      </c>
      <c r="F177" s="226"/>
      <c r="G177" s="226"/>
      <c r="H177" s="527"/>
      <c r="I177" s="303"/>
      <c r="J177" s="303"/>
      <c r="K177" s="303"/>
      <c r="L177" s="526"/>
      <c r="M177" s="526" t="str">
        <f t="shared" si="2"/>
        <v>Donald.Humason,@masenate.gov</v>
      </c>
      <c r="N177" s="526"/>
      <c r="O177" s="526"/>
      <c r="P177" s="526"/>
      <c r="Q177" s="89"/>
      <c r="R177" s="89"/>
    </row>
    <row r="178">
      <c r="A178" s="14" t="s">
        <v>286</v>
      </c>
      <c r="B178" s="521">
        <v>14.0</v>
      </c>
      <c r="C178" s="264"/>
      <c r="D178" s="264"/>
      <c r="E178" s="532"/>
      <c r="F178" s="226"/>
      <c r="G178" s="226"/>
      <c r="H178" s="527"/>
      <c r="I178" s="303"/>
      <c r="J178" s="303"/>
      <c r="K178" s="303"/>
      <c r="L178" s="526"/>
      <c r="M178" s="526" t="str">
        <f t="shared" si="2"/>
        <v>.@masenate.gov</v>
      </c>
      <c r="N178" s="526"/>
      <c r="O178" s="526"/>
      <c r="P178" s="526"/>
      <c r="Q178" s="89"/>
      <c r="R178" s="89"/>
    </row>
    <row r="179">
      <c r="A179" s="14" t="s">
        <v>286</v>
      </c>
      <c r="B179" s="521">
        <v>15.0</v>
      </c>
      <c r="C179" s="264"/>
      <c r="D179" s="264"/>
      <c r="E179" s="532"/>
      <c r="F179" s="226"/>
      <c r="G179" s="226"/>
      <c r="H179" s="527"/>
      <c r="I179" s="303"/>
      <c r="J179" s="303"/>
      <c r="K179" s="303"/>
      <c r="L179" s="526"/>
      <c r="M179" s="526" t="str">
        <f t="shared" si="2"/>
        <v>.@masenate.gov</v>
      </c>
      <c r="N179" s="526"/>
      <c r="O179" s="526"/>
      <c r="P179" s="526"/>
      <c r="Q179" s="89"/>
      <c r="R179" s="89"/>
    </row>
    <row r="180">
      <c r="A180" s="14" t="s">
        <v>286</v>
      </c>
      <c r="B180" s="521">
        <v>16.0</v>
      </c>
      <c r="C180" s="264" t="s">
        <v>2249</v>
      </c>
      <c r="D180" s="264" t="s">
        <v>7219</v>
      </c>
      <c r="E180" s="394" t="s">
        <v>49</v>
      </c>
      <c r="F180" s="226"/>
      <c r="G180" s="226"/>
      <c r="H180" s="527"/>
      <c r="I180" s="303"/>
      <c r="J180" s="303"/>
      <c r="K180" s="303"/>
      <c r="L180" s="526"/>
      <c r="M180" s="526" t="str">
        <f t="shared" si="2"/>
        <v>Patricia.Jehlen@masenate.gov</v>
      </c>
      <c r="N180" s="526"/>
      <c r="O180" s="526"/>
      <c r="P180" s="526"/>
      <c r="Q180" s="89"/>
      <c r="R180" s="89"/>
    </row>
    <row r="181">
      <c r="A181" s="14" t="s">
        <v>286</v>
      </c>
      <c r="B181" s="521">
        <v>17.0</v>
      </c>
      <c r="C181" s="264" t="s">
        <v>157</v>
      </c>
      <c r="D181" s="264" t="s">
        <v>4745</v>
      </c>
      <c r="E181" s="394" t="s">
        <v>49</v>
      </c>
      <c r="F181" s="226"/>
      <c r="G181" s="523"/>
      <c r="H181" s="530"/>
      <c r="I181" s="303"/>
      <c r="J181" s="303"/>
      <c r="K181" s="303"/>
      <c r="L181" s="526"/>
      <c r="M181" s="526" t="str">
        <f t="shared" si="2"/>
        <v>Mike.Barrett@masenate.gov</v>
      </c>
      <c r="N181" s="526"/>
      <c r="O181" s="526"/>
      <c r="P181" s="526"/>
      <c r="Q181" s="89"/>
      <c r="R181" s="89"/>
    </row>
    <row r="182">
      <c r="A182" s="14" t="s">
        <v>286</v>
      </c>
      <c r="B182" s="521">
        <v>18.0</v>
      </c>
      <c r="C182" s="264" t="s">
        <v>1561</v>
      </c>
      <c r="D182" s="264" t="s">
        <v>1638</v>
      </c>
      <c r="E182" s="394" t="s">
        <v>49</v>
      </c>
      <c r="F182" s="226"/>
      <c r="G182" s="523"/>
      <c r="H182" s="530"/>
      <c r="I182" s="303"/>
      <c r="J182" s="303"/>
      <c r="K182" s="303"/>
      <c r="L182" s="526"/>
      <c r="M182" s="526" t="str">
        <f t="shared" si="2"/>
        <v>Cindy.Friedman@masenate.gov</v>
      </c>
      <c r="N182" s="526"/>
      <c r="O182" s="526"/>
      <c r="P182" s="526"/>
      <c r="Q182" s="89"/>
      <c r="R182" s="89"/>
    </row>
    <row r="183">
      <c r="A183" s="14" t="s">
        <v>286</v>
      </c>
      <c r="B183" s="521">
        <v>19.0</v>
      </c>
      <c r="C183" s="264" t="s">
        <v>1231</v>
      </c>
      <c r="D183" s="264" t="s">
        <v>1707</v>
      </c>
      <c r="E183" s="394" t="s">
        <v>49</v>
      </c>
      <c r="F183" s="226"/>
      <c r="G183" s="226"/>
      <c r="H183" s="527"/>
      <c r="I183" s="303"/>
      <c r="J183" s="303"/>
      <c r="K183" s="303"/>
      <c r="L183" s="526"/>
      <c r="M183" s="526" t="str">
        <f t="shared" si="2"/>
        <v>Jason.Lewis@masenate.gov</v>
      </c>
      <c r="N183" s="526"/>
      <c r="O183" s="526"/>
      <c r="P183" s="526"/>
      <c r="Q183" s="89"/>
      <c r="R183" s="89"/>
    </row>
    <row r="184">
      <c r="A184" s="14" t="s">
        <v>286</v>
      </c>
      <c r="B184" s="521">
        <v>20.0</v>
      </c>
      <c r="C184" s="542" t="s">
        <v>3490</v>
      </c>
      <c r="D184" s="542" t="s">
        <v>7235</v>
      </c>
      <c r="E184" s="394" t="s">
        <v>49</v>
      </c>
      <c r="F184" s="226"/>
      <c r="G184" s="523"/>
      <c r="H184" s="530"/>
      <c r="I184" s="303"/>
      <c r="J184" s="303"/>
      <c r="K184" s="303"/>
      <c r="L184" s="526"/>
      <c r="M184" s="526" t="str">
        <f t="shared" si="2"/>
        <v>Cynthia.Creem@masenate.gov</v>
      </c>
      <c r="N184" s="526"/>
      <c r="O184" s="526"/>
      <c r="P184" s="526"/>
      <c r="Q184" s="89"/>
      <c r="R184" s="89"/>
    </row>
    <row r="185">
      <c r="A185" s="14" t="s">
        <v>286</v>
      </c>
      <c r="B185" s="521">
        <v>21.0</v>
      </c>
      <c r="C185" s="264" t="s">
        <v>1153</v>
      </c>
      <c r="D185" s="264" t="s">
        <v>7239</v>
      </c>
      <c r="E185" s="394" t="s">
        <v>49</v>
      </c>
      <c r="F185" s="226" t="s">
        <v>1156</v>
      </c>
      <c r="G185" s="523"/>
      <c r="H185" s="530"/>
      <c r="I185" s="303"/>
      <c r="J185" s="303"/>
      <c r="K185" s="303"/>
      <c r="L185" s="526"/>
      <c r="M185" s="526" t="str">
        <f t="shared" si="2"/>
        <v>Karen.Pres@masenate.gov</v>
      </c>
      <c r="N185" s="526"/>
      <c r="O185" s="526"/>
      <c r="P185" s="526"/>
      <c r="Q185" s="89"/>
      <c r="R185" s="89"/>
    </row>
    <row r="186">
      <c r="A186" s="14" t="s">
        <v>286</v>
      </c>
      <c r="B186" s="521">
        <v>22.0</v>
      </c>
      <c r="C186" s="264" t="s">
        <v>5226</v>
      </c>
      <c r="D186" s="264" t="s">
        <v>7242</v>
      </c>
      <c r="E186" s="394" t="s">
        <v>49</v>
      </c>
      <c r="F186" s="226"/>
      <c r="G186" s="226"/>
      <c r="H186" s="527"/>
      <c r="I186" s="303"/>
      <c r="J186" s="303"/>
      <c r="K186" s="303"/>
      <c r="L186" s="526"/>
      <c r="M186" s="526" t="str">
        <f t="shared" si="2"/>
        <v>Sal.DiDomenico@masenate.gov</v>
      </c>
      <c r="N186" s="526"/>
      <c r="O186" s="526"/>
      <c r="P186" s="526"/>
      <c r="Q186" s="89"/>
      <c r="R186" s="89"/>
    </row>
    <row r="187">
      <c r="A187" s="14" t="s">
        <v>286</v>
      </c>
      <c r="B187" s="521">
        <v>23.0</v>
      </c>
      <c r="C187" s="264" t="s">
        <v>930</v>
      </c>
      <c r="D187" s="264" t="s">
        <v>7244</v>
      </c>
      <c r="E187" s="394" t="s">
        <v>49</v>
      </c>
      <c r="F187" s="226"/>
      <c r="G187" s="523"/>
      <c r="H187" s="530"/>
      <c r="I187" s="303"/>
      <c r="J187" s="303"/>
      <c r="K187" s="303"/>
      <c r="L187" s="526"/>
      <c r="M187" s="526" t="str">
        <f t="shared" si="2"/>
        <v>James.Eldridge@masenate.gov</v>
      </c>
      <c r="N187" s="526"/>
      <c r="O187" s="526"/>
      <c r="P187" s="526"/>
      <c r="Q187" s="89"/>
      <c r="R187" s="89"/>
    </row>
    <row r="188">
      <c r="A188" s="14" t="s">
        <v>286</v>
      </c>
      <c r="B188" s="521">
        <v>24.0</v>
      </c>
      <c r="C188" s="264" t="s">
        <v>1112</v>
      </c>
      <c r="D188" s="264" t="s">
        <v>5489</v>
      </c>
      <c r="E188" s="384" t="s">
        <v>53</v>
      </c>
      <c r="F188" s="226"/>
      <c r="G188" s="523"/>
      <c r="H188" s="530"/>
      <c r="I188" s="303"/>
      <c r="J188" s="303"/>
      <c r="K188" s="303"/>
      <c r="L188" s="526"/>
      <c r="M188" s="526" t="str">
        <f t="shared" si="2"/>
        <v>Richard.Ross@masenate.gov</v>
      </c>
      <c r="N188" s="526"/>
      <c r="O188" s="526"/>
      <c r="P188" s="526"/>
      <c r="Q188" s="89"/>
      <c r="R188" s="89"/>
    </row>
    <row r="189">
      <c r="A189" s="14" t="s">
        <v>286</v>
      </c>
      <c r="B189" s="521">
        <v>25.0</v>
      </c>
      <c r="C189" s="264" t="s">
        <v>669</v>
      </c>
      <c r="D189" s="264" t="s">
        <v>7251</v>
      </c>
      <c r="E189" s="394" t="s">
        <v>49</v>
      </c>
      <c r="F189" s="226"/>
      <c r="G189" s="523"/>
      <c r="H189" s="530"/>
      <c r="I189" s="303"/>
      <c r="J189" s="303"/>
      <c r="K189" s="303"/>
      <c r="L189" s="526"/>
      <c r="M189" s="526" t="str">
        <f t="shared" si="2"/>
        <v>Walter.Timilty@masenate.gov</v>
      </c>
      <c r="N189" s="526"/>
      <c r="O189" s="526"/>
      <c r="P189" s="526"/>
      <c r="Q189" s="89"/>
      <c r="R189" s="89"/>
    </row>
    <row r="190">
      <c r="A190" s="14" t="s">
        <v>286</v>
      </c>
      <c r="B190" s="521">
        <v>26.0</v>
      </c>
      <c r="C190" s="264" t="s">
        <v>278</v>
      </c>
      <c r="D190" s="264" t="s">
        <v>7256</v>
      </c>
      <c r="E190" s="394" t="s">
        <v>49</v>
      </c>
      <c r="F190" s="226"/>
      <c r="G190" s="523"/>
      <c r="H190" s="530"/>
      <c r="I190" s="303"/>
      <c r="J190" s="303"/>
      <c r="K190" s="303"/>
      <c r="L190" s="526"/>
      <c r="M190" s="526" t="str">
        <f t="shared" si="2"/>
        <v>John.Keenan@masenate.gov</v>
      </c>
      <c r="N190" s="526"/>
      <c r="O190" s="526"/>
      <c r="P190" s="526"/>
      <c r="Q190" s="89"/>
      <c r="R190" s="89"/>
    </row>
    <row r="191">
      <c r="A191" s="14" t="s">
        <v>286</v>
      </c>
      <c r="B191" s="521">
        <v>27.0</v>
      </c>
      <c r="C191" s="264" t="s">
        <v>2490</v>
      </c>
      <c r="D191" s="264" t="s">
        <v>4690</v>
      </c>
      <c r="E191" s="394" t="s">
        <v>49</v>
      </c>
      <c r="F191" s="226"/>
      <c r="G191" s="523"/>
      <c r="H191" s="530"/>
      <c r="I191" s="303"/>
      <c r="J191" s="303"/>
      <c r="K191" s="303"/>
      <c r="L191" s="526"/>
      <c r="M191" s="526" t="str">
        <f t="shared" si="2"/>
        <v>Michael.Rush@masenate.gov</v>
      </c>
      <c r="N191" s="526"/>
      <c r="O191" s="526"/>
      <c r="P191" s="526"/>
      <c r="Q191" s="89"/>
      <c r="R191" s="89"/>
    </row>
    <row r="192">
      <c r="A192" s="14" t="s">
        <v>286</v>
      </c>
      <c r="B192" s="521">
        <v>28.0</v>
      </c>
      <c r="C192" s="264" t="s">
        <v>7259</v>
      </c>
      <c r="D192" s="264" t="s">
        <v>7261</v>
      </c>
      <c r="E192" s="384" t="s">
        <v>53</v>
      </c>
      <c r="F192" s="226"/>
      <c r="G192" s="226"/>
      <c r="H192" s="527"/>
      <c r="I192" s="303"/>
      <c r="J192" s="303"/>
      <c r="K192" s="303"/>
      <c r="L192" s="526"/>
      <c r="M192" s="526" t="str">
        <f t="shared" si="2"/>
        <v>Vinny.deMacedo@masenate.gov</v>
      </c>
      <c r="N192" s="526"/>
      <c r="O192" s="526"/>
      <c r="P192" s="526"/>
      <c r="Q192" s="89"/>
      <c r="R192" s="89"/>
    </row>
    <row r="193">
      <c r="A193" s="14" t="s">
        <v>286</v>
      </c>
      <c r="B193" s="521">
        <v>29.0</v>
      </c>
      <c r="C193" s="264" t="s">
        <v>1431</v>
      </c>
      <c r="D193" s="264" t="s">
        <v>7266</v>
      </c>
      <c r="E193" s="394" t="s">
        <v>49</v>
      </c>
      <c r="F193" s="226"/>
      <c r="G193" s="523"/>
      <c r="H193" s="530"/>
      <c r="I193" s="303"/>
      <c r="J193" s="303"/>
      <c r="K193" s="303"/>
      <c r="L193" s="526"/>
      <c r="M193" s="526" t="str">
        <f t="shared" si="2"/>
        <v>Marc.Pacheco@masenate.gov</v>
      </c>
      <c r="N193" s="526"/>
      <c r="O193" s="526"/>
      <c r="P193" s="526"/>
      <c r="Q193" s="89"/>
      <c r="R193" s="89"/>
    </row>
    <row r="194">
      <c r="A194" s="14" t="s">
        <v>286</v>
      </c>
      <c r="B194" s="521">
        <v>30.0</v>
      </c>
      <c r="C194" s="264" t="s">
        <v>2490</v>
      </c>
      <c r="D194" s="264" t="s">
        <v>2596</v>
      </c>
      <c r="E194" s="394" t="s">
        <v>49</v>
      </c>
      <c r="F194" s="226"/>
      <c r="G194" s="523"/>
      <c r="H194" s="530"/>
      <c r="I194" s="303"/>
      <c r="J194" s="303"/>
      <c r="K194" s="303"/>
      <c r="L194" s="526"/>
      <c r="M194" s="526" t="str">
        <f t="shared" si="2"/>
        <v>Michael.Brady@masenate.gov</v>
      </c>
      <c r="N194" s="526"/>
      <c r="O194" s="526"/>
      <c r="P194" s="526"/>
      <c r="Q194" s="89"/>
      <c r="R194" s="89"/>
    </row>
    <row r="195">
      <c r="A195" s="14" t="s">
        <v>286</v>
      </c>
      <c r="B195" s="521">
        <v>31.0</v>
      </c>
      <c r="C195" s="264" t="s">
        <v>1914</v>
      </c>
      <c r="D195" s="264" t="s">
        <v>5653</v>
      </c>
      <c r="E195" s="384" t="s">
        <v>53</v>
      </c>
      <c r="F195" s="226"/>
      <c r="G195" s="523"/>
      <c r="H195" s="530"/>
      <c r="I195" s="303"/>
      <c r="J195" s="303"/>
      <c r="K195" s="303"/>
      <c r="L195" s="526"/>
      <c r="M195" s="526" t="str">
        <f t="shared" si="2"/>
        <v>Patrick.O'Connor@masenate.gov</v>
      </c>
      <c r="N195" s="526"/>
      <c r="O195" s="526"/>
      <c r="P195" s="526"/>
      <c r="Q195" s="89"/>
      <c r="R195" s="89"/>
    </row>
    <row r="196">
      <c r="A196" s="14" t="s">
        <v>286</v>
      </c>
      <c r="B196" s="521">
        <v>32.0</v>
      </c>
      <c r="C196" s="264" t="s">
        <v>3030</v>
      </c>
      <c r="D196" s="264" t="s">
        <v>137</v>
      </c>
      <c r="E196" s="394" t="s">
        <v>49</v>
      </c>
      <c r="F196" s="226"/>
      <c r="G196" s="523"/>
      <c r="H196" s="530"/>
      <c r="I196" s="303"/>
      <c r="J196" s="303"/>
      <c r="K196" s="303"/>
      <c r="L196" s="526"/>
      <c r="M196" s="526" t="str">
        <f t="shared" si="2"/>
        <v>Nick.Collins@masenate.gov</v>
      </c>
      <c r="N196" s="526"/>
      <c r="O196" s="526"/>
      <c r="P196" s="526"/>
      <c r="Q196" s="89"/>
      <c r="R196" s="89"/>
    </row>
    <row r="197">
      <c r="A197" s="14" t="s">
        <v>286</v>
      </c>
      <c r="B197" s="521">
        <v>33.0</v>
      </c>
      <c r="C197" s="264" t="s">
        <v>927</v>
      </c>
      <c r="D197" s="264" t="s">
        <v>7271</v>
      </c>
      <c r="E197" s="394" t="s">
        <v>49</v>
      </c>
      <c r="F197" s="226"/>
      <c r="G197" s="226"/>
      <c r="H197" s="527"/>
      <c r="I197" s="303"/>
      <c r="J197" s="303"/>
      <c r="K197" s="303"/>
      <c r="L197" s="526"/>
      <c r="M197" s="526" t="str">
        <f t="shared" si="2"/>
        <v>Sonia.Chang-Diaz@masenate.gov</v>
      </c>
      <c r="N197" s="526"/>
      <c r="O197" s="526"/>
      <c r="P197" s="526"/>
      <c r="Q197" s="89"/>
      <c r="R197" s="89"/>
    </row>
    <row r="198">
      <c r="A198" s="14" t="s">
        <v>286</v>
      </c>
      <c r="B198" s="521">
        <v>34.0</v>
      </c>
      <c r="C198" s="264" t="s">
        <v>2527</v>
      </c>
      <c r="D198" s="264" t="s">
        <v>7274</v>
      </c>
      <c r="E198" s="394" t="s">
        <v>49</v>
      </c>
      <c r="F198" s="226"/>
      <c r="G198" s="523"/>
      <c r="H198" s="530"/>
      <c r="I198" s="303"/>
      <c r="J198" s="303"/>
      <c r="K198" s="303"/>
      <c r="L198" s="526"/>
      <c r="M198" s="526" t="str">
        <f t="shared" si="2"/>
        <v>Joseph.Boncore@masenate.gov</v>
      </c>
      <c r="N198" s="526"/>
      <c r="O198" s="526"/>
      <c r="P198" s="526"/>
      <c r="Q198" s="89"/>
      <c r="R198" s="89"/>
    </row>
    <row r="199">
      <c r="A199" s="14" t="s">
        <v>286</v>
      </c>
      <c r="B199" s="521">
        <v>35.0</v>
      </c>
      <c r="C199" s="264" t="s">
        <v>1058</v>
      </c>
      <c r="D199" s="264" t="s">
        <v>7277</v>
      </c>
      <c r="E199" s="394" t="s">
        <v>49</v>
      </c>
      <c r="F199" s="226"/>
      <c r="G199" s="523"/>
      <c r="H199" s="530"/>
      <c r="I199" s="303"/>
      <c r="J199" s="303"/>
      <c r="K199" s="303"/>
      <c r="L199" s="526"/>
      <c r="M199" s="526" t="str">
        <f t="shared" si="2"/>
        <v>William.Brownsberger@masenate.gov</v>
      </c>
      <c r="N199" s="526"/>
      <c r="O199" s="526"/>
      <c r="P199" s="526"/>
      <c r="Q199" s="89"/>
      <c r="R199" s="89"/>
    </row>
    <row r="200">
      <c r="A200" s="14" t="s">
        <v>286</v>
      </c>
      <c r="B200" s="521">
        <v>36.0</v>
      </c>
      <c r="C200" s="264" t="s">
        <v>7278</v>
      </c>
      <c r="D200" s="264" t="s">
        <v>914</v>
      </c>
      <c r="E200" s="394" t="s">
        <v>49</v>
      </c>
      <c r="F200" s="226"/>
      <c r="G200" s="523"/>
      <c r="H200" s="530"/>
      <c r="I200" s="303"/>
      <c r="J200" s="303"/>
      <c r="K200" s="303"/>
      <c r="L200" s="526"/>
      <c r="M200" s="526" t="str">
        <f t="shared" si="2"/>
        <v>Harriette.Chandler@masenate.gov</v>
      </c>
      <c r="N200" s="526"/>
      <c r="O200" s="526"/>
      <c r="P200" s="526"/>
      <c r="Q200" s="89"/>
      <c r="R200" s="89"/>
    </row>
    <row r="201">
      <c r="A201" s="14" t="s">
        <v>286</v>
      </c>
      <c r="B201" s="521">
        <v>37.0</v>
      </c>
      <c r="C201" s="264" t="s">
        <v>2490</v>
      </c>
      <c r="D201" s="264" t="s">
        <v>89</v>
      </c>
      <c r="E201" s="394" t="s">
        <v>49</v>
      </c>
      <c r="F201" s="226"/>
      <c r="G201" s="523"/>
      <c r="H201" s="530"/>
      <c r="I201" s="303"/>
      <c r="J201" s="303"/>
      <c r="K201" s="303"/>
      <c r="L201" s="526"/>
      <c r="M201" s="526" t="str">
        <f t="shared" si="2"/>
        <v>Michael.Moore@masenate.gov</v>
      </c>
      <c r="N201" s="526"/>
      <c r="O201" s="526"/>
      <c r="P201" s="526"/>
      <c r="Q201" s="89"/>
      <c r="R201" s="89"/>
    </row>
    <row r="202">
      <c r="A202" s="14" t="s">
        <v>286</v>
      </c>
      <c r="B202" s="521">
        <v>38.0</v>
      </c>
      <c r="C202" s="264" t="s">
        <v>2560</v>
      </c>
      <c r="D202" s="264" t="s">
        <v>7282</v>
      </c>
      <c r="E202" s="394" t="s">
        <v>49</v>
      </c>
      <c r="F202" s="226"/>
      <c r="G202" s="523"/>
      <c r="H202" s="530"/>
      <c r="I202" s="303"/>
      <c r="J202" s="303"/>
      <c r="K202" s="303"/>
      <c r="L202" s="526"/>
      <c r="M202" s="526" t="str">
        <f t="shared" si="2"/>
        <v>Anne.Gobi@masenate.gov</v>
      </c>
      <c r="N202" s="526"/>
      <c r="O202" s="526"/>
      <c r="P202" s="526"/>
      <c r="Q202" s="89"/>
      <c r="R202" s="89"/>
    </row>
    <row r="203">
      <c r="A203" s="14" t="s">
        <v>286</v>
      </c>
      <c r="B203" s="521">
        <v>39.0</v>
      </c>
      <c r="C203" s="264" t="s">
        <v>4340</v>
      </c>
      <c r="D203" s="264" t="s">
        <v>7283</v>
      </c>
      <c r="E203" s="384" t="s">
        <v>53</v>
      </c>
      <c r="F203" s="226"/>
      <c r="G203" s="523"/>
      <c r="H203" s="530"/>
      <c r="I203" s="303"/>
      <c r="J203" s="303"/>
      <c r="K203" s="303"/>
      <c r="L203" s="526"/>
      <c r="M203" s="526" t="str">
        <f t="shared" si="2"/>
        <v>Dean.Tran@masenate.gov</v>
      </c>
      <c r="N203" s="526"/>
      <c r="O203" s="526"/>
      <c r="P203" s="526"/>
      <c r="Q203" s="89"/>
      <c r="R203" s="89"/>
    </row>
    <row r="204">
      <c r="A204" s="14" t="s">
        <v>286</v>
      </c>
      <c r="B204" s="521">
        <v>40.0</v>
      </c>
      <c r="C204" s="264" t="s">
        <v>2780</v>
      </c>
      <c r="D204" s="264" t="s">
        <v>7286</v>
      </c>
      <c r="E204" s="384" t="s">
        <v>53</v>
      </c>
      <c r="F204" s="226"/>
      <c r="G204" s="226"/>
      <c r="H204" s="527"/>
      <c r="I204" s="303"/>
      <c r="J204" s="303"/>
      <c r="K204" s="303"/>
      <c r="L204" s="526"/>
      <c r="M204" s="526" t="str">
        <f t="shared" si="2"/>
        <v>Ryan.Fattman@masenate.gov</v>
      </c>
      <c r="N204" s="526"/>
      <c r="O204" s="526"/>
      <c r="P204" s="526"/>
      <c r="Q204" s="89"/>
      <c r="R204" s="89"/>
    </row>
    <row r="205">
      <c r="A205" s="70"/>
      <c r="B205" s="558"/>
      <c r="C205" s="353"/>
      <c r="D205" s="353"/>
      <c r="E205" s="427"/>
      <c r="F205" s="345"/>
      <c r="G205" s="345"/>
      <c r="H205" s="345"/>
      <c r="I205" s="345"/>
      <c r="J205" s="345"/>
      <c r="K205" s="345"/>
      <c r="L205" s="345"/>
      <c r="M205" s="345"/>
      <c r="N205" s="345"/>
      <c r="O205" s="345"/>
      <c r="P205" s="345"/>
      <c r="Q205" s="70"/>
      <c r="R205" s="70"/>
      <c r="S205" s="70"/>
      <c r="T205" s="70"/>
      <c r="U205" s="70"/>
      <c r="V205" s="70"/>
      <c r="W205" s="70"/>
      <c r="X205" s="70"/>
      <c r="Y205" s="70"/>
      <c r="Z205" s="70"/>
      <c r="AA205" s="70"/>
      <c r="AB205" s="70"/>
      <c r="AC205" s="70"/>
      <c r="AD205" s="70"/>
    </row>
    <row r="206">
      <c r="A206" s="14" t="s">
        <v>421</v>
      </c>
      <c r="B206" s="559"/>
      <c r="C206" s="374" t="s">
        <v>2746</v>
      </c>
      <c r="D206" s="374" t="s">
        <v>553</v>
      </c>
      <c r="E206" s="560"/>
      <c r="F206" s="303"/>
      <c r="G206" s="303"/>
      <c r="H206" s="303"/>
      <c r="I206" s="303"/>
      <c r="J206" s="303"/>
      <c r="K206" s="303"/>
      <c r="L206" s="303"/>
      <c r="M206" s="303"/>
      <c r="N206" s="303"/>
      <c r="O206" s="303"/>
      <c r="P206" s="303"/>
    </row>
    <row r="207">
      <c r="A207" s="70"/>
      <c r="B207" s="561"/>
      <c r="C207" s="371"/>
      <c r="D207" s="371"/>
      <c r="E207" s="104"/>
      <c r="F207" s="345"/>
      <c r="G207" s="345"/>
      <c r="H207" s="345"/>
      <c r="I207" s="345"/>
      <c r="J207" s="345"/>
      <c r="K207" s="345"/>
      <c r="L207" s="345"/>
      <c r="M207" s="345"/>
      <c r="N207" s="345"/>
      <c r="O207" s="345"/>
      <c r="P207" s="345"/>
      <c r="Q207" s="70"/>
      <c r="R207" s="70"/>
      <c r="S207" s="70"/>
      <c r="T207" s="70"/>
      <c r="U207" s="70"/>
      <c r="V207" s="70"/>
      <c r="W207" s="70"/>
      <c r="X207" s="70"/>
      <c r="Y207" s="70"/>
      <c r="Z207" s="70"/>
      <c r="AA207" s="70"/>
      <c r="AB207" s="70"/>
      <c r="AC207" s="70"/>
      <c r="AD207" s="70"/>
    </row>
    <row r="208">
      <c r="A208" s="14" t="s">
        <v>427</v>
      </c>
      <c r="B208" s="562">
        <v>1.0</v>
      </c>
      <c r="C208" s="374" t="s">
        <v>1112</v>
      </c>
      <c r="D208" s="374" t="s">
        <v>268</v>
      </c>
      <c r="E208" s="560"/>
      <c r="F208" s="303"/>
      <c r="G208" s="303"/>
      <c r="H208" s="303"/>
      <c r="I208" s="303"/>
      <c r="J208" s="303"/>
      <c r="K208" s="303"/>
      <c r="L208" s="303"/>
      <c r="M208" s="303"/>
      <c r="N208" s="303"/>
      <c r="O208" s="303"/>
      <c r="P208" s="303"/>
    </row>
    <row r="209">
      <c r="A209" s="14" t="s">
        <v>427</v>
      </c>
      <c r="B209" s="562">
        <v>2.0</v>
      </c>
      <c r="C209" s="374" t="s">
        <v>476</v>
      </c>
      <c r="D209" s="374" t="s">
        <v>7289</v>
      </c>
      <c r="E209" s="560"/>
      <c r="F209" s="303"/>
      <c r="G209" s="303"/>
      <c r="H209" s="303"/>
      <c r="I209" s="303"/>
      <c r="J209" s="303"/>
      <c r="K209" s="303"/>
      <c r="L209" s="303"/>
      <c r="M209" s="303"/>
      <c r="N209" s="303"/>
      <c r="O209" s="303"/>
      <c r="P209" s="303"/>
    </row>
    <row r="210">
      <c r="A210" s="14" t="s">
        <v>427</v>
      </c>
      <c r="B210" s="562">
        <v>3.0</v>
      </c>
      <c r="C210" s="374" t="s">
        <v>2149</v>
      </c>
      <c r="D210" s="374" t="s">
        <v>7290</v>
      </c>
      <c r="E210" s="560"/>
      <c r="F210" s="303"/>
      <c r="G210" s="303"/>
      <c r="H210" s="303"/>
      <c r="I210" s="303"/>
      <c r="J210" s="303"/>
      <c r="K210" s="303"/>
      <c r="L210" s="303"/>
      <c r="M210" s="303"/>
      <c r="N210" s="303"/>
      <c r="O210" s="303"/>
      <c r="P210" s="303"/>
    </row>
    <row r="211">
      <c r="A211" s="14" t="s">
        <v>427</v>
      </c>
      <c r="B211" s="562">
        <v>4.0</v>
      </c>
      <c r="C211" s="374" t="s">
        <v>622</v>
      </c>
      <c r="D211" s="374" t="s">
        <v>1791</v>
      </c>
      <c r="E211" s="560"/>
      <c r="F211" s="303"/>
      <c r="G211" s="303"/>
      <c r="H211" s="303"/>
      <c r="I211" s="303"/>
      <c r="J211" s="303"/>
      <c r="K211" s="303"/>
      <c r="L211" s="303"/>
      <c r="M211" s="303"/>
      <c r="N211" s="303"/>
      <c r="O211" s="303"/>
      <c r="P211" s="303"/>
    </row>
    <row r="212">
      <c r="A212" s="14" t="s">
        <v>427</v>
      </c>
      <c r="B212" s="562">
        <v>5.0</v>
      </c>
      <c r="C212" s="374" t="s">
        <v>6494</v>
      </c>
      <c r="D212" s="374" t="s">
        <v>2063</v>
      </c>
      <c r="E212" s="560"/>
      <c r="F212" s="303"/>
      <c r="G212" s="303"/>
      <c r="H212" s="303"/>
      <c r="I212" s="303"/>
      <c r="J212" s="303"/>
      <c r="K212" s="303"/>
      <c r="L212" s="303"/>
      <c r="M212" s="303"/>
      <c r="N212" s="303"/>
      <c r="O212" s="303"/>
      <c r="P212" s="303"/>
    </row>
    <row r="213">
      <c r="A213" s="14" t="s">
        <v>427</v>
      </c>
      <c r="B213" s="562">
        <v>6.0</v>
      </c>
      <c r="C213" s="374" t="s">
        <v>6075</v>
      </c>
      <c r="D213" s="374" t="s">
        <v>7291</v>
      </c>
      <c r="E213" s="560"/>
      <c r="F213" s="303"/>
      <c r="G213" s="303"/>
      <c r="H213" s="303"/>
      <c r="I213" s="303"/>
      <c r="J213" s="303"/>
      <c r="K213" s="303"/>
      <c r="L213" s="303"/>
      <c r="M213" s="303"/>
      <c r="N213" s="303"/>
      <c r="O213" s="303"/>
      <c r="P213" s="303"/>
    </row>
    <row r="214">
      <c r="A214" s="14" t="s">
        <v>427</v>
      </c>
      <c r="B214" s="562">
        <v>7.0</v>
      </c>
      <c r="C214" s="374" t="s">
        <v>7292</v>
      </c>
      <c r="D214" s="374" t="s">
        <v>7293</v>
      </c>
      <c r="E214" s="560"/>
      <c r="F214" s="303"/>
      <c r="G214" s="303"/>
      <c r="H214" s="303"/>
      <c r="I214" s="303"/>
      <c r="J214" s="303"/>
      <c r="K214" s="303"/>
      <c r="L214" s="303"/>
      <c r="M214" s="303"/>
      <c r="N214" s="303"/>
      <c r="O214" s="303"/>
      <c r="P214" s="303"/>
    </row>
    <row r="215">
      <c r="A215" s="14" t="s">
        <v>427</v>
      </c>
      <c r="B215" s="562">
        <v>8.0</v>
      </c>
      <c r="C215" s="374" t="s">
        <v>1505</v>
      </c>
      <c r="D215" s="374" t="s">
        <v>1043</v>
      </c>
      <c r="E215" s="560"/>
    </row>
    <row r="216">
      <c r="A216" s="14" t="s">
        <v>427</v>
      </c>
      <c r="B216" s="562">
        <v>9.0</v>
      </c>
      <c r="C216" s="374" t="s">
        <v>325</v>
      </c>
      <c r="D216" s="374" t="s">
        <v>7294</v>
      </c>
      <c r="E216" s="560"/>
    </row>
    <row r="217">
      <c r="A217" s="70"/>
      <c r="B217" s="561"/>
      <c r="C217" s="371"/>
      <c r="D217" s="371"/>
      <c r="E217" s="104"/>
      <c r="F217" s="70"/>
      <c r="G217" s="70"/>
      <c r="H217" s="70"/>
      <c r="I217" s="70"/>
      <c r="J217" s="70"/>
      <c r="K217" s="70"/>
      <c r="L217" s="70"/>
      <c r="M217" s="70"/>
      <c r="N217" s="70"/>
      <c r="O217" s="70"/>
      <c r="P217" s="70"/>
      <c r="Q217" s="70"/>
      <c r="R217" s="70"/>
      <c r="S217" s="70"/>
      <c r="T217" s="70"/>
      <c r="U217" s="70"/>
      <c r="V217" s="70"/>
      <c r="W217" s="70"/>
      <c r="X217" s="70"/>
      <c r="Y217" s="70"/>
      <c r="Z217" s="70"/>
      <c r="AA217" s="70"/>
      <c r="AB217" s="70"/>
      <c r="AC217" s="70"/>
      <c r="AD217" s="70"/>
    </row>
    <row r="218">
      <c r="A218" s="14" t="s">
        <v>430</v>
      </c>
      <c r="B218" s="562" t="s">
        <v>431</v>
      </c>
      <c r="C218" s="374" t="s">
        <v>636</v>
      </c>
      <c r="D218" s="374" t="s">
        <v>6736</v>
      </c>
      <c r="E218" s="560"/>
    </row>
    <row r="219">
      <c r="A219" s="14" t="s">
        <v>430</v>
      </c>
      <c r="B219" s="562" t="s">
        <v>434</v>
      </c>
      <c r="C219" s="374" t="s">
        <v>2830</v>
      </c>
      <c r="D219" s="374" t="s">
        <v>646</v>
      </c>
      <c r="E219" s="560"/>
    </row>
    <row r="220">
      <c r="A220" s="70"/>
      <c r="B220" s="70"/>
      <c r="C220" s="71"/>
      <c r="D220" s="71"/>
      <c r="E220" s="104"/>
      <c r="F220" s="70"/>
      <c r="G220" s="70"/>
      <c r="H220" s="70"/>
      <c r="I220" s="70"/>
      <c r="J220" s="70"/>
      <c r="K220" s="70"/>
      <c r="L220" s="70"/>
      <c r="M220" s="70"/>
      <c r="N220" s="70"/>
      <c r="O220" s="70"/>
      <c r="P220" s="70"/>
      <c r="Q220" s="70"/>
      <c r="R220" s="70"/>
      <c r="S220" s="70"/>
      <c r="T220" s="70"/>
      <c r="U220" s="70"/>
      <c r="V220" s="70"/>
      <c r="W220" s="70"/>
      <c r="X220" s="70"/>
      <c r="Y220" s="70"/>
      <c r="Z220" s="70"/>
      <c r="AA220" s="70"/>
      <c r="AB220" s="70"/>
      <c r="AC220" s="70"/>
      <c r="AD220" s="70"/>
    </row>
    <row r="221">
      <c r="A221" s="14" t="s">
        <v>438</v>
      </c>
      <c r="C221" s="77" t="s">
        <v>7295</v>
      </c>
      <c r="D221" s="77" t="s">
        <v>6303</v>
      </c>
      <c r="E221" s="560"/>
    </row>
    <row r="222">
      <c r="A222" s="70"/>
      <c r="B222" s="70"/>
      <c r="C222" s="71"/>
      <c r="D222" s="71"/>
      <c r="E222" s="104"/>
      <c r="F222" s="70"/>
      <c r="G222" s="70"/>
      <c r="H222" s="70"/>
      <c r="I222" s="70"/>
      <c r="J222" s="70"/>
      <c r="K222" s="70"/>
      <c r="L222" s="70"/>
      <c r="M222" s="70"/>
      <c r="N222" s="70"/>
      <c r="O222" s="70"/>
      <c r="P222" s="70"/>
      <c r="Q222" s="70"/>
      <c r="R222" s="70"/>
      <c r="S222" s="70"/>
      <c r="T222" s="70"/>
      <c r="U222" s="70"/>
      <c r="V222" s="70"/>
      <c r="W222" s="70"/>
      <c r="X222" s="70"/>
      <c r="Y222" s="70"/>
      <c r="Z222" s="70"/>
      <c r="AA222" s="70"/>
      <c r="AB222" s="70"/>
      <c r="AC222" s="70"/>
      <c r="AD222" s="70"/>
    </row>
    <row r="223">
      <c r="B223" s="559"/>
      <c r="C223" s="377"/>
      <c r="D223" s="377"/>
      <c r="E223" s="560"/>
    </row>
    <row r="224">
      <c r="B224" s="559"/>
      <c r="C224" s="377"/>
      <c r="D224" s="377"/>
      <c r="E224" s="560"/>
    </row>
    <row r="225">
      <c r="B225" s="559"/>
      <c r="C225" s="377"/>
      <c r="D225" s="377"/>
      <c r="E225" s="560"/>
    </row>
    <row r="226">
      <c r="B226" s="559"/>
      <c r="C226" s="377"/>
      <c r="D226" s="377"/>
      <c r="E226" s="560"/>
    </row>
    <row r="227">
      <c r="B227" s="559"/>
      <c r="C227" s="377"/>
      <c r="D227" s="377"/>
      <c r="E227" s="560"/>
    </row>
    <row r="228">
      <c r="B228" s="559"/>
      <c r="C228" s="377"/>
      <c r="D228" s="377"/>
      <c r="E228" s="560"/>
    </row>
    <row r="229">
      <c r="B229" s="559"/>
      <c r="C229" s="377"/>
      <c r="D229" s="377"/>
      <c r="E229" s="560"/>
    </row>
    <row r="230">
      <c r="B230" s="559"/>
      <c r="C230" s="377"/>
      <c r="D230" s="377"/>
      <c r="E230" s="560"/>
    </row>
    <row r="231">
      <c r="B231" s="559"/>
      <c r="C231" s="377"/>
      <c r="D231" s="377"/>
      <c r="E231" s="560"/>
    </row>
    <row r="232">
      <c r="B232" s="559"/>
      <c r="C232" s="377"/>
      <c r="D232" s="377"/>
      <c r="E232" s="560"/>
    </row>
    <row r="233">
      <c r="B233" s="559"/>
      <c r="C233" s="377"/>
      <c r="D233" s="377"/>
      <c r="E233" s="560"/>
    </row>
    <row r="234">
      <c r="B234" s="559"/>
      <c r="C234" s="377"/>
      <c r="D234" s="377"/>
      <c r="E234" s="560"/>
    </row>
    <row r="235">
      <c r="B235" s="559"/>
      <c r="C235" s="377"/>
      <c r="D235" s="377"/>
      <c r="E235" s="560"/>
    </row>
    <row r="236">
      <c r="B236" s="559"/>
      <c r="C236" s="377"/>
      <c r="D236" s="377"/>
      <c r="E236" s="560"/>
    </row>
    <row r="237">
      <c r="B237" s="559"/>
      <c r="C237" s="377"/>
      <c r="D237" s="377"/>
      <c r="E237" s="560"/>
    </row>
    <row r="238">
      <c r="B238" s="559"/>
      <c r="C238" s="377"/>
      <c r="D238" s="377"/>
      <c r="E238" s="560"/>
    </row>
    <row r="239">
      <c r="B239" s="559"/>
      <c r="C239" s="377"/>
      <c r="D239" s="377"/>
      <c r="E239" s="560"/>
    </row>
    <row r="240">
      <c r="B240" s="559"/>
      <c r="C240" s="377"/>
      <c r="D240" s="377"/>
      <c r="E240" s="560"/>
    </row>
    <row r="241">
      <c r="B241" s="559"/>
      <c r="C241" s="377"/>
      <c r="D241" s="377"/>
      <c r="E241" s="560"/>
    </row>
    <row r="242">
      <c r="B242" s="559"/>
      <c r="C242" s="377"/>
      <c r="D242" s="377"/>
      <c r="E242" s="560"/>
    </row>
    <row r="243">
      <c r="B243" s="559"/>
      <c r="C243" s="377"/>
      <c r="D243" s="377"/>
      <c r="E243" s="560"/>
    </row>
    <row r="244">
      <c r="B244" s="559"/>
      <c r="C244" s="377"/>
      <c r="D244" s="377"/>
      <c r="E244" s="560"/>
    </row>
    <row r="245">
      <c r="B245" s="559"/>
      <c r="C245" s="377"/>
      <c r="D245" s="377"/>
      <c r="E245" s="560"/>
    </row>
    <row r="246">
      <c r="B246" s="559"/>
      <c r="C246" s="377"/>
      <c r="D246" s="377"/>
      <c r="E246" s="560"/>
    </row>
    <row r="247">
      <c r="B247" s="559"/>
      <c r="C247" s="377"/>
      <c r="D247" s="377"/>
      <c r="E247" s="560"/>
    </row>
    <row r="248">
      <c r="B248" s="559"/>
      <c r="C248" s="377"/>
      <c r="D248" s="377"/>
      <c r="E248" s="560"/>
    </row>
    <row r="249">
      <c r="B249" s="559"/>
      <c r="C249" s="377"/>
      <c r="D249" s="377"/>
      <c r="E249" s="560"/>
    </row>
    <row r="250">
      <c r="B250" s="559"/>
      <c r="C250" s="377"/>
      <c r="D250" s="377"/>
      <c r="E250" s="560"/>
    </row>
    <row r="251">
      <c r="B251" s="559"/>
      <c r="C251" s="377"/>
      <c r="D251" s="377"/>
      <c r="E251" s="560"/>
    </row>
    <row r="252">
      <c r="B252" s="559"/>
      <c r="C252" s="377"/>
      <c r="D252" s="377"/>
      <c r="E252" s="560"/>
    </row>
    <row r="253">
      <c r="B253" s="559"/>
      <c r="C253" s="377"/>
      <c r="D253" s="377"/>
      <c r="E253" s="560"/>
    </row>
    <row r="254">
      <c r="B254" s="559"/>
      <c r="C254" s="377"/>
      <c r="D254" s="377"/>
      <c r="E254" s="560"/>
    </row>
    <row r="255">
      <c r="B255" s="559"/>
      <c r="C255" s="377"/>
      <c r="D255" s="377"/>
      <c r="E255" s="560"/>
    </row>
    <row r="256">
      <c r="B256" s="559"/>
      <c r="C256" s="377"/>
      <c r="D256" s="377"/>
      <c r="E256" s="560"/>
    </row>
    <row r="257">
      <c r="B257" s="559"/>
      <c r="C257" s="377"/>
      <c r="D257" s="377"/>
      <c r="E257" s="560"/>
    </row>
    <row r="258">
      <c r="B258" s="559"/>
      <c r="C258" s="377"/>
      <c r="D258" s="377"/>
      <c r="E258" s="560"/>
    </row>
    <row r="259">
      <c r="B259" s="559"/>
      <c r="C259" s="377"/>
      <c r="D259" s="377"/>
      <c r="E259" s="560"/>
    </row>
    <row r="260">
      <c r="B260" s="559"/>
      <c r="C260" s="377"/>
      <c r="D260" s="377"/>
      <c r="E260" s="560"/>
    </row>
    <row r="261">
      <c r="B261" s="559"/>
      <c r="C261" s="377"/>
      <c r="D261" s="377"/>
      <c r="E261" s="560"/>
    </row>
    <row r="262">
      <c r="B262" s="559"/>
      <c r="C262" s="377"/>
      <c r="D262" s="377"/>
      <c r="E262" s="560"/>
    </row>
    <row r="263">
      <c r="B263" s="559"/>
      <c r="C263" s="377"/>
      <c r="D263" s="377"/>
      <c r="E263" s="560"/>
    </row>
    <row r="264">
      <c r="B264" s="559"/>
      <c r="C264" s="377"/>
      <c r="D264" s="377"/>
      <c r="E264" s="560"/>
    </row>
    <row r="265">
      <c r="B265" s="559"/>
      <c r="C265" s="377"/>
      <c r="D265" s="377"/>
      <c r="E265" s="560"/>
    </row>
    <row r="266">
      <c r="B266" s="559"/>
      <c r="C266" s="377"/>
      <c r="D266" s="377"/>
      <c r="E266" s="560"/>
    </row>
    <row r="267">
      <c r="B267" s="559"/>
      <c r="C267" s="377"/>
      <c r="D267" s="377"/>
      <c r="E267" s="560"/>
    </row>
    <row r="268">
      <c r="B268" s="559"/>
      <c r="C268" s="377"/>
      <c r="D268" s="377"/>
      <c r="E268" s="560"/>
    </row>
    <row r="269">
      <c r="B269" s="559"/>
      <c r="C269" s="377"/>
      <c r="D269" s="377"/>
      <c r="E269" s="560"/>
    </row>
    <row r="270">
      <c r="B270" s="559"/>
      <c r="C270" s="377"/>
      <c r="D270" s="377"/>
      <c r="E270" s="560"/>
    </row>
    <row r="271">
      <c r="B271" s="559"/>
      <c r="C271" s="377"/>
      <c r="D271" s="377"/>
      <c r="E271" s="560"/>
    </row>
    <row r="272">
      <c r="B272" s="559"/>
      <c r="C272" s="377"/>
      <c r="D272" s="377"/>
      <c r="E272" s="560"/>
    </row>
    <row r="273">
      <c r="B273" s="559"/>
      <c r="C273" s="377"/>
      <c r="D273" s="377"/>
      <c r="E273" s="560"/>
    </row>
    <row r="274">
      <c r="B274" s="559"/>
      <c r="C274" s="377"/>
      <c r="D274" s="377"/>
      <c r="E274" s="560"/>
    </row>
    <row r="275">
      <c r="B275" s="559"/>
      <c r="C275" s="377"/>
      <c r="D275" s="377"/>
      <c r="E275" s="560"/>
    </row>
    <row r="276">
      <c r="B276" s="559"/>
      <c r="C276" s="377"/>
      <c r="D276" s="377"/>
      <c r="E276" s="560"/>
    </row>
    <row r="277">
      <c r="B277" s="559"/>
      <c r="C277" s="377"/>
      <c r="D277" s="377"/>
      <c r="E277" s="560"/>
    </row>
    <row r="278">
      <c r="B278" s="559"/>
      <c r="C278" s="377"/>
      <c r="D278" s="377"/>
      <c r="E278" s="560"/>
    </row>
    <row r="279">
      <c r="B279" s="559"/>
      <c r="C279" s="377"/>
      <c r="D279" s="377"/>
      <c r="E279" s="560"/>
    </row>
    <row r="280">
      <c r="B280" s="559"/>
      <c r="C280" s="377"/>
      <c r="D280" s="377"/>
      <c r="E280" s="560"/>
    </row>
    <row r="281">
      <c r="B281" s="559"/>
      <c r="C281" s="377"/>
      <c r="D281" s="377"/>
      <c r="E281" s="560"/>
    </row>
    <row r="282">
      <c r="B282" s="559"/>
      <c r="C282" s="377"/>
      <c r="D282" s="377"/>
      <c r="E282" s="560"/>
    </row>
    <row r="283">
      <c r="B283" s="559"/>
      <c r="C283" s="377"/>
      <c r="D283" s="377"/>
      <c r="E283" s="560"/>
    </row>
    <row r="284">
      <c r="B284" s="559"/>
      <c r="C284" s="377"/>
      <c r="D284" s="377"/>
      <c r="E284" s="560"/>
    </row>
    <row r="285">
      <c r="B285" s="559"/>
      <c r="C285" s="377"/>
      <c r="D285" s="377"/>
      <c r="E285" s="560"/>
    </row>
    <row r="286">
      <c r="B286" s="559"/>
      <c r="C286" s="377"/>
      <c r="D286" s="377"/>
      <c r="E286" s="560"/>
    </row>
    <row r="287">
      <c r="B287" s="559"/>
      <c r="C287" s="377"/>
      <c r="D287" s="377"/>
      <c r="E287" s="560"/>
    </row>
    <row r="288">
      <c r="B288" s="559"/>
      <c r="C288" s="377"/>
      <c r="D288" s="377"/>
      <c r="E288" s="560"/>
    </row>
    <row r="289">
      <c r="B289" s="559"/>
      <c r="C289" s="377"/>
      <c r="D289" s="377"/>
      <c r="E289" s="560"/>
    </row>
    <row r="290">
      <c r="B290" s="559"/>
      <c r="C290" s="377"/>
      <c r="D290" s="377"/>
      <c r="E290" s="560"/>
    </row>
    <row r="291">
      <c r="B291" s="559"/>
      <c r="C291" s="377"/>
      <c r="D291" s="377"/>
      <c r="E291" s="560"/>
    </row>
    <row r="292">
      <c r="B292" s="559"/>
      <c r="C292" s="377"/>
      <c r="D292" s="377"/>
      <c r="E292" s="560"/>
    </row>
    <row r="293">
      <c r="B293" s="559"/>
      <c r="C293" s="377"/>
      <c r="D293" s="377"/>
      <c r="E293" s="560"/>
    </row>
    <row r="294">
      <c r="B294" s="559"/>
      <c r="C294" s="377"/>
      <c r="D294" s="377"/>
      <c r="E294" s="560"/>
    </row>
    <row r="295">
      <c r="B295" s="559"/>
      <c r="C295" s="377"/>
      <c r="D295" s="377"/>
      <c r="E295" s="560"/>
    </row>
    <row r="296">
      <c r="B296" s="559"/>
      <c r="C296" s="377"/>
      <c r="D296" s="377"/>
      <c r="E296" s="560"/>
    </row>
    <row r="297">
      <c r="B297" s="559"/>
      <c r="C297" s="377"/>
      <c r="D297" s="377"/>
      <c r="E297" s="560"/>
    </row>
    <row r="298">
      <c r="B298" s="559"/>
      <c r="C298" s="377"/>
      <c r="D298" s="377"/>
      <c r="E298" s="560"/>
    </row>
    <row r="299">
      <c r="B299" s="559"/>
      <c r="C299" s="377"/>
      <c r="D299" s="377"/>
      <c r="E299" s="560"/>
    </row>
    <row r="300">
      <c r="B300" s="559"/>
      <c r="C300" s="377"/>
      <c r="D300" s="377"/>
      <c r="E300" s="560"/>
    </row>
    <row r="301">
      <c r="B301" s="559"/>
      <c r="C301" s="377"/>
      <c r="D301" s="377"/>
      <c r="E301" s="560"/>
    </row>
    <row r="302">
      <c r="B302" s="559"/>
      <c r="C302" s="377"/>
      <c r="D302" s="377"/>
      <c r="E302" s="560"/>
    </row>
    <row r="303">
      <c r="B303" s="559"/>
      <c r="C303" s="377"/>
      <c r="D303" s="377"/>
      <c r="E303" s="560"/>
    </row>
    <row r="304">
      <c r="B304" s="559"/>
      <c r="C304" s="377"/>
      <c r="D304" s="377"/>
      <c r="E304" s="560"/>
    </row>
    <row r="305">
      <c r="B305" s="559"/>
      <c r="C305" s="377"/>
      <c r="D305" s="377"/>
      <c r="E305" s="560"/>
    </row>
    <row r="306">
      <c r="B306" s="559"/>
      <c r="C306" s="377"/>
      <c r="D306" s="377"/>
      <c r="E306" s="560"/>
    </row>
    <row r="307">
      <c r="B307" s="559"/>
      <c r="C307" s="377"/>
      <c r="D307" s="377"/>
      <c r="E307" s="560"/>
    </row>
    <row r="308">
      <c r="B308" s="559"/>
      <c r="C308" s="377"/>
      <c r="D308" s="377"/>
      <c r="E308" s="560"/>
    </row>
    <row r="309">
      <c r="B309" s="559"/>
      <c r="C309" s="377"/>
      <c r="D309" s="377"/>
      <c r="E309" s="560"/>
    </row>
    <row r="310">
      <c r="B310" s="559"/>
      <c r="C310" s="377"/>
      <c r="D310" s="377"/>
      <c r="E310" s="560"/>
    </row>
    <row r="311">
      <c r="B311" s="559"/>
      <c r="C311" s="377"/>
      <c r="D311" s="377"/>
      <c r="E311" s="560"/>
    </row>
    <row r="312">
      <c r="B312" s="559"/>
      <c r="C312" s="377"/>
      <c r="D312" s="377"/>
      <c r="E312" s="560"/>
    </row>
    <row r="313">
      <c r="B313" s="559"/>
      <c r="C313" s="377"/>
      <c r="D313" s="377"/>
      <c r="E313" s="560"/>
    </row>
    <row r="314">
      <c r="B314" s="559"/>
      <c r="C314" s="377"/>
      <c r="D314" s="377"/>
      <c r="E314" s="560"/>
    </row>
    <row r="315">
      <c r="B315" s="559"/>
      <c r="C315" s="377"/>
      <c r="D315" s="377"/>
      <c r="E315" s="560"/>
    </row>
    <row r="316">
      <c r="B316" s="559"/>
      <c r="C316" s="377"/>
      <c r="D316" s="377"/>
      <c r="E316" s="560"/>
    </row>
    <row r="317">
      <c r="B317" s="559"/>
      <c r="C317" s="377"/>
      <c r="D317" s="377"/>
      <c r="E317" s="560"/>
    </row>
    <row r="318">
      <c r="B318" s="559"/>
      <c r="C318" s="377"/>
      <c r="D318" s="377"/>
      <c r="E318" s="560"/>
    </row>
    <row r="319">
      <c r="B319" s="559"/>
      <c r="C319" s="377"/>
      <c r="D319" s="377"/>
      <c r="E319" s="560"/>
    </row>
    <row r="320">
      <c r="B320" s="559"/>
      <c r="C320" s="377"/>
      <c r="D320" s="377"/>
      <c r="E320" s="560"/>
    </row>
    <row r="321">
      <c r="B321" s="559"/>
      <c r="C321" s="377"/>
      <c r="D321" s="377"/>
      <c r="E321" s="560"/>
    </row>
    <row r="322">
      <c r="B322" s="559"/>
      <c r="C322" s="377"/>
      <c r="D322" s="377"/>
      <c r="E322" s="560"/>
    </row>
    <row r="323">
      <c r="B323" s="559"/>
      <c r="C323" s="377"/>
      <c r="D323" s="377"/>
      <c r="E323" s="560"/>
    </row>
    <row r="324">
      <c r="B324" s="559"/>
      <c r="C324" s="377"/>
      <c r="D324" s="377"/>
      <c r="E324" s="560"/>
    </row>
    <row r="325">
      <c r="B325" s="559"/>
      <c r="C325" s="377"/>
      <c r="D325" s="377"/>
      <c r="E325" s="560"/>
    </row>
    <row r="326">
      <c r="B326" s="559"/>
      <c r="C326" s="377"/>
      <c r="D326" s="377"/>
      <c r="E326" s="560"/>
    </row>
    <row r="327">
      <c r="B327" s="559"/>
      <c r="C327" s="377"/>
      <c r="D327" s="377"/>
      <c r="E327" s="560"/>
    </row>
    <row r="328">
      <c r="B328" s="559"/>
      <c r="C328" s="377"/>
      <c r="D328" s="377"/>
      <c r="E328" s="560"/>
    </row>
    <row r="329">
      <c r="B329" s="559"/>
      <c r="C329" s="377"/>
      <c r="D329" s="377"/>
      <c r="E329" s="560"/>
    </row>
    <row r="330">
      <c r="B330" s="559"/>
      <c r="C330" s="377"/>
      <c r="D330" s="377"/>
      <c r="E330" s="560"/>
    </row>
    <row r="331">
      <c r="B331" s="559"/>
      <c r="C331" s="377"/>
      <c r="D331" s="377"/>
      <c r="E331" s="560"/>
    </row>
    <row r="332">
      <c r="B332" s="559"/>
      <c r="C332" s="377"/>
      <c r="D332" s="377"/>
      <c r="E332" s="560"/>
    </row>
    <row r="333">
      <c r="B333" s="559"/>
      <c r="C333" s="377"/>
      <c r="D333" s="377"/>
      <c r="E333" s="560"/>
    </row>
    <row r="334">
      <c r="B334" s="559"/>
      <c r="C334" s="377"/>
      <c r="D334" s="377"/>
      <c r="E334" s="560"/>
    </row>
    <row r="335">
      <c r="B335" s="559"/>
      <c r="C335" s="377"/>
      <c r="D335" s="377"/>
      <c r="E335" s="560"/>
    </row>
    <row r="336">
      <c r="B336" s="559"/>
      <c r="C336" s="377"/>
      <c r="D336" s="377"/>
      <c r="E336" s="560"/>
    </row>
    <row r="337">
      <c r="B337" s="559"/>
      <c r="C337" s="377"/>
      <c r="D337" s="377"/>
      <c r="E337" s="560"/>
    </row>
    <row r="338">
      <c r="B338" s="559"/>
      <c r="C338" s="377"/>
      <c r="D338" s="377"/>
      <c r="E338" s="560"/>
    </row>
    <row r="339">
      <c r="B339" s="559"/>
      <c r="C339" s="377"/>
      <c r="D339" s="377"/>
      <c r="E339" s="560"/>
    </row>
    <row r="340">
      <c r="B340" s="559"/>
      <c r="C340" s="377"/>
      <c r="D340" s="377"/>
      <c r="E340" s="560"/>
    </row>
    <row r="341">
      <c r="B341" s="559"/>
      <c r="C341" s="377"/>
      <c r="D341" s="377"/>
      <c r="E341" s="560"/>
    </row>
    <row r="342">
      <c r="B342" s="559"/>
      <c r="C342" s="377"/>
      <c r="D342" s="377"/>
      <c r="E342" s="560"/>
    </row>
    <row r="343">
      <c r="B343" s="559"/>
      <c r="C343" s="377"/>
      <c r="D343" s="377"/>
      <c r="E343" s="560"/>
    </row>
    <row r="344">
      <c r="B344" s="559"/>
      <c r="C344" s="377"/>
      <c r="D344" s="377"/>
      <c r="E344" s="560"/>
    </row>
    <row r="345">
      <c r="B345" s="559"/>
      <c r="C345" s="377"/>
      <c r="D345" s="377"/>
      <c r="E345" s="560"/>
    </row>
    <row r="346">
      <c r="B346" s="559"/>
      <c r="C346" s="377"/>
      <c r="D346" s="377"/>
      <c r="E346" s="560"/>
    </row>
    <row r="347">
      <c r="B347" s="559"/>
      <c r="C347" s="377"/>
      <c r="D347" s="377"/>
      <c r="E347" s="560"/>
    </row>
    <row r="348">
      <c r="B348" s="559"/>
      <c r="C348" s="377"/>
      <c r="D348" s="377"/>
      <c r="E348" s="560"/>
    </row>
    <row r="349">
      <c r="B349" s="559"/>
      <c r="C349" s="377"/>
      <c r="D349" s="377"/>
      <c r="E349" s="560"/>
    </row>
    <row r="350">
      <c r="B350" s="559"/>
      <c r="C350" s="377"/>
      <c r="D350" s="377"/>
      <c r="E350" s="560"/>
    </row>
    <row r="351">
      <c r="B351" s="559"/>
      <c r="C351" s="377"/>
      <c r="D351" s="377"/>
      <c r="E351" s="560"/>
    </row>
    <row r="352">
      <c r="B352" s="559"/>
      <c r="C352" s="377"/>
      <c r="D352" s="377"/>
      <c r="E352" s="560"/>
    </row>
    <row r="353">
      <c r="B353" s="559"/>
      <c r="C353" s="377"/>
      <c r="D353" s="377"/>
      <c r="E353" s="560"/>
    </row>
    <row r="354">
      <c r="B354" s="559"/>
      <c r="C354" s="377"/>
      <c r="D354" s="377"/>
      <c r="E354" s="560"/>
    </row>
    <row r="355">
      <c r="B355" s="559"/>
      <c r="C355" s="377"/>
      <c r="D355" s="377"/>
      <c r="E355" s="560"/>
    </row>
    <row r="356">
      <c r="B356" s="559"/>
      <c r="C356" s="377"/>
      <c r="D356" s="377"/>
      <c r="E356" s="560"/>
    </row>
    <row r="357">
      <c r="B357" s="559"/>
      <c r="C357" s="377"/>
      <c r="D357" s="377"/>
      <c r="E357" s="560"/>
    </row>
    <row r="358">
      <c r="B358" s="559"/>
      <c r="C358" s="377"/>
      <c r="D358" s="377"/>
      <c r="E358" s="560"/>
    </row>
    <row r="359">
      <c r="B359" s="559"/>
      <c r="C359" s="377"/>
      <c r="D359" s="377"/>
      <c r="E359" s="560"/>
    </row>
    <row r="360">
      <c r="B360" s="559"/>
      <c r="C360" s="377"/>
      <c r="D360" s="377"/>
      <c r="E360" s="560"/>
    </row>
    <row r="361">
      <c r="B361" s="559"/>
      <c r="C361" s="377"/>
      <c r="D361" s="377"/>
      <c r="E361" s="560"/>
    </row>
    <row r="362">
      <c r="B362" s="559"/>
      <c r="C362" s="377"/>
      <c r="D362" s="377"/>
      <c r="E362" s="560"/>
    </row>
    <row r="363">
      <c r="B363" s="559"/>
      <c r="C363" s="377"/>
      <c r="D363" s="377"/>
      <c r="E363" s="560"/>
    </row>
    <row r="364">
      <c r="B364" s="559"/>
      <c r="C364" s="377"/>
      <c r="D364" s="377"/>
      <c r="E364" s="560"/>
    </row>
    <row r="365">
      <c r="B365" s="559"/>
      <c r="C365" s="377"/>
      <c r="D365" s="377"/>
      <c r="E365" s="560"/>
    </row>
    <row r="366">
      <c r="B366" s="559"/>
      <c r="C366" s="377"/>
      <c r="D366" s="377"/>
      <c r="E366" s="560"/>
    </row>
    <row r="367">
      <c r="B367" s="559"/>
      <c r="C367" s="377"/>
      <c r="D367" s="377"/>
      <c r="E367" s="560"/>
    </row>
    <row r="368">
      <c r="B368" s="559"/>
      <c r="C368" s="377"/>
      <c r="D368" s="377"/>
      <c r="E368" s="560"/>
    </row>
    <row r="369">
      <c r="B369" s="559"/>
      <c r="C369" s="377"/>
      <c r="D369" s="377"/>
      <c r="E369" s="560"/>
    </row>
    <row r="370">
      <c r="B370" s="559"/>
      <c r="C370" s="377"/>
      <c r="D370" s="377"/>
      <c r="E370" s="560"/>
    </row>
    <row r="371">
      <c r="B371" s="559"/>
      <c r="C371" s="377"/>
      <c r="D371" s="377"/>
      <c r="E371" s="560"/>
    </row>
    <row r="372">
      <c r="B372" s="559"/>
      <c r="C372" s="377"/>
      <c r="D372" s="377"/>
      <c r="E372" s="560"/>
    </row>
    <row r="373">
      <c r="B373" s="559"/>
      <c r="C373" s="377"/>
      <c r="D373" s="377"/>
      <c r="E373" s="560"/>
    </row>
    <row r="374">
      <c r="B374" s="559"/>
      <c r="C374" s="377"/>
      <c r="D374" s="377"/>
      <c r="E374" s="560"/>
    </row>
    <row r="375">
      <c r="B375" s="559"/>
      <c r="C375" s="377"/>
      <c r="D375" s="377"/>
      <c r="E375" s="560"/>
    </row>
    <row r="376">
      <c r="B376" s="559"/>
      <c r="C376" s="377"/>
      <c r="D376" s="377"/>
      <c r="E376" s="560"/>
    </row>
    <row r="377">
      <c r="B377" s="559"/>
      <c r="C377" s="377"/>
      <c r="D377" s="377"/>
      <c r="E377" s="560"/>
    </row>
    <row r="378">
      <c r="B378" s="559"/>
      <c r="C378" s="377"/>
      <c r="D378" s="377"/>
      <c r="E378" s="560"/>
    </row>
    <row r="379">
      <c r="B379" s="559"/>
      <c r="C379" s="377"/>
      <c r="D379" s="377"/>
      <c r="E379" s="560"/>
    </row>
    <row r="380">
      <c r="B380" s="559"/>
      <c r="C380" s="377"/>
      <c r="D380" s="377"/>
      <c r="E380" s="560"/>
    </row>
    <row r="381">
      <c r="B381" s="559"/>
      <c r="C381" s="377"/>
      <c r="D381" s="377"/>
      <c r="E381" s="560"/>
    </row>
    <row r="382">
      <c r="B382" s="559"/>
      <c r="C382" s="377"/>
      <c r="D382" s="377"/>
      <c r="E382" s="560"/>
    </row>
    <row r="383">
      <c r="B383" s="559"/>
      <c r="C383" s="377"/>
      <c r="D383" s="377"/>
      <c r="E383" s="560"/>
    </row>
    <row r="384">
      <c r="B384" s="559"/>
      <c r="C384" s="377"/>
      <c r="D384" s="377"/>
      <c r="E384" s="560"/>
    </row>
    <row r="385">
      <c r="B385" s="559"/>
      <c r="C385" s="377"/>
      <c r="D385" s="377"/>
      <c r="E385" s="560"/>
    </row>
    <row r="386">
      <c r="B386" s="559"/>
      <c r="C386" s="377"/>
      <c r="D386" s="377"/>
      <c r="E386" s="560"/>
    </row>
    <row r="387">
      <c r="B387" s="559"/>
      <c r="C387" s="377"/>
      <c r="D387" s="377"/>
      <c r="E387" s="560"/>
    </row>
    <row r="388">
      <c r="B388" s="559"/>
      <c r="C388" s="377"/>
      <c r="D388" s="377"/>
      <c r="E388" s="560"/>
    </row>
    <row r="389">
      <c r="B389" s="559"/>
      <c r="C389" s="377"/>
      <c r="D389" s="377"/>
      <c r="E389" s="560"/>
    </row>
    <row r="390">
      <c r="B390" s="559"/>
      <c r="C390" s="377"/>
      <c r="D390" s="377"/>
      <c r="E390" s="560"/>
    </row>
    <row r="391">
      <c r="B391" s="559"/>
      <c r="C391" s="377"/>
      <c r="D391" s="377"/>
      <c r="E391" s="560"/>
    </row>
    <row r="392">
      <c r="B392" s="559"/>
      <c r="C392" s="377"/>
      <c r="D392" s="377"/>
      <c r="E392" s="560"/>
    </row>
    <row r="393">
      <c r="B393" s="559"/>
      <c r="C393" s="377"/>
      <c r="D393" s="377"/>
      <c r="E393" s="560"/>
    </row>
    <row r="394">
      <c r="B394" s="559"/>
      <c r="C394" s="377"/>
      <c r="D394" s="377"/>
      <c r="E394" s="560"/>
    </row>
    <row r="395">
      <c r="B395" s="559"/>
      <c r="C395" s="377"/>
      <c r="D395" s="377"/>
      <c r="E395" s="560"/>
    </row>
    <row r="396">
      <c r="B396" s="559"/>
      <c r="C396" s="377"/>
      <c r="D396" s="377"/>
      <c r="E396" s="560"/>
    </row>
    <row r="397">
      <c r="B397" s="559"/>
      <c r="C397" s="377"/>
      <c r="D397" s="377"/>
      <c r="E397" s="560"/>
    </row>
    <row r="398">
      <c r="B398" s="559"/>
      <c r="C398" s="377"/>
      <c r="D398" s="377"/>
      <c r="E398" s="560"/>
    </row>
    <row r="399">
      <c r="B399" s="559"/>
      <c r="C399" s="377"/>
      <c r="D399" s="377"/>
      <c r="E399" s="560"/>
    </row>
    <row r="400">
      <c r="B400" s="559"/>
      <c r="C400" s="377"/>
      <c r="D400" s="377"/>
      <c r="E400" s="560"/>
    </row>
    <row r="401">
      <c r="B401" s="559"/>
      <c r="C401" s="377"/>
      <c r="D401" s="377"/>
      <c r="E401" s="560"/>
    </row>
    <row r="402">
      <c r="B402" s="559"/>
      <c r="C402" s="377"/>
      <c r="D402" s="377"/>
      <c r="E402" s="560"/>
    </row>
    <row r="403">
      <c r="B403" s="559"/>
      <c r="C403" s="377"/>
      <c r="D403" s="377"/>
      <c r="E403" s="560"/>
    </row>
    <row r="404">
      <c r="B404" s="559"/>
      <c r="C404" s="377"/>
      <c r="D404" s="377"/>
      <c r="E404" s="560"/>
    </row>
    <row r="405">
      <c r="B405" s="559"/>
      <c r="C405" s="377"/>
      <c r="D405" s="377"/>
      <c r="E405" s="560"/>
    </row>
    <row r="406">
      <c r="B406" s="559"/>
      <c r="C406" s="377"/>
      <c r="D406" s="377"/>
      <c r="E406" s="560"/>
    </row>
    <row r="407">
      <c r="B407" s="559"/>
      <c r="C407" s="377"/>
      <c r="D407" s="377"/>
      <c r="E407" s="560"/>
    </row>
    <row r="408">
      <c r="B408" s="559"/>
      <c r="C408" s="377"/>
      <c r="D408" s="377"/>
      <c r="E408" s="560"/>
    </row>
    <row r="409">
      <c r="B409" s="559"/>
      <c r="C409" s="377"/>
      <c r="D409" s="377"/>
      <c r="E409" s="560"/>
    </row>
    <row r="410">
      <c r="B410" s="559"/>
      <c r="C410" s="377"/>
      <c r="D410" s="377"/>
      <c r="E410" s="560"/>
    </row>
    <row r="411">
      <c r="B411" s="559"/>
      <c r="C411" s="377"/>
      <c r="D411" s="377"/>
      <c r="E411" s="560"/>
    </row>
    <row r="412">
      <c r="B412" s="559"/>
      <c r="C412" s="377"/>
      <c r="D412" s="377"/>
      <c r="E412" s="560"/>
    </row>
    <row r="413">
      <c r="B413" s="559"/>
      <c r="C413" s="377"/>
      <c r="D413" s="377"/>
      <c r="E413" s="560"/>
    </row>
    <row r="414">
      <c r="B414" s="559"/>
      <c r="C414" s="377"/>
      <c r="D414" s="377"/>
      <c r="E414" s="560"/>
    </row>
    <row r="415">
      <c r="B415" s="559"/>
      <c r="C415" s="377"/>
      <c r="D415" s="377"/>
      <c r="E415" s="560"/>
    </row>
    <row r="416">
      <c r="B416" s="559"/>
      <c r="C416" s="377"/>
      <c r="D416" s="377"/>
      <c r="E416" s="560"/>
    </row>
    <row r="417">
      <c r="B417" s="559"/>
      <c r="C417" s="377"/>
      <c r="D417" s="377"/>
      <c r="E417" s="560"/>
    </row>
    <row r="418">
      <c r="B418" s="559"/>
      <c r="C418" s="377"/>
      <c r="D418" s="377"/>
      <c r="E418" s="560"/>
    </row>
    <row r="419">
      <c r="B419" s="559"/>
      <c r="C419" s="377"/>
      <c r="D419" s="377"/>
      <c r="E419" s="560"/>
    </row>
    <row r="420">
      <c r="B420" s="559"/>
      <c r="C420" s="377"/>
      <c r="D420" s="377"/>
      <c r="E420" s="560"/>
    </row>
    <row r="421">
      <c r="B421" s="559"/>
      <c r="C421" s="377"/>
      <c r="D421" s="377"/>
      <c r="E421" s="560"/>
    </row>
    <row r="422">
      <c r="B422" s="559"/>
      <c r="C422" s="377"/>
      <c r="D422" s="377"/>
      <c r="E422" s="560"/>
    </row>
    <row r="423">
      <c r="B423" s="559"/>
      <c r="C423" s="377"/>
      <c r="D423" s="377"/>
      <c r="E423" s="560"/>
    </row>
    <row r="424">
      <c r="B424" s="559"/>
      <c r="C424" s="377"/>
      <c r="D424" s="377"/>
      <c r="E424" s="560"/>
    </row>
    <row r="425">
      <c r="B425" s="559"/>
      <c r="C425" s="377"/>
      <c r="D425" s="377"/>
      <c r="E425" s="560"/>
    </row>
    <row r="426">
      <c r="B426" s="559"/>
      <c r="C426" s="377"/>
      <c r="D426" s="377"/>
      <c r="E426" s="560"/>
    </row>
    <row r="427">
      <c r="B427" s="559"/>
      <c r="C427" s="377"/>
      <c r="D427" s="377"/>
      <c r="E427" s="560"/>
    </row>
    <row r="428">
      <c r="B428" s="559"/>
      <c r="C428" s="377"/>
      <c r="D428" s="377"/>
      <c r="E428" s="560"/>
    </row>
    <row r="429">
      <c r="B429" s="559"/>
      <c r="C429" s="377"/>
      <c r="D429" s="377"/>
      <c r="E429" s="560"/>
    </row>
    <row r="430">
      <c r="B430" s="559"/>
      <c r="C430" s="377"/>
      <c r="D430" s="377"/>
      <c r="E430" s="560"/>
    </row>
    <row r="431">
      <c r="B431" s="559"/>
      <c r="C431" s="377"/>
      <c r="D431" s="377"/>
      <c r="E431" s="560"/>
    </row>
    <row r="432">
      <c r="B432" s="559"/>
      <c r="C432" s="377"/>
      <c r="D432" s="377"/>
      <c r="E432" s="560"/>
    </row>
    <row r="433">
      <c r="B433" s="559"/>
      <c r="C433" s="377"/>
      <c r="D433" s="377"/>
      <c r="E433" s="560"/>
    </row>
    <row r="434">
      <c r="B434" s="559"/>
      <c r="C434" s="377"/>
      <c r="D434" s="377"/>
      <c r="E434" s="560"/>
    </row>
    <row r="435">
      <c r="B435" s="559"/>
      <c r="C435" s="377"/>
      <c r="D435" s="377"/>
      <c r="E435" s="560"/>
    </row>
    <row r="436">
      <c r="B436" s="559"/>
      <c r="C436" s="377"/>
      <c r="D436" s="377"/>
      <c r="E436" s="560"/>
    </row>
    <row r="437">
      <c r="B437" s="559"/>
      <c r="C437" s="377"/>
      <c r="D437" s="377"/>
      <c r="E437" s="560"/>
    </row>
    <row r="438">
      <c r="B438" s="559"/>
      <c r="C438" s="377"/>
      <c r="D438" s="377"/>
      <c r="E438" s="560"/>
    </row>
    <row r="439">
      <c r="B439" s="559"/>
      <c r="C439" s="377"/>
      <c r="D439" s="377"/>
      <c r="E439" s="560"/>
    </row>
    <row r="440">
      <c r="B440" s="559"/>
      <c r="C440" s="377"/>
      <c r="D440" s="377"/>
      <c r="E440" s="560"/>
    </row>
    <row r="441">
      <c r="B441" s="559"/>
      <c r="C441" s="377"/>
      <c r="D441" s="377"/>
      <c r="E441" s="560"/>
    </row>
    <row r="442">
      <c r="B442" s="559"/>
      <c r="C442" s="377"/>
      <c r="D442" s="377"/>
      <c r="E442" s="560"/>
    </row>
    <row r="443">
      <c r="B443" s="559"/>
      <c r="C443" s="377"/>
      <c r="D443" s="377"/>
      <c r="E443" s="560"/>
    </row>
    <row r="444">
      <c r="B444" s="559"/>
      <c r="C444" s="377"/>
      <c r="D444" s="377"/>
      <c r="E444" s="560"/>
    </row>
    <row r="445">
      <c r="B445" s="559"/>
      <c r="C445" s="377"/>
      <c r="D445" s="377"/>
      <c r="E445" s="560"/>
    </row>
    <row r="446">
      <c r="B446" s="559"/>
      <c r="C446" s="377"/>
      <c r="D446" s="377"/>
      <c r="E446" s="560"/>
    </row>
    <row r="447">
      <c r="B447" s="559"/>
      <c r="C447" s="377"/>
      <c r="D447" s="377"/>
      <c r="E447" s="560"/>
    </row>
    <row r="448">
      <c r="B448" s="559"/>
      <c r="C448" s="377"/>
      <c r="D448" s="377"/>
      <c r="E448" s="560"/>
    </row>
    <row r="449">
      <c r="B449" s="559"/>
      <c r="C449" s="377"/>
      <c r="D449" s="377"/>
      <c r="E449" s="560"/>
    </row>
    <row r="450">
      <c r="B450" s="559"/>
      <c r="C450" s="377"/>
      <c r="D450" s="377"/>
      <c r="E450" s="560"/>
    </row>
    <row r="451">
      <c r="B451" s="559"/>
      <c r="C451" s="377"/>
      <c r="D451" s="377"/>
      <c r="E451" s="560"/>
    </row>
    <row r="452">
      <c r="B452" s="559"/>
      <c r="C452" s="377"/>
      <c r="D452" s="377"/>
      <c r="E452" s="560"/>
    </row>
    <row r="453">
      <c r="B453" s="559"/>
      <c r="C453" s="377"/>
      <c r="D453" s="377"/>
      <c r="E453" s="560"/>
    </row>
    <row r="454">
      <c r="B454" s="559"/>
      <c r="C454" s="377"/>
      <c r="D454" s="377"/>
      <c r="E454" s="560"/>
    </row>
    <row r="455">
      <c r="B455" s="559"/>
      <c r="C455" s="377"/>
      <c r="D455" s="377"/>
      <c r="E455" s="560"/>
    </row>
    <row r="456">
      <c r="B456" s="559"/>
      <c r="C456" s="377"/>
      <c r="D456" s="377"/>
      <c r="E456" s="560"/>
    </row>
    <row r="457">
      <c r="B457" s="559"/>
      <c r="C457" s="377"/>
      <c r="D457" s="377"/>
      <c r="E457" s="560"/>
    </row>
    <row r="458">
      <c r="B458" s="559"/>
      <c r="C458" s="377"/>
      <c r="D458" s="377"/>
      <c r="E458" s="560"/>
    </row>
    <row r="459">
      <c r="B459" s="559"/>
      <c r="C459" s="377"/>
      <c r="D459" s="377"/>
      <c r="E459" s="560"/>
    </row>
    <row r="460">
      <c r="B460" s="559"/>
      <c r="C460" s="377"/>
      <c r="D460" s="377"/>
      <c r="E460" s="560"/>
    </row>
    <row r="461">
      <c r="B461" s="559"/>
      <c r="C461" s="377"/>
      <c r="D461" s="377"/>
      <c r="E461" s="560"/>
    </row>
    <row r="462">
      <c r="B462" s="559"/>
      <c r="C462" s="377"/>
      <c r="D462" s="377"/>
      <c r="E462" s="560"/>
    </row>
    <row r="463">
      <c r="B463" s="559"/>
      <c r="C463" s="377"/>
      <c r="D463" s="377"/>
      <c r="E463" s="560"/>
    </row>
    <row r="464">
      <c r="B464" s="559"/>
      <c r="C464" s="377"/>
      <c r="D464" s="377"/>
      <c r="E464" s="560"/>
    </row>
    <row r="465">
      <c r="B465" s="559"/>
      <c r="C465" s="377"/>
      <c r="D465" s="377"/>
      <c r="E465" s="560"/>
    </row>
    <row r="466">
      <c r="B466" s="559"/>
      <c r="C466" s="377"/>
      <c r="D466" s="377"/>
      <c r="E466" s="560"/>
    </row>
    <row r="467">
      <c r="B467" s="559"/>
      <c r="C467" s="377"/>
      <c r="D467" s="377"/>
      <c r="E467" s="560"/>
    </row>
    <row r="468">
      <c r="B468" s="559"/>
      <c r="C468" s="377"/>
      <c r="D468" s="377"/>
      <c r="E468" s="560"/>
    </row>
    <row r="469">
      <c r="B469" s="559"/>
      <c r="C469" s="377"/>
      <c r="D469" s="377"/>
      <c r="E469" s="560"/>
    </row>
    <row r="470">
      <c r="B470" s="559"/>
      <c r="C470" s="377"/>
      <c r="D470" s="377"/>
      <c r="E470" s="560"/>
    </row>
    <row r="471">
      <c r="B471" s="559"/>
      <c r="C471" s="377"/>
      <c r="D471" s="377"/>
      <c r="E471" s="560"/>
    </row>
    <row r="472">
      <c r="B472" s="559"/>
      <c r="C472" s="377"/>
      <c r="D472" s="377"/>
      <c r="E472" s="560"/>
    </row>
    <row r="473">
      <c r="B473" s="559"/>
      <c r="C473" s="377"/>
      <c r="D473" s="377"/>
      <c r="E473" s="560"/>
    </row>
    <row r="474">
      <c r="B474" s="559"/>
      <c r="C474" s="377"/>
      <c r="D474" s="377"/>
      <c r="E474" s="560"/>
    </row>
    <row r="475">
      <c r="B475" s="559"/>
      <c r="C475" s="377"/>
      <c r="D475" s="377"/>
      <c r="E475" s="560"/>
    </row>
    <row r="476">
      <c r="B476" s="559"/>
      <c r="C476" s="377"/>
      <c r="D476" s="377"/>
      <c r="E476" s="560"/>
    </row>
    <row r="477">
      <c r="B477" s="559"/>
      <c r="C477" s="377"/>
      <c r="D477" s="377"/>
      <c r="E477" s="560"/>
    </row>
    <row r="478">
      <c r="B478" s="559"/>
      <c r="C478" s="377"/>
      <c r="D478" s="377"/>
      <c r="E478" s="560"/>
    </row>
    <row r="479">
      <c r="B479" s="559"/>
      <c r="C479" s="377"/>
      <c r="D479" s="377"/>
      <c r="E479" s="560"/>
    </row>
    <row r="480">
      <c r="B480" s="559"/>
      <c r="C480" s="377"/>
      <c r="D480" s="377"/>
      <c r="E480" s="560"/>
    </row>
    <row r="481">
      <c r="B481" s="559"/>
      <c r="C481" s="377"/>
      <c r="D481" s="377"/>
      <c r="E481" s="560"/>
    </row>
    <row r="482">
      <c r="B482" s="559"/>
      <c r="C482" s="377"/>
      <c r="D482" s="377"/>
      <c r="E482" s="560"/>
    </row>
    <row r="483">
      <c r="B483" s="559"/>
      <c r="C483" s="377"/>
      <c r="D483" s="377"/>
      <c r="E483" s="560"/>
    </row>
    <row r="484">
      <c r="B484" s="559"/>
      <c r="C484" s="377"/>
      <c r="D484" s="377"/>
      <c r="E484" s="560"/>
    </row>
    <row r="485">
      <c r="B485" s="559"/>
      <c r="C485" s="377"/>
      <c r="D485" s="377"/>
      <c r="E485" s="560"/>
    </row>
    <row r="486">
      <c r="B486" s="559"/>
      <c r="C486" s="377"/>
      <c r="D486" s="377"/>
      <c r="E486" s="560"/>
    </row>
    <row r="487">
      <c r="B487" s="559"/>
      <c r="C487" s="377"/>
      <c r="D487" s="377"/>
      <c r="E487" s="560"/>
    </row>
    <row r="488">
      <c r="B488" s="559"/>
      <c r="C488" s="377"/>
      <c r="D488" s="377"/>
      <c r="E488" s="560"/>
    </row>
    <row r="489">
      <c r="B489" s="559"/>
      <c r="C489" s="377"/>
      <c r="D489" s="377"/>
      <c r="E489" s="560"/>
    </row>
    <row r="490">
      <c r="B490" s="559"/>
      <c r="C490" s="377"/>
      <c r="D490" s="377"/>
      <c r="E490" s="560"/>
    </row>
    <row r="491">
      <c r="B491" s="559"/>
      <c r="C491" s="377"/>
      <c r="D491" s="377"/>
      <c r="E491" s="560"/>
    </row>
    <row r="492">
      <c r="B492" s="559"/>
      <c r="C492" s="377"/>
      <c r="D492" s="377"/>
      <c r="E492" s="560"/>
    </row>
    <row r="493">
      <c r="B493" s="559"/>
      <c r="C493" s="377"/>
      <c r="D493" s="377"/>
      <c r="E493" s="560"/>
    </row>
    <row r="494">
      <c r="B494" s="559"/>
      <c r="C494" s="377"/>
      <c r="D494" s="377"/>
      <c r="E494" s="560"/>
    </row>
    <row r="495">
      <c r="B495" s="559"/>
      <c r="C495" s="377"/>
      <c r="D495" s="377"/>
      <c r="E495" s="560"/>
    </row>
    <row r="496">
      <c r="B496" s="559"/>
      <c r="C496" s="377"/>
      <c r="D496" s="377"/>
      <c r="E496" s="560"/>
    </row>
    <row r="497">
      <c r="B497" s="559"/>
      <c r="C497" s="377"/>
      <c r="D497" s="377"/>
      <c r="E497" s="560"/>
    </row>
    <row r="498">
      <c r="B498" s="559"/>
      <c r="C498" s="377"/>
      <c r="D498" s="377"/>
      <c r="E498" s="560"/>
    </row>
    <row r="499">
      <c r="B499" s="559"/>
      <c r="C499" s="377"/>
      <c r="D499" s="377"/>
      <c r="E499" s="560"/>
    </row>
    <row r="500">
      <c r="B500" s="559"/>
      <c r="C500" s="377"/>
      <c r="D500" s="377"/>
      <c r="E500" s="560"/>
    </row>
    <row r="501">
      <c r="B501" s="559"/>
      <c r="C501" s="377"/>
      <c r="D501" s="377"/>
      <c r="E501" s="560"/>
    </row>
    <row r="502">
      <c r="B502" s="559"/>
      <c r="C502" s="377"/>
      <c r="D502" s="377"/>
      <c r="E502" s="560"/>
    </row>
    <row r="503">
      <c r="B503" s="559"/>
      <c r="C503" s="377"/>
      <c r="D503" s="377"/>
      <c r="E503" s="560"/>
    </row>
    <row r="504">
      <c r="B504" s="559"/>
      <c r="C504" s="377"/>
      <c r="D504" s="377"/>
      <c r="E504" s="560"/>
    </row>
    <row r="505">
      <c r="B505" s="559"/>
      <c r="C505" s="377"/>
      <c r="D505" s="377"/>
      <c r="E505" s="560"/>
    </row>
    <row r="506">
      <c r="B506" s="559"/>
      <c r="C506" s="377"/>
      <c r="D506" s="377"/>
      <c r="E506" s="560"/>
    </row>
    <row r="507">
      <c r="B507" s="559"/>
      <c r="C507" s="377"/>
      <c r="D507" s="377"/>
      <c r="E507" s="560"/>
    </row>
    <row r="508">
      <c r="B508" s="559"/>
      <c r="C508" s="377"/>
      <c r="D508" s="377"/>
      <c r="E508" s="560"/>
    </row>
    <row r="509">
      <c r="B509" s="559"/>
      <c r="C509" s="377"/>
      <c r="D509" s="377"/>
      <c r="E509" s="560"/>
    </row>
    <row r="510">
      <c r="B510" s="559"/>
      <c r="C510" s="377"/>
      <c r="D510" s="377"/>
      <c r="E510" s="560"/>
    </row>
    <row r="511">
      <c r="B511" s="559"/>
      <c r="C511" s="377"/>
      <c r="D511" s="377"/>
      <c r="E511" s="560"/>
    </row>
    <row r="512">
      <c r="B512" s="559"/>
      <c r="C512" s="377"/>
      <c r="D512" s="377"/>
      <c r="E512" s="560"/>
    </row>
    <row r="513">
      <c r="B513" s="559"/>
      <c r="C513" s="377"/>
      <c r="D513" s="377"/>
      <c r="E513" s="560"/>
    </row>
    <row r="514">
      <c r="B514" s="559"/>
      <c r="C514" s="377"/>
      <c r="D514" s="377"/>
      <c r="E514" s="560"/>
    </row>
    <row r="515">
      <c r="B515" s="559"/>
      <c r="C515" s="377"/>
      <c r="D515" s="377"/>
      <c r="E515" s="560"/>
    </row>
    <row r="516">
      <c r="B516" s="559"/>
      <c r="C516" s="377"/>
      <c r="D516" s="377"/>
      <c r="E516" s="560"/>
    </row>
    <row r="517">
      <c r="B517" s="559"/>
      <c r="C517" s="377"/>
      <c r="D517" s="377"/>
      <c r="E517" s="560"/>
    </row>
    <row r="518">
      <c r="B518" s="559"/>
      <c r="C518" s="377"/>
      <c r="D518" s="377"/>
      <c r="E518" s="560"/>
    </row>
    <row r="519">
      <c r="B519" s="559"/>
      <c r="C519" s="377"/>
      <c r="D519" s="377"/>
      <c r="E519" s="560"/>
    </row>
    <row r="520">
      <c r="B520" s="559"/>
      <c r="C520" s="377"/>
      <c r="D520" s="377"/>
      <c r="E520" s="560"/>
    </row>
    <row r="521">
      <c r="B521" s="559"/>
      <c r="C521" s="377"/>
      <c r="D521" s="377"/>
      <c r="E521" s="560"/>
    </row>
    <row r="522">
      <c r="B522" s="559"/>
      <c r="C522" s="377"/>
      <c r="D522" s="377"/>
      <c r="E522" s="560"/>
    </row>
    <row r="523">
      <c r="B523" s="559"/>
      <c r="C523" s="377"/>
      <c r="D523" s="377"/>
      <c r="E523" s="560"/>
    </row>
    <row r="524">
      <c r="B524" s="559"/>
      <c r="C524" s="377"/>
      <c r="D524" s="377"/>
      <c r="E524" s="560"/>
    </row>
    <row r="525">
      <c r="B525" s="559"/>
      <c r="C525" s="377"/>
      <c r="D525" s="377"/>
      <c r="E525" s="560"/>
    </row>
    <row r="526">
      <c r="B526" s="559"/>
      <c r="C526" s="377"/>
      <c r="D526" s="377"/>
      <c r="E526" s="560"/>
    </row>
    <row r="527">
      <c r="B527" s="559"/>
      <c r="C527" s="377"/>
      <c r="D527" s="377"/>
      <c r="E527" s="560"/>
    </row>
    <row r="528">
      <c r="B528" s="559"/>
      <c r="C528" s="377"/>
      <c r="D528" s="377"/>
      <c r="E528" s="560"/>
    </row>
    <row r="529">
      <c r="B529" s="559"/>
      <c r="C529" s="377"/>
      <c r="D529" s="377"/>
      <c r="E529" s="560"/>
    </row>
    <row r="530">
      <c r="B530" s="559"/>
      <c r="C530" s="377"/>
      <c r="D530" s="377"/>
      <c r="E530" s="560"/>
    </row>
    <row r="531">
      <c r="B531" s="559"/>
      <c r="C531" s="377"/>
      <c r="D531" s="377"/>
      <c r="E531" s="560"/>
    </row>
    <row r="532">
      <c r="B532" s="559"/>
      <c r="C532" s="377"/>
      <c r="D532" s="377"/>
      <c r="E532" s="560"/>
    </row>
    <row r="533">
      <c r="B533" s="559"/>
      <c r="C533" s="377"/>
      <c r="D533" s="377"/>
      <c r="E533" s="560"/>
    </row>
    <row r="534">
      <c r="B534" s="559"/>
      <c r="C534" s="377"/>
      <c r="D534" s="377"/>
      <c r="E534" s="560"/>
    </row>
    <row r="535">
      <c r="B535" s="559"/>
      <c r="C535" s="377"/>
      <c r="D535" s="377"/>
      <c r="E535" s="560"/>
    </row>
    <row r="536">
      <c r="B536" s="559"/>
      <c r="C536" s="377"/>
      <c r="D536" s="377"/>
      <c r="E536" s="560"/>
    </row>
    <row r="537">
      <c r="B537" s="559"/>
      <c r="C537" s="377"/>
      <c r="D537" s="377"/>
      <c r="E537" s="560"/>
    </row>
    <row r="538">
      <c r="B538" s="559"/>
      <c r="C538" s="377"/>
      <c r="D538" s="377"/>
      <c r="E538" s="560"/>
    </row>
    <row r="539">
      <c r="B539" s="559"/>
      <c r="C539" s="377"/>
      <c r="D539" s="377"/>
      <c r="E539" s="560"/>
    </row>
    <row r="540">
      <c r="B540" s="559"/>
      <c r="C540" s="377"/>
      <c r="D540" s="377"/>
      <c r="E540" s="560"/>
    </row>
    <row r="541">
      <c r="B541" s="559"/>
      <c r="C541" s="377"/>
      <c r="D541" s="377"/>
      <c r="E541" s="560"/>
    </row>
    <row r="542">
      <c r="B542" s="559"/>
      <c r="C542" s="377"/>
      <c r="D542" s="377"/>
      <c r="E542" s="560"/>
    </row>
    <row r="543">
      <c r="B543" s="559"/>
      <c r="C543" s="377"/>
      <c r="D543" s="377"/>
      <c r="E543" s="560"/>
    </row>
    <row r="544">
      <c r="B544" s="559"/>
      <c r="C544" s="377"/>
      <c r="D544" s="377"/>
      <c r="E544" s="560"/>
    </row>
    <row r="545">
      <c r="B545" s="559"/>
      <c r="C545" s="377"/>
      <c r="D545" s="377"/>
      <c r="E545" s="560"/>
    </row>
    <row r="546">
      <c r="B546" s="559"/>
      <c r="C546" s="377"/>
      <c r="D546" s="377"/>
      <c r="E546" s="560"/>
    </row>
    <row r="547">
      <c r="B547" s="559"/>
      <c r="C547" s="377"/>
      <c r="D547" s="377"/>
      <c r="E547" s="560"/>
    </row>
    <row r="548">
      <c r="B548" s="559"/>
      <c r="C548" s="377"/>
      <c r="D548" s="377"/>
      <c r="E548" s="560"/>
    </row>
    <row r="549">
      <c r="B549" s="559"/>
      <c r="C549" s="377"/>
      <c r="D549" s="377"/>
      <c r="E549" s="560"/>
    </row>
    <row r="550">
      <c r="B550" s="559"/>
      <c r="C550" s="377"/>
      <c r="D550" s="377"/>
      <c r="E550" s="560"/>
    </row>
    <row r="551">
      <c r="B551" s="559"/>
      <c r="C551" s="377"/>
      <c r="D551" s="377"/>
      <c r="E551" s="560"/>
    </row>
    <row r="552">
      <c r="B552" s="559"/>
      <c r="C552" s="377"/>
      <c r="D552" s="377"/>
      <c r="E552" s="560"/>
    </row>
    <row r="553">
      <c r="B553" s="559"/>
      <c r="C553" s="377"/>
      <c r="D553" s="377"/>
      <c r="E553" s="560"/>
    </row>
    <row r="554">
      <c r="B554" s="559"/>
      <c r="C554" s="377"/>
      <c r="D554" s="377"/>
      <c r="E554" s="560"/>
    </row>
    <row r="555">
      <c r="B555" s="559"/>
      <c r="C555" s="377"/>
      <c r="D555" s="377"/>
      <c r="E555" s="560"/>
    </row>
    <row r="556">
      <c r="B556" s="559"/>
      <c r="C556" s="377"/>
      <c r="D556" s="377"/>
      <c r="E556" s="560"/>
    </row>
    <row r="557">
      <c r="B557" s="559"/>
      <c r="C557" s="377"/>
      <c r="D557" s="377"/>
      <c r="E557" s="560"/>
    </row>
    <row r="558">
      <c r="B558" s="559"/>
      <c r="C558" s="377"/>
      <c r="D558" s="377"/>
      <c r="E558" s="560"/>
    </row>
    <row r="559">
      <c r="B559" s="559"/>
      <c r="C559" s="377"/>
      <c r="D559" s="377"/>
      <c r="E559" s="560"/>
    </row>
    <row r="560">
      <c r="B560" s="559"/>
      <c r="C560" s="377"/>
      <c r="D560" s="377"/>
      <c r="E560" s="560"/>
    </row>
    <row r="561">
      <c r="B561" s="559"/>
      <c r="C561" s="377"/>
      <c r="D561" s="377"/>
      <c r="E561" s="560"/>
    </row>
    <row r="562">
      <c r="B562" s="559"/>
      <c r="C562" s="377"/>
      <c r="D562" s="377"/>
      <c r="E562" s="560"/>
    </row>
    <row r="563">
      <c r="B563" s="559"/>
      <c r="C563" s="377"/>
      <c r="D563" s="377"/>
      <c r="E563" s="560"/>
    </row>
    <row r="564">
      <c r="B564" s="559"/>
      <c r="C564" s="377"/>
      <c r="D564" s="377"/>
      <c r="E564" s="560"/>
    </row>
    <row r="565">
      <c r="B565" s="559"/>
      <c r="C565" s="377"/>
      <c r="D565" s="377"/>
      <c r="E565" s="560"/>
    </row>
    <row r="566">
      <c r="B566" s="559"/>
      <c r="C566" s="377"/>
      <c r="D566" s="377"/>
      <c r="E566" s="560"/>
    </row>
    <row r="567">
      <c r="B567" s="559"/>
      <c r="C567" s="377"/>
      <c r="D567" s="377"/>
      <c r="E567" s="560"/>
    </row>
    <row r="568">
      <c r="B568" s="559"/>
      <c r="C568" s="377"/>
      <c r="D568" s="377"/>
      <c r="E568" s="560"/>
    </row>
    <row r="569">
      <c r="B569" s="559"/>
      <c r="C569" s="377"/>
      <c r="D569" s="377"/>
      <c r="E569" s="560"/>
    </row>
    <row r="570">
      <c r="B570" s="559"/>
      <c r="C570" s="377"/>
      <c r="D570" s="377"/>
      <c r="E570" s="560"/>
    </row>
    <row r="571">
      <c r="B571" s="559"/>
      <c r="C571" s="377"/>
      <c r="D571" s="377"/>
      <c r="E571" s="560"/>
    </row>
    <row r="572">
      <c r="B572" s="559"/>
      <c r="C572" s="377"/>
      <c r="D572" s="377"/>
      <c r="E572" s="560"/>
    </row>
    <row r="573">
      <c r="B573" s="559"/>
      <c r="C573" s="377"/>
      <c r="D573" s="377"/>
      <c r="E573" s="560"/>
    </row>
    <row r="574">
      <c r="B574" s="559"/>
      <c r="C574" s="377"/>
      <c r="D574" s="377"/>
      <c r="E574" s="560"/>
    </row>
    <row r="575">
      <c r="B575" s="559"/>
      <c r="C575" s="377"/>
      <c r="D575" s="377"/>
      <c r="E575" s="560"/>
    </row>
    <row r="576">
      <c r="B576" s="559"/>
      <c r="C576" s="377"/>
      <c r="D576" s="377"/>
      <c r="E576" s="560"/>
    </row>
    <row r="577">
      <c r="B577" s="559"/>
      <c r="C577" s="377"/>
      <c r="D577" s="377"/>
      <c r="E577" s="560"/>
    </row>
    <row r="578">
      <c r="B578" s="559"/>
      <c r="C578" s="377"/>
      <c r="D578" s="377"/>
      <c r="E578" s="560"/>
    </row>
    <row r="579">
      <c r="B579" s="559"/>
      <c r="C579" s="377"/>
      <c r="D579" s="377"/>
      <c r="E579" s="560"/>
    </row>
    <row r="580">
      <c r="B580" s="559"/>
      <c r="C580" s="377"/>
      <c r="D580" s="377"/>
      <c r="E580" s="560"/>
    </row>
    <row r="581">
      <c r="B581" s="559"/>
      <c r="C581" s="377"/>
      <c r="D581" s="377"/>
      <c r="E581" s="560"/>
    </row>
    <row r="582">
      <c r="B582" s="559"/>
      <c r="C582" s="377"/>
      <c r="D582" s="377"/>
      <c r="E582" s="560"/>
    </row>
    <row r="583">
      <c r="B583" s="559"/>
      <c r="C583" s="377"/>
      <c r="D583" s="377"/>
      <c r="E583" s="560"/>
    </row>
    <row r="584">
      <c r="B584" s="559"/>
      <c r="C584" s="377"/>
      <c r="D584" s="377"/>
      <c r="E584" s="560"/>
    </row>
    <row r="585">
      <c r="B585" s="559"/>
      <c r="C585" s="377"/>
      <c r="D585" s="377"/>
      <c r="E585" s="560"/>
    </row>
    <row r="586">
      <c r="B586" s="559"/>
      <c r="C586" s="377"/>
      <c r="D586" s="377"/>
      <c r="E586" s="560"/>
    </row>
    <row r="587">
      <c r="B587" s="559"/>
      <c r="C587" s="377"/>
      <c r="D587" s="377"/>
      <c r="E587" s="560"/>
    </row>
    <row r="588">
      <c r="B588" s="559"/>
      <c r="C588" s="377"/>
      <c r="D588" s="377"/>
      <c r="E588" s="560"/>
    </row>
    <row r="589">
      <c r="B589" s="559"/>
      <c r="C589" s="377"/>
      <c r="D589" s="377"/>
      <c r="E589" s="560"/>
    </row>
    <row r="590">
      <c r="B590" s="559"/>
      <c r="C590" s="377"/>
      <c r="D590" s="377"/>
      <c r="E590" s="560"/>
    </row>
    <row r="591">
      <c r="B591" s="559"/>
      <c r="C591" s="377"/>
      <c r="D591" s="377"/>
      <c r="E591" s="560"/>
    </row>
    <row r="592">
      <c r="B592" s="559"/>
      <c r="C592" s="377"/>
      <c r="D592" s="377"/>
      <c r="E592" s="560"/>
    </row>
    <row r="593">
      <c r="B593" s="559"/>
      <c r="C593" s="377"/>
      <c r="D593" s="377"/>
      <c r="E593" s="560"/>
    </row>
    <row r="594">
      <c r="B594" s="559"/>
      <c r="C594" s="377"/>
      <c r="D594" s="377"/>
      <c r="E594" s="560"/>
    </row>
    <row r="595">
      <c r="B595" s="559"/>
      <c r="C595" s="377"/>
      <c r="D595" s="377"/>
      <c r="E595" s="560"/>
    </row>
    <row r="596">
      <c r="B596" s="559"/>
      <c r="C596" s="377"/>
      <c r="D596" s="377"/>
      <c r="E596" s="560"/>
    </row>
    <row r="597">
      <c r="B597" s="559"/>
      <c r="C597" s="377"/>
      <c r="D597" s="377"/>
      <c r="E597" s="560"/>
    </row>
    <row r="598">
      <c r="B598" s="559"/>
      <c r="C598" s="377"/>
      <c r="D598" s="377"/>
      <c r="E598" s="560"/>
    </row>
    <row r="599">
      <c r="B599" s="559"/>
      <c r="C599" s="377"/>
      <c r="D599" s="377"/>
      <c r="E599" s="560"/>
    </row>
    <row r="600">
      <c r="B600" s="559"/>
      <c r="C600" s="377"/>
      <c r="D600" s="377"/>
      <c r="E600" s="560"/>
    </row>
    <row r="601">
      <c r="B601" s="559"/>
      <c r="C601" s="377"/>
      <c r="D601" s="377"/>
      <c r="E601" s="560"/>
    </row>
    <row r="602">
      <c r="B602" s="559"/>
      <c r="C602" s="377"/>
      <c r="D602" s="377"/>
      <c r="E602" s="560"/>
    </row>
    <row r="603">
      <c r="B603" s="559"/>
      <c r="C603" s="377"/>
      <c r="D603" s="377"/>
      <c r="E603" s="560"/>
    </row>
    <row r="604">
      <c r="B604" s="559"/>
      <c r="C604" s="377"/>
      <c r="D604" s="377"/>
      <c r="E604" s="560"/>
    </row>
    <row r="605">
      <c r="B605" s="559"/>
      <c r="C605" s="377"/>
      <c r="D605" s="377"/>
      <c r="E605" s="560"/>
    </row>
    <row r="606">
      <c r="B606" s="559"/>
      <c r="C606" s="377"/>
      <c r="D606" s="377"/>
      <c r="E606" s="560"/>
    </row>
    <row r="607">
      <c r="B607" s="559"/>
      <c r="C607" s="377"/>
      <c r="D607" s="377"/>
      <c r="E607" s="560"/>
    </row>
    <row r="608">
      <c r="B608" s="559"/>
      <c r="C608" s="377"/>
      <c r="D608" s="377"/>
      <c r="E608" s="560"/>
    </row>
    <row r="609">
      <c r="B609" s="559"/>
      <c r="C609" s="377"/>
      <c r="D609" s="377"/>
      <c r="E609" s="560"/>
    </row>
    <row r="610">
      <c r="B610" s="559"/>
      <c r="C610" s="377"/>
      <c r="D610" s="377"/>
      <c r="E610" s="560"/>
    </row>
    <row r="611">
      <c r="B611" s="559"/>
      <c r="C611" s="377"/>
      <c r="D611" s="377"/>
      <c r="E611" s="560"/>
    </row>
    <row r="612">
      <c r="B612" s="559"/>
      <c r="C612" s="377"/>
      <c r="D612" s="377"/>
      <c r="E612" s="560"/>
    </row>
    <row r="613">
      <c r="B613" s="559"/>
      <c r="C613" s="377"/>
      <c r="D613" s="377"/>
      <c r="E613" s="560"/>
    </row>
    <row r="614">
      <c r="B614" s="559"/>
      <c r="C614" s="377"/>
      <c r="D614" s="377"/>
      <c r="E614" s="560"/>
    </row>
    <row r="615">
      <c r="B615" s="559"/>
      <c r="C615" s="377"/>
      <c r="D615" s="377"/>
      <c r="E615" s="560"/>
    </row>
    <row r="616">
      <c r="B616" s="559"/>
      <c r="C616" s="377"/>
      <c r="D616" s="377"/>
      <c r="E616" s="560"/>
    </row>
    <row r="617">
      <c r="B617" s="559"/>
      <c r="C617" s="377"/>
      <c r="D617" s="377"/>
      <c r="E617" s="560"/>
    </row>
    <row r="618">
      <c r="B618" s="559"/>
      <c r="C618" s="377"/>
      <c r="D618" s="377"/>
      <c r="E618" s="560"/>
    </row>
    <row r="619">
      <c r="B619" s="559"/>
      <c r="C619" s="377"/>
      <c r="D619" s="377"/>
      <c r="E619" s="560"/>
    </row>
    <row r="620">
      <c r="B620" s="559"/>
      <c r="C620" s="377"/>
      <c r="D620" s="377"/>
      <c r="E620" s="560"/>
    </row>
    <row r="621">
      <c r="B621" s="559"/>
      <c r="C621" s="377"/>
      <c r="D621" s="377"/>
      <c r="E621" s="560"/>
    </row>
    <row r="622">
      <c r="B622" s="559"/>
      <c r="C622" s="377"/>
      <c r="D622" s="377"/>
      <c r="E622" s="560"/>
    </row>
    <row r="623">
      <c r="B623" s="559"/>
      <c r="C623" s="377"/>
      <c r="D623" s="377"/>
      <c r="E623" s="560"/>
    </row>
    <row r="624">
      <c r="B624" s="559"/>
      <c r="C624" s="377"/>
      <c r="D624" s="377"/>
      <c r="E624" s="560"/>
    </row>
    <row r="625">
      <c r="B625" s="559"/>
      <c r="C625" s="377"/>
      <c r="D625" s="377"/>
      <c r="E625" s="560"/>
    </row>
    <row r="626">
      <c r="B626" s="559"/>
      <c r="C626" s="377"/>
      <c r="D626" s="377"/>
      <c r="E626" s="560"/>
    </row>
    <row r="627">
      <c r="B627" s="559"/>
      <c r="C627" s="377"/>
      <c r="D627" s="377"/>
      <c r="E627" s="560"/>
    </row>
    <row r="628">
      <c r="B628" s="559"/>
      <c r="C628" s="377"/>
      <c r="D628" s="377"/>
      <c r="E628" s="560"/>
    </row>
    <row r="629">
      <c r="B629" s="559"/>
      <c r="C629" s="377"/>
      <c r="D629" s="377"/>
      <c r="E629" s="560"/>
    </row>
    <row r="630">
      <c r="B630" s="559"/>
      <c r="C630" s="377"/>
      <c r="D630" s="377"/>
      <c r="E630" s="560"/>
    </row>
    <row r="631">
      <c r="B631" s="559"/>
      <c r="C631" s="377"/>
      <c r="D631" s="377"/>
      <c r="E631" s="560"/>
    </row>
    <row r="632">
      <c r="B632" s="559"/>
      <c r="C632" s="377"/>
      <c r="D632" s="377"/>
      <c r="E632" s="560"/>
    </row>
    <row r="633">
      <c r="B633" s="559"/>
      <c r="C633" s="377"/>
      <c r="D633" s="377"/>
      <c r="E633" s="560"/>
    </row>
    <row r="634">
      <c r="B634" s="559"/>
      <c r="C634" s="377"/>
      <c r="D634" s="377"/>
      <c r="E634" s="560"/>
    </row>
    <row r="635">
      <c r="B635" s="559"/>
      <c r="C635" s="377"/>
      <c r="D635" s="377"/>
      <c r="E635" s="560"/>
    </row>
    <row r="636">
      <c r="B636" s="559"/>
      <c r="C636" s="377"/>
      <c r="D636" s="377"/>
      <c r="E636" s="560"/>
    </row>
    <row r="637">
      <c r="B637" s="559"/>
      <c r="C637" s="377"/>
      <c r="D637" s="377"/>
      <c r="E637" s="560"/>
    </row>
    <row r="638">
      <c r="B638" s="559"/>
      <c r="C638" s="377"/>
      <c r="D638" s="377"/>
      <c r="E638" s="560"/>
    </row>
    <row r="639">
      <c r="B639" s="559"/>
      <c r="C639" s="377"/>
      <c r="D639" s="377"/>
      <c r="E639" s="560"/>
    </row>
    <row r="640">
      <c r="B640" s="559"/>
      <c r="C640" s="377"/>
      <c r="D640" s="377"/>
      <c r="E640" s="560"/>
    </row>
    <row r="641">
      <c r="B641" s="559"/>
      <c r="C641" s="377"/>
      <c r="D641" s="377"/>
      <c r="E641" s="560"/>
    </row>
    <row r="642">
      <c r="B642" s="559"/>
      <c r="C642" s="377"/>
      <c r="D642" s="377"/>
      <c r="E642" s="560"/>
    </row>
    <row r="643">
      <c r="B643" s="559"/>
      <c r="C643" s="377"/>
      <c r="D643" s="377"/>
      <c r="E643" s="560"/>
    </row>
    <row r="644">
      <c r="B644" s="559"/>
      <c r="C644" s="377"/>
      <c r="D644" s="377"/>
      <c r="E644" s="560"/>
    </row>
    <row r="645">
      <c r="B645" s="559"/>
      <c r="C645" s="377"/>
      <c r="D645" s="377"/>
      <c r="E645" s="560"/>
    </row>
    <row r="646">
      <c r="B646" s="559"/>
      <c r="C646" s="377"/>
      <c r="D646" s="377"/>
      <c r="E646" s="560"/>
    </row>
    <row r="647">
      <c r="B647" s="559"/>
      <c r="C647" s="377"/>
      <c r="D647" s="377"/>
      <c r="E647" s="560"/>
    </row>
    <row r="648">
      <c r="B648" s="559"/>
      <c r="C648" s="377"/>
      <c r="D648" s="377"/>
      <c r="E648" s="560"/>
    </row>
    <row r="649">
      <c r="B649" s="559"/>
      <c r="C649" s="377"/>
      <c r="D649" s="377"/>
      <c r="E649" s="560"/>
    </row>
    <row r="650">
      <c r="B650" s="559"/>
      <c r="C650" s="377"/>
      <c r="D650" s="377"/>
      <c r="E650" s="560"/>
    </row>
    <row r="651">
      <c r="B651" s="559"/>
      <c r="C651" s="377"/>
      <c r="D651" s="377"/>
      <c r="E651" s="560"/>
    </row>
    <row r="652">
      <c r="B652" s="559"/>
      <c r="C652" s="377"/>
      <c r="D652" s="377"/>
      <c r="E652" s="560"/>
    </row>
    <row r="653">
      <c r="B653" s="559"/>
      <c r="C653" s="377"/>
      <c r="D653" s="377"/>
      <c r="E653" s="560"/>
    </row>
    <row r="654">
      <c r="B654" s="559"/>
      <c r="C654" s="377"/>
      <c r="D654" s="377"/>
      <c r="E654" s="560"/>
    </row>
    <row r="655">
      <c r="B655" s="559"/>
      <c r="C655" s="377"/>
      <c r="D655" s="377"/>
      <c r="E655" s="560"/>
    </row>
    <row r="656">
      <c r="B656" s="559"/>
      <c r="C656" s="377"/>
      <c r="D656" s="377"/>
      <c r="E656" s="560"/>
    </row>
    <row r="657">
      <c r="B657" s="559"/>
      <c r="C657" s="377"/>
      <c r="D657" s="377"/>
      <c r="E657" s="560"/>
    </row>
    <row r="658">
      <c r="B658" s="559"/>
      <c r="C658" s="377"/>
      <c r="D658" s="377"/>
      <c r="E658" s="560"/>
    </row>
    <row r="659">
      <c r="B659" s="559"/>
      <c r="C659" s="377"/>
      <c r="D659" s="377"/>
      <c r="E659" s="560"/>
    </row>
    <row r="660">
      <c r="B660" s="559"/>
      <c r="C660" s="377"/>
      <c r="D660" s="377"/>
      <c r="E660" s="560"/>
    </row>
    <row r="661">
      <c r="B661" s="559"/>
      <c r="C661" s="377"/>
      <c r="D661" s="377"/>
      <c r="E661" s="560"/>
    </row>
    <row r="662">
      <c r="B662" s="559"/>
      <c r="C662" s="377"/>
      <c r="D662" s="377"/>
      <c r="E662" s="560"/>
    </row>
    <row r="663">
      <c r="B663" s="559"/>
      <c r="C663" s="377"/>
      <c r="D663" s="377"/>
      <c r="E663" s="560"/>
    </row>
    <row r="664">
      <c r="B664" s="559"/>
      <c r="C664" s="377"/>
      <c r="D664" s="377"/>
      <c r="E664" s="560"/>
    </row>
    <row r="665">
      <c r="B665" s="559"/>
      <c r="C665" s="377"/>
      <c r="D665" s="377"/>
      <c r="E665" s="560"/>
    </row>
    <row r="666">
      <c r="B666" s="559"/>
      <c r="C666" s="377"/>
      <c r="D666" s="377"/>
      <c r="E666" s="560"/>
    </row>
    <row r="667">
      <c r="B667" s="559"/>
      <c r="C667" s="377"/>
      <c r="D667" s="377"/>
      <c r="E667" s="560"/>
    </row>
    <row r="668">
      <c r="B668" s="559"/>
      <c r="C668" s="377"/>
      <c r="D668" s="377"/>
      <c r="E668" s="560"/>
    </row>
    <row r="669">
      <c r="B669" s="559"/>
      <c r="C669" s="377"/>
      <c r="D669" s="377"/>
      <c r="E669" s="560"/>
    </row>
    <row r="670">
      <c r="B670" s="559"/>
      <c r="C670" s="377"/>
      <c r="D670" s="377"/>
      <c r="E670" s="560"/>
    </row>
    <row r="671">
      <c r="B671" s="559"/>
      <c r="C671" s="377"/>
      <c r="D671" s="377"/>
      <c r="E671" s="560"/>
    </row>
    <row r="672">
      <c r="B672" s="559"/>
      <c r="C672" s="377"/>
      <c r="D672" s="377"/>
      <c r="E672" s="560"/>
    </row>
    <row r="673">
      <c r="B673" s="559"/>
      <c r="C673" s="377"/>
      <c r="D673" s="377"/>
      <c r="E673" s="560"/>
    </row>
    <row r="674">
      <c r="B674" s="559"/>
      <c r="C674" s="377"/>
      <c r="D674" s="377"/>
      <c r="E674" s="560"/>
    </row>
    <row r="675">
      <c r="B675" s="559"/>
      <c r="C675" s="377"/>
      <c r="D675" s="377"/>
      <c r="E675" s="560"/>
    </row>
    <row r="676">
      <c r="B676" s="559"/>
      <c r="C676" s="377"/>
      <c r="D676" s="377"/>
      <c r="E676" s="560"/>
    </row>
    <row r="677">
      <c r="B677" s="559"/>
      <c r="C677" s="377"/>
      <c r="D677" s="377"/>
      <c r="E677" s="560"/>
    </row>
    <row r="678">
      <c r="B678" s="559"/>
      <c r="C678" s="377"/>
      <c r="D678" s="377"/>
      <c r="E678" s="560"/>
    </row>
    <row r="679">
      <c r="B679" s="559"/>
      <c r="C679" s="377"/>
      <c r="D679" s="377"/>
      <c r="E679" s="560"/>
    </row>
    <row r="680">
      <c r="B680" s="559"/>
      <c r="C680" s="377"/>
      <c r="D680" s="377"/>
      <c r="E680" s="560"/>
    </row>
    <row r="681">
      <c r="B681" s="559"/>
      <c r="C681" s="377"/>
      <c r="D681" s="377"/>
      <c r="E681" s="560"/>
    </row>
    <row r="682">
      <c r="B682" s="559"/>
      <c r="C682" s="377"/>
      <c r="D682" s="377"/>
      <c r="E682" s="560"/>
    </row>
    <row r="683">
      <c r="B683" s="559"/>
      <c r="C683" s="377"/>
      <c r="D683" s="377"/>
      <c r="E683" s="560"/>
    </row>
    <row r="684">
      <c r="B684" s="559"/>
      <c r="C684" s="377"/>
      <c r="D684" s="377"/>
      <c r="E684" s="560"/>
    </row>
    <row r="685">
      <c r="B685" s="559"/>
      <c r="C685" s="377"/>
      <c r="D685" s="377"/>
      <c r="E685" s="560"/>
    </row>
    <row r="686">
      <c r="B686" s="559"/>
      <c r="C686" s="377"/>
      <c r="D686" s="377"/>
      <c r="E686" s="560"/>
    </row>
    <row r="687">
      <c r="B687" s="559"/>
      <c r="C687" s="377"/>
      <c r="D687" s="377"/>
      <c r="E687" s="560"/>
    </row>
    <row r="688">
      <c r="B688" s="559"/>
      <c r="C688" s="377"/>
      <c r="D688" s="377"/>
      <c r="E688" s="560"/>
    </row>
    <row r="689">
      <c r="B689" s="559"/>
      <c r="C689" s="377"/>
      <c r="D689" s="377"/>
      <c r="E689" s="560"/>
    </row>
    <row r="690">
      <c r="B690" s="559"/>
      <c r="C690" s="377"/>
      <c r="D690" s="377"/>
      <c r="E690" s="560"/>
    </row>
    <row r="691">
      <c r="B691" s="559"/>
      <c r="C691" s="377"/>
      <c r="D691" s="377"/>
      <c r="E691" s="560"/>
    </row>
    <row r="692">
      <c r="B692" s="559"/>
      <c r="C692" s="377"/>
      <c r="D692" s="377"/>
      <c r="E692" s="560"/>
    </row>
    <row r="693">
      <c r="B693" s="559"/>
      <c r="C693" s="377"/>
      <c r="D693" s="377"/>
      <c r="E693" s="560"/>
    </row>
    <row r="694">
      <c r="B694" s="559"/>
      <c r="C694" s="377"/>
      <c r="D694" s="377"/>
      <c r="E694" s="560"/>
    </row>
    <row r="695">
      <c r="B695" s="559"/>
      <c r="C695" s="377"/>
      <c r="D695" s="377"/>
      <c r="E695" s="560"/>
    </row>
    <row r="696">
      <c r="B696" s="559"/>
      <c r="C696" s="377"/>
      <c r="D696" s="377"/>
      <c r="E696" s="560"/>
    </row>
    <row r="697">
      <c r="B697" s="559"/>
      <c r="C697" s="377"/>
      <c r="D697" s="377"/>
      <c r="E697" s="560"/>
    </row>
    <row r="698">
      <c r="B698" s="559"/>
      <c r="C698" s="377"/>
      <c r="D698" s="377"/>
      <c r="E698" s="560"/>
    </row>
    <row r="699">
      <c r="B699" s="559"/>
      <c r="C699" s="377"/>
      <c r="D699" s="377"/>
      <c r="E699" s="560"/>
    </row>
    <row r="700">
      <c r="B700" s="559"/>
      <c r="C700" s="377"/>
      <c r="D700" s="377"/>
      <c r="E700" s="560"/>
    </row>
    <row r="701">
      <c r="B701" s="559"/>
      <c r="C701" s="377"/>
      <c r="D701" s="377"/>
      <c r="E701" s="560"/>
    </row>
    <row r="702">
      <c r="B702" s="559"/>
      <c r="C702" s="377"/>
      <c r="D702" s="377"/>
      <c r="E702" s="560"/>
    </row>
    <row r="703">
      <c r="B703" s="559"/>
      <c r="C703" s="377"/>
      <c r="D703" s="377"/>
      <c r="E703" s="560"/>
    </row>
    <row r="704">
      <c r="B704" s="559"/>
      <c r="C704" s="377"/>
      <c r="D704" s="377"/>
      <c r="E704" s="560"/>
    </row>
    <row r="705">
      <c r="B705" s="559"/>
      <c r="C705" s="377"/>
      <c r="D705" s="377"/>
      <c r="E705" s="560"/>
    </row>
    <row r="706">
      <c r="B706" s="559"/>
      <c r="C706" s="377"/>
      <c r="D706" s="377"/>
      <c r="E706" s="560"/>
    </row>
    <row r="707">
      <c r="B707" s="559"/>
      <c r="C707" s="377"/>
      <c r="D707" s="377"/>
      <c r="E707" s="560"/>
    </row>
    <row r="708">
      <c r="B708" s="559"/>
      <c r="C708" s="377"/>
      <c r="D708" s="377"/>
      <c r="E708" s="560"/>
    </row>
    <row r="709">
      <c r="B709" s="559"/>
      <c r="C709" s="377"/>
      <c r="D709" s="377"/>
      <c r="E709" s="560"/>
    </row>
    <row r="710">
      <c r="B710" s="559"/>
      <c r="C710" s="377"/>
      <c r="D710" s="377"/>
      <c r="E710" s="560"/>
    </row>
    <row r="711">
      <c r="B711" s="559"/>
      <c r="C711" s="377"/>
      <c r="D711" s="377"/>
      <c r="E711" s="560"/>
    </row>
    <row r="712">
      <c r="B712" s="559"/>
      <c r="C712" s="377"/>
      <c r="D712" s="377"/>
      <c r="E712" s="560"/>
    </row>
    <row r="713">
      <c r="B713" s="559"/>
      <c r="C713" s="377"/>
      <c r="D713" s="377"/>
      <c r="E713" s="560"/>
    </row>
    <row r="714">
      <c r="B714" s="559"/>
      <c r="C714" s="377"/>
      <c r="D714" s="377"/>
      <c r="E714" s="560"/>
    </row>
    <row r="715">
      <c r="B715" s="559"/>
      <c r="C715" s="377"/>
      <c r="D715" s="377"/>
      <c r="E715" s="560"/>
    </row>
    <row r="716">
      <c r="B716" s="559"/>
      <c r="C716" s="377"/>
      <c r="D716" s="377"/>
      <c r="E716" s="560"/>
    </row>
    <row r="717">
      <c r="B717" s="559"/>
      <c r="C717" s="377"/>
      <c r="D717" s="377"/>
      <c r="E717" s="560"/>
    </row>
    <row r="718">
      <c r="B718" s="559"/>
      <c r="C718" s="377"/>
      <c r="D718" s="377"/>
      <c r="E718" s="560"/>
    </row>
    <row r="719">
      <c r="B719" s="559"/>
      <c r="C719" s="377"/>
      <c r="D719" s="377"/>
      <c r="E719" s="560"/>
    </row>
    <row r="720">
      <c r="B720" s="559"/>
      <c r="C720" s="377"/>
      <c r="D720" s="377"/>
      <c r="E720" s="560"/>
    </row>
    <row r="721">
      <c r="B721" s="559"/>
      <c r="C721" s="377"/>
      <c r="D721" s="377"/>
      <c r="E721" s="560"/>
    </row>
    <row r="722">
      <c r="B722" s="559"/>
      <c r="C722" s="377"/>
      <c r="D722" s="377"/>
      <c r="E722" s="560"/>
    </row>
    <row r="723">
      <c r="B723" s="559"/>
      <c r="C723" s="377"/>
      <c r="D723" s="377"/>
      <c r="E723" s="560"/>
    </row>
    <row r="724">
      <c r="B724" s="559"/>
      <c r="C724" s="377"/>
      <c r="D724" s="377"/>
      <c r="E724" s="560"/>
    </row>
    <row r="725">
      <c r="B725" s="559"/>
      <c r="C725" s="377"/>
      <c r="D725" s="377"/>
      <c r="E725" s="560"/>
    </row>
    <row r="726">
      <c r="B726" s="559"/>
      <c r="C726" s="377"/>
      <c r="D726" s="377"/>
      <c r="E726" s="560"/>
    </row>
    <row r="727">
      <c r="B727" s="559"/>
      <c r="C727" s="377"/>
      <c r="D727" s="377"/>
      <c r="E727" s="560"/>
    </row>
    <row r="728">
      <c r="B728" s="559"/>
      <c r="C728" s="377"/>
      <c r="D728" s="377"/>
      <c r="E728" s="560"/>
    </row>
    <row r="729">
      <c r="B729" s="559"/>
      <c r="C729" s="377"/>
      <c r="D729" s="377"/>
      <c r="E729" s="560"/>
    </row>
    <row r="730">
      <c r="B730" s="559"/>
      <c r="C730" s="377"/>
      <c r="D730" s="377"/>
      <c r="E730" s="560"/>
    </row>
    <row r="731">
      <c r="B731" s="559"/>
      <c r="C731" s="377"/>
      <c r="D731" s="377"/>
      <c r="E731" s="560"/>
    </row>
    <row r="732">
      <c r="B732" s="559"/>
      <c r="C732" s="377"/>
      <c r="D732" s="377"/>
      <c r="E732" s="560"/>
    </row>
    <row r="733">
      <c r="B733" s="559"/>
      <c r="C733" s="377"/>
      <c r="D733" s="377"/>
      <c r="E733" s="560"/>
    </row>
    <row r="734">
      <c r="B734" s="559"/>
      <c r="C734" s="377"/>
      <c r="D734" s="377"/>
      <c r="E734" s="560"/>
    </row>
    <row r="735">
      <c r="B735" s="559"/>
      <c r="C735" s="377"/>
      <c r="D735" s="377"/>
      <c r="E735" s="560"/>
    </row>
    <row r="736">
      <c r="B736" s="559"/>
      <c r="C736" s="377"/>
      <c r="D736" s="377"/>
      <c r="E736" s="560"/>
    </row>
    <row r="737">
      <c r="B737" s="559"/>
      <c r="C737" s="377"/>
      <c r="D737" s="377"/>
      <c r="E737" s="560"/>
    </row>
    <row r="738">
      <c r="B738" s="559"/>
      <c r="C738" s="377"/>
      <c r="D738" s="377"/>
      <c r="E738" s="560"/>
    </row>
    <row r="739">
      <c r="B739" s="559"/>
      <c r="C739" s="377"/>
      <c r="D739" s="377"/>
      <c r="E739" s="560"/>
    </row>
    <row r="740">
      <c r="B740" s="559"/>
      <c r="C740" s="377"/>
      <c r="D740" s="377"/>
      <c r="E740" s="560"/>
    </row>
    <row r="741">
      <c r="B741" s="559"/>
      <c r="C741" s="377"/>
      <c r="D741" s="377"/>
      <c r="E741" s="560"/>
    </row>
    <row r="742">
      <c r="B742" s="559"/>
      <c r="C742" s="377"/>
      <c r="D742" s="377"/>
      <c r="E742" s="560"/>
    </row>
    <row r="743">
      <c r="B743" s="559"/>
      <c r="C743" s="377"/>
      <c r="D743" s="377"/>
      <c r="E743" s="560"/>
    </row>
    <row r="744">
      <c r="B744" s="559"/>
      <c r="C744" s="377"/>
      <c r="D744" s="377"/>
      <c r="E744" s="560"/>
    </row>
    <row r="745">
      <c r="B745" s="559"/>
      <c r="C745" s="377"/>
      <c r="D745" s="377"/>
      <c r="E745" s="560"/>
    </row>
    <row r="746">
      <c r="B746" s="559"/>
      <c r="C746" s="377"/>
      <c r="D746" s="377"/>
      <c r="E746" s="560"/>
    </row>
    <row r="747">
      <c r="B747" s="559"/>
      <c r="C747" s="377"/>
      <c r="D747" s="377"/>
      <c r="E747" s="560"/>
    </row>
    <row r="748">
      <c r="B748" s="559"/>
      <c r="C748" s="377"/>
      <c r="D748" s="377"/>
      <c r="E748" s="560"/>
    </row>
    <row r="749">
      <c r="B749" s="559"/>
      <c r="C749" s="377"/>
      <c r="D749" s="377"/>
      <c r="E749" s="560"/>
    </row>
    <row r="750">
      <c r="B750" s="559"/>
      <c r="C750" s="377"/>
      <c r="D750" s="377"/>
      <c r="E750" s="560"/>
    </row>
    <row r="751">
      <c r="B751" s="559"/>
      <c r="C751" s="377"/>
      <c r="D751" s="377"/>
      <c r="E751" s="560"/>
    </row>
    <row r="752">
      <c r="B752" s="559"/>
      <c r="C752" s="377"/>
      <c r="D752" s="377"/>
      <c r="E752" s="560"/>
    </row>
    <row r="753">
      <c r="B753" s="559"/>
      <c r="C753" s="377"/>
      <c r="D753" s="377"/>
      <c r="E753" s="560"/>
    </row>
    <row r="754">
      <c r="B754" s="559"/>
      <c r="C754" s="377"/>
      <c r="D754" s="377"/>
      <c r="E754" s="560"/>
    </row>
    <row r="755">
      <c r="B755" s="559"/>
      <c r="C755" s="377"/>
      <c r="D755" s="377"/>
      <c r="E755" s="560"/>
    </row>
    <row r="756">
      <c r="B756" s="559"/>
      <c r="C756" s="377"/>
      <c r="D756" s="377"/>
      <c r="E756" s="560"/>
    </row>
    <row r="757">
      <c r="B757" s="559"/>
      <c r="C757" s="377"/>
      <c r="D757" s="377"/>
      <c r="E757" s="560"/>
    </row>
    <row r="758">
      <c r="B758" s="559"/>
      <c r="C758" s="377"/>
      <c r="D758" s="377"/>
      <c r="E758" s="560"/>
    </row>
    <row r="759">
      <c r="B759" s="559"/>
      <c r="C759" s="377"/>
      <c r="D759" s="377"/>
      <c r="E759" s="560"/>
    </row>
    <row r="760">
      <c r="B760" s="559"/>
      <c r="C760" s="377"/>
      <c r="D760" s="377"/>
      <c r="E760" s="560"/>
    </row>
    <row r="761">
      <c r="B761" s="559"/>
      <c r="C761" s="377"/>
      <c r="D761" s="377"/>
      <c r="E761" s="560"/>
    </row>
    <row r="762">
      <c r="B762" s="559"/>
      <c r="C762" s="377"/>
      <c r="D762" s="377"/>
      <c r="E762" s="560"/>
    </row>
    <row r="763">
      <c r="B763" s="559"/>
      <c r="C763" s="377"/>
      <c r="D763" s="377"/>
      <c r="E763" s="560"/>
    </row>
    <row r="764">
      <c r="B764" s="559"/>
      <c r="C764" s="377"/>
      <c r="D764" s="377"/>
      <c r="E764" s="560"/>
    </row>
    <row r="765">
      <c r="B765" s="559"/>
      <c r="C765" s="377"/>
      <c r="D765" s="377"/>
      <c r="E765" s="560"/>
    </row>
    <row r="766">
      <c r="B766" s="559"/>
      <c r="C766" s="377"/>
      <c r="D766" s="377"/>
      <c r="E766" s="560"/>
    </row>
    <row r="767">
      <c r="B767" s="559"/>
      <c r="C767" s="377"/>
      <c r="D767" s="377"/>
      <c r="E767" s="560"/>
    </row>
    <row r="768">
      <c r="B768" s="559"/>
      <c r="C768" s="377"/>
      <c r="D768" s="377"/>
      <c r="E768" s="560"/>
    </row>
    <row r="769">
      <c r="B769" s="559"/>
      <c r="C769" s="377"/>
      <c r="D769" s="377"/>
      <c r="E769" s="560"/>
    </row>
    <row r="770">
      <c r="B770" s="559"/>
      <c r="C770" s="377"/>
      <c r="D770" s="377"/>
      <c r="E770" s="560"/>
    </row>
    <row r="771">
      <c r="B771" s="559"/>
      <c r="C771" s="377"/>
      <c r="D771" s="377"/>
      <c r="E771" s="560"/>
    </row>
    <row r="772">
      <c r="B772" s="559"/>
      <c r="C772" s="377"/>
      <c r="D772" s="377"/>
      <c r="E772" s="560"/>
    </row>
    <row r="773">
      <c r="B773" s="559"/>
      <c r="C773" s="377"/>
      <c r="D773" s="377"/>
      <c r="E773" s="560"/>
    </row>
    <row r="774">
      <c r="B774" s="559"/>
      <c r="C774" s="377"/>
      <c r="D774" s="377"/>
      <c r="E774" s="560"/>
    </row>
    <row r="775">
      <c r="B775" s="559"/>
      <c r="C775" s="377"/>
      <c r="D775" s="377"/>
      <c r="E775" s="560"/>
    </row>
    <row r="776">
      <c r="B776" s="559"/>
      <c r="C776" s="377"/>
      <c r="D776" s="377"/>
      <c r="E776" s="560"/>
    </row>
    <row r="777">
      <c r="B777" s="559"/>
      <c r="C777" s="377"/>
      <c r="D777" s="377"/>
      <c r="E777" s="560"/>
    </row>
    <row r="778">
      <c r="B778" s="559"/>
      <c r="C778" s="377"/>
      <c r="D778" s="377"/>
      <c r="E778" s="560"/>
    </row>
    <row r="779">
      <c r="B779" s="559"/>
      <c r="C779" s="377"/>
      <c r="D779" s="377"/>
      <c r="E779" s="560"/>
    </row>
    <row r="780">
      <c r="B780" s="559"/>
      <c r="C780" s="377"/>
      <c r="D780" s="377"/>
      <c r="E780" s="560"/>
    </row>
    <row r="781">
      <c r="B781" s="559"/>
      <c r="C781" s="377"/>
      <c r="D781" s="377"/>
      <c r="E781" s="560"/>
    </row>
    <row r="782">
      <c r="B782" s="559"/>
      <c r="C782" s="377"/>
      <c r="D782" s="377"/>
      <c r="E782" s="560"/>
    </row>
    <row r="783">
      <c r="B783" s="559"/>
      <c r="C783" s="377"/>
      <c r="D783" s="377"/>
      <c r="E783" s="560"/>
    </row>
    <row r="784">
      <c r="B784" s="559"/>
      <c r="C784" s="377"/>
      <c r="D784" s="377"/>
      <c r="E784" s="560"/>
    </row>
    <row r="785">
      <c r="B785" s="559"/>
      <c r="C785" s="377"/>
      <c r="D785" s="377"/>
      <c r="E785" s="560"/>
    </row>
    <row r="786">
      <c r="B786" s="559"/>
      <c r="C786" s="377"/>
      <c r="D786" s="377"/>
      <c r="E786" s="560"/>
    </row>
    <row r="787">
      <c r="B787" s="559"/>
      <c r="C787" s="377"/>
      <c r="D787" s="377"/>
      <c r="E787" s="560"/>
    </row>
    <row r="788">
      <c r="B788" s="559"/>
      <c r="C788" s="377"/>
      <c r="D788" s="377"/>
      <c r="E788" s="560"/>
    </row>
    <row r="789">
      <c r="B789" s="559"/>
      <c r="C789" s="377"/>
      <c r="D789" s="377"/>
      <c r="E789" s="560"/>
    </row>
    <row r="790">
      <c r="B790" s="559"/>
      <c r="C790" s="377"/>
      <c r="D790" s="377"/>
      <c r="E790" s="560"/>
    </row>
    <row r="791">
      <c r="B791" s="559"/>
      <c r="C791" s="377"/>
      <c r="D791" s="377"/>
      <c r="E791" s="560"/>
    </row>
    <row r="792">
      <c r="B792" s="559"/>
      <c r="C792" s="377"/>
      <c r="D792" s="377"/>
      <c r="E792" s="560"/>
    </row>
    <row r="793">
      <c r="B793" s="559"/>
      <c r="C793" s="377"/>
      <c r="D793" s="377"/>
      <c r="E793" s="560"/>
    </row>
    <row r="794">
      <c r="B794" s="559"/>
      <c r="C794" s="377"/>
      <c r="D794" s="377"/>
      <c r="E794" s="560"/>
    </row>
    <row r="795">
      <c r="B795" s="559"/>
      <c r="C795" s="377"/>
      <c r="D795" s="377"/>
      <c r="E795" s="560"/>
    </row>
    <row r="796">
      <c r="B796" s="559"/>
      <c r="C796" s="377"/>
      <c r="D796" s="377"/>
      <c r="E796" s="560"/>
    </row>
    <row r="797">
      <c r="B797" s="559"/>
      <c r="C797" s="377"/>
      <c r="D797" s="377"/>
      <c r="E797" s="560"/>
    </row>
    <row r="798">
      <c r="B798" s="559"/>
      <c r="C798" s="377"/>
      <c r="D798" s="377"/>
      <c r="E798" s="560"/>
    </row>
    <row r="799">
      <c r="B799" s="559"/>
      <c r="C799" s="377"/>
      <c r="D799" s="377"/>
      <c r="E799" s="560"/>
    </row>
    <row r="800">
      <c r="B800" s="559"/>
      <c r="C800" s="377"/>
      <c r="D800" s="377"/>
      <c r="E800" s="560"/>
    </row>
    <row r="801">
      <c r="B801" s="559"/>
      <c r="C801" s="377"/>
      <c r="D801" s="377"/>
      <c r="E801" s="560"/>
    </row>
    <row r="802">
      <c r="B802" s="559"/>
      <c r="C802" s="377"/>
      <c r="D802" s="377"/>
      <c r="E802" s="560"/>
    </row>
    <row r="803">
      <c r="B803" s="559"/>
      <c r="C803" s="377"/>
      <c r="D803" s="377"/>
      <c r="E803" s="560"/>
    </row>
    <row r="804">
      <c r="B804" s="559"/>
      <c r="C804" s="377"/>
      <c r="D804" s="377"/>
      <c r="E804" s="560"/>
    </row>
    <row r="805">
      <c r="B805" s="559"/>
      <c r="C805" s="377"/>
      <c r="D805" s="377"/>
      <c r="E805" s="560"/>
    </row>
    <row r="806">
      <c r="B806" s="559"/>
      <c r="C806" s="377"/>
      <c r="D806" s="377"/>
      <c r="E806" s="560"/>
    </row>
    <row r="807">
      <c r="B807" s="559"/>
      <c r="C807" s="377"/>
      <c r="D807" s="377"/>
      <c r="E807" s="560"/>
    </row>
    <row r="808">
      <c r="B808" s="559"/>
      <c r="C808" s="377"/>
      <c r="D808" s="377"/>
      <c r="E808" s="560"/>
    </row>
    <row r="809">
      <c r="B809" s="559"/>
      <c r="C809" s="377"/>
      <c r="D809" s="377"/>
      <c r="E809" s="560"/>
    </row>
    <row r="810">
      <c r="B810" s="559"/>
      <c r="C810" s="377"/>
      <c r="D810" s="377"/>
      <c r="E810" s="560"/>
    </row>
    <row r="811">
      <c r="B811" s="559"/>
      <c r="C811" s="377"/>
      <c r="D811" s="377"/>
      <c r="E811" s="560"/>
    </row>
    <row r="812">
      <c r="B812" s="559"/>
      <c r="C812" s="377"/>
      <c r="D812" s="377"/>
      <c r="E812" s="560"/>
    </row>
    <row r="813">
      <c r="B813" s="559"/>
      <c r="C813" s="377"/>
      <c r="D813" s="377"/>
      <c r="E813" s="560"/>
    </row>
    <row r="814">
      <c r="B814" s="559"/>
      <c r="C814" s="377"/>
      <c r="D814" s="377"/>
      <c r="E814" s="560"/>
    </row>
    <row r="815">
      <c r="B815" s="559"/>
      <c r="C815" s="377"/>
      <c r="D815" s="377"/>
      <c r="E815" s="560"/>
    </row>
    <row r="816">
      <c r="B816" s="559"/>
      <c r="C816" s="377"/>
      <c r="D816" s="377"/>
      <c r="E816" s="560"/>
    </row>
    <row r="817">
      <c r="B817" s="559"/>
      <c r="C817" s="377"/>
      <c r="D817" s="377"/>
      <c r="E817" s="560"/>
    </row>
    <row r="818">
      <c r="B818" s="559"/>
      <c r="C818" s="377"/>
      <c r="D818" s="377"/>
      <c r="E818" s="560"/>
    </row>
    <row r="819">
      <c r="B819" s="559"/>
      <c r="C819" s="377"/>
      <c r="D819" s="377"/>
      <c r="E819" s="560"/>
    </row>
    <row r="820">
      <c r="B820" s="559"/>
      <c r="C820" s="377"/>
      <c r="D820" s="377"/>
      <c r="E820" s="560"/>
    </row>
    <row r="821">
      <c r="B821" s="559"/>
      <c r="C821" s="377"/>
      <c r="D821" s="377"/>
      <c r="E821" s="560"/>
    </row>
    <row r="822">
      <c r="B822" s="559"/>
      <c r="C822" s="377"/>
      <c r="D822" s="377"/>
      <c r="E822" s="560"/>
    </row>
    <row r="823">
      <c r="B823" s="559"/>
      <c r="C823" s="377"/>
      <c r="D823" s="377"/>
      <c r="E823" s="560"/>
    </row>
    <row r="824">
      <c r="B824" s="559"/>
      <c r="C824" s="377"/>
      <c r="D824" s="377"/>
      <c r="E824" s="560"/>
    </row>
    <row r="825">
      <c r="B825" s="559"/>
      <c r="C825" s="377"/>
      <c r="D825" s="377"/>
      <c r="E825" s="560"/>
    </row>
    <row r="826">
      <c r="B826" s="559"/>
      <c r="C826" s="377"/>
      <c r="D826" s="377"/>
      <c r="E826" s="560"/>
    </row>
    <row r="827">
      <c r="B827" s="559"/>
      <c r="C827" s="377"/>
      <c r="D827" s="377"/>
      <c r="E827" s="560"/>
    </row>
    <row r="828">
      <c r="B828" s="559"/>
      <c r="C828" s="377"/>
      <c r="D828" s="377"/>
      <c r="E828" s="560"/>
    </row>
    <row r="829">
      <c r="B829" s="559"/>
      <c r="C829" s="377"/>
      <c r="D829" s="377"/>
      <c r="E829" s="560"/>
    </row>
    <row r="830">
      <c r="B830" s="559"/>
      <c r="C830" s="377"/>
      <c r="D830" s="377"/>
      <c r="E830" s="560"/>
    </row>
    <row r="831">
      <c r="B831" s="559"/>
      <c r="C831" s="377"/>
      <c r="D831" s="377"/>
      <c r="E831" s="560"/>
    </row>
    <row r="832">
      <c r="B832" s="559"/>
      <c r="C832" s="377"/>
      <c r="D832" s="377"/>
      <c r="E832" s="560"/>
    </row>
    <row r="833">
      <c r="B833" s="559"/>
      <c r="C833" s="377"/>
      <c r="D833" s="377"/>
      <c r="E833" s="560"/>
    </row>
    <row r="834">
      <c r="B834" s="559"/>
      <c r="C834" s="377"/>
      <c r="D834" s="377"/>
      <c r="E834" s="560"/>
    </row>
    <row r="835">
      <c r="B835" s="559"/>
      <c r="C835" s="377"/>
      <c r="D835" s="377"/>
      <c r="E835" s="560"/>
    </row>
    <row r="836">
      <c r="B836" s="559"/>
      <c r="C836" s="377"/>
      <c r="D836" s="377"/>
      <c r="E836" s="560"/>
    </row>
    <row r="837">
      <c r="B837" s="559"/>
      <c r="C837" s="377"/>
      <c r="D837" s="377"/>
      <c r="E837" s="560"/>
    </row>
    <row r="838">
      <c r="B838" s="559"/>
      <c r="C838" s="377"/>
      <c r="D838" s="377"/>
      <c r="E838" s="560"/>
    </row>
    <row r="839">
      <c r="B839" s="559"/>
      <c r="C839" s="377"/>
      <c r="D839" s="377"/>
      <c r="E839" s="560"/>
    </row>
    <row r="840">
      <c r="B840" s="559"/>
      <c r="C840" s="377"/>
      <c r="D840" s="377"/>
      <c r="E840" s="560"/>
    </row>
    <row r="841">
      <c r="B841" s="559"/>
      <c r="C841" s="377"/>
      <c r="D841" s="377"/>
      <c r="E841" s="560"/>
    </row>
    <row r="842">
      <c r="B842" s="559"/>
      <c r="C842" s="377"/>
      <c r="D842" s="377"/>
      <c r="E842" s="560"/>
    </row>
    <row r="843">
      <c r="B843" s="559"/>
      <c r="C843" s="377"/>
      <c r="D843" s="377"/>
      <c r="E843" s="560"/>
    </row>
    <row r="844">
      <c r="B844" s="559"/>
      <c r="C844" s="377"/>
      <c r="D844" s="377"/>
      <c r="E844" s="560"/>
    </row>
    <row r="845">
      <c r="B845" s="559"/>
      <c r="C845" s="377"/>
      <c r="D845" s="377"/>
      <c r="E845" s="560"/>
    </row>
    <row r="846">
      <c r="B846" s="559"/>
      <c r="C846" s="377"/>
      <c r="D846" s="377"/>
      <c r="E846" s="560"/>
    </row>
    <row r="847">
      <c r="B847" s="559"/>
      <c r="C847" s="377"/>
      <c r="D847" s="377"/>
      <c r="E847" s="560"/>
    </row>
    <row r="848">
      <c r="B848" s="559"/>
      <c r="C848" s="377"/>
      <c r="D848" s="377"/>
      <c r="E848" s="560"/>
    </row>
    <row r="849">
      <c r="B849" s="559"/>
      <c r="C849" s="377"/>
      <c r="D849" s="377"/>
      <c r="E849" s="560"/>
    </row>
    <row r="850">
      <c r="B850" s="559"/>
      <c r="C850" s="377"/>
      <c r="D850" s="377"/>
      <c r="E850" s="560"/>
    </row>
    <row r="851">
      <c r="B851" s="559"/>
      <c r="C851" s="377"/>
      <c r="D851" s="377"/>
      <c r="E851" s="560"/>
    </row>
    <row r="852">
      <c r="B852" s="559"/>
      <c r="C852" s="377"/>
      <c r="D852" s="377"/>
      <c r="E852" s="560"/>
    </row>
    <row r="853">
      <c r="B853" s="559"/>
      <c r="C853" s="377"/>
      <c r="D853" s="377"/>
      <c r="E853" s="560"/>
    </row>
    <row r="854">
      <c r="B854" s="559"/>
      <c r="C854" s="377"/>
      <c r="D854" s="377"/>
      <c r="E854" s="560"/>
    </row>
    <row r="855">
      <c r="B855" s="559"/>
      <c r="C855" s="377"/>
      <c r="D855" s="377"/>
      <c r="E855" s="560"/>
    </row>
    <row r="856">
      <c r="B856" s="559"/>
      <c r="C856" s="377"/>
      <c r="D856" s="377"/>
      <c r="E856" s="560"/>
    </row>
    <row r="857">
      <c r="B857" s="559"/>
      <c r="C857" s="377"/>
      <c r="D857" s="377"/>
      <c r="E857" s="560"/>
    </row>
    <row r="858">
      <c r="B858" s="559"/>
      <c r="C858" s="377"/>
      <c r="D858" s="377"/>
      <c r="E858" s="560"/>
    </row>
    <row r="859">
      <c r="B859" s="559"/>
      <c r="C859" s="377"/>
      <c r="D859" s="377"/>
      <c r="E859" s="560"/>
    </row>
    <row r="860">
      <c r="B860" s="559"/>
      <c r="C860" s="377"/>
      <c r="D860" s="377"/>
      <c r="E860" s="560"/>
    </row>
    <row r="861">
      <c r="B861" s="559"/>
      <c r="C861" s="377"/>
      <c r="D861" s="377"/>
      <c r="E861" s="560"/>
    </row>
    <row r="862">
      <c r="B862" s="559"/>
      <c r="C862" s="377"/>
      <c r="D862" s="377"/>
      <c r="E862" s="560"/>
    </row>
    <row r="863">
      <c r="B863" s="559"/>
      <c r="C863" s="377"/>
      <c r="D863" s="377"/>
      <c r="E863" s="560"/>
    </row>
    <row r="864">
      <c r="B864" s="559"/>
      <c r="C864" s="377"/>
      <c r="D864" s="377"/>
      <c r="E864" s="560"/>
    </row>
    <row r="865">
      <c r="B865" s="559"/>
      <c r="C865" s="377"/>
      <c r="D865" s="377"/>
      <c r="E865" s="560"/>
    </row>
    <row r="866">
      <c r="B866" s="559"/>
      <c r="C866" s="377"/>
      <c r="D866" s="377"/>
      <c r="E866" s="560"/>
    </row>
    <row r="867">
      <c r="B867" s="559"/>
      <c r="C867" s="377"/>
      <c r="D867" s="377"/>
      <c r="E867" s="560"/>
    </row>
    <row r="868">
      <c r="B868" s="559"/>
      <c r="C868" s="377"/>
      <c r="D868" s="377"/>
      <c r="E868" s="560"/>
    </row>
    <row r="869">
      <c r="B869" s="559"/>
      <c r="C869" s="377"/>
      <c r="D869" s="377"/>
      <c r="E869" s="560"/>
    </row>
    <row r="870">
      <c r="B870" s="559"/>
      <c r="C870" s="377"/>
      <c r="D870" s="377"/>
      <c r="E870" s="560"/>
    </row>
    <row r="871">
      <c r="B871" s="559"/>
      <c r="C871" s="377"/>
      <c r="D871" s="377"/>
      <c r="E871" s="560"/>
    </row>
    <row r="872">
      <c r="B872" s="559"/>
      <c r="C872" s="377"/>
      <c r="D872" s="377"/>
      <c r="E872" s="560"/>
    </row>
    <row r="873">
      <c r="B873" s="559"/>
      <c r="C873" s="377"/>
      <c r="D873" s="377"/>
      <c r="E873" s="560"/>
    </row>
    <row r="874">
      <c r="B874" s="559"/>
      <c r="C874" s="377"/>
      <c r="D874" s="377"/>
      <c r="E874" s="560"/>
    </row>
    <row r="875">
      <c r="B875" s="559"/>
      <c r="C875" s="377"/>
      <c r="D875" s="377"/>
      <c r="E875" s="560"/>
    </row>
    <row r="876">
      <c r="B876" s="559"/>
      <c r="C876" s="377"/>
      <c r="D876" s="377"/>
      <c r="E876" s="560"/>
    </row>
    <row r="877">
      <c r="B877" s="559"/>
      <c r="C877" s="377"/>
      <c r="D877" s="377"/>
      <c r="E877" s="560"/>
    </row>
    <row r="878">
      <c r="B878" s="559"/>
      <c r="C878" s="377"/>
      <c r="D878" s="377"/>
      <c r="E878" s="560"/>
    </row>
    <row r="879">
      <c r="B879" s="559"/>
      <c r="C879" s="377"/>
      <c r="D879" s="377"/>
      <c r="E879" s="560"/>
    </row>
    <row r="880">
      <c r="B880" s="559"/>
      <c r="C880" s="377"/>
      <c r="D880" s="377"/>
      <c r="E880" s="560"/>
    </row>
    <row r="881">
      <c r="B881" s="559"/>
      <c r="C881" s="377"/>
      <c r="D881" s="377"/>
      <c r="E881" s="560"/>
    </row>
    <row r="882">
      <c r="B882" s="559"/>
      <c r="C882" s="377"/>
      <c r="D882" s="377"/>
      <c r="E882" s="560"/>
    </row>
    <row r="883">
      <c r="B883" s="559"/>
      <c r="C883" s="377"/>
      <c r="D883" s="377"/>
      <c r="E883" s="560"/>
    </row>
    <row r="884">
      <c r="B884" s="559"/>
      <c r="C884" s="377"/>
      <c r="D884" s="377"/>
      <c r="E884" s="560"/>
    </row>
    <row r="885">
      <c r="B885" s="559"/>
      <c r="C885" s="377"/>
      <c r="D885" s="377"/>
      <c r="E885" s="560"/>
    </row>
    <row r="886">
      <c r="B886" s="559"/>
      <c r="C886" s="377"/>
      <c r="D886" s="377"/>
      <c r="E886" s="560"/>
    </row>
    <row r="887">
      <c r="B887" s="559"/>
      <c r="C887" s="377"/>
      <c r="D887" s="377"/>
      <c r="E887" s="560"/>
    </row>
    <row r="888">
      <c r="B888" s="559"/>
      <c r="C888" s="377"/>
      <c r="D888" s="377"/>
      <c r="E888" s="560"/>
    </row>
    <row r="889">
      <c r="B889" s="559"/>
      <c r="C889" s="377"/>
      <c r="D889" s="377"/>
      <c r="E889" s="560"/>
    </row>
    <row r="890">
      <c r="B890" s="559"/>
      <c r="C890" s="377"/>
      <c r="D890" s="377"/>
      <c r="E890" s="560"/>
    </row>
    <row r="891">
      <c r="B891" s="559"/>
      <c r="C891" s="377"/>
      <c r="D891" s="377"/>
      <c r="E891" s="560"/>
    </row>
    <row r="892">
      <c r="B892" s="559"/>
      <c r="C892" s="377"/>
      <c r="D892" s="377"/>
      <c r="E892" s="560"/>
    </row>
    <row r="893">
      <c r="B893" s="559"/>
      <c r="C893" s="377"/>
      <c r="D893" s="377"/>
      <c r="E893" s="560"/>
    </row>
    <row r="894">
      <c r="B894" s="559"/>
      <c r="C894" s="377"/>
      <c r="D894" s="377"/>
      <c r="E894" s="560"/>
    </row>
    <row r="895">
      <c r="B895" s="559"/>
      <c r="C895" s="377"/>
      <c r="D895" s="377"/>
      <c r="E895" s="560"/>
    </row>
    <row r="896">
      <c r="B896" s="559"/>
      <c r="C896" s="377"/>
      <c r="D896" s="377"/>
      <c r="E896" s="560"/>
    </row>
    <row r="897">
      <c r="B897" s="559"/>
      <c r="C897" s="377"/>
      <c r="D897" s="377"/>
      <c r="E897" s="560"/>
    </row>
    <row r="898">
      <c r="B898" s="559"/>
      <c r="C898" s="377"/>
      <c r="D898" s="377"/>
      <c r="E898" s="560"/>
    </row>
    <row r="899">
      <c r="B899" s="559"/>
      <c r="C899" s="377"/>
      <c r="D899" s="377"/>
      <c r="E899" s="560"/>
    </row>
    <row r="900">
      <c r="B900" s="559"/>
      <c r="C900" s="377"/>
      <c r="D900" s="377"/>
      <c r="E900" s="560"/>
    </row>
    <row r="901">
      <c r="B901" s="559"/>
      <c r="C901" s="377"/>
      <c r="D901" s="377"/>
      <c r="E901" s="560"/>
    </row>
    <row r="902">
      <c r="B902" s="559"/>
      <c r="C902" s="377"/>
      <c r="D902" s="377"/>
      <c r="E902" s="560"/>
    </row>
    <row r="903">
      <c r="B903" s="559"/>
      <c r="C903" s="377"/>
      <c r="D903" s="377"/>
      <c r="E903" s="560"/>
    </row>
    <row r="904">
      <c r="B904" s="559"/>
      <c r="C904" s="377"/>
      <c r="D904" s="377"/>
      <c r="E904" s="560"/>
    </row>
    <row r="905">
      <c r="B905" s="559"/>
      <c r="C905" s="377"/>
      <c r="D905" s="377"/>
      <c r="E905" s="560"/>
    </row>
    <row r="906">
      <c r="B906" s="559"/>
      <c r="C906" s="377"/>
      <c r="D906" s="377"/>
      <c r="E906" s="560"/>
    </row>
    <row r="907">
      <c r="B907" s="559"/>
      <c r="C907" s="377"/>
      <c r="D907" s="377"/>
      <c r="E907" s="560"/>
    </row>
    <row r="908">
      <c r="B908" s="559"/>
      <c r="C908" s="377"/>
      <c r="D908" s="377"/>
      <c r="E908" s="560"/>
    </row>
    <row r="909">
      <c r="B909" s="559"/>
      <c r="C909" s="377"/>
      <c r="D909" s="377"/>
      <c r="E909" s="560"/>
    </row>
    <row r="910">
      <c r="B910" s="559"/>
      <c r="C910" s="377"/>
      <c r="D910" s="377"/>
      <c r="E910" s="560"/>
    </row>
    <row r="911">
      <c r="B911" s="559"/>
      <c r="C911" s="377"/>
      <c r="D911" s="377"/>
      <c r="E911" s="560"/>
    </row>
    <row r="912">
      <c r="B912" s="559"/>
      <c r="C912" s="377"/>
      <c r="D912" s="377"/>
      <c r="E912" s="560"/>
    </row>
    <row r="913">
      <c r="B913" s="559"/>
      <c r="C913" s="377"/>
      <c r="D913" s="377"/>
      <c r="E913" s="560"/>
    </row>
    <row r="914">
      <c r="B914" s="559"/>
      <c r="C914" s="377"/>
      <c r="D914" s="377"/>
      <c r="E914" s="560"/>
    </row>
    <row r="915">
      <c r="B915" s="559"/>
      <c r="C915" s="377"/>
      <c r="D915" s="377"/>
      <c r="E915" s="560"/>
    </row>
    <row r="916">
      <c r="B916" s="559"/>
      <c r="C916" s="377"/>
      <c r="D916" s="377"/>
      <c r="E916" s="560"/>
    </row>
    <row r="917">
      <c r="B917" s="559"/>
      <c r="C917" s="377"/>
      <c r="D917" s="377"/>
      <c r="E917" s="560"/>
    </row>
    <row r="918">
      <c r="B918" s="559"/>
      <c r="C918" s="377"/>
      <c r="D918" s="377"/>
      <c r="E918" s="560"/>
    </row>
    <row r="919">
      <c r="B919" s="559"/>
      <c r="C919" s="377"/>
      <c r="D919" s="377"/>
      <c r="E919" s="560"/>
    </row>
    <row r="920">
      <c r="B920" s="559"/>
      <c r="C920" s="377"/>
      <c r="D920" s="377"/>
      <c r="E920" s="560"/>
    </row>
    <row r="921">
      <c r="B921" s="559"/>
      <c r="C921" s="377"/>
      <c r="D921" s="377"/>
      <c r="E921" s="560"/>
    </row>
    <row r="922">
      <c r="B922" s="559"/>
      <c r="C922" s="377"/>
      <c r="D922" s="377"/>
      <c r="E922" s="560"/>
    </row>
    <row r="923">
      <c r="B923" s="559"/>
      <c r="C923" s="377"/>
      <c r="D923" s="377"/>
      <c r="E923" s="560"/>
    </row>
    <row r="924">
      <c r="B924" s="559"/>
      <c r="C924" s="377"/>
      <c r="D924" s="377"/>
      <c r="E924" s="560"/>
    </row>
    <row r="925">
      <c r="B925" s="559"/>
      <c r="C925" s="377"/>
      <c r="D925" s="377"/>
      <c r="E925" s="560"/>
    </row>
    <row r="926">
      <c r="B926" s="559"/>
      <c r="C926" s="377"/>
      <c r="D926" s="377"/>
      <c r="E926" s="560"/>
    </row>
    <row r="927">
      <c r="B927" s="559"/>
      <c r="C927" s="377"/>
      <c r="D927" s="377"/>
      <c r="E927" s="560"/>
    </row>
    <row r="928">
      <c r="B928" s="559"/>
      <c r="C928" s="377"/>
      <c r="D928" s="377"/>
      <c r="E928" s="560"/>
    </row>
    <row r="929">
      <c r="B929" s="559"/>
      <c r="C929" s="377"/>
      <c r="D929" s="377"/>
      <c r="E929" s="560"/>
    </row>
    <row r="930">
      <c r="B930" s="559"/>
      <c r="C930" s="377"/>
      <c r="D930" s="377"/>
      <c r="E930" s="560"/>
    </row>
    <row r="931">
      <c r="B931" s="559"/>
      <c r="C931" s="377"/>
      <c r="D931" s="377"/>
      <c r="E931" s="560"/>
    </row>
    <row r="932">
      <c r="B932" s="559"/>
      <c r="C932" s="377"/>
      <c r="D932" s="377"/>
      <c r="E932" s="560"/>
    </row>
    <row r="933">
      <c r="B933" s="559"/>
      <c r="C933" s="377"/>
      <c r="D933" s="377"/>
      <c r="E933" s="560"/>
    </row>
    <row r="934">
      <c r="B934" s="559"/>
      <c r="C934" s="377"/>
      <c r="D934" s="377"/>
      <c r="E934" s="560"/>
    </row>
    <row r="935">
      <c r="B935" s="559"/>
      <c r="C935" s="377"/>
      <c r="D935" s="377"/>
      <c r="E935" s="560"/>
    </row>
    <row r="936">
      <c r="B936" s="559"/>
      <c r="C936" s="377"/>
      <c r="D936" s="377"/>
      <c r="E936" s="560"/>
    </row>
    <row r="937">
      <c r="B937" s="559"/>
      <c r="C937" s="377"/>
      <c r="D937" s="377"/>
      <c r="E937" s="560"/>
    </row>
    <row r="938">
      <c r="B938" s="559"/>
      <c r="C938" s="377"/>
      <c r="D938" s="377"/>
      <c r="E938" s="560"/>
    </row>
    <row r="939">
      <c r="B939" s="559"/>
      <c r="C939" s="377"/>
      <c r="D939" s="377"/>
      <c r="E939" s="560"/>
    </row>
    <row r="940">
      <c r="B940" s="559"/>
      <c r="C940" s="377"/>
      <c r="D940" s="377"/>
      <c r="E940" s="560"/>
    </row>
    <row r="941">
      <c r="B941" s="559"/>
      <c r="C941" s="377"/>
      <c r="D941" s="377"/>
      <c r="E941" s="560"/>
    </row>
    <row r="942">
      <c r="B942" s="559"/>
      <c r="C942" s="377"/>
      <c r="D942" s="377"/>
      <c r="E942" s="560"/>
    </row>
    <row r="943">
      <c r="B943" s="559"/>
      <c r="C943" s="377"/>
      <c r="D943" s="377"/>
      <c r="E943" s="560"/>
    </row>
    <row r="944">
      <c r="B944" s="559"/>
      <c r="C944" s="377"/>
      <c r="D944" s="377"/>
      <c r="E944" s="560"/>
    </row>
    <row r="945">
      <c r="B945" s="559"/>
      <c r="C945" s="377"/>
      <c r="D945" s="377"/>
      <c r="E945" s="560"/>
    </row>
    <row r="946">
      <c r="B946" s="559"/>
      <c r="C946" s="377"/>
      <c r="D946" s="377"/>
      <c r="E946" s="560"/>
    </row>
    <row r="947">
      <c r="B947" s="559"/>
      <c r="C947" s="377"/>
      <c r="D947" s="377"/>
      <c r="E947" s="560"/>
    </row>
    <row r="948">
      <c r="B948" s="559"/>
      <c r="C948" s="377"/>
      <c r="D948" s="377"/>
      <c r="E948" s="560"/>
    </row>
    <row r="949">
      <c r="B949" s="559"/>
      <c r="C949" s="377"/>
      <c r="D949" s="377"/>
      <c r="E949" s="560"/>
    </row>
    <row r="950">
      <c r="B950" s="559"/>
      <c r="C950" s="377"/>
      <c r="D950" s="377"/>
      <c r="E950" s="560"/>
    </row>
    <row r="951">
      <c r="B951" s="559"/>
      <c r="C951" s="377"/>
      <c r="D951" s="377"/>
      <c r="E951" s="560"/>
    </row>
    <row r="952">
      <c r="B952" s="559"/>
      <c r="C952" s="377"/>
      <c r="D952" s="377"/>
      <c r="E952" s="560"/>
    </row>
    <row r="953">
      <c r="B953" s="559"/>
      <c r="C953" s="377"/>
      <c r="D953" s="377"/>
      <c r="E953" s="560"/>
    </row>
    <row r="954">
      <c r="B954" s="559"/>
      <c r="C954" s="377"/>
      <c r="D954" s="377"/>
      <c r="E954" s="560"/>
    </row>
    <row r="955">
      <c r="B955" s="559"/>
      <c r="C955" s="377"/>
      <c r="D955" s="377"/>
      <c r="E955" s="560"/>
    </row>
    <row r="956">
      <c r="B956" s="559"/>
      <c r="C956" s="377"/>
      <c r="D956" s="377"/>
      <c r="E956" s="560"/>
    </row>
    <row r="957">
      <c r="B957" s="559"/>
      <c r="C957" s="377"/>
      <c r="D957" s="377"/>
      <c r="E957" s="560"/>
    </row>
    <row r="958">
      <c r="B958" s="559"/>
      <c r="C958" s="377"/>
      <c r="D958" s="377"/>
      <c r="E958" s="560"/>
    </row>
    <row r="959">
      <c r="B959" s="559"/>
      <c r="C959" s="377"/>
      <c r="D959" s="377"/>
      <c r="E959" s="560"/>
    </row>
    <row r="960">
      <c r="B960" s="559"/>
      <c r="C960" s="377"/>
      <c r="D960" s="377"/>
      <c r="E960" s="560"/>
    </row>
    <row r="961">
      <c r="B961" s="559"/>
      <c r="C961" s="377"/>
      <c r="D961" s="377"/>
      <c r="E961" s="560"/>
    </row>
    <row r="962">
      <c r="B962" s="559"/>
      <c r="C962" s="377"/>
      <c r="D962" s="377"/>
      <c r="E962" s="560"/>
    </row>
    <row r="963">
      <c r="B963" s="559"/>
      <c r="C963" s="377"/>
      <c r="D963" s="377"/>
      <c r="E963" s="560"/>
    </row>
    <row r="964">
      <c r="B964" s="559"/>
      <c r="C964" s="377"/>
      <c r="D964" s="377"/>
      <c r="E964" s="560"/>
    </row>
    <row r="965">
      <c r="B965" s="559"/>
      <c r="C965" s="377"/>
      <c r="D965" s="377"/>
      <c r="E965" s="560"/>
    </row>
    <row r="966">
      <c r="B966" s="559"/>
      <c r="C966" s="377"/>
      <c r="D966" s="377"/>
      <c r="E966" s="560"/>
    </row>
    <row r="967">
      <c r="B967" s="559"/>
      <c r="C967" s="377"/>
      <c r="D967" s="377"/>
      <c r="E967" s="560"/>
    </row>
    <row r="968">
      <c r="B968" s="559"/>
      <c r="C968" s="377"/>
      <c r="D968" s="377"/>
      <c r="E968" s="560"/>
    </row>
    <row r="969">
      <c r="B969" s="559"/>
      <c r="C969" s="377"/>
      <c r="D969" s="377"/>
      <c r="E969" s="560"/>
    </row>
    <row r="970">
      <c r="B970" s="559"/>
      <c r="C970" s="377"/>
      <c r="D970" s="377"/>
      <c r="E970" s="560"/>
    </row>
    <row r="971">
      <c r="B971" s="559"/>
      <c r="C971" s="377"/>
      <c r="D971" s="377"/>
      <c r="E971" s="560"/>
    </row>
    <row r="972">
      <c r="B972" s="559"/>
      <c r="C972" s="377"/>
      <c r="D972" s="377"/>
      <c r="E972" s="560"/>
    </row>
    <row r="973">
      <c r="B973" s="559"/>
      <c r="C973" s="377"/>
      <c r="D973" s="377"/>
      <c r="E973" s="560"/>
    </row>
    <row r="974">
      <c r="B974" s="559"/>
      <c r="C974" s="377"/>
      <c r="D974" s="377"/>
      <c r="E974" s="560"/>
    </row>
    <row r="975">
      <c r="B975" s="559"/>
      <c r="C975" s="377"/>
      <c r="D975" s="377"/>
      <c r="E975" s="560"/>
    </row>
    <row r="976">
      <c r="B976" s="559"/>
      <c r="C976" s="377"/>
      <c r="D976" s="377"/>
      <c r="E976" s="560"/>
    </row>
    <row r="977">
      <c r="B977" s="559"/>
      <c r="C977" s="377"/>
      <c r="D977" s="377"/>
      <c r="E977" s="560"/>
    </row>
    <row r="978">
      <c r="B978" s="559"/>
      <c r="C978" s="377"/>
      <c r="D978" s="377"/>
      <c r="E978" s="560"/>
    </row>
    <row r="979">
      <c r="B979" s="559"/>
      <c r="C979" s="377"/>
      <c r="D979" s="377"/>
      <c r="E979" s="560"/>
    </row>
    <row r="980">
      <c r="B980" s="559"/>
      <c r="C980" s="377"/>
      <c r="D980" s="377"/>
      <c r="E980" s="560"/>
    </row>
    <row r="981">
      <c r="B981" s="559"/>
      <c r="C981" s="377"/>
      <c r="D981" s="377"/>
      <c r="E981" s="560"/>
    </row>
    <row r="982">
      <c r="B982" s="559"/>
      <c r="C982" s="377"/>
      <c r="D982" s="377"/>
      <c r="E982" s="560"/>
    </row>
    <row r="983">
      <c r="B983" s="559"/>
      <c r="C983" s="377"/>
      <c r="D983" s="377"/>
      <c r="E983" s="560"/>
    </row>
    <row r="984">
      <c r="B984" s="559"/>
      <c r="C984" s="377"/>
      <c r="D984" s="377"/>
      <c r="E984" s="560"/>
    </row>
    <row r="985">
      <c r="B985" s="559"/>
      <c r="C985" s="377"/>
      <c r="D985" s="377"/>
      <c r="E985" s="560"/>
    </row>
    <row r="986">
      <c r="B986" s="559"/>
      <c r="C986" s="377"/>
      <c r="D986" s="377"/>
      <c r="E986" s="560"/>
    </row>
    <row r="987">
      <c r="B987" s="559"/>
      <c r="C987" s="377"/>
      <c r="D987" s="377"/>
      <c r="E987" s="560"/>
    </row>
    <row r="988">
      <c r="B988" s="559"/>
      <c r="C988" s="377"/>
      <c r="D988" s="377"/>
      <c r="E988" s="560"/>
    </row>
    <row r="989">
      <c r="B989" s="559"/>
      <c r="C989" s="377"/>
      <c r="D989" s="377"/>
      <c r="E989" s="560"/>
    </row>
    <row r="990">
      <c r="B990" s="559"/>
      <c r="C990" s="377"/>
      <c r="D990" s="377"/>
      <c r="E990" s="560"/>
    </row>
    <row r="991">
      <c r="B991" s="559"/>
      <c r="C991" s="377"/>
      <c r="D991" s="377"/>
      <c r="E991" s="560"/>
    </row>
    <row r="992">
      <c r="B992" s="559"/>
      <c r="C992" s="377"/>
      <c r="D992" s="377"/>
      <c r="E992" s="560"/>
    </row>
    <row r="993">
      <c r="B993" s="559"/>
      <c r="C993" s="377"/>
      <c r="D993" s="377"/>
      <c r="E993" s="560"/>
    </row>
    <row r="994">
      <c r="B994" s="559"/>
      <c r="C994" s="377"/>
      <c r="D994" s="377"/>
      <c r="E994" s="560"/>
    </row>
    <row r="995">
      <c r="B995" s="559"/>
      <c r="C995" s="377"/>
      <c r="D995" s="377"/>
      <c r="E995" s="560"/>
    </row>
    <row r="996">
      <c r="B996" s="559"/>
      <c r="C996" s="377"/>
      <c r="D996" s="377"/>
      <c r="E996" s="560"/>
    </row>
    <row r="997">
      <c r="B997" s="559"/>
      <c r="C997" s="377"/>
      <c r="D997" s="377"/>
      <c r="E997" s="560"/>
    </row>
    <row r="998">
      <c r="B998" s="559"/>
      <c r="C998" s="377"/>
      <c r="D998" s="377"/>
      <c r="E998" s="560"/>
    </row>
    <row r="999">
      <c r="B999" s="559"/>
      <c r="C999" s="377"/>
      <c r="D999" s="377"/>
      <c r="E999" s="560"/>
    </row>
    <row r="1000">
      <c r="B1000" s="559"/>
      <c r="C1000" s="377"/>
      <c r="D1000" s="377"/>
      <c r="E1000" s="560"/>
    </row>
    <row r="1001">
      <c r="B1001" s="559"/>
      <c r="C1001" s="377"/>
      <c r="D1001" s="377"/>
      <c r="E1001" s="560"/>
    </row>
    <row r="1002">
      <c r="B1002" s="559"/>
      <c r="C1002" s="377"/>
      <c r="D1002" s="377"/>
      <c r="E1002" s="560"/>
    </row>
  </sheetData>
  <mergeCells count="2">
    <mergeCell ref="L1:M1"/>
    <mergeCell ref="N1:O1"/>
  </mergeCells>
  <conditionalFormatting sqref="E1:E1002">
    <cfRule type="containsText" dxfId="0" priority="1" operator="containsText" text="Dem">
      <formula>NOT(ISERROR(SEARCH(("Dem"),(E1))))</formula>
    </cfRule>
  </conditionalFormatting>
  <conditionalFormatting sqref="E1:E1002">
    <cfRule type="containsText" dxfId="1" priority="2" operator="containsText" text="Rep">
      <formula>NOT(ISERROR(SEARCH(("Rep"),(E1))))</formula>
    </cfRule>
  </conditionalFormatting>
  <hyperlinks>
    <hyperlink r:id="rId1" ref="C5"/>
    <hyperlink r:id="rId2" ref="C6"/>
    <hyperlink r:id="rId3" ref="C7"/>
    <hyperlink r:id="rId4" ref="C8"/>
    <hyperlink r:id="rId5" ref="C9"/>
    <hyperlink r:id="rId6" ref="C10"/>
    <hyperlink r:id="rId7" ref="C11"/>
    <hyperlink r:id="rId8" ref="C12"/>
    <hyperlink r:id="rId9" ref="C13"/>
    <hyperlink r:id="rId10" ref="C15"/>
    <hyperlink r:id="rId11" ref="C16"/>
    <hyperlink r:id="rId12" ref="C17"/>
    <hyperlink r:id="rId13" ref="C18"/>
    <hyperlink r:id="rId14" ref="C19"/>
    <hyperlink r:id="rId15" ref="C20"/>
    <hyperlink r:id="rId16" ref="C21"/>
    <hyperlink r:id="rId17" ref="C22"/>
    <hyperlink r:id="rId18" ref="C23"/>
    <hyperlink r:id="rId19" ref="C24"/>
    <hyperlink r:id="rId20" ref="C25"/>
    <hyperlink r:id="rId21" ref="C26"/>
    <hyperlink r:id="rId22" ref="C27"/>
    <hyperlink r:id="rId23" ref="C28"/>
    <hyperlink r:id="rId24" ref="C29"/>
    <hyperlink r:id="rId25" ref="C30"/>
    <hyperlink r:id="rId26" ref="C31"/>
    <hyperlink r:id="rId27" ref="C32"/>
    <hyperlink r:id="rId28" ref="C33"/>
    <hyperlink r:id="rId29" ref="C34"/>
    <hyperlink r:id="rId30" ref="C35"/>
    <hyperlink r:id="rId31" ref="C36"/>
    <hyperlink r:id="rId32" ref="C37"/>
    <hyperlink r:id="rId33" ref="C39"/>
    <hyperlink r:id="rId34" ref="C40"/>
    <hyperlink r:id="rId35" ref="C41"/>
    <hyperlink r:id="rId36" ref="C42"/>
    <hyperlink r:id="rId37" ref="C43"/>
    <hyperlink r:id="rId38" ref="C44"/>
    <hyperlink r:id="rId39" ref="C45"/>
    <hyperlink r:id="rId40" ref="C46"/>
    <hyperlink r:id="rId41" ref="C47"/>
    <hyperlink r:id="rId42" ref="C48"/>
    <hyperlink r:id="rId43" ref="C49"/>
    <hyperlink r:id="rId44" ref="C50"/>
    <hyperlink r:id="rId45" ref="C51"/>
    <hyperlink r:id="rId46" ref="C52"/>
    <hyperlink r:id="rId47" ref="C53"/>
    <hyperlink r:id="rId48" ref="C54"/>
    <hyperlink r:id="rId49" ref="C55"/>
    <hyperlink r:id="rId50" ref="C56"/>
    <hyperlink r:id="rId51" ref="C57"/>
    <hyperlink r:id="rId52" ref="C58"/>
    <hyperlink r:id="rId53" ref="C59"/>
    <hyperlink r:id="rId54" ref="C61"/>
    <hyperlink r:id="rId55" ref="C62"/>
    <hyperlink r:id="rId56" ref="C63"/>
    <hyperlink r:id="rId57" ref="C64"/>
    <hyperlink r:id="rId58" ref="C65"/>
    <hyperlink r:id="rId59" ref="C66"/>
    <hyperlink r:id="rId60" ref="C67"/>
    <hyperlink r:id="rId61" ref="C68"/>
    <hyperlink r:id="rId62" ref="C69"/>
    <hyperlink r:id="rId63" ref="C70"/>
    <hyperlink r:id="rId64" ref="C71"/>
    <hyperlink r:id="rId65" ref="C72"/>
    <hyperlink r:id="rId66" ref="C73"/>
    <hyperlink r:id="rId67" ref="C74"/>
    <hyperlink r:id="rId68" ref="C75"/>
    <hyperlink r:id="rId69" ref="C76"/>
    <hyperlink r:id="rId70" ref="C77"/>
    <hyperlink r:id="rId71" ref="C78"/>
    <hyperlink r:id="rId72" ref="C79"/>
    <hyperlink r:id="rId73" ref="C80"/>
    <hyperlink r:id="rId74" ref="C82"/>
    <hyperlink r:id="rId75" ref="C83"/>
    <hyperlink r:id="rId76" ref="C84"/>
    <hyperlink r:id="rId77" ref="C85"/>
    <hyperlink r:id="rId78" ref="C86"/>
    <hyperlink r:id="rId79" ref="C87"/>
    <hyperlink r:id="rId80" ref="C88"/>
    <hyperlink r:id="rId81" ref="C89"/>
    <hyperlink r:id="rId82" ref="C90"/>
    <hyperlink r:id="rId83" ref="C91"/>
    <hyperlink r:id="rId84" ref="C92"/>
    <hyperlink r:id="rId85" ref="C93"/>
    <hyperlink r:id="rId86" ref="C94"/>
    <hyperlink r:id="rId87" ref="C95"/>
    <hyperlink r:id="rId88" ref="C96"/>
    <hyperlink r:id="rId89" ref="C97"/>
    <hyperlink r:id="rId90" ref="C98"/>
    <hyperlink r:id="rId91" ref="C99"/>
    <hyperlink r:id="rId92" ref="C100"/>
    <hyperlink r:id="rId93" ref="C101"/>
    <hyperlink r:id="rId94" ref="C102"/>
    <hyperlink r:id="rId95" ref="C103"/>
    <hyperlink r:id="rId96" ref="C104"/>
    <hyperlink r:id="rId97" ref="C105"/>
    <hyperlink r:id="rId98" ref="C106"/>
    <hyperlink r:id="rId99" ref="C107"/>
    <hyperlink r:id="rId100" ref="C108"/>
    <hyperlink r:id="rId101" ref="C109"/>
    <hyperlink r:id="rId102" ref="C110"/>
    <hyperlink r:id="rId103" ref="C111"/>
    <hyperlink r:id="rId104" ref="C112"/>
    <hyperlink r:id="rId105" ref="C113"/>
    <hyperlink r:id="rId106" ref="C114"/>
    <hyperlink r:id="rId107" ref="C115"/>
    <hyperlink r:id="rId108" ref="C116"/>
    <hyperlink r:id="rId109" ref="C117"/>
    <hyperlink r:id="rId110" ref="C118"/>
    <hyperlink r:id="rId111" ref="C119"/>
    <hyperlink r:id="rId112" ref="C120"/>
    <hyperlink r:id="rId113" ref="C121"/>
    <hyperlink r:id="rId114" ref="C122"/>
    <hyperlink r:id="rId115" ref="C123"/>
    <hyperlink r:id="rId116" ref="C124"/>
    <hyperlink r:id="rId117" ref="C125"/>
    <hyperlink r:id="rId118" ref="C127"/>
    <hyperlink r:id="rId119" ref="C128"/>
    <hyperlink r:id="rId120" ref="C129"/>
    <hyperlink r:id="rId121" ref="C131"/>
    <hyperlink r:id="rId122" ref="C132"/>
    <hyperlink r:id="rId123" ref="C133"/>
    <hyperlink r:id="rId124" ref="C134"/>
    <hyperlink r:id="rId125" ref="C135"/>
    <hyperlink r:id="rId126" ref="C136"/>
    <hyperlink r:id="rId127" ref="C137"/>
    <hyperlink r:id="rId128" ref="C138"/>
    <hyperlink r:id="rId129" ref="C139"/>
    <hyperlink r:id="rId130" ref="C140"/>
    <hyperlink r:id="rId131" ref="C141"/>
    <hyperlink r:id="rId132" ref="C142"/>
    <hyperlink r:id="rId133" ref="C143"/>
    <hyperlink r:id="rId134" ref="C144"/>
    <hyperlink r:id="rId135" ref="C145"/>
    <hyperlink r:id="rId136" ref="C146"/>
    <hyperlink r:id="rId137" ref="C147"/>
    <hyperlink r:id="rId138" ref="C148"/>
    <hyperlink r:id="rId139" ref="C149"/>
    <hyperlink r:id="rId140" ref="C150"/>
    <hyperlink r:id="rId141" ref="C151"/>
    <hyperlink r:id="rId142" ref="C152"/>
    <hyperlink r:id="rId143" ref="C153"/>
    <hyperlink r:id="rId144" ref="C154"/>
    <hyperlink r:id="rId145" ref="C155"/>
    <hyperlink r:id="rId146" ref="C156"/>
    <hyperlink r:id="rId147" ref="C157"/>
    <hyperlink r:id="rId148" ref="C158"/>
    <hyperlink r:id="rId149" ref="C159"/>
    <hyperlink r:id="rId150" ref="C160"/>
    <hyperlink r:id="rId151" ref="C161"/>
    <hyperlink r:id="rId152" ref="C162"/>
    <hyperlink r:id="rId153" ref="C163"/>
    <hyperlink r:id="rId154" ref="C165"/>
    <hyperlink r:id="rId155" ref="C166"/>
    <hyperlink r:id="rId156" ref="C167"/>
    <hyperlink r:id="rId157" ref="C168"/>
    <hyperlink r:id="rId158" ref="C169"/>
    <hyperlink r:id="rId159" ref="C170"/>
    <hyperlink r:id="rId160" ref="C171"/>
    <hyperlink r:id="rId161" ref="C172"/>
    <hyperlink r:id="rId162" ref="C173"/>
    <hyperlink r:id="rId163" ref="C174"/>
    <hyperlink r:id="rId164" ref="C175"/>
    <hyperlink r:id="rId165" ref="C176"/>
    <hyperlink r:id="rId166" ref="C177"/>
    <hyperlink r:id="rId167" ref="C180"/>
    <hyperlink r:id="rId168" ref="C181"/>
    <hyperlink r:id="rId169" ref="C182"/>
    <hyperlink r:id="rId170" ref="C183"/>
    <hyperlink r:id="rId171" ref="C184"/>
    <hyperlink r:id="rId172" ref="C185"/>
    <hyperlink r:id="rId173" ref="C186"/>
    <hyperlink r:id="rId174" ref="C187"/>
    <hyperlink r:id="rId175" ref="C188"/>
    <hyperlink r:id="rId176" ref="C189"/>
    <hyperlink r:id="rId177" ref="C190"/>
    <hyperlink r:id="rId178" ref="C191"/>
    <hyperlink r:id="rId179" ref="C192"/>
    <hyperlink r:id="rId180" ref="C193"/>
    <hyperlink r:id="rId181" ref="C194"/>
    <hyperlink r:id="rId182" ref="C195"/>
    <hyperlink r:id="rId183" ref="C196"/>
    <hyperlink r:id="rId184" ref="C197"/>
    <hyperlink r:id="rId185" ref="C198"/>
    <hyperlink r:id="rId186" ref="C199"/>
    <hyperlink r:id="rId187" ref="C200"/>
    <hyperlink r:id="rId188" ref="C201"/>
    <hyperlink r:id="rId189" ref="C202"/>
    <hyperlink r:id="rId190" ref="C203"/>
    <hyperlink r:id="rId191" ref="C204"/>
  </hyperlinks>
  <drawing r:id="rId19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2" max="2" width="9.0"/>
    <col customWidth="1" min="5" max="5" width="10.86"/>
  </cols>
  <sheetData>
    <row r="1" ht="15.0" customHeight="1" outlineLevel="1">
      <c r="A1" s="1" t="s">
        <v>0</v>
      </c>
      <c r="B1" s="2" t="s">
        <v>1</v>
      </c>
      <c r="C1" s="2" t="s">
        <v>2</v>
      </c>
      <c r="D1" s="2" t="s">
        <v>2</v>
      </c>
      <c r="E1" s="3"/>
      <c r="F1" s="365" t="s">
        <v>1577</v>
      </c>
      <c r="G1" s="30" t="s">
        <v>4</v>
      </c>
      <c r="H1" s="30" t="s">
        <v>5</v>
      </c>
      <c r="I1" s="30" t="s">
        <v>6</v>
      </c>
      <c r="J1" s="30" t="s">
        <v>7</v>
      </c>
      <c r="K1" s="1" t="s">
        <v>8</v>
      </c>
      <c r="L1" s="7" t="s">
        <v>9</v>
      </c>
      <c r="N1" s="10" t="s">
        <v>14</v>
      </c>
      <c r="P1" s="167"/>
      <c r="Q1" s="167"/>
      <c r="R1" s="30"/>
      <c r="S1" s="20"/>
      <c r="T1" s="20"/>
      <c r="U1" s="20"/>
      <c r="V1" s="20"/>
      <c r="W1" s="20"/>
      <c r="X1" s="20"/>
      <c r="Y1" s="20"/>
      <c r="Z1" s="20"/>
      <c r="AA1" s="20"/>
      <c r="AB1" s="20"/>
      <c r="AC1" s="20"/>
      <c r="AD1" s="20"/>
    </row>
    <row r="2" ht="16.5" customHeight="1" outlineLevel="1">
      <c r="A2" s="21" t="s">
        <v>492</v>
      </c>
      <c r="B2" s="436"/>
      <c r="C2" s="21" t="s">
        <v>1648</v>
      </c>
      <c r="D2" s="23"/>
      <c r="E2" s="3"/>
      <c r="F2" s="367">
        <v>43474.0</v>
      </c>
      <c r="G2" s="168">
        <v>43830.0</v>
      </c>
      <c r="H2" s="21">
        <f>G2-TODAY()</f>
        <v>95</v>
      </c>
      <c r="I2" s="168">
        <v>43474.0</v>
      </c>
      <c r="J2" s="168">
        <v>43830.0</v>
      </c>
      <c r="K2" s="23"/>
      <c r="L2" s="26">
        <f>CountIFS($E:$E,"=Dem",$A:$A,"=House")</f>
        <v>51</v>
      </c>
      <c r="M2" s="28">
        <f>CountIFS($E:$E,"=Rep",$A:$A,"=House")</f>
        <v>59</v>
      </c>
      <c r="N2" s="26">
        <f>CountIFS($E:$E,"=Dem",$A:$A,"=Senate")</f>
        <v>16</v>
      </c>
      <c r="O2" s="28">
        <f>CountIFS($E:$E,"=Rep",$A:$A,"=Senate")</f>
        <v>22</v>
      </c>
      <c r="P2" s="167"/>
      <c r="Q2" s="167"/>
      <c r="R2" s="30"/>
      <c r="S2" s="20"/>
      <c r="T2" s="20"/>
      <c r="U2" s="20"/>
      <c r="V2" s="20"/>
      <c r="W2" s="20"/>
      <c r="X2" s="20"/>
      <c r="Y2" s="20"/>
      <c r="Z2" s="20"/>
      <c r="AA2" s="20"/>
      <c r="AB2" s="20"/>
      <c r="AC2" s="20"/>
      <c r="AD2" s="20"/>
    </row>
    <row r="3">
      <c r="A3" s="30" t="s">
        <v>29</v>
      </c>
      <c r="B3" s="2" t="s">
        <v>30</v>
      </c>
      <c r="C3" s="2" t="s">
        <v>31</v>
      </c>
      <c r="D3" s="2" t="s">
        <v>32</v>
      </c>
      <c r="E3" s="3" t="s">
        <v>33</v>
      </c>
      <c r="F3" s="1" t="s">
        <v>10</v>
      </c>
      <c r="G3" s="1" t="s">
        <v>34</v>
      </c>
      <c r="H3" s="1" t="s">
        <v>34</v>
      </c>
      <c r="I3" s="1" t="s">
        <v>34</v>
      </c>
      <c r="J3" s="1" t="s">
        <v>34</v>
      </c>
      <c r="K3" s="1" t="s">
        <v>35</v>
      </c>
      <c r="L3" s="19" t="s">
        <v>36</v>
      </c>
      <c r="M3" s="19" t="s">
        <v>37</v>
      </c>
      <c r="N3" s="19" t="s">
        <v>38</v>
      </c>
      <c r="O3" s="17" t="s">
        <v>39</v>
      </c>
      <c r="P3" s="11" t="s">
        <v>40</v>
      </c>
      <c r="Q3" s="11" t="s">
        <v>41</v>
      </c>
      <c r="R3" s="17" t="s">
        <v>42</v>
      </c>
      <c r="S3" s="20"/>
      <c r="T3" s="20"/>
      <c r="U3" s="30" t="s">
        <v>1590</v>
      </c>
      <c r="V3" s="2" t="s">
        <v>1591</v>
      </c>
      <c r="W3" s="30" t="s">
        <v>1592</v>
      </c>
      <c r="X3" s="30" t="s">
        <v>37</v>
      </c>
      <c r="Y3" s="30" t="s">
        <v>1593</v>
      </c>
      <c r="Z3" s="20"/>
      <c r="AA3" s="20"/>
      <c r="AB3" s="20"/>
      <c r="AC3" s="20"/>
      <c r="AD3" s="20"/>
    </row>
    <row r="4">
      <c r="A4" s="14" t="s">
        <v>44</v>
      </c>
      <c r="B4" s="35">
        <v>1.0</v>
      </c>
      <c r="C4" s="35" t="s">
        <v>7028</v>
      </c>
      <c r="D4" s="35" t="s">
        <v>7031</v>
      </c>
      <c r="E4" s="36" t="s">
        <v>49</v>
      </c>
      <c r="F4" s="406"/>
      <c r="G4" s="408"/>
      <c r="H4" s="138"/>
      <c r="I4" s="138"/>
      <c r="J4" s="138"/>
      <c r="K4" s="138"/>
      <c r="L4" s="136" t="s">
        <v>7033</v>
      </c>
      <c r="M4" s="39" t="str">
        <f t="shared" ref="M4:M19" si="1">Concatenate(Lower(C4),Lower(D4),"@house.mi.gov")</f>
        <v>tenishayancey@house.mi.gov</v>
      </c>
      <c r="N4" s="41"/>
      <c r="O4" s="41"/>
      <c r="P4" s="41"/>
      <c r="Q4" s="41"/>
      <c r="R4" s="41"/>
      <c r="U4" t="str">
        <f t="shared" ref="U4:U113" si="2">if(V4="","",if(A4="House","Representative","Senator"))</f>
        <v/>
      </c>
      <c r="V4" s="139" t="str">
        <f t="shared" ref="V4:V113" si="3">if(or(isblank(F4),isnumber(search("minority",F4))),"",C4)</f>
        <v/>
      </c>
      <c r="W4" t="str">
        <f t="shared" ref="W4:W113" si="4">if(V4="","",D4)</f>
        <v/>
      </c>
      <c r="X4" t="str">
        <f t="shared" ref="X4:X113" si="5">if(W4="","",M4)</f>
        <v/>
      </c>
      <c r="Y4" t="str">
        <f t="shared" ref="Y4:Y113" si="6">if(X4="","",if(isblank($F4),$G4,$F4))</f>
        <v/>
      </c>
    </row>
    <row r="5">
      <c r="A5" s="14" t="s">
        <v>44</v>
      </c>
      <c r="B5" s="74">
        <v>2.0</v>
      </c>
      <c r="C5" s="35" t="s">
        <v>7041</v>
      </c>
      <c r="D5" s="35" t="s">
        <v>45</v>
      </c>
      <c r="E5" s="36" t="s">
        <v>49</v>
      </c>
      <c r="F5" s="406"/>
      <c r="G5" s="112"/>
      <c r="H5" s="138"/>
      <c r="I5" s="138"/>
      <c r="J5" s="138"/>
      <c r="K5" s="138"/>
      <c r="L5" s="136" t="s">
        <v>7044</v>
      </c>
      <c r="M5" s="39" t="str">
        <f t="shared" si="1"/>
        <v>bettiescott@house.mi.gov</v>
      </c>
      <c r="N5" s="41"/>
      <c r="O5" s="41"/>
      <c r="P5" s="41"/>
      <c r="Q5" s="41"/>
      <c r="R5" s="41"/>
      <c r="U5" t="str">
        <f t="shared" si="2"/>
        <v/>
      </c>
      <c r="V5" s="139" t="str">
        <f t="shared" si="3"/>
        <v/>
      </c>
      <c r="W5" t="str">
        <f t="shared" si="4"/>
        <v/>
      </c>
      <c r="X5" t="str">
        <f t="shared" si="5"/>
        <v/>
      </c>
      <c r="Y5" t="str">
        <f t="shared" si="6"/>
        <v/>
      </c>
    </row>
    <row r="6">
      <c r="A6" s="14" t="s">
        <v>44</v>
      </c>
      <c r="B6" s="74">
        <v>3.0</v>
      </c>
      <c r="C6" s="35" t="s">
        <v>6155</v>
      </c>
      <c r="D6" s="35" t="s">
        <v>2840</v>
      </c>
      <c r="E6" s="36" t="s">
        <v>49</v>
      </c>
      <c r="F6" s="413"/>
      <c r="G6" s="112"/>
      <c r="H6" s="138"/>
      <c r="I6" s="138"/>
      <c r="J6" s="138"/>
      <c r="K6" s="138"/>
      <c r="L6" s="136" t="s">
        <v>7049</v>
      </c>
      <c r="M6" s="39" t="str">
        <f t="shared" si="1"/>
        <v>wendellbyrd@house.mi.gov</v>
      </c>
      <c r="N6" s="41"/>
      <c r="O6" s="41"/>
      <c r="P6" s="41"/>
      <c r="Q6" s="41"/>
      <c r="R6" s="41"/>
      <c r="U6" t="str">
        <f t="shared" si="2"/>
        <v/>
      </c>
      <c r="V6" s="139" t="str">
        <f t="shared" si="3"/>
        <v/>
      </c>
      <c r="W6" t="str">
        <f t="shared" si="4"/>
        <v/>
      </c>
      <c r="X6" t="str">
        <f t="shared" si="5"/>
        <v/>
      </c>
      <c r="Y6" t="str">
        <f t="shared" si="6"/>
        <v/>
      </c>
    </row>
    <row r="7">
      <c r="A7" s="14" t="s">
        <v>44</v>
      </c>
      <c r="B7" s="74">
        <v>4.0</v>
      </c>
      <c r="C7" s="38" t="s">
        <v>7050</v>
      </c>
      <c r="D7" s="38" t="s">
        <v>3039</v>
      </c>
      <c r="E7" s="36" t="s">
        <v>49</v>
      </c>
      <c r="F7" s="406"/>
      <c r="G7" s="112"/>
      <c r="H7" s="138"/>
      <c r="I7" s="138"/>
      <c r="J7" s="138"/>
      <c r="K7" s="138"/>
      <c r="L7" s="41"/>
      <c r="M7" s="39" t="str">
        <f t="shared" si="1"/>
        <v>isaacrobinson@house.mi.gov</v>
      </c>
      <c r="N7" s="41"/>
      <c r="O7" s="41"/>
      <c r="P7" s="41"/>
      <c r="Q7" s="41"/>
      <c r="R7" s="41"/>
      <c r="U7" t="str">
        <f t="shared" si="2"/>
        <v/>
      </c>
      <c r="V7" s="139" t="str">
        <f t="shared" si="3"/>
        <v/>
      </c>
      <c r="W7" t="str">
        <f t="shared" si="4"/>
        <v/>
      </c>
      <c r="X7" t="str">
        <f t="shared" si="5"/>
        <v/>
      </c>
      <c r="Y7" t="str">
        <f t="shared" si="6"/>
        <v/>
      </c>
    </row>
    <row r="8">
      <c r="A8" s="14" t="s">
        <v>44</v>
      </c>
      <c r="B8" s="74">
        <v>5.0</v>
      </c>
      <c r="C8" s="38" t="s">
        <v>3490</v>
      </c>
      <c r="D8" s="38" t="s">
        <v>118</v>
      </c>
      <c r="E8" s="36" t="s">
        <v>49</v>
      </c>
      <c r="F8" s="406"/>
      <c r="G8" s="112"/>
      <c r="H8" s="138"/>
      <c r="I8" s="138"/>
      <c r="J8" s="138"/>
      <c r="K8" s="138"/>
      <c r="L8" s="41"/>
      <c r="M8" s="39" t="str">
        <f t="shared" si="1"/>
        <v>cynthiajohnson@house.mi.gov</v>
      </c>
      <c r="N8" s="41"/>
      <c r="O8" s="41"/>
      <c r="P8" s="41"/>
      <c r="Q8" s="41"/>
      <c r="R8" s="41"/>
      <c r="U8" t="str">
        <f t="shared" si="2"/>
        <v/>
      </c>
      <c r="V8" s="139" t="str">
        <f t="shared" si="3"/>
        <v/>
      </c>
      <c r="W8" t="str">
        <f t="shared" si="4"/>
        <v/>
      </c>
      <c r="X8" t="str">
        <f t="shared" si="5"/>
        <v/>
      </c>
      <c r="Y8" t="str">
        <f t="shared" si="6"/>
        <v/>
      </c>
    </row>
    <row r="9">
      <c r="A9" s="14" t="s">
        <v>44</v>
      </c>
      <c r="B9" s="74">
        <v>6.0</v>
      </c>
      <c r="C9" s="38" t="s">
        <v>7052</v>
      </c>
      <c r="D9" s="38" t="s">
        <v>1256</v>
      </c>
      <c r="E9" s="36" t="s">
        <v>49</v>
      </c>
      <c r="F9" s="406"/>
      <c r="G9" s="112"/>
      <c r="H9" s="138"/>
      <c r="I9" s="138"/>
      <c r="J9" s="138"/>
      <c r="K9" s="138"/>
      <c r="L9" s="41"/>
      <c r="M9" s="39" t="str">
        <f t="shared" si="1"/>
        <v>tyronecarter@house.mi.gov</v>
      </c>
      <c r="N9" s="41"/>
      <c r="O9" s="41"/>
      <c r="P9" s="41"/>
      <c r="Q9" s="41"/>
      <c r="R9" s="41"/>
      <c r="U9" t="str">
        <f t="shared" si="2"/>
        <v/>
      </c>
      <c r="V9" s="139" t="str">
        <f t="shared" si="3"/>
        <v/>
      </c>
      <c r="W9" t="str">
        <f t="shared" si="4"/>
        <v/>
      </c>
      <c r="X9" t="str">
        <f t="shared" si="5"/>
        <v/>
      </c>
      <c r="Y9" t="str">
        <f t="shared" si="6"/>
        <v/>
      </c>
    </row>
    <row r="10">
      <c r="A10" s="14" t="s">
        <v>44</v>
      </c>
      <c r="B10" s="74">
        <v>7.0</v>
      </c>
      <c r="C10" s="38" t="s">
        <v>7053</v>
      </c>
      <c r="D10" s="38" t="s">
        <v>463</v>
      </c>
      <c r="E10" s="36" t="s">
        <v>49</v>
      </c>
      <c r="F10" s="406"/>
      <c r="G10" s="112"/>
      <c r="H10" s="138"/>
      <c r="I10" s="138"/>
      <c r="J10" s="138"/>
      <c r="K10" s="138"/>
      <c r="L10" s="136" t="s">
        <v>7054</v>
      </c>
      <c r="M10" s="39" t="str">
        <f t="shared" si="1"/>
        <v>latanyagarrett@house.mi.gov</v>
      </c>
      <c r="N10" s="41"/>
      <c r="O10" s="41"/>
      <c r="P10" s="41"/>
      <c r="Q10" s="41"/>
      <c r="R10" s="41"/>
      <c r="U10" t="str">
        <f t="shared" si="2"/>
        <v/>
      </c>
      <c r="V10" s="139" t="str">
        <f t="shared" si="3"/>
        <v/>
      </c>
      <c r="W10" t="str">
        <f t="shared" si="4"/>
        <v/>
      </c>
      <c r="X10" t="str">
        <f t="shared" si="5"/>
        <v/>
      </c>
      <c r="Y10" t="str">
        <f t="shared" si="6"/>
        <v/>
      </c>
    </row>
    <row r="11">
      <c r="A11" s="14" t="s">
        <v>44</v>
      </c>
      <c r="B11" s="74">
        <v>8.0</v>
      </c>
      <c r="C11" s="38" t="s">
        <v>2593</v>
      </c>
      <c r="D11" s="38" t="s">
        <v>7055</v>
      </c>
      <c r="E11" s="36" t="s">
        <v>49</v>
      </c>
      <c r="F11" s="406"/>
      <c r="G11" s="112"/>
      <c r="H11" s="138"/>
      <c r="I11" s="138"/>
      <c r="J11" s="138"/>
      <c r="K11" s="138"/>
      <c r="L11" s="136" t="s">
        <v>7056</v>
      </c>
      <c r="M11" s="39" t="str">
        <f t="shared" si="1"/>
        <v>sherrygay-dagnogo@house.mi.gov</v>
      </c>
      <c r="N11" s="41"/>
      <c r="O11" s="41"/>
      <c r="P11" s="41"/>
      <c r="Q11" s="41"/>
      <c r="R11" s="41"/>
      <c r="U11" t="str">
        <f t="shared" si="2"/>
        <v/>
      </c>
      <c r="V11" s="139" t="str">
        <f t="shared" si="3"/>
        <v/>
      </c>
      <c r="W11" t="str">
        <f t="shared" si="4"/>
        <v/>
      </c>
      <c r="X11" t="str">
        <f t="shared" si="5"/>
        <v/>
      </c>
      <c r="Y11" t="str">
        <f t="shared" si="6"/>
        <v/>
      </c>
    </row>
    <row r="12">
      <c r="A12" s="14" t="s">
        <v>44</v>
      </c>
      <c r="B12" s="74">
        <v>9.0</v>
      </c>
      <c r="C12" s="38" t="s">
        <v>1153</v>
      </c>
      <c r="D12" s="38" t="s">
        <v>7057</v>
      </c>
      <c r="E12" s="36" t="s">
        <v>49</v>
      </c>
      <c r="F12" s="406"/>
      <c r="G12" s="112"/>
      <c r="H12" s="138"/>
      <c r="I12" s="138"/>
      <c r="J12" s="138"/>
      <c r="K12" s="138"/>
      <c r="L12" s="41"/>
      <c r="M12" s="39" t="str">
        <f t="shared" si="1"/>
        <v>karenwhitsett@house.mi.gov</v>
      </c>
      <c r="N12" s="41"/>
      <c r="O12" s="41"/>
      <c r="P12" s="41"/>
      <c r="Q12" s="41"/>
      <c r="R12" s="41"/>
      <c r="U12" t="str">
        <f t="shared" si="2"/>
        <v/>
      </c>
      <c r="V12" s="139" t="str">
        <f t="shared" si="3"/>
        <v/>
      </c>
      <c r="W12" t="str">
        <f t="shared" si="4"/>
        <v/>
      </c>
      <c r="X12" t="str">
        <f t="shared" si="5"/>
        <v/>
      </c>
      <c r="Y12" t="str">
        <f t="shared" si="6"/>
        <v/>
      </c>
    </row>
    <row r="13">
      <c r="A13" s="14" t="s">
        <v>44</v>
      </c>
      <c r="B13" s="74">
        <v>10.0</v>
      </c>
      <c r="C13" s="38" t="s">
        <v>1663</v>
      </c>
      <c r="D13" s="38" t="s">
        <v>1235</v>
      </c>
      <c r="E13" s="36" t="s">
        <v>49</v>
      </c>
      <c r="F13" s="406"/>
      <c r="G13" s="112"/>
      <c r="H13" s="138"/>
      <c r="I13" s="138"/>
      <c r="J13" s="138"/>
      <c r="K13" s="138"/>
      <c r="L13" s="136" t="s">
        <v>7059</v>
      </c>
      <c r="M13" s="39" t="str">
        <f t="shared" si="1"/>
        <v>leslielove@house.mi.gov</v>
      </c>
      <c r="N13" s="41"/>
      <c r="O13" s="41"/>
      <c r="P13" s="41"/>
      <c r="Q13" s="41"/>
      <c r="R13" s="41"/>
      <c r="U13" t="str">
        <f t="shared" si="2"/>
        <v/>
      </c>
      <c r="V13" s="139" t="str">
        <f t="shared" si="3"/>
        <v/>
      </c>
      <c r="W13" t="str">
        <f t="shared" si="4"/>
        <v/>
      </c>
      <c r="X13" t="str">
        <f t="shared" si="5"/>
        <v/>
      </c>
      <c r="Y13" t="str">
        <f t="shared" si="6"/>
        <v/>
      </c>
    </row>
    <row r="14">
      <c r="A14" s="14" t="s">
        <v>44</v>
      </c>
      <c r="B14" s="74">
        <v>11.0</v>
      </c>
      <c r="C14" s="38" t="s">
        <v>7061</v>
      </c>
      <c r="D14" s="38" t="s">
        <v>706</v>
      </c>
      <c r="E14" s="36" t="s">
        <v>49</v>
      </c>
      <c r="F14" s="406"/>
      <c r="G14" s="112"/>
      <c r="H14" s="138"/>
      <c r="I14" s="138"/>
      <c r="J14" s="138"/>
      <c r="K14" s="138"/>
      <c r="L14" s="136" t="s">
        <v>7062</v>
      </c>
      <c r="M14" s="39" t="str">
        <f t="shared" si="1"/>
        <v>jewelljones@house.mi.gov</v>
      </c>
      <c r="N14" s="41"/>
      <c r="O14" s="41"/>
      <c r="P14" s="41"/>
      <c r="Q14" s="41"/>
      <c r="R14" s="41"/>
      <c r="U14" t="str">
        <f t="shared" si="2"/>
        <v/>
      </c>
      <c r="V14" s="139" t="str">
        <f t="shared" si="3"/>
        <v/>
      </c>
      <c r="W14" t="str">
        <f t="shared" si="4"/>
        <v/>
      </c>
      <c r="X14" t="str">
        <f t="shared" si="5"/>
        <v/>
      </c>
      <c r="Y14" t="str">
        <f t="shared" si="6"/>
        <v/>
      </c>
    </row>
    <row r="15">
      <c r="A15" s="14" t="s">
        <v>44</v>
      </c>
      <c r="B15" s="74">
        <v>12.0</v>
      </c>
      <c r="C15" s="38" t="s">
        <v>1642</v>
      </c>
      <c r="D15" s="38" t="s">
        <v>7064</v>
      </c>
      <c r="E15" s="36" t="s">
        <v>49</v>
      </c>
      <c r="F15" s="406"/>
      <c r="G15" s="112"/>
      <c r="H15" s="138"/>
      <c r="I15" s="138"/>
      <c r="J15" s="138"/>
      <c r="K15" s="138"/>
      <c r="L15" s="41"/>
      <c r="M15" s="39" t="str">
        <f t="shared" si="1"/>
        <v>alexgarza@house.mi.gov</v>
      </c>
      <c r="N15" s="41"/>
      <c r="O15" s="41"/>
      <c r="P15" s="41"/>
      <c r="Q15" s="41"/>
      <c r="R15" s="41"/>
      <c r="U15" t="str">
        <f t="shared" si="2"/>
        <v/>
      </c>
      <c r="V15" s="139" t="str">
        <f t="shared" si="3"/>
        <v/>
      </c>
      <c r="W15" t="str">
        <f t="shared" si="4"/>
        <v/>
      </c>
      <c r="X15" t="str">
        <f t="shared" si="5"/>
        <v/>
      </c>
      <c r="Y15" t="str">
        <f t="shared" si="6"/>
        <v/>
      </c>
    </row>
    <row r="16">
      <c r="A16" s="14" t="s">
        <v>44</v>
      </c>
      <c r="B16" s="74">
        <v>13.0</v>
      </c>
      <c r="C16" s="38" t="s">
        <v>1000</v>
      </c>
      <c r="D16" s="38" t="s">
        <v>7066</v>
      </c>
      <c r="E16" s="36" t="s">
        <v>49</v>
      </c>
      <c r="F16" s="406"/>
      <c r="G16" s="112"/>
      <c r="H16" s="138"/>
      <c r="I16" s="138"/>
      <c r="J16" s="138"/>
      <c r="K16" s="138"/>
      <c r="L16" s="136" t="s">
        <v>7067</v>
      </c>
      <c r="M16" s="39" t="str">
        <f t="shared" si="1"/>
        <v>frankliberati@house.mi.gov</v>
      </c>
      <c r="N16" s="41"/>
      <c r="O16" s="41"/>
      <c r="P16" s="41"/>
      <c r="Q16" s="41"/>
      <c r="R16" s="41"/>
      <c r="U16" t="str">
        <f t="shared" si="2"/>
        <v/>
      </c>
      <c r="V16" s="139" t="str">
        <f t="shared" si="3"/>
        <v/>
      </c>
      <c r="W16" t="str">
        <f t="shared" si="4"/>
        <v/>
      </c>
      <c r="X16" t="str">
        <f t="shared" si="5"/>
        <v/>
      </c>
      <c r="Y16" t="str">
        <f t="shared" si="6"/>
        <v/>
      </c>
    </row>
    <row r="17">
      <c r="A17" s="14" t="s">
        <v>44</v>
      </c>
      <c r="B17" s="74">
        <v>14.0</v>
      </c>
      <c r="C17" s="38" t="s">
        <v>2618</v>
      </c>
      <c r="D17" s="38" t="s">
        <v>7068</v>
      </c>
      <c r="E17" s="36" t="s">
        <v>49</v>
      </c>
      <c r="F17" s="406"/>
      <c r="G17" s="112"/>
      <c r="H17" s="138"/>
      <c r="I17" s="138"/>
      <c r="J17" s="138"/>
      <c r="K17" s="138"/>
      <c r="L17" s="136" t="s">
        <v>7070</v>
      </c>
      <c r="M17" s="39" t="str">
        <f t="shared" si="1"/>
        <v>caraclemente@house.mi.gov</v>
      </c>
      <c r="N17" s="41"/>
      <c r="O17" s="41"/>
      <c r="P17" s="41"/>
      <c r="Q17" s="41"/>
      <c r="R17" s="41"/>
      <c r="U17" t="str">
        <f t="shared" si="2"/>
        <v/>
      </c>
      <c r="V17" s="139" t="str">
        <f t="shared" si="3"/>
        <v/>
      </c>
      <c r="W17" t="str">
        <f t="shared" si="4"/>
        <v/>
      </c>
      <c r="X17" t="str">
        <f t="shared" si="5"/>
        <v/>
      </c>
      <c r="Y17" t="str">
        <f t="shared" si="6"/>
        <v/>
      </c>
    </row>
    <row r="18">
      <c r="A18" s="14" t="s">
        <v>44</v>
      </c>
      <c r="B18" s="74">
        <v>15.0</v>
      </c>
      <c r="C18" s="38" t="s">
        <v>7073</v>
      </c>
      <c r="D18" s="38" t="s">
        <v>7074</v>
      </c>
      <c r="E18" s="36" t="s">
        <v>49</v>
      </c>
      <c r="F18" s="406"/>
      <c r="G18" s="112"/>
      <c r="H18" s="138"/>
      <c r="I18" s="138"/>
      <c r="J18" s="138"/>
      <c r="K18" s="138"/>
      <c r="L18" s="136" t="s">
        <v>7075</v>
      </c>
      <c r="M18" s="39" t="str">
        <f t="shared" si="1"/>
        <v>abdullahhammoud@house.mi.gov</v>
      </c>
      <c r="N18" s="41"/>
      <c r="O18" s="41"/>
      <c r="P18" s="41"/>
      <c r="Q18" s="41"/>
      <c r="R18" s="41"/>
      <c r="U18" t="str">
        <f t="shared" si="2"/>
        <v/>
      </c>
      <c r="V18" s="139" t="str">
        <f t="shared" si="3"/>
        <v/>
      </c>
      <c r="W18" t="str">
        <f t="shared" si="4"/>
        <v/>
      </c>
      <c r="X18" t="str">
        <f t="shared" si="5"/>
        <v/>
      </c>
      <c r="Y18" t="str">
        <f t="shared" si="6"/>
        <v/>
      </c>
    </row>
    <row r="19">
      <c r="A19" s="14" t="s">
        <v>44</v>
      </c>
      <c r="B19" s="74">
        <v>16.0</v>
      </c>
      <c r="C19" s="38" t="s">
        <v>971</v>
      </c>
      <c r="D19" s="38" t="s">
        <v>508</v>
      </c>
      <c r="E19" s="36" t="s">
        <v>49</v>
      </c>
      <c r="F19" s="406"/>
      <c r="G19" s="112"/>
      <c r="H19" s="138"/>
      <c r="I19" s="138"/>
      <c r="J19" s="138"/>
      <c r="K19" s="138"/>
      <c r="L19" s="41"/>
      <c r="M19" s="39" t="str">
        <f t="shared" si="1"/>
        <v>kevincoleman@house.mi.gov</v>
      </c>
      <c r="N19" s="41"/>
      <c r="O19" s="41"/>
      <c r="P19" s="41"/>
      <c r="Q19" s="41"/>
      <c r="R19" s="41"/>
      <c r="U19" t="str">
        <f t="shared" si="2"/>
        <v/>
      </c>
      <c r="V19" s="139" t="str">
        <f t="shared" si="3"/>
        <v/>
      </c>
      <c r="W19" t="str">
        <f t="shared" si="4"/>
        <v/>
      </c>
      <c r="X19" t="str">
        <f t="shared" si="5"/>
        <v/>
      </c>
      <c r="Y19" t="str">
        <f t="shared" si="6"/>
        <v/>
      </c>
    </row>
    <row r="20">
      <c r="A20" s="14" t="s">
        <v>44</v>
      </c>
      <c r="B20" s="74">
        <v>17.0</v>
      </c>
      <c r="C20" s="35" t="s">
        <v>622</v>
      </c>
      <c r="D20" s="35" t="s">
        <v>7080</v>
      </c>
      <c r="E20" s="51" t="s">
        <v>53</v>
      </c>
      <c r="F20" s="406"/>
      <c r="G20" s="112"/>
      <c r="H20" s="138"/>
      <c r="I20" s="138"/>
      <c r="J20" s="138"/>
      <c r="K20" s="138"/>
      <c r="L20" s="136" t="s">
        <v>7083</v>
      </c>
      <c r="M20" s="97" t="s">
        <v>7084</v>
      </c>
      <c r="N20" s="41"/>
      <c r="O20" s="41"/>
      <c r="P20" s="41"/>
      <c r="Q20" s="41"/>
      <c r="R20" s="41"/>
      <c r="U20" t="str">
        <f t="shared" si="2"/>
        <v/>
      </c>
      <c r="V20" s="139" t="str">
        <f t="shared" si="3"/>
        <v/>
      </c>
      <c r="W20" t="str">
        <f t="shared" si="4"/>
        <v/>
      </c>
      <c r="X20" t="str">
        <f t="shared" si="5"/>
        <v/>
      </c>
      <c r="Y20" t="str">
        <f t="shared" si="6"/>
        <v/>
      </c>
    </row>
    <row r="21">
      <c r="A21" s="14" t="s">
        <v>44</v>
      </c>
      <c r="B21" s="74">
        <v>18.0</v>
      </c>
      <c r="C21" s="35" t="s">
        <v>971</v>
      </c>
      <c r="D21" s="35" t="s">
        <v>7087</v>
      </c>
      <c r="E21" s="36" t="s">
        <v>49</v>
      </c>
      <c r="F21" s="406"/>
      <c r="G21" s="112"/>
      <c r="H21" s="138"/>
      <c r="I21" s="138"/>
      <c r="J21" s="138"/>
      <c r="K21" s="138"/>
      <c r="L21" s="136" t="s">
        <v>7088</v>
      </c>
      <c r="M21" s="39" t="str">
        <f t="shared" ref="M21:M33" si="7">Concatenate(Lower(C21),Lower(D21),"@house.mi.gov")</f>
        <v>kevinhertel@house.mi.gov</v>
      </c>
      <c r="N21" s="41"/>
      <c r="O21" s="41"/>
      <c r="P21" s="41"/>
      <c r="Q21" s="41"/>
      <c r="R21" s="41"/>
      <c r="U21" t="str">
        <f t="shared" si="2"/>
        <v/>
      </c>
      <c r="V21" s="139" t="str">
        <f t="shared" si="3"/>
        <v/>
      </c>
      <c r="W21" t="str">
        <f t="shared" si="4"/>
        <v/>
      </c>
      <c r="X21" t="str">
        <f t="shared" si="5"/>
        <v/>
      </c>
      <c r="Y21" t="str">
        <f t="shared" si="6"/>
        <v/>
      </c>
    </row>
    <row r="22">
      <c r="A22" s="14" t="s">
        <v>44</v>
      </c>
      <c r="B22" s="74">
        <v>19.0</v>
      </c>
      <c r="C22" s="38" t="s">
        <v>1213</v>
      </c>
      <c r="D22" s="38" t="s">
        <v>7091</v>
      </c>
      <c r="E22" s="36" t="s">
        <v>49</v>
      </c>
      <c r="F22" s="406"/>
      <c r="G22" s="112"/>
      <c r="H22" s="138"/>
      <c r="I22" s="138"/>
      <c r="J22" s="138"/>
      <c r="K22" s="138"/>
      <c r="L22" s="41"/>
      <c r="M22" s="39" t="str">
        <f t="shared" si="7"/>
        <v>lauriephutsky@house.mi.gov</v>
      </c>
      <c r="N22" s="41"/>
      <c r="O22" s="41"/>
      <c r="P22" s="41"/>
      <c r="Q22" s="41"/>
      <c r="R22" s="41"/>
      <c r="U22" t="str">
        <f t="shared" si="2"/>
        <v/>
      </c>
      <c r="V22" s="139" t="str">
        <f t="shared" si="3"/>
        <v/>
      </c>
      <c r="W22" t="str">
        <f t="shared" si="4"/>
        <v/>
      </c>
      <c r="X22" t="str">
        <f t="shared" si="5"/>
        <v/>
      </c>
      <c r="Y22" t="str">
        <f t="shared" si="6"/>
        <v/>
      </c>
    </row>
    <row r="23">
      <c r="A23" s="14" t="s">
        <v>44</v>
      </c>
      <c r="B23" s="74">
        <v>20.0</v>
      </c>
      <c r="C23" s="38" t="s">
        <v>163</v>
      </c>
      <c r="D23" s="38" t="s">
        <v>7093</v>
      </c>
      <c r="E23" s="36" t="s">
        <v>49</v>
      </c>
      <c r="F23" s="406"/>
      <c r="G23" s="112"/>
      <c r="H23" s="138"/>
      <c r="I23" s="138"/>
      <c r="J23" s="138"/>
      <c r="K23" s="138"/>
      <c r="L23" s="41"/>
      <c r="M23" s="39" t="str">
        <f t="shared" si="7"/>
        <v>mattkolezar@house.mi.gov</v>
      </c>
      <c r="N23" s="41"/>
      <c r="O23" s="41"/>
      <c r="P23" s="41"/>
      <c r="Q23" s="41"/>
      <c r="R23" s="41"/>
      <c r="U23" t="str">
        <f t="shared" si="2"/>
        <v/>
      </c>
      <c r="V23" s="139" t="str">
        <f t="shared" si="3"/>
        <v/>
      </c>
      <c r="W23" t="str">
        <f t="shared" si="4"/>
        <v/>
      </c>
      <c r="X23" t="str">
        <f t="shared" si="5"/>
        <v/>
      </c>
      <c r="Y23" t="str">
        <f t="shared" si="6"/>
        <v/>
      </c>
    </row>
    <row r="24">
      <c r="A24" s="14" t="s">
        <v>44</v>
      </c>
      <c r="B24" s="74">
        <v>21.0</v>
      </c>
      <c r="C24" s="35" t="s">
        <v>7095</v>
      </c>
      <c r="D24" s="35" t="s">
        <v>7096</v>
      </c>
      <c r="E24" s="36" t="s">
        <v>49</v>
      </c>
      <c r="F24" s="406"/>
      <c r="G24" s="112"/>
      <c r="H24" s="138"/>
      <c r="I24" s="138"/>
      <c r="J24" s="138"/>
      <c r="K24" s="138"/>
      <c r="L24" s="136" t="s">
        <v>7097</v>
      </c>
      <c r="M24" s="39" t="str">
        <f t="shared" si="7"/>
        <v>kristypagan@house.mi.gov</v>
      </c>
      <c r="N24" s="41"/>
      <c r="O24" s="41"/>
      <c r="P24" s="41"/>
      <c r="Q24" s="41"/>
      <c r="R24" s="41"/>
      <c r="U24" t="str">
        <f t="shared" si="2"/>
        <v/>
      </c>
      <c r="V24" s="139" t="str">
        <f t="shared" si="3"/>
        <v/>
      </c>
      <c r="W24" t="str">
        <f t="shared" si="4"/>
        <v/>
      </c>
      <c r="X24" t="str">
        <f t="shared" si="5"/>
        <v/>
      </c>
      <c r="Y24" t="str">
        <f t="shared" si="6"/>
        <v/>
      </c>
    </row>
    <row r="25">
      <c r="A25" s="14" t="s">
        <v>44</v>
      </c>
      <c r="B25" s="74">
        <v>22.0</v>
      </c>
      <c r="C25" s="35" t="s">
        <v>278</v>
      </c>
      <c r="D25" s="35" t="s">
        <v>7101</v>
      </c>
      <c r="E25" s="36" t="s">
        <v>49</v>
      </c>
      <c r="F25" s="406"/>
      <c r="G25" s="112"/>
      <c r="H25" s="138"/>
      <c r="I25" s="138"/>
      <c r="J25" s="138"/>
      <c r="K25" s="138"/>
      <c r="L25" s="136" t="s">
        <v>7102</v>
      </c>
      <c r="M25" s="39" t="str">
        <f t="shared" si="7"/>
        <v>johnchirkun@house.mi.gov</v>
      </c>
      <c r="N25" s="41"/>
      <c r="O25" s="41"/>
      <c r="P25" s="41"/>
      <c r="Q25" s="41"/>
      <c r="R25" s="41"/>
      <c r="U25" t="str">
        <f t="shared" si="2"/>
        <v/>
      </c>
      <c r="V25" s="139" t="str">
        <f t="shared" si="3"/>
        <v/>
      </c>
      <c r="W25" t="str">
        <f t="shared" si="4"/>
        <v/>
      </c>
      <c r="X25" t="str">
        <f t="shared" si="5"/>
        <v/>
      </c>
      <c r="Y25" t="str">
        <f t="shared" si="6"/>
        <v/>
      </c>
    </row>
    <row r="26">
      <c r="A26" s="14" t="s">
        <v>44</v>
      </c>
      <c r="B26" s="74">
        <v>23.0</v>
      </c>
      <c r="C26" s="35" t="s">
        <v>7103</v>
      </c>
      <c r="D26" s="35" t="s">
        <v>7105</v>
      </c>
      <c r="E26" s="36" t="s">
        <v>49</v>
      </c>
      <c r="F26" s="406"/>
      <c r="G26" s="112"/>
      <c r="H26" s="138"/>
      <c r="I26" s="138"/>
      <c r="J26" s="138"/>
      <c r="K26" s="138"/>
      <c r="L26" s="136" t="s">
        <v>7106</v>
      </c>
      <c r="M26" s="39" t="str">
        <f t="shared" si="7"/>
        <v>darrincamilleri@house.mi.gov</v>
      </c>
      <c r="N26" s="41"/>
      <c r="O26" s="41"/>
      <c r="P26" s="41"/>
      <c r="Q26" s="41"/>
      <c r="R26" s="41"/>
      <c r="U26" t="str">
        <f t="shared" si="2"/>
        <v/>
      </c>
      <c r="V26" s="139" t="str">
        <f t="shared" si="3"/>
        <v/>
      </c>
      <c r="W26" t="str">
        <f t="shared" si="4"/>
        <v/>
      </c>
      <c r="X26" t="str">
        <f t="shared" si="5"/>
        <v/>
      </c>
      <c r="Y26" t="str">
        <f t="shared" si="6"/>
        <v/>
      </c>
    </row>
    <row r="27">
      <c r="A27" s="14" t="s">
        <v>44</v>
      </c>
      <c r="B27" s="74">
        <v>24.0</v>
      </c>
      <c r="C27" s="35" t="s">
        <v>55</v>
      </c>
      <c r="D27" s="35" t="s">
        <v>6082</v>
      </c>
      <c r="E27" s="51" t="s">
        <v>53</v>
      </c>
      <c r="F27" s="406"/>
      <c r="G27" s="112"/>
      <c r="H27" s="138"/>
      <c r="I27" s="138"/>
      <c r="J27" s="138"/>
      <c r="K27" s="138"/>
      <c r="L27" s="136" t="s">
        <v>7109</v>
      </c>
      <c r="M27" s="39" t="str">
        <f t="shared" si="7"/>
        <v>stevemarino@house.mi.gov</v>
      </c>
      <c r="N27" s="41"/>
      <c r="O27" s="41"/>
      <c r="P27" s="41"/>
      <c r="Q27" s="41"/>
      <c r="R27" s="41"/>
      <c r="U27" t="str">
        <f t="shared" si="2"/>
        <v/>
      </c>
      <c r="V27" s="139" t="str">
        <f t="shared" si="3"/>
        <v/>
      </c>
      <c r="W27" t="str">
        <f t="shared" si="4"/>
        <v/>
      </c>
      <c r="X27" t="str">
        <f t="shared" si="5"/>
        <v/>
      </c>
      <c r="Y27" t="str">
        <f t="shared" si="6"/>
        <v/>
      </c>
    </row>
    <row r="28">
      <c r="A28" s="14" t="s">
        <v>44</v>
      </c>
      <c r="B28" s="74">
        <v>25.0</v>
      </c>
      <c r="C28" s="38" t="s">
        <v>5573</v>
      </c>
      <c r="D28" s="38" t="s">
        <v>1891</v>
      </c>
      <c r="E28" s="36" t="s">
        <v>49</v>
      </c>
      <c r="F28" s="406"/>
      <c r="G28" s="112"/>
      <c r="H28" s="138"/>
      <c r="I28" s="138"/>
      <c r="J28" s="138"/>
      <c r="K28" s="138"/>
      <c r="L28" s="41"/>
      <c r="M28" s="39" t="str">
        <f t="shared" si="7"/>
        <v>nateshannon@house.mi.gov</v>
      </c>
      <c r="N28" s="41"/>
      <c r="O28" s="41"/>
      <c r="P28" s="41"/>
      <c r="Q28" s="41"/>
      <c r="R28" s="41"/>
      <c r="U28" t="str">
        <f t="shared" si="2"/>
        <v/>
      </c>
      <c r="V28" s="139" t="str">
        <f t="shared" si="3"/>
        <v/>
      </c>
      <c r="W28" t="str">
        <f t="shared" si="4"/>
        <v/>
      </c>
      <c r="X28" t="str">
        <f t="shared" si="5"/>
        <v/>
      </c>
      <c r="Y28" t="str">
        <f t="shared" si="6"/>
        <v/>
      </c>
    </row>
    <row r="29">
      <c r="A29" s="14" t="s">
        <v>44</v>
      </c>
      <c r="B29" s="74">
        <v>26.0</v>
      </c>
      <c r="C29" s="78" t="s">
        <v>476</v>
      </c>
      <c r="D29" s="78" t="s">
        <v>7113</v>
      </c>
      <c r="E29" s="36" t="s">
        <v>49</v>
      </c>
      <c r="F29" s="406"/>
      <c r="G29" s="112"/>
      <c r="H29" s="138"/>
      <c r="I29" s="138"/>
      <c r="J29" s="138"/>
      <c r="K29" s="138"/>
      <c r="L29" s="136" t="s">
        <v>7114</v>
      </c>
      <c r="M29" s="39" t="str">
        <f t="shared" si="7"/>
        <v>jimellison@house.mi.gov</v>
      </c>
      <c r="N29" s="41"/>
      <c r="O29" s="41"/>
      <c r="P29" s="41"/>
      <c r="Q29" s="41"/>
      <c r="R29" s="41"/>
      <c r="U29" t="str">
        <f t="shared" si="2"/>
        <v/>
      </c>
      <c r="V29" s="139" t="str">
        <f t="shared" si="3"/>
        <v/>
      </c>
      <c r="W29" t="str">
        <f t="shared" si="4"/>
        <v/>
      </c>
      <c r="X29" t="str">
        <f t="shared" si="5"/>
        <v/>
      </c>
      <c r="Y29" t="str">
        <f t="shared" si="6"/>
        <v/>
      </c>
    </row>
    <row r="30">
      <c r="A30" s="14" t="s">
        <v>44</v>
      </c>
      <c r="B30" s="74">
        <v>27.0</v>
      </c>
      <c r="C30" s="35" t="s">
        <v>1134</v>
      </c>
      <c r="D30" s="35" t="s">
        <v>7116</v>
      </c>
      <c r="E30" s="36" t="s">
        <v>49</v>
      </c>
      <c r="F30" s="406"/>
      <c r="G30" s="112"/>
      <c r="H30" s="138"/>
      <c r="I30" s="138"/>
      <c r="J30" s="138"/>
      <c r="K30" s="138"/>
      <c r="L30" s="136" t="s">
        <v>7117</v>
      </c>
      <c r="M30" s="39" t="str">
        <f t="shared" si="7"/>
        <v>robertwittenberg@house.mi.gov</v>
      </c>
      <c r="N30" s="41"/>
      <c r="O30" s="41"/>
      <c r="P30" s="41"/>
      <c r="Q30" s="41"/>
      <c r="R30" s="41"/>
      <c r="U30" t="str">
        <f t="shared" si="2"/>
        <v/>
      </c>
      <c r="V30" s="139" t="str">
        <f t="shared" si="3"/>
        <v/>
      </c>
      <c r="W30" t="str">
        <f t="shared" si="4"/>
        <v/>
      </c>
      <c r="X30" t="str">
        <f t="shared" si="5"/>
        <v/>
      </c>
      <c r="Y30" t="str">
        <f t="shared" si="6"/>
        <v/>
      </c>
    </row>
    <row r="31">
      <c r="A31" s="14" t="s">
        <v>44</v>
      </c>
      <c r="B31" s="74">
        <v>28.0</v>
      </c>
      <c r="C31" s="38" t="s">
        <v>2149</v>
      </c>
      <c r="D31" s="38" t="s">
        <v>1547</v>
      </c>
      <c r="E31" s="36" t="s">
        <v>49</v>
      </c>
      <c r="F31" s="406"/>
      <c r="G31" s="112"/>
      <c r="H31" s="138"/>
      <c r="I31" s="138"/>
      <c r="J31" s="138"/>
      <c r="K31" s="138"/>
      <c r="L31" s="41"/>
      <c r="M31" s="39" t="str">
        <f t="shared" si="7"/>
        <v>loristone@house.mi.gov</v>
      </c>
      <c r="N31" s="41"/>
      <c r="O31" s="41"/>
      <c r="P31" s="41"/>
      <c r="Q31" s="41"/>
      <c r="R31" s="41"/>
      <c r="U31" t="str">
        <f t="shared" si="2"/>
        <v/>
      </c>
      <c r="V31" s="139" t="str">
        <f t="shared" si="3"/>
        <v/>
      </c>
      <c r="W31" t="str">
        <f t="shared" si="4"/>
        <v/>
      </c>
      <c r="X31" t="str">
        <f t="shared" si="5"/>
        <v/>
      </c>
      <c r="Y31" t="str">
        <f t="shared" si="6"/>
        <v/>
      </c>
    </row>
    <row r="32">
      <c r="A32" s="14" t="s">
        <v>44</v>
      </c>
      <c r="B32" s="74">
        <v>29.0</v>
      </c>
      <c r="C32" s="38" t="s">
        <v>2755</v>
      </c>
      <c r="D32" s="38" t="s">
        <v>1256</v>
      </c>
      <c r="E32" s="36" t="s">
        <v>49</v>
      </c>
      <c r="F32" s="406"/>
      <c r="G32" s="112"/>
      <c r="H32" s="138"/>
      <c r="I32" s="138"/>
      <c r="J32" s="138"/>
      <c r="K32" s="138"/>
      <c r="L32" s="41"/>
      <c r="M32" s="39" t="str">
        <f t="shared" si="7"/>
        <v>brendacarter@house.mi.gov</v>
      </c>
      <c r="N32" s="41"/>
      <c r="O32" s="41"/>
      <c r="P32" s="41"/>
      <c r="Q32" s="41"/>
      <c r="R32" s="41"/>
      <c r="U32" t="str">
        <f t="shared" si="2"/>
        <v/>
      </c>
      <c r="V32" s="139" t="str">
        <f t="shared" si="3"/>
        <v/>
      </c>
      <c r="W32" t="str">
        <f t="shared" si="4"/>
        <v/>
      </c>
      <c r="X32" t="str">
        <f t="shared" si="5"/>
        <v/>
      </c>
      <c r="Y32" t="str">
        <f t="shared" si="6"/>
        <v/>
      </c>
    </row>
    <row r="33">
      <c r="A33" s="14" t="s">
        <v>44</v>
      </c>
      <c r="B33" s="74">
        <v>30.0</v>
      </c>
      <c r="C33" s="38" t="s">
        <v>2482</v>
      </c>
      <c r="D33" s="38" t="s">
        <v>7118</v>
      </c>
      <c r="E33" s="51" t="s">
        <v>53</v>
      </c>
      <c r="F33" s="406" t="s">
        <v>7119</v>
      </c>
      <c r="G33" s="112"/>
      <c r="H33" s="138"/>
      <c r="I33" s="138"/>
      <c r="J33" s="138"/>
      <c r="K33" s="138"/>
      <c r="L33" s="136" t="s">
        <v>7120</v>
      </c>
      <c r="M33" s="39" t="str">
        <f t="shared" si="7"/>
        <v>dianafarrington@house.mi.gov</v>
      </c>
      <c r="N33" s="267" t="str">
        <f>HYPERLINK("https://docs.google.com/document/d/14xwKBmZo_zN-Pf0PQz-YfcqnSqjlLT421aowP0HKNwc/edit","Zero")</f>
        <v>Zero</v>
      </c>
      <c r="O33" s="41"/>
      <c r="P33" s="41"/>
      <c r="Q33" s="41"/>
      <c r="R33" s="41"/>
      <c r="U33" t="str">
        <f t="shared" si="2"/>
        <v>Representative</v>
      </c>
      <c r="V33" s="139" t="str">
        <f t="shared" si="3"/>
        <v>Diana</v>
      </c>
      <c r="W33" t="str">
        <f t="shared" si="4"/>
        <v>Farrington</v>
      </c>
      <c r="X33" t="str">
        <f t="shared" si="5"/>
        <v>dianafarrington@house.mi.gov</v>
      </c>
      <c r="Y33" t="str">
        <f t="shared" si="6"/>
        <v>Deputy Majority Whip</v>
      </c>
    </row>
    <row r="34">
      <c r="A34" s="14" t="s">
        <v>44</v>
      </c>
      <c r="B34" s="74">
        <v>31.0</v>
      </c>
      <c r="C34" s="38" t="s">
        <v>1058</v>
      </c>
      <c r="D34" s="38" t="s">
        <v>7123</v>
      </c>
      <c r="E34" s="36" t="s">
        <v>49</v>
      </c>
      <c r="F34" s="406"/>
      <c r="G34" s="112"/>
      <c r="H34" s="138"/>
      <c r="I34" s="138"/>
      <c r="J34" s="138"/>
      <c r="K34" s="138"/>
      <c r="L34" s="136" t="s">
        <v>7124</v>
      </c>
      <c r="M34" s="97" t="s">
        <v>7125</v>
      </c>
      <c r="N34" s="41"/>
      <c r="O34" s="41"/>
      <c r="P34" s="41"/>
      <c r="Q34" s="41"/>
      <c r="R34" s="41"/>
      <c r="U34" t="str">
        <f t="shared" si="2"/>
        <v/>
      </c>
      <c r="V34" s="139" t="str">
        <f t="shared" si="3"/>
        <v/>
      </c>
      <c r="W34" t="str">
        <f t="shared" si="4"/>
        <v/>
      </c>
      <c r="X34" t="str">
        <f t="shared" si="5"/>
        <v/>
      </c>
      <c r="Y34" t="str">
        <f t="shared" si="6"/>
        <v/>
      </c>
    </row>
    <row r="35">
      <c r="A35" s="14" t="s">
        <v>44</v>
      </c>
      <c r="B35" s="74">
        <v>32.0</v>
      </c>
      <c r="C35" s="38" t="s">
        <v>760</v>
      </c>
      <c r="D35" s="38" t="s">
        <v>6388</v>
      </c>
      <c r="E35" s="51" t="s">
        <v>53</v>
      </c>
      <c r="F35" s="413" t="s">
        <v>7128</v>
      </c>
      <c r="G35" s="112"/>
      <c r="H35" s="138"/>
      <c r="I35" s="138"/>
      <c r="J35" s="138"/>
      <c r="K35" s="138"/>
      <c r="L35" s="136" t="s">
        <v>7129</v>
      </c>
      <c r="M35" s="39" t="str">
        <f>Concatenate(Lower(C35),Lower(D35),"@house.mi.gov")</f>
        <v>pamelahornberger@house.mi.gov</v>
      </c>
      <c r="N35" s="267" t="str">
        <f>HYPERLINK("https://docs.google.com/document/d/1DGRBNIh7nzsH7S-pwhy92WsteGdBkG9VzetYy4WRzII/edit","Zero")</f>
        <v>Zero</v>
      </c>
      <c r="O35" s="41"/>
      <c r="P35" s="41"/>
      <c r="Q35" s="41"/>
      <c r="R35" s="41"/>
      <c r="U35" t="str">
        <f t="shared" si="2"/>
        <v>Representative</v>
      </c>
      <c r="V35" s="139" t="str">
        <f t="shared" si="3"/>
        <v>Pamela</v>
      </c>
      <c r="W35" t="str">
        <f t="shared" si="4"/>
        <v>Hornberger</v>
      </c>
      <c r="X35" t="str">
        <f t="shared" si="5"/>
        <v>pamelahornberger@house.mi.gov</v>
      </c>
      <c r="Y35" t="str">
        <f t="shared" si="6"/>
        <v>Associate Speaker Pro Temp</v>
      </c>
    </row>
    <row r="36">
      <c r="A36" s="14" t="s">
        <v>44</v>
      </c>
      <c r="B36" s="74">
        <v>33.0</v>
      </c>
      <c r="C36" s="38" t="s">
        <v>2512</v>
      </c>
      <c r="D36" s="38" t="s">
        <v>7130</v>
      </c>
      <c r="E36" s="51" t="s">
        <v>53</v>
      </c>
      <c r="F36" s="406"/>
      <c r="G36" s="112"/>
      <c r="H36" s="138"/>
      <c r="I36" s="138"/>
      <c r="J36" s="138"/>
      <c r="K36" s="138"/>
      <c r="L36" s="136" t="s">
        <v>7131</v>
      </c>
      <c r="M36" s="97" t="s">
        <v>7132</v>
      </c>
      <c r="N36" s="41"/>
      <c r="O36" s="41"/>
      <c r="P36" s="41"/>
      <c r="Q36" s="41"/>
      <c r="R36" s="41"/>
      <c r="U36" t="str">
        <f t="shared" si="2"/>
        <v/>
      </c>
      <c r="V36" s="139" t="str">
        <f t="shared" si="3"/>
        <v/>
      </c>
      <c r="W36" t="str">
        <f t="shared" si="4"/>
        <v/>
      </c>
      <c r="X36" t="str">
        <f t="shared" si="5"/>
        <v/>
      </c>
      <c r="Y36" t="str">
        <f t="shared" si="6"/>
        <v/>
      </c>
    </row>
    <row r="37">
      <c r="A37" s="14" t="s">
        <v>44</v>
      </c>
      <c r="B37" s="74">
        <v>34.0</v>
      </c>
      <c r="C37" s="38" t="s">
        <v>5152</v>
      </c>
      <c r="D37" s="38" t="s">
        <v>7133</v>
      </c>
      <c r="E37" s="36" t="s">
        <v>49</v>
      </c>
      <c r="F37" s="406"/>
      <c r="G37" s="112"/>
      <c r="H37" s="138"/>
      <c r="I37" s="138"/>
      <c r="J37" s="138"/>
      <c r="K37" s="138"/>
      <c r="L37" s="136" t="s">
        <v>7134</v>
      </c>
      <c r="M37" s="39" t="str">
        <f t="shared" ref="M37:M49" si="8">Concatenate(Lower(C37),Lower(D37),"@house.mi.gov")</f>
        <v>sheldonneeley@house.mi.gov</v>
      </c>
      <c r="N37" s="41"/>
      <c r="O37" s="41"/>
      <c r="P37" s="41"/>
      <c r="Q37" s="41"/>
      <c r="R37" s="41"/>
      <c r="U37" t="str">
        <f t="shared" si="2"/>
        <v/>
      </c>
      <c r="V37" s="139" t="str">
        <f t="shared" si="3"/>
        <v/>
      </c>
      <c r="W37" t="str">
        <f t="shared" si="4"/>
        <v/>
      </c>
      <c r="X37" t="str">
        <f t="shared" si="5"/>
        <v/>
      </c>
      <c r="Y37" t="str">
        <f t="shared" si="6"/>
        <v/>
      </c>
    </row>
    <row r="38">
      <c r="A38" s="14" t="s">
        <v>44</v>
      </c>
      <c r="B38" s="74">
        <v>35.0</v>
      </c>
      <c r="C38" s="38" t="s">
        <v>7135</v>
      </c>
      <c r="D38" s="38" t="s">
        <v>2590</v>
      </c>
      <c r="E38" s="36" t="s">
        <v>49</v>
      </c>
      <c r="F38" s="406"/>
      <c r="G38" s="112"/>
      <c r="H38" s="138"/>
      <c r="I38" s="138"/>
      <c r="J38" s="138"/>
      <c r="K38" s="138"/>
      <c r="L38" s="41"/>
      <c r="M38" s="39" t="str">
        <f t="shared" si="8"/>
        <v>kyrabolden@house.mi.gov</v>
      </c>
      <c r="N38" s="41"/>
      <c r="O38" s="41"/>
      <c r="P38" s="41"/>
      <c r="Q38" s="41"/>
      <c r="R38" s="41"/>
      <c r="U38" t="str">
        <f t="shared" si="2"/>
        <v/>
      </c>
      <c r="V38" s="139" t="str">
        <f t="shared" si="3"/>
        <v/>
      </c>
      <c r="W38" t="str">
        <f t="shared" si="4"/>
        <v/>
      </c>
      <c r="X38" t="str">
        <f t="shared" si="5"/>
        <v/>
      </c>
      <c r="Y38" t="str">
        <f t="shared" si="6"/>
        <v/>
      </c>
    </row>
    <row r="39">
      <c r="A39" s="14" t="s">
        <v>44</v>
      </c>
      <c r="B39" s="74">
        <v>36.0</v>
      </c>
      <c r="C39" s="38" t="s">
        <v>1312</v>
      </c>
      <c r="D39" s="38" t="s">
        <v>7137</v>
      </c>
      <c r="E39" s="51" t="s">
        <v>53</v>
      </c>
      <c r="F39" s="406"/>
      <c r="G39" s="112"/>
      <c r="H39" s="138"/>
      <c r="I39" s="138"/>
      <c r="J39" s="138"/>
      <c r="K39" s="138"/>
      <c r="L39" s="41"/>
      <c r="M39" s="39" t="str">
        <f t="shared" si="8"/>
        <v>douglaswozniak@house.mi.gov</v>
      </c>
      <c r="N39" s="41"/>
      <c r="O39" s="41"/>
      <c r="P39" s="41"/>
      <c r="Q39" s="41"/>
      <c r="R39" s="41"/>
      <c r="U39" t="str">
        <f t="shared" si="2"/>
        <v/>
      </c>
      <c r="V39" s="139" t="str">
        <f t="shared" si="3"/>
        <v/>
      </c>
      <c r="W39" t="str">
        <f t="shared" si="4"/>
        <v/>
      </c>
      <c r="X39" t="str">
        <f t="shared" si="5"/>
        <v/>
      </c>
      <c r="Y39" t="str">
        <f t="shared" si="6"/>
        <v/>
      </c>
    </row>
    <row r="40">
      <c r="A40" s="14" t="s">
        <v>44</v>
      </c>
      <c r="B40" s="74">
        <v>37.0</v>
      </c>
      <c r="C40" s="35" t="s">
        <v>2551</v>
      </c>
      <c r="D40" s="35" t="s">
        <v>7141</v>
      </c>
      <c r="E40" s="36" t="s">
        <v>49</v>
      </c>
      <c r="F40" s="406" t="s">
        <v>7142</v>
      </c>
      <c r="G40" s="112"/>
      <c r="H40" s="138"/>
      <c r="I40" s="138"/>
      <c r="J40" s="138"/>
      <c r="K40" s="138"/>
      <c r="L40" s="136" t="s">
        <v>7143</v>
      </c>
      <c r="M40" s="39" t="str">
        <f t="shared" si="8"/>
        <v>christinegreig@house.mi.gov</v>
      </c>
      <c r="N40" s="267" t="str">
        <f>HYPERLINK("https://docs.google.com/document/d/1GuDaY6AegxIoeguqBddAriKf8ysu0JXEsSEl_HbUdiU/edit#","Zero")</f>
        <v>Zero</v>
      </c>
      <c r="O40" s="41"/>
      <c r="P40" s="41"/>
      <c r="Q40" s="41"/>
      <c r="R40" s="41"/>
      <c r="U40" t="str">
        <f t="shared" si="2"/>
        <v/>
      </c>
      <c r="V40" s="139" t="str">
        <f t="shared" si="3"/>
        <v/>
      </c>
      <c r="W40" t="str">
        <f t="shared" si="4"/>
        <v/>
      </c>
      <c r="X40" t="str">
        <f t="shared" si="5"/>
        <v/>
      </c>
      <c r="Y40" t="str">
        <f t="shared" si="6"/>
        <v/>
      </c>
    </row>
    <row r="41">
      <c r="A41" s="14" t="s">
        <v>44</v>
      </c>
      <c r="B41" s="74">
        <v>38.0</v>
      </c>
      <c r="C41" s="35" t="s">
        <v>2724</v>
      </c>
      <c r="D41" s="35" t="s">
        <v>103</v>
      </c>
      <c r="E41" s="51" t="s">
        <v>53</v>
      </c>
      <c r="F41" s="406"/>
      <c r="G41" s="112"/>
      <c r="H41" s="138"/>
      <c r="I41" s="138"/>
      <c r="J41" s="138"/>
      <c r="K41" s="138"/>
      <c r="L41" s="136" t="s">
        <v>7145</v>
      </c>
      <c r="M41" s="39" t="str">
        <f t="shared" si="8"/>
        <v>kathycrawford@house.mi.gov</v>
      </c>
      <c r="N41" s="41"/>
      <c r="O41" s="41"/>
      <c r="P41" s="41"/>
      <c r="Q41" s="41"/>
      <c r="R41" s="41"/>
      <c r="U41" t="str">
        <f t="shared" si="2"/>
        <v/>
      </c>
      <c r="V41" s="139" t="str">
        <f t="shared" si="3"/>
        <v/>
      </c>
      <c r="W41" t="str">
        <f t="shared" si="4"/>
        <v/>
      </c>
      <c r="X41" t="str">
        <f t="shared" si="5"/>
        <v/>
      </c>
      <c r="Y41" t="str">
        <f t="shared" si="6"/>
        <v/>
      </c>
    </row>
    <row r="42">
      <c r="A42" s="14" t="s">
        <v>44</v>
      </c>
      <c r="B42" s="74">
        <v>39.0</v>
      </c>
      <c r="C42" s="38" t="s">
        <v>2780</v>
      </c>
      <c r="D42" s="38" t="s">
        <v>1517</v>
      </c>
      <c r="E42" s="51" t="s">
        <v>53</v>
      </c>
      <c r="F42" s="406"/>
      <c r="G42" s="112"/>
      <c r="H42" s="138"/>
      <c r="I42" s="138"/>
      <c r="J42" s="138"/>
      <c r="K42" s="138"/>
      <c r="L42" s="41"/>
      <c r="M42" s="39" t="str">
        <f t="shared" si="8"/>
        <v>ryanberman@house.mi.gov</v>
      </c>
      <c r="N42" s="41"/>
      <c r="O42" s="41"/>
      <c r="P42" s="41"/>
      <c r="Q42" s="41"/>
      <c r="R42" s="41"/>
      <c r="U42" t="str">
        <f t="shared" si="2"/>
        <v/>
      </c>
      <c r="V42" s="139" t="str">
        <f t="shared" si="3"/>
        <v/>
      </c>
      <c r="W42" t="str">
        <f t="shared" si="4"/>
        <v/>
      </c>
      <c r="X42" t="str">
        <f t="shared" si="5"/>
        <v/>
      </c>
      <c r="Y42" t="str">
        <f t="shared" si="6"/>
        <v/>
      </c>
    </row>
    <row r="43">
      <c r="A43" s="14" t="s">
        <v>44</v>
      </c>
      <c r="B43" s="74">
        <v>40.0</v>
      </c>
      <c r="C43" s="38" t="s">
        <v>7150</v>
      </c>
      <c r="D43" s="38" t="s">
        <v>7151</v>
      </c>
      <c r="E43" s="36" t="s">
        <v>49</v>
      </c>
      <c r="F43" s="406"/>
      <c r="G43" s="112"/>
      <c r="H43" s="138"/>
      <c r="I43" s="138"/>
      <c r="J43" s="138"/>
      <c r="K43" s="138"/>
      <c r="L43" s="41"/>
      <c r="M43" s="39" t="str">
        <f t="shared" si="8"/>
        <v>marimanoogian@house.mi.gov</v>
      </c>
      <c r="N43" s="41"/>
      <c r="O43" s="41"/>
      <c r="P43" s="41"/>
      <c r="Q43" s="41"/>
      <c r="R43" s="41"/>
      <c r="U43" t="str">
        <f t="shared" si="2"/>
        <v/>
      </c>
      <c r="V43" s="139" t="str">
        <f t="shared" si="3"/>
        <v/>
      </c>
      <c r="W43" t="str">
        <f t="shared" si="4"/>
        <v/>
      </c>
      <c r="X43" t="str">
        <f t="shared" si="5"/>
        <v/>
      </c>
      <c r="Y43" t="str">
        <f t="shared" si="6"/>
        <v/>
      </c>
    </row>
    <row r="44">
      <c r="A44" s="14" t="s">
        <v>44</v>
      </c>
      <c r="B44" s="74">
        <v>41.0</v>
      </c>
      <c r="C44" s="38" t="s">
        <v>7152</v>
      </c>
      <c r="D44" s="38" t="s">
        <v>7153</v>
      </c>
      <c r="E44" s="51" t="s">
        <v>53</v>
      </c>
      <c r="F44" s="406"/>
      <c r="G44" s="112"/>
      <c r="H44" s="138"/>
      <c r="I44" s="138"/>
      <c r="J44" s="138"/>
      <c r="K44" s="138"/>
      <c r="L44" s="41"/>
      <c r="M44" s="39" t="str">
        <f t="shared" si="8"/>
        <v>padmakuppa@house.mi.gov</v>
      </c>
      <c r="N44" s="41"/>
      <c r="O44" s="41"/>
      <c r="P44" s="41"/>
      <c r="Q44" s="41"/>
      <c r="R44" s="41"/>
      <c r="U44" t="str">
        <f t="shared" si="2"/>
        <v/>
      </c>
      <c r="V44" s="139" t="str">
        <f t="shared" si="3"/>
        <v/>
      </c>
      <c r="W44" t="str">
        <f t="shared" si="4"/>
        <v/>
      </c>
      <c r="X44" t="str">
        <f t="shared" si="5"/>
        <v/>
      </c>
      <c r="Y44" t="str">
        <f t="shared" si="6"/>
        <v/>
      </c>
    </row>
    <row r="45">
      <c r="A45" s="14" t="s">
        <v>44</v>
      </c>
      <c r="B45" s="74">
        <v>42.0</v>
      </c>
      <c r="C45" s="38" t="s">
        <v>1375</v>
      </c>
      <c r="D45" s="38" t="s">
        <v>7156</v>
      </c>
      <c r="E45" s="51" t="s">
        <v>53</v>
      </c>
      <c r="F45" s="406"/>
      <c r="G45" s="112"/>
      <c r="H45" s="138"/>
      <c r="I45" s="138"/>
      <c r="J45" s="138"/>
      <c r="K45" s="138"/>
      <c r="L45" s="41"/>
      <c r="M45" s="39" t="str">
        <f t="shared" si="8"/>
        <v>annbollin@house.mi.gov</v>
      </c>
      <c r="N45" s="41"/>
      <c r="O45" s="41"/>
      <c r="P45" s="41"/>
      <c r="Q45" s="41"/>
      <c r="R45" s="41"/>
      <c r="U45" t="str">
        <f t="shared" si="2"/>
        <v/>
      </c>
      <c r="V45" s="139" t="str">
        <f t="shared" si="3"/>
        <v/>
      </c>
      <c r="W45" t="str">
        <f t="shared" si="4"/>
        <v/>
      </c>
      <c r="X45" t="str">
        <f t="shared" si="5"/>
        <v/>
      </c>
      <c r="Y45" t="str">
        <f t="shared" si="6"/>
        <v/>
      </c>
    </row>
    <row r="46">
      <c r="A46" s="14" t="s">
        <v>44</v>
      </c>
      <c r="B46" s="74">
        <v>43.0</v>
      </c>
      <c r="C46" s="38" t="s">
        <v>1162</v>
      </c>
      <c r="D46" s="38" t="s">
        <v>5107</v>
      </c>
      <c r="E46" s="51" t="s">
        <v>53</v>
      </c>
      <c r="F46" s="406"/>
      <c r="G46" s="112"/>
      <c r="H46" s="138"/>
      <c r="I46" s="138"/>
      <c r="J46" s="138"/>
      <c r="K46" s="138"/>
      <c r="L46" s="41"/>
      <c r="M46" s="39" t="str">
        <f t="shared" si="8"/>
        <v>andreaschroeder@house.mi.gov</v>
      </c>
      <c r="N46" s="41"/>
      <c r="O46" s="41"/>
      <c r="P46" s="41"/>
      <c r="Q46" s="41"/>
      <c r="R46" s="41"/>
      <c r="U46" t="str">
        <f t="shared" si="2"/>
        <v/>
      </c>
      <c r="V46" s="139" t="str">
        <f t="shared" si="3"/>
        <v/>
      </c>
      <c r="W46" t="str">
        <f t="shared" si="4"/>
        <v/>
      </c>
      <c r="X46" t="str">
        <f t="shared" si="5"/>
        <v/>
      </c>
      <c r="Y46" t="str">
        <f t="shared" si="6"/>
        <v/>
      </c>
    </row>
    <row r="47">
      <c r="A47" s="14" t="s">
        <v>44</v>
      </c>
      <c r="B47" s="74">
        <v>44.0</v>
      </c>
      <c r="C47" s="38" t="s">
        <v>163</v>
      </c>
      <c r="D47" s="38" t="s">
        <v>7159</v>
      </c>
      <c r="E47" s="51" t="s">
        <v>53</v>
      </c>
      <c r="F47" s="406"/>
      <c r="G47" s="112"/>
      <c r="H47" s="138"/>
      <c r="I47" s="138"/>
      <c r="J47" s="138"/>
      <c r="K47" s="138"/>
      <c r="L47" s="41"/>
      <c r="M47" s="39" t="str">
        <f t="shared" si="8"/>
        <v>mattmaddock@house.mi.gov</v>
      </c>
      <c r="N47" s="41"/>
      <c r="O47" s="41"/>
      <c r="P47" s="41"/>
      <c r="Q47" s="41"/>
      <c r="R47" s="41"/>
      <c r="U47" t="str">
        <f t="shared" si="2"/>
        <v/>
      </c>
      <c r="V47" s="139" t="str">
        <f t="shared" si="3"/>
        <v/>
      </c>
      <c r="W47" t="str">
        <f t="shared" si="4"/>
        <v/>
      </c>
      <c r="X47" t="str">
        <f t="shared" si="5"/>
        <v/>
      </c>
      <c r="Y47" t="str">
        <f t="shared" si="6"/>
        <v/>
      </c>
    </row>
    <row r="48">
      <c r="A48" s="14" t="s">
        <v>44</v>
      </c>
      <c r="B48" s="74">
        <v>45.0</v>
      </c>
      <c r="C48" s="38" t="s">
        <v>2490</v>
      </c>
      <c r="D48" s="38" t="s">
        <v>5166</v>
      </c>
      <c r="E48" s="51" t="s">
        <v>53</v>
      </c>
      <c r="F48" s="406" t="s">
        <v>7162</v>
      </c>
      <c r="G48" s="112"/>
      <c r="H48" s="138"/>
      <c r="I48" s="138"/>
      <c r="J48" s="138"/>
      <c r="K48" s="138"/>
      <c r="L48" s="136" t="s">
        <v>7163</v>
      </c>
      <c r="M48" s="39" t="str">
        <f t="shared" si="8"/>
        <v>michaelwebber@house.mi.gov</v>
      </c>
      <c r="N48" s="267" t="str">
        <f>HYPERLINK("https://docs.google.com/document/d/1KXExCxSCpJRJLkgUKpvjgvSyiHRWXvba9R13dZUrS2g/edit","Zero")</f>
        <v>Zero</v>
      </c>
      <c r="O48" s="41"/>
      <c r="P48" s="41"/>
      <c r="Q48" s="41"/>
      <c r="R48" s="41"/>
      <c r="U48" t="str">
        <f t="shared" si="2"/>
        <v>Representative</v>
      </c>
      <c r="V48" s="139" t="str">
        <f t="shared" si="3"/>
        <v>Michael</v>
      </c>
      <c r="W48" t="str">
        <f t="shared" si="4"/>
        <v>Webber</v>
      </c>
      <c r="X48" t="str">
        <f t="shared" si="5"/>
        <v>michaelwebber@house.mi.gov</v>
      </c>
      <c r="Y48" t="str">
        <f t="shared" si="6"/>
        <v>Assistant Majority Floor Leader</v>
      </c>
    </row>
    <row r="49">
      <c r="A49" s="14" t="s">
        <v>44</v>
      </c>
      <c r="B49" s="74">
        <v>46.0</v>
      </c>
      <c r="C49" s="38" t="s">
        <v>278</v>
      </c>
      <c r="D49" s="38" t="s">
        <v>6393</v>
      </c>
      <c r="E49" s="51" t="s">
        <v>53</v>
      </c>
      <c r="F49" s="406"/>
      <c r="G49" s="112"/>
      <c r="H49" s="138"/>
      <c r="I49" s="138"/>
      <c r="J49" s="138"/>
      <c r="K49" s="138"/>
      <c r="L49" s="136" t="s">
        <v>7166</v>
      </c>
      <c r="M49" s="39" t="str">
        <f t="shared" si="8"/>
        <v>johnreilly@house.mi.gov</v>
      </c>
      <c r="N49" s="41"/>
      <c r="O49" s="41"/>
      <c r="P49" s="41"/>
      <c r="Q49" s="41"/>
      <c r="R49" s="41"/>
      <c r="U49" t="str">
        <f t="shared" si="2"/>
        <v/>
      </c>
      <c r="V49" s="139" t="str">
        <f t="shared" si="3"/>
        <v/>
      </c>
      <c r="W49" t="str">
        <f t="shared" si="4"/>
        <v/>
      </c>
      <c r="X49" t="str">
        <f t="shared" si="5"/>
        <v/>
      </c>
      <c r="Y49" t="str">
        <f t="shared" si="6"/>
        <v/>
      </c>
    </row>
    <row r="50">
      <c r="A50" s="14" t="s">
        <v>44</v>
      </c>
      <c r="B50" s="74">
        <v>47.0</v>
      </c>
      <c r="C50" s="35" t="s">
        <v>2189</v>
      </c>
      <c r="D50" s="35" t="s">
        <v>7172</v>
      </c>
      <c r="E50" s="51" t="s">
        <v>53</v>
      </c>
      <c r="F50" s="406"/>
      <c r="G50" s="112"/>
      <c r="H50" s="138"/>
      <c r="I50" s="138"/>
      <c r="J50" s="138"/>
      <c r="K50" s="138"/>
      <c r="L50" s="136" t="s">
        <v>7174</v>
      </c>
      <c r="M50" s="97" t="s">
        <v>7175</v>
      </c>
      <c r="N50" s="41"/>
      <c r="O50" s="41"/>
      <c r="P50" s="41"/>
      <c r="Q50" s="41"/>
      <c r="R50" s="41"/>
      <c r="U50" t="str">
        <f t="shared" si="2"/>
        <v/>
      </c>
      <c r="V50" s="139" t="str">
        <f t="shared" si="3"/>
        <v/>
      </c>
      <c r="W50" t="str">
        <f t="shared" si="4"/>
        <v/>
      </c>
      <c r="X50" t="str">
        <f t="shared" si="5"/>
        <v/>
      </c>
      <c r="Y50" t="str">
        <f t="shared" si="6"/>
        <v/>
      </c>
    </row>
    <row r="51">
      <c r="A51" s="14" t="s">
        <v>44</v>
      </c>
      <c r="B51" s="74">
        <v>48.0</v>
      </c>
      <c r="C51" s="38" t="s">
        <v>7176</v>
      </c>
      <c r="D51" s="38" t="s">
        <v>1791</v>
      </c>
      <c r="E51" s="36" t="s">
        <v>49</v>
      </c>
      <c r="F51" s="406"/>
      <c r="G51" s="112"/>
      <c r="H51" s="138"/>
      <c r="I51" s="138"/>
      <c r="J51" s="138"/>
      <c r="K51" s="138"/>
      <c r="L51" s="41"/>
      <c r="M51" s="39" t="str">
        <f t="shared" ref="M51:M74" si="9">Concatenate(Lower(C51),Lower(D51),"@house.mi.gov")</f>
        <v>sherylkennedy@house.mi.gov</v>
      </c>
      <c r="N51" s="41"/>
      <c r="O51" s="41"/>
      <c r="P51" s="41"/>
      <c r="Q51" s="41"/>
      <c r="R51" s="41"/>
      <c r="U51" t="str">
        <f t="shared" si="2"/>
        <v/>
      </c>
      <c r="V51" s="139" t="str">
        <f t="shared" si="3"/>
        <v/>
      </c>
      <c r="W51" t="str">
        <f t="shared" si="4"/>
        <v/>
      </c>
      <c r="X51" t="str">
        <f t="shared" si="5"/>
        <v/>
      </c>
      <c r="Y51" t="str">
        <f t="shared" si="6"/>
        <v/>
      </c>
    </row>
    <row r="52">
      <c r="A52" s="14" t="s">
        <v>44</v>
      </c>
      <c r="B52" s="74">
        <v>49.0</v>
      </c>
      <c r="C52" s="38" t="s">
        <v>278</v>
      </c>
      <c r="D52" s="38" t="s">
        <v>7178</v>
      </c>
      <c r="E52" s="36" t="s">
        <v>49</v>
      </c>
      <c r="F52" s="406"/>
      <c r="G52" s="112"/>
      <c r="H52" s="138"/>
      <c r="I52" s="138"/>
      <c r="J52" s="138"/>
      <c r="K52" s="138"/>
      <c r="L52" s="41"/>
      <c r="M52" s="39" t="str">
        <f t="shared" si="9"/>
        <v>johnd.cherry@house.mi.gov</v>
      </c>
      <c r="N52" s="41"/>
      <c r="O52" s="41"/>
      <c r="P52" s="41"/>
      <c r="Q52" s="41"/>
      <c r="R52" s="41"/>
      <c r="U52" t="str">
        <f t="shared" si="2"/>
        <v/>
      </c>
      <c r="V52" s="139" t="str">
        <f t="shared" si="3"/>
        <v/>
      </c>
      <c r="W52" t="str">
        <f t="shared" si="4"/>
        <v/>
      </c>
      <c r="X52" t="str">
        <f t="shared" si="5"/>
        <v/>
      </c>
      <c r="Y52" t="str">
        <f t="shared" si="6"/>
        <v/>
      </c>
    </row>
    <row r="53">
      <c r="A53" s="14" t="s">
        <v>44</v>
      </c>
      <c r="B53" s="74">
        <v>50.0</v>
      </c>
      <c r="C53" s="38" t="s">
        <v>225</v>
      </c>
      <c r="D53" s="38" t="s">
        <v>7180</v>
      </c>
      <c r="E53" s="36" t="s">
        <v>49</v>
      </c>
      <c r="F53" s="406"/>
      <c r="G53" s="112"/>
      <c r="H53" s="138"/>
      <c r="I53" s="138"/>
      <c r="J53" s="138"/>
      <c r="K53" s="138"/>
      <c r="L53" s="136" t="s">
        <v>7181</v>
      </c>
      <c r="M53" s="39" t="str">
        <f t="shared" si="9"/>
        <v>timsneller@house.mi.gov</v>
      </c>
      <c r="N53" s="41"/>
      <c r="O53" s="41"/>
      <c r="P53" s="41"/>
      <c r="Q53" s="41"/>
      <c r="R53" s="41"/>
      <c r="U53" t="str">
        <f t="shared" si="2"/>
        <v/>
      </c>
      <c r="V53" s="139" t="str">
        <f t="shared" si="3"/>
        <v/>
      </c>
      <c r="W53" t="str">
        <f t="shared" si="4"/>
        <v/>
      </c>
      <c r="X53" t="str">
        <f t="shared" si="5"/>
        <v/>
      </c>
      <c r="Y53" t="str">
        <f t="shared" si="6"/>
        <v/>
      </c>
    </row>
    <row r="54">
      <c r="A54" s="14" t="s">
        <v>44</v>
      </c>
      <c r="B54" s="74">
        <v>51.0</v>
      </c>
      <c r="C54" s="38" t="s">
        <v>157</v>
      </c>
      <c r="D54" s="38" t="s">
        <v>7183</v>
      </c>
      <c r="E54" s="51" t="s">
        <v>53</v>
      </c>
      <c r="F54" s="406"/>
      <c r="G54" s="112"/>
      <c r="H54" s="138"/>
      <c r="I54" s="138"/>
      <c r="J54" s="138"/>
      <c r="K54" s="138"/>
      <c r="L54" s="41"/>
      <c r="M54" s="39" t="str">
        <f t="shared" si="9"/>
        <v>mikemueller@house.mi.gov</v>
      </c>
      <c r="N54" s="41"/>
      <c r="O54" s="41"/>
      <c r="P54" s="41"/>
      <c r="Q54" s="41"/>
      <c r="R54" s="41"/>
      <c r="U54" t="str">
        <f t="shared" si="2"/>
        <v/>
      </c>
      <c r="V54" s="139" t="str">
        <f t="shared" si="3"/>
        <v/>
      </c>
      <c r="W54" t="str">
        <f t="shared" si="4"/>
        <v/>
      </c>
      <c r="X54" t="str">
        <f t="shared" si="5"/>
        <v/>
      </c>
      <c r="Y54" t="str">
        <f t="shared" si="6"/>
        <v/>
      </c>
    </row>
    <row r="55">
      <c r="A55" s="14" t="s">
        <v>44</v>
      </c>
      <c r="B55" s="74">
        <v>52.0</v>
      </c>
      <c r="C55" s="38" t="s">
        <v>3404</v>
      </c>
      <c r="D55" s="38" t="s">
        <v>7184</v>
      </c>
      <c r="E55" s="36" t="s">
        <v>49</v>
      </c>
      <c r="F55" s="406"/>
      <c r="G55" s="112"/>
      <c r="H55" s="138"/>
      <c r="I55" s="138"/>
      <c r="J55" s="138"/>
      <c r="K55" s="138"/>
      <c r="L55" s="136" t="s">
        <v>7185</v>
      </c>
      <c r="M55" s="39" t="str">
        <f t="shared" si="9"/>
        <v>donnalasinski@house.mi.gov</v>
      </c>
      <c r="N55" s="41"/>
      <c r="O55" s="41"/>
      <c r="P55" s="41"/>
      <c r="Q55" s="41"/>
      <c r="R55" s="41"/>
      <c r="U55" t="str">
        <f t="shared" si="2"/>
        <v/>
      </c>
      <c r="V55" s="139" t="str">
        <f t="shared" si="3"/>
        <v/>
      </c>
      <c r="W55" t="str">
        <f t="shared" si="4"/>
        <v/>
      </c>
      <c r="X55" t="str">
        <f t="shared" si="5"/>
        <v/>
      </c>
      <c r="Y55" t="str">
        <f t="shared" si="6"/>
        <v/>
      </c>
    </row>
    <row r="56">
      <c r="A56" s="14" t="s">
        <v>44</v>
      </c>
      <c r="B56" s="74">
        <v>53.0</v>
      </c>
      <c r="C56" s="38" t="s">
        <v>7186</v>
      </c>
      <c r="D56" s="38" t="s">
        <v>7187</v>
      </c>
      <c r="E56" s="36" t="s">
        <v>49</v>
      </c>
      <c r="F56" s="406" t="s">
        <v>7188</v>
      </c>
      <c r="G56" s="112"/>
      <c r="H56" s="138"/>
      <c r="I56" s="138"/>
      <c r="J56" s="138"/>
      <c r="K56" s="138"/>
      <c r="L56" s="136" t="s">
        <v>7189</v>
      </c>
      <c r="M56" s="39" t="str">
        <f t="shared" si="9"/>
        <v>yousefrabhi@house.mi.gov</v>
      </c>
      <c r="N56" s="267" t="str">
        <f>HYPERLINK("https://docs.google.com/document/d/1VS2UaWYiWvPc8lMDDSyP03fa_VAmLHkuFwk9RxxuSfc/edit?usp=drive_web&amp;ouid=111300232804728282603","Zero")</f>
        <v>Zero</v>
      </c>
      <c r="O56" s="41"/>
      <c r="P56" s="41"/>
      <c r="Q56" s="41"/>
      <c r="R56" s="41"/>
      <c r="U56" t="str">
        <f t="shared" si="2"/>
        <v/>
      </c>
      <c r="V56" s="139" t="str">
        <f t="shared" si="3"/>
        <v/>
      </c>
      <c r="W56" t="str">
        <f t="shared" si="4"/>
        <v/>
      </c>
      <c r="X56" t="str">
        <f t="shared" si="5"/>
        <v/>
      </c>
      <c r="Y56" t="str">
        <f t="shared" si="6"/>
        <v/>
      </c>
    </row>
    <row r="57">
      <c r="A57" s="14" t="s">
        <v>44</v>
      </c>
      <c r="B57" s="74">
        <v>54.0</v>
      </c>
      <c r="C57" s="38" t="s">
        <v>4848</v>
      </c>
      <c r="D57" s="38" t="s">
        <v>6554</v>
      </c>
      <c r="E57" s="36" t="s">
        <v>49</v>
      </c>
      <c r="F57" s="406"/>
      <c r="G57" s="112"/>
      <c r="H57" s="138"/>
      <c r="I57" s="138"/>
      <c r="J57" s="138"/>
      <c r="K57" s="138"/>
      <c r="L57" s="136" t="s">
        <v>7192</v>
      </c>
      <c r="M57" s="39" t="str">
        <f t="shared" si="9"/>
        <v>ronniepeterson@house.mi.gov</v>
      </c>
      <c r="N57" s="41"/>
      <c r="O57" s="41"/>
      <c r="P57" s="41"/>
      <c r="Q57" s="41"/>
      <c r="R57" s="41"/>
      <c r="U57" t="str">
        <f t="shared" si="2"/>
        <v/>
      </c>
      <c r="V57" s="139" t="str">
        <f t="shared" si="3"/>
        <v/>
      </c>
      <c r="W57" t="str">
        <f t="shared" si="4"/>
        <v/>
      </c>
      <c r="X57" t="str">
        <f t="shared" si="5"/>
        <v/>
      </c>
      <c r="Y57" t="str">
        <f t="shared" si="6"/>
        <v/>
      </c>
    </row>
    <row r="58">
      <c r="A58" s="14" t="s">
        <v>44</v>
      </c>
      <c r="B58" s="74">
        <v>55.0</v>
      </c>
      <c r="C58" s="38" t="s">
        <v>7194</v>
      </c>
      <c r="D58" s="38" t="s">
        <v>646</v>
      </c>
      <c r="E58" s="36" t="s">
        <v>49</v>
      </c>
      <c r="F58" s="406"/>
      <c r="G58" s="112"/>
      <c r="H58" s="138"/>
      <c r="I58" s="138"/>
      <c r="J58" s="138"/>
      <c r="K58" s="138"/>
      <c r="L58" s="41"/>
      <c r="M58" s="39" t="str">
        <f t="shared" si="9"/>
        <v>rebekahwarren@house.mi.gov</v>
      </c>
      <c r="N58" s="41"/>
      <c r="O58" s="41"/>
      <c r="P58" s="41"/>
      <c r="Q58" s="41"/>
      <c r="R58" s="41"/>
      <c r="U58" t="str">
        <f t="shared" si="2"/>
        <v/>
      </c>
      <c r="V58" s="139" t="str">
        <f t="shared" si="3"/>
        <v/>
      </c>
      <c r="W58" t="str">
        <f t="shared" si="4"/>
        <v/>
      </c>
      <c r="X58" t="str">
        <f t="shared" si="5"/>
        <v/>
      </c>
      <c r="Y58" t="str">
        <f t="shared" si="6"/>
        <v/>
      </c>
    </row>
    <row r="59">
      <c r="A59" s="14" t="s">
        <v>44</v>
      </c>
      <c r="B59" s="74">
        <v>56.0</v>
      </c>
      <c r="C59" s="38" t="s">
        <v>1231</v>
      </c>
      <c r="D59" s="38" t="s">
        <v>7196</v>
      </c>
      <c r="E59" s="51" t="s">
        <v>53</v>
      </c>
      <c r="F59" s="406" t="s">
        <v>7198</v>
      </c>
      <c r="G59" s="112"/>
      <c r="H59" s="138"/>
      <c r="I59" s="138"/>
      <c r="J59" s="138"/>
      <c r="K59" s="138"/>
      <c r="L59" s="136" t="s">
        <v>7199</v>
      </c>
      <c r="M59" s="39" t="str">
        <f t="shared" si="9"/>
        <v>jasonsheppard@house.mi.gov</v>
      </c>
      <c r="N59" s="267" t="str">
        <f>HYPERLINK("https://docs.google.com/document/d/1nN0X7h-Qtb5mMS7L51fdz1cOuz-XHU3RUAcSg_nmF0I/edit","Zero")</f>
        <v>Zero</v>
      </c>
      <c r="O59" s="41"/>
      <c r="P59" s="41"/>
      <c r="Q59" s="41"/>
      <c r="R59" s="41"/>
      <c r="U59" t="str">
        <f t="shared" si="2"/>
        <v>Representative</v>
      </c>
      <c r="V59" s="139" t="str">
        <f t="shared" si="3"/>
        <v>Jason</v>
      </c>
      <c r="W59" t="str">
        <f t="shared" si="4"/>
        <v>Sheppard</v>
      </c>
      <c r="X59" t="str">
        <f t="shared" si="5"/>
        <v>jasonsheppard@house.mi.gov</v>
      </c>
      <c r="Y59" t="str">
        <f t="shared" si="6"/>
        <v>Majority Whip </v>
      </c>
    </row>
    <row r="60">
      <c r="A60" s="14" t="s">
        <v>44</v>
      </c>
      <c r="B60" s="74">
        <v>57.0</v>
      </c>
      <c r="C60" s="38" t="s">
        <v>7201</v>
      </c>
      <c r="D60" s="38" t="s">
        <v>7202</v>
      </c>
      <c r="E60" s="51" t="s">
        <v>53</v>
      </c>
      <c r="F60" s="406"/>
      <c r="G60" s="112"/>
      <c r="H60" s="138"/>
      <c r="I60" s="138"/>
      <c r="J60" s="138"/>
      <c r="K60" s="138"/>
      <c r="L60" s="136" t="s">
        <v>7203</v>
      </c>
      <c r="M60" s="39" t="str">
        <f t="shared" si="9"/>
        <v>bronnakahle@house.mi.gov</v>
      </c>
      <c r="N60" s="41"/>
      <c r="O60" s="41"/>
      <c r="P60" s="41"/>
      <c r="Q60" s="41"/>
      <c r="R60" s="41"/>
      <c r="U60" t="str">
        <f t="shared" si="2"/>
        <v/>
      </c>
      <c r="V60" s="139" t="str">
        <f t="shared" si="3"/>
        <v/>
      </c>
      <c r="W60" t="str">
        <f t="shared" si="4"/>
        <v/>
      </c>
      <c r="X60" t="str">
        <f t="shared" si="5"/>
        <v/>
      </c>
      <c r="Y60" t="str">
        <f t="shared" si="6"/>
        <v/>
      </c>
    </row>
    <row r="61">
      <c r="A61" s="14" t="s">
        <v>44</v>
      </c>
      <c r="B61" s="74">
        <v>58.0</v>
      </c>
      <c r="C61" s="38" t="s">
        <v>2302</v>
      </c>
      <c r="D61" s="38" t="s">
        <v>7204</v>
      </c>
      <c r="E61" s="51" t="s">
        <v>53</v>
      </c>
      <c r="F61" s="406"/>
      <c r="G61" s="112"/>
      <c r="H61" s="138"/>
      <c r="I61" s="138"/>
      <c r="J61" s="138"/>
      <c r="K61" s="138"/>
      <c r="L61" s="136" t="s">
        <v>7205</v>
      </c>
      <c r="M61" s="39" t="str">
        <f t="shared" si="9"/>
        <v>ericleutheuser@house.mi.gov</v>
      </c>
      <c r="N61" s="41"/>
      <c r="O61" s="41"/>
      <c r="P61" s="41"/>
      <c r="Q61" s="41"/>
      <c r="R61" s="41"/>
      <c r="U61" t="str">
        <f t="shared" si="2"/>
        <v/>
      </c>
      <c r="V61" s="139" t="str">
        <f t="shared" si="3"/>
        <v/>
      </c>
      <c r="W61" t="str">
        <f t="shared" si="4"/>
        <v/>
      </c>
      <c r="X61" t="str">
        <f t="shared" si="5"/>
        <v/>
      </c>
      <c r="Y61" t="str">
        <f t="shared" si="6"/>
        <v/>
      </c>
    </row>
    <row r="62">
      <c r="A62" s="14" t="s">
        <v>44</v>
      </c>
      <c r="B62" s="74">
        <v>59.0</v>
      </c>
      <c r="C62" s="38" t="s">
        <v>1107</v>
      </c>
      <c r="D62" s="38" t="s">
        <v>1501</v>
      </c>
      <c r="E62" s="51" t="s">
        <v>53</v>
      </c>
      <c r="F62" s="406"/>
      <c r="G62" s="112"/>
      <c r="H62" s="138"/>
      <c r="I62" s="138"/>
      <c r="J62" s="138"/>
      <c r="K62" s="138"/>
      <c r="L62" s="136" t="s">
        <v>7206</v>
      </c>
      <c r="M62" s="39" t="str">
        <f t="shared" si="9"/>
        <v>aaronmiller@house.mi.gov</v>
      </c>
      <c r="N62" s="41"/>
      <c r="O62" s="41"/>
      <c r="P62" s="41"/>
      <c r="Q62" s="41"/>
      <c r="R62" s="41"/>
      <c r="U62" t="str">
        <f t="shared" si="2"/>
        <v/>
      </c>
      <c r="V62" s="139" t="str">
        <f t="shared" si="3"/>
        <v/>
      </c>
      <c r="W62" t="str">
        <f t="shared" si="4"/>
        <v/>
      </c>
      <c r="X62" t="str">
        <f t="shared" si="5"/>
        <v/>
      </c>
      <c r="Y62" t="str">
        <f t="shared" si="6"/>
        <v/>
      </c>
    </row>
    <row r="63">
      <c r="A63" s="14" t="s">
        <v>44</v>
      </c>
      <c r="B63" s="74">
        <v>60.0</v>
      </c>
      <c r="C63" s="35" t="s">
        <v>1387</v>
      </c>
      <c r="D63" s="35" t="s">
        <v>7209</v>
      </c>
      <c r="E63" s="36" t="s">
        <v>49</v>
      </c>
      <c r="F63" s="406"/>
      <c r="G63" s="112"/>
      <c r="H63" s="138"/>
      <c r="I63" s="138"/>
      <c r="J63" s="138"/>
      <c r="K63" s="138"/>
      <c r="L63" s="136" t="s">
        <v>7210</v>
      </c>
      <c r="M63" s="39" t="str">
        <f t="shared" si="9"/>
        <v>jonhoadley@house.mi.gov</v>
      </c>
      <c r="N63" s="41"/>
      <c r="O63" s="41"/>
      <c r="P63" s="41"/>
      <c r="Q63" s="41"/>
      <c r="R63" s="41"/>
      <c r="U63" t="str">
        <f t="shared" si="2"/>
        <v/>
      </c>
      <c r="V63" s="139" t="str">
        <f t="shared" si="3"/>
        <v/>
      </c>
      <c r="W63" t="str">
        <f t="shared" si="4"/>
        <v/>
      </c>
      <c r="X63" t="str">
        <f t="shared" si="5"/>
        <v/>
      </c>
      <c r="Y63" t="str">
        <f t="shared" si="6"/>
        <v/>
      </c>
    </row>
    <row r="64">
      <c r="A64" s="14" t="s">
        <v>44</v>
      </c>
      <c r="B64" s="74">
        <v>61.0</v>
      </c>
      <c r="C64" s="38" t="s">
        <v>1450</v>
      </c>
      <c r="D64" s="38" t="s">
        <v>7211</v>
      </c>
      <c r="E64" s="51" t="s">
        <v>53</v>
      </c>
      <c r="F64" s="406"/>
      <c r="G64" s="112"/>
      <c r="H64" s="138"/>
      <c r="I64" s="138"/>
      <c r="J64" s="138"/>
      <c r="K64" s="138"/>
      <c r="L64" s="136" t="s">
        <v>7212</v>
      </c>
      <c r="M64" s="39" t="str">
        <f t="shared" si="9"/>
        <v>brandtiden@house.mi.gov</v>
      </c>
      <c r="N64" s="41"/>
      <c r="O64" s="41"/>
      <c r="P64" s="41"/>
      <c r="Q64" s="41"/>
      <c r="R64" s="41"/>
      <c r="U64" t="str">
        <f t="shared" si="2"/>
        <v/>
      </c>
      <c r="V64" s="139" t="str">
        <f t="shared" si="3"/>
        <v/>
      </c>
      <c r="W64" t="str">
        <f t="shared" si="4"/>
        <v/>
      </c>
      <c r="X64" t="str">
        <f t="shared" si="5"/>
        <v/>
      </c>
      <c r="Y64" t="str">
        <f t="shared" si="6"/>
        <v/>
      </c>
    </row>
    <row r="65">
      <c r="A65" s="14" t="s">
        <v>44</v>
      </c>
      <c r="B65" s="74">
        <v>62.0</v>
      </c>
      <c r="C65" s="38" t="s">
        <v>476</v>
      </c>
      <c r="D65" s="38" t="s">
        <v>7213</v>
      </c>
      <c r="E65" s="36" t="s">
        <v>49</v>
      </c>
      <c r="F65" s="406"/>
      <c r="G65" s="112"/>
      <c r="H65" s="138"/>
      <c r="I65" s="138"/>
      <c r="J65" s="138"/>
      <c r="K65" s="138"/>
      <c r="L65" s="41"/>
      <c r="M65" s="39" t="str">
        <f t="shared" si="9"/>
        <v>jimhaadsma@house.mi.gov</v>
      </c>
      <c r="N65" s="41"/>
      <c r="O65" s="41"/>
      <c r="P65" s="41"/>
      <c r="Q65" s="41"/>
      <c r="R65" s="41"/>
      <c r="U65" t="str">
        <f t="shared" si="2"/>
        <v/>
      </c>
      <c r="V65" s="139" t="str">
        <f t="shared" si="3"/>
        <v/>
      </c>
      <c r="W65" t="str">
        <f t="shared" si="4"/>
        <v/>
      </c>
      <c r="X65" t="str">
        <f t="shared" si="5"/>
        <v/>
      </c>
      <c r="Y65" t="str">
        <f t="shared" si="6"/>
        <v/>
      </c>
    </row>
    <row r="66">
      <c r="A66" s="14" t="s">
        <v>44</v>
      </c>
      <c r="B66" s="74">
        <v>63.0</v>
      </c>
      <c r="C66" s="38" t="s">
        <v>163</v>
      </c>
      <c r="D66" s="38" t="s">
        <v>293</v>
      </c>
      <c r="E66" s="51" t="s">
        <v>53</v>
      </c>
      <c r="F66" s="406"/>
      <c r="G66" s="112"/>
      <c r="H66" s="138"/>
      <c r="I66" s="138"/>
      <c r="J66" s="138"/>
      <c r="K66" s="138"/>
      <c r="L66" s="41"/>
      <c r="M66" s="39" t="str">
        <f t="shared" si="9"/>
        <v>matthall@house.mi.gov</v>
      </c>
      <c r="N66" s="41"/>
      <c r="O66" s="41"/>
      <c r="P66" s="41"/>
      <c r="Q66" s="41"/>
      <c r="R66" s="41"/>
      <c r="U66" t="str">
        <f t="shared" si="2"/>
        <v/>
      </c>
      <c r="V66" s="139" t="str">
        <f t="shared" si="3"/>
        <v/>
      </c>
      <c r="W66" t="str">
        <f t="shared" si="4"/>
        <v/>
      </c>
      <c r="X66" t="str">
        <f t="shared" si="5"/>
        <v/>
      </c>
      <c r="Y66" t="str">
        <f t="shared" si="6"/>
        <v/>
      </c>
    </row>
    <row r="67">
      <c r="A67" s="14" t="s">
        <v>44</v>
      </c>
      <c r="B67" s="74">
        <v>64.0</v>
      </c>
      <c r="C67" s="35" t="s">
        <v>2133</v>
      </c>
      <c r="D67" s="35" t="s">
        <v>505</v>
      </c>
      <c r="E67" s="51" t="s">
        <v>53</v>
      </c>
      <c r="F67" s="406"/>
      <c r="G67" s="112"/>
      <c r="H67" s="138"/>
      <c r="I67" s="138"/>
      <c r="J67" s="138"/>
      <c r="K67" s="138"/>
      <c r="L67" s="136" t="s">
        <v>7216</v>
      </c>
      <c r="M67" s="39" t="str">
        <f t="shared" si="9"/>
        <v>juliealexander@house.mi.gov</v>
      </c>
      <c r="N67" s="41"/>
      <c r="O67" s="41"/>
      <c r="P67" s="41"/>
      <c r="Q67" s="41"/>
      <c r="R67" s="41"/>
      <c r="U67" t="str">
        <f t="shared" si="2"/>
        <v/>
      </c>
      <c r="V67" s="139" t="str">
        <f t="shared" si="3"/>
        <v/>
      </c>
      <c r="W67" t="str">
        <f t="shared" si="4"/>
        <v/>
      </c>
      <c r="X67" t="str">
        <f t="shared" si="5"/>
        <v/>
      </c>
      <c r="Y67" t="str">
        <f t="shared" si="6"/>
        <v/>
      </c>
    </row>
    <row r="68">
      <c r="A68" s="14" t="s">
        <v>44</v>
      </c>
      <c r="B68" s="74">
        <v>65.0</v>
      </c>
      <c r="C68" s="38" t="s">
        <v>210</v>
      </c>
      <c r="D68" s="38" t="s">
        <v>7217</v>
      </c>
      <c r="E68" s="51" t="s">
        <v>53</v>
      </c>
      <c r="F68" s="406"/>
      <c r="G68" s="112"/>
      <c r="H68" s="138"/>
      <c r="I68" s="138"/>
      <c r="J68" s="138"/>
      <c r="K68" s="138"/>
      <c r="L68" s="41"/>
      <c r="M68" s="39" t="str">
        <f t="shared" si="9"/>
        <v>sarahlightner@house.mi.gov</v>
      </c>
      <c r="N68" s="41"/>
      <c r="O68" s="41"/>
      <c r="P68" s="41"/>
      <c r="Q68" s="41"/>
      <c r="R68" s="41"/>
      <c r="U68" t="str">
        <f t="shared" si="2"/>
        <v/>
      </c>
      <c r="V68" s="139" t="str">
        <f t="shared" si="3"/>
        <v/>
      </c>
      <c r="W68" t="str">
        <f t="shared" si="4"/>
        <v/>
      </c>
      <c r="X68" t="str">
        <f t="shared" si="5"/>
        <v/>
      </c>
      <c r="Y68" t="str">
        <f t="shared" si="6"/>
        <v/>
      </c>
    </row>
    <row r="69">
      <c r="A69" s="14" t="s">
        <v>44</v>
      </c>
      <c r="B69" s="74">
        <v>66.0</v>
      </c>
      <c r="C69" s="38" t="s">
        <v>2842</v>
      </c>
      <c r="D69" s="38" t="s">
        <v>851</v>
      </c>
      <c r="E69" s="51" t="s">
        <v>53</v>
      </c>
      <c r="F69" s="406"/>
      <c r="G69" s="112"/>
      <c r="H69" s="138"/>
      <c r="I69" s="138"/>
      <c r="J69" s="138"/>
      <c r="K69" s="138"/>
      <c r="L69" s="136" t="s">
        <v>7218</v>
      </c>
      <c r="M69" s="39" t="str">
        <f t="shared" si="9"/>
        <v>bethgriffin@house.mi.gov</v>
      </c>
      <c r="N69" s="41"/>
      <c r="O69" s="41"/>
      <c r="P69" s="41"/>
      <c r="Q69" s="41"/>
      <c r="R69" s="41"/>
      <c r="U69" t="str">
        <f t="shared" si="2"/>
        <v/>
      </c>
      <c r="V69" s="139" t="str">
        <f t="shared" si="3"/>
        <v/>
      </c>
      <c r="W69" t="str">
        <f t="shared" si="4"/>
        <v/>
      </c>
      <c r="X69" t="str">
        <f t="shared" si="5"/>
        <v/>
      </c>
      <c r="Y69" t="str">
        <f t="shared" si="6"/>
        <v/>
      </c>
    </row>
    <row r="70">
      <c r="A70" s="14" t="s">
        <v>44</v>
      </c>
      <c r="B70" s="74">
        <v>67.0</v>
      </c>
      <c r="C70" s="38" t="s">
        <v>2683</v>
      </c>
      <c r="D70" s="38" t="s">
        <v>7220</v>
      </c>
      <c r="E70" s="36" t="s">
        <v>49</v>
      </c>
      <c r="F70" s="406"/>
      <c r="G70" s="112"/>
      <c r="H70" s="138"/>
      <c r="I70" s="138"/>
      <c r="J70" s="138"/>
      <c r="K70" s="138"/>
      <c r="L70" s="41"/>
      <c r="M70" s="39" t="str">
        <f t="shared" si="9"/>
        <v>karahope@house.mi.gov</v>
      </c>
      <c r="N70" s="41"/>
      <c r="O70" s="41"/>
      <c r="P70" s="41"/>
      <c r="Q70" s="41"/>
      <c r="R70" s="41"/>
      <c r="U70" t="str">
        <f t="shared" si="2"/>
        <v/>
      </c>
      <c r="V70" s="139" t="str">
        <f t="shared" si="3"/>
        <v/>
      </c>
      <c r="W70" t="str">
        <f t="shared" si="4"/>
        <v/>
      </c>
      <c r="X70" t="str">
        <f t="shared" si="5"/>
        <v/>
      </c>
      <c r="Y70" t="str">
        <f t="shared" si="6"/>
        <v/>
      </c>
    </row>
    <row r="71">
      <c r="A71" s="14" t="s">
        <v>44</v>
      </c>
      <c r="B71" s="74">
        <v>68.0</v>
      </c>
      <c r="C71" s="38" t="s">
        <v>210</v>
      </c>
      <c r="D71" s="38" t="s">
        <v>496</v>
      </c>
      <c r="E71" s="36" t="s">
        <v>49</v>
      </c>
      <c r="F71" s="406"/>
      <c r="G71" s="408"/>
      <c r="H71" s="138"/>
      <c r="I71" s="138"/>
      <c r="J71" s="138"/>
      <c r="K71" s="138"/>
      <c r="L71" s="136" t="s">
        <v>7221</v>
      </c>
      <c r="M71" s="39" t="str">
        <f t="shared" si="9"/>
        <v>sarahanthony@house.mi.gov</v>
      </c>
      <c r="N71" s="41"/>
      <c r="O71" s="41"/>
      <c r="P71" s="41"/>
      <c r="Q71" s="41"/>
      <c r="R71" s="41"/>
      <c r="U71" t="str">
        <f t="shared" si="2"/>
        <v/>
      </c>
      <c r="V71" s="139" t="str">
        <f t="shared" si="3"/>
        <v/>
      </c>
      <c r="W71" t="str">
        <f t="shared" si="4"/>
        <v/>
      </c>
      <c r="X71" t="str">
        <f t="shared" si="5"/>
        <v/>
      </c>
      <c r="Y71" t="str">
        <f t="shared" si="6"/>
        <v/>
      </c>
    </row>
    <row r="72">
      <c r="A72" s="14" t="s">
        <v>44</v>
      </c>
      <c r="B72" s="74">
        <v>69.0</v>
      </c>
      <c r="C72" s="38" t="s">
        <v>2133</v>
      </c>
      <c r="D72" s="38" t="s">
        <v>7222</v>
      </c>
      <c r="E72" s="36" t="s">
        <v>49</v>
      </c>
      <c r="F72" s="406"/>
      <c r="G72" s="112"/>
      <c r="H72" s="138"/>
      <c r="I72" s="138"/>
      <c r="J72" s="138"/>
      <c r="K72" s="138"/>
      <c r="L72" s="41"/>
      <c r="M72" s="39" t="str">
        <f t="shared" si="9"/>
        <v>juliebrixie@house.mi.gov</v>
      </c>
      <c r="N72" s="41"/>
      <c r="O72" s="41"/>
      <c r="P72" s="41"/>
      <c r="Q72" s="41"/>
      <c r="R72" s="41"/>
      <c r="U72" t="str">
        <f t="shared" si="2"/>
        <v/>
      </c>
      <c r="V72" s="139" t="str">
        <f t="shared" si="3"/>
        <v/>
      </c>
      <c r="W72" t="str">
        <f t="shared" si="4"/>
        <v/>
      </c>
      <c r="X72" t="str">
        <f t="shared" si="5"/>
        <v/>
      </c>
      <c r="Y72" t="str">
        <f t="shared" si="6"/>
        <v/>
      </c>
    </row>
    <row r="73">
      <c r="A73" s="14" t="s">
        <v>44</v>
      </c>
      <c r="B73" s="74">
        <v>70.0</v>
      </c>
      <c r="C73" s="38" t="s">
        <v>930</v>
      </c>
      <c r="D73" s="38" t="s">
        <v>7223</v>
      </c>
      <c r="E73" s="51" t="s">
        <v>53</v>
      </c>
      <c r="F73" s="406"/>
      <c r="G73" s="112"/>
      <c r="H73" s="138"/>
      <c r="I73" s="138"/>
      <c r="J73" s="138"/>
      <c r="K73" s="138"/>
      <c r="L73" s="136" t="s">
        <v>7224</v>
      </c>
      <c r="M73" s="39" t="str">
        <f t="shared" si="9"/>
        <v>jameslower@house.mi.gov</v>
      </c>
      <c r="N73" s="41"/>
      <c r="O73" s="41"/>
      <c r="P73" s="41"/>
      <c r="Q73" s="41"/>
      <c r="R73" s="41"/>
      <c r="U73" t="str">
        <f t="shared" si="2"/>
        <v/>
      </c>
      <c r="V73" s="139" t="str">
        <f t="shared" si="3"/>
        <v/>
      </c>
      <c r="W73" t="str">
        <f t="shared" si="4"/>
        <v/>
      </c>
      <c r="X73" t="str">
        <f t="shared" si="5"/>
        <v/>
      </c>
      <c r="Y73" t="str">
        <f t="shared" si="6"/>
        <v/>
      </c>
    </row>
    <row r="74">
      <c r="A74" s="14" t="s">
        <v>44</v>
      </c>
      <c r="B74" s="74">
        <v>71.0</v>
      </c>
      <c r="C74" s="38" t="s">
        <v>2472</v>
      </c>
      <c r="D74" s="38" t="s">
        <v>7225</v>
      </c>
      <c r="E74" s="36" t="s">
        <v>49</v>
      </c>
      <c r="F74" s="406"/>
      <c r="G74" s="112"/>
      <c r="H74" s="138"/>
      <c r="I74" s="138"/>
      <c r="J74" s="138"/>
      <c r="K74" s="138"/>
      <c r="L74" s="41"/>
      <c r="M74" s="39" t="str">
        <f t="shared" si="9"/>
        <v>angelawitwer@house.mi.gov</v>
      </c>
      <c r="N74" s="41"/>
      <c r="O74" s="41"/>
      <c r="P74" s="41"/>
      <c r="Q74" s="41"/>
      <c r="R74" s="41"/>
      <c r="U74" t="str">
        <f t="shared" si="2"/>
        <v/>
      </c>
      <c r="V74" s="139" t="str">
        <f t="shared" si="3"/>
        <v/>
      </c>
      <c r="W74" t="str">
        <f t="shared" si="4"/>
        <v/>
      </c>
      <c r="X74" t="str">
        <f t="shared" si="5"/>
        <v/>
      </c>
      <c r="Y74" t="str">
        <f t="shared" si="6"/>
        <v/>
      </c>
    </row>
    <row r="75">
      <c r="A75" s="14" t="s">
        <v>44</v>
      </c>
      <c r="B75" s="74">
        <v>72.0</v>
      </c>
      <c r="C75" s="38" t="s">
        <v>55</v>
      </c>
      <c r="D75" s="38" t="s">
        <v>118</v>
      </c>
      <c r="E75" s="51" t="s">
        <v>53</v>
      </c>
      <c r="F75" s="406"/>
      <c r="G75" s="112"/>
      <c r="H75" s="138"/>
      <c r="I75" s="138"/>
      <c r="J75" s="138"/>
      <c r="K75" s="138"/>
      <c r="L75" s="136" t="s">
        <v>7226</v>
      </c>
      <c r="M75" s="97" t="s">
        <v>7227</v>
      </c>
      <c r="N75" s="41"/>
      <c r="O75" s="41"/>
      <c r="P75" s="41"/>
      <c r="Q75" s="41"/>
      <c r="R75" s="41"/>
      <c r="U75" t="str">
        <f t="shared" si="2"/>
        <v/>
      </c>
      <c r="V75" s="139" t="str">
        <f t="shared" si="3"/>
        <v/>
      </c>
      <c r="W75" t="str">
        <f t="shared" si="4"/>
        <v/>
      </c>
      <c r="X75" t="str">
        <f t="shared" si="5"/>
        <v/>
      </c>
      <c r="Y75" t="str">
        <f t="shared" si="6"/>
        <v/>
      </c>
    </row>
    <row r="76">
      <c r="A76" s="14" t="s">
        <v>44</v>
      </c>
      <c r="B76" s="74">
        <v>73.0</v>
      </c>
      <c r="C76" s="38" t="s">
        <v>66</v>
      </c>
      <c r="D76" s="38" t="s">
        <v>7228</v>
      </c>
      <c r="E76" s="51" t="s">
        <v>53</v>
      </c>
      <c r="F76" s="406"/>
      <c r="G76" s="112"/>
      <c r="H76" s="138"/>
      <c r="I76" s="138"/>
      <c r="J76" s="138"/>
      <c r="K76" s="138"/>
      <c r="L76" s="41"/>
      <c r="M76" s="39" t="str">
        <f t="shared" ref="M76:M113" si="10">Concatenate(Lower(C76),Lower(D76),"@house.mi.gov")</f>
        <v>lynnafendoulis@house.mi.gov</v>
      </c>
      <c r="N76" s="41"/>
      <c r="O76" s="41"/>
      <c r="P76" s="41"/>
      <c r="Q76" s="41"/>
      <c r="R76" s="41"/>
      <c r="U76" t="str">
        <f t="shared" si="2"/>
        <v/>
      </c>
      <c r="V76" s="139" t="str">
        <f t="shared" si="3"/>
        <v/>
      </c>
      <c r="W76" t="str">
        <f t="shared" si="4"/>
        <v/>
      </c>
      <c r="X76" t="str">
        <f t="shared" si="5"/>
        <v/>
      </c>
      <c r="Y76" t="str">
        <f t="shared" si="6"/>
        <v/>
      </c>
    </row>
    <row r="77">
      <c r="A77" s="14" t="s">
        <v>44</v>
      </c>
      <c r="B77" s="74">
        <v>74.0</v>
      </c>
      <c r="C77" s="38" t="s">
        <v>91</v>
      </c>
      <c r="D77" s="38" t="s">
        <v>7229</v>
      </c>
      <c r="E77" s="51" t="s">
        <v>53</v>
      </c>
      <c r="F77" s="406"/>
      <c r="G77" s="112"/>
      <c r="H77" s="138"/>
      <c r="I77" s="138"/>
      <c r="J77" s="138"/>
      <c r="K77" s="138"/>
      <c r="L77" s="41"/>
      <c r="M77" s="39" t="str">
        <f t="shared" si="10"/>
        <v>markhuizenga@house.mi.gov</v>
      </c>
      <c r="N77" s="41"/>
      <c r="O77" s="41"/>
      <c r="P77" s="41"/>
      <c r="Q77" s="41"/>
      <c r="R77" s="41"/>
      <c r="U77" t="str">
        <f t="shared" si="2"/>
        <v/>
      </c>
      <c r="V77" s="139" t="str">
        <f t="shared" si="3"/>
        <v/>
      </c>
      <c r="W77" t="str">
        <f t="shared" si="4"/>
        <v/>
      </c>
      <c r="X77" t="str">
        <f t="shared" si="5"/>
        <v/>
      </c>
      <c r="Y77" t="str">
        <f t="shared" si="6"/>
        <v/>
      </c>
    </row>
    <row r="78">
      <c r="A78" s="14" t="s">
        <v>44</v>
      </c>
      <c r="B78" s="74">
        <v>75.0</v>
      </c>
      <c r="C78" s="35" t="s">
        <v>108</v>
      </c>
      <c r="D78" s="35" t="s">
        <v>7230</v>
      </c>
      <c r="E78" s="36" t="s">
        <v>49</v>
      </c>
      <c r="F78" s="406"/>
      <c r="G78" s="112"/>
      <c r="H78" s="138"/>
      <c r="I78" s="138"/>
      <c r="J78" s="138"/>
      <c r="K78" s="138"/>
      <c r="L78" s="136" t="s">
        <v>7231</v>
      </c>
      <c r="M78" s="39" t="str">
        <f t="shared" si="10"/>
        <v>davidlagrand@house.mi.gov</v>
      </c>
      <c r="N78" s="41"/>
      <c r="O78" s="41"/>
      <c r="P78" s="41"/>
      <c r="Q78" s="41"/>
      <c r="R78" s="41"/>
      <c r="U78" t="str">
        <f t="shared" si="2"/>
        <v/>
      </c>
      <c r="V78" s="139" t="str">
        <f t="shared" si="3"/>
        <v/>
      </c>
      <c r="W78" t="str">
        <f t="shared" si="4"/>
        <v/>
      </c>
      <c r="X78" t="str">
        <f t="shared" si="5"/>
        <v/>
      </c>
      <c r="Y78" t="str">
        <f t="shared" si="6"/>
        <v/>
      </c>
    </row>
    <row r="79">
      <c r="A79" s="14" t="s">
        <v>44</v>
      </c>
      <c r="B79" s="74">
        <v>76.0</v>
      </c>
      <c r="C79" s="38" t="s">
        <v>2383</v>
      </c>
      <c r="D79" s="38" t="s">
        <v>7232</v>
      </c>
      <c r="E79" s="36" t="s">
        <v>49</v>
      </c>
      <c r="F79" s="406"/>
      <c r="G79" s="112"/>
      <c r="H79" s="138"/>
      <c r="I79" s="138"/>
      <c r="J79" s="138"/>
      <c r="K79" s="138"/>
      <c r="L79" s="41"/>
      <c r="M79" s="39" t="str">
        <f t="shared" si="10"/>
        <v>rachelhood@house.mi.gov</v>
      </c>
      <c r="N79" s="41"/>
      <c r="O79" s="41"/>
      <c r="P79" s="41"/>
      <c r="Q79" s="41"/>
      <c r="R79" s="41"/>
      <c r="U79" t="str">
        <f t="shared" si="2"/>
        <v/>
      </c>
      <c r="V79" s="139" t="str">
        <f t="shared" si="3"/>
        <v/>
      </c>
      <c r="W79" t="str">
        <f t="shared" si="4"/>
        <v/>
      </c>
      <c r="X79" t="str">
        <f t="shared" si="5"/>
        <v/>
      </c>
      <c r="Y79" t="str">
        <f t="shared" si="6"/>
        <v/>
      </c>
    </row>
    <row r="80">
      <c r="A80" s="14" t="s">
        <v>44</v>
      </c>
      <c r="B80" s="74">
        <v>77.0</v>
      </c>
      <c r="C80" s="38" t="s">
        <v>317</v>
      </c>
      <c r="D80" s="38" t="s">
        <v>7233</v>
      </c>
      <c r="E80" s="51" t="s">
        <v>53</v>
      </c>
      <c r="F80" s="406"/>
      <c r="G80" s="112"/>
      <c r="H80" s="138"/>
      <c r="I80" s="138"/>
      <c r="J80" s="138"/>
      <c r="K80" s="138"/>
      <c r="L80" s="136" t="s">
        <v>7234</v>
      </c>
      <c r="M80" s="39" t="str">
        <f t="shared" si="10"/>
        <v>tommybrann@house.mi.gov</v>
      </c>
      <c r="N80" s="41"/>
      <c r="O80" s="41"/>
      <c r="P80" s="41"/>
      <c r="Q80" s="41"/>
      <c r="R80" s="41"/>
      <c r="U80" t="str">
        <f t="shared" si="2"/>
        <v/>
      </c>
      <c r="V80" s="139" t="str">
        <f t="shared" si="3"/>
        <v/>
      </c>
      <c r="W80" t="str">
        <f t="shared" si="4"/>
        <v/>
      </c>
      <c r="X80" t="str">
        <f t="shared" si="5"/>
        <v/>
      </c>
      <c r="Y80" t="str">
        <f t="shared" si="6"/>
        <v/>
      </c>
    </row>
    <row r="81">
      <c r="A81" s="14" t="s">
        <v>44</v>
      </c>
      <c r="B81" s="74">
        <v>78.0</v>
      </c>
      <c r="C81" s="38" t="s">
        <v>2323</v>
      </c>
      <c r="D81" s="38" t="s">
        <v>7236</v>
      </c>
      <c r="E81" s="51" t="s">
        <v>53</v>
      </c>
      <c r="F81" s="406"/>
      <c r="G81" s="112"/>
      <c r="H81" s="138"/>
      <c r="I81" s="138"/>
      <c r="J81" s="138"/>
      <c r="K81" s="138"/>
      <c r="L81" s="41"/>
      <c r="M81" s="39" t="str">
        <f t="shared" si="10"/>
        <v>bradpaquette@house.mi.gov</v>
      </c>
      <c r="N81" s="41"/>
      <c r="O81" s="41"/>
      <c r="P81" s="41"/>
      <c r="Q81" s="41"/>
      <c r="R81" s="41"/>
      <c r="U81" t="str">
        <f t="shared" si="2"/>
        <v/>
      </c>
      <c r="V81" s="139" t="str">
        <f t="shared" si="3"/>
        <v/>
      </c>
      <c r="W81" t="str">
        <f t="shared" si="4"/>
        <v/>
      </c>
      <c r="X81" t="str">
        <f t="shared" si="5"/>
        <v/>
      </c>
      <c r="Y81" t="str">
        <f t="shared" si="6"/>
        <v/>
      </c>
    </row>
    <row r="82">
      <c r="A82" s="14" t="s">
        <v>44</v>
      </c>
      <c r="B82" s="74">
        <v>79.0</v>
      </c>
      <c r="C82" s="38" t="s">
        <v>7237</v>
      </c>
      <c r="D82" s="38" t="s">
        <v>7238</v>
      </c>
      <c r="E82" s="51" t="s">
        <v>53</v>
      </c>
      <c r="F82" s="406"/>
      <c r="G82" s="112"/>
      <c r="H82" s="138"/>
      <c r="I82" s="138"/>
      <c r="J82" s="138"/>
      <c r="K82" s="138"/>
      <c r="L82" s="41"/>
      <c r="M82" s="39" t="str">
        <f t="shared" si="10"/>
        <v>paulinewendzel@house.mi.gov</v>
      </c>
      <c r="N82" s="41"/>
      <c r="O82" s="41"/>
      <c r="P82" s="41"/>
      <c r="Q82" s="41"/>
      <c r="R82" s="41"/>
      <c r="U82" t="str">
        <f t="shared" si="2"/>
        <v/>
      </c>
      <c r="V82" s="139" t="str">
        <f t="shared" si="3"/>
        <v/>
      </c>
      <c r="W82" t="str">
        <f t="shared" si="4"/>
        <v/>
      </c>
      <c r="X82" t="str">
        <f t="shared" si="5"/>
        <v/>
      </c>
      <c r="Y82" t="str">
        <f t="shared" si="6"/>
        <v/>
      </c>
    </row>
    <row r="83">
      <c r="A83" s="14" t="s">
        <v>44</v>
      </c>
      <c r="B83" s="74">
        <v>80.0</v>
      </c>
      <c r="C83" s="35" t="s">
        <v>514</v>
      </c>
      <c r="D83" s="35" t="s">
        <v>7240</v>
      </c>
      <c r="E83" s="51" t="s">
        <v>53</v>
      </c>
      <c r="F83" s="406" t="s">
        <v>7162</v>
      </c>
      <c r="G83" s="112"/>
      <c r="H83" s="138"/>
      <c r="I83" s="138"/>
      <c r="J83" s="138"/>
      <c r="K83" s="138"/>
      <c r="L83" s="136" t="s">
        <v>7241</v>
      </c>
      <c r="M83" s="39" t="str">
        <f t="shared" si="10"/>
        <v>marywhiteford@house.mi.gov</v>
      </c>
      <c r="N83" s="267" t="str">
        <f>HYPERLINK("https://docs.google.com/document/d/1m3SsNbxXE9im99KU8aXl7zJZ0NO7G14t_-hxHsiWNbM/edit","Zero")</f>
        <v>Zero</v>
      </c>
      <c r="O83" s="41"/>
      <c r="P83" s="41"/>
      <c r="Q83" s="41"/>
      <c r="R83" s="41"/>
      <c r="U83" t="str">
        <f t="shared" si="2"/>
        <v>Representative</v>
      </c>
      <c r="V83" s="139" t="str">
        <f t="shared" si="3"/>
        <v>Mary</v>
      </c>
      <c r="W83" t="str">
        <f t="shared" si="4"/>
        <v>Whiteford</v>
      </c>
      <c r="X83" t="str">
        <f t="shared" si="5"/>
        <v>marywhiteford@house.mi.gov</v>
      </c>
      <c r="Y83" t="str">
        <f t="shared" si="6"/>
        <v>Assistant Majority Floor Leader</v>
      </c>
    </row>
    <row r="84">
      <c r="A84" s="14" t="s">
        <v>44</v>
      </c>
      <c r="B84" s="74">
        <v>81.0</v>
      </c>
      <c r="C84" s="38" t="s">
        <v>199</v>
      </c>
      <c r="D84" s="38" t="s">
        <v>7243</v>
      </c>
      <c r="E84" s="51" t="s">
        <v>53</v>
      </c>
      <c r="F84" s="406"/>
      <c r="G84" s="112"/>
      <c r="H84" s="138"/>
      <c r="I84" s="138"/>
      <c r="J84" s="138"/>
      <c r="K84" s="138"/>
      <c r="L84" s="41"/>
      <c r="M84" s="39" t="str">
        <f t="shared" si="10"/>
        <v>garyeisen@house.mi.gov</v>
      </c>
      <c r="N84" s="41"/>
      <c r="O84" s="41"/>
      <c r="P84" s="41"/>
      <c r="Q84" s="41"/>
      <c r="R84" s="41"/>
      <c r="U84" t="str">
        <f t="shared" si="2"/>
        <v/>
      </c>
      <c r="V84" s="139" t="str">
        <f t="shared" si="3"/>
        <v/>
      </c>
      <c r="W84" t="str">
        <f t="shared" si="4"/>
        <v/>
      </c>
      <c r="X84" t="str">
        <f t="shared" si="5"/>
        <v/>
      </c>
      <c r="Y84" t="str">
        <f t="shared" si="6"/>
        <v/>
      </c>
    </row>
    <row r="85">
      <c r="A85" s="14" t="s">
        <v>44</v>
      </c>
      <c r="B85" s="74">
        <v>82.0</v>
      </c>
      <c r="C85" s="38" t="s">
        <v>199</v>
      </c>
      <c r="D85" s="38" t="s">
        <v>7245</v>
      </c>
      <c r="E85" s="51" t="s">
        <v>53</v>
      </c>
      <c r="F85" s="406"/>
      <c r="G85" s="112"/>
      <c r="H85" s="138"/>
      <c r="I85" s="138"/>
      <c r="J85" s="138"/>
      <c r="K85" s="138"/>
      <c r="L85" s="136" t="s">
        <v>7246</v>
      </c>
      <c r="M85" s="39" t="str">
        <f t="shared" si="10"/>
        <v>garyhowell@house.mi.gov</v>
      </c>
      <c r="N85" s="41"/>
      <c r="O85" s="41"/>
      <c r="P85" s="41"/>
      <c r="Q85" s="41"/>
      <c r="R85" s="41"/>
      <c r="U85" t="str">
        <f t="shared" si="2"/>
        <v/>
      </c>
      <c r="V85" s="139" t="str">
        <f t="shared" si="3"/>
        <v/>
      </c>
      <c r="W85" t="str">
        <f t="shared" si="4"/>
        <v/>
      </c>
      <c r="X85" t="str">
        <f t="shared" si="5"/>
        <v/>
      </c>
      <c r="Y85" t="str">
        <f t="shared" si="6"/>
        <v/>
      </c>
    </row>
    <row r="86">
      <c r="A86" s="14" t="s">
        <v>44</v>
      </c>
      <c r="B86" s="74">
        <v>83.0</v>
      </c>
      <c r="C86" s="38" t="s">
        <v>756</v>
      </c>
      <c r="D86" s="38" t="s">
        <v>562</v>
      </c>
      <c r="E86" s="51" t="s">
        <v>53</v>
      </c>
      <c r="F86" s="406"/>
      <c r="G86" s="112"/>
      <c r="H86" s="138"/>
      <c r="I86" s="138"/>
      <c r="J86" s="138"/>
      <c r="K86" s="138"/>
      <c r="L86" s="136" t="s">
        <v>7247</v>
      </c>
      <c r="M86" s="39" t="str">
        <f t="shared" si="10"/>
        <v>shanehernandez@house.mi.gov</v>
      </c>
      <c r="N86" s="41"/>
      <c r="O86" s="41"/>
      <c r="P86" s="41"/>
      <c r="Q86" s="41"/>
      <c r="R86" s="41"/>
      <c r="U86" t="str">
        <f t="shared" si="2"/>
        <v/>
      </c>
      <c r="V86" s="139" t="str">
        <f t="shared" si="3"/>
        <v/>
      </c>
      <c r="W86" t="str">
        <f t="shared" si="4"/>
        <v/>
      </c>
      <c r="X86" t="str">
        <f t="shared" si="5"/>
        <v/>
      </c>
      <c r="Y86" t="str">
        <f t="shared" si="6"/>
        <v/>
      </c>
    </row>
    <row r="87">
      <c r="A87" s="14" t="s">
        <v>44</v>
      </c>
      <c r="B87" s="74">
        <v>84.0</v>
      </c>
      <c r="C87" s="38" t="s">
        <v>1483</v>
      </c>
      <c r="D87" s="38" t="s">
        <v>2574</v>
      </c>
      <c r="E87" s="51" t="s">
        <v>53</v>
      </c>
      <c r="F87" s="406"/>
      <c r="G87" s="112"/>
      <c r="H87" s="138"/>
      <c r="I87" s="138"/>
      <c r="J87" s="138"/>
      <c r="K87" s="138"/>
      <c r="L87" s="41"/>
      <c r="M87" s="39" t="str">
        <f t="shared" si="10"/>
        <v>philgreen@house.mi.gov</v>
      </c>
      <c r="N87" s="41"/>
      <c r="O87" s="41"/>
      <c r="P87" s="41"/>
      <c r="Q87" s="41"/>
      <c r="R87" s="41"/>
      <c r="U87" t="str">
        <f t="shared" si="2"/>
        <v/>
      </c>
      <c r="V87" s="139" t="str">
        <f t="shared" si="3"/>
        <v/>
      </c>
      <c r="W87" t="str">
        <f t="shared" si="4"/>
        <v/>
      </c>
      <c r="X87" t="str">
        <f t="shared" si="5"/>
        <v/>
      </c>
      <c r="Y87" t="str">
        <f t="shared" si="6"/>
        <v/>
      </c>
    </row>
    <row r="88">
      <c r="A88" s="14" t="s">
        <v>44</v>
      </c>
      <c r="B88" s="74">
        <v>85.0</v>
      </c>
      <c r="C88" s="38" t="s">
        <v>195</v>
      </c>
      <c r="D88" s="38" t="s">
        <v>7248</v>
      </c>
      <c r="E88" s="51" t="s">
        <v>53</v>
      </c>
      <c r="F88" s="406"/>
      <c r="G88" s="112"/>
      <c r="H88" s="138"/>
      <c r="I88" s="138"/>
      <c r="J88" s="138"/>
      <c r="K88" s="138"/>
      <c r="L88" s="136" t="s">
        <v>7249</v>
      </c>
      <c r="M88" s="39" t="str">
        <f t="shared" si="10"/>
        <v>benfrederick@house.mi.gov</v>
      </c>
      <c r="N88" s="41"/>
      <c r="O88" s="41"/>
      <c r="P88" s="41"/>
      <c r="Q88" s="41"/>
      <c r="R88" s="41"/>
      <c r="U88" t="str">
        <f t="shared" si="2"/>
        <v/>
      </c>
      <c r="V88" s="139" t="str">
        <f t="shared" si="3"/>
        <v/>
      </c>
      <c r="W88" t="str">
        <f t="shared" si="4"/>
        <v/>
      </c>
      <c r="X88" t="str">
        <f t="shared" si="5"/>
        <v/>
      </c>
      <c r="Y88" t="str">
        <f t="shared" si="6"/>
        <v/>
      </c>
    </row>
    <row r="89">
      <c r="A89" s="14" t="s">
        <v>44</v>
      </c>
      <c r="B89" s="74">
        <v>86.0</v>
      </c>
      <c r="C89" s="38" t="s">
        <v>561</v>
      </c>
      <c r="D89" s="38" t="s">
        <v>5347</v>
      </c>
      <c r="E89" s="51" t="s">
        <v>53</v>
      </c>
      <c r="F89" s="406"/>
      <c r="G89" s="112"/>
      <c r="H89" s="138"/>
      <c r="I89" s="138"/>
      <c r="J89" s="138"/>
      <c r="K89" s="138"/>
      <c r="L89" s="136" t="s">
        <v>7250</v>
      </c>
      <c r="M89" s="39" t="str">
        <f t="shared" si="10"/>
        <v>thomasalbert@house.mi.gov</v>
      </c>
      <c r="N89" s="41"/>
      <c r="O89" s="41"/>
      <c r="P89" s="41"/>
      <c r="Q89" s="41"/>
      <c r="R89" s="41"/>
      <c r="U89" t="str">
        <f t="shared" si="2"/>
        <v/>
      </c>
      <c r="V89" s="139" t="str">
        <f t="shared" si="3"/>
        <v/>
      </c>
      <c r="W89" t="str">
        <f t="shared" si="4"/>
        <v/>
      </c>
      <c r="X89" t="str">
        <f t="shared" si="5"/>
        <v/>
      </c>
      <c r="Y89" t="str">
        <f t="shared" si="6"/>
        <v/>
      </c>
    </row>
    <row r="90">
      <c r="A90" s="14" t="s">
        <v>44</v>
      </c>
      <c r="B90" s="74">
        <v>87.0</v>
      </c>
      <c r="C90" s="38" t="s">
        <v>2133</v>
      </c>
      <c r="D90" s="38" t="s">
        <v>7252</v>
      </c>
      <c r="E90" s="51" t="s">
        <v>53</v>
      </c>
      <c r="F90" s="406"/>
      <c r="G90" s="112"/>
      <c r="H90" s="138"/>
      <c r="I90" s="138"/>
      <c r="J90" s="138"/>
      <c r="K90" s="138"/>
      <c r="L90" s="136" t="s">
        <v>7253</v>
      </c>
      <c r="M90" s="39" t="str">
        <f t="shared" si="10"/>
        <v>juliecalley@house.mi.gov</v>
      </c>
      <c r="N90" s="41"/>
      <c r="O90" s="41"/>
      <c r="P90" s="41"/>
      <c r="Q90" s="41"/>
      <c r="R90" s="41"/>
      <c r="U90" t="str">
        <f t="shared" si="2"/>
        <v/>
      </c>
      <c r="V90" s="139" t="str">
        <f t="shared" si="3"/>
        <v/>
      </c>
      <c r="W90" t="str">
        <f t="shared" si="4"/>
        <v/>
      </c>
      <c r="X90" t="str">
        <f t="shared" si="5"/>
        <v/>
      </c>
      <c r="Y90" t="str">
        <f t="shared" si="6"/>
        <v/>
      </c>
    </row>
    <row r="91">
      <c r="A91" s="14" t="s">
        <v>44</v>
      </c>
      <c r="B91" s="74">
        <v>88.0</v>
      </c>
      <c r="C91" s="38" t="s">
        <v>3309</v>
      </c>
      <c r="D91" s="38" t="s">
        <v>7254</v>
      </c>
      <c r="E91" s="51" t="s">
        <v>53</v>
      </c>
      <c r="F91" s="406"/>
      <c r="G91" s="112"/>
      <c r="H91" s="138"/>
      <c r="I91" s="138"/>
      <c r="J91" s="138"/>
      <c r="K91" s="138"/>
      <c r="L91" s="41"/>
      <c r="M91" s="39" t="str">
        <f t="shared" si="10"/>
        <v>lukemeerman@house.mi.gov</v>
      </c>
      <c r="N91" s="41"/>
      <c r="O91" s="41"/>
      <c r="P91" s="41"/>
      <c r="Q91" s="41"/>
      <c r="R91" s="41"/>
      <c r="U91" t="str">
        <f t="shared" si="2"/>
        <v/>
      </c>
      <c r="V91" s="139" t="str">
        <f t="shared" si="3"/>
        <v/>
      </c>
      <c r="W91" t="str">
        <f t="shared" si="4"/>
        <v/>
      </c>
      <c r="X91" t="str">
        <f t="shared" si="5"/>
        <v/>
      </c>
      <c r="Y91" t="str">
        <f t="shared" si="6"/>
        <v/>
      </c>
    </row>
    <row r="92">
      <c r="A92" s="14" t="s">
        <v>44</v>
      </c>
      <c r="B92" s="74">
        <v>89.0</v>
      </c>
      <c r="C92" s="38" t="s">
        <v>476</v>
      </c>
      <c r="D92" s="38" t="s">
        <v>4336</v>
      </c>
      <c r="E92" s="51" t="s">
        <v>53</v>
      </c>
      <c r="F92" s="406" t="s">
        <v>7128</v>
      </c>
      <c r="G92" s="112"/>
      <c r="H92" s="138"/>
      <c r="I92" s="138"/>
      <c r="J92" s="138"/>
      <c r="K92" s="138"/>
      <c r="L92" s="136" t="s">
        <v>7255</v>
      </c>
      <c r="M92" s="39" t="str">
        <f t="shared" si="10"/>
        <v>jimlilly@house.mi.gov</v>
      </c>
      <c r="N92" s="41"/>
      <c r="O92" s="41"/>
      <c r="P92" s="41"/>
      <c r="Q92" s="41"/>
      <c r="R92" s="41"/>
      <c r="U92" t="str">
        <f t="shared" si="2"/>
        <v>Representative</v>
      </c>
      <c r="V92" s="139" t="str">
        <f t="shared" si="3"/>
        <v>Jim</v>
      </c>
      <c r="W92" t="str">
        <f t="shared" si="4"/>
        <v>Lilly</v>
      </c>
      <c r="X92" t="str">
        <f t="shared" si="5"/>
        <v>jimlilly@house.mi.gov</v>
      </c>
      <c r="Y92" t="str">
        <f t="shared" si="6"/>
        <v>Associate Speaker Pro Temp</v>
      </c>
    </row>
    <row r="93">
      <c r="A93" s="14" t="s">
        <v>44</v>
      </c>
      <c r="B93" s="74">
        <v>90.0</v>
      </c>
      <c r="C93" s="38" t="s">
        <v>1130</v>
      </c>
      <c r="D93" s="38" t="s">
        <v>7257</v>
      </c>
      <c r="E93" s="51" t="s">
        <v>53</v>
      </c>
      <c r="F93" s="406"/>
      <c r="G93" s="112"/>
      <c r="H93" s="138"/>
      <c r="I93" s="138"/>
      <c r="J93" s="138"/>
      <c r="K93" s="138"/>
      <c r="L93" s="41"/>
      <c r="M93" s="39" t="str">
        <f t="shared" si="10"/>
        <v>bradleyslagh@house.mi.gov</v>
      </c>
      <c r="N93" s="41"/>
      <c r="O93" s="41"/>
      <c r="P93" s="41"/>
      <c r="Q93" s="41"/>
      <c r="R93" s="41"/>
      <c r="U93" t="str">
        <f t="shared" si="2"/>
        <v/>
      </c>
      <c r="V93" s="139" t="str">
        <f t="shared" si="3"/>
        <v/>
      </c>
      <c r="W93" t="str">
        <f t="shared" si="4"/>
        <v/>
      </c>
      <c r="X93" t="str">
        <f t="shared" si="5"/>
        <v/>
      </c>
      <c r="Y93" t="str">
        <f t="shared" si="6"/>
        <v/>
      </c>
    </row>
    <row r="94">
      <c r="A94" s="14" t="s">
        <v>44</v>
      </c>
      <c r="B94" s="74">
        <v>91.0</v>
      </c>
      <c r="C94" s="38" t="s">
        <v>997</v>
      </c>
      <c r="D94" s="38" t="s">
        <v>7258</v>
      </c>
      <c r="E94" s="51" t="s">
        <v>53</v>
      </c>
      <c r="F94" s="406"/>
      <c r="G94" s="112"/>
      <c r="H94" s="138"/>
      <c r="I94" s="138"/>
      <c r="J94" s="138"/>
      <c r="K94" s="138"/>
      <c r="L94" s="41"/>
      <c r="M94" s="39" t="str">
        <f t="shared" si="10"/>
        <v>gregvanwoerkom@house.mi.gov</v>
      </c>
      <c r="N94" s="41"/>
      <c r="O94" s="41"/>
      <c r="P94" s="41"/>
      <c r="Q94" s="41"/>
      <c r="R94" s="41"/>
      <c r="U94" t="str">
        <f t="shared" si="2"/>
        <v/>
      </c>
      <c r="V94" s="139" t="str">
        <f t="shared" si="3"/>
        <v/>
      </c>
      <c r="W94" t="str">
        <f t="shared" si="4"/>
        <v/>
      </c>
      <c r="X94" t="str">
        <f t="shared" si="5"/>
        <v/>
      </c>
      <c r="Y94" t="str">
        <f t="shared" si="6"/>
        <v/>
      </c>
    </row>
    <row r="95">
      <c r="A95" s="14" t="s">
        <v>44</v>
      </c>
      <c r="B95" s="74">
        <v>92.0</v>
      </c>
      <c r="C95" s="35" t="s">
        <v>1990</v>
      </c>
      <c r="D95" s="35" t="s">
        <v>7260</v>
      </c>
      <c r="E95" s="36" t="s">
        <v>49</v>
      </c>
      <c r="F95" s="406"/>
      <c r="G95" s="112"/>
      <c r="H95" s="138"/>
      <c r="I95" s="138"/>
      <c r="J95" s="138"/>
      <c r="K95" s="138"/>
      <c r="L95" s="136" t="s">
        <v>7262</v>
      </c>
      <c r="M95" s="39" t="str">
        <f t="shared" si="10"/>
        <v>terrysabo@house.mi.gov</v>
      </c>
      <c r="N95" s="41"/>
      <c r="O95" s="41"/>
      <c r="P95" s="41"/>
      <c r="Q95" s="41"/>
      <c r="R95" s="41"/>
      <c r="U95" t="str">
        <f t="shared" si="2"/>
        <v/>
      </c>
      <c r="V95" s="139" t="str">
        <f t="shared" si="3"/>
        <v/>
      </c>
      <c r="W95" t="str">
        <f t="shared" si="4"/>
        <v/>
      </c>
      <c r="X95" t="str">
        <f t="shared" si="5"/>
        <v/>
      </c>
      <c r="Y95" t="str">
        <f t="shared" si="6"/>
        <v/>
      </c>
    </row>
    <row r="96">
      <c r="A96" s="14" t="s">
        <v>44</v>
      </c>
      <c r="B96" s="74">
        <v>93.0</v>
      </c>
      <c r="C96" s="38" t="s">
        <v>5222</v>
      </c>
      <c r="D96" s="38" t="s">
        <v>7263</v>
      </c>
      <c r="E96" s="51" t="s">
        <v>53</v>
      </c>
      <c r="F96" s="406"/>
      <c r="G96" s="112"/>
      <c r="H96" s="138"/>
      <c r="I96" s="138"/>
      <c r="J96" s="138"/>
      <c r="K96" s="138"/>
      <c r="L96" s="41"/>
      <c r="M96" s="39" t="str">
        <f t="shared" si="10"/>
        <v>grahamfiller@house.mi.gov</v>
      </c>
      <c r="N96" s="41"/>
      <c r="O96" s="41"/>
      <c r="P96" s="41"/>
      <c r="Q96" s="41"/>
      <c r="R96" s="41"/>
      <c r="U96" t="str">
        <f t="shared" si="2"/>
        <v/>
      </c>
      <c r="V96" s="139" t="str">
        <f t="shared" si="3"/>
        <v/>
      </c>
      <c r="W96" t="str">
        <f t="shared" si="4"/>
        <v/>
      </c>
      <c r="X96" t="str">
        <f t="shared" si="5"/>
        <v/>
      </c>
      <c r="Y96" t="str">
        <f t="shared" si="6"/>
        <v/>
      </c>
    </row>
    <row r="97">
      <c r="A97" s="14" t="s">
        <v>44</v>
      </c>
      <c r="B97" s="74">
        <v>94.0</v>
      </c>
      <c r="C97" s="38" t="s">
        <v>7264</v>
      </c>
      <c r="D97" s="38" t="s">
        <v>7265</v>
      </c>
      <c r="E97" s="51" t="s">
        <v>53</v>
      </c>
      <c r="F97" s="406"/>
      <c r="G97" s="112"/>
      <c r="H97" s="138"/>
      <c r="I97" s="138"/>
      <c r="J97" s="138"/>
      <c r="K97" s="138"/>
      <c r="L97" s="41"/>
      <c r="M97" s="39" t="str">
        <f t="shared" si="10"/>
        <v>rondeywakeman@house.mi.gov</v>
      </c>
      <c r="N97" s="41"/>
      <c r="O97" s="41"/>
      <c r="P97" s="41"/>
      <c r="Q97" s="41"/>
      <c r="R97" s="41"/>
      <c r="U97" t="str">
        <f t="shared" si="2"/>
        <v/>
      </c>
      <c r="V97" s="139" t="str">
        <f t="shared" si="3"/>
        <v/>
      </c>
      <c r="W97" t="str">
        <f t="shared" si="4"/>
        <v/>
      </c>
      <c r="X97" t="str">
        <f t="shared" si="5"/>
        <v/>
      </c>
      <c r="Y97" t="str">
        <f t="shared" si="6"/>
        <v/>
      </c>
    </row>
    <row r="98">
      <c r="A98" s="14" t="s">
        <v>44</v>
      </c>
      <c r="B98" s="74">
        <v>95.0</v>
      </c>
      <c r="C98" s="38" t="s">
        <v>4804</v>
      </c>
      <c r="D98" s="38" t="s">
        <v>7267</v>
      </c>
      <c r="E98" s="36" t="s">
        <v>49</v>
      </c>
      <c r="F98" s="406"/>
      <c r="G98" s="112"/>
      <c r="H98" s="138"/>
      <c r="I98" s="138"/>
      <c r="J98" s="138"/>
      <c r="K98" s="138"/>
      <c r="L98" s="136" t="s">
        <v>7268</v>
      </c>
      <c r="M98" s="39" t="str">
        <f t="shared" si="10"/>
        <v>vanessaguerra@house.mi.gov</v>
      </c>
      <c r="N98" s="41"/>
      <c r="O98" s="41"/>
      <c r="P98" s="41"/>
      <c r="Q98" s="41"/>
      <c r="R98" s="41"/>
      <c r="U98" t="str">
        <f t="shared" si="2"/>
        <v/>
      </c>
      <c r="V98" s="139" t="str">
        <f t="shared" si="3"/>
        <v/>
      </c>
      <c r="W98" t="str">
        <f t="shared" si="4"/>
        <v/>
      </c>
      <c r="X98" t="str">
        <f t="shared" si="5"/>
        <v/>
      </c>
      <c r="Y98" t="str">
        <f t="shared" si="6"/>
        <v/>
      </c>
    </row>
    <row r="99">
      <c r="A99" s="14" t="s">
        <v>44</v>
      </c>
      <c r="B99" s="74">
        <v>96.0</v>
      </c>
      <c r="C99" s="35" t="s">
        <v>1331</v>
      </c>
      <c r="D99" s="35" t="s">
        <v>7269</v>
      </c>
      <c r="E99" s="36" t="s">
        <v>49</v>
      </c>
      <c r="F99" s="406"/>
      <c r="G99" s="112"/>
      <c r="H99" s="138"/>
      <c r="I99" s="138"/>
      <c r="J99" s="138"/>
      <c r="K99" s="138"/>
      <c r="L99" s="136" t="s">
        <v>7270</v>
      </c>
      <c r="M99" s="39" t="str">
        <f t="shared" si="10"/>
        <v>brianelder@house.mi.gov</v>
      </c>
      <c r="N99" s="41"/>
      <c r="O99" s="41"/>
      <c r="P99" s="41"/>
      <c r="Q99" s="41"/>
      <c r="R99" s="41"/>
      <c r="U99" t="str">
        <f t="shared" si="2"/>
        <v/>
      </c>
      <c r="V99" s="139" t="str">
        <f t="shared" si="3"/>
        <v/>
      </c>
      <c r="W99" t="str">
        <f t="shared" si="4"/>
        <v/>
      </c>
      <c r="X99" t="str">
        <f t="shared" si="5"/>
        <v/>
      </c>
      <c r="Y99" t="str">
        <f t="shared" si="6"/>
        <v/>
      </c>
    </row>
    <row r="100">
      <c r="A100" s="14" t="s">
        <v>44</v>
      </c>
      <c r="B100" s="74">
        <v>97.0</v>
      </c>
      <c r="C100" s="35" t="s">
        <v>1231</v>
      </c>
      <c r="D100" s="35" t="s">
        <v>7272</v>
      </c>
      <c r="E100" s="51" t="s">
        <v>53</v>
      </c>
      <c r="F100" s="406"/>
      <c r="G100" s="112"/>
      <c r="H100" s="138"/>
      <c r="I100" s="138"/>
      <c r="J100" s="138"/>
      <c r="K100" s="138"/>
      <c r="L100" s="136" t="s">
        <v>7273</v>
      </c>
      <c r="M100" s="39" t="str">
        <f t="shared" si="10"/>
        <v>jasonwentworth@house.mi.gov</v>
      </c>
      <c r="N100" s="41"/>
      <c r="O100" s="41"/>
      <c r="P100" s="41"/>
      <c r="Q100" s="41"/>
      <c r="R100" s="41"/>
      <c r="U100" t="str">
        <f t="shared" si="2"/>
        <v/>
      </c>
      <c r="V100" s="139" t="str">
        <f t="shared" si="3"/>
        <v/>
      </c>
      <c r="W100" t="str">
        <f t="shared" si="4"/>
        <v/>
      </c>
      <c r="X100" t="str">
        <f t="shared" si="5"/>
        <v/>
      </c>
      <c r="Y100" t="str">
        <f t="shared" si="6"/>
        <v/>
      </c>
    </row>
    <row r="101">
      <c r="A101" s="14" t="s">
        <v>44</v>
      </c>
      <c r="B101" s="74">
        <v>98.0</v>
      </c>
      <c r="C101" s="38" t="s">
        <v>3358</v>
      </c>
      <c r="D101" s="38" t="s">
        <v>3589</v>
      </c>
      <c r="E101" s="51" t="s">
        <v>53</v>
      </c>
      <c r="F101" s="406"/>
      <c r="G101" s="112"/>
      <c r="H101" s="138"/>
      <c r="I101" s="138"/>
      <c r="J101" s="138"/>
      <c r="K101" s="138"/>
      <c r="L101" s="41"/>
      <c r="M101" s="39" t="str">
        <f t="shared" si="10"/>
        <v>annetteglenn@house.mi.gov</v>
      </c>
      <c r="N101" s="41"/>
      <c r="O101" s="41"/>
      <c r="P101" s="41"/>
      <c r="Q101" s="41"/>
      <c r="R101" s="41"/>
      <c r="U101" t="str">
        <f t="shared" si="2"/>
        <v/>
      </c>
      <c r="V101" s="139" t="str">
        <f t="shared" si="3"/>
        <v/>
      </c>
      <c r="W101" t="str">
        <f t="shared" si="4"/>
        <v/>
      </c>
      <c r="X101" t="str">
        <f t="shared" si="5"/>
        <v/>
      </c>
      <c r="Y101" t="str">
        <f t="shared" si="6"/>
        <v/>
      </c>
    </row>
    <row r="102">
      <c r="A102" s="14" t="s">
        <v>44</v>
      </c>
      <c r="B102" s="74">
        <v>99.0</v>
      </c>
      <c r="C102" s="38" t="s">
        <v>1040</v>
      </c>
      <c r="D102" s="38" t="s">
        <v>7275</v>
      </c>
      <c r="E102" s="51" t="s">
        <v>53</v>
      </c>
      <c r="F102" s="406"/>
      <c r="G102" s="112"/>
      <c r="H102" s="138"/>
      <c r="I102" s="138"/>
      <c r="J102" s="138"/>
      <c r="K102" s="138"/>
      <c r="L102" s="136" t="s">
        <v>7276</v>
      </c>
      <c r="M102" s="39" t="str">
        <f t="shared" si="10"/>
        <v>rogerhauck@house.mi.gov</v>
      </c>
      <c r="N102" s="41"/>
      <c r="O102" s="41"/>
      <c r="P102" s="41"/>
      <c r="Q102" s="41"/>
      <c r="R102" s="41"/>
      <c r="U102" t="str">
        <f t="shared" si="2"/>
        <v/>
      </c>
      <c r="V102" s="139" t="str">
        <f t="shared" si="3"/>
        <v/>
      </c>
      <c r="W102" t="str">
        <f t="shared" si="4"/>
        <v/>
      </c>
      <c r="X102" t="str">
        <f t="shared" si="5"/>
        <v/>
      </c>
      <c r="Y102" t="str">
        <f t="shared" si="6"/>
        <v/>
      </c>
    </row>
    <row r="103">
      <c r="A103" s="14" t="s">
        <v>44</v>
      </c>
      <c r="B103" s="74">
        <v>100.0</v>
      </c>
      <c r="C103" s="35" t="s">
        <v>45</v>
      </c>
      <c r="D103" s="35" t="s">
        <v>7279</v>
      </c>
      <c r="E103" s="51" t="s">
        <v>53</v>
      </c>
      <c r="F103" s="406"/>
      <c r="G103" s="112"/>
      <c r="H103" s="138"/>
      <c r="I103" s="138"/>
      <c r="J103" s="138"/>
      <c r="K103" s="138"/>
      <c r="L103" s="136" t="s">
        <v>7280</v>
      </c>
      <c r="M103" s="39" t="str">
        <f t="shared" si="10"/>
        <v>scottvansingel@house.mi.gov</v>
      </c>
      <c r="N103" s="41"/>
      <c r="O103" s="41"/>
      <c r="P103" s="41"/>
      <c r="Q103" s="41"/>
      <c r="R103" s="41"/>
      <c r="U103" t="str">
        <f t="shared" si="2"/>
        <v/>
      </c>
      <c r="V103" s="139" t="str">
        <f t="shared" si="3"/>
        <v/>
      </c>
      <c r="W103" t="str">
        <f t="shared" si="4"/>
        <v/>
      </c>
      <c r="X103" t="str">
        <f t="shared" si="5"/>
        <v/>
      </c>
      <c r="Y103" t="str">
        <f t="shared" si="6"/>
        <v/>
      </c>
    </row>
    <row r="104">
      <c r="A104" s="14" t="s">
        <v>44</v>
      </c>
      <c r="B104" s="74">
        <v>101.0</v>
      </c>
      <c r="C104" s="38" t="s">
        <v>792</v>
      </c>
      <c r="D104" s="38" t="s">
        <v>7281</v>
      </c>
      <c r="E104" s="51" t="s">
        <v>53</v>
      </c>
      <c r="F104" s="406"/>
      <c r="G104" s="112"/>
      <c r="H104" s="138"/>
      <c r="I104" s="138"/>
      <c r="J104" s="138"/>
      <c r="K104" s="138"/>
      <c r="L104" s="41"/>
      <c r="M104" s="39" t="str">
        <f t="shared" si="10"/>
        <v>jacko'malley@house.mi.gov</v>
      </c>
      <c r="N104" s="41"/>
      <c r="O104" s="41"/>
      <c r="P104" s="41"/>
      <c r="Q104" s="41"/>
      <c r="R104" s="41"/>
      <c r="U104" t="str">
        <f t="shared" si="2"/>
        <v/>
      </c>
      <c r="V104" s="139" t="str">
        <f t="shared" si="3"/>
        <v/>
      </c>
      <c r="W104" t="str">
        <f t="shared" si="4"/>
        <v/>
      </c>
      <c r="X104" t="str">
        <f t="shared" si="5"/>
        <v/>
      </c>
      <c r="Y104" t="str">
        <f t="shared" si="6"/>
        <v/>
      </c>
    </row>
    <row r="105">
      <c r="A105" s="14" t="s">
        <v>44</v>
      </c>
      <c r="B105" s="74">
        <v>102.0</v>
      </c>
      <c r="C105" s="35" t="s">
        <v>3644</v>
      </c>
      <c r="D105" s="35" t="s">
        <v>7284</v>
      </c>
      <c r="E105" s="51" t="s">
        <v>53</v>
      </c>
      <c r="F105" s="406"/>
      <c r="G105" s="112"/>
      <c r="H105" s="138"/>
      <c r="I105" s="138"/>
      <c r="J105" s="138"/>
      <c r="K105" s="138"/>
      <c r="L105" s="136" t="s">
        <v>7285</v>
      </c>
      <c r="M105" s="39" t="str">
        <f t="shared" si="10"/>
        <v>michelehoitenga@house.mi.gov</v>
      </c>
      <c r="N105" s="41"/>
      <c r="O105" s="41"/>
      <c r="P105" s="41"/>
      <c r="Q105" s="41"/>
      <c r="R105" s="41"/>
      <c r="U105" t="str">
        <f t="shared" si="2"/>
        <v/>
      </c>
      <c r="V105" s="139" t="str">
        <f t="shared" si="3"/>
        <v/>
      </c>
      <c r="W105" t="str">
        <f t="shared" si="4"/>
        <v/>
      </c>
      <c r="X105" t="str">
        <f t="shared" si="5"/>
        <v/>
      </c>
      <c r="Y105" t="str">
        <f t="shared" si="6"/>
        <v/>
      </c>
    </row>
    <row r="106">
      <c r="A106" s="14" t="s">
        <v>44</v>
      </c>
      <c r="B106" s="74">
        <v>103.0</v>
      </c>
      <c r="C106" s="35" t="s">
        <v>7287</v>
      </c>
      <c r="D106" s="35" t="s">
        <v>1847</v>
      </c>
      <c r="E106" s="51" t="s">
        <v>53</v>
      </c>
      <c r="F106" s="406"/>
      <c r="G106" s="112"/>
      <c r="H106" s="138"/>
      <c r="I106" s="138"/>
      <c r="J106" s="138"/>
      <c r="K106" s="138"/>
      <c r="L106" s="136" t="s">
        <v>7288</v>
      </c>
      <c r="M106" s="39" t="str">
        <f t="shared" si="10"/>
        <v>dairerendon@house.mi.gov</v>
      </c>
      <c r="N106" s="41"/>
      <c r="O106" s="41"/>
      <c r="P106" s="41"/>
      <c r="Q106" s="41"/>
      <c r="R106" s="41"/>
      <c r="U106" t="str">
        <f t="shared" si="2"/>
        <v/>
      </c>
      <c r="V106" s="139" t="str">
        <f t="shared" si="3"/>
        <v/>
      </c>
      <c r="W106" t="str">
        <f t="shared" si="4"/>
        <v/>
      </c>
      <c r="X106" t="str">
        <f t="shared" si="5"/>
        <v/>
      </c>
      <c r="Y106" t="str">
        <f t="shared" si="6"/>
        <v/>
      </c>
    </row>
    <row r="107">
      <c r="A107" s="14" t="s">
        <v>44</v>
      </c>
      <c r="B107" s="74">
        <v>104.0</v>
      </c>
      <c r="C107" s="35" t="s">
        <v>839</v>
      </c>
      <c r="D107" s="35" t="s">
        <v>7296</v>
      </c>
      <c r="E107" s="51" t="s">
        <v>53</v>
      </c>
      <c r="F107" s="406"/>
      <c r="G107" s="112"/>
      <c r="H107" s="138"/>
      <c r="I107" s="138"/>
      <c r="J107" s="138"/>
      <c r="K107" s="138"/>
      <c r="L107" s="136" t="s">
        <v>7297</v>
      </c>
      <c r="M107" s="39" t="str">
        <f t="shared" si="10"/>
        <v>larryinman@house.mi.gov</v>
      </c>
      <c r="N107" s="41"/>
      <c r="O107" s="41"/>
      <c r="P107" s="41"/>
      <c r="Q107" s="41"/>
      <c r="R107" s="41"/>
      <c r="U107" t="str">
        <f t="shared" si="2"/>
        <v/>
      </c>
      <c r="V107" s="139" t="str">
        <f t="shared" si="3"/>
        <v/>
      </c>
      <c r="W107" t="str">
        <f t="shared" si="4"/>
        <v/>
      </c>
      <c r="X107" t="str">
        <f t="shared" si="5"/>
        <v/>
      </c>
      <c r="Y107" t="str">
        <f t="shared" si="6"/>
        <v/>
      </c>
    </row>
    <row r="108">
      <c r="A108" s="14" t="s">
        <v>44</v>
      </c>
      <c r="B108" s="74">
        <v>105.0</v>
      </c>
      <c r="C108" s="35" t="s">
        <v>7298</v>
      </c>
      <c r="D108" s="35" t="s">
        <v>7299</v>
      </c>
      <c r="E108" s="51" t="s">
        <v>53</v>
      </c>
      <c r="F108" s="406" t="s">
        <v>3235</v>
      </c>
      <c r="G108" s="112"/>
      <c r="H108" s="138"/>
      <c r="I108" s="138"/>
      <c r="J108" s="138"/>
      <c r="K108" s="138"/>
      <c r="L108" s="136" t="s">
        <v>7300</v>
      </c>
      <c r="M108" s="39" t="str">
        <f t="shared" si="10"/>
        <v>tristoncole@house.mi.gov</v>
      </c>
      <c r="N108" s="41"/>
      <c r="O108" s="41"/>
      <c r="P108" s="41"/>
      <c r="Q108" s="41"/>
      <c r="R108" s="41"/>
      <c r="U108" t="str">
        <f t="shared" si="2"/>
        <v>Representative</v>
      </c>
      <c r="V108" s="139" t="str">
        <f t="shared" si="3"/>
        <v>Triston</v>
      </c>
      <c r="W108" t="str">
        <f t="shared" si="4"/>
        <v>Cole</v>
      </c>
      <c r="X108" t="str">
        <f t="shared" si="5"/>
        <v>tristoncole@house.mi.gov</v>
      </c>
      <c r="Y108" t="str">
        <f t="shared" si="6"/>
        <v>Majority Floor Leader</v>
      </c>
    </row>
    <row r="109">
      <c r="A109" s="14" t="s">
        <v>44</v>
      </c>
      <c r="B109" s="74">
        <v>106.0</v>
      </c>
      <c r="C109" s="35" t="s">
        <v>4426</v>
      </c>
      <c r="D109" s="35" t="s">
        <v>7301</v>
      </c>
      <c r="E109" s="51" t="s">
        <v>53</v>
      </c>
      <c r="F109" s="406"/>
      <c r="G109" s="112"/>
      <c r="H109" s="138"/>
      <c r="I109" s="138"/>
      <c r="J109" s="138"/>
      <c r="K109" s="138"/>
      <c r="L109" s="136" t="s">
        <v>7302</v>
      </c>
      <c r="M109" s="39" t="str">
        <f t="shared" si="10"/>
        <v>sueallor@house.mi.gov</v>
      </c>
      <c r="N109" s="41"/>
      <c r="O109" s="41"/>
      <c r="P109" s="41"/>
      <c r="Q109" s="41"/>
      <c r="R109" s="41"/>
      <c r="U109" t="str">
        <f t="shared" si="2"/>
        <v/>
      </c>
      <c r="V109" s="139" t="str">
        <f t="shared" si="3"/>
        <v/>
      </c>
      <c r="W109" t="str">
        <f t="shared" si="4"/>
        <v/>
      </c>
      <c r="X109" t="str">
        <f t="shared" si="5"/>
        <v/>
      </c>
      <c r="Y109" t="str">
        <f t="shared" si="6"/>
        <v/>
      </c>
    </row>
    <row r="110">
      <c r="A110" s="14" t="s">
        <v>44</v>
      </c>
      <c r="B110" s="74">
        <v>107.0</v>
      </c>
      <c r="C110" s="35" t="s">
        <v>629</v>
      </c>
      <c r="D110" s="35" t="s">
        <v>7303</v>
      </c>
      <c r="E110" s="51" t="s">
        <v>53</v>
      </c>
      <c r="F110" s="413" t="s">
        <v>751</v>
      </c>
      <c r="G110" s="112"/>
      <c r="H110" s="138"/>
      <c r="I110" s="138"/>
      <c r="J110" s="138"/>
      <c r="K110" s="138"/>
      <c r="L110" s="136" t="s">
        <v>7304</v>
      </c>
      <c r="M110" s="39" t="str">
        <f t="shared" si="10"/>
        <v>leechatfield@house.mi.gov</v>
      </c>
      <c r="N110" s="41"/>
      <c r="O110" s="41"/>
      <c r="P110" s="41"/>
      <c r="Q110" s="41"/>
      <c r="R110" s="41"/>
      <c r="U110" t="str">
        <f t="shared" si="2"/>
        <v>Representative</v>
      </c>
      <c r="V110" s="139" t="str">
        <f t="shared" si="3"/>
        <v>Lee</v>
      </c>
      <c r="W110" t="str">
        <f t="shared" si="4"/>
        <v>Chatfield</v>
      </c>
      <c r="X110" t="str">
        <f t="shared" si="5"/>
        <v>leechatfield@house.mi.gov</v>
      </c>
      <c r="Y110" t="str">
        <f t="shared" si="6"/>
        <v>Speaker Pro Tempore</v>
      </c>
    </row>
    <row r="111">
      <c r="A111" s="14" t="s">
        <v>44</v>
      </c>
      <c r="B111" s="74">
        <v>108.0</v>
      </c>
      <c r="C111" s="35" t="s">
        <v>4729</v>
      </c>
      <c r="D111" s="35" t="s">
        <v>7305</v>
      </c>
      <c r="E111" s="51" t="s">
        <v>53</v>
      </c>
      <c r="F111" s="406"/>
      <c r="G111" s="112"/>
      <c r="H111" s="138"/>
      <c r="I111" s="138"/>
      <c r="J111" s="138"/>
      <c r="K111" s="138"/>
      <c r="L111" s="136" t="s">
        <v>7306</v>
      </c>
      <c r="M111" s="39" t="str">
        <f t="shared" si="10"/>
        <v>beaulafave@house.mi.gov</v>
      </c>
      <c r="N111" s="41"/>
      <c r="O111" s="41"/>
      <c r="P111" s="41"/>
      <c r="Q111" s="41"/>
      <c r="R111" s="41"/>
      <c r="U111" t="str">
        <f t="shared" si="2"/>
        <v/>
      </c>
      <c r="V111" s="139" t="str">
        <f t="shared" si="3"/>
        <v/>
      </c>
      <c r="W111" t="str">
        <f t="shared" si="4"/>
        <v/>
      </c>
      <c r="X111" t="str">
        <f t="shared" si="5"/>
        <v/>
      </c>
      <c r="Y111" t="str">
        <f t="shared" si="6"/>
        <v/>
      </c>
    </row>
    <row r="112">
      <c r="A112" s="14" t="s">
        <v>44</v>
      </c>
      <c r="B112" s="74">
        <v>109.0</v>
      </c>
      <c r="C112" s="35" t="s">
        <v>171</v>
      </c>
      <c r="D112" s="35" t="s">
        <v>7307</v>
      </c>
      <c r="E112" s="36" t="s">
        <v>49</v>
      </c>
      <c r="F112" s="406"/>
      <c r="G112" s="112"/>
      <c r="H112" s="138"/>
      <c r="I112" s="138"/>
      <c r="J112" s="138"/>
      <c r="K112" s="138"/>
      <c r="L112" s="136" t="s">
        <v>7308</v>
      </c>
      <c r="M112" s="39" t="str">
        <f t="shared" si="10"/>
        <v>saracambensy@house.mi.gov</v>
      </c>
      <c r="N112" s="41"/>
      <c r="O112" s="41"/>
      <c r="P112" s="41"/>
      <c r="Q112" s="41"/>
      <c r="R112" s="41"/>
      <c r="U112" t="str">
        <f t="shared" si="2"/>
        <v/>
      </c>
      <c r="V112" s="139" t="str">
        <f t="shared" si="3"/>
        <v/>
      </c>
      <c r="W112" t="str">
        <f t="shared" si="4"/>
        <v/>
      </c>
      <c r="X112" t="str">
        <f t="shared" si="5"/>
        <v/>
      </c>
      <c r="Y112" t="str">
        <f t="shared" si="6"/>
        <v/>
      </c>
    </row>
    <row r="113">
      <c r="A113" s="14" t="s">
        <v>44</v>
      </c>
      <c r="B113" s="74">
        <v>110.0</v>
      </c>
      <c r="C113" s="38" t="s">
        <v>823</v>
      </c>
      <c r="D113" s="38" t="s">
        <v>7309</v>
      </c>
      <c r="E113" s="51" t="s">
        <v>53</v>
      </c>
      <c r="F113" s="406"/>
      <c r="G113" s="112"/>
      <c r="H113" s="138"/>
      <c r="I113" s="138"/>
      <c r="J113" s="138"/>
      <c r="K113" s="138"/>
      <c r="L113" s="41"/>
      <c r="M113" s="39" t="str">
        <f t="shared" si="10"/>
        <v>gregorymarkkanen@house.mi.gov</v>
      </c>
      <c r="N113" s="41"/>
      <c r="O113" s="41"/>
      <c r="P113" s="41"/>
      <c r="Q113" s="41"/>
      <c r="R113" s="41"/>
      <c r="U113" t="str">
        <f t="shared" si="2"/>
        <v/>
      </c>
      <c r="V113" s="139" t="str">
        <f t="shared" si="3"/>
        <v/>
      </c>
      <c r="W113" t="str">
        <f t="shared" si="4"/>
        <v/>
      </c>
      <c r="X113" t="str">
        <f t="shared" si="5"/>
        <v/>
      </c>
      <c r="Y113" t="str">
        <f t="shared" si="6"/>
        <v/>
      </c>
    </row>
    <row r="114">
      <c r="A114" s="70"/>
      <c r="B114" s="71"/>
      <c r="C114" s="71"/>
      <c r="D114" s="71"/>
      <c r="E114" s="70"/>
      <c r="F114" s="417"/>
      <c r="G114" s="70"/>
      <c r="H114" s="70"/>
      <c r="I114" s="70"/>
      <c r="J114" s="70"/>
      <c r="K114" s="70"/>
      <c r="L114" s="70"/>
      <c r="M114" s="70"/>
      <c r="N114" s="70"/>
      <c r="O114" s="70"/>
      <c r="P114" s="70"/>
      <c r="Q114" s="70"/>
      <c r="R114" s="70"/>
      <c r="S114" s="70"/>
      <c r="T114" s="70"/>
      <c r="U114" s="70"/>
      <c r="V114" s="70"/>
      <c r="W114" s="70"/>
      <c r="X114" s="70"/>
      <c r="Y114" s="70"/>
      <c r="Z114" s="70"/>
      <c r="AA114" s="70"/>
      <c r="AB114" s="70"/>
      <c r="AC114" s="70"/>
      <c r="AD114" s="70"/>
    </row>
    <row r="115">
      <c r="A115" s="14" t="s">
        <v>286</v>
      </c>
      <c r="B115" s="74">
        <v>1.0</v>
      </c>
      <c r="C115" s="38" t="s">
        <v>2254</v>
      </c>
      <c r="D115" s="38" t="s">
        <v>2199</v>
      </c>
      <c r="E115" s="36" t="s">
        <v>49</v>
      </c>
      <c r="F115" s="563" t="s">
        <v>7188</v>
      </c>
      <c r="G115" s="31"/>
      <c r="L115" s="41"/>
      <c r="M115" s="39" t="str">
        <f t="shared" ref="M115:M152" si="11">Concatenate("sen",Lower(left(C115,1)),Lower(D115),"@senate.mi.gov")</f>
        <v>senschang@senate.mi.gov</v>
      </c>
      <c r="N115" s="267" t="str">
        <f>HYPERLINK("https://docs.google.com/document/d/1f1RExX7jQ7VL6W1PfZhkWU4loyop6rh3U87ISwHDGt0/edit","Zero")</f>
        <v>Zero</v>
      </c>
      <c r="O115" s="41"/>
      <c r="P115" s="41"/>
      <c r="Q115" s="41"/>
      <c r="R115" s="41"/>
      <c r="T115" s="564"/>
      <c r="U115" t="str">
        <f t="shared" ref="U115:U152" si="12">if(V115="","",if(A115="House","Representative","Senator"))</f>
        <v/>
      </c>
      <c r="V115" s="139" t="str">
        <f t="shared" ref="V115:V152" si="13">if(or(isblank(F115),isnumber(search("minority",F115))),"",C115)</f>
        <v/>
      </c>
      <c r="W115" t="str">
        <f t="shared" ref="W115:W152" si="14">if(V115="","",D115)</f>
        <v/>
      </c>
      <c r="X115" t="str">
        <f t="shared" ref="X115:X152" si="15">if(W115="","",M115)</f>
        <v/>
      </c>
      <c r="Y115" t="str">
        <f t="shared" ref="Y115:Y152" si="16">if(X115="","",if(isblank($F115),$G115,$F115))</f>
        <v/>
      </c>
    </row>
    <row r="116">
      <c r="A116" s="14" t="s">
        <v>286</v>
      </c>
      <c r="B116" s="74">
        <v>2.0</v>
      </c>
      <c r="C116" s="266" t="s">
        <v>69</v>
      </c>
      <c r="D116" s="266" t="s">
        <v>7310</v>
      </c>
      <c r="E116" s="36" t="s">
        <v>49</v>
      </c>
      <c r="F116" s="565"/>
      <c r="G116" s="566"/>
      <c r="L116" s="136" t="s">
        <v>7311</v>
      </c>
      <c r="M116" s="39" t="str">
        <f t="shared" si="11"/>
        <v>senahollier@senate.mi.gov</v>
      </c>
      <c r="N116" s="41"/>
      <c r="O116" s="41"/>
      <c r="P116" s="41"/>
      <c r="Q116" s="41"/>
      <c r="R116" s="41"/>
      <c r="T116" s="564"/>
      <c r="U116" t="str">
        <f t="shared" si="12"/>
        <v/>
      </c>
      <c r="V116" s="139" t="str">
        <f t="shared" si="13"/>
        <v/>
      </c>
      <c r="W116" t="str">
        <f t="shared" si="14"/>
        <v/>
      </c>
      <c r="X116" t="str">
        <f t="shared" si="15"/>
        <v/>
      </c>
      <c r="Y116" t="str">
        <f t="shared" si="16"/>
        <v/>
      </c>
    </row>
    <row r="117">
      <c r="A117" s="14" t="s">
        <v>286</v>
      </c>
      <c r="B117" s="74">
        <v>3.0</v>
      </c>
      <c r="C117" s="38" t="s">
        <v>1192</v>
      </c>
      <c r="D117" s="38" t="s">
        <v>7312</v>
      </c>
      <c r="E117" s="36" t="s">
        <v>49</v>
      </c>
      <c r="F117" s="563"/>
      <c r="G117" s="31"/>
      <c r="L117" s="41"/>
      <c r="M117" s="39" t="str">
        <f t="shared" si="11"/>
        <v>senssatana@senate.mi.gov</v>
      </c>
      <c r="N117" s="41"/>
      <c r="O117" s="41"/>
      <c r="P117" s="41"/>
      <c r="Q117" s="41"/>
      <c r="R117" s="41"/>
      <c r="T117" s="564"/>
      <c r="U117" t="str">
        <f t="shared" si="12"/>
        <v/>
      </c>
      <c r="V117" s="139" t="str">
        <f t="shared" si="13"/>
        <v/>
      </c>
      <c r="W117" t="str">
        <f t="shared" si="14"/>
        <v/>
      </c>
      <c r="X117" t="str">
        <f t="shared" si="15"/>
        <v/>
      </c>
      <c r="Y117" t="str">
        <f t="shared" si="16"/>
        <v/>
      </c>
    </row>
    <row r="118">
      <c r="A118" s="14" t="s">
        <v>286</v>
      </c>
      <c r="B118" s="74">
        <v>4.0</v>
      </c>
      <c r="C118" s="38" t="s">
        <v>1150</v>
      </c>
      <c r="D118" s="38" t="s">
        <v>7313</v>
      </c>
      <c r="E118" s="36" t="s">
        <v>49</v>
      </c>
      <c r="F118" s="563"/>
      <c r="G118" s="31"/>
      <c r="L118" s="41"/>
      <c r="M118" s="39" t="str">
        <f t="shared" si="11"/>
        <v>senmbullock@senate.mi.gov</v>
      </c>
      <c r="N118" s="41"/>
      <c r="O118" s="41"/>
      <c r="P118" s="41"/>
      <c r="Q118" s="41"/>
      <c r="R118" s="41"/>
      <c r="T118" s="564"/>
      <c r="U118" t="str">
        <f t="shared" si="12"/>
        <v/>
      </c>
      <c r="V118" s="139" t="str">
        <f t="shared" si="13"/>
        <v/>
      </c>
      <c r="W118" t="str">
        <f t="shared" si="14"/>
        <v/>
      </c>
      <c r="X118" t="str">
        <f t="shared" si="15"/>
        <v/>
      </c>
      <c r="Y118" t="str">
        <f t="shared" si="16"/>
        <v/>
      </c>
    </row>
    <row r="119">
      <c r="A119" s="14" t="s">
        <v>286</v>
      </c>
      <c r="B119" s="74">
        <v>5.0</v>
      </c>
      <c r="C119" s="38" t="s">
        <v>3369</v>
      </c>
      <c r="D119" s="38" t="s">
        <v>505</v>
      </c>
      <c r="E119" s="36" t="s">
        <v>49</v>
      </c>
      <c r="F119" s="563"/>
      <c r="G119" s="31"/>
      <c r="L119" s="41"/>
      <c r="M119" s="39" t="str">
        <f t="shared" si="11"/>
        <v>senbalexander@senate.mi.gov</v>
      </c>
      <c r="N119" s="41"/>
      <c r="O119" s="41"/>
      <c r="P119" s="41"/>
      <c r="Q119" s="41"/>
      <c r="R119" s="41"/>
      <c r="T119" s="564"/>
      <c r="U119" t="str">
        <f t="shared" si="12"/>
        <v/>
      </c>
      <c r="V119" s="139" t="str">
        <f t="shared" si="13"/>
        <v/>
      </c>
      <c r="W119" t="str">
        <f t="shared" si="14"/>
        <v/>
      </c>
      <c r="X119" t="str">
        <f t="shared" si="15"/>
        <v/>
      </c>
      <c r="Y119" t="str">
        <f t="shared" si="16"/>
        <v/>
      </c>
    </row>
    <row r="120">
      <c r="A120" s="14" t="s">
        <v>286</v>
      </c>
      <c r="B120" s="74">
        <v>6.0</v>
      </c>
      <c r="C120" s="38" t="s">
        <v>3312</v>
      </c>
      <c r="D120" s="38" t="s">
        <v>7314</v>
      </c>
      <c r="E120" s="36" t="s">
        <v>49</v>
      </c>
      <c r="F120" s="563"/>
      <c r="G120" s="31"/>
      <c r="L120" s="41"/>
      <c r="M120" s="39" t="str">
        <f t="shared" si="11"/>
        <v>senegeiss@senate.mi.gov</v>
      </c>
      <c r="N120" s="41"/>
      <c r="O120" s="41"/>
      <c r="P120" s="41"/>
      <c r="Q120" s="41"/>
      <c r="R120" s="41"/>
      <c r="T120" s="564"/>
      <c r="U120" t="str">
        <f t="shared" si="12"/>
        <v/>
      </c>
      <c r="V120" s="139" t="str">
        <f t="shared" si="13"/>
        <v/>
      </c>
      <c r="W120" t="str">
        <f t="shared" si="14"/>
        <v/>
      </c>
      <c r="X120" t="str">
        <f t="shared" si="15"/>
        <v/>
      </c>
      <c r="Y120" t="str">
        <f t="shared" si="16"/>
        <v/>
      </c>
    </row>
    <row r="121">
      <c r="A121" s="14" t="s">
        <v>286</v>
      </c>
      <c r="B121" s="74">
        <v>7.0</v>
      </c>
      <c r="C121" s="38" t="s">
        <v>7315</v>
      </c>
      <c r="D121" s="38" t="s">
        <v>7316</v>
      </c>
      <c r="E121" s="36" t="s">
        <v>49</v>
      </c>
      <c r="F121" s="563"/>
      <c r="G121" s="31"/>
      <c r="L121" s="41"/>
      <c r="M121" s="39" t="str">
        <f t="shared" si="11"/>
        <v>sendplehanki@senate.mi.gov</v>
      </c>
      <c r="N121" s="41"/>
      <c r="O121" s="41"/>
      <c r="P121" s="41"/>
      <c r="Q121" s="41"/>
      <c r="R121" s="41"/>
      <c r="T121" s="564"/>
      <c r="U121" t="str">
        <f t="shared" si="12"/>
        <v/>
      </c>
      <c r="V121" s="139" t="str">
        <f t="shared" si="13"/>
        <v/>
      </c>
      <c r="W121" t="str">
        <f t="shared" si="14"/>
        <v/>
      </c>
      <c r="X121" t="str">
        <f t="shared" si="15"/>
        <v/>
      </c>
      <c r="Y121" t="str">
        <f t="shared" si="16"/>
        <v/>
      </c>
    </row>
    <row r="122">
      <c r="A122" s="14" t="s">
        <v>286</v>
      </c>
      <c r="B122" s="74">
        <v>8.0</v>
      </c>
      <c r="C122" s="38" t="s">
        <v>367</v>
      </c>
      <c r="D122" s="38" t="s">
        <v>7317</v>
      </c>
      <c r="E122" s="51" t="s">
        <v>53</v>
      </c>
      <c r="F122" s="563" t="s">
        <v>1188</v>
      </c>
      <c r="G122" s="164" t="s">
        <v>877</v>
      </c>
      <c r="L122" s="41"/>
      <c r="M122" s="39" t="str">
        <f t="shared" si="11"/>
        <v>senplucido@senate.mi.gov</v>
      </c>
      <c r="N122" s="41"/>
      <c r="O122" s="41"/>
      <c r="P122" s="41"/>
      <c r="Q122" s="41"/>
      <c r="R122" s="41"/>
      <c r="T122" s="564"/>
      <c r="U122" t="str">
        <f t="shared" si="12"/>
        <v>Senator</v>
      </c>
      <c r="V122" s="139" t="str">
        <f t="shared" si="13"/>
        <v>Peter</v>
      </c>
      <c r="W122" t="str">
        <f t="shared" si="14"/>
        <v>Lucido</v>
      </c>
      <c r="X122" t="str">
        <f t="shared" si="15"/>
        <v>senplucido@senate.mi.gov</v>
      </c>
      <c r="Y122" t="str">
        <f t="shared" si="16"/>
        <v>Majority Whip</v>
      </c>
    </row>
    <row r="123">
      <c r="A123" s="14" t="s">
        <v>286</v>
      </c>
      <c r="B123" s="74">
        <v>9.0</v>
      </c>
      <c r="C123" s="38" t="s">
        <v>679</v>
      </c>
      <c r="D123" s="38" t="s">
        <v>7318</v>
      </c>
      <c r="E123" s="36" t="s">
        <v>49</v>
      </c>
      <c r="F123" s="563"/>
      <c r="G123" s="31"/>
      <c r="L123" s="41"/>
      <c r="M123" s="39" t="str">
        <f t="shared" si="11"/>
        <v>senpwojno@senate.mi.gov</v>
      </c>
      <c r="N123" s="41"/>
      <c r="O123" s="41"/>
      <c r="P123" s="41"/>
      <c r="Q123" s="41"/>
      <c r="R123" s="41"/>
      <c r="T123" s="564"/>
      <c r="U123" t="str">
        <f t="shared" si="12"/>
        <v/>
      </c>
      <c r="V123" s="139" t="str">
        <f t="shared" si="13"/>
        <v/>
      </c>
      <c r="W123" t="str">
        <f t="shared" si="14"/>
        <v/>
      </c>
      <c r="X123" t="str">
        <f t="shared" si="15"/>
        <v/>
      </c>
      <c r="Y123" t="str">
        <f t="shared" si="16"/>
        <v/>
      </c>
    </row>
    <row r="124">
      <c r="A124" s="14" t="s">
        <v>286</v>
      </c>
      <c r="B124" s="74">
        <v>10.0</v>
      </c>
      <c r="C124" s="38" t="s">
        <v>2490</v>
      </c>
      <c r="D124" s="38" t="s">
        <v>7319</v>
      </c>
      <c r="E124" s="51" t="s">
        <v>53</v>
      </c>
      <c r="F124" s="563"/>
      <c r="G124" s="31"/>
      <c r="L124" s="41"/>
      <c r="M124" s="39" t="str">
        <f t="shared" si="11"/>
        <v>senmmacdonald@senate.mi.gov</v>
      </c>
      <c r="N124" s="41"/>
      <c r="O124" s="41"/>
      <c r="P124" s="41"/>
      <c r="Q124" s="41"/>
      <c r="R124" s="41"/>
      <c r="T124" s="564"/>
      <c r="U124" t="str">
        <f t="shared" si="12"/>
        <v/>
      </c>
      <c r="V124" s="139" t="str">
        <f t="shared" si="13"/>
        <v/>
      </c>
      <c r="W124" t="str">
        <f t="shared" si="14"/>
        <v/>
      </c>
      <c r="X124" t="str">
        <f t="shared" si="15"/>
        <v/>
      </c>
      <c r="Y124" t="str">
        <f t="shared" si="16"/>
        <v/>
      </c>
    </row>
    <row r="125">
      <c r="A125" s="14" t="s">
        <v>286</v>
      </c>
      <c r="B125" s="74">
        <v>11.0</v>
      </c>
      <c r="C125" s="38" t="s">
        <v>657</v>
      </c>
      <c r="D125" s="38" t="s">
        <v>5796</v>
      </c>
      <c r="E125" s="36" t="s">
        <v>49</v>
      </c>
      <c r="F125" s="563"/>
      <c r="G125" s="31"/>
      <c r="L125" s="41"/>
      <c r="M125" s="39" t="str">
        <f t="shared" si="11"/>
        <v>senjmoss@senate.mi.gov</v>
      </c>
      <c r="N125" s="41"/>
      <c r="O125" s="41"/>
      <c r="P125" s="41"/>
      <c r="Q125" s="41"/>
      <c r="R125" s="41"/>
      <c r="T125" s="564"/>
      <c r="U125" t="str">
        <f t="shared" si="12"/>
        <v/>
      </c>
      <c r="V125" s="139" t="str">
        <f t="shared" si="13"/>
        <v/>
      </c>
      <c r="W125" t="str">
        <f t="shared" si="14"/>
        <v/>
      </c>
      <c r="X125" t="str">
        <f t="shared" si="15"/>
        <v/>
      </c>
      <c r="Y125" t="str">
        <f t="shared" si="16"/>
        <v/>
      </c>
    </row>
    <row r="126">
      <c r="A126" s="14" t="s">
        <v>286</v>
      </c>
      <c r="B126" s="74">
        <v>12.0</v>
      </c>
      <c r="C126" s="38" t="s">
        <v>7320</v>
      </c>
      <c r="D126" s="38" t="s">
        <v>4228</v>
      </c>
      <c r="E126" s="36" t="s">
        <v>49</v>
      </c>
      <c r="F126" s="563"/>
      <c r="G126" s="31"/>
      <c r="L126" s="41"/>
      <c r="M126" s="39" t="str">
        <f t="shared" si="11"/>
        <v>senrbayer@senate.mi.gov</v>
      </c>
      <c r="N126" s="41"/>
      <c r="O126" s="41"/>
      <c r="P126" s="41"/>
      <c r="Q126" s="41"/>
      <c r="R126" s="41"/>
      <c r="T126" s="564"/>
      <c r="U126" t="str">
        <f t="shared" si="12"/>
        <v/>
      </c>
      <c r="V126" s="139" t="str">
        <f t="shared" si="13"/>
        <v/>
      </c>
      <c r="W126" t="str">
        <f t="shared" si="14"/>
        <v/>
      </c>
      <c r="X126" t="str">
        <f t="shared" si="15"/>
        <v/>
      </c>
      <c r="Y126" t="str">
        <f t="shared" si="16"/>
        <v/>
      </c>
    </row>
    <row r="127">
      <c r="A127" s="14" t="s">
        <v>286</v>
      </c>
      <c r="B127" s="74">
        <v>13.0</v>
      </c>
      <c r="C127" s="38" t="s">
        <v>7321</v>
      </c>
      <c r="D127" s="38" t="s">
        <v>7322</v>
      </c>
      <c r="E127" s="36" t="s">
        <v>49</v>
      </c>
      <c r="F127" s="563"/>
      <c r="G127" s="31"/>
      <c r="L127" s="136" t="s">
        <v>7323</v>
      </c>
      <c r="M127" s="39" t="str">
        <f t="shared" si="11"/>
        <v>senmmcmorrow@senate.mi.gov</v>
      </c>
      <c r="N127" s="41"/>
      <c r="O127" s="41"/>
      <c r="P127" s="41"/>
      <c r="Q127" s="41"/>
      <c r="R127" s="41"/>
      <c r="T127" s="564"/>
      <c r="U127" t="str">
        <f t="shared" si="12"/>
        <v/>
      </c>
      <c r="V127" s="139" t="str">
        <f t="shared" si="13"/>
        <v/>
      </c>
      <c r="W127" t="str">
        <f t="shared" si="14"/>
        <v/>
      </c>
      <c r="X127" t="str">
        <f t="shared" si="15"/>
        <v/>
      </c>
      <c r="Y127" t="str">
        <f t="shared" si="16"/>
        <v/>
      </c>
    </row>
    <row r="128">
      <c r="A128" s="14" t="s">
        <v>286</v>
      </c>
      <c r="B128" s="74">
        <v>14.0</v>
      </c>
      <c r="C128" s="38" t="s">
        <v>2779</v>
      </c>
      <c r="D128" s="38" t="s">
        <v>118</v>
      </c>
      <c r="E128" s="51" t="s">
        <v>53</v>
      </c>
      <c r="F128" s="563"/>
      <c r="G128" s="31"/>
      <c r="L128" s="41"/>
      <c r="M128" s="39" t="str">
        <f t="shared" si="11"/>
        <v>senrjohnson@senate.mi.gov</v>
      </c>
      <c r="N128" s="41"/>
      <c r="O128" s="41"/>
      <c r="P128" s="41"/>
      <c r="Q128" s="41"/>
      <c r="R128" s="41"/>
      <c r="T128" s="564"/>
      <c r="U128" t="str">
        <f t="shared" si="12"/>
        <v/>
      </c>
      <c r="V128" s="139" t="str">
        <f t="shared" si="13"/>
        <v/>
      </c>
      <c r="W128" t="str">
        <f t="shared" si="14"/>
        <v/>
      </c>
      <c r="X128" t="str">
        <f t="shared" si="15"/>
        <v/>
      </c>
      <c r="Y128" t="str">
        <f t="shared" si="16"/>
        <v/>
      </c>
    </row>
    <row r="129">
      <c r="A129" s="14" t="s">
        <v>286</v>
      </c>
      <c r="B129" s="74">
        <v>15.0</v>
      </c>
      <c r="C129" s="38" t="s">
        <v>476</v>
      </c>
      <c r="D129" s="38" t="s">
        <v>7324</v>
      </c>
      <c r="E129" s="51" t="s">
        <v>53</v>
      </c>
      <c r="F129" s="563"/>
      <c r="G129" s="31"/>
      <c r="L129" s="41"/>
      <c r="M129" s="39" t="str">
        <f t="shared" si="11"/>
        <v>senjrunestad@senate.mi.gov</v>
      </c>
      <c r="N129" s="41"/>
      <c r="O129" s="41"/>
      <c r="P129" s="41"/>
      <c r="Q129" s="41"/>
      <c r="R129" s="41"/>
      <c r="T129" s="564"/>
      <c r="U129" t="str">
        <f t="shared" si="12"/>
        <v/>
      </c>
      <c r="V129" s="139" t="str">
        <f t="shared" si="13"/>
        <v/>
      </c>
      <c r="W129" t="str">
        <f t="shared" si="14"/>
        <v/>
      </c>
      <c r="X129" t="str">
        <f t="shared" si="15"/>
        <v/>
      </c>
      <c r="Y129" t="str">
        <f t="shared" si="16"/>
        <v/>
      </c>
    </row>
    <row r="130">
      <c r="A130" s="14" t="s">
        <v>286</v>
      </c>
      <c r="B130" s="74">
        <v>16.0</v>
      </c>
      <c r="C130" s="38" t="s">
        <v>157</v>
      </c>
      <c r="D130" s="38" t="s">
        <v>7325</v>
      </c>
      <c r="E130" s="51" t="s">
        <v>53</v>
      </c>
      <c r="F130" s="567" t="s">
        <v>176</v>
      </c>
      <c r="G130" s="31"/>
      <c r="L130" s="41"/>
      <c r="M130" s="39" t="str">
        <f t="shared" si="11"/>
        <v>senmshirkey@senate.mi.gov</v>
      </c>
      <c r="N130" s="41"/>
      <c r="O130" s="41"/>
      <c r="P130" s="41"/>
      <c r="Q130" s="41"/>
      <c r="R130" s="41"/>
      <c r="T130" s="564"/>
      <c r="U130" t="str">
        <f t="shared" si="12"/>
        <v>Senator</v>
      </c>
      <c r="V130" s="139" t="str">
        <f t="shared" si="13"/>
        <v>Mike</v>
      </c>
      <c r="W130" t="str">
        <f t="shared" si="14"/>
        <v>Shirkey</v>
      </c>
      <c r="X130" t="str">
        <f t="shared" si="15"/>
        <v>senmshirkey@senate.mi.gov</v>
      </c>
      <c r="Y130" t="str">
        <f t="shared" si="16"/>
        <v>Majority Leader</v>
      </c>
    </row>
    <row r="131">
      <c r="A131" s="14" t="s">
        <v>286</v>
      </c>
      <c r="B131" s="74">
        <v>17.0</v>
      </c>
      <c r="C131" s="38" t="s">
        <v>3296</v>
      </c>
      <c r="D131" s="38" t="s">
        <v>7326</v>
      </c>
      <c r="E131" s="51" t="s">
        <v>53</v>
      </c>
      <c r="F131" s="563"/>
      <c r="G131" s="31"/>
      <c r="L131" s="41"/>
      <c r="M131" s="39" t="str">
        <f t="shared" si="11"/>
        <v>sendzorn@senate.mi.gov</v>
      </c>
      <c r="N131" s="41"/>
      <c r="O131" s="41"/>
      <c r="P131" s="41"/>
      <c r="Q131" s="41"/>
      <c r="R131" s="41"/>
      <c r="T131" s="564"/>
      <c r="U131" t="str">
        <f t="shared" si="12"/>
        <v/>
      </c>
      <c r="V131" s="139" t="str">
        <f t="shared" si="13"/>
        <v/>
      </c>
      <c r="W131" t="str">
        <f t="shared" si="14"/>
        <v/>
      </c>
      <c r="X131" t="str">
        <f t="shared" si="15"/>
        <v/>
      </c>
      <c r="Y131" t="str">
        <f t="shared" si="16"/>
        <v/>
      </c>
    </row>
    <row r="132">
      <c r="A132" s="14" t="s">
        <v>286</v>
      </c>
      <c r="B132" s="74">
        <v>18.0</v>
      </c>
      <c r="C132" s="38" t="s">
        <v>683</v>
      </c>
      <c r="D132" s="38" t="s">
        <v>1656</v>
      </c>
      <c r="E132" s="36" t="s">
        <v>49</v>
      </c>
      <c r="F132" s="563"/>
      <c r="G132" s="31"/>
      <c r="L132" s="41"/>
      <c r="M132" s="39" t="str">
        <f t="shared" si="11"/>
        <v>senjirwin@senate.mi.gov</v>
      </c>
      <c r="N132" s="41"/>
      <c r="O132" s="41"/>
      <c r="P132" s="41"/>
      <c r="Q132" s="41"/>
      <c r="R132" s="41"/>
      <c r="T132" s="564"/>
      <c r="U132" t="str">
        <f t="shared" si="12"/>
        <v/>
      </c>
      <c r="V132" s="139" t="str">
        <f t="shared" si="13"/>
        <v/>
      </c>
      <c r="W132" t="str">
        <f t="shared" si="14"/>
        <v/>
      </c>
      <c r="X132" t="str">
        <f t="shared" si="15"/>
        <v/>
      </c>
      <c r="Y132" t="str">
        <f t="shared" si="16"/>
        <v/>
      </c>
    </row>
    <row r="133">
      <c r="A133" s="14" t="s">
        <v>286</v>
      </c>
      <c r="B133" s="74">
        <v>19.0</v>
      </c>
      <c r="C133" s="38" t="s">
        <v>278</v>
      </c>
      <c r="D133" s="38" t="s">
        <v>7327</v>
      </c>
      <c r="E133" s="51" t="s">
        <v>53</v>
      </c>
      <c r="F133" s="563" t="s">
        <v>1693</v>
      </c>
      <c r="G133" s="31"/>
      <c r="L133" s="41"/>
      <c r="M133" s="39" t="str">
        <f t="shared" si="11"/>
        <v>senjbizon@senate.mi.gov</v>
      </c>
      <c r="N133" s="41"/>
      <c r="O133" s="41"/>
      <c r="P133" s="41"/>
      <c r="Q133" s="41"/>
      <c r="R133" s="41"/>
      <c r="T133" s="564"/>
      <c r="U133" t="str">
        <f t="shared" si="12"/>
        <v>Senator</v>
      </c>
      <c r="V133" s="139" t="str">
        <f t="shared" si="13"/>
        <v>John</v>
      </c>
      <c r="W133" t="str">
        <f t="shared" si="14"/>
        <v>Bizon</v>
      </c>
      <c r="X133" t="str">
        <f t="shared" si="15"/>
        <v>senjbizon@senate.mi.gov</v>
      </c>
      <c r="Y133" t="str">
        <f t="shared" si="16"/>
        <v>Assistant Majority Whip</v>
      </c>
    </row>
    <row r="134">
      <c r="A134" s="14" t="s">
        <v>286</v>
      </c>
      <c r="B134" s="74">
        <v>20.0</v>
      </c>
      <c r="C134" s="38" t="s">
        <v>1276</v>
      </c>
      <c r="D134" s="38" t="s">
        <v>7328</v>
      </c>
      <c r="E134" s="36" t="s">
        <v>49</v>
      </c>
      <c r="F134" s="563"/>
      <c r="G134" s="31"/>
      <c r="L134" s="41"/>
      <c r="M134" s="39" t="str">
        <f t="shared" si="11"/>
        <v>sensmccann@senate.mi.gov</v>
      </c>
      <c r="N134" s="41"/>
      <c r="O134" s="41"/>
      <c r="P134" s="41"/>
      <c r="Q134" s="41"/>
      <c r="R134" s="41"/>
      <c r="T134" s="564"/>
      <c r="U134" t="str">
        <f t="shared" si="12"/>
        <v/>
      </c>
      <c r="V134" s="139" t="str">
        <f t="shared" si="13"/>
        <v/>
      </c>
      <c r="W134" t="str">
        <f t="shared" si="14"/>
        <v/>
      </c>
      <c r="X134" t="str">
        <f t="shared" si="15"/>
        <v/>
      </c>
      <c r="Y134" t="str">
        <f t="shared" si="16"/>
        <v/>
      </c>
    </row>
    <row r="135">
      <c r="A135" s="14" t="s">
        <v>286</v>
      </c>
      <c r="B135" s="74">
        <v>21.0</v>
      </c>
      <c r="C135" s="38" t="s">
        <v>1973</v>
      </c>
      <c r="D135" s="38" t="s">
        <v>7329</v>
      </c>
      <c r="E135" s="51" t="s">
        <v>53</v>
      </c>
      <c r="F135" s="563"/>
      <c r="G135" s="31"/>
      <c r="L135" s="41"/>
      <c r="M135" s="39" t="str">
        <f t="shared" si="11"/>
        <v>senklasata@senate.mi.gov</v>
      </c>
      <c r="N135" s="41"/>
      <c r="O135" s="41"/>
      <c r="P135" s="41"/>
      <c r="Q135" s="41"/>
      <c r="R135" s="41"/>
      <c r="T135" s="564"/>
      <c r="U135" t="str">
        <f t="shared" si="12"/>
        <v/>
      </c>
      <c r="V135" s="139" t="str">
        <f t="shared" si="13"/>
        <v/>
      </c>
      <c r="W135" t="str">
        <f t="shared" si="14"/>
        <v/>
      </c>
      <c r="X135" t="str">
        <f t="shared" si="15"/>
        <v/>
      </c>
      <c r="Y135" t="str">
        <f t="shared" si="16"/>
        <v/>
      </c>
    </row>
    <row r="136">
      <c r="A136" s="14" t="s">
        <v>286</v>
      </c>
      <c r="B136" s="74">
        <v>22.0</v>
      </c>
      <c r="C136" s="38" t="s">
        <v>7330</v>
      </c>
      <c r="D136" s="38" t="s">
        <v>7331</v>
      </c>
      <c r="E136" s="51" t="s">
        <v>53</v>
      </c>
      <c r="F136" s="563" t="s">
        <v>7332</v>
      </c>
      <c r="G136" s="31"/>
      <c r="L136" s="41"/>
      <c r="M136" s="39" t="str">
        <f t="shared" si="11"/>
        <v>senltheis@senate.mi.gov</v>
      </c>
      <c r="N136" s="41"/>
      <c r="O136" s="41"/>
      <c r="P136" s="41"/>
      <c r="Q136" s="41"/>
      <c r="R136" s="41"/>
      <c r="T136" s="564"/>
      <c r="U136" t="str">
        <f t="shared" si="12"/>
        <v>Senator</v>
      </c>
      <c r="V136" s="139" t="str">
        <f t="shared" si="13"/>
        <v>Lana</v>
      </c>
      <c r="W136" t="str">
        <f t="shared" si="14"/>
        <v>Theis</v>
      </c>
      <c r="X136" t="str">
        <f t="shared" si="15"/>
        <v>senltheis@senate.mi.gov</v>
      </c>
      <c r="Y136" t="str">
        <f t="shared" si="16"/>
        <v>Assistant President Pro Tem</v>
      </c>
    </row>
    <row r="137">
      <c r="A137" s="14" t="s">
        <v>286</v>
      </c>
      <c r="B137" s="74">
        <v>23.0</v>
      </c>
      <c r="C137" s="38" t="s">
        <v>4099</v>
      </c>
      <c r="D137" s="38" t="s">
        <v>7087</v>
      </c>
      <c r="E137" s="36" t="s">
        <v>49</v>
      </c>
      <c r="F137" s="563"/>
      <c r="G137" s="31"/>
      <c r="L137" s="41"/>
      <c r="M137" s="39" t="str">
        <f t="shared" si="11"/>
        <v>senchertel@senate.mi.gov</v>
      </c>
      <c r="N137" s="41"/>
      <c r="O137" s="41"/>
      <c r="P137" s="41"/>
      <c r="Q137" s="41"/>
      <c r="R137" s="41"/>
      <c r="T137" s="564"/>
      <c r="U137" t="str">
        <f t="shared" si="12"/>
        <v/>
      </c>
      <c r="V137" s="139" t="str">
        <f t="shared" si="13"/>
        <v/>
      </c>
      <c r="W137" t="str">
        <f t="shared" si="14"/>
        <v/>
      </c>
      <c r="X137" t="str">
        <f t="shared" si="15"/>
        <v/>
      </c>
      <c r="Y137" t="str">
        <f t="shared" si="16"/>
        <v/>
      </c>
    </row>
    <row r="138">
      <c r="A138" s="14" t="s">
        <v>286</v>
      </c>
      <c r="B138" s="74">
        <v>24.0</v>
      </c>
      <c r="C138" s="38" t="s">
        <v>338</v>
      </c>
      <c r="D138" s="38" t="s">
        <v>4745</v>
      </c>
      <c r="E138" s="51" t="s">
        <v>53</v>
      </c>
      <c r="F138" s="563"/>
      <c r="G138" s="31"/>
      <c r="L138" s="41"/>
      <c r="M138" s="39" t="str">
        <f t="shared" si="11"/>
        <v>sentbarrett@senate.mi.gov</v>
      </c>
      <c r="N138" s="41"/>
      <c r="O138" s="41"/>
      <c r="P138" s="41"/>
      <c r="Q138" s="41"/>
      <c r="R138" s="41"/>
      <c r="T138" s="564"/>
      <c r="U138" t="str">
        <f t="shared" si="12"/>
        <v/>
      </c>
      <c r="V138" s="139" t="str">
        <f t="shared" si="13"/>
        <v/>
      </c>
      <c r="W138" t="str">
        <f t="shared" si="14"/>
        <v/>
      </c>
      <c r="X138" t="str">
        <f t="shared" si="15"/>
        <v/>
      </c>
      <c r="Y138" t="str">
        <f t="shared" si="16"/>
        <v/>
      </c>
    </row>
    <row r="139">
      <c r="A139" s="14" t="s">
        <v>286</v>
      </c>
      <c r="B139" s="74">
        <v>25.0</v>
      </c>
      <c r="C139" s="38" t="s">
        <v>239</v>
      </c>
      <c r="D139" s="38" t="s">
        <v>7333</v>
      </c>
      <c r="E139" s="51" t="s">
        <v>53</v>
      </c>
      <c r="F139" s="563" t="s">
        <v>7162</v>
      </c>
      <c r="G139" s="31"/>
      <c r="L139" s="41"/>
      <c r="M139" s="39" t="str">
        <f t="shared" si="11"/>
        <v>sendlauwer@senate.mi.gov</v>
      </c>
      <c r="N139" s="41"/>
      <c r="O139" s="41"/>
      <c r="P139" s="41"/>
      <c r="Q139" s="41"/>
      <c r="R139" s="41"/>
      <c r="T139" s="564"/>
      <c r="U139" t="str">
        <f t="shared" si="12"/>
        <v>Senator</v>
      </c>
      <c r="V139" s="139" t="str">
        <f t="shared" si="13"/>
        <v>Dan</v>
      </c>
      <c r="W139" t="str">
        <f t="shared" si="14"/>
        <v>Lauwer</v>
      </c>
      <c r="X139" t="str">
        <f t="shared" si="15"/>
        <v>sendlauwer@senate.mi.gov</v>
      </c>
      <c r="Y139" t="str">
        <f t="shared" si="16"/>
        <v>Assistant Majority Floor Leader</v>
      </c>
    </row>
    <row r="140">
      <c r="A140" s="14" t="s">
        <v>286</v>
      </c>
      <c r="B140" s="74">
        <v>26.0</v>
      </c>
      <c r="C140" s="38" t="s">
        <v>7334</v>
      </c>
      <c r="D140" s="38" t="s">
        <v>7335</v>
      </c>
      <c r="E140" s="51" t="s">
        <v>53</v>
      </c>
      <c r="F140" s="563" t="s">
        <v>7336</v>
      </c>
      <c r="G140" s="31"/>
      <c r="L140" s="41"/>
      <c r="M140" s="39" t="str">
        <f t="shared" si="11"/>
        <v>senanesbitt@senate.mi.gov</v>
      </c>
      <c r="N140" s="41"/>
      <c r="O140" s="41"/>
      <c r="P140" s="41"/>
      <c r="Q140" s="41"/>
      <c r="R140" s="41"/>
      <c r="T140" s="564"/>
      <c r="U140" t="str">
        <f t="shared" si="12"/>
        <v>Senator</v>
      </c>
      <c r="V140" s="139" t="str">
        <f t="shared" si="13"/>
        <v>Aric</v>
      </c>
      <c r="W140" t="str">
        <f t="shared" si="14"/>
        <v>Nesbitt</v>
      </c>
      <c r="X140" t="str">
        <f t="shared" si="15"/>
        <v>senanesbitt@senate.mi.gov</v>
      </c>
      <c r="Y140" t="str">
        <f t="shared" si="16"/>
        <v>President Pro Tem</v>
      </c>
    </row>
    <row r="141">
      <c r="A141" s="14" t="s">
        <v>286</v>
      </c>
      <c r="B141" s="74">
        <v>27.0</v>
      </c>
      <c r="C141" s="35" t="s">
        <v>476</v>
      </c>
      <c r="D141" s="35" t="s">
        <v>7337</v>
      </c>
      <c r="E141" s="36" t="s">
        <v>49</v>
      </c>
      <c r="F141" s="567" t="s">
        <v>498</v>
      </c>
      <c r="G141" s="31"/>
      <c r="L141" s="136" t="s">
        <v>7338</v>
      </c>
      <c r="M141" s="39" t="str">
        <f t="shared" si="11"/>
        <v>senjananich@senate.mi.gov</v>
      </c>
      <c r="N141" s="41"/>
      <c r="O141" s="41"/>
      <c r="P141" s="41"/>
      <c r="Q141" s="41"/>
      <c r="R141" s="41"/>
      <c r="T141" s="564"/>
      <c r="U141" t="str">
        <f t="shared" si="12"/>
        <v/>
      </c>
      <c r="V141" s="139" t="str">
        <f t="shared" si="13"/>
        <v/>
      </c>
      <c r="W141" t="str">
        <f t="shared" si="14"/>
        <v/>
      </c>
      <c r="X141" t="str">
        <f t="shared" si="15"/>
        <v/>
      </c>
      <c r="Y141" t="str">
        <f t="shared" si="16"/>
        <v/>
      </c>
    </row>
    <row r="142">
      <c r="A142" s="14" t="s">
        <v>286</v>
      </c>
      <c r="B142" s="74">
        <v>28.0</v>
      </c>
      <c r="C142" s="35" t="s">
        <v>367</v>
      </c>
      <c r="D142" s="35" t="s">
        <v>7339</v>
      </c>
      <c r="E142" s="51" t="s">
        <v>53</v>
      </c>
      <c r="F142" s="563" t="s">
        <v>3235</v>
      </c>
      <c r="G142" s="31"/>
      <c r="L142" s="41"/>
      <c r="M142" s="39" t="str">
        <f t="shared" si="11"/>
        <v>senpmacgregor@senate.mi.gov</v>
      </c>
      <c r="N142" s="41"/>
      <c r="O142" s="41"/>
      <c r="P142" s="41"/>
      <c r="Q142" s="41"/>
      <c r="R142" s="41"/>
      <c r="T142" s="564"/>
      <c r="U142" t="str">
        <f t="shared" si="12"/>
        <v>Senator</v>
      </c>
      <c r="V142" s="139" t="str">
        <f t="shared" si="13"/>
        <v>Peter</v>
      </c>
      <c r="W142" t="str">
        <f t="shared" si="14"/>
        <v>MacGregor</v>
      </c>
      <c r="X142" t="str">
        <f t="shared" si="15"/>
        <v>senpmacgregor@senate.mi.gov</v>
      </c>
      <c r="Y142" t="str">
        <f t="shared" si="16"/>
        <v>Majority Floor Leader</v>
      </c>
    </row>
    <row r="143">
      <c r="A143" s="14" t="s">
        <v>286</v>
      </c>
      <c r="B143" s="74">
        <v>29.0</v>
      </c>
      <c r="C143" s="38" t="s">
        <v>7340</v>
      </c>
      <c r="D143" s="38" t="s">
        <v>7341</v>
      </c>
      <c r="E143" s="36" t="s">
        <v>49</v>
      </c>
      <c r="F143" s="563"/>
      <c r="G143" s="31"/>
      <c r="L143" s="41"/>
      <c r="M143" s="39" t="str">
        <f t="shared" si="11"/>
        <v>senwbrinks@senate.mi.gov</v>
      </c>
      <c r="N143" s="41"/>
      <c r="O143" s="41"/>
      <c r="P143" s="41"/>
      <c r="Q143" s="41"/>
      <c r="R143" s="41"/>
      <c r="T143" s="564"/>
      <c r="U143" t="str">
        <f t="shared" si="12"/>
        <v/>
      </c>
      <c r="V143" s="139" t="str">
        <f t="shared" si="13"/>
        <v/>
      </c>
      <c r="W143" t="str">
        <f t="shared" si="14"/>
        <v/>
      </c>
      <c r="X143" t="str">
        <f t="shared" si="15"/>
        <v/>
      </c>
      <c r="Y143" t="str">
        <f t="shared" si="16"/>
        <v/>
      </c>
    </row>
    <row r="144">
      <c r="A144" s="14" t="s">
        <v>286</v>
      </c>
      <c r="B144" s="74">
        <v>30.0</v>
      </c>
      <c r="C144" s="38" t="s">
        <v>1040</v>
      </c>
      <c r="D144" s="38" t="s">
        <v>7342</v>
      </c>
      <c r="E144" s="51" t="s">
        <v>53</v>
      </c>
      <c r="F144" s="563"/>
      <c r="G144" s="31"/>
      <c r="L144" s="41"/>
      <c r="M144" s="39" t="str">
        <f t="shared" si="11"/>
        <v>senrvictory@senate.mi.gov</v>
      </c>
      <c r="N144" s="41"/>
      <c r="O144" s="41"/>
      <c r="P144" s="41"/>
      <c r="Q144" s="41"/>
      <c r="R144" s="41"/>
      <c r="T144" s="564"/>
      <c r="U144" t="str">
        <f t="shared" si="12"/>
        <v/>
      </c>
      <c r="V144" s="139" t="str">
        <f t="shared" si="13"/>
        <v/>
      </c>
      <c r="W144" t="str">
        <f t="shared" si="14"/>
        <v/>
      </c>
      <c r="X144" t="str">
        <f t="shared" si="15"/>
        <v/>
      </c>
      <c r="Y144" t="str">
        <f t="shared" si="16"/>
        <v/>
      </c>
    </row>
    <row r="145">
      <c r="A145" s="14" t="s">
        <v>286</v>
      </c>
      <c r="B145" s="74">
        <v>31.0</v>
      </c>
      <c r="C145" s="38" t="s">
        <v>971</v>
      </c>
      <c r="D145" s="38" t="s">
        <v>7343</v>
      </c>
      <c r="E145" s="51" t="s">
        <v>53</v>
      </c>
      <c r="F145" s="563"/>
      <c r="G145" s="31"/>
      <c r="L145" s="41"/>
      <c r="M145" s="39" t="str">
        <f t="shared" si="11"/>
        <v>senkdaley@senate.mi.gov</v>
      </c>
      <c r="N145" s="41"/>
      <c r="O145" s="41"/>
      <c r="P145" s="41"/>
      <c r="Q145" s="41"/>
      <c r="R145" s="41"/>
      <c r="T145" s="564"/>
      <c r="U145" t="str">
        <f t="shared" si="12"/>
        <v/>
      </c>
      <c r="V145" s="139" t="str">
        <f t="shared" si="13"/>
        <v/>
      </c>
      <c r="W145" t="str">
        <f t="shared" si="14"/>
        <v/>
      </c>
      <c r="X145" t="str">
        <f t="shared" si="15"/>
        <v/>
      </c>
      <c r="Y145" t="str">
        <f t="shared" si="16"/>
        <v/>
      </c>
    </row>
    <row r="146">
      <c r="A146" s="14" t="s">
        <v>286</v>
      </c>
      <c r="B146" s="74">
        <v>32.0</v>
      </c>
      <c r="C146" s="38" t="s">
        <v>1049</v>
      </c>
      <c r="D146" s="38" t="s">
        <v>4897</v>
      </c>
      <c r="E146" s="51" t="s">
        <v>53</v>
      </c>
      <c r="F146" s="563"/>
      <c r="G146" s="31"/>
      <c r="L146" s="41"/>
      <c r="M146" s="39" t="str">
        <f t="shared" si="11"/>
        <v>senkhorn@senate.mi.gov</v>
      </c>
      <c r="N146" s="41"/>
      <c r="O146" s="41"/>
      <c r="P146" s="41"/>
      <c r="Q146" s="41"/>
      <c r="R146" s="41"/>
      <c r="T146" s="564"/>
      <c r="U146" t="str">
        <f t="shared" si="12"/>
        <v/>
      </c>
      <c r="V146" s="139" t="str">
        <f t="shared" si="13"/>
        <v/>
      </c>
      <c r="W146" t="str">
        <f t="shared" si="14"/>
        <v/>
      </c>
      <c r="X146" t="str">
        <f t="shared" si="15"/>
        <v/>
      </c>
      <c r="Y146" t="str">
        <f t="shared" si="16"/>
        <v/>
      </c>
    </row>
    <row r="147">
      <c r="A147" s="14" t="s">
        <v>286</v>
      </c>
      <c r="B147" s="74">
        <v>33.0</v>
      </c>
      <c r="C147" s="38" t="s">
        <v>1291</v>
      </c>
      <c r="D147" s="38" t="s">
        <v>7344</v>
      </c>
      <c r="E147" s="51" t="s">
        <v>53</v>
      </c>
      <c r="F147" s="563"/>
      <c r="G147" s="31"/>
      <c r="L147" s="41"/>
      <c r="M147" s="39" t="str">
        <f t="shared" si="11"/>
        <v>senroutman@senate.mi.gov</v>
      </c>
      <c r="N147" s="41"/>
      <c r="O147" s="41"/>
      <c r="P147" s="41"/>
      <c r="Q147" s="41"/>
      <c r="R147" s="41"/>
      <c r="T147" s="564"/>
      <c r="U147" t="str">
        <f t="shared" si="12"/>
        <v/>
      </c>
      <c r="V147" s="139" t="str">
        <f t="shared" si="13"/>
        <v/>
      </c>
      <c r="W147" t="str">
        <f t="shared" si="14"/>
        <v/>
      </c>
      <c r="X147" t="str">
        <f t="shared" si="15"/>
        <v/>
      </c>
      <c r="Y147" t="str">
        <f t="shared" si="16"/>
        <v/>
      </c>
    </row>
    <row r="148">
      <c r="A148" s="14" t="s">
        <v>286</v>
      </c>
      <c r="B148" s="74">
        <v>34.0</v>
      </c>
      <c r="C148" s="38" t="s">
        <v>1387</v>
      </c>
      <c r="D148" s="38" t="s">
        <v>7345</v>
      </c>
      <c r="E148" s="51" t="s">
        <v>53</v>
      </c>
      <c r="F148" s="563"/>
      <c r="G148" s="31"/>
      <c r="L148" s="41"/>
      <c r="M148" s="39" t="str">
        <f t="shared" si="11"/>
        <v>senjbumstead@senate.mi.gov</v>
      </c>
      <c r="N148" s="41"/>
      <c r="O148" s="41"/>
      <c r="P148" s="41"/>
      <c r="Q148" s="41"/>
      <c r="R148" s="41"/>
      <c r="T148" s="564"/>
      <c r="U148" t="str">
        <f t="shared" si="12"/>
        <v/>
      </c>
      <c r="V148" s="139" t="str">
        <f t="shared" si="13"/>
        <v/>
      </c>
      <c r="W148" t="str">
        <f t="shared" si="14"/>
        <v/>
      </c>
      <c r="X148" t="str">
        <f t="shared" si="15"/>
        <v/>
      </c>
      <c r="Y148" t="str">
        <f t="shared" si="16"/>
        <v/>
      </c>
    </row>
    <row r="149">
      <c r="A149" s="14" t="s">
        <v>286</v>
      </c>
      <c r="B149" s="74">
        <v>35.0</v>
      </c>
      <c r="C149" s="38" t="s">
        <v>4657</v>
      </c>
      <c r="D149" s="38" t="s">
        <v>7346</v>
      </c>
      <c r="E149" s="51" t="s">
        <v>53</v>
      </c>
      <c r="F149" s="563"/>
      <c r="G149" s="31"/>
      <c r="L149" s="41"/>
      <c r="M149" s="39" t="str">
        <f t="shared" si="11"/>
        <v>sencvanderwall@senate.mi.gov</v>
      </c>
      <c r="N149" s="41"/>
      <c r="O149" s="41"/>
      <c r="P149" s="41"/>
      <c r="Q149" s="41"/>
      <c r="R149" s="41"/>
      <c r="T149" s="564"/>
      <c r="U149" t="str">
        <f t="shared" si="12"/>
        <v/>
      </c>
      <c r="V149" s="139" t="str">
        <f t="shared" si="13"/>
        <v/>
      </c>
      <c r="W149" t="str">
        <f t="shared" si="14"/>
        <v/>
      </c>
      <c r="X149" t="str">
        <f t="shared" si="15"/>
        <v/>
      </c>
      <c r="Y149" t="str">
        <f t="shared" si="16"/>
        <v/>
      </c>
    </row>
    <row r="150">
      <c r="A150" s="14" t="s">
        <v>286</v>
      </c>
      <c r="B150" s="74">
        <v>36.0</v>
      </c>
      <c r="C150" s="38" t="s">
        <v>476</v>
      </c>
      <c r="D150" s="38" t="s">
        <v>7347</v>
      </c>
      <c r="E150" s="51" t="s">
        <v>53</v>
      </c>
      <c r="F150" s="563"/>
      <c r="G150" s="31"/>
      <c r="L150" s="41"/>
      <c r="M150" s="39" t="str">
        <f t="shared" si="11"/>
        <v>senjstamass@senate.mi.gov</v>
      </c>
      <c r="N150" s="41"/>
      <c r="O150" s="41"/>
      <c r="P150" s="41"/>
      <c r="Q150" s="41"/>
      <c r="R150" s="41"/>
      <c r="T150" s="564"/>
      <c r="U150" t="str">
        <f t="shared" si="12"/>
        <v/>
      </c>
      <c r="V150" s="139" t="str">
        <f t="shared" si="13"/>
        <v/>
      </c>
      <c r="W150" t="str">
        <f t="shared" si="14"/>
        <v/>
      </c>
      <c r="X150" t="str">
        <f t="shared" si="15"/>
        <v/>
      </c>
      <c r="Y150" t="str">
        <f t="shared" si="16"/>
        <v/>
      </c>
    </row>
    <row r="151">
      <c r="A151" s="14" t="s">
        <v>286</v>
      </c>
      <c r="B151" s="74">
        <v>37.0</v>
      </c>
      <c r="C151" s="38" t="s">
        <v>6418</v>
      </c>
      <c r="D151" s="38" t="s">
        <v>5543</v>
      </c>
      <c r="E151" s="51" t="s">
        <v>53</v>
      </c>
      <c r="F151" s="563" t="s">
        <v>1479</v>
      </c>
      <c r="G151" s="31"/>
      <c r="L151" s="41"/>
      <c r="M151" s="39" t="str">
        <f t="shared" si="11"/>
        <v>senwschmidt@senate.mi.gov</v>
      </c>
      <c r="N151" s="41"/>
      <c r="O151" s="41"/>
      <c r="P151" s="41"/>
      <c r="Q151" s="41"/>
      <c r="R151" s="41"/>
      <c r="T151" s="564"/>
      <c r="U151" t="str">
        <f t="shared" si="12"/>
        <v>Senator</v>
      </c>
      <c r="V151" s="139" t="str">
        <f t="shared" si="13"/>
        <v>Wayne</v>
      </c>
      <c r="W151" t="str">
        <f t="shared" si="14"/>
        <v>Schmidt</v>
      </c>
      <c r="X151" t="str">
        <f t="shared" si="15"/>
        <v>senwschmidt@senate.mi.gov</v>
      </c>
      <c r="Y151" t="str">
        <f t="shared" si="16"/>
        <v>Assistant Majority Leader</v>
      </c>
    </row>
    <row r="152">
      <c r="A152" s="14" t="s">
        <v>286</v>
      </c>
      <c r="B152" s="74">
        <v>38.0</v>
      </c>
      <c r="C152" s="38" t="s">
        <v>636</v>
      </c>
      <c r="D152" s="38" t="s">
        <v>7348</v>
      </c>
      <c r="E152" s="51" t="s">
        <v>53</v>
      </c>
      <c r="F152" s="563"/>
      <c r="G152" s="31"/>
      <c r="L152" s="41"/>
      <c r="M152" s="39" t="str">
        <f t="shared" si="11"/>
        <v>senemcbroom@senate.mi.gov</v>
      </c>
      <c r="N152" s="41"/>
      <c r="O152" s="41"/>
      <c r="P152" s="41"/>
      <c r="Q152" s="41"/>
      <c r="R152" s="41"/>
      <c r="T152" s="564"/>
      <c r="U152" t="str">
        <f t="shared" si="12"/>
        <v/>
      </c>
      <c r="V152" s="139" t="str">
        <f t="shared" si="13"/>
        <v/>
      </c>
      <c r="W152" t="str">
        <f t="shared" si="14"/>
        <v/>
      </c>
      <c r="X152" t="str">
        <f t="shared" si="15"/>
        <v/>
      </c>
      <c r="Y152" t="str">
        <f t="shared" si="16"/>
        <v/>
      </c>
    </row>
    <row r="153">
      <c r="A153" s="70"/>
      <c r="B153" s="71"/>
      <c r="C153" s="71"/>
      <c r="D153" s="71"/>
      <c r="E153" s="70"/>
      <c r="F153" s="417"/>
      <c r="G153" s="70"/>
      <c r="H153" s="70"/>
      <c r="I153" s="70"/>
      <c r="J153" s="70"/>
      <c r="K153" s="70"/>
      <c r="L153" s="70"/>
      <c r="M153" s="70"/>
      <c r="N153" s="70"/>
      <c r="O153" s="70"/>
      <c r="P153" s="70"/>
      <c r="Q153" s="70"/>
      <c r="R153" s="70"/>
      <c r="S153" s="70"/>
      <c r="T153" s="70"/>
      <c r="U153" s="70"/>
      <c r="V153" s="70"/>
      <c r="W153" s="70"/>
      <c r="X153" s="70"/>
      <c r="Y153" s="70"/>
      <c r="Z153" s="70"/>
      <c r="AA153" s="70"/>
      <c r="AB153" s="70"/>
      <c r="AC153" s="70"/>
      <c r="AD153" s="70"/>
    </row>
    <row r="154">
      <c r="A154" s="14" t="s">
        <v>421</v>
      </c>
      <c r="B154" s="139"/>
      <c r="C154" s="77" t="s">
        <v>7349</v>
      </c>
      <c r="D154" s="77" t="s">
        <v>7350</v>
      </c>
      <c r="E154" s="14" t="s">
        <v>49</v>
      </c>
      <c r="F154" s="426"/>
      <c r="L154" s="41"/>
      <c r="M154" s="41"/>
      <c r="N154" s="41"/>
      <c r="O154" s="41"/>
      <c r="P154" s="41"/>
      <c r="Q154" s="41"/>
      <c r="R154" s="41"/>
    </row>
    <row r="155">
      <c r="A155" s="14" t="s">
        <v>7351</v>
      </c>
      <c r="B155" s="139"/>
      <c r="C155" s="77" t="s">
        <v>7352</v>
      </c>
      <c r="D155" s="77" t="s">
        <v>7353</v>
      </c>
      <c r="E155" s="14" t="s">
        <v>49</v>
      </c>
      <c r="F155" s="126" t="s">
        <v>291</v>
      </c>
      <c r="L155" s="41"/>
      <c r="M155" s="41"/>
      <c r="N155" s="41"/>
      <c r="O155" s="41"/>
      <c r="P155" s="41"/>
      <c r="Q155" s="41"/>
      <c r="R155" s="41"/>
    </row>
    <row r="156">
      <c r="A156" s="70"/>
      <c r="B156" s="71"/>
      <c r="C156" s="71"/>
      <c r="D156" s="71"/>
      <c r="E156" s="70"/>
      <c r="F156" s="417"/>
      <c r="G156" s="70"/>
      <c r="H156" s="70"/>
      <c r="I156" s="70"/>
      <c r="J156" s="70"/>
      <c r="K156" s="70"/>
      <c r="L156" s="70"/>
      <c r="M156" s="70"/>
      <c r="N156" s="70"/>
      <c r="O156" s="70"/>
      <c r="P156" s="70"/>
      <c r="Q156" s="70"/>
      <c r="R156" s="70"/>
      <c r="S156" s="70"/>
      <c r="T156" s="70"/>
      <c r="U156" s="70"/>
      <c r="V156" s="70"/>
      <c r="W156" s="70"/>
      <c r="X156" s="70"/>
      <c r="Y156" s="70"/>
      <c r="Z156" s="70"/>
      <c r="AA156" s="70"/>
      <c r="AB156" s="70"/>
      <c r="AC156" s="70"/>
      <c r="AD156" s="70"/>
    </row>
    <row r="157">
      <c r="A157" s="14" t="s">
        <v>427</v>
      </c>
      <c r="B157" s="77">
        <v>1.0</v>
      </c>
      <c r="C157" s="77" t="s">
        <v>792</v>
      </c>
      <c r="D157" s="77" t="s">
        <v>7354</v>
      </c>
      <c r="E157" s="14" t="s">
        <v>53</v>
      </c>
      <c r="F157" s="426"/>
      <c r="L157" s="41"/>
      <c r="M157" s="41"/>
      <c r="N157" s="41"/>
      <c r="O157" s="41"/>
      <c r="P157" s="41"/>
      <c r="Q157" s="41"/>
      <c r="R157" s="41"/>
    </row>
    <row r="158">
      <c r="A158" s="14" t="s">
        <v>427</v>
      </c>
      <c r="B158" s="77">
        <v>2.0</v>
      </c>
      <c r="C158" s="77" t="s">
        <v>325</v>
      </c>
      <c r="D158" s="77" t="s">
        <v>7229</v>
      </c>
      <c r="E158" s="14" t="s">
        <v>53</v>
      </c>
      <c r="F158" s="426"/>
      <c r="L158" s="41"/>
      <c r="M158" s="41"/>
      <c r="N158" s="41"/>
      <c r="O158" s="41"/>
      <c r="P158" s="41"/>
      <c r="Q158" s="41"/>
      <c r="R158" s="41"/>
    </row>
    <row r="159">
      <c r="A159" s="14" t="s">
        <v>427</v>
      </c>
      <c r="B159" s="77">
        <v>3.0</v>
      </c>
      <c r="C159" s="77" t="s">
        <v>786</v>
      </c>
      <c r="D159" s="77" t="s">
        <v>7355</v>
      </c>
      <c r="E159" s="14" t="s">
        <v>53</v>
      </c>
      <c r="F159" s="426"/>
      <c r="L159" s="41"/>
      <c r="M159" s="41"/>
      <c r="N159" s="41"/>
      <c r="O159" s="41"/>
      <c r="P159" s="41"/>
      <c r="Q159" s="41"/>
      <c r="R159" s="41"/>
    </row>
    <row r="160">
      <c r="A160" s="14" t="s">
        <v>427</v>
      </c>
      <c r="B160" s="77">
        <v>4.0</v>
      </c>
      <c r="C160" s="77" t="s">
        <v>278</v>
      </c>
      <c r="D160" s="77" t="s">
        <v>7356</v>
      </c>
      <c r="E160" s="14" t="s">
        <v>53</v>
      </c>
      <c r="F160" s="426"/>
      <c r="L160" s="41"/>
      <c r="M160" s="41"/>
      <c r="N160" s="41"/>
      <c r="O160" s="41"/>
      <c r="P160" s="41"/>
      <c r="Q160" s="41"/>
      <c r="R160" s="41"/>
    </row>
    <row r="161">
      <c r="A161" s="14" t="s">
        <v>427</v>
      </c>
      <c r="B161" s="77">
        <v>5.0</v>
      </c>
      <c r="C161" s="77" t="s">
        <v>552</v>
      </c>
      <c r="D161" s="77" t="s">
        <v>7357</v>
      </c>
      <c r="E161" s="14" t="s">
        <v>49</v>
      </c>
      <c r="F161" s="426"/>
      <c r="L161" s="41"/>
      <c r="M161" s="41"/>
      <c r="N161" s="41"/>
      <c r="O161" s="41"/>
      <c r="P161" s="41"/>
      <c r="Q161" s="41"/>
      <c r="R161" s="41"/>
    </row>
    <row r="162">
      <c r="A162" s="14" t="s">
        <v>427</v>
      </c>
      <c r="B162" s="77">
        <v>6.0</v>
      </c>
      <c r="C162" s="77" t="s">
        <v>1242</v>
      </c>
      <c r="D162" s="77" t="s">
        <v>7358</v>
      </c>
      <c r="E162" s="14" t="s">
        <v>53</v>
      </c>
      <c r="F162" s="426"/>
      <c r="L162" s="41"/>
      <c r="M162" s="41"/>
      <c r="N162" s="41"/>
      <c r="O162" s="41"/>
      <c r="P162" s="41"/>
      <c r="Q162" s="41"/>
      <c r="R162" s="41"/>
    </row>
    <row r="163">
      <c r="A163" s="14" t="s">
        <v>427</v>
      </c>
      <c r="B163" s="77">
        <v>7.0</v>
      </c>
      <c r="C163" s="77" t="s">
        <v>225</v>
      </c>
      <c r="D163" s="77" t="s">
        <v>7359</v>
      </c>
      <c r="E163" s="14" t="s">
        <v>53</v>
      </c>
      <c r="F163" s="426"/>
      <c r="L163" s="41"/>
      <c r="M163" s="41"/>
      <c r="N163" s="41"/>
      <c r="O163" s="41"/>
      <c r="P163" s="41"/>
      <c r="Q163" s="41"/>
      <c r="R163" s="41"/>
    </row>
    <row r="164">
      <c r="A164" s="14" t="s">
        <v>427</v>
      </c>
      <c r="B164" s="77">
        <v>8.0</v>
      </c>
      <c r="C164" s="77" t="s">
        <v>7360</v>
      </c>
      <c r="D164" s="77" t="s">
        <v>7361</v>
      </c>
      <c r="E164" s="14" t="s">
        <v>49</v>
      </c>
      <c r="F164" s="426"/>
      <c r="L164" s="41"/>
      <c r="M164" s="41"/>
      <c r="N164" s="41"/>
      <c r="O164" s="41"/>
      <c r="P164" s="41"/>
      <c r="Q164" s="41"/>
      <c r="R164" s="41"/>
    </row>
    <row r="165">
      <c r="A165" s="14" t="s">
        <v>427</v>
      </c>
      <c r="B165" s="77">
        <v>9.0</v>
      </c>
      <c r="C165" s="77" t="s">
        <v>109</v>
      </c>
      <c r="D165" s="77" t="s">
        <v>2351</v>
      </c>
      <c r="E165" s="14" t="s">
        <v>49</v>
      </c>
      <c r="F165" s="426"/>
      <c r="L165" s="41"/>
      <c r="M165" s="41"/>
      <c r="N165" s="41"/>
      <c r="O165" s="41"/>
      <c r="P165" s="41"/>
      <c r="Q165" s="41"/>
      <c r="R165" s="41"/>
    </row>
    <row r="166">
      <c r="A166" s="14" t="s">
        <v>427</v>
      </c>
      <c r="B166" s="77">
        <v>10.0</v>
      </c>
      <c r="C166" s="77" t="s">
        <v>679</v>
      </c>
      <c r="D166" s="77" t="s">
        <v>2206</v>
      </c>
      <c r="E166" s="14" t="s">
        <v>53</v>
      </c>
      <c r="F166" s="426"/>
      <c r="L166" s="41"/>
      <c r="M166" s="41"/>
      <c r="N166" s="41"/>
      <c r="O166" s="41"/>
      <c r="P166" s="41"/>
      <c r="Q166" s="41"/>
      <c r="R166" s="41"/>
    </row>
    <row r="167">
      <c r="A167" s="14" t="s">
        <v>427</v>
      </c>
      <c r="B167" s="77">
        <v>11.0</v>
      </c>
      <c r="C167" s="77" t="s">
        <v>5393</v>
      </c>
      <c r="D167" s="77" t="s">
        <v>378</v>
      </c>
      <c r="E167" s="14" t="s">
        <v>49</v>
      </c>
      <c r="F167" s="426"/>
      <c r="L167" s="41"/>
      <c r="M167" s="41"/>
      <c r="N167" s="41"/>
      <c r="O167" s="41"/>
      <c r="P167" s="41"/>
      <c r="Q167" s="41"/>
      <c r="R167" s="41"/>
    </row>
    <row r="168">
      <c r="A168" s="14" t="s">
        <v>427</v>
      </c>
      <c r="B168" s="77">
        <v>12.0</v>
      </c>
      <c r="C168" s="77" t="s">
        <v>425</v>
      </c>
      <c r="D168" s="77" t="s">
        <v>7362</v>
      </c>
      <c r="E168" s="14" t="s">
        <v>49</v>
      </c>
      <c r="F168" s="426"/>
      <c r="L168" s="41"/>
      <c r="M168" s="41"/>
      <c r="N168" s="41"/>
      <c r="O168" s="41"/>
      <c r="P168" s="41"/>
      <c r="Q168" s="41"/>
      <c r="R168" s="41"/>
    </row>
    <row r="169">
      <c r="A169" s="14" t="s">
        <v>427</v>
      </c>
      <c r="B169" s="77">
        <v>13.0</v>
      </c>
      <c r="C169" s="77" t="s">
        <v>7363</v>
      </c>
      <c r="D169" s="77" t="s">
        <v>7364</v>
      </c>
      <c r="E169" s="14" t="s">
        <v>49</v>
      </c>
      <c r="F169" s="426"/>
      <c r="L169" s="41"/>
      <c r="M169" s="41"/>
      <c r="N169" s="41"/>
      <c r="O169" s="41"/>
      <c r="P169" s="41"/>
      <c r="Q169" s="41"/>
      <c r="R169" s="41"/>
    </row>
    <row r="170">
      <c r="A170" s="14" t="s">
        <v>427</v>
      </c>
      <c r="B170" s="77">
        <v>14.0</v>
      </c>
      <c r="C170" s="77" t="s">
        <v>2755</v>
      </c>
      <c r="D170" s="77" t="s">
        <v>572</v>
      </c>
      <c r="E170" s="14" t="s">
        <v>49</v>
      </c>
      <c r="F170" s="426"/>
      <c r="L170" s="41"/>
      <c r="M170" s="41"/>
      <c r="N170" s="41"/>
      <c r="O170" s="41"/>
      <c r="P170" s="41"/>
      <c r="Q170" s="41"/>
      <c r="R170" s="41"/>
    </row>
    <row r="171">
      <c r="A171" s="70"/>
      <c r="B171" s="71"/>
      <c r="C171" s="71"/>
      <c r="D171" s="71"/>
      <c r="E171" s="70"/>
      <c r="F171" s="417"/>
      <c r="G171" s="70"/>
      <c r="H171" s="70"/>
      <c r="I171" s="70"/>
      <c r="J171" s="70"/>
      <c r="K171" s="70"/>
      <c r="L171" s="70"/>
      <c r="M171" s="70"/>
      <c r="N171" s="70"/>
      <c r="O171" s="70"/>
      <c r="P171" s="70"/>
      <c r="Q171" s="70"/>
      <c r="R171" s="70"/>
      <c r="S171" s="70"/>
      <c r="T171" s="70"/>
      <c r="U171" s="70"/>
      <c r="V171" s="70"/>
      <c r="W171" s="70"/>
      <c r="X171" s="70"/>
      <c r="Y171" s="70"/>
      <c r="Z171" s="70"/>
      <c r="AA171" s="70"/>
      <c r="AB171" s="70"/>
      <c r="AC171" s="70"/>
      <c r="AD171" s="70"/>
    </row>
    <row r="172">
      <c r="A172" s="14" t="s">
        <v>430</v>
      </c>
      <c r="B172" s="77" t="s">
        <v>431</v>
      </c>
      <c r="C172" s="77" t="s">
        <v>199</v>
      </c>
      <c r="D172" s="77" t="s">
        <v>2358</v>
      </c>
      <c r="E172" s="14" t="s">
        <v>49</v>
      </c>
      <c r="F172" s="426"/>
      <c r="L172" s="41"/>
      <c r="M172" s="41"/>
      <c r="N172" s="41"/>
      <c r="O172" s="41"/>
      <c r="P172" s="41"/>
      <c r="Q172" s="41"/>
      <c r="R172" s="41"/>
    </row>
    <row r="173">
      <c r="A173" s="14" t="s">
        <v>430</v>
      </c>
      <c r="B173" s="77" t="s">
        <v>434</v>
      </c>
      <c r="C173" s="77" t="s">
        <v>425</v>
      </c>
      <c r="D173" s="77" t="s">
        <v>7365</v>
      </c>
      <c r="E173" s="14" t="s">
        <v>49</v>
      </c>
      <c r="F173" s="426"/>
      <c r="L173" s="41"/>
      <c r="M173" s="41"/>
      <c r="N173" s="41"/>
      <c r="O173" s="41"/>
      <c r="P173" s="41"/>
      <c r="Q173" s="41"/>
      <c r="R173" s="41"/>
    </row>
    <row r="174">
      <c r="A174" s="70"/>
      <c r="B174" s="71"/>
      <c r="C174" s="71"/>
      <c r="D174" s="71"/>
      <c r="E174" s="70"/>
      <c r="F174" s="417"/>
      <c r="G174" s="70"/>
      <c r="H174" s="70"/>
      <c r="I174" s="70"/>
      <c r="J174" s="70"/>
      <c r="K174" s="70"/>
      <c r="L174" s="70"/>
      <c r="M174" s="70"/>
      <c r="N174" s="70"/>
      <c r="O174" s="70"/>
      <c r="P174" s="70"/>
      <c r="Q174" s="70"/>
      <c r="R174" s="70"/>
      <c r="S174" s="70"/>
      <c r="T174" s="70"/>
      <c r="U174" s="70"/>
      <c r="V174" s="70"/>
      <c r="W174" s="70"/>
      <c r="X174" s="70"/>
      <c r="Y174" s="70"/>
      <c r="Z174" s="70"/>
      <c r="AA174" s="70"/>
      <c r="AB174" s="70"/>
      <c r="AC174" s="70"/>
      <c r="AD174" s="70"/>
    </row>
    <row r="175">
      <c r="A175" s="14" t="s">
        <v>438</v>
      </c>
      <c r="B175" s="139"/>
      <c r="C175" s="77" t="s">
        <v>6243</v>
      </c>
      <c r="D175" s="77" t="s">
        <v>7366</v>
      </c>
      <c r="E175" s="14" t="s">
        <v>49</v>
      </c>
      <c r="F175" s="426"/>
      <c r="L175" s="41"/>
      <c r="M175" s="41"/>
      <c r="N175" s="41"/>
      <c r="O175" s="41"/>
      <c r="P175" s="41"/>
      <c r="Q175" s="41"/>
      <c r="R175" s="41"/>
    </row>
    <row r="176">
      <c r="A176" s="70"/>
      <c r="B176" s="71"/>
      <c r="C176" s="71"/>
      <c r="D176" s="71"/>
      <c r="E176" s="70"/>
      <c r="F176" s="417"/>
      <c r="G176" s="70"/>
      <c r="H176" s="70"/>
      <c r="I176" s="70"/>
      <c r="J176" s="70"/>
      <c r="K176" s="70"/>
      <c r="L176" s="70"/>
      <c r="M176" s="70"/>
      <c r="N176" s="70"/>
      <c r="O176" s="70"/>
      <c r="P176" s="70"/>
      <c r="Q176" s="70"/>
      <c r="R176" s="70"/>
      <c r="S176" s="70"/>
      <c r="T176" s="70"/>
      <c r="U176" s="70"/>
      <c r="V176" s="70"/>
      <c r="W176" s="70"/>
      <c r="X176" s="70"/>
      <c r="Y176" s="70"/>
      <c r="Z176" s="70"/>
      <c r="AA176" s="70"/>
      <c r="AB176" s="70"/>
      <c r="AC176" s="70"/>
      <c r="AD176" s="70"/>
    </row>
    <row r="177">
      <c r="B177" s="139"/>
      <c r="C177" s="139"/>
      <c r="D177" s="139"/>
      <c r="F177" s="426"/>
    </row>
    <row r="178">
      <c r="B178" s="139"/>
      <c r="C178" s="139"/>
      <c r="D178" s="139"/>
      <c r="F178" s="426"/>
    </row>
    <row r="179">
      <c r="B179" s="139"/>
      <c r="C179" s="139"/>
      <c r="D179" s="139"/>
      <c r="F179" s="426"/>
    </row>
    <row r="180">
      <c r="B180" s="139"/>
      <c r="C180" s="139"/>
      <c r="D180" s="139"/>
      <c r="F180" s="426"/>
    </row>
    <row r="181">
      <c r="B181" s="139"/>
      <c r="C181" s="139"/>
      <c r="D181" s="139"/>
      <c r="F181" s="426"/>
    </row>
    <row r="182">
      <c r="B182" s="139"/>
      <c r="C182" s="139"/>
      <c r="D182" s="139"/>
      <c r="F182" s="426"/>
    </row>
    <row r="183">
      <c r="B183" s="139"/>
      <c r="C183" s="139"/>
      <c r="D183" s="139"/>
      <c r="F183" s="426"/>
    </row>
    <row r="184">
      <c r="B184" s="139"/>
      <c r="C184" s="139"/>
      <c r="D184" s="139"/>
      <c r="F184" s="426"/>
    </row>
    <row r="185">
      <c r="B185" s="139"/>
      <c r="C185" s="139"/>
      <c r="D185" s="139"/>
      <c r="F185" s="426"/>
    </row>
    <row r="186">
      <c r="B186" s="139"/>
      <c r="C186" s="139"/>
      <c r="D186" s="139"/>
      <c r="F186" s="426"/>
    </row>
    <row r="187">
      <c r="B187" s="139"/>
      <c r="C187" s="139"/>
      <c r="D187" s="139"/>
      <c r="F187" s="426"/>
    </row>
    <row r="188">
      <c r="B188" s="139"/>
      <c r="C188" s="139"/>
      <c r="D188" s="139"/>
      <c r="F188" s="426"/>
    </row>
    <row r="189">
      <c r="B189" s="139"/>
      <c r="C189" s="139"/>
      <c r="D189" s="139"/>
      <c r="F189" s="426"/>
    </row>
    <row r="190">
      <c r="B190" s="139"/>
      <c r="C190" s="139"/>
      <c r="D190" s="139"/>
      <c r="F190" s="426"/>
    </row>
    <row r="191">
      <c r="B191" s="139"/>
      <c r="C191" s="139"/>
      <c r="D191" s="139"/>
      <c r="F191" s="426"/>
    </row>
    <row r="192">
      <c r="B192" s="139"/>
      <c r="C192" s="139"/>
      <c r="D192" s="139"/>
      <c r="F192" s="426"/>
    </row>
    <row r="193">
      <c r="B193" s="139"/>
      <c r="C193" s="139"/>
      <c r="D193" s="139"/>
      <c r="F193" s="426"/>
    </row>
    <row r="194">
      <c r="B194" s="139"/>
      <c r="C194" s="139"/>
      <c r="D194" s="139"/>
      <c r="F194" s="426"/>
    </row>
    <row r="195">
      <c r="B195" s="139"/>
      <c r="C195" s="139"/>
      <c r="D195" s="139"/>
      <c r="F195" s="426"/>
    </row>
    <row r="196">
      <c r="B196" s="139"/>
      <c r="C196" s="139"/>
      <c r="D196" s="139"/>
      <c r="F196" s="426"/>
    </row>
    <row r="197">
      <c r="B197" s="139"/>
      <c r="C197" s="139"/>
      <c r="D197" s="139"/>
      <c r="F197" s="426"/>
    </row>
    <row r="198">
      <c r="B198" s="139"/>
      <c r="C198" s="139"/>
      <c r="D198" s="139"/>
      <c r="F198" s="426"/>
    </row>
    <row r="199">
      <c r="B199" s="139"/>
      <c r="C199" s="139"/>
      <c r="D199" s="139"/>
      <c r="F199" s="426"/>
    </row>
    <row r="200">
      <c r="B200" s="139"/>
      <c r="C200" s="139"/>
      <c r="D200" s="139"/>
      <c r="F200" s="426"/>
    </row>
    <row r="201">
      <c r="B201" s="139"/>
      <c r="C201" s="139"/>
      <c r="D201" s="139"/>
      <c r="F201" s="426"/>
    </row>
    <row r="202">
      <c r="B202" s="139"/>
      <c r="C202" s="139"/>
      <c r="D202" s="139"/>
      <c r="F202" s="426"/>
    </row>
    <row r="203">
      <c r="B203" s="139"/>
      <c r="C203" s="139"/>
      <c r="D203" s="139"/>
      <c r="F203" s="426"/>
    </row>
    <row r="204">
      <c r="B204" s="139"/>
      <c r="C204" s="139"/>
      <c r="D204" s="139"/>
      <c r="F204" s="426"/>
    </row>
    <row r="205">
      <c r="B205" s="139"/>
      <c r="C205" s="139"/>
      <c r="D205" s="139"/>
      <c r="F205" s="426"/>
    </row>
    <row r="206">
      <c r="B206" s="139"/>
      <c r="C206" s="139"/>
      <c r="D206" s="139"/>
      <c r="F206" s="426"/>
    </row>
    <row r="207">
      <c r="B207" s="139"/>
      <c r="C207" s="139"/>
      <c r="D207" s="139"/>
      <c r="F207" s="426"/>
    </row>
    <row r="208">
      <c r="B208" s="139"/>
      <c r="C208" s="139"/>
      <c r="D208" s="139"/>
      <c r="F208" s="426"/>
    </row>
    <row r="209">
      <c r="B209" s="139"/>
      <c r="C209" s="139"/>
      <c r="D209" s="139"/>
      <c r="F209" s="426"/>
    </row>
    <row r="210">
      <c r="B210" s="139"/>
      <c r="C210" s="139"/>
      <c r="D210" s="139"/>
      <c r="F210" s="426"/>
    </row>
    <row r="211">
      <c r="B211" s="139"/>
      <c r="C211" s="139"/>
      <c r="D211" s="139"/>
      <c r="F211" s="426"/>
    </row>
    <row r="212">
      <c r="B212" s="139"/>
      <c r="C212" s="139"/>
      <c r="D212" s="139"/>
      <c r="F212" s="426"/>
    </row>
    <row r="213">
      <c r="B213" s="139"/>
      <c r="C213" s="139"/>
      <c r="D213" s="139"/>
      <c r="F213" s="426"/>
    </row>
    <row r="214">
      <c r="B214" s="139"/>
      <c r="C214" s="139"/>
      <c r="D214" s="139"/>
      <c r="F214" s="426"/>
    </row>
    <row r="215">
      <c r="B215" s="139"/>
      <c r="C215" s="139"/>
      <c r="D215" s="139"/>
      <c r="F215" s="426"/>
    </row>
    <row r="216">
      <c r="B216" s="139"/>
      <c r="C216" s="139"/>
      <c r="D216" s="139"/>
      <c r="F216" s="426"/>
    </row>
    <row r="217">
      <c r="B217" s="139"/>
      <c r="C217" s="139"/>
      <c r="D217" s="139"/>
      <c r="F217" s="426"/>
    </row>
    <row r="218">
      <c r="B218" s="139"/>
      <c r="C218" s="139"/>
      <c r="D218" s="139"/>
      <c r="F218" s="426"/>
    </row>
    <row r="219">
      <c r="B219" s="139"/>
      <c r="C219" s="139"/>
      <c r="D219" s="139"/>
      <c r="F219" s="426"/>
    </row>
    <row r="220">
      <c r="B220" s="139"/>
      <c r="C220" s="139"/>
      <c r="D220" s="139"/>
      <c r="F220" s="426"/>
    </row>
    <row r="221">
      <c r="B221" s="139"/>
      <c r="C221" s="139"/>
      <c r="D221" s="139"/>
      <c r="F221" s="426"/>
    </row>
    <row r="222">
      <c r="B222" s="139"/>
      <c r="C222" s="139"/>
      <c r="D222" s="139"/>
      <c r="F222" s="426"/>
    </row>
    <row r="223">
      <c r="B223" s="139"/>
      <c r="C223" s="139"/>
      <c r="D223" s="139"/>
      <c r="F223" s="426"/>
    </row>
    <row r="224">
      <c r="B224" s="139"/>
      <c r="C224" s="139"/>
      <c r="D224" s="139"/>
      <c r="F224" s="426"/>
    </row>
    <row r="225">
      <c r="B225" s="139"/>
      <c r="C225" s="139"/>
      <c r="D225" s="139"/>
      <c r="F225" s="426"/>
    </row>
    <row r="226">
      <c r="B226" s="139"/>
      <c r="C226" s="139"/>
      <c r="D226" s="139"/>
      <c r="F226" s="426"/>
    </row>
    <row r="227">
      <c r="B227" s="139"/>
      <c r="C227" s="139"/>
      <c r="D227" s="139"/>
      <c r="F227" s="426"/>
    </row>
    <row r="228">
      <c r="B228" s="139"/>
      <c r="C228" s="139"/>
      <c r="D228" s="139"/>
      <c r="F228" s="426"/>
    </row>
    <row r="229">
      <c r="B229" s="139"/>
      <c r="C229" s="139"/>
      <c r="D229" s="139"/>
      <c r="F229" s="426"/>
    </row>
    <row r="230">
      <c r="B230" s="139"/>
      <c r="C230" s="139"/>
      <c r="D230" s="139"/>
      <c r="F230" s="426"/>
    </row>
    <row r="231">
      <c r="B231" s="139"/>
      <c r="C231" s="139"/>
      <c r="D231" s="139"/>
      <c r="F231" s="426"/>
    </row>
    <row r="232">
      <c r="B232" s="139"/>
      <c r="C232" s="139"/>
      <c r="D232" s="139"/>
      <c r="F232" s="426"/>
    </row>
    <row r="233">
      <c r="B233" s="139"/>
      <c r="C233" s="139"/>
      <c r="D233" s="139"/>
      <c r="F233" s="426"/>
    </row>
    <row r="234">
      <c r="B234" s="139"/>
      <c r="C234" s="139"/>
      <c r="D234" s="139"/>
      <c r="F234" s="426"/>
    </row>
    <row r="235">
      <c r="B235" s="139"/>
      <c r="C235" s="139"/>
      <c r="D235" s="139"/>
      <c r="F235" s="426"/>
    </row>
    <row r="236">
      <c r="B236" s="139"/>
      <c r="C236" s="139"/>
      <c r="D236" s="139"/>
      <c r="F236" s="426"/>
    </row>
    <row r="237">
      <c r="B237" s="139"/>
      <c r="C237" s="139"/>
      <c r="D237" s="139"/>
      <c r="F237" s="426"/>
    </row>
    <row r="238">
      <c r="B238" s="139"/>
      <c r="C238" s="139"/>
      <c r="D238" s="139"/>
      <c r="F238" s="426"/>
    </row>
    <row r="239">
      <c r="B239" s="139"/>
      <c r="C239" s="139"/>
      <c r="D239" s="139"/>
      <c r="F239" s="426"/>
    </row>
    <row r="240">
      <c r="B240" s="139"/>
      <c r="C240" s="139"/>
      <c r="D240" s="139"/>
      <c r="F240" s="426"/>
    </row>
    <row r="241">
      <c r="B241" s="139"/>
      <c r="C241" s="139"/>
      <c r="D241" s="139"/>
      <c r="F241" s="426"/>
    </row>
    <row r="242">
      <c r="B242" s="139"/>
      <c r="C242" s="139"/>
      <c r="D242" s="139"/>
      <c r="F242" s="426"/>
    </row>
    <row r="243">
      <c r="B243" s="139"/>
      <c r="C243" s="139"/>
      <c r="D243" s="139"/>
      <c r="F243" s="426"/>
    </row>
    <row r="244">
      <c r="B244" s="139"/>
      <c r="C244" s="139"/>
      <c r="D244" s="139"/>
      <c r="F244" s="426"/>
    </row>
    <row r="245">
      <c r="B245" s="139"/>
      <c r="C245" s="139"/>
      <c r="D245" s="139"/>
      <c r="F245" s="426"/>
    </row>
    <row r="246">
      <c r="B246" s="139"/>
      <c r="C246" s="139"/>
      <c r="D246" s="139"/>
      <c r="F246" s="426"/>
    </row>
    <row r="247">
      <c r="B247" s="139"/>
      <c r="C247" s="139"/>
      <c r="D247" s="139"/>
      <c r="F247" s="426"/>
    </row>
    <row r="248">
      <c r="B248" s="139"/>
      <c r="C248" s="139"/>
      <c r="D248" s="139"/>
      <c r="F248" s="426"/>
    </row>
    <row r="249">
      <c r="B249" s="139"/>
      <c r="C249" s="139"/>
      <c r="D249" s="139"/>
      <c r="F249" s="426"/>
    </row>
    <row r="250">
      <c r="B250" s="139"/>
      <c r="C250" s="139"/>
      <c r="D250" s="139"/>
      <c r="F250" s="426"/>
    </row>
    <row r="251">
      <c r="B251" s="139"/>
      <c r="C251" s="139"/>
      <c r="D251" s="139"/>
      <c r="F251" s="426"/>
    </row>
    <row r="252">
      <c r="B252" s="139"/>
      <c r="C252" s="139"/>
      <c r="D252" s="139"/>
      <c r="F252" s="426"/>
    </row>
    <row r="253">
      <c r="B253" s="139"/>
      <c r="C253" s="139"/>
      <c r="D253" s="139"/>
      <c r="F253" s="426"/>
    </row>
    <row r="254">
      <c r="B254" s="139"/>
      <c r="C254" s="139"/>
      <c r="D254" s="139"/>
      <c r="F254" s="426"/>
    </row>
    <row r="255">
      <c r="B255" s="139"/>
      <c r="C255" s="139"/>
      <c r="D255" s="139"/>
      <c r="F255" s="426"/>
    </row>
    <row r="256">
      <c r="B256" s="139"/>
      <c r="C256" s="139"/>
      <c r="D256" s="139"/>
      <c r="F256" s="426"/>
    </row>
    <row r="257">
      <c r="B257" s="139"/>
      <c r="C257" s="139"/>
      <c r="D257" s="139"/>
      <c r="F257" s="426"/>
    </row>
    <row r="258">
      <c r="B258" s="139"/>
      <c r="C258" s="139"/>
      <c r="D258" s="139"/>
      <c r="F258" s="426"/>
    </row>
    <row r="259">
      <c r="B259" s="139"/>
      <c r="C259" s="139"/>
      <c r="D259" s="139"/>
      <c r="F259" s="426"/>
    </row>
    <row r="260">
      <c r="B260" s="139"/>
      <c r="C260" s="139"/>
      <c r="D260" s="139"/>
      <c r="F260" s="426"/>
    </row>
    <row r="261">
      <c r="B261" s="139"/>
      <c r="C261" s="139"/>
      <c r="D261" s="139"/>
      <c r="F261" s="426"/>
    </row>
    <row r="262">
      <c r="B262" s="139"/>
      <c r="C262" s="139"/>
      <c r="D262" s="139"/>
      <c r="F262" s="426"/>
    </row>
    <row r="263">
      <c r="B263" s="139"/>
      <c r="C263" s="139"/>
      <c r="D263" s="139"/>
      <c r="F263" s="426"/>
    </row>
    <row r="264">
      <c r="B264" s="139"/>
      <c r="C264" s="139"/>
      <c r="D264" s="139"/>
      <c r="F264" s="426"/>
    </row>
    <row r="265">
      <c r="B265" s="139"/>
      <c r="C265" s="139"/>
      <c r="D265" s="139"/>
      <c r="F265" s="426"/>
    </row>
    <row r="266">
      <c r="B266" s="139"/>
      <c r="C266" s="139"/>
      <c r="D266" s="139"/>
      <c r="F266" s="426"/>
    </row>
    <row r="267">
      <c r="B267" s="139"/>
      <c r="C267" s="139"/>
      <c r="D267" s="139"/>
      <c r="F267" s="426"/>
    </row>
    <row r="268">
      <c r="B268" s="139"/>
      <c r="C268" s="139"/>
      <c r="D268" s="139"/>
      <c r="F268" s="426"/>
    </row>
    <row r="269">
      <c r="B269" s="139"/>
      <c r="C269" s="139"/>
      <c r="D269" s="139"/>
      <c r="F269" s="426"/>
    </row>
    <row r="270">
      <c r="B270" s="139"/>
      <c r="C270" s="139"/>
      <c r="D270" s="139"/>
      <c r="F270" s="426"/>
    </row>
    <row r="271">
      <c r="B271" s="139"/>
      <c r="C271" s="139"/>
      <c r="D271" s="139"/>
      <c r="F271" s="426"/>
    </row>
    <row r="272">
      <c r="B272" s="139"/>
      <c r="C272" s="139"/>
      <c r="D272" s="139"/>
      <c r="F272" s="426"/>
    </row>
    <row r="273">
      <c r="B273" s="139"/>
      <c r="C273" s="139"/>
      <c r="D273" s="139"/>
      <c r="F273" s="426"/>
    </row>
    <row r="274">
      <c r="B274" s="139"/>
      <c r="C274" s="139"/>
      <c r="D274" s="139"/>
      <c r="F274" s="426"/>
    </row>
    <row r="275">
      <c r="B275" s="139"/>
      <c r="C275" s="139"/>
      <c r="D275" s="139"/>
      <c r="F275" s="426"/>
    </row>
    <row r="276">
      <c r="B276" s="139"/>
      <c r="C276" s="139"/>
      <c r="D276" s="139"/>
      <c r="F276" s="426"/>
    </row>
    <row r="277">
      <c r="B277" s="139"/>
      <c r="C277" s="139"/>
      <c r="D277" s="139"/>
      <c r="F277" s="426"/>
    </row>
    <row r="278">
      <c r="B278" s="139"/>
      <c r="C278" s="139"/>
      <c r="D278" s="139"/>
      <c r="F278" s="426"/>
    </row>
    <row r="279">
      <c r="B279" s="139"/>
      <c r="C279" s="139"/>
      <c r="D279" s="139"/>
      <c r="F279" s="426"/>
    </row>
    <row r="280">
      <c r="B280" s="139"/>
      <c r="C280" s="139"/>
      <c r="D280" s="139"/>
      <c r="F280" s="426"/>
    </row>
    <row r="281">
      <c r="B281" s="139"/>
      <c r="C281" s="139"/>
      <c r="D281" s="139"/>
      <c r="F281" s="426"/>
    </row>
    <row r="282">
      <c r="B282" s="139"/>
      <c r="C282" s="139"/>
      <c r="D282" s="139"/>
      <c r="F282" s="426"/>
    </row>
    <row r="283">
      <c r="B283" s="139"/>
      <c r="C283" s="139"/>
      <c r="D283" s="139"/>
      <c r="F283" s="426"/>
    </row>
    <row r="284">
      <c r="B284" s="139"/>
      <c r="C284" s="139"/>
      <c r="D284" s="139"/>
      <c r="F284" s="426"/>
    </row>
    <row r="285">
      <c r="B285" s="139"/>
      <c r="C285" s="139"/>
      <c r="D285" s="139"/>
      <c r="F285" s="426"/>
    </row>
    <row r="286">
      <c r="B286" s="139"/>
      <c r="C286" s="139"/>
      <c r="D286" s="139"/>
      <c r="F286" s="426"/>
    </row>
    <row r="287">
      <c r="B287" s="139"/>
      <c r="C287" s="139"/>
      <c r="D287" s="139"/>
      <c r="F287" s="426"/>
    </row>
    <row r="288">
      <c r="B288" s="139"/>
      <c r="C288" s="139"/>
      <c r="D288" s="139"/>
      <c r="F288" s="426"/>
    </row>
    <row r="289">
      <c r="B289" s="139"/>
      <c r="C289" s="139"/>
      <c r="D289" s="139"/>
      <c r="F289" s="426"/>
    </row>
    <row r="290">
      <c r="B290" s="139"/>
      <c r="C290" s="139"/>
      <c r="D290" s="139"/>
      <c r="F290" s="426"/>
    </row>
    <row r="291">
      <c r="B291" s="139"/>
      <c r="C291" s="139"/>
      <c r="D291" s="139"/>
      <c r="F291" s="426"/>
    </row>
    <row r="292">
      <c r="B292" s="139"/>
      <c r="C292" s="139"/>
      <c r="D292" s="139"/>
      <c r="F292" s="426"/>
    </row>
    <row r="293">
      <c r="B293" s="139"/>
      <c r="C293" s="139"/>
      <c r="D293" s="139"/>
      <c r="F293" s="426"/>
    </row>
    <row r="294">
      <c r="B294" s="139"/>
      <c r="C294" s="139"/>
      <c r="D294" s="139"/>
      <c r="F294" s="426"/>
    </row>
    <row r="295">
      <c r="B295" s="139"/>
      <c r="C295" s="139"/>
      <c r="D295" s="139"/>
      <c r="F295" s="426"/>
    </row>
    <row r="296">
      <c r="B296" s="139"/>
      <c r="C296" s="139"/>
      <c r="D296" s="139"/>
      <c r="F296" s="426"/>
    </row>
    <row r="297">
      <c r="B297" s="139"/>
      <c r="C297" s="139"/>
      <c r="D297" s="139"/>
      <c r="F297" s="426"/>
    </row>
    <row r="298">
      <c r="B298" s="139"/>
      <c r="C298" s="139"/>
      <c r="D298" s="139"/>
      <c r="F298" s="426"/>
    </row>
    <row r="299">
      <c r="B299" s="139"/>
      <c r="C299" s="139"/>
      <c r="D299" s="139"/>
      <c r="F299" s="426"/>
    </row>
    <row r="300">
      <c r="B300" s="139"/>
      <c r="C300" s="139"/>
      <c r="D300" s="139"/>
      <c r="F300" s="426"/>
    </row>
    <row r="301">
      <c r="B301" s="139"/>
      <c r="C301" s="139"/>
      <c r="D301" s="139"/>
      <c r="F301" s="426"/>
    </row>
    <row r="302">
      <c r="B302" s="139"/>
      <c r="C302" s="139"/>
      <c r="D302" s="139"/>
      <c r="F302" s="426"/>
    </row>
    <row r="303">
      <c r="B303" s="139"/>
      <c r="C303" s="139"/>
      <c r="D303" s="139"/>
      <c r="F303" s="426"/>
    </row>
    <row r="304">
      <c r="B304" s="139"/>
      <c r="C304" s="139"/>
      <c r="D304" s="139"/>
      <c r="F304" s="426"/>
    </row>
    <row r="305">
      <c r="B305" s="139"/>
      <c r="C305" s="139"/>
      <c r="D305" s="139"/>
      <c r="F305" s="426"/>
    </row>
    <row r="306">
      <c r="B306" s="139"/>
      <c r="C306" s="139"/>
      <c r="D306" s="139"/>
      <c r="F306" s="426"/>
    </row>
    <row r="307">
      <c r="B307" s="139"/>
      <c r="C307" s="139"/>
      <c r="D307" s="139"/>
      <c r="F307" s="426"/>
    </row>
    <row r="308">
      <c r="B308" s="139"/>
      <c r="C308" s="139"/>
      <c r="D308" s="139"/>
      <c r="F308" s="426"/>
    </row>
    <row r="309">
      <c r="B309" s="139"/>
      <c r="C309" s="139"/>
      <c r="D309" s="139"/>
      <c r="F309" s="426"/>
    </row>
    <row r="310">
      <c r="B310" s="139"/>
      <c r="C310" s="139"/>
      <c r="D310" s="139"/>
      <c r="F310" s="426"/>
    </row>
    <row r="311">
      <c r="B311" s="139"/>
      <c r="C311" s="139"/>
      <c r="D311" s="139"/>
      <c r="F311" s="426"/>
    </row>
    <row r="312">
      <c r="B312" s="139"/>
      <c r="C312" s="139"/>
      <c r="D312" s="139"/>
      <c r="F312" s="426"/>
    </row>
    <row r="313">
      <c r="B313" s="139"/>
      <c r="C313" s="139"/>
      <c r="D313" s="139"/>
      <c r="F313" s="426"/>
    </row>
    <row r="314">
      <c r="B314" s="139"/>
      <c r="C314" s="139"/>
      <c r="D314" s="139"/>
      <c r="F314" s="426"/>
    </row>
    <row r="315">
      <c r="B315" s="139"/>
      <c r="C315" s="139"/>
      <c r="D315" s="139"/>
      <c r="F315" s="426"/>
    </row>
    <row r="316">
      <c r="B316" s="139"/>
      <c r="C316" s="139"/>
      <c r="D316" s="139"/>
      <c r="F316" s="426"/>
    </row>
    <row r="317">
      <c r="B317" s="139"/>
      <c r="C317" s="139"/>
      <c r="D317" s="139"/>
      <c r="F317" s="426"/>
    </row>
    <row r="318">
      <c r="B318" s="139"/>
      <c r="C318" s="139"/>
      <c r="D318" s="139"/>
      <c r="F318" s="426"/>
    </row>
    <row r="319">
      <c r="B319" s="139"/>
      <c r="C319" s="139"/>
      <c r="D319" s="139"/>
      <c r="F319" s="426"/>
    </row>
    <row r="320">
      <c r="B320" s="139"/>
      <c r="C320" s="139"/>
      <c r="D320" s="139"/>
      <c r="F320" s="426"/>
    </row>
    <row r="321">
      <c r="B321" s="139"/>
      <c r="C321" s="139"/>
      <c r="D321" s="139"/>
      <c r="F321" s="426"/>
    </row>
    <row r="322">
      <c r="B322" s="139"/>
      <c r="C322" s="139"/>
      <c r="D322" s="139"/>
      <c r="F322" s="426"/>
    </row>
    <row r="323">
      <c r="B323" s="139"/>
      <c r="C323" s="139"/>
      <c r="D323" s="139"/>
      <c r="F323" s="426"/>
    </row>
    <row r="324">
      <c r="B324" s="139"/>
      <c r="C324" s="139"/>
      <c r="D324" s="139"/>
      <c r="F324" s="426"/>
    </row>
    <row r="325">
      <c r="B325" s="139"/>
      <c r="C325" s="139"/>
      <c r="D325" s="139"/>
      <c r="F325" s="426"/>
    </row>
    <row r="326">
      <c r="B326" s="139"/>
      <c r="C326" s="139"/>
      <c r="D326" s="139"/>
      <c r="F326" s="426"/>
    </row>
    <row r="327">
      <c r="B327" s="139"/>
      <c r="C327" s="139"/>
      <c r="D327" s="139"/>
      <c r="F327" s="426"/>
    </row>
    <row r="328">
      <c r="B328" s="139"/>
      <c r="C328" s="139"/>
      <c r="D328" s="139"/>
      <c r="F328" s="426"/>
    </row>
    <row r="329">
      <c r="B329" s="139"/>
      <c r="C329" s="139"/>
      <c r="D329" s="139"/>
      <c r="F329" s="426"/>
    </row>
    <row r="330">
      <c r="B330" s="139"/>
      <c r="C330" s="139"/>
      <c r="D330" s="139"/>
      <c r="F330" s="426"/>
    </row>
    <row r="331">
      <c r="B331" s="139"/>
      <c r="C331" s="139"/>
      <c r="D331" s="139"/>
      <c r="F331" s="426"/>
    </row>
    <row r="332">
      <c r="B332" s="139"/>
      <c r="C332" s="139"/>
      <c r="D332" s="139"/>
      <c r="F332" s="426"/>
    </row>
    <row r="333">
      <c r="B333" s="139"/>
      <c r="C333" s="139"/>
      <c r="D333" s="139"/>
      <c r="F333" s="426"/>
    </row>
    <row r="334">
      <c r="B334" s="139"/>
      <c r="C334" s="139"/>
      <c r="D334" s="139"/>
      <c r="F334" s="426"/>
    </row>
    <row r="335">
      <c r="B335" s="139"/>
      <c r="C335" s="139"/>
      <c r="D335" s="139"/>
      <c r="F335" s="426"/>
    </row>
    <row r="336">
      <c r="B336" s="139"/>
      <c r="C336" s="139"/>
      <c r="D336" s="139"/>
      <c r="F336" s="426"/>
    </row>
    <row r="337">
      <c r="B337" s="139"/>
      <c r="C337" s="139"/>
      <c r="D337" s="139"/>
      <c r="F337" s="426"/>
    </row>
    <row r="338">
      <c r="B338" s="139"/>
      <c r="C338" s="139"/>
      <c r="D338" s="139"/>
      <c r="F338" s="426"/>
    </row>
    <row r="339">
      <c r="B339" s="139"/>
      <c r="C339" s="139"/>
      <c r="D339" s="139"/>
      <c r="F339" s="426"/>
    </row>
    <row r="340">
      <c r="B340" s="139"/>
      <c r="C340" s="139"/>
      <c r="D340" s="139"/>
      <c r="F340" s="426"/>
    </row>
    <row r="341">
      <c r="B341" s="139"/>
      <c r="C341" s="139"/>
      <c r="D341" s="139"/>
      <c r="F341" s="426"/>
    </row>
    <row r="342">
      <c r="B342" s="139"/>
      <c r="C342" s="139"/>
      <c r="D342" s="139"/>
      <c r="F342" s="426"/>
    </row>
    <row r="343">
      <c r="B343" s="139"/>
      <c r="C343" s="139"/>
      <c r="D343" s="139"/>
      <c r="F343" s="426"/>
    </row>
    <row r="344">
      <c r="B344" s="139"/>
      <c r="C344" s="139"/>
      <c r="D344" s="139"/>
      <c r="F344" s="426"/>
    </row>
    <row r="345">
      <c r="B345" s="139"/>
      <c r="C345" s="139"/>
      <c r="D345" s="139"/>
      <c r="F345" s="426"/>
    </row>
    <row r="346">
      <c r="B346" s="139"/>
      <c r="C346" s="139"/>
      <c r="D346" s="139"/>
      <c r="F346" s="426"/>
    </row>
    <row r="347">
      <c r="B347" s="139"/>
      <c r="C347" s="139"/>
      <c r="D347" s="139"/>
      <c r="F347" s="426"/>
    </row>
    <row r="348">
      <c r="B348" s="139"/>
      <c r="C348" s="139"/>
      <c r="D348" s="139"/>
      <c r="F348" s="426"/>
    </row>
    <row r="349">
      <c r="B349" s="139"/>
      <c r="C349" s="139"/>
      <c r="D349" s="139"/>
      <c r="F349" s="426"/>
    </row>
    <row r="350">
      <c r="B350" s="139"/>
      <c r="C350" s="139"/>
      <c r="D350" s="139"/>
      <c r="F350" s="426"/>
    </row>
    <row r="351">
      <c r="B351" s="139"/>
      <c r="C351" s="139"/>
      <c r="D351" s="139"/>
      <c r="F351" s="426"/>
    </row>
    <row r="352">
      <c r="B352" s="139"/>
      <c r="C352" s="139"/>
      <c r="D352" s="139"/>
      <c r="F352" s="426"/>
    </row>
    <row r="353">
      <c r="B353" s="139"/>
      <c r="C353" s="139"/>
      <c r="D353" s="139"/>
      <c r="F353" s="426"/>
    </row>
    <row r="354">
      <c r="B354" s="139"/>
      <c r="C354" s="139"/>
      <c r="D354" s="139"/>
      <c r="F354" s="426"/>
    </row>
    <row r="355">
      <c r="B355" s="139"/>
      <c r="C355" s="139"/>
      <c r="D355" s="139"/>
      <c r="F355" s="426"/>
    </row>
    <row r="356">
      <c r="B356" s="139"/>
      <c r="C356" s="139"/>
      <c r="D356" s="139"/>
      <c r="F356" s="426"/>
    </row>
    <row r="357">
      <c r="B357" s="139"/>
      <c r="C357" s="139"/>
      <c r="D357" s="139"/>
      <c r="F357" s="426"/>
    </row>
    <row r="358">
      <c r="B358" s="139"/>
      <c r="C358" s="139"/>
      <c r="D358" s="139"/>
      <c r="F358" s="426"/>
    </row>
    <row r="359">
      <c r="B359" s="139"/>
      <c r="C359" s="139"/>
      <c r="D359" s="139"/>
      <c r="F359" s="426"/>
    </row>
    <row r="360">
      <c r="B360" s="139"/>
      <c r="C360" s="139"/>
      <c r="D360" s="139"/>
      <c r="F360" s="426"/>
    </row>
    <row r="361">
      <c r="B361" s="139"/>
      <c r="C361" s="139"/>
      <c r="D361" s="139"/>
      <c r="F361" s="426"/>
    </row>
    <row r="362">
      <c r="B362" s="139"/>
      <c r="C362" s="139"/>
      <c r="D362" s="139"/>
      <c r="F362" s="426"/>
    </row>
    <row r="363">
      <c r="B363" s="139"/>
      <c r="C363" s="139"/>
      <c r="D363" s="139"/>
      <c r="F363" s="426"/>
    </row>
    <row r="364">
      <c r="B364" s="139"/>
      <c r="C364" s="139"/>
      <c r="D364" s="139"/>
      <c r="F364" s="426"/>
    </row>
    <row r="365">
      <c r="B365" s="139"/>
      <c r="C365" s="139"/>
      <c r="D365" s="139"/>
      <c r="F365" s="426"/>
    </row>
    <row r="366">
      <c r="B366" s="139"/>
      <c r="C366" s="139"/>
      <c r="D366" s="139"/>
      <c r="F366" s="426"/>
    </row>
    <row r="367">
      <c r="B367" s="139"/>
      <c r="C367" s="139"/>
      <c r="D367" s="139"/>
      <c r="F367" s="426"/>
    </row>
    <row r="368">
      <c r="B368" s="139"/>
      <c r="C368" s="139"/>
      <c r="D368" s="139"/>
      <c r="F368" s="426"/>
    </row>
    <row r="369">
      <c r="B369" s="139"/>
      <c r="C369" s="139"/>
      <c r="D369" s="139"/>
      <c r="F369" s="426"/>
    </row>
    <row r="370">
      <c r="B370" s="139"/>
      <c r="C370" s="139"/>
      <c r="D370" s="139"/>
      <c r="F370" s="426"/>
    </row>
    <row r="371">
      <c r="B371" s="139"/>
      <c r="C371" s="139"/>
      <c r="D371" s="139"/>
      <c r="F371" s="426"/>
    </row>
    <row r="372">
      <c r="B372" s="139"/>
      <c r="C372" s="139"/>
      <c r="D372" s="139"/>
      <c r="F372" s="426"/>
    </row>
    <row r="373">
      <c r="B373" s="139"/>
      <c r="C373" s="139"/>
      <c r="D373" s="139"/>
      <c r="F373" s="426"/>
    </row>
    <row r="374">
      <c r="B374" s="139"/>
      <c r="C374" s="139"/>
      <c r="D374" s="139"/>
      <c r="F374" s="426"/>
    </row>
    <row r="375">
      <c r="B375" s="139"/>
      <c r="C375" s="139"/>
      <c r="D375" s="139"/>
      <c r="F375" s="426"/>
    </row>
    <row r="376">
      <c r="B376" s="139"/>
      <c r="C376" s="139"/>
      <c r="D376" s="139"/>
      <c r="F376" s="426"/>
    </row>
    <row r="377">
      <c r="B377" s="139"/>
      <c r="C377" s="139"/>
      <c r="D377" s="139"/>
      <c r="F377" s="426"/>
    </row>
    <row r="378">
      <c r="B378" s="139"/>
      <c r="C378" s="139"/>
      <c r="D378" s="139"/>
      <c r="F378" s="426"/>
    </row>
    <row r="379">
      <c r="B379" s="139"/>
      <c r="C379" s="139"/>
      <c r="D379" s="139"/>
      <c r="F379" s="426"/>
    </row>
    <row r="380">
      <c r="B380" s="139"/>
      <c r="C380" s="139"/>
      <c r="D380" s="139"/>
      <c r="F380" s="426"/>
    </row>
    <row r="381">
      <c r="B381" s="139"/>
      <c r="C381" s="139"/>
      <c r="D381" s="139"/>
      <c r="F381" s="426"/>
    </row>
    <row r="382">
      <c r="B382" s="139"/>
      <c r="C382" s="139"/>
      <c r="D382" s="139"/>
      <c r="F382" s="426"/>
    </row>
    <row r="383">
      <c r="B383" s="139"/>
      <c r="C383" s="139"/>
      <c r="D383" s="139"/>
      <c r="F383" s="426"/>
    </row>
    <row r="384">
      <c r="B384" s="139"/>
      <c r="C384" s="139"/>
      <c r="D384" s="139"/>
      <c r="F384" s="426"/>
    </row>
    <row r="385">
      <c r="B385" s="139"/>
      <c r="C385" s="139"/>
      <c r="D385" s="139"/>
      <c r="F385" s="426"/>
    </row>
    <row r="386">
      <c r="B386" s="139"/>
      <c r="C386" s="139"/>
      <c r="D386" s="139"/>
      <c r="F386" s="426"/>
    </row>
    <row r="387">
      <c r="B387" s="139"/>
      <c r="C387" s="139"/>
      <c r="D387" s="139"/>
      <c r="F387" s="426"/>
    </row>
    <row r="388">
      <c r="B388" s="139"/>
      <c r="C388" s="139"/>
      <c r="D388" s="139"/>
      <c r="F388" s="426"/>
    </row>
    <row r="389">
      <c r="B389" s="139"/>
      <c r="C389" s="139"/>
      <c r="D389" s="139"/>
      <c r="F389" s="426"/>
    </row>
    <row r="390">
      <c r="B390" s="139"/>
      <c r="C390" s="139"/>
      <c r="D390" s="139"/>
      <c r="F390" s="426"/>
    </row>
    <row r="391">
      <c r="B391" s="139"/>
      <c r="C391" s="139"/>
      <c r="D391" s="139"/>
      <c r="F391" s="426"/>
    </row>
    <row r="392">
      <c r="B392" s="139"/>
      <c r="C392" s="139"/>
      <c r="D392" s="139"/>
      <c r="F392" s="426"/>
    </row>
    <row r="393">
      <c r="B393" s="139"/>
      <c r="C393" s="139"/>
      <c r="D393" s="139"/>
      <c r="F393" s="426"/>
    </row>
    <row r="394">
      <c r="B394" s="139"/>
      <c r="C394" s="139"/>
      <c r="D394" s="139"/>
      <c r="F394" s="426"/>
    </row>
    <row r="395">
      <c r="B395" s="139"/>
      <c r="C395" s="139"/>
      <c r="D395" s="139"/>
      <c r="F395" s="426"/>
    </row>
    <row r="396">
      <c r="B396" s="139"/>
      <c r="C396" s="139"/>
      <c r="D396" s="139"/>
      <c r="F396" s="426"/>
    </row>
    <row r="397">
      <c r="B397" s="139"/>
      <c r="C397" s="139"/>
      <c r="D397" s="139"/>
      <c r="F397" s="426"/>
    </row>
    <row r="398">
      <c r="B398" s="139"/>
      <c r="C398" s="139"/>
      <c r="D398" s="139"/>
      <c r="F398" s="426"/>
    </row>
    <row r="399">
      <c r="B399" s="139"/>
      <c r="C399" s="139"/>
      <c r="D399" s="139"/>
      <c r="F399" s="426"/>
    </row>
    <row r="400">
      <c r="B400" s="139"/>
      <c r="C400" s="139"/>
      <c r="D400" s="139"/>
      <c r="F400" s="426"/>
    </row>
    <row r="401">
      <c r="B401" s="139"/>
      <c r="C401" s="139"/>
      <c r="D401" s="139"/>
      <c r="F401" s="426"/>
    </row>
    <row r="402">
      <c r="B402" s="139"/>
      <c r="C402" s="139"/>
      <c r="D402" s="139"/>
      <c r="F402" s="426"/>
    </row>
    <row r="403">
      <c r="B403" s="139"/>
      <c r="C403" s="139"/>
      <c r="D403" s="139"/>
      <c r="F403" s="426"/>
    </row>
    <row r="404">
      <c r="B404" s="139"/>
      <c r="C404" s="139"/>
      <c r="D404" s="139"/>
      <c r="F404" s="426"/>
    </row>
    <row r="405">
      <c r="B405" s="139"/>
      <c r="C405" s="139"/>
      <c r="D405" s="139"/>
      <c r="F405" s="426"/>
    </row>
    <row r="406">
      <c r="B406" s="139"/>
      <c r="C406" s="139"/>
      <c r="D406" s="139"/>
      <c r="F406" s="426"/>
    </row>
    <row r="407">
      <c r="B407" s="139"/>
      <c r="C407" s="139"/>
      <c r="D407" s="139"/>
      <c r="F407" s="426"/>
    </row>
    <row r="408">
      <c r="B408" s="139"/>
      <c r="C408" s="139"/>
      <c r="D408" s="139"/>
      <c r="F408" s="426"/>
    </row>
    <row r="409">
      <c r="B409" s="139"/>
      <c r="C409" s="139"/>
      <c r="D409" s="139"/>
      <c r="F409" s="426"/>
    </row>
    <row r="410">
      <c r="B410" s="139"/>
      <c r="C410" s="139"/>
      <c r="D410" s="139"/>
      <c r="F410" s="426"/>
    </row>
    <row r="411">
      <c r="B411" s="139"/>
      <c r="C411" s="139"/>
      <c r="D411" s="139"/>
      <c r="F411" s="426"/>
    </row>
    <row r="412">
      <c r="B412" s="139"/>
      <c r="C412" s="139"/>
      <c r="D412" s="139"/>
      <c r="F412" s="426"/>
    </row>
    <row r="413">
      <c r="B413" s="139"/>
      <c r="C413" s="139"/>
      <c r="D413" s="139"/>
      <c r="F413" s="426"/>
    </row>
    <row r="414">
      <c r="B414" s="139"/>
      <c r="C414" s="139"/>
      <c r="D414" s="139"/>
      <c r="F414" s="426"/>
    </row>
    <row r="415">
      <c r="B415" s="139"/>
      <c r="C415" s="139"/>
      <c r="D415" s="139"/>
      <c r="F415" s="426"/>
    </row>
    <row r="416">
      <c r="B416" s="139"/>
      <c r="C416" s="139"/>
      <c r="D416" s="139"/>
      <c r="F416" s="426"/>
    </row>
    <row r="417">
      <c r="B417" s="139"/>
      <c r="C417" s="139"/>
      <c r="D417" s="139"/>
      <c r="F417" s="426"/>
    </row>
    <row r="418">
      <c r="B418" s="139"/>
      <c r="C418" s="139"/>
      <c r="D418" s="139"/>
      <c r="F418" s="426"/>
    </row>
    <row r="419">
      <c r="B419" s="139"/>
      <c r="C419" s="139"/>
      <c r="D419" s="139"/>
      <c r="F419" s="426"/>
    </row>
    <row r="420">
      <c r="B420" s="139"/>
      <c r="C420" s="139"/>
      <c r="D420" s="139"/>
      <c r="F420" s="426"/>
    </row>
    <row r="421">
      <c r="B421" s="139"/>
      <c r="C421" s="139"/>
      <c r="D421" s="139"/>
      <c r="F421" s="426"/>
    </row>
    <row r="422">
      <c r="B422" s="139"/>
      <c r="C422" s="139"/>
      <c r="D422" s="139"/>
      <c r="F422" s="426"/>
    </row>
    <row r="423">
      <c r="B423" s="139"/>
      <c r="C423" s="139"/>
      <c r="D423" s="139"/>
      <c r="F423" s="426"/>
    </row>
    <row r="424">
      <c r="B424" s="139"/>
      <c r="C424" s="139"/>
      <c r="D424" s="139"/>
      <c r="F424" s="426"/>
    </row>
    <row r="425">
      <c r="B425" s="139"/>
      <c r="C425" s="139"/>
      <c r="D425" s="139"/>
      <c r="F425" s="426"/>
    </row>
    <row r="426">
      <c r="B426" s="139"/>
      <c r="C426" s="139"/>
      <c r="D426" s="139"/>
      <c r="F426" s="426"/>
    </row>
    <row r="427">
      <c r="B427" s="139"/>
      <c r="C427" s="139"/>
      <c r="D427" s="139"/>
      <c r="F427" s="426"/>
    </row>
    <row r="428">
      <c r="B428" s="139"/>
      <c r="C428" s="139"/>
      <c r="D428" s="139"/>
      <c r="F428" s="426"/>
    </row>
    <row r="429">
      <c r="B429" s="139"/>
      <c r="C429" s="139"/>
      <c r="D429" s="139"/>
      <c r="F429" s="426"/>
    </row>
    <row r="430">
      <c r="B430" s="139"/>
      <c r="C430" s="139"/>
      <c r="D430" s="139"/>
      <c r="F430" s="426"/>
    </row>
    <row r="431">
      <c r="B431" s="139"/>
      <c r="C431" s="139"/>
      <c r="D431" s="139"/>
      <c r="F431" s="426"/>
    </row>
    <row r="432">
      <c r="B432" s="139"/>
      <c r="C432" s="139"/>
      <c r="D432" s="139"/>
      <c r="F432" s="426"/>
    </row>
    <row r="433">
      <c r="B433" s="139"/>
      <c r="C433" s="139"/>
      <c r="D433" s="139"/>
      <c r="F433" s="426"/>
    </row>
    <row r="434">
      <c r="B434" s="139"/>
      <c r="C434" s="139"/>
      <c r="D434" s="139"/>
      <c r="F434" s="426"/>
    </row>
    <row r="435">
      <c r="B435" s="139"/>
      <c r="C435" s="139"/>
      <c r="D435" s="139"/>
      <c r="F435" s="426"/>
    </row>
    <row r="436">
      <c r="B436" s="139"/>
      <c r="C436" s="139"/>
      <c r="D436" s="139"/>
      <c r="F436" s="426"/>
    </row>
    <row r="437">
      <c r="B437" s="139"/>
      <c r="C437" s="139"/>
      <c r="D437" s="139"/>
      <c r="F437" s="426"/>
    </row>
    <row r="438">
      <c r="B438" s="139"/>
      <c r="C438" s="139"/>
      <c r="D438" s="139"/>
      <c r="F438" s="426"/>
    </row>
    <row r="439">
      <c r="B439" s="139"/>
      <c r="C439" s="139"/>
      <c r="D439" s="139"/>
      <c r="F439" s="426"/>
    </row>
    <row r="440">
      <c r="B440" s="139"/>
      <c r="C440" s="139"/>
      <c r="D440" s="139"/>
      <c r="F440" s="426"/>
    </row>
    <row r="441">
      <c r="B441" s="139"/>
      <c r="C441" s="139"/>
      <c r="D441" s="139"/>
      <c r="F441" s="426"/>
    </row>
    <row r="442">
      <c r="B442" s="139"/>
      <c r="C442" s="139"/>
      <c r="D442" s="139"/>
      <c r="F442" s="426"/>
    </row>
    <row r="443">
      <c r="B443" s="139"/>
      <c r="C443" s="139"/>
      <c r="D443" s="139"/>
      <c r="F443" s="426"/>
    </row>
    <row r="444">
      <c r="B444" s="139"/>
      <c r="C444" s="139"/>
      <c r="D444" s="139"/>
      <c r="F444" s="426"/>
    </row>
    <row r="445">
      <c r="B445" s="139"/>
      <c r="C445" s="139"/>
      <c r="D445" s="139"/>
      <c r="F445" s="426"/>
    </row>
    <row r="446">
      <c r="B446" s="139"/>
      <c r="C446" s="139"/>
      <c r="D446" s="139"/>
      <c r="F446" s="426"/>
    </row>
    <row r="447">
      <c r="B447" s="139"/>
      <c r="C447" s="139"/>
      <c r="D447" s="139"/>
      <c r="F447" s="426"/>
    </row>
    <row r="448">
      <c r="B448" s="139"/>
      <c r="C448" s="139"/>
      <c r="D448" s="139"/>
      <c r="F448" s="426"/>
    </row>
    <row r="449">
      <c r="B449" s="139"/>
      <c r="C449" s="139"/>
      <c r="D449" s="139"/>
      <c r="F449" s="426"/>
    </row>
    <row r="450">
      <c r="B450" s="139"/>
      <c r="C450" s="139"/>
      <c r="D450" s="139"/>
      <c r="F450" s="426"/>
    </row>
    <row r="451">
      <c r="B451" s="139"/>
      <c r="C451" s="139"/>
      <c r="D451" s="139"/>
      <c r="F451" s="426"/>
    </row>
    <row r="452">
      <c r="B452" s="139"/>
      <c r="C452" s="139"/>
      <c r="D452" s="139"/>
      <c r="F452" s="426"/>
    </row>
    <row r="453">
      <c r="B453" s="139"/>
      <c r="C453" s="139"/>
      <c r="D453" s="139"/>
      <c r="F453" s="426"/>
    </row>
    <row r="454">
      <c r="B454" s="139"/>
      <c r="C454" s="139"/>
      <c r="D454" s="139"/>
      <c r="F454" s="426"/>
    </row>
    <row r="455">
      <c r="B455" s="139"/>
      <c r="C455" s="139"/>
      <c r="D455" s="139"/>
      <c r="F455" s="426"/>
    </row>
    <row r="456">
      <c r="B456" s="139"/>
      <c r="C456" s="139"/>
      <c r="D456" s="139"/>
      <c r="F456" s="426"/>
    </row>
    <row r="457">
      <c r="B457" s="139"/>
      <c r="C457" s="139"/>
      <c r="D457" s="139"/>
      <c r="F457" s="426"/>
    </row>
    <row r="458">
      <c r="B458" s="139"/>
      <c r="C458" s="139"/>
      <c r="D458" s="139"/>
      <c r="F458" s="426"/>
    </row>
    <row r="459">
      <c r="B459" s="139"/>
      <c r="C459" s="139"/>
      <c r="D459" s="139"/>
      <c r="F459" s="426"/>
    </row>
    <row r="460">
      <c r="B460" s="139"/>
      <c r="C460" s="139"/>
      <c r="D460" s="139"/>
      <c r="F460" s="426"/>
    </row>
    <row r="461">
      <c r="B461" s="139"/>
      <c r="C461" s="139"/>
      <c r="D461" s="139"/>
      <c r="F461" s="426"/>
    </row>
    <row r="462">
      <c r="B462" s="139"/>
      <c r="C462" s="139"/>
      <c r="D462" s="139"/>
      <c r="F462" s="426"/>
    </row>
    <row r="463">
      <c r="B463" s="139"/>
      <c r="C463" s="139"/>
      <c r="D463" s="139"/>
      <c r="F463" s="426"/>
    </row>
    <row r="464">
      <c r="B464" s="139"/>
      <c r="C464" s="139"/>
      <c r="D464" s="139"/>
      <c r="F464" s="426"/>
    </row>
    <row r="465">
      <c r="B465" s="139"/>
      <c r="C465" s="139"/>
      <c r="D465" s="139"/>
      <c r="F465" s="426"/>
    </row>
    <row r="466">
      <c r="B466" s="139"/>
      <c r="C466" s="139"/>
      <c r="D466" s="139"/>
      <c r="F466" s="426"/>
    </row>
    <row r="467">
      <c r="B467" s="139"/>
      <c r="C467" s="139"/>
      <c r="D467" s="139"/>
      <c r="F467" s="426"/>
    </row>
    <row r="468">
      <c r="B468" s="139"/>
      <c r="C468" s="139"/>
      <c r="D468" s="139"/>
      <c r="F468" s="426"/>
    </row>
    <row r="469">
      <c r="B469" s="139"/>
      <c r="C469" s="139"/>
      <c r="D469" s="139"/>
      <c r="F469" s="426"/>
    </row>
    <row r="470">
      <c r="B470" s="139"/>
      <c r="C470" s="139"/>
      <c r="D470" s="139"/>
      <c r="F470" s="426"/>
    </row>
    <row r="471">
      <c r="B471" s="139"/>
      <c r="C471" s="139"/>
      <c r="D471" s="139"/>
      <c r="F471" s="426"/>
    </row>
    <row r="472">
      <c r="B472" s="139"/>
      <c r="C472" s="139"/>
      <c r="D472" s="139"/>
      <c r="F472" s="426"/>
    </row>
    <row r="473">
      <c r="B473" s="139"/>
      <c r="C473" s="139"/>
      <c r="D473" s="139"/>
      <c r="F473" s="426"/>
    </row>
    <row r="474">
      <c r="B474" s="139"/>
      <c r="C474" s="139"/>
      <c r="D474" s="139"/>
      <c r="F474" s="426"/>
    </row>
    <row r="475">
      <c r="B475" s="139"/>
      <c r="C475" s="139"/>
      <c r="D475" s="139"/>
      <c r="F475" s="426"/>
    </row>
    <row r="476">
      <c r="B476" s="139"/>
      <c r="C476" s="139"/>
      <c r="D476" s="139"/>
      <c r="F476" s="426"/>
    </row>
    <row r="477">
      <c r="B477" s="139"/>
      <c r="C477" s="139"/>
      <c r="D477" s="139"/>
      <c r="F477" s="426"/>
    </row>
    <row r="478">
      <c r="B478" s="139"/>
      <c r="C478" s="139"/>
      <c r="D478" s="139"/>
      <c r="F478" s="426"/>
    </row>
    <row r="479">
      <c r="B479" s="139"/>
      <c r="C479" s="139"/>
      <c r="D479" s="139"/>
      <c r="F479" s="426"/>
    </row>
    <row r="480">
      <c r="B480" s="139"/>
      <c r="C480" s="139"/>
      <c r="D480" s="139"/>
      <c r="F480" s="426"/>
    </row>
    <row r="481">
      <c r="B481" s="139"/>
      <c r="C481" s="139"/>
      <c r="D481" s="139"/>
      <c r="F481" s="426"/>
    </row>
    <row r="482">
      <c r="B482" s="139"/>
      <c r="C482" s="139"/>
      <c r="D482" s="139"/>
      <c r="F482" s="426"/>
    </row>
    <row r="483">
      <c r="B483" s="139"/>
      <c r="C483" s="139"/>
      <c r="D483" s="139"/>
      <c r="F483" s="426"/>
    </row>
    <row r="484">
      <c r="B484" s="139"/>
      <c r="C484" s="139"/>
      <c r="D484" s="139"/>
      <c r="F484" s="426"/>
    </row>
    <row r="485">
      <c r="B485" s="139"/>
      <c r="C485" s="139"/>
      <c r="D485" s="139"/>
      <c r="F485" s="426"/>
    </row>
    <row r="486">
      <c r="B486" s="139"/>
      <c r="C486" s="139"/>
      <c r="D486" s="139"/>
      <c r="F486" s="426"/>
    </row>
    <row r="487">
      <c r="B487" s="139"/>
      <c r="C487" s="139"/>
      <c r="D487" s="139"/>
      <c r="F487" s="426"/>
    </row>
    <row r="488">
      <c r="B488" s="139"/>
      <c r="C488" s="139"/>
      <c r="D488" s="139"/>
      <c r="F488" s="426"/>
    </row>
    <row r="489">
      <c r="B489" s="139"/>
      <c r="C489" s="139"/>
      <c r="D489" s="139"/>
      <c r="F489" s="426"/>
    </row>
    <row r="490">
      <c r="B490" s="139"/>
      <c r="C490" s="139"/>
      <c r="D490" s="139"/>
      <c r="F490" s="426"/>
    </row>
    <row r="491">
      <c r="B491" s="139"/>
      <c r="C491" s="139"/>
      <c r="D491" s="139"/>
      <c r="F491" s="426"/>
    </row>
    <row r="492">
      <c r="B492" s="139"/>
      <c r="C492" s="139"/>
      <c r="D492" s="139"/>
      <c r="F492" s="426"/>
    </row>
    <row r="493">
      <c r="B493" s="139"/>
      <c r="C493" s="139"/>
      <c r="D493" s="139"/>
      <c r="F493" s="426"/>
    </row>
    <row r="494">
      <c r="B494" s="139"/>
      <c r="C494" s="139"/>
      <c r="D494" s="139"/>
      <c r="F494" s="426"/>
    </row>
    <row r="495">
      <c r="B495" s="139"/>
      <c r="C495" s="139"/>
      <c r="D495" s="139"/>
      <c r="F495" s="426"/>
    </row>
    <row r="496">
      <c r="B496" s="139"/>
      <c r="C496" s="139"/>
      <c r="D496" s="139"/>
      <c r="F496" s="426"/>
    </row>
    <row r="497">
      <c r="B497" s="139"/>
      <c r="C497" s="139"/>
      <c r="D497" s="139"/>
      <c r="F497" s="426"/>
    </row>
    <row r="498">
      <c r="B498" s="139"/>
      <c r="C498" s="139"/>
      <c r="D498" s="139"/>
      <c r="F498" s="426"/>
    </row>
    <row r="499">
      <c r="B499" s="139"/>
      <c r="C499" s="139"/>
      <c r="D499" s="139"/>
      <c r="F499" s="426"/>
    </row>
    <row r="500">
      <c r="B500" s="139"/>
      <c r="C500" s="139"/>
      <c r="D500" s="139"/>
      <c r="F500" s="426"/>
    </row>
    <row r="501">
      <c r="B501" s="139"/>
      <c r="C501" s="139"/>
      <c r="D501" s="139"/>
      <c r="F501" s="426"/>
    </row>
    <row r="502">
      <c r="B502" s="139"/>
      <c r="C502" s="139"/>
      <c r="D502" s="139"/>
      <c r="F502" s="426"/>
    </row>
    <row r="503">
      <c r="B503" s="139"/>
      <c r="C503" s="139"/>
      <c r="D503" s="139"/>
      <c r="F503" s="426"/>
    </row>
    <row r="504">
      <c r="B504" s="139"/>
      <c r="C504" s="139"/>
      <c r="D504" s="139"/>
      <c r="F504" s="426"/>
    </row>
    <row r="505">
      <c r="B505" s="139"/>
      <c r="C505" s="139"/>
      <c r="D505" s="139"/>
      <c r="F505" s="426"/>
    </row>
    <row r="506">
      <c r="B506" s="139"/>
      <c r="C506" s="139"/>
      <c r="D506" s="139"/>
      <c r="F506" s="426"/>
    </row>
    <row r="507">
      <c r="B507" s="139"/>
      <c r="C507" s="139"/>
      <c r="D507" s="139"/>
      <c r="F507" s="426"/>
    </row>
    <row r="508">
      <c r="B508" s="139"/>
      <c r="C508" s="139"/>
      <c r="D508" s="139"/>
      <c r="F508" s="426"/>
    </row>
    <row r="509">
      <c r="B509" s="139"/>
      <c r="C509" s="139"/>
      <c r="D509" s="139"/>
      <c r="F509" s="426"/>
    </row>
    <row r="510">
      <c r="B510" s="139"/>
      <c r="C510" s="139"/>
      <c r="D510" s="139"/>
      <c r="F510" s="426"/>
    </row>
    <row r="511">
      <c r="B511" s="139"/>
      <c r="C511" s="139"/>
      <c r="D511" s="139"/>
      <c r="F511" s="426"/>
    </row>
    <row r="512">
      <c r="B512" s="139"/>
      <c r="C512" s="139"/>
      <c r="D512" s="139"/>
      <c r="F512" s="426"/>
    </row>
    <row r="513">
      <c r="B513" s="139"/>
      <c r="C513" s="139"/>
      <c r="D513" s="139"/>
      <c r="F513" s="426"/>
    </row>
    <row r="514">
      <c r="B514" s="139"/>
      <c r="C514" s="139"/>
      <c r="D514" s="139"/>
      <c r="F514" s="426"/>
    </row>
    <row r="515">
      <c r="B515" s="139"/>
      <c r="C515" s="139"/>
      <c r="D515" s="139"/>
      <c r="F515" s="426"/>
    </row>
    <row r="516">
      <c r="B516" s="139"/>
      <c r="C516" s="139"/>
      <c r="D516" s="139"/>
      <c r="F516" s="426"/>
    </row>
    <row r="517">
      <c r="B517" s="139"/>
      <c r="C517" s="139"/>
      <c r="D517" s="139"/>
      <c r="F517" s="426"/>
    </row>
    <row r="518">
      <c r="B518" s="139"/>
      <c r="C518" s="139"/>
      <c r="D518" s="139"/>
      <c r="F518" s="426"/>
    </row>
    <row r="519">
      <c r="B519" s="139"/>
      <c r="C519" s="139"/>
      <c r="D519" s="139"/>
      <c r="F519" s="426"/>
    </row>
    <row r="520">
      <c r="B520" s="139"/>
      <c r="C520" s="139"/>
      <c r="D520" s="139"/>
      <c r="F520" s="426"/>
    </row>
    <row r="521">
      <c r="B521" s="139"/>
      <c r="C521" s="139"/>
      <c r="D521" s="139"/>
      <c r="F521" s="426"/>
    </row>
    <row r="522">
      <c r="B522" s="139"/>
      <c r="C522" s="139"/>
      <c r="D522" s="139"/>
      <c r="F522" s="426"/>
    </row>
    <row r="523">
      <c r="B523" s="139"/>
      <c r="C523" s="139"/>
      <c r="D523" s="139"/>
      <c r="F523" s="426"/>
    </row>
    <row r="524">
      <c r="B524" s="139"/>
      <c r="C524" s="139"/>
      <c r="D524" s="139"/>
      <c r="F524" s="426"/>
    </row>
    <row r="525">
      <c r="B525" s="139"/>
      <c r="C525" s="139"/>
      <c r="D525" s="139"/>
      <c r="F525" s="426"/>
    </row>
    <row r="526">
      <c r="B526" s="139"/>
      <c r="C526" s="139"/>
      <c r="D526" s="139"/>
      <c r="F526" s="426"/>
    </row>
    <row r="527">
      <c r="B527" s="139"/>
      <c r="C527" s="139"/>
      <c r="D527" s="139"/>
      <c r="F527" s="426"/>
    </row>
    <row r="528">
      <c r="B528" s="139"/>
      <c r="C528" s="139"/>
      <c r="D528" s="139"/>
      <c r="F528" s="426"/>
    </row>
    <row r="529">
      <c r="B529" s="139"/>
      <c r="C529" s="139"/>
      <c r="D529" s="139"/>
      <c r="F529" s="426"/>
    </row>
    <row r="530">
      <c r="B530" s="139"/>
      <c r="C530" s="139"/>
      <c r="D530" s="139"/>
      <c r="F530" s="426"/>
    </row>
    <row r="531">
      <c r="B531" s="139"/>
      <c r="C531" s="139"/>
      <c r="D531" s="139"/>
      <c r="F531" s="426"/>
    </row>
    <row r="532">
      <c r="B532" s="139"/>
      <c r="C532" s="139"/>
      <c r="D532" s="139"/>
      <c r="F532" s="426"/>
    </row>
    <row r="533">
      <c r="B533" s="139"/>
      <c r="C533" s="139"/>
      <c r="D533" s="139"/>
      <c r="F533" s="426"/>
    </row>
    <row r="534">
      <c r="B534" s="139"/>
      <c r="C534" s="139"/>
      <c r="D534" s="139"/>
      <c r="F534" s="426"/>
    </row>
    <row r="535">
      <c r="B535" s="139"/>
      <c r="C535" s="139"/>
      <c r="D535" s="139"/>
      <c r="F535" s="426"/>
    </row>
    <row r="536">
      <c r="B536" s="139"/>
      <c r="C536" s="139"/>
      <c r="D536" s="139"/>
      <c r="F536" s="426"/>
    </row>
    <row r="537">
      <c r="B537" s="139"/>
      <c r="C537" s="139"/>
      <c r="D537" s="139"/>
      <c r="F537" s="426"/>
    </row>
    <row r="538">
      <c r="B538" s="139"/>
      <c r="C538" s="139"/>
      <c r="D538" s="139"/>
      <c r="F538" s="426"/>
    </row>
    <row r="539">
      <c r="B539" s="139"/>
      <c r="C539" s="139"/>
      <c r="D539" s="139"/>
      <c r="F539" s="426"/>
    </row>
    <row r="540">
      <c r="B540" s="139"/>
      <c r="C540" s="139"/>
      <c r="D540" s="139"/>
      <c r="F540" s="426"/>
    </row>
    <row r="541">
      <c r="B541" s="139"/>
      <c r="C541" s="139"/>
      <c r="D541" s="139"/>
      <c r="F541" s="426"/>
    </row>
    <row r="542">
      <c r="B542" s="139"/>
      <c r="C542" s="139"/>
      <c r="D542" s="139"/>
      <c r="F542" s="426"/>
    </row>
    <row r="543">
      <c r="B543" s="139"/>
      <c r="C543" s="139"/>
      <c r="D543" s="139"/>
      <c r="F543" s="426"/>
    </row>
    <row r="544">
      <c r="B544" s="139"/>
      <c r="C544" s="139"/>
      <c r="D544" s="139"/>
      <c r="F544" s="426"/>
    </row>
    <row r="545">
      <c r="B545" s="139"/>
      <c r="C545" s="139"/>
      <c r="D545" s="139"/>
      <c r="F545" s="426"/>
    </row>
    <row r="546">
      <c r="B546" s="139"/>
      <c r="C546" s="139"/>
      <c r="D546" s="139"/>
      <c r="F546" s="426"/>
    </row>
    <row r="547">
      <c r="B547" s="139"/>
      <c r="C547" s="139"/>
      <c r="D547" s="139"/>
      <c r="F547" s="426"/>
    </row>
    <row r="548">
      <c r="B548" s="139"/>
      <c r="C548" s="139"/>
      <c r="D548" s="139"/>
      <c r="F548" s="426"/>
    </row>
    <row r="549">
      <c r="B549" s="139"/>
      <c r="C549" s="139"/>
      <c r="D549" s="139"/>
      <c r="F549" s="426"/>
    </row>
    <row r="550">
      <c r="B550" s="139"/>
      <c r="C550" s="139"/>
      <c r="D550" s="139"/>
      <c r="F550" s="426"/>
    </row>
    <row r="551">
      <c r="B551" s="139"/>
      <c r="C551" s="139"/>
      <c r="D551" s="139"/>
      <c r="F551" s="426"/>
    </row>
    <row r="552">
      <c r="B552" s="139"/>
      <c r="C552" s="139"/>
      <c r="D552" s="139"/>
      <c r="F552" s="426"/>
    </row>
    <row r="553">
      <c r="B553" s="139"/>
      <c r="C553" s="139"/>
      <c r="D553" s="139"/>
      <c r="F553" s="426"/>
    </row>
    <row r="554">
      <c r="B554" s="139"/>
      <c r="C554" s="139"/>
      <c r="D554" s="139"/>
      <c r="F554" s="426"/>
    </row>
    <row r="555">
      <c r="B555" s="139"/>
      <c r="C555" s="139"/>
      <c r="D555" s="139"/>
      <c r="F555" s="426"/>
    </row>
    <row r="556">
      <c r="B556" s="139"/>
      <c r="C556" s="139"/>
      <c r="D556" s="139"/>
      <c r="F556" s="426"/>
    </row>
    <row r="557">
      <c r="B557" s="139"/>
      <c r="C557" s="139"/>
      <c r="D557" s="139"/>
      <c r="F557" s="426"/>
    </row>
    <row r="558">
      <c r="B558" s="139"/>
      <c r="C558" s="139"/>
      <c r="D558" s="139"/>
      <c r="F558" s="426"/>
    </row>
    <row r="559">
      <c r="B559" s="139"/>
      <c r="C559" s="139"/>
      <c r="D559" s="139"/>
      <c r="F559" s="426"/>
    </row>
    <row r="560">
      <c r="B560" s="139"/>
      <c r="C560" s="139"/>
      <c r="D560" s="139"/>
      <c r="F560" s="426"/>
    </row>
    <row r="561">
      <c r="B561" s="139"/>
      <c r="C561" s="139"/>
      <c r="D561" s="139"/>
      <c r="F561" s="426"/>
    </row>
    <row r="562">
      <c r="B562" s="139"/>
      <c r="C562" s="139"/>
      <c r="D562" s="139"/>
      <c r="F562" s="426"/>
    </row>
    <row r="563">
      <c r="B563" s="139"/>
      <c r="C563" s="139"/>
      <c r="D563" s="139"/>
      <c r="F563" s="426"/>
    </row>
    <row r="564">
      <c r="B564" s="139"/>
      <c r="C564" s="139"/>
      <c r="D564" s="139"/>
      <c r="F564" s="426"/>
    </row>
    <row r="565">
      <c r="B565" s="139"/>
      <c r="C565" s="139"/>
      <c r="D565" s="139"/>
      <c r="F565" s="426"/>
    </row>
    <row r="566">
      <c r="B566" s="139"/>
      <c r="C566" s="139"/>
      <c r="D566" s="139"/>
      <c r="F566" s="426"/>
    </row>
    <row r="567">
      <c r="B567" s="139"/>
      <c r="C567" s="139"/>
      <c r="D567" s="139"/>
      <c r="F567" s="426"/>
    </row>
    <row r="568">
      <c r="B568" s="139"/>
      <c r="C568" s="139"/>
      <c r="D568" s="139"/>
      <c r="F568" s="426"/>
    </row>
    <row r="569">
      <c r="B569" s="139"/>
      <c r="C569" s="139"/>
      <c r="D569" s="139"/>
      <c r="F569" s="426"/>
    </row>
    <row r="570">
      <c r="B570" s="139"/>
      <c r="C570" s="139"/>
      <c r="D570" s="139"/>
      <c r="F570" s="426"/>
    </row>
    <row r="571">
      <c r="B571" s="139"/>
      <c r="C571" s="139"/>
      <c r="D571" s="139"/>
      <c r="F571" s="426"/>
    </row>
    <row r="572">
      <c r="B572" s="139"/>
      <c r="C572" s="139"/>
      <c r="D572" s="139"/>
      <c r="F572" s="426"/>
    </row>
    <row r="573">
      <c r="B573" s="139"/>
      <c r="C573" s="139"/>
      <c r="D573" s="139"/>
      <c r="F573" s="426"/>
    </row>
    <row r="574">
      <c r="B574" s="139"/>
      <c r="C574" s="139"/>
      <c r="D574" s="139"/>
      <c r="F574" s="426"/>
    </row>
    <row r="575">
      <c r="B575" s="139"/>
      <c r="C575" s="139"/>
      <c r="D575" s="139"/>
      <c r="F575" s="426"/>
    </row>
    <row r="576">
      <c r="B576" s="139"/>
      <c r="C576" s="139"/>
      <c r="D576" s="139"/>
      <c r="F576" s="426"/>
    </row>
    <row r="577">
      <c r="B577" s="139"/>
      <c r="C577" s="139"/>
      <c r="D577" s="139"/>
      <c r="F577" s="426"/>
    </row>
    <row r="578">
      <c r="B578" s="139"/>
      <c r="C578" s="139"/>
      <c r="D578" s="139"/>
      <c r="F578" s="426"/>
    </row>
    <row r="579">
      <c r="B579" s="139"/>
      <c r="C579" s="139"/>
      <c r="D579" s="139"/>
      <c r="F579" s="426"/>
    </row>
    <row r="580">
      <c r="B580" s="139"/>
      <c r="C580" s="139"/>
      <c r="D580" s="139"/>
      <c r="F580" s="426"/>
    </row>
    <row r="581">
      <c r="B581" s="139"/>
      <c r="C581" s="139"/>
      <c r="D581" s="139"/>
      <c r="F581" s="426"/>
    </row>
    <row r="582">
      <c r="B582" s="139"/>
      <c r="C582" s="139"/>
      <c r="D582" s="139"/>
      <c r="F582" s="426"/>
    </row>
    <row r="583">
      <c r="B583" s="139"/>
      <c r="C583" s="139"/>
      <c r="D583" s="139"/>
      <c r="F583" s="426"/>
    </row>
    <row r="584">
      <c r="B584" s="139"/>
      <c r="C584" s="139"/>
      <c r="D584" s="139"/>
      <c r="F584" s="426"/>
    </row>
    <row r="585">
      <c r="B585" s="139"/>
      <c r="C585" s="139"/>
      <c r="D585" s="139"/>
      <c r="F585" s="426"/>
    </row>
    <row r="586">
      <c r="B586" s="139"/>
      <c r="C586" s="139"/>
      <c r="D586" s="139"/>
      <c r="F586" s="426"/>
    </row>
    <row r="587">
      <c r="B587" s="139"/>
      <c r="C587" s="139"/>
      <c r="D587" s="139"/>
      <c r="F587" s="426"/>
    </row>
    <row r="588">
      <c r="B588" s="139"/>
      <c r="C588" s="139"/>
      <c r="D588" s="139"/>
      <c r="F588" s="426"/>
    </row>
    <row r="589">
      <c r="B589" s="139"/>
      <c r="C589" s="139"/>
      <c r="D589" s="139"/>
      <c r="F589" s="426"/>
    </row>
    <row r="590">
      <c r="B590" s="139"/>
      <c r="C590" s="139"/>
      <c r="D590" s="139"/>
      <c r="F590" s="426"/>
    </row>
    <row r="591">
      <c r="B591" s="139"/>
      <c r="C591" s="139"/>
      <c r="D591" s="139"/>
      <c r="F591" s="426"/>
    </row>
    <row r="592">
      <c r="B592" s="139"/>
      <c r="C592" s="139"/>
      <c r="D592" s="139"/>
      <c r="F592" s="426"/>
    </row>
    <row r="593">
      <c r="B593" s="139"/>
      <c r="C593" s="139"/>
      <c r="D593" s="139"/>
      <c r="F593" s="426"/>
    </row>
    <row r="594">
      <c r="B594" s="139"/>
      <c r="C594" s="139"/>
      <c r="D594" s="139"/>
      <c r="F594" s="426"/>
    </row>
    <row r="595">
      <c r="B595" s="139"/>
      <c r="C595" s="139"/>
      <c r="D595" s="139"/>
      <c r="F595" s="426"/>
    </row>
    <row r="596">
      <c r="B596" s="139"/>
      <c r="C596" s="139"/>
      <c r="D596" s="139"/>
      <c r="F596" s="426"/>
    </row>
    <row r="597">
      <c r="B597" s="139"/>
      <c r="C597" s="139"/>
      <c r="D597" s="139"/>
      <c r="F597" s="426"/>
    </row>
    <row r="598">
      <c r="B598" s="139"/>
      <c r="C598" s="139"/>
      <c r="D598" s="139"/>
      <c r="F598" s="426"/>
    </row>
    <row r="599">
      <c r="B599" s="139"/>
      <c r="C599" s="139"/>
      <c r="D599" s="139"/>
      <c r="F599" s="426"/>
    </row>
    <row r="600">
      <c r="B600" s="139"/>
      <c r="C600" s="139"/>
      <c r="D600" s="139"/>
      <c r="F600" s="426"/>
    </row>
    <row r="601">
      <c r="B601" s="139"/>
      <c r="C601" s="139"/>
      <c r="D601" s="139"/>
      <c r="F601" s="426"/>
    </row>
    <row r="602">
      <c r="B602" s="139"/>
      <c r="C602" s="139"/>
      <c r="D602" s="139"/>
      <c r="F602" s="426"/>
    </row>
    <row r="603">
      <c r="B603" s="139"/>
      <c r="C603" s="139"/>
      <c r="D603" s="139"/>
      <c r="F603" s="426"/>
    </row>
    <row r="604">
      <c r="B604" s="139"/>
      <c r="C604" s="139"/>
      <c r="D604" s="139"/>
      <c r="F604" s="426"/>
    </row>
    <row r="605">
      <c r="B605" s="139"/>
      <c r="C605" s="139"/>
      <c r="D605" s="139"/>
      <c r="F605" s="426"/>
    </row>
    <row r="606">
      <c r="B606" s="139"/>
      <c r="C606" s="139"/>
      <c r="D606" s="139"/>
      <c r="F606" s="426"/>
    </row>
    <row r="607">
      <c r="B607" s="139"/>
      <c r="C607" s="139"/>
      <c r="D607" s="139"/>
      <c r="F607" s="426"/>
    </row>
    <row r="608">
      <c r="B608" s="139"/>
      <c r="C608" s="139"/>
      <c r="D608" s="139"/>
      <c r="F608" s="426"/>
    </row>
    <row r="609">
      <c r="B609" s="139"/>
      <c r="C609" s="139"/>
      <c r="D609" s="139"/>
      <c r="F609" s="426"/>
    </row>
    <row r="610">
      <c r="B610" s="139"/>
      <c r="C610" s="139"/>
      <c r="D610" s="139"/>
      <c r="F610" s="426"/>
    </row>
    <row r="611">
      <c r="B611" s="139"/>
      <c r="C611" s="139"/>
      <c r="D611" s="139"/>
      <c r="F611" s="426"/>
    </row>
    <row r="612">
      <c r="B612" s="139"/>
      <c r="C612" s="139"/>
      <c r="D612" s="139"/>
      <c r="F612" s="426"/>
    </row>
    <row r="613">
      <c r="B613" s="139"/>
      <c r="C613" s="139"/>
      <c r="D613" s="139"/>
      <c r="F613" s="426"/>
    </row>
    <row r="614">
      <c r="B614" s="139"/>
      <c r="C614" s="139"/>
      <c r="D614" s="139"/>
      <c r="F614" s="426"/>
    </row>
    <row r="615">
      <c r="B615" s="139"/>
      <c r="C615" s="139"/>
      <c r="D615" s="139"/>
      <c r="F615" s="426"/>
    </row>
    <row r="616">
      <c r="B616" s="139"/>
      <c r="C616" s="139"/>
      <c r="D616" s="139"/>
      <c r="F616" s="426"/>
    </row>
    <row r="617">
      <c r="B617" s="139"/>
      <c r="C617" s="139"/>
      <c r="D617" s="139"/>
      <c r="F617" s="426"/>
    </row>
    <row r="618">
      <c r="B618" s="139"/>
      <c r="C618" s="139"/>
      <c r="D618" s="139"/>
      <c r="F618" s="426"/>
    </row>
    <row r="619">
      <c r="B619" s="139"/>
      <c r="C619" s="139"/>
      <c r="D619" s="139"/>
      <c r="F619" s="426"/>
    </row>
    <row r="620">
      <c r="B620" s="139"/>
      <c r="C620" s="139"/>
      <c r="D620" s="139"/>
      <c r="F620" s="426"/>
    </row>
    <row r="621">
      <c r="B621" s="139"/>
      <c r="C621" s="139"/>
      <c r="D621" s="139"/>
      <c r="F621" s="426"/>
    </row>
    <row r="622">
      <c r="B622" s="139"/>
      <c r="C622" s="139"/>
      <c r="D622" s="139"/>
      <c r="F622" s="426"/>
    </row>
    <row r="623">
      <c r="B623" s="139"/>
      <c r="C623" s="139"/>
      <c r="D623" s="139"/>
      <c r="F623" s="426"/>
    </row>
    <row r="624">
      <c r="B624" s="139"/>
      <c r="C624" s="139"/>
      <c r="D624" s="139"/>
      <c r="F624" s="426"/>
    </row>
    <row r="625">
      <c r="B625" s="139"/>
      <c r="C625" s="139"/>
      <c r="D625" s="139"/>
      <c r="F625" s="426"/>
    </row>
    <row r="626">
      <c r="B626" s="139"/>
      <c r="C626" s="139"/>
      <c r="D626" s="139"/>
      <c r="F626" s="426"/>
    </row>
    <row r="627">
      <c r="B627" s="139"/>
      <c r="C627" s="139"/>
      <c r="D627" s="139"/>
      <c r="F627" s="426"/>
    </row>
    <row r="628">
      <c r="B628" s="139"/>
      <c r="C628" s="139"/>
      <c r="D628" s="139"/>
      <c r="F628" s="426"/>
    </row>
    <row r="629">
      <c r="B629" s="139"/>
      <c r="C629" s="139"/>
      <c r="D629" s="139"/>
      <c r="F629" s="426"/>
    </row>
    <row r="630">
      <c r="B630" s="139"/>
      <c r="C630" s="139"/>
      <c r="D630" s="139"/>
      <c r="F630" s="426"/>
    </row>
    <row r="631">
      <c r="B631" s="139"/>
      <c r="C631" s="139"/>
      <c r="D631" s="139"/>
      <c r="F631" s="426"/>
    </row>
    <row r="632">
      <c r="B632" s="139"/>
      <c r="C632" s="139"/>
      <c r="D632" s="139"/>
      <c r="F632" s="426"/>
    </row>
    <row r="633">
      <c r="B633" s="139"/>
      <c r="C633" s="139"/>
      <c r="D633" s="139"/>
      <c r="F633" s="426"/>
    </row>
    <row r="634">
      <c r="B634" s="139"/>
      <c r="C634" s="139"/>
      <c r="D634" s="139"/>
      <c r="F634" s="426"/>
    </row>
    <row r="635">
      <c r="B635" s="139"/>
      <c r="C635" s="139"/>
      <c r="D635" s="139"/>
      <c r="F635" s="426"/>
    </row>
    <row r="636">
      <c r="B636" s="139"/>
      <c r="C636" s="139"/>
      <c r="D636" s="139"/>
      <c r="F636" s="426"/>
    </row>
    <row r="637">
      <c r="B637" s="139"/>
      <c r="C637" s="139"/>
      <c r="D637" s="139"/>
      <c r="F637" s="426"/>
    </row>
    <row r="638">
      <c r="B638" s="139"/>
      <c r="C638" s="139"/>
      <c r="D638" s="139"/>
      <c r="F638" s="426"/>
    </row>
    <row r="639">
      <c r="B639" s="139"/>
      <c r="C639" s="139"/>
      <c r="D639" s="139"/>
      <c r="F639" s="426"/>
    </row>
    <row r="640">
      <c r="B640" s="139"/>
      <c r="C640" s="139"/>
      <c r="D640" s="139"/>
      <c r="F640" s="426"/>
    </row>
    <row r="641">
      <c r="B641" s="139"/>
      <c r="C641" s="139"/>
      <c r="D641" s="139"/>
      <c r="F641" s="426"/>
    </row>
    <row r="642">
      <c r="B642" s="139"/>
      <c r="C642" s="139"/>
      <c r="D642" s="139"/>
      <c r="F642" s="426"/>
    </row>
    <row r="643">
      <c r="B643" s="139"/>
      <c r="C643" s="139"/>
      <c r="D643" s="139"/>
      <c r="F643" s="426"/>
    </row>
    <row r="644">
      <c r="B644" s="139"/>
      <c r="C644" s="139"/>
      <c r="D644" s="139"/>
      <c r="F644" s="426"/>
    </row>
    <row r="645">
      <c r="B645" s="139"/>
      <c r="C645" s="139"/>
      <c r="D645" s="139"/>
      <c r="F645" s="426"/>
    </row>
    <row r="646">
      <c r="B646" s="139"/>
      <c r="C646" s="139"/>
      <c r="D646" s="139"/>
      <c r="F646" s="426"/>
    </row>
    <row r="647">
      <c r="B647" s="139"/>
      <c r="C647" s="139"/>
      <c r="D647" s="139"/>
      <c r="F647" s="426"/>
    </row>
    <row r="648">
      <c r="B648" s="139"/>
      <c r="C648" s="139"/>
      <c r="D648" s="139"/>
      <c r="F648" s="426"/>
    </row>
    <row r="649">
      <c r="B649" s="139"/>
      <c r="C649" s="139"/>
      <c r="D649" s="139"/>
      <c r="F649" s="426"/>
    </row>
    <row r="650">
      <c r="B650" s="139"/>
      <c r="C650" s="139"/>
      <c r="D650" s="139"/>
      <c r="F650" s="426"/>
    </row>
    <row r="651">
      <c r="B651" s="139"/>
      <c r="C651" s="139"/>
      <c r="D651" s="139"/>
      <c r="F651" s="426"/>
    </row>
    <row r="652">
      <c r="B652" s="139"/>
      <c r="C652" s="139"/>
      <c r="D652" s="139"/>
      <c r="F652" s="426"/>
    </row>
    <row r="653">
      <c r="B653" s="139"/>
      <c r="C653" s="139"/>
      <c r="D653" s="139"/>
      <c r="F653" s="426"/>
    </row>
    <row r="654">
      <c r="B654" s="139"/>
      <c r="C654" s="139"/>
      <c r="D654" s="139"/>
      <c r="F654" s="426"/>
    </row>
    <row r="655">
      <c r="B655" s="139"/>
      <c r="C655" s="139"/>
      <c r="D655" s="139"/>
      <c r="F655" s="426"/>
    </row>
    <row r="656">
      <c r="B656" s="139"/>
      <c r="C656" s="139"/>
      <c r="D656" s="139"/>
      <c r="F656" s="426"/>
    </row>
    <row r="657">
      <c r="B657" s="139"/>
      <c r="C657" s="139"/>
      <c r="D657" s="139"/>
      <c r="F657" s="426"/>
    </row>
    <row r="658">
      <c r="B658" s="139"/>
      <c r="C658" s="139"/>
      <c r="D658" s="139"/>
      <c r="F658" s="426"/>
    </row>
    <row r="659">
      <c r="B659" s="139"/>
      <c r="C659" s="139"/>
      <c r="D659" s="139"/>
      <c r="F659" s="426"/>
    </row>
    <row r="660">
      <c r="B660" s="139"/>
      <c r="C660" s="139"/>
      <c r="D660" s="139"/>
      <c r="F660" s="426"/>
    </row>
    <row r="661">
      <c r="B661" s="139"/>
      <c r="C661" s="139"/>
      <c r="D661" s="139"/>
      <c r="F661" s="426"/>
    </row>
    <row r="662">
      <c r="B662" s="139"/>
      <c r="C662" s="139"/>
      <c r="D662" s="139"/>
      <c r="F662" s="426"/>
    </row>
    <row r="663">
      <c r="B663" s="139"/>
      <c r="C663" s="139"/>
      <c r="D663" s="139"/>
      <c r="F663" s="426"/>
    </row>
    <row r="664">
      <c r="B664" s="139"/>
      <c r="C664" s="139"/>
      <c r="D664" s="139"/>
      <c r="F664" s="426"/>
    </row>
    <row r="665">
      <c r="B665" s="139"/>
      <c r="C665" s="139"/>
      <c r="D665" s="139"/>
      <c r="F665" s="426"/>
    </row>
    <row r="666">
      <c r="B666" s="139"/>
      <c r="C666" s="139"/>
      <c r="D666" s="139"/>
      <c r="F666" s="426"/>
    </row>
    <row r="667">
      <c r="B667" s="139"/>
      <c r="C667" s="139"/>
      <c r="D667" s="139"/>
      <c r="F667" s="426"/>
    </row>
    <row r="668">
      <c r="B668" s="139"/>
      <c r="C668" s="139"/>
      <c r="D668" s="139"/>
      <c r="F668" s="426"/>
    </row>
    <row r="669">
      <c r="B669" s="139"/>
      <c r="C669" s="139"/>
      <c r="D669" s="139"/>
      <c r="F669" s="426"/>
    </row>
    <row r="670">
      <c r="B670" s="139"/>
      <c r="C670" s="139"/>
      <c r="D670" s="139"/>
      <c r="F670" s="426"/>
    </row>
    <row r="671">
      <c r="B671" s="139"/>
      <c r="C671" s="139"/>
      <c r="D671" s="139"/>
      <c r="F671" s="426"/>
    </row>
    <row r="672">
      <c r="B672" s="139"/>
      <c r="C672" s="139"/>
      <c r="D672" s="139"/>
      <c r="F672" s="426"/>
    </row>
    <row r="673">
      <c r="B673" s="139"/>
      <c r="C673" s="139"/>
      <c r="D673" s="139"/>
      <c r="F673" s="426"/>
    </row>
    <row r="674">
      <c r="B674" s="139"/>
      <c r="C674" s="139"/>
      <c r="D674" s="139"/>
      <c r="F674" s="426"/>
    </row>
    <row r="675">
      <c r="B675" s="139"/>
      <c r="C675" s="139"/>
      <c r="D675" s="139"/>
      <c r="F675" s="426"/>
    </row>
    <row r="676">
      <c r="B676" s="139"/>
      <c r="C676" s="139"/>
      <c r="D676" s="139"/>
      <c r="F676" s="426"/>
    </row>
    <row r="677">
      <c r="B677" s="139"/>
      <c r="C677" s="139"/>
      <c r="D677" s="139"/>
      <c r="F677" s="426"/>
    </row>
    <row r="678">
      <c r="B678" s="139"/>
      <c r="C678" s="139"/>
      <c r="D678" s="139"/>
      <c r="F678" s="426"/>
    </row>
    <row r="679">
      <c r="B679" s="139"/>
      <c r="C679" s="139"/>
      <c r="D679" s="139"/>
      <c r="F679" s="426"/>
    </row>
    <row r="680">
      <c r="B680" s="139"/>
      <c r="C680" s="139"/>
      <c r="D680" s="139"/>
      <c r="F680" s="426"/>
    </row>
    <row r="681">
      <c r="B681" s="139"/>
      <c r="C681" s="139"/>
      <c r="D681" s="139"/>
      <c r="F681" s="426"/>
    </row>
    <row r="682">
      <c r="B682" s="139"/>
      <c r="C682" s="139"/>
      <c r="D682" s="139"/>
      <c r="F682" s="426"/>
    </row>
    <row r="683">
      <c r="B683" s="139"/>
      <c r="C683" s="139"/>
      <c r="D683" s="139"/>
      <c r="F683" s="426"/>
    </row>
    <row r="684">
      <c r="B684" s="139"/>
      <c r="C684" s="139"/>
      <c r="D684" s="139"/>
      <c r="F684" s="426"/>
    </row>
    <row r="685">
      <c r="B685" s="139"/>
      <c r="C685" s="139"/>
      <c r="D685" s="139"/>
      <c r="F685" s="426"/>
    </row>
    <row r="686">
      <c r="B686" s="139"/>
      <c r="C686" s="139"/>
      <c r="D686" s="139"/>
      <c r="F686" s="426"/>
    </row>
    <row r="687">
      <c r="B687" s="139"/>
      <c r="C687" s="139"/>
      <c r="D687" s="139"/>
      <c r="F687" s="426"/>
    </row>
    <row r="688">
      <c r="B688" s="139"/>
      <c r="C688" s="139"/>
      <c r="D688" s="139"/>
      <c r="F688" s="426"/>
    </row>
    <row r="689">
      <c r="B689" s="139"/>
      <c r="C689" s="139"/>
      <c r="D689" s="139"/>
      <c r="F689" s="426"/>
    </row>
    <row r="690">
      <c r="B690" s="139"/>
      <c r="C690" s="139"/>
      <c r="D690" s="139"/>
      <c r="F690" s="426"/>
    </row>
    <row r="691">
      <c r="B691" s="139"/>
      <c r="C691" s="139"/>
      <c r="D691" s="139"/>
      <c r="F691" s="426"/>
    </row>
    <row r="692">
      <c r="B692" s="139"/>
      <c r="C692" s="139"/>
      <c r="D692" s="139"/>
      <c r="F692" s="426"/>
    </row>
    <row r="693">
      <c r="B693" s="139"/>
      <c r="C693" s="139"/>
      <c r="D693" s="139"/>
      <c r="F693" s="426"/>
    </row>
    <row r="694">
      <c r="B694" s="139"/>
      <c r="C694" s="139"/>
      <c r="D694" s="139"/>
      <c r="F694" s="426"/>
    </row>
    <row r="695">
      <c r="B695" s="139"/>
      <c r="C695" s="139"/>
      <c r="D695" s="139"/>
      <c r="F695" s="426"/>
    </row>
    <row r="696">
      <c r="B696" s="139"/>
      <c r="C696" s="139"/>
      <c r="D696" s="139"/>
      <c r="F696" s="426"/>
    </row>
    <row r="697">
      <c r="B697" s="139"/>
      <c r="C697" s="139"/>
      <c r="D697" s="139"/>
      <c r="F697" s="426"/>
    </row>
    <row r="698">
      <c r="B698" s="139"/>
      <c r="C698" s="139"/>
      <c r="D698" s="139"/>
      <c r="F698" s="426"/>
    </row>
    <row r="699">
      <c r="B699" s="139"/>
      <c r="C699" s="139"/>
      <c r="D699" s="139"/>
      <c r="F699" s="426"/>
    </row>
    <row r="700">
      <c r="B700" s="139"/>
      <c r="C700" s="139"/>
      <c r="D700" s="139"/>
      <c r="F700" s="426"/>
    </row>
    <row r="701">
      <c r="B701" s="139"/>
      <c r="C701" s="139"/>
      <c r="D701" s="139"/>
      <c r="F701" s="426"/>
    </row>
    <row r="702">
      <c r="B702" s="139"/>
      <c r="C702" s="139"/>
      <c r="D702" s="139"/>
      <c r="F702" s="426"/>
    </row>
    <row r="703">
      <c r="B703" s="139"/>
      <c r="C703" s="139"/>
      <c r="D703" s="139"/>
      <c r="F703" s="426"/>
    </row>
    <row r="704">
      <c r="B704" s="139"/>
      <c r="C704" s="139"/>
      <c r="D704" s="139"/>
      <c r="F704" s="426"/>
    </row>
    <row r="705">
      <c r="B705" s="139"/>
      <c r="C705" s="139"/>
      <c r="D705" s="139"/>
      <c r="F705" s="426"/>
    </row>
    <row r="706">
      <c r="B706" s="139"/>
      <c r="C706" s="139"/>
      <c r="D706" s="139"/>
      <c r="F706" s="426"/>
    </row>
    <row r="707">
      <c r="B707" s="139"/>
      <c r="C707" s="139"/>
      <c r="D707" s="139"/>
      <c r="F707" s="426"/>
    </row>
    <row r="708">
      <c r="B708" s="139"/>
      <c r="C708" s="139"/>
      <c r="D708" s="139"/>
      <c r="F708" s="426"/>
    </row>
    <row r="709">
      <c r="B709" s="139"/>
      <c r="C709" s="139"/>
      <c r="D709" s="139"/>
      <c r="F709" s="426"/>
    </row>
    <row r="710">
      <c r="B710" s="139"/>
      <c r="C710" s="139"/>
      <c r="D710" s="139"/>
      <c r="F710" s="426"/>
    </row>
    <row r="711">
      <c r="B711" s="139"/>
      <c r="C711" s="139"/>
      <c r="D711" s="139"/>
      <c r="F711" s="426"/>
    </row>
    <row r="712">
      <c r="B712" s="139"/>
      <c r="C712" s="139"/>
      <c r="D712" s="139"/>
      <c r="F712" s="426"/>
    </row>
    <row r="713">
      <c r="B713" s="139"/>
      <c r="C713" s="139"/>
      <c r="D713" s="139"/>
      <c r="F713" s="426"/>
    </row>
    <row r="714">
      <c r="B714" s="139"/>
      <c r="C714" s="139"/>
      <c r="D714" s="139"/>
      <c r="F714" s="426"/>
    </row>
    <row r="715">
      <c r="B715" s="139"/>
      <c r="C715" s="139"/>
      <c r="D715" s="139"/>
      <c r="F715" s="426"/>
    </row>
    <row r="716">
      <c r="B716" s="139"/>
      <c r="C716" s="139"/>
      <c r="D716" s="139"/>
      <c r="F716" s="426"/>
    </row>
    <row r="717">
      <c r="B717" s="139"/>
      <c r="C717" s="139"/>
      <c r="D717" s="139"/>
      <c r="F717" s="426"/>
    </row>
    <row r="718">
      <c r="B718" s="139"/>
      <c r="C718" s="139"/>
      <c r="D718" s="139"/>
      <c r="F718" s="426"/>
    </row>
    <row r="719">
      <c r="B719" s="139"/>
      <c r="C719" s="139"/>
      <c r="D719" s="139"/>
      <c r="F719" s="426"/>
    </row>
    <row r="720">
      <c r="B720" s="139"/>
      <c r="C720" s="139"/>
      <c r="D720" s="139"/>
      <c r="F720" s="426"/>
    </row>
    <row r="721">
      <c r="B721" s="139"/>
      <c r="C721" s="139"/>
      <c r="D721" s="139"/>
      <c r="F721" s="426"/>
    </row>
    <row r="722">
      <c r="B722" s="139"/>
      <c r="C722" s="139"/>
      <c r="D722" s="139"/>
      <c r="F722" s="426"/>
    </row>
    <row r="723">
      <c r="B723" s="139"/>
      <c r="C723" s="139"/>
      <c r="D723" s="139"/>
      <c r="F723" s="426"/>
    </row>
    <row r="724">
      <c r="B724" s="139"/>
      <c r="C724" s="139"/>
      <c r="D724" s="139"/>
      <c r="F724" s="426"/>
    </row>
    <row r="725">
      <c r="B725" s="139"/>
      <c r="C725" s="139"/>
      <c r="D725" s="139"/>
      <c r="F725" s="426"/>
    </row>
    <row r="726">
      <c r="B726" s="139"/>
      <c r="C726" s="139"/>
      <c r="D726" s="139"/>
      <c r="F726" s="426"/>
    </row>
    <row r="727">
      <c r="B727" s="139"/>
      <c r="C727" s="139"/>
      <c r="D727" s="139"/>
      <c r="F727" s="426"/>
    </row>
    <row r="728">
      <c r="B728" s="139"/>
      <c r="C728" s="139"/>
      <c r="D728" s="139"/>
      <c r="F728" s="426"/>
    </row>
    <row r="729">
      <c r="B729" s="139"/>
      <c r="C729" s="139"/>
      <c r="D729" s="139"/>
      <c r="F729" s="426"/>
    </row>
    <row r="730">
      <c r="B730" s="139"/>
      <c r="C730" s="139"/>
      <c r="D730" s="139"/>
      <c r="F730" s="426"/>
    </row>
    <row r="731">
      <c r="B731" s="139"/>
      <c r="C731" s="139"/>
      <c r="D731" s="139"/>
      <c r="F731" s="426"/>
    </row>
    <row r="732">
      <c r="B732" s="139"/>
      <c r="C732" s="139"/>
      <c r="D732" s="139"/>
      <c r="F732" s="426"/>
    </row>
    <row r="733">
      <c r="B733" s="139"/>
      <c r="C733" s="139"/>
      <c r="D733" s="139"/>
      <c r="F733" s="426"/>
    </row>
    <row r="734">
      <c r="B734" s="139"/>
      <c r="C734" s="139"/>
      <c r="D734" s="139"/>
      <c r="F734" s="426"/>
    </row>
    <row r="735">
      <c r="B735" s="139"/>
      <c r="C735" s="139"/>
      <c r="D735" s="139"/>
      <c r="F735" s="426"/>
    </row>
    <row r="736">
      <c r="B736" s="139"/>
      <c r="C736" s="139"/>
      <c r="D736" s="139"/>
      <c r="F736" s="426"/>
    </row>
    <row r="737">
      <c r="B737" s="139"/>
      <c r="C737" s="139"/>
      <c r="D737" s="139"/>
      <c r="F737" s="426"/>
    </row>
    <row r="738">
      <c r="B738" s="139"/>
      <c r="C738" s="139"/>
      <c r="D738" s="139"/>
      <c r="F738" s="426"/>
    </row>
    <row r="739">
      <c r="B739" s="139"/>
      <c r="C739" s="139"/>
      <c r="D739" s="139"/>
      <c r="F739" s="426"/>
    </row>
    <row r="740">
      <c r="B740" s="139"/>
      <c r="C740" s="139"/>
      <c r="D740" s="139"/>
      <c r="F740" s="426"/>
    </row>
    <row r="741">
      <c r="B741" s="139"/>
      <c r="C741" s="139"/>
      <c r="D741" s="139"/>
      <c r="F741" s="426"/>
    </row>
    <row r="742">
      <c r="B742" s="139"/>
      <c r="C742" s="139"/>
      <c r="D742" s="139"/>
      <c r="F742" s="426"/>
    </row>
    <row r="743">
      <c r="B743" s="139"/>
      <c r="C743" s="139"/>
      <c r="D743" s="139"/>
      <c r="F743" s="426"/>
    </row>
    <row r="744">
      <c r="B744" s="139"/>
      <c r="C744" s="139"/>
      <c r="D744" s="139"/>
      <c r="F744" s="426"/>
    </row>
    <row r="745">
      <c r="B745" s="139"/>
      <c r="C745" s="139"/>
      <c r="D745" s="139"/>
      <c r="F745" s="426"/>
    </row>
    <row r="746">
      <c r="B746" s="139"/>
      <c r="C746" s="139"/>
      <c r="D746" s="139"/>
      <c r="F746" s="426"/>
    </row>
    <row r="747">
      <c r="B747" s="139"/>
      <c r="C747" s="139"/>
      <c r="D747" s="139"/>
      <c r="F747" s="426"/>
    </row>
    <row r="748">
      <c r="B748" s="139"/>
      <c r="C748" s="139"/>
      <c r="D748" s="139"/>
      <c r="F748" s="426"/>
    </row>
    <row r="749">
      <c r="B749" s="139"/>
      <c r="C749" s="139"/>
      <c r="D749" s="139"/>
      <c r="F749" s="426"/>
    </row>
    <row r="750">
      <c r="B750" s="139"/>
      <c r="C750" s="139"/>
      <c r="D750" s="139"/>
      <c r="F750" s="426"/>
    </row>
    <row r="751">
      <c r="B751" s="139"/>
      <c r="C751" s="139"/>
      <c r="D751" s="139"/>
      <c r="F751" s="426"/>
    </row>
    <row r="752">
      <c r="B752" s="139"/>
      <c r="C752" s="139"/>
      <c r="D752" s="139"/>
      <c r="F752" s="426"/>
    </row>
    <row r="753">
      <c r="B753" s="139"/>
      <c r="C753" s="139"/>
      <c r="D753" s="139"/>
      <c r="F753" s="426"/>
    </row>
    <row r="754">
      <c r="B754" s="139"/>
      <c r="C754" s="139"/>
      <c r="D754" s="139"/>
      <c r="F754" s="426"/>
    </row>
    <row r="755">
      <c r="B755" s="139"/>
      <c r="C755" s="139"/>
      <c r="D755" s="139"/>
      <c r="F755" s="426"/>
    </row>
    <row r="756">
      <c r="B756" s="139"/>
      <c r="C756" s="139"/>
      <c r="D756" s="139"/>
      <c r="F756" s="426"/>
    </row>
    <row r="757">
      <c r="B757" s="139"/>
      <c r="C757" s="139"/>
      <c r="D757" s="139"/>
      <c r="F757" s="426"/>
    </row>
    <row r="758">
      <c r="B758" s="139"/>
      <c r="C758" s="139"/>
      <c r="D758" s="139"/>
      <c r="F758" s="426"/>
    </row>
    <row r="759">
      <c r="B759" s="139"/>
      <c r="C759" s="139"/>
      <c r="D759" s="139"/>
      <c r="F759" s="426"/>
    </row>
    <row r="760">
      <c r="B760" s="139"/>
      <c r="C760" s="139"/>
      <c r="D760" s="139"/>
      <c r="F760" s="426"/>
    </row>
    <row r="761">
      <c r="B761" s="139"/>
      <c r="C761" s="139"/>
      <c r="D761" s="139"/>
      <c r="F761" s="426"/>
    </row>
    <row r="762">
      <c r="B762" s="139"/>
      <c r="C762" s="139"/>
      <c r="D762" s="139"/>
      <c r="F762" s="426"/>
    </row>
    <row r="763">
      <c r="B763" s="139"/>
      <c r="C763" s="139"/>
      <c r="D763" s="139"/>
      <c r="F763" s="426"/>
    </row>
    <row r="764">
      <c r="B764" s="139"/>
      <c r="C764" s="139"/>
      <c r="D764" s="139"/>
      <c r="F764" s="426"/>
    </row>
    <row r="765">
      <c r="B765" s="139"/>
      <c r="C765" s="139"/>
      <c r="D765" s="139"/>
      <c r="F765" s="426"/>
    </row>
    <row r="766">
      <c r="B766" s="139"/>
      <c r="C766" s="139"/>
      <c r="D766" s="139"/>
      <c r="F766" s="426"/>
    </row>
    <row r="767">
      <c r="B767" s="139"/>
      <c r="C767" s="139"/>
      <c r="D767" s="139"/>
      <c r="F767" s="426"/>
    </row>
    <row r="768">
      <c r="B768" s="139"/>
      <c r="C768" s="139"/>
      <c r="D768" s="139"/>
      <c r="F768" s="426"/>
    </row>
    <row r="769">
      <c r="B769" s="139"/>
      <c r="C769" s="139"/>
      <c r="D769" s="139"/>
      <c r="F769" s="426"/>
    </row>
    <row r="770">
      <c r="B770" s="139"/>
      <c r="C770" s="139"/>
      <c r="D770" s="139"/>
      <c r="F770" s="426"/>
    </row>
    <row r="771">
      <c r="B771" s="139"/>
      <c r="C771" s="139"/>
      <c r="D771" s="139"/>
      <c r="F771" s="426"/>
    </row>
    <row r="772">
      <c r="B772" s="139"/>
      <c r="C772" s="139"/>
      <c r="D772" s="139"/>
      <c r="F772" s="426"/>
    </row>
    <row r="773">
      <c r="B773" s="139"/>
      <c r="C773" s="139"/>
      <c r="D773" s="139"/>
      <c r="F773" s="426"/>
    </row>
    <row r="774">
      <c r="B774" s="139"/>
      <c r="C774" s="139"/>
      <c r="D774" s="139"/>
      <c r="F774" s="426"/>
    </row>
    <row r="775">
      <c r="B775" s="139"/>
      <c r="C775" s="139"/>
      <c r="D775" s="139"/>
      <c r="F775" s="426"/>
    </row>
    <row r="776">
      <c r="B776" s="139"/>
      <c r="C776" s="139"/>
      <c r="D776" s="139"/>
      <c r="F776" s="426"/>
    </row>
    <row r="777">
      <c r="B777" s="139"/>
      <c r="C777" s="139"/>
      <c r="D777" s="139"/>
      <c r="F777" s="426"/>
    </row>
    <row r="778">
      <c r="B778" s="139"/>
      <c r="C778" s="139"/>
      <c r="D778" s="139"/>
      <c r="F778" s="426"/>
    </row>
    <row r="779">
      <c r="B779" s="139"/>
      <c r="C779" s="139"/>
      <c r="D779" s="139"/>
      <c r="F779" s="426"/>
    </row>
    <row r="780">
      <c r="B780" s="139"/>
      <c r="C780" s="139"/>
      <c r="D780" s="139"/>
      <c r="F780" s="426"/>
    </row>
    <row r="781">
      <c r="B781" s="139"/>
      <c r="C781" s="139"/>
      <c r="D781" s="139"/>
      <c r="F781" s="426"/>
    </row>
    <row r="782">
      <c r="B782" s="139"/>
      <c r="C782" s="139"/>
      <c r="D782" s="139"/>
      <c r="F782" s="426"/>
    </row>
    <row r="783">
      <c r="B783" s="139"/>
      <c r="C783" s="139"/>
      <c r="D783" s="139"/>
      <c r="F783" s="426"/>
    </row>
    <row r="784">
      <c r="B784" s="139"/>
      <c r="C784" s="139"/>
      <c r="D784" s="139"/>
      <c r="F784" s="426"/>
    </row>
    <row r="785">
      <c r="B785" s="139"/>
      <c r="C785" s="139"/>
      <c r="D785" s="139"/>
      <c r="F785" s="426"/>
    </row>
    <row r="786">
      <c r="B786" s="139"/>
      <c r="C786" s="139"/>
      <c r="D786" s="139"/>
      <c r="F786" s="426"/>
    </row>
    <row r="787">
      <c r="B787" s="139"/>
      <c r="C787" s="139"/>
      <c r="D787" s="139"/>
      <c r="F787" s="426"/>
    </row>
    <row r="788">
      <c r="B788" s="139"/>
      <c r="C788" s="139"/>
      <c r="D788" s="139"/>
      <c r="F788" s="426"/>
    </row>
    <row r="789">
      <c r="B789" s="139"/>
      <c r="C789" s="139"/>
      <c r="D789" s="139"/>
      <c r="F789" s="426"/>
    </row>
    <row r="790">
      <c r="B790" s="139"/>
      <c r="C790" s="139"/>
      <c r="D790" s="139"/>
      <c r="F790" s="426"/>
    </row>
    <row r="791">
      <c r="B791" s="139"/>
      <c r="C791" s="139"/>
      <c r="D791" s="139"/>
      <c r="F791" s="426"/>
    </row>
    <row r="792">
      <c r="B792" s="139"/>
      <c r="C792" s="139"/>
      <c r="D792" s="139"/>
      <c r="F792" s="426"/>
    </row>
    <row r="793">
      <c r="B793" s="139"/>
      <c r="C793" s="139"/>
      <c r="D793" s="139"/>
      <c r="F793" s="426"/>
    </row>
    <row r="794">
      <c r="B794" s="139"/>
      <c r="C794" s="139"/>
      <c r="D794" s="139"/>
      <c r="F794" s="426"/>
    </row>
    <row r="795">
      <c r="B795" s="139"/>
      <c r="C795" s="139"/>
      <c r="D795" s="139"/>
      <c r="F795" s="426"/>
    </row>
    <row r="796">
      <c r="B796" s="139"/>
      <c r="C796" s="139"/>
      <c r="D796" s="139"/>
      <c r="F796" s="426"/>
    </row>
    <row r="797">
      <c r="B797" s="139"/>
      <c r="C797" s="139"/>
      <c r="D797" s="139"/>
      <c r="F797" s="426"/>
    </row>
    <row r="798">
      <c r="B798" s="139"/>
      <c r="C798" s="139"/>
      <c r="D798" s="139"/>
      <c r="F798" s="426"/>
    </row>
    <row r="799">
      <c r="B799" s="139"/>
      <c r="C799" s="139"/>
      <c r="D799" s="139"/>
      <c r="F799" s="426"/>
    </row>
    <row r="800">
      <c r="B800" s="139"/>
      <c r="C800" s="139"/>
      <c r="D800" s="139"/>
      <c r="F800" s="426"/>
    </row>
    <row r="801">
      <c r="B801" s="139"/>
      <c r="C801" s="139"/>
      <c r="D801" s="139"/>
      <c r="F801" s="426"/>
    </row>
    <row r="802">
      <c r="B802" s="139"/>
      <c r="C802" s="139"/>
      <c r="D802" s="139"/>
      <c r="F802" s="426"/>
    </row>
    <row r="803">
      <c r="B803" s="139"/>
      <c r="C803" s="139"/>
      <c r="D803" s="139"/>
      <c r="F803" s="426"/>
    </row>
    <row r="804">
      <c r="B804" s="139"/>
      <c r="C804" s="139"/>
      <c r="D804" s="139"/>
      <c r="F804" s="426"/>
    </row>
    <row r="805">
      <c r="B805" s="139"/>
      <c r="C805" s="139"/>
      <c r="D805" s="139"/>
      <c r="F805" s="426"/>
    </row>
    <row r="806">
      <c r="B806" s="139"/>
      <c r="C806" s="139"/>
      <c r="D806" s="139"/>
      <c r="F806" s="426"/>
    </row>
    <row r="807">
      <c r="B807" s="139"/>
      <c r="C807" s="139"/>
      <c r="D807" s="139"/>
      <c r="F807" s="426"/>
    </row>
    <row r="808">
      <c r="B808" s="139"/>
      <c r="C808" s="139"/>
      <c r="D808" s="139"/>
      <c r="F808" s="426"/>
    </row>
    <row r="809">
      <c r="B809" s="139"/>
      <c r="C809" s="139"/>
      <c r="D809" s="139"/>
      <c r="F809" s="426"/>
    </row>
    <row r="810">
      <c r="B810" s="139"/>
      <c r="C810" s="139"/>
      <c r="D810" s="139"/>
      <c r="F810" s="426"/>
    </row>
    <row r="811">
      <c r="B811" s="139"/>
      <c r="C811" s="139"/>
      <c r="D811" s="139"/>
      <c r="F811" s="426"/>
    </row>
    <row r="812">
      <c r="B812" s="139"/>
      <c r="C812" s="139"/>
      <c r="D812" s="139"/>
      <c r="F812" s="426"/>
    </row>
    <row r="813">
      <c r="B813" s="139"/>
      <c r="C813" s="139"/>
      <c r="D813" s="139"/>
      <c r="F813" s="426"/>
    </row>
    <row r="814">
      <c r="B814" s="139"/>
      <c r="C814" s="139"/>
      <c r="D814" s="139"/>
      <c r="F814" s="426"/>
    </row>
    <row r="815">
      <c r="B815" s="139"/>
      <c r="C815" s="139"/>
      <c r="D815" s="139"/>
      <c r="F815" s="426"/>
    </row>
    <row r="816">
      <c r="B816" s="139"/>
      <c r="C816" s="139"/>
      <c r="D816" s="139"/>
      <c r="F816" s="426"/>
    </row>
    <row r="817">
      <c r="B817" s="139"/>
      <c r="C817" s="139"/>
      <c r="D817" s="139"/>
      <c r="F817" s="426"/>
    </row>
    <row r="818">
      <c r="B818" s="139"/>
      <c r="C818" s="139"/>
      <c r="D818" s="139"/>
      <c r="F818" s="426"/>
    </row>
    <row r="819">
      <c r="B819" s="139"/>
      <c r="C819" s="139"/>
      <c r="D819" s="139"/>
      <c r="F819" s="426"/>
    </row>
    <row r="820">
      <c r="B820" s="139"/>
      <c r="C820" s="139"/>
      <c r="D820" s="139"/>
      <c r="F820" s="426"/>
    </row>
    <row r="821">
      <c r="B821" s="139"/>
      <c r="C821" s="139"/>
      <c r="D821" s="139"/>
      <c r="F821" s="426"/>
    </row>
    <row r="822">
      <c r="B822" s="139"/>
      <c r="C822" s="139"/>
      <c r="D822" s="139"/>
      <c r="F822" s="426"/>
    </row>
    <row r="823">
      <c r="B823" s="139"/>
      <c r="C823" s="139"/>
      <c r="D823" s="139"/>
      <c r="F823" s="426"/>
    </row>
    <row r="824">
      <c r="B824" s="139"/>
      <c r="C824" s="139"/>
      <c r="D824" s="139"/>
      <c r="F824" s="426"/>
    </row>
    <row r="825">
      <c r="B825" s="139"/>
      <c r="C825" s="139"/>
      <c r="D825" s="139"/>
      <c r="F825" s="426"/>
    </row>
    <row r="826">
      <c r="B826" s="139"/>
      <c r="C826" s="139"/>
      <c r="D826" s="139"/>
      <c r="F826" s="426"/>
    </row>
    <row r="827">
      <c r="B827" s="139"/>
      <c r="C827" s="139"/>
      <c r="D827" s="139"/>
      <c r="F827" s="426"/>
    </row>
    <row r="828">
      <c r="B828" s="139"/>
      <c r="C828" s="139"/>
      <c r="D828" s="139"/>
      <c r="F828" s="426"/>
    </row>
    <row r="829">
      <c r="B829" s="139"/>
      <c r="C829" s="139"/>
      <c r="D829" s="139"/>
      <c r="F829" s="426"/>
    </row>
    <row r="830">
      <c r="B830" s="139"/>
      <c r="C830" s="139"/>
      <c r="D830" s="139"/>
      <c r="F830" s="426"/>
    </row>
    <row r="831">
      <c r="B831" s="139"/>
      <c r="C831" s="139"/>
      <c r="D831" s="139"/>
      <c r="F831" s="426"/>
    </row>
    <row r="832">
      <c r="B832" s="139"/>
      <c r="C832" s="139"/>
      <c r="D832" s="139"/>
      <c r="F832" s="426"/>
    </row>
    <row r="833">
      <c r="B833" s="139"/>
      <c r="C833" s="139"/>
      <c r="D833" s="139"/>
      <c r="F833" s="426"/>
    </row>
    <row r="834">
      <c r="B834" s="139"/>
      <c r="C834" s="139"/>
      <c r="D834" s="139"/>
      <c r="F834" s="426"/>
    </row>
    <row r="835">
      <c r="B835" s="139"/>
      <c r="C835" s="139"/>
      <c r="D835" s="139"/>
      <c r="F835" s="426"/>
    </row>
    <row r="836">
      <c r="B836" s="139"/>
      <c r="C836" s="139"/>
      <c r="D836" s="139"/>
      <c r="F836" s="426"/>
    </row>
    <row r="837">
      <c r="B837" s="139"/>
      <c r="C837" s="139"/>
      <c r="D837" s="139"/>
      <c r="F837" s="426"/>
    </row>
    <row r="838">
      <c r="B838" s="139"/>
      <c r="C838" s="139"/>
      <c r="D838" s="139"/>
      <c r="F838" s="426"/>
    </row>
    <row r="839">
      <c r="B839" s="139"/>
      <c r="C839" s="139"/>
      <c r="D839" s="139"/>
      <c r="F839" s="426"/>
    </row>
    <row r="840">
      <c r="B840" s="139"/>
      <c r="C840" s="139"/>
      <c r="D840" s="139"/>
      <c r="F840" s="426"/>
    </row>
    <row r="841">
      <c r="B841" s="139"/>
      <c r="C841" s="139"/>
      <c r="D841" s="139"/>
      <c r="F841" s="426"/>
    </row>
    <row r="842">
      <c r="B842" s="139"/>
      <c r="C842" s="139"/>
      <c r="D842" s="139"/>
      <c r="F842" s="426"/>
    </row>
    <row r="843">
      <c r="B843" s="139"/>
      <c r="C843" s="139"/>
      <c r="D843" s="139"/>
      <c r="F843" s="426"/>
    </row>
    <row r="844">
      <c r="B844" s="139"/>
      <c r="C844" s="139"/>
      <c r="D844" s="139"/>
      <c r="F844" s="426"/>
    </row>
    <row r="845">
      <c r="B845" s="139"/>
      <c r="C845" s="139"/>
      <c r="D845" s="139"/>
      <c r="F845" s="426"/>
    </row>
    <row r="846">
      <c r="B846" s="139"/>
      <c r="C846" s="139"/>
      <c r="D846" s="139"/>
      <c r="F846" s="426"/>
    </row>
    <row r="847">
      <c r="B847" s="139"/>
      <c r="C847" s="139"/>
      <c r="D847" s="139"/>
      <c r="F847" s="426"/>
    </row>
    <row r="848">
      <c r="B848" s="139"/>
      <c r="C848" s="139"/>
      <c r="D848" s="139"/>
      <c r="F848" s="426"/>
    </row>
    <row r="849">
      <c r="B849" s="139"/>
      <c r="C849" s="139"/>
      <c r="D849" s="139"/>
      <c r="F849" s="426"/>
    </row>
    <row r="850">
      <c r="B850" s="139"/>
      <c r="C850" s="139"/>
      <c r="D850" s="139"/>
      <c r="F850" s="426"/>
    </row>
    <row r="851">
      <c r="B851" s="139"/>
      <c r="C851" s="139"/>
      <c r="D851" s="139"/>
      <c r="F851" s="426"/>
    </row>
    <row r="852">
      <c r="B852" s="139"/>
      <c r="C852" s="139"/>
      <c r="D852" s="139"/>
      <c r="F852" s="426"/>
    </row>
    <row r="853">
      <c r="B853" s="139"/>
      <c r="C853" s="139"/>
      <c r="D853" s="139"/>
      <c r="F853" s="426"/>
    </row>
    <row r="854">
      <c r="B854" s="139"/>
      <c r="C854" s="139"/>
      <c r="D854" s="139"/>
      <c r="F854" s="426"/>
    </row>
    <row r="855">
      <c r="B855" s="139"/>
      <c r="C855" s="139"/>
      <c r="D855" s="139"/>
      <c r="F855" s="426"/>
    </row>
    <row r="856">
      <c r="B856" s="139"/>
      <c r="C856" s="139"/>
      <c r="D856" s="139"/>
      <c r="F856" s="426"/>
    </row>
    <row r="857">
      <c r="B857" s="139"/>
      <c r="C857" s="139"/>
      <c r="D857" s="139"/>
      <c r="F857" s="426"/>
    </row>
    <row r="858">
      <c r="B858" s="139"/>
      <c r="C858" s="139"/>
      <c r="D858" s="139"/>
      <c r="F858" s="426"/>
    </row>
    <row r="859">
      <c r="B859" s="139"/>
      <c r="C859" s="139"/>
      <c r="D859" s="139"/>
      <c r="F859" s="426"/>
    </row>
    <row r="860">
      <c r="B860" s="139"/>
      <c r="C860" s="139"/>
      <c r="D860" s="139"/>
      <c r="F860" s="426"/>
    </row>
    <row r="861">
      <c r="B861" s="139"/>
      <c r="C861" s="139"/>
      <c r="D861" s="139"/>
      <c r="F861" s="426"/>
    </row>
    <row r="862">
      <c r="B862" s="139"/>
      <c r="C862" s="139"/>
      <c r="D862" s="139"/>
      <c r="F862" s="426"/>
    </row>
    <row r="863">
      <c r="B863" s="139"/>
      <c r="C863" s="139"/>
      <c r="D863" s="139"/>
      <c r="F863" s="426"/>
    </row>
    <row r="864">
      <c r="B864" s="139"/>
      <c r="C864" s="139"/>
      <c r="D864" s="139"/>
      <c r="F864" s="426"/>
    </row>
    <row r="865">
      <c r="B865" s="139"/>
      <c r="C865" s="139"/>
      <c r="D865" s="139"/>
      <c r="F865" s="426"/>
    </row>
    <row r="866">
      <c r="B866" s="139"/>
      <c r="C866" s="139"/>
      <c r="D866" s="139"/>
      <c r="F866" s="426"/>
    </row>
    <row r="867">
      <c r="B867" s="139"/>
      <c r="C867" s="139"/>
      <c r="D867" s="139"/>
      <c r="F867" s="426"/>
    </row>
    <row r="868">
      <c r="B868" s="139"/>
      <c r="C868" s="139"/>
      <c r="D868" s="139"/>
      <c r="F868" s="426"/>
    </row>
    <row r="869">
      <c r="B869" s="139"/>
      <c r="C869" s="139"/>
      <c r="D869" s="139"/>
      <c r="F869" s="426"/>
    </row>
    <row r="870">
      <c r="B870" s="139"/>
      <c r="C870" s="139"/>
      <c r="D870" s="139"/>
      <c r="F870" s="426"/>
    </row>
    <row r="871">
      <c r="B871" s="139"/>
      <c r="C871" s="139"/>
      <c r="D871" s="139"/>
      <c r="F871" s="426"/>
    </row>
    <row r="872">
      <c r="B872" s="139"/>
      <c r="C872" s="139"/>
      <c r="D872" s="139"/>
      <c r="F872" s="426"/>
    </row>
    <row r="873">
      <c r="B873" s="139"/>
      <c r="C873" s="139"/>
      <c r="D873" s="139"/>
      <c r="F873" s="426"/>
    </row>
    <row r="874">
      <c r="B874" s="139"/>
      <c r="C874" s="139"/>
      <c r="D874" s="139"/>
      <c r="F874" s="426"/>
    </row>
    <row r="875">
      <c r="B875" s="139"/>
      <c r="C875" s="139"/>
      <c r="D875" s="139"/>
      <c r="F875" s="426"/>
    </row>
    <row r="876">
      <c r="B876" s="139"/>
      <c r="C876" s="139"/>
      <c r="D876" s="139"/>
      <c r="F876" s="426"/>
    </row>
    <row r="877">
      <c r="B877" s="139"/>
      <c r="C877" s="139"/>
      <c r="D877" s="139"/>
      <c r="F877" s="426"/>
    </row>
    <row r="878">
      <c r="B878" s="139"/>
      <c r="C878" s="139"/>
      <c r="D878" s="139"/>
      <c r="F878" s="426"/>
    </row>
    <row r="879">
      <c r="B879" s="139"/>
      <c r="C879" s="139"/>
      <c r="D879" s="139"/>
      <c r="F879" s="426"/>
    </row>
    <row r="880">
      <c r="B880" s="139"/>
      <c r="C880" s="139"/>
      <c r="D880" s="139"/>
      <c r="F880" s="426"/>
    </row>
    <row r="881">
      <c r="B881" s="139"/>
      <c r="C881" s="139"/>
      <c r="D881" s="139"/>
      <c r="F881" s="426"/>
    </row>
    <row r="882">
      <c r="B882" s="139"/>
      <c r="C882" s="139"/>
      <c r="D882" s="139"/>
      <c r="F882" s="426"/>
    </row>
    <row r="883">
      <c r="B883" s="139"/>
      <c r="C883" s="139"/>
      <c r="D883" s="139"/>
      <c r="F883" s="426"/>
    </row>
    <row r="884">
      <c r="B884" s="139"/>
      <c r="C884" s="139"/>
      <c r="D884" s="139"/>
      <c r="F884" s="426"/>
    </row>
    <row r="885">
      <c r="B885" s="139"/>
      <c r="C885" s="139"/>
      <c r="D885" s="139"/>
      <c r="F885" s="426"/>
    </row>
    <row r="886">
      <c r="B886" s="139"/>
      <c r="C886" s="139"/>
      <c r="D886" s="139"/>
      <c r="F886" s="426"/>
    </row>
    <row r="887">
      <c r="B887" s="139"/>
      <c r="C887" s="139"/>
      <c r="D887" s="139"/>
      <c r="F887" s="426"/>
    </row>
    <row r="888">
      <c r="B888" s="139"/>
      <c r="C888" s="139"/>
      <c r="D888" s="139"/>
      <c r="F888" s="426"/>
    </row>
    <row r="889">
      <c r="B889" s="139"/>
      <c r="C889" s="139"/>
      <c r="D889" s="139"/>
      <c r="F889" s="426"/>
    </row>
    <row r="890">
      <c r="B890" s="139"/>
      <c r="C890" s="139"/>
      <c r="D890" s="139"/>
      <c r="F890" s="426"/>
    </row>
    <row r="891">
      <c r="B891" s="139"/>
      <c r="C891" s="139"/>
      <c r="D891" s="139"/>
      <c r="F891" s="426"/>
    </row>
    <row r="892">
      <c r="B892" s="139"/>
      <c r="C892" s="139"/>
      <c r="D892" s="139"/>
      <c r="F892" s="426"/>
    </row>
    <row r="893">
      <c r="B893" s="139"/>
      <c r="C893" s="139"/>
      <c r="D893" s="139"/>
      <c r="F893" s="426"/>
    </row>
    <row r="894">
      <c r="B894" s="139"/>
      <c r="C894" s="139"/>
      <c r="D894" s="139"/>
      <c r="F894" s="426"/>
    </row>
    <row r="895">
      <c r="B895" s="139"/>
      <c r="C895" s="139"/>
      <c r="D895" s="139"/>
      <c r="F895" s="426"/>
    </row>
    <row r="896">
      <c r="B896" s="139"/>
      <c r="C896" s="139"/>
      <c r="D896" s="139"/>
      <c r="F896" s="426"/>
    </row>
    <row r="897">
      <c r="B897" s="139"/>
      <c r="C897" s="139"/>
      <c r="D897" s="139"/>
      <c r="F897" s="426"/>
    </row>
    <row r="898">
      <c r="B898" s="139"/>
      <c r="C898" s="139"/>
      <c r="D898" s="139"/>
      <c r="F898" s="426"/>
    </row>
    <row r="899">
      <c r="B899" s="139"/>
      <c r="C899" s="139"/>
      <c r="D899" s="139"/>
      <c r="F899" s="426"/>
    </row>
    <row r="900">
      <c r="B900" s="139"/>
      <c r="C900" s="139"/>
      <c r="D900" s="139"/>
      <c r="F900" s="426"/>
    </row>
    <row r="901">
      <c r="B901" s="139"/>
      <c r="C901" s="139"/>
      <c r="D901" s="139"/>
      <c r="F901" s="426"/>
    </row>
    <row r="902">
      <c r="B902" s="139"/>
      <c r="C902" s="139"/>
      <c r="D902" s="139"/>
      <c r="F902" s="426"/>
    </row>
    <row r="903">
      <c r="B903" s="139"/>
      <c r="C903" s="139"/>
      <c r="D903" s="139"/>
      <c r="F903" s="426"/>
    </row>
    <row r="904">
      <c r="B904" s="139"/>
      <c r="C904" s="139"/>
      <c r="D904" s="139"/>
      <c r="F904" s="426"/>
    </row>
    <row r="905">
      <c r="B905" s="139"/>
      <c r="C905" s="139"/>
      <c r="D905" s="139"/>
      <c r="F905" s="426"/>
    </row>
    <row r="906">
      <c r="B906" s="139"/>
      <c r="C906" s="139"/>
      <c r="D906" s="139"/>
      <c r="F906" s="426"/>
    </row>
    <row r="907">
      <c r="B907" s="139"/>
      <c r="C907" s="139"/>
      <c r="D907" s="139"/>
      <c r="F907" s="426"/>
    </row>
    <row r="908">
      <c r="B908" s="139"/>
      <c r="C908" s="139"/>
      <c r="D908" s="139"/>
      <c r="F908" s="426"/>
    </row>
    <row r="909">
      <c r="B909" s="139"/>
      <c r="C909" s="139"/>
      <c r="D909" s="139"/>
      <c r="F909" s="426"/>
    </row>
    <row r="910">
      <c r="B910" s="139"/>
      <c r="C910" s="139"/>
      <c r="D910" s="139"/>
      <c r="F910" s="426"/>
    </row>
    <row r="911">
      <c r="B911" s="139"/>
      <c r="C911" s="139"/>
      <c r="D911" s="139"/>
      <c r="F911" s="426"/>
    </row>
    <row r="912">
      <c r="B912" s="139"/>
      <c r="C912" s="139"/>
      <c r="D912" s="139"/>
      <c r="F912" s="426"/>
    </row>
    <row r="913">
      <c r="B913" s="139"/>
      <c r="C913" s="139"/>
      <c r="D913" s="139"/>
      <c r="F913" s="426"/>
    </row>
    <row r="914">
      <c r="B914" s="139"/>
      <c r="C914" s="139"/>
      <c r="D914" s="139"/>
      <c r="F914" s="426"/>
    </row>
    <row r="915">
      <c r="B915" s="139"/>
      <c r="C915" s="139"/>
      <c r="D915" s="139"/>
      <c r="F915" s="426"/>
    </row>
    <row r="916">
      <c r="B916" s="139"/>
      <c r="C916" s="139"/>
      <c r="D916" s="139"/>
      <c r="F916" s="426"/>
    </row>
    <row r="917">
      <c r="B917" s="139"/>
      <c r="C917" s="139"/>
      <c r="D917" s="139"/>
      <c r="F917" s="426"/>
    </row>
    <row r="918">
      <c r="B918" s="139"/>
      <c r="C918" s="139"/>
      <c r="D918" s="139"/>
      <c r="F918" s="426"/>
    </row>
    <row r="919">
      <c r="B919" s="139"/>
      <c r="C919" s="139"/>
      <c r="D919" s="139"/>
      <c r="F919" s="426"/>
    </row>
    <row r="920">
      <c r="B920" s="139"/>
      <c r="C920" s="139"/>
      <c r="D920" s="139"/>
      <c r="F920" s="426"/>
    </row>
    <row r="921">
      <c r="B921" s="139"/>
      <c r="C921" s="139"/>
      <c r="D921" s="139"/>
      <c r="F921" s="426"/>
    </row>
    <row r="922">
      <c r="B922" s="139"/>
      <c r="C922" s="139"/>
      <c r="D922" s="139"/>
      <c r="F922" s="426"/>
    </row>
    <row r="923">
      <c r="B923" s="139"/>
      <c r="C923" s="139"/>
      <c r="D923" s="139"/>
      <c r="F923" s="426"/>
    </row>
    <row r="924">
      <c r="B924" s="139"/>
      <c r="C924" s="139"/>
      <c r="D924" s="139"/>
      <c r="F924" s="426"/>
    </row>
    <row r="925">
      <c r="B925" s="139"/>
      <c r="C925" s="139"/>
      <c r="D925" s="139"/>
      <c r="F925" s="426"/>
    </row>
    <row r="926">
      <c r="B926" s="139"/>
      <c r="C926" s="139"/>
      <c r="D926" s="139"/>
      <c r="F926" s="426"/>
    </row>
    <row r="927">
      <c r="B927" s="139"/>
      <c r="C927" s="139"/>
      <c r="D927" s="139"/>
      <c r="F927" s="426"/>
    </row>
    <row r="928">
      <c r="B928" s="139"/>
      <c r="C928" s="139"/>
      <c r="D928" s="139"/>
      <c r="F928" s="426"/>
    </row>
    <row r="929">
      <c r="B929" s="139"/>
      <c r="C929" s="139"/>
      <c r="D929" s="139"/>
      <c r="F929" s="426"/>
    </row>
    <row r="930">
      <c r="B930" s="139"/>
      <c r="C930" s="139"/>
      <c r="D930" s="139"/>
      <c r="F930" s="426"/>
    </row>
    <row r="931">
      <c r="B931" s="139"/>
      <c r="C931" s="139"/>
      <c r="D931" s="139"/>
      <c r="F931" s="426"/>
    </row>
    <row r="932">
      <c r="B932" s="139"/>
      <c r="C932" s="139"/>
      <c r="D932" s="139"/>
      <c r="F932" s="426"/>
    </row>
    <row r="933">
      <c r="B933" s="139"/>
      <c r="C933" s="139"/>
      <c r="D933" s="139"/>
      <c r="F933" s="426"/>
    </row>
    <row r="934">
      <c r="B934" s="139"/>
      <c r="C934" s="139"/>
      <c r="D934" s="139"/>
      <c r="F934" s="426"/>
    </row>
    <row r="935">
      <c r="B935" s="139"/>
      <c r="C935" s="139"/>
      <c r="D935" s="139"/>
      <c r="F935" s="426"/>
    </row>
    <row r="936">
      <c r="B936" s="139"/>
      <c r="C936" s="139"/>
      <c r="D936" s="139"/>
      <c r="F936" s="426"/>
    </row>
    <row r="937">
      <c r="B937" s="139"/>
      <c r="C937" s="139"/>
      <c r="D937" s="139"/>
      <c r="F937" s="426"/>
    </row>
    <row r="938">
      <c r="B938" s="139"/>
      <c r="C938" s="139"/>
      <c r="D938" s="139"/>
      <c r="F938" s="426"/>
    </row>
    <row r="939">
      <c r="B939" s="139"/>
      <c r="C939" s="139"/>
      <c r="D939" s="139"/>
      <c r="F939" s="426"/>
    </row>
    <row r="940">
      <c r="B940" s="139"/>
      <c r="C940" s="139"/>
      <c r="D940" s="139"/>
      <c r="F940" s="426"/>
    </row>
    <row r="941">
      <c r="B941" s="139"/>
      <c r="C941" s="139"/>
      <c r="D941" s="139"/>
      <c r="F941" s="426"/>
    </row>
    <row r="942">
      <c r="B942" s="139"/>
      <c r="C942" s="139"/>
      <c r="D942" s="139"/>
      <c r="F942" s="426"/>
    </row>
    <row r="943">
      <c r="B943" s="139"/>
      <c r="C943" s="139"/>
      <c r="D943" s="139"/>
      <c r="F943" s="426"/>
    </row>
    <row r="944">
      <c r="B944" s="139"/>
      <c r="C944" s="139"/>
      <c r="D944" s="139"/>
      <c r="F944" s="426"/>
    </row>
    <row r="945">
      <c r="B945" s="139"/>
      <c r="C945" s="139"/>
      <c r="D945" s="139"/>
      <c r="F945" s="426"/>
    </row>
    <row r="946">
      <c r="B946" s="139"/>
      <c r="C946" s="139"/>
      <c r="D946" s="139"/>
      <c r="F946" s="426"/>
    </row>
    <row r="947">
      <c r="B947" s="139"/>
      <c r="C947" s="139"/>
      <c r="D947" s="139"/>
      <c r="F947" s="426"/>
    </row>
    <row r="948">
      <c r="B948" s="139"/>
      <c r="C948" s="139"/>
      <c r="D948" s="139"/>
      <c r="F948" s="426"/>
    </row>
    <row r="949">
      <c r="B949" s="139"/>
      <c r="C949" s="139"/>
      <c r="D949" s="139"/>
      <c r="F949" s="426"/>
    </row>
    <row r="950">
      <c r="B950" s="139"/>
      <c r="C950" s="139"/>
      <c r="D950" s="139"/>
      <c r="F950" s="426"/>
    </row>
    <row r="951">
      <c r="B951" s="139"/>
      <c r="C951" s="139"/>
      <c r="D951" s="139"/>
      <c r="F951" s="426"/>
    </row>
    <row r="952">
      <c r="B952" s="139"/>
      <c r="C952" s="139"/>
      <c r="D952" s="139"/>
      <c r="F952" s="426"/>
    </row>
    <row r="953">
      <c r="B953" s="139"/>
      <c r="C953" s="139"/>
      <c r="D953" s="139"/>
      <c r="F953" s="426"/>
    </row>
    <row r="954">
      <c r="B954" s="139"/>
      <c r="C954" s="139"/>
      <c r="D954" s="139"/>
      <c r="F954" s="426"/>
    </row>
    <row r="955">
      <c r="B955" s="139"/>
      <c r="C955" s="139"/>
      <c r="D955" s="139"/>
      <c r="F955" s="426"/>
    </row>
    <row r="956">
      <c r="B956" s="139"/>
      <c r="C956" s="139"/>
      <c r="D956" s="139"/>
      <c r="F956" s="426"/>
    </row>
    <row r="957">
      <c r="B957" s="139"/>
      <c r="C957" s="139"/>
      <c r="D957" s="139"/>
      <c r="F957" s="426"/>
    </row>
    <row r="958">
      <c r="B958" s="139"/>
      <c r="C958" s="139"/>
      <c r="D958" s="139"/>
      <c r="F958" s="426"/>
    </row>
    <row r="959">
      <c r="B959" s="139"/>
      <c r="C959" s="139"/>
      <c r="D959" s="139"/>
      <c r="F959" s="426"/>
    </row>
    <row r="960">
      <c r="B960" s="139"/>
      <c r="C960" s="139"/>
      <c r="D960" s="139"/>
      <c r="F960" s="426"/>
    </row>
    <row r="961">
      <c r="B961" s="139"/>
      <c r="C961" s="139"/>
      <c r="D961" s="139"/>
      <c r="F961" s="426"/>
    </row>
    <row r="962">
      <c r="B962" s="139"/>
      <c r="C962" s="139"/>
      <c r="D962" s="139"/>
      <c r="F962" s="426"/>
    </row>
    <row r="963">
      <c r="B963" s="139"/>
      <c r="C963" s="139"/>
      <c r="D963" s="139"/>
      <c r="F963" s="426"/>
    </row>
    <row r="964">
      <c r="B964" s="139"/>
      <c r="C964" s="139"/>
      <c r="D964" s="139"/>
      <c r="F964" s="426"/>
    </row>
    <row r="965">
      <c r="B965" s="139"/>
      <c r="C965" s="139"/>
      <c r="D965" s="139"/>
      <c r="F965" s="426"/>
    </row>
    <row r="966">
      <c r="B966" s="139"/>
      <c r="C966" s="139"/>
      <c r="D966" s="139"/>
      <c r="F966" s="426"/>
    </row>
    <row r="967">
      <c r="B967" s="139"/>
      <c r="C967" s="139"/>
      <c r="D967" s="139"/>
      <c r="F967" s="426"/>
    </row>
    <row r="968">
      <c r="B968" s="139"/>
      <c r="C968" s="139"/>
      <c r="D968" s="139"/>
      <c r="F968" s="426"/>
    </row>
    <row r="969">
      <c r="B969" s="139"/>
      <c r="C969" s="139"/>
      <c r="D969" s="139"/>
      <c r="F969" s="426"/>
    </row>
    <row r="970">
      <c r="B970" s="139"/>
      <c r="C970" s="139"/>
      <c r="D970" s="139"/>
      <c r="F970" s="426"/>
    </row>
    <row r="971">
      <c r="B971" s="139"/>
      <c r="C971" s="139"/>
      <c r="D971" s="139"/>
      <c r="F971" s="426"/>
    </row>
    <row r="972">
      <c r="B972" s="139"/>
      <c r="C972" s="139"/>
      <c r="D972" s="139"/>
      <c r="F972" s="426"/>
    </row>
    <row r="973">
      <c r="B973" s="139"/>
      <c r="C973" s="139"/>
      <c r="D973" s="139"/>
      <c r="F973" s="426"/>
    </row>
    <row r="974">
      <c r="B974" s="139"/>
      <c r="C974" s="139"/>
      <c r="D974" s="139"/>
      <c r="F974" s="426"/>
    </row>
    <row r="975">
      <c r="B975" s="139"/>
      <c r="C975" s="139"/>
      <c r="D975" s="139"/>
      <c r="F975" s="426"/>
    </row>
    <row r="976">
      <c r="B976" s="139"/>
      <c r="C976" s="139"/>
      <c r="D976" s="139"/>
      <c r="F976" s="426"/>
    </row>
    <row r="977">
      <c r="B977" s="139"/>
      <c r="C977" s="139"/>
      <c r="D977" s="139"/>
      <c r="F977" s="426"/>
    </row>
    <row r="978">
      <c r="B978" s="139"/>
      <c r="C978" s="139"/>
      <c r="D978" s="139"/>
      <c r="F978" s="426"/>
    </row>
    <row r="979">
      <c r="B979" s="139"/>
      <c r="C979" s="139"/>
      <c r="D979" s="139"/>
      <c r="F979" s="426"/>
    </row>
    <row r="980">
      <c r="B980" s="139"/>
      <c r="C980" s="139"/>
      <c r="D980" s="139"/>
      <c r="F980" s="426"/>
    </row>
    <row r="981">
      <c r="B981" s="139"/>
      <c r="C981" s="139"/>
      <c r="D981" s="139"/>
      <c r="F981" s="426"/>
    </row>
    <row r="982">
      <c r="B982" s="139"/>
      <c r="C982" s="139"/>
      <c r="D982" s="139"/>
      <c r="F982" s="426"/>
    </row>
    <row r="983">
      <c r="B983" s="139"/>
      <c r="C983" s="139"/>
      <c r="D983" s="139"/>
      <c r="F983" s="426"/>
    </row>
    <row r="984">
      <c r="B984" s="139"/>
      <c r="C984" s="139"/>
      <c r="D984" s="139"/>
      <c r="F984" s="426"/>
    </row>
    <row r="985">
      <c r="B985" s="139"/>
      <c r="C985" s="139"/>
      <c r="D985" s="139"/>
      <c r="F985" s="426"/>
    </row>
    <row r="986">
      <c r="B986" s="139"/>
      <c r="C986" s="139"/>
      <c r="D986" s="139"/>
      <c r="F986" s="426"/>
    </row>
    <row r="987">
      <c r="B987" s="139"/>
      <c r="C987" s="139"/>
      <c r="D987" s="139"/>
      <c r="F987" s="426"/>
    </row>
    <row r="988">
      <c r="B988" s="139"/>
      <c r="C988" s="139"/>
      <c r="D988" s="139"/>
      <c r="F988" s="426"/>
    </row>
    <row r="989">
      <c r="B989" s="139"/>
      <c r="C989" s="139"/>
      <c r="D989" s="139"/>
      <c r="F989" s="426"/>
    </row>
    <row r="990">
      <c r="B990" s="139"/>
      <c r="C990" s="139"/>
      <c r="D990" s="139"/>
      <c r="F990" s="426"/>
    </row>
    <row r="991">
      <c r="B991" s="139"/>
      <c r="C991" s="139"/>
      <c r="D991" s="139"/>
      <c r="F991" s="426"/>
    </row>
    <row r="992">
      <c r="B992" s="139"/>
      <c r="C992" s="139"/>
      <c r="D992" s="139"/>
      <c r="F992" s="426"/>
    </row>
    <row r="993">
      <c r="B993" s="139"/>
      <c r="C993" s="139"/>
      <c r="D993" s="139"/>
      <c r="F993" s="426"/>
    </row>
    <row r="994">
      <c r="B994" s="139"/>
      <c r="C994" s="139"/>
      <c r="D994" s="139"/>
      <c r="F994" s="426"/>
    </row>
    <row r="995">
      <c r="B995" s="139"/>
      <c r="C995" s="139"/>
      <c r="D995" s="139"/>
      <c r="F995" s="426"/>
    </row>
    <row r="996">
      <c r="B996" s="139"/>
      <c r="C996" s="139"/>
      <c r="D996" s="139"/>
      <c r="F996" s="426"/>
    </row>
    <row r="997">
      <c r="B997" s="139"/>
      <c r="C997" s="139"/>
      <c r="D997" s="139"/>
      <c r="F997" s="426"/>
    </row>
    <row r="998">
      <c r="B998" s="139"/>
      <c r="C998" s="139"/>
      <c r="D998" s="139"/>
      <c r="F998" s="426"/>
    </row>
    <row r="999">
      <c r="B999" s="139"/>
      <c r="C999" s="139"/>
      <c r="D999" s="139"/>
      <c r="F999" s="426"/>
    </row>
    <row r="1000">
      <c r="B1000" s="139"/>
      <c r="C1000" s="139"/>
      <c r="D1000" s="139"/>
      <c r="F1000" s="426"/>
    </row>
    <row r="1001">
      <c r="B1001" s="139"/>
      <c r="C1001" s="139"/>
      <c r="D1001" s="139"/>
      <c r="F1001" s="426"/>
    </row>
    <row r="1002">
      <c r="B1002" s="139"/>
      <c r="C1002" s="139"/>
      <c r="D1002" s="139"/>
      <c r="F1002" s="426"/>
    </row>
    <row r="1003">
      <c r="B1003" s="139"/>
      <c r="C1003" s="139"/>
      <c r="D1003" s="139"/>
      <c r="F1003" s="426"/>
    </row>
  </sheetData>
  <mergeCells count="2">
    <mergeCell ref="L1:M1"/>
    <mergeCell ref="N1:O1"/>
  </mergeCells>
  <conditionalFormatting sqref="E1:E1003">
    <cfRule type="containsText" dxfId="0" priority="1" operator="containsText" text="Dem">
      <formula>NOT(ISERROR(SEARCH(("Dem"),(E1))))</formula>
    </cfRule>
  </conditionalFormatting>
  <conditionalFormatting sqref="E1:E1003">
    <cfRule type="containsText" dxfId="1" priority="2" operator="containsText" text="Rep">
      <formula>NOT(ISERROR(SEARCH(("Rep"),(E1))))</formula>
    </cfRule>
  </conditionalFormatting>
  <hyperlinks>
    <hyperlink r:id="rId1" ref="B4"/>
    <hyperlink r:id="rId2" ref="C4"/>
    <hyperlink r:id="rId3" ref="C5"/>
    <hyperlink r:id="rId4" ref="C6"/>
    <hyperlink r:id="rId5" ref="C20"/>
    <hyperlink r:id="rId6" ref="C21"/>
    <hyperlink r:id="rId7" ref="C24"/>
    <hyperlink r:id="rId8" ref="C25"/>
    <hyperlink r:id="rId9" ref="C26"/>
    <hyperlink r:id="rId10" ref="C27"/>
    <hyperlink r:id="rId11" ref="C30"/>
    <hyperlink r:id="rId12" ref="C40"/>
    <hyperlink r:id="rId13" ref="C41"/>
    <hyperlink r:id="rId14" ref="C50"/>
    <hyperlink r:id="rId15" ref="C63"/>
    <hyperlink r:id="rId16" ref="C67"/>
    <hyperlink r:id="rId17" ref="C78"/>
    <hyperlink r:id="rId18" ref="C83"/>
    <hyperlink r:id="rId19" ref="C95"/>
    <hyperlink r:id="rId20" ref="C99"/>
    <hyperlink r:id="rId21" ref="C100"/>
    <hyperlink r:id="rId22" ref="C103"/>
    <hyperlink r:id="rId23" ref="C105"/>
    <hyperlink r:id="rId24" ref="C106"/>
    <hyperlink r:id="rId25" ref="C107"/>
    <hyperlink r:id="rId26" ref="C108"/>
    <hyperlink r:id="rId27" ref="C109"/>
    <hyperlink r:id="rId28" ref="C110"/>
    <hyperlink r:id="rId29" ref="C111"/>
    <hyperlink r:id="rId30" ref="C112"/>
    <hyperlink r:id="rId31" ref="C141"/>
    <hyperlink r:id="rId32" ref="C142"/>
  </hyperlinks>
  <drawing r:id="rId3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1" max="1" width="12.57"/>
    <col customWidth="1" min="2" max="2" width="10.14"/>
    <col customWidth="1" min="3" max="3" width="15.86"/>
    <col customWidth="1" min="4" max="4" width="17.14"/>
  </cols>
  <sheetData>
    <row r="1" ht="15.0" customHeight="1" outlineLevel="1">
      <c r="A1" s="1" t="s">
        <v>0</v>
      </c>
      <c r="B1" s="2" t="s">
        <v>1</v>
      </c>
      <c r="C1" s="2" t="s">
        <v>2</v>
      </c>
      <c r="D1" s="2" t="s">
        <v>2</v>
      </c>
      <c r="E1" s="3"/>
      <c r="F1" s="365" t="s">
        <v>1577</v>
      </c>
      <c r="G1" s="568" t="s">
        <v>4</v>
      </c>
      <c r="H1" s="569" t="s">
        <v>5</v>
      </c>
      <c r="I1" s="569" t="s">
        <v>6</v>
      </c>
      <c r="J1" s="569" t="s">
        <v>7</v>
      </c>
      <c r="K1" s="1" t="s">
        <v>8</v>
      </c>
      <c r="L1" s="7" t="s">
        <v>9</v>
      </c>
      <c r="N1" s="10" t="s">
        <v>14</v>
      </c>
      <c r="P1" s="167"/>
      <c r="Q1" s="167"/>
      <c r="R1" s="30"/>
      <c r="S1" s="20"/>
      <c r="T1" s="20"/>
      <c r="U1" s="20"/>
      <c r="V1" s="20"/>
      <c r="W1" s="20"/>
      <c r="X1" s="20"/>
      <c r="Y1" s="20"/>
      <c r="Z1" s="20"/>
      <c r="AA1" s="20"/>
      <c r="AB1" s="20"/>
      <c r="AC1" s="20"/>
      <c r="AD1" s="20"/>
    </row>
    <row r="2" ht="16.5" customHeight="1" outlineLevel="1">
      <c r="A2" s="23"/>
      <c r="B2" s="21"/>
      <c r="C2" s="436"/>
      <c r="D2" s="436"/>
      <c r="E2" s="3"/>
      <c r="F2" s="168">
        <v>43473.0</v>
      </c>
      <c r="G2" s="570">
        <v>43539.0</v>
      </c>
      <c r="H2" s="571">
        <f>G2-TODAY()</f>
        <v>-196</v>
      </c>
      <c r="I2" s="572"/>
      <c r="J2" s="572">
        <v>43605.0</v>
      </c>
      <c r="K2" s="23"/>
      <c r="L2" s="26">
        <f>CountIFS($E:$E,"=DFL",$A:$A,"=House")</f>
        <v>71</v>
      </c>
      <c r="M2" s="28">
        <f>CountIFS($E:$E,"=Rep",$A:$A,"=House")</f>
        <v>63</v>
      </c>
      <c r="N2" s="26">
        <f>CountIFS($E:$E,"=DFL",$A:$A,"=Senate")</f>
        <v>33</v>
      </c>
      <c r="O2" s="28">
        <f>CountIFS($E:$E,"=Rep",$A:$A,"=Senate")</f>
        <v>34</v>
      </c>
      <c r="P2" s="167"/>
      <c r="Q2" s="167"/>
      <c r="R2" s="30"/>
      <c r="S2" s="20"/>
      <c r="T2" s="20"/>
      <c r="U2" s="20"/>
      <c r="V2" s="20"/>
      <c r="W2" s="20"/>
      <c r="X2" s="20"/>
      <c r="Y2" s="20"/>
      <c r="Z2" s="20"/>
      <c r="AA2" s="20"/>
      <c r="AB2" s="20"/>
      <c r="AC2" s="20"/>
      <c r="AD2" s="20"/>
    </row>
    <row r="3">
      <c r="A3" s="30" t="s">
        <v>29</v>
      </c>
      <c r="B3" s="2" t="s">
        <v>30</v>
      </c>
      <c r="C3" s="2" t="s">
        <v>31</v>
      </c>
      <c r="D3" s="2" t="s">
        <v>32</v>
      </c>
      <c r="E3" s="3" t="s">
        <v>33</v>
      </c>
      <c r="F3" s="1" t="s">
        <v>10</v>
      </c>
      <c r="G3" s="568" t="s">
        <v>34</v>
      </c>
      <c r="H3" s="568" t="s">
        <v>34</v>
      </c>
      <c r="I3" s="568" t="s">
        <v>34</v>
      </c>
      <c r="J3" s="568" t="s">
        <v>34</v>
      </c>
      <c r="K3" s="1" t="s">
        <v>35</v>
      </c>
      <c r="L3" s="19" t="s">
        <v>36</v>
      </c>
      <c r="M3" s="19" t="s">
        <v>37</v>
      </c>
      <c r="N3" s="19" t="s">
        <v>38</v>
      </c>
      <c r="O3" s="17" t="s">
        <v>39</v>
      </c>
      <c r="P3" s="11" t="s">
        <v>40</v>
      </c>
      <c r="Q3" s="11" t="s">
        <v>41</v>
      </c>
      <c r="R3" s="17" t="s">
        <v>42</v>
      </c>
      <c r="S3" s="20"/>
      <c r="T3" s="20"/>
      <c r="U3" s="30"/>
      <c r="V3" s="2"/>
      <c r="W3" s="30"/>
      <c r="X3" s="30"/>
      <c r="Y3" s="30"/>
      <c r="Z3" s="20"/>
      <c r="AA3" s="20"/>
      <c r="AB3" s="20"/>
      <c r="AC3" s="20"/>
      <c r="AD3" s="20"/>
    </row>
    <row r="4">
      <c r="A4" s="14" t="s">
        <v>44</v>
      </c>
      <c r="B4" s="31" t="s">
        <v>6151</v>
      </c>
      <c r="C4" s="35" t="s">
        <v>239</v>
      </c>
      <c r="D4" s="35" t="s">
        <v>7367</v>
      </c>
      <c r="E4" s="51" t="s">
        <v>53</v>
      </c>
      <c r="F4" s="563"/>
      <c r="G4" s="573" t="s">
        <v>519</v>
      </c>
      <c r="H4" s="574" t="s">
        <v>519</v>
      </c>
      <c r="I4" s="574" t="s">
        <v>519</v>
      </c>
      <c r="J4" s="574" t="s">
        <v>519</v>
      </c>
      <c r="L4" s="575" t="s">
        <v>7368</v>
      </c>
      <c r="M4" s="89" t="s">
        <v>7369</v>
      </c>
      <c r="N4" s="89"/>
      <c r="O4" s="89"/>
      <c r="P4" s="89"/>
      <c r="Q4" s="89"/>
      <c r="R4" s="89"/>
      <c r="S4" s="576"/>
      <c r="T4" s="576"/>
      <c r="V4" s="139"/>
      <c r="X4" t="s">
        <v>519</v>
      </c>
    </row>
    <row r="5">
      <c r="A5" s="14" t="s">
        <v>44</v>
      </c>
      <c r="B5" s="31" t="s">
        <v>6165</v>
      </c>
      <c r="C5" s="35" t="s">
        <v>7370</v>
      </c>
      <c r="D5" s="35" t="s">
        <v>284</v>
      </c>
      <c r="E5" s="51" t="s">
        <v>53</v>
      </c>
      <c r="F5" s="563"/>
      <c r="G5" s="573" t="s">
        <v>519</v>
      </c>
      <c r="H5" s="574" t="s">
        <v>519</v>
      </c>
      <c r="I5" s="574" t="s">
        <v>519</v>
      </c>
      <c r="J5" s="574" t="s">
        <v>519</v>
      </c>
      <c r="L5" s="577"/>
      <c r="M5" s="89" t="s">
        <v>7371</v>
      </c>
      <c r="N5" s="89"/>
      <c r="O5" s="89"/>
      <c r="P5" s="89"/>
      <c r="Q5" s="89"/>
      <c r="R5" s="89"/>
      <c r="S5" s="576"/>
      <c r="T5" s="576"/>
      <c r="V5" s="139"/>
      <c r="X5" t="s">
        <v>519</v>
      </c>
    </row>
    <row r="6">
      <c r="A6" s="14" t="s">
        <v>44</v>
      </c>
      <c r="B6" s="31" t="s">
        <v>6182</v>
      </c>
      <c r="C6" s="35" t="s">
        <v>163</v>
      </c>
      <c r="D6" s="35" t="s">
        <v>7372</v>
      </c>
      <c r="E6" s="51" t="s">
        <v>53</v>
      </c>
      <c r="F6" s="563"/>
      <c r="G6" s="573" t="s">
        <v>519</v>
      </c>
      <c r="H6" s="574" t="s">
        <v>519</v>
      </c>
      <c r="I6" s="574" t="s">
        <v>519</v>
      </c>
      <c r="J6" s="574" t="s">
        <v>519</v>
      </c>
      <c r="L6" s="575" t="s">
        <v>7373</v>
      </c>
      <c r="M6" s="89" t="s">
        <v>7374</v>
      </c>
      <c r="N6" s="89"/>
      <c r="O6" s="89"/>
      <c r="P6" s="89"/>
      <c r="Q6" s="89"/>
      <c r="R6" s="89"/>
      <c r="S6" s="576"/>
      <c r="T6" s="576"/>
      <c r="V6" s="139"/>
      <c r="X6" t="s">
        <v>519</v>
      </c>
    </row>
    <row r="7">
      <c r="A7" s="14" t="s">
        <v>44</v>
      </c>
      <c r="B7" s="31" t="s">
        <v>6189</v>
      </c>
      <c r="C7" s="35" t="s">
        <v>55</v>
      </c>
      <c r="D7" s="35" t="s">
        <v>2574</v>
      </c>
      <c r="E7" s="51" t="s">
        <v>53</v>
      </c>
      <c r="F7" s="563"/>
      <c r="G7" s="573" t="s">
        <v>519</v>
      </c>
      <c r="H7" s="574" t="s">
        <v>519</v>
      </c>
      <c r="I7" s="574" t="s">
        <v>519</v>
      </c>
      <c r="J7" s="574" t="s">
        <v>519</v>
      </c>
      <c r="L7" s="575" t="s">
        <v>7375</v>
      </c>
      <c r="M7" s="89" t="s">
        <v>7376</v>
      </c>
      <c r="N7" s="89"/>
      <c r="O7" s="89"/>
      <c r="P7" s="89"/>
      <c r="Q7" s="89"/>
      <c r="R7" s="89"/>
      <c r="S7" s="576"/>
      <c r="T7" s="576"/>
      <c r="V7" s="139"/>
      <c r="X7" t="s">
        <v>519</v>
      </c>
    </row>
    <row r="8">
      <c r="A8" s="14" t="s">
        <v>44</v>
      </c>
      <c r="B8" s="31" t="s">
        <v>6196</v>
      </c>
      <c r="C8" s="35" t="s">
        <v>1476</v>
      </c>
      <c r="D8" s="35" t="s">
        <v>7377</v>
      </c>
      <c r="E8" s="36" t="s">
        <v>7378</v>
      </c>
      <c r="F8" s="563"/>
      <c r="G8" s="578" t="s">
        <v>7379</v>
      </c>
      <c r="H8" s="574" t="s">
        <v>519</v>
      </c>
      <c r="I8" s="574" t="s">
        <v>519</v>
      </c>
      <c r="J8" s="579"/>
      <c r="L8" s="575" t="s">
        <v>7380</v>
      </c>
      <c r="M8" s="89" t="s">
        <v>7381</v>
      </c>
      <c r="N8" s="89"/>
      <c r="O8" s="89"/>
      <c r="P8" s="89"/>
      <c r="Q8" s="89"/>
      <c r="R8" s="89"/>
      <c r="S8" s="576"/>
      <c r="T8" s="576"/>
      <c r="V8" s="139"/>
      <c r="X8" t="s">
        <v>519</v>
      </c>
    </row>
    <row r="9">
      <c r="A9" s="14" t="s">
        <v>44</v>
      </c>
      <c r="B9" s="31" t="s">
        <v>6200</v>
      </c>
      <c r="C9" s="35" t="s">
        <v>514</v>
      </c>
      <c r="D9" s="35" t="s">
        <v>3019</v>
      </c>
      <c r="E9" s="36" t="s">
        <v>7378</v>
      </c>
      <c r="F9" s="563"/>
      <c r="G9" s="573" t="s">
        <v>7382</v>
      </c>
      <c r="H9" s="574" t="s">
        <v>7383</v>
      </c>
      <c r="I9" s="574" t="s">
        <v>519</v>
      </c>
      <c r="J9" s="574" t="s">
        <v>519</v>
      </c>
      <c r="L9" s="575" t="s">
        <v>7384</v>
      </c>
      <c r="M9" s="89" t="s">
        <v>7385</v>
      </c>
      <c r="N9" s="89"/>
      <c r="O9" s="89"/>
      <c r="P9" s="89"/>
      <c r="Q9" s="89"/>
      <c r="R9" s="89"/>
      <c r="S9" s="576"/>
      <c r="T9" s="576"/>
      <c r="V9" s="139"/>
      <c r="X9" t="s">
        <v>519</v>
      </c>
    </row>
    <row r="10">
      <c r="A10" s="14" t="s">
        <v>44</v>
      </c>
      <c r="B10" s="31" t="s">
        <v>7386</v>
      </c>
      <c r="C10" s="35" t="s">
        <v>195</v>
      </c>
      <c r="D10" s="35" t="s">
        <v>7387</v>
      </c>
      <c r="E10" s="36" t="s">
        <v>7378</v>
      </c>
      <c r="F10" s="563"/>
      <c r="G10" s="573" t="s">
        <v>519</v>
      </c>
      <c r="H10" s="574" t="s">
        <v>519</v>
      </c>
      <c r="I10" s="574" t="s">
        <v>519</v>
      </c>
      <c r="J10" s="574" t="s">
        <v>519</v>
      </c>
      <c r="L10" s="575" t="s">
        <v>7388</v>
      </c>
      <c r="M10" s="89" t="s">
        <v>7389</v>
      </c>
      <c r="N10" s="89"/>
      <c r="O10" s="89"/>
      <c r="P10" s="89"/>
      <c r="Q10" s="89"/>
      <c r="R10" s="89"/>
      <c r="S10" s="576"/>
      <c r="T10" s="576"/>
      <c r="V10" s="139"/>
      <c r="X10" t="s">
        <v>519</v>
      </c>
    </row>
    <row r="11">
      <c r="A11" s="14" t="s">
        <v>44</v>
      </c>
      <c r="B11" s="31" t="s">
        <v>7390</v>
      </c>
      <c r="C11" s="35" t="s">
        <v>679</v>
      </c>
      <c r="D11" s="35" t="s">
        <v>7391</v>
      </c>
      <c r="E11" s="36" t="s">
        <v>7378</v>
      </c>
      <c r="F11" s="563"/>
      <c r="G11" s="578" t="s">
        <v>7392</v>
      </c>
      <c r="H11" s="574" t="s">
        <v>519</v>
      </c>
      <c r="I11" s="579"/>
      <c r="J11" s="574" t="s">
        <v>519</v>
      </c>
      <c r="L11" s="575" t="s">
        <v>7393</v>
      </c>
      <c r="M11" s="89" t="s">
        <v>7394</v>
      </c>
      <c r="N11" s="89"/>
      <c r="O11" s="89"/>
      <c r="P11" s="89"/>
      <c r="Q11" s="89"/>
      <c r="R11" s="89"/>
      <c r="S11" s="576"/>
      <c r="T11" s="576"/>
      <c r="V11" s="139"/>
      <c r="X11" t="s">
        <v>519</v>
      </c>
    </row>
    <row r="12">
      <c r="A12" s="14" t="s">
        <v>44</v>
      </c>
      <c r="B12" s="31" t="s">
        <v>7395</v>
      </c>
      <c r="C12" s="35" t="s">
        <v>163</v>
      </c>
      <c r="D12" s="35" t="s">
        <v>7396</v>
      </c>
      <c r="E12" s="51" t="s">
        <v>53</v>
      </c>
      <c r="F12" s="563"/>
      <c r="G12" s="573" t="s">
        <v>519</v>
      </c>
      <c r="H12" s="574" t="s">
        <v>519</v>
      </c>
      <c r="I12" s="574" t="s">
        <v>519</v>
      </c>
      <c r="J12" s="574" t="s">
        <v>519</v>
      </c>
      <c r="L12" s="575" t="s">
        <v>7397</v>
      </c>
      <c r="M12" s="89" t="s">
        <v>7398</v>
      </c>
      <c r="N12" s="89"/>
      <c r="O12" s="89"/>
      <c r="P12" s="89"/>
      <c r="Q12" s="89"/>
      <c r="R12" s="89"/>
      <c r="S12" s="576"/>
      <c r="T12" s="576"/>
      <c r="V12" s="139"/>
      <c r="X12" t="s">
        <v>519</v>
      </c>
    </row>
    <row r="13">
      <c r="A13" s="14" t="s">
        <v>44</v>
      </c>
      <c r="B13" s="31" t="s">
        <v>7399</v>
      </c>
      <c r="C13" s="35" t="s">
        <v>5229</v>
      </c>
      <c r="D13" s="35" t="s">
        <v>7400</v>
      </c>
      <c r="E13" s="51" t="s">
        <v>53</v>
      </c>
      <c r="F13" s="563"/>
      <c r="G13" s="573" t="s">
        <v>519</v>
      </c>
      <c r="H13" s="574" t="s">
        <v>519</v>
      </c>
      <c r="I13" s="574" t="s">
        <v>519</v>
      </c>
      <c r="J13" s="574" t="s">
        <v>519</v>
      </c>
      <c r="L13" s="577"/>
      <c r="M13" s="89" t="s">
        <v>7401</v>
      </c>
      <c r="N13" s="89"/>
      <c r="O13" s="89"/>
      <c r="P13" s="89"/>
      <c r="Q13" s="89"/>
      <c r="R13" s="89"/>
      <c r="S13" s="576"/>
      <c r="T13" s="576"/>
      <c r="V13" s="139"/>
      <c r="X13" t="s">
        <v>519</v>
      </c>
    </row>
    <row r="14">
      <c r="A14" s="14" t="s">
        <v>44</v>
      </c>
      <c r="B14" s="31" t="s">
        <v>7402</v>
      </c>
      <c r="C14" s="35" t="s">
        <v>2133</v>
      </c>
      <c r="D14" s="35" t="s">
        <v>7403</v>
      </c>
      <c r="E14" s="36" t="s">
        <v>7378</v>
      </c>
      <c r="F14" s="563"/>
      <c r="G14" s="573" t="s">
        <v>519</v>
      </c>
      <c r="H14" s="574" t="s">
        <v>519</v>
      </c>
      <c r="I14" s="574" t="s">
        <v>519</v>
      </c>
      <c r="J14" s="574" t="s">
        <v>519</v>
      </c>
      <c r="L14" s="577"/>
      <c r="M14" s="89" t="s">
        <v>7404</v>
      </c>
      <c r="N14" s="89"/>
      <c r="O14" s="89"/>
      <c r="P14" s="89"/>
      <c r="Q14" s="89"/>
      <c r="R14" s="89"/>
      <c r="S14" s="576"/>
      <c r="T14" s="576"/>
      <c r="V14" s="139"/>
      <c r="X14" t="s">
        <v>519</v>
      </c>
    </row>
    <row r="15">
      <c r="A15" s="14" t="s">
        <v>44</v>
      </c>
      <c r="B15" s="31" t="s">
        <v>7405</v>
      </c>
      <c r="C15" s="35" t="s">
        <v>76</v>
      </c>
      <c r="D15" s="35" t="s">
        <v>7406</v>
      </c>
      <c r="E15" s="36" t="s">
        <v>7378</v>
      </c>
      <c r="F15" s="563"/>
      <c r="G15" s="573" t="s">
        <v>519</v>
      </c>
      <c r="H15" s="574" t="s">
        <v>519</v>
      </c>
      <c r="I15" s="574" t="s">
        <v>519</v>
      </c>
      <c r="J15" s="574" t="s">
        <v>519</v>
      </c>
      <c r="L15" s="577"/>
      <c r="M15" s="89" t="s">
        <v>7407</v>
      </c>
      <c r="N15" s="89"/>
      <c r="O15" s="89"/>
      <c r="P15" s="89"/>
      <c r="Q15" s="89"/>
      <c r="R15" s="89"/>
      <c r="S15" s="576"/>
      <c r="T15" s="576"/>
      <c r="V15" s="139"/>
      <c r="X15" t="s">
        <v>519</v>
      </c>
    </row>
    <row r="16">
      <c r="A16" s="14" t="s">
        <v>44</v>
      </c>
      <c r="B16" s="31" t="s">
        <v>7408</v>
      </c>
      <c r="C16" s="35" t="s">
        <v>191</v>
      </c>
      <c r="D16" s="35" t="s">
        <v>3399</v>
      </c>
      <c r="E16" s="36" t="s">
        <v>7378</v>
      </c>
      <c r="F16" s="563"/>
      <c r="G16" s="573" t="s">
        <v>519</v>
      </c>
      <c r="H16" s="574" t="s">
        <v>519</v>
      </c>
      <c r="I16" s="574" t="s">
        <v>519</v>
      </c>
      <c r="J16" s="574" t="s">
        <v>519</v>
      </c>
      <c r="L16" s="577"/>
      <c r="M16" s="89" t="s">
        <v>7409</v>
      </c>
      <c r="N16" s="89"/>
      <c r="O16" s="89"/>
      <c r="P16" s="89"/>
      <c r="Q16" s="89"/>
      <c r="R16" s="89"/>
      <c r="S16" s="576"/>
      <c r="T16" s="576"/>
      <c r="V16" s="139"/>
      <c r="X16" t="s">
        <v>519</v>
      </c>
    </row>
    <row r="17">
      <c r="A17" s="14" t="s">
        <v>44</v>
      </c>
      <c r="B17" s="31" t="s">
        <v>7410</v>
      </c>
      <c r="C17" s="35" t="s">
        <v>2680</v>
      </c>
      <c r="D17" s="35" t="s">
        <v>413</v>
      </c>
      <c r="E17" s="36" t="s">
        <v>7378</v>
      </c>
      <c r="F17" s="567" t="s">
        <v>1188</v>
      </c>
      <c r="G17" s="573" t="s">
        <v>519</v>
      </c>
      <c r="H17" s="574" t="s">
        <v>519</v>
      </c>
      <c r="J17" s="574" t="s">
        <v>519</v>
      </c>
      <c r="L17" s="577"/>
      <c r="M17" s="89" t="s">
        <v>7411</v>
      </c>
      <c r="N17" s="89"/>
      <c r="O17" s="89"/>
      <c r="P17" s="89"/>
      <c r="Q17" s="89"/>
      <c r="R17" s="89"/>
      <c r="S17" s="576"/>
      <c r="T17" s="576"/>
      <c r="V17" s="139"/>
      <c r="X17" t="s">
        <v>519</v>
      </c>
    </row>
    <row r="18">
      <c r="A18" s="14" t="s">
        <v>44</v>
      </c>
      <c r="B18" s="31" t="s">
        <v>7412</v>
      </c>
      <c r="C18" s="35" t="s">
        <v>5523</v>
      </c>
      <c r="D18" s="35" t="s">
        <v>7413</v>
      </c>
      <c r="E18" s="51" t="s">
        <v>53</v>
      </c>
      <c r="F18" s="563"/>
      <c r="G18" s="573" t="s">
        <v>519</v>
      </c>
      <c r="H18" s="574" t="s">
        <v>519</v>
      </c>
      <c r="I18" s="574" t="s">
        <v>519</v>
      </c>
      <c r="J18" s="574" t="s">
        <v>519</v>
      </c>
      <c r="L18" s="575" t="s">
        <v>7414</v>
      </c>
      <c r="M18" s="89" t="s">
        <v>7415</v>
      </c>
      <c r="N18" s="89"/>
      <c r="O18" s="89"/>
      <c r="P18" s="89"/>
      <c r="Q18" s="89"/>
      <c r="R18" s="89"/>
      <c r="S18" s="576"/>
      <c r="T18" s="576"/>
      <c r="V18" s="139"/>
      <c r="X18" t="s">
        <v>519</v>
      </c>
    </row>
    <row r="19">
      <c r="A19" s="14" t="s">
        <v>44</v>
      </c>
      <c r="B19" s="31" t="s">
        <v>7416</v>
      </c>
      <c r="C19" s="35" t="s">
        <v>514</v>
      </c>
      <c r="D19" s="35" t="s">
        <v>7417</v>
      </c>
      <c r="E19" s="51" t="s">
        <v>53</v>
      </c>
      <c r="F19" s="563"/>
      <c r="G19" s="573" t="s">
        <v>519</v>
      </c>
      <c r="H19" s="574" t="s">
        <v>519</v>
      </c>
      <c r="I19" s="574" t="s">
        <v>519</v>
      </c>
      <c r="J19" s="574" t="s">
        <v>519</v>
      </c>
      <c r="L19" s="575" t="s">
        <v>7418</v>
      </c>
      <c r="M19" s="89" t="s">
        <v>7419</v>
      </c>
      <c r="N19" s="89"/>
      <c r="O19" s="89"/>
      <c r="P19" s="89"/>
      <c r="Q19" s="89"/>
      <c r="R19" s="89"/>
      <c r="S19" s="576"/>
      <c r="T19" s="576"/>
      <c r="V19" s="139"/>
      <c r="X19" t="s">
        <v>519</v>
      </c>
    </row>
    <row r="20">
      <c r="A20" s="14" t="s">
        <v>44</v>
      </c>
      <c r="B20" s="31" t="s">
        <v>6231</v>
      </c>
      <c r="C20" s="35" t="s">
        <v>278</v>
      </c>
      <c r="D20" s="35" t="s">
        <v>7420</v>
      </c>
      <c r="E20" s="51" t="s">
        <v>53</v>
      </c>
      <c r="F20" s="563"/>
      <c r="G20" s="573" t="s">
        <v>519</v>
      </c>
      <c r="H20" s="574" t="s">
        <v>519</v>
      </c>
      <c r="I20" s="574" t="s">
        <v>519</v>
      </c>
      <c r="J20" s="574" t="s">
        <v>519</v>
      </c>
      <c r="L20" s="575" t="s">
        <v>7421</v>
      </c>
      <c r="M20" s="89" t="s">
        <v>7422</v>
      </c>
      <c r="N20" s="89"/>
      <c r="O20" s="89"/>
      <c r="P20" s="89"/>
      <c r="Q20" s="89"/>
      <c r="R20" s="89"/>
      <c r="S20" s="576"/>
      <c r="T20" s="576"/>
      <c r="V20" s="139"/>
      <c r="X20" t="s">
        <v>519</v>
      </c>
    </row>
    <row r="21">
      <c r="A21" s="14" t="s">
        <v>44</v>
      </c>
      <c r="B21" s="31" t="s">
        <v>6234</v>
      </c>
      <c r="C21" s="35" t="s">
        <v>1813</v>
      </c>
      <c r="D21" s="35" t="s">
        <v>7423</v>
      </c>
      <c r="E21" s="51" t="s">
        <v>53</v>
      </c>
      <c r="F21" s="563"/>
      <c r="G21" s="573" t="s">
        <v>519</v>
      </c>
      <c r="H21" s="574" t="s">
        <v>519</v>
      </c>
      <c r="I21" s="574" t="s">
        <v>519</v>
      </c>
      <c r="J21" s="574" t="s">
        <v>519</v>
      </c>
      <c r="L21" s="575" t="s">
        <v>7424</v>
      </c>
      <c r="M21" s="89" t="s">
        <v>7425</v>
      </c>
      <c r="N21" s="89"/>
      <c r="O21" s="89"/>
      <c r="P21" s="89"/>
      <c r="Q21" s="89"/>
      <c r="R21" s="89"/>
      <c r="S21" s="576"/>
      <c r="T21" s="576"/>
      <c r="V21" s="139"/>
      <c r="X21" t="s">
        <v>519</v>
      </c>
    </row>
    <row r="22">
      <c r="A22" s="14" t="s">
        <v>44</v>
      </c>
      <c r="B22" s="31" t="s">
        <v>7426</v>
      </c>
      <c r="C22" s="35" t="s">
        <v>180</v>
      </c>
      <c r="D22" s="35" t="s">
        <v>7427</v>
      </c>
      <c r="E22" s="51" t="s">
        <v>53</v>
      </c>
      <c r="F22" s="563"/>
      <c r="G22" s="573" t="s">
        <v>519</v>
      </c>
      <c r="H22" s="574" t="s">
        <v>519</v>
      </c>
      <c r="I22" s="574" t="s">
        <v>519</v>
      </c>
      <c r="J22" s="574" t="s">
        <v>519</v>
      </c>
      <c r="L22" s="575" t="s">
        <v>7428</v>
      </c>
      <c r="M22" s="89" t="s">
        <v>7429</v>
      </c>
      <c r="N22" s="89"/>
      <c r="O22" s="89"/>
      <c r="P22" s="89"/>
      <c r="Q22" s="89"/>
      <c r="R22" s="89"/>
      <c r="S22" s="576"/>
      <c r="T22" s="576"/>
      <c r="V22" s="139"/>
      <c r="X22" t="s">
        <v>519</v>
      </c>
    </row>
    <row r="23">
      <c r="A23" s="14" t="s">
        <v>44</v>
      </c>
      <c r="B23" s="31" t="s">
        <v>7430</v>
      </c>
      <c r="C23" s="35" t="s">
        <v>3296</v>
      </c>
      <c r="D23" s="35" t="s">
        <v>7431</v>
      </c>
      <c r="E23" s="51" t="s">
        <v>53</v>
      </c>
      <c r="F23" s="563"/>
      <c r="G23" s="573" t="s">
        <v>519</v>
      </c>
      <c r="H23" s="574" t="s">
        <v>519</v>
      </c>
      <c r="I23" s="574" t="s">
        <v>519</v>
      </c>
      <c r="J23" s="574" t="s">
        <v>519</v>
      </c>
      <c r="L23" s="575" t="s">
        <v>7432</v>
      </c>
      <c r="M23" s="89" t="s">
        <v>7433</v>
      </c>
      <c r="N23" s="89"/>
      <c r="O23" s="89"/>
      <c r="P23" s="89"/>
      <c r="Q23" s="89"/>
      <c r="R23" s="89"/>
      <c r="S23" s="576"/>
      <c r="T23" s="576"/>
      <c r="V23" s="139"/>
      <c r="X23" t="s">
        <v>519</v>
      </c>
    </row>
    <row r="24">
      <c r="A24" s="14" t="s">
        <v>44</v>
      </c>
      <c r="B24" s="31" t="s">
        <v>7434</v>
      </c>
      <c r="C24" s="35" t="s">
        <v>157</v>
      </c>
      <c r="D24" s="35" t="s">
        <v>7435</v>
      </c>
      <c r="E24" s="36" t="s">
        <v>7378</v>
      </c>
      <c r="F24" s="563"/>
      <c r="G24" s="578" t="s">
        <v>7437</v>
      </c>
      <c r="H24" s="574" t="s">
        <v>519</v>
      </c>
      <c r="I24" s="579"/>
      <c r="J24" s="574" t="s">
        <v>519</v>
      </c>
      <c r="L24" s="575" t="s">
        <v>7438</v>
      </c>
      <c r="M24" s="89" t="s">
        <v>7439</v>
      </c>
      <c r="N24" s="89"/>
      <c r="O24" s="89"/>
      <c r="P24" s="89"/>
      <c r="Q24" s="89"/>
      <c r="R24" s="89"/>
      <c r="S24" s="576"/>
      <c r="T24" s="576"/>
      <c r="V24" s="139"/>
      <c r="X24" t="s">
        <v>519</v>
      </c>
    </row>
    <row r="25">
      <c r="A25" s="14" t="s">
        <v>44</v>
      </c>
      <c r="B25" s="31" t="s">
        <v>7440</v>
      </c>
      <c r="C25" s="35" t="s">
        <v>1231</v>
      </c>
      <c r="D25" s="35" t="s">
        <v>7441</v>
      </c>
      <c r="E25" s="51" t="s">
        <v>53</v>
      </c>
      <c r="F25" s="563"/>
      <c r="G25" s="573" t="s">
        <v>519</v>
      </c>
      <c r="H25" s="574" t="s">
        <v>519</v>
      </c>
      <c r="I25" s="574" t="s">
        <v>519</v>
      </c>
      <c r="J25" s="574" t="s">
        <v>519</v>
      </c>
      <c r="L25" s="577"/>
      <c r="M25" s="89" t="s">
        <v>7442</v>
      </c>
      <c r="N25" s="89"/>
      <c r="O25" s="89"/>
      <c r="P25" s="89"/>
      <c r="Q25" s="89"/>
      <c r="R25" s="89"/>
      <c r="S25" s="576"/>
      <c r="T25" s="576"/>
      <c r="V25" s="139"/>
      <c r="X25" t="s">
        <v>519</v>
      </c>
    </row>
    <row r="26">
      <c r="A26" s="14" t="s">
        <v>44</v>
      </c>
      <c r="B26" s="31" t="s">
        <v>7443</v>
      </c>
      <c r="C26" s="35" t="s">
        <v>683</v>
      </c>
      <c r="D26" s="35" t="s">
        <v>7444</v>
      </c>
      <c r="E26" s="51" t="s">
        <v>53</v>
      </c>
      <c r="F26" s="563"/>
      <c r="G26" s="573" t="s">
        <v>519</v>
      </c>
      <c r="H26" s="574" t="s">
        <v>519</v>
      </c>
      <c r="I26" s="574" t="s">
        <v>519</v>
      </c>
      <c r="J26" s="574" t="s">
        <v>519</v>
      </c>
      <c r="L26" s="575" t="s">
        <v>7445</v>
      </c>
      <c r="M26" s="89" t="s">
        <v>7446</v>
      </c>
      <c r="N26" s="89"/>
      <c r="O26" s="89"/>
      <c r="P26" s="89"/>
      <c r="Q26" s="89"/>
      <c r="R26" s="89"/>
      <c r="S26" s="576"/>
      <c r="T26" s="576"/>
      <c r="V26" s="139"/>
      <c r="X26" t="s">
        <v>519</v>
      </c>
    </row>
    <row r="27">
      <c r="A27" s="14" t="s">
        <v>44</v>
      </c>
      <c r="B27" s="31" t="s">
        <v>7447</v>
      </c>
      <c r="C27" s="35" t="s">
        <v>679</v>
      </c>
      <c r="D27" s="35" t="s">
        <v>3961</v>
      </c>
      <c r="E27" s="51" t="s">
        <v>53</v>
      </c>
      <c r="F27" s="563"/>
      <c r="G27" s="573" t="s">
        <v>519</v>
      </c>
      <c r="H27" s="574" t="s">
        <v>519</v>
      </c>
      <c r="I27" s="574" t="s">
        <v>519</v>
      </c>
      <c r="J27" s="574" t="s">
        <v>519</v>
      </c>
      <c r="L27" s="575" t="s">
        <v>7448</v>
      </c>
      <c r="M27" s="89" t="s">
        <v>7449</v>
      </c>
      <c r="N27" s="89"/>
      <c r="O27" s="89"/>
      <c r="P27" s="89"/>
      <c r="Q27" s="89"/>
      <c r="R27" s="89"/>
      <c r="S27" s="576"/>
      <c r="T27" s="576"/>
      <c r="V27" s="139"/>
      <c r="X27" t="s">
        <v>519</v>
      </c>
    </row>
    <row r="28">
      <c r="A28" s="14" t="s">
        <v>44</v>
      </c>
      <c r="B28" s="31" t="s">
        <v>7450</v>
      </c>
      <c r="C28" s="35" t="s">
        <v>432</v>
      </c>
      <c r="D28" s="35" t="s">
        <v>7451</v>
      </c>
      <c r="E28" s="51" t="s">
        <v>53</v>
      </c>
      <c r="F28" s="563"/>
      <c r="G28" s="573" t="s">
        <v>519</v>
      </c>
      <c r="H28" s="574" t="s">
        <v>519</v>
      </c>
      <c r="I28" s="574" t="s">
        <v>519</v>
      </c>
      <c r="J28" s="574" t="s">
        <v>519</v>
      </c>
      <c r="L28" s="575" t="s">
        <v>7452</v>
      </c>
      <c r="M28" s="89" t="s">
        <v>7453</v>
      </c>
      <c r="N28" s="89"/>
      <c r="O28" s="89"/>
      <c r="P28" s="89"/>
      <c r="Q28" s="89"/>
      <c r="R28" s="89"/>
      <c r="S28" s="576"/>
      <c r="T28" s="576"/>
      <c r="V28" s="139"/>
      <c r="X28" t="s">
        <v>519</v>
      </c>
    </row>
    <row r="29">
      <c r="A29" s="14" t="s">
        <v>44</v>
      </c>
      <c r="B29" s="31" t="s">
        <v>7455</v>
      </c>
      <c r="C29" s="35" t="s">
        <v>225</v>
      </c>
      <c r="D29" s="35" t="s">
        <v>7456</v>
      </c>
      <c r="E29" s="51" t="s">
        <v>53</v>
      </c>
      <c r="F29" s="563"/>
      <c r="G29" s="573" t="s">
        <v>519</v>
      </c>
      <c r="H29" s="574" t="s">
        <v>519</v>
      </c>
      <c r="I29" s="574" t="s">
        <v>519</v>
      </c>
      <c r="J29" s="574" t="s">
        <v>519</v>
      </c>
      <c r="L29" s="577"/>
      <c r="M29" s="89" t="s">
        <v>7457</v>
      </c>
      <c r="N29" s="89"/>
      <c r="O29" s="89"/>
      <c r="P29" s="89"/>
      <c r="Q29" s="89"/>
      <c r="R29" s="89"/>
      <c r="S29" s="576"/>
      <c r="T29" s="576"/>
      <c r="V29" s="139"/>
      <c r="X29" t="s">
        <v>519</v>
      </c>
    </row>
    <row r="30">
      <c r="A30" s="14" t="s">
        <v>44</v>
      </c>
      <c r="B30" s="31" t="s">
        <v>7458</v>
      </c>
      <c r="C30" s="35" t="s">
        <v>7459</v>
      </c>
      <c r="D30" s="35" t="s">
        <v>7331</v>
      </c>
      <c r="E30" s="51" t="s">
        <v>53</v>
      </c>
      <c r="F30" s="563"/>
      <c r="G30" s="573" t="s">
        <v>519</v>
      </c>
      <c r="H30" s="574" t="s">
        <v>519</v>
      </c>
      <c r="I30" s="574" t="s">
        <v>519</v>
      </c>
      <c r="J30" s="574" t="s">
        <v>519</v>
      </c>
      <c r="L30" s="577"/>
      <c r="M30" s="89" t="s">
        <v>7461</v>
      </c>
      <c r="N30" s="89"/>
      <c r="O30" s="89"/>
      <c r="P30" s="89"/>
      <c r="Q30" s="89"/>
      <c r="R30" s="89"/>
      <c r="S30" s="576"/>
      <c r="T30" s="576"/>
      <c r="V30" s="139"/>
      <c r="X30" t="s">
        <v>519</v>
      </c>
    </row>
    <row r="31">
      <c r="A31" s="14" t="s">
        <v>44</v>
      </c>
      <c r="B31" s="31" t="s">
        <v>7462</v>
      </c>
      <c r="C31" s="35" t="s">
        <v>239</v>
      </c>
      <c r="D31" s="35" t="s">
        <v>7463</v>
      </c>
      <c r="E31" s="36" t="s">
        <v>7378</v>
      </c>
      <c r="F31" s="563"/>
      <c r="G31" s="573" t="s">
        <v>519</v>
      </c>
      <c r="H31" s="574" t="s">
        <v>519</v>
      </c>
      <c r="I31" s="574" t="s">
        <v>519</v>
      </c>
      <c r="J31" s="574" t="s">
        <v>519</v>
      </c>
      <c r="L31" s="575" t="s">
        <v>7464</v>
      </c>
      <c r="M31" s="89" t="s">
        <v>7465</v>
      </c>
      <c r="N31" s="89"/>
      <c r="O31" s="89"/>
      <c r="P31" s="89"/>
      <c r="Q31" s="89"/>
      <c r="R31" s="89"/>
      <c r="V31" s="139"/>
      <c r="X31" t="s">
        <v>519</v>
      </c>
    </row>
    <row r="32">
      <c r="A32" s="14" t="s">
        <v>44</v>
      </c>
      <c r="B32" s="31" t="s">
        <v>7466</v>
      </c>
      <c r="C32" s="35" t="s">
        <v>7467</v>
      </c>
      <c r="D32" s="35" t="s">
        <v>7469</v>
      </c>
      <c r="E32" s="51" t="s">
        <v>53</v>
      </c>
      <c r="F32" s="563"/>
      <c r="G32" s="573" t="s">
        <v>519</v>
      </c>
      <c r="H32" s="574" t="s">
        <v>519</v>
      </c>
      <c r="I32" s="574" t="s">
        <v>519</v>
      </c>
      <c r="J32" s="574" t="s">
        <v>519</v>
      </c>
      <c r="L32" s="575" t="s">
        <v>7470</v>
      </c>
      <c r="M32" s="89" t="s">
        <v>7471</v>
      </c>
      <c r="N32" s="89"/>
      <c r="O32" s="89"/>
      <c r="P32" s="89"/>
      <c r="Q32" s="89"/>
      <c r="R32" s="89"/>
      <c r="V32" s="139"/>
      <c r="X32" t="s">
        <v>519</v>
      </c>
    </row>
    <row r="33">
      <c r="A33" s="14" t="s">
        <v>44</v>
      </c>
      <c r="B33" s="31" t="s">
        <v>7472</v>
      </c>
      <c r="C33" s="35" t="s">
        <v>756</v>
      </c>
      <c r="D33" s="35" t="s">
        <v>7473</v>
      </c>
      <c r="E33" s="51" t="s">
        <v>53</v>
      </c>
      <c r="F33" s="563"/>
      <c r="G33" s="573" t="s">
        <v>519</v>
      </c>
      <c r="H33" s="574" t="s">
        <v>519</v>
      </c>
      <c r="I33" s="574" t="s">
        <v>519</v>
      </c>
      <c r="J33" s="574" t="s">
        <v>519</v>
      </c>
      <c r="L33" s="577"/>
      <c r="M33" s="89" t="s">
        <v>7474</v>
      </c>
      <c r="N33" s="89"/>
      <c r="O33" s="89"/>
      <c r="P33" s="89"/>
      <c r="Q33" s="89"/>
      <c r="R33" s="89"/>
      <c r="V33" s="139"/>
      <c r="X33" t="s">
        <v>519</v>
      </c>
    </row>
    <row r="34">
      <c r="A34" s="14" t="s">
        <v>44</v>
      </c>
      <c r="B34" s="31" t="s">
        <v>7475</v>
      </c>
      <c r="C34" s="35" t="s">
        <v>173</v>
      </c>
      <c r="D34" s="35" t="s">
        <v>7477</v>
      </c>
      <c r="E34" s="51" t="s">
        <v>53</v>
      </c>
      <c r="F34" s="563"/>
      <c r="G34" s="573" t="s">
        <v>519</v>
      </c>
      <c r="H34" s="574" t="s">
        <v>519</v>
      </c>
      <c r="I34" s="574" t="s">
        <v>519</v>
      </c>
      <c r="J34" s="574" t="s">
        <v>519</v>
      </c>
      <c r="L34" s="575" t="s">
        <v>7479</v>
      </c>
      <c r="M34" s="89" t="s">
        <v>7480</v>
      </c>
      <c r="N34" s="89"/>
      <c r="O34" s="89"/>
      <c r="P34" s="89"/>
      <c r="Q34" s="89"/>
      <c r="R34" s="89"/>
      <c r="V34" s="139"/>
      <c r="X34" t="s">
        <v>519</v>
      </c>
    </row>
    <row r="35">
      <c r="A35" s="14" t="s">
        <v>44</v>
      </c>
      <c r="B35" s="31" t="s">
        <v>7481</v>
      </c>
      <c r="C35" s="35" t="s">
        <v>679</v>
      </c>
      <c r="D35" s="35" t="s">
        <v>7485</v>
      </c>
      <c r="E35" s="51" t="s">
        <v>53</v>
      </c>
      <c r="F35" s="563"/>
      <c r="G35" s="573" t="s">
        <v>519</v>
      </c>
      <c r="H35" s="574" t="s">
        <v>519</v>
      </c>
      <c r="I35" s="574" t="s">
        <v>519</v>
      </c>
      <c r="J35" s="574" t="s">
        <v>519</v>
      </c>
      <c r="L35" s="575" t="s">
        <v>7486</v>
      </c>
      <c r="M35" s="89" t="s">
        <v>7487</v>
      </c>
      <c r="N35" s="89"/>
      <c r="O35" s="89"/>
      <c r="P35" s="89"/>
      <c r="Q35" s="89"/>
      <c r="R35" s="89"/>
      <c r="V35" s="139"/>
      <c r="X35" t="s">
        <v>519</v>
      </c>
    </row>
    <row r="36">
      <c r="A36" s="14" t="s">
        <v>44</v>
      </c>
      <c r="B36" s="31" t="s">
        <v>7488</v>
      </c>
      <c r="C36" s="35" t="s">
        <v>225</v>
      </c>
      <c r="D36" s="35" t="s">
        <v>1501</v>
      </c>
      <c r="E36" s="51" t="s">
        <v>53</v>
      </c>
      <c r="F36" s="563"/>
      <c r="G36" s="573" t="s">
        <v>519</v>
      </c>
      <c r="H36" s="574" t="s">
        <v>519</v>
      </c>
      <c r="I36" s="574" t="s">
        <v>519</v>
      </c>
      <c r="J36" s="574" t="s">
        <v>519</v>
      </c>
      <c r="L36" s="575" t="s">
        <v>7489</v>
      </c>
      <c r="M36" s="89" t="s">
        <v>7490</v>
      </c>
      <c r="N36" s="89"/>
      <c r="O36" s="89"/>
      <c r="P36" s="89"/>
      <c r="Q36" s="89"/>
      <c r="R36" s="89"/>
      <c r="V36" s="139"/>
      <c r="X36" t="s">
        <v>519</v>
      </c>
    </row>
    <row r="37">
      <c r="A37" s="14" t="s">
        <v>44</v>
      </c>
      <c r="B37" s="31" t="s">
        <v>7491</v>
      </c>
      <c r="C37" s="35" t="s">
        <v>76</v>
      </c>
      <c r="D37" s="35" t="s">
        <v>553</v>
      </c>
      <c r="E37" s="51" t="s">
        <v>53</v>
      </c>
      <c r="F37" s="563"/>
      <c r="G37" s="573" t="s">
        <v>519</v>
      </c>
      <c r="H37" s="574" t="s">
        <v>519</v>
      </c>
      <c r="I37" s="574" t="s">
        <v>519</v>
      </c>
      <c r="J37" s="574" t="s">
        <v>519</v>
      </c>
      <c r="L37" s="577"/>
      <c r="M37" s="89" t="s">
        <v>7493</v>
      </c>
      <c r="N37" s="89"/>
      <c r="O37" s="89"/>
      <c r="P37" s="89"/>
      <c r="Q37" s="89"/>
      <c r="R37" s="89"/>
      <c r="V37" s="139"/>
      <c r="X37" t="s">
        <v>519</v>
      </c>
    </row>
    <row r="38">
      <c r="A38" s="14" t="s">
        <v>44</v>
      </c>
      <c r="B38" s="31" t="s">
        <v>7494</v>
      </c>
      <c r="C38" s="35" t="s">
        <v>4340</v>
      </c>
      <c r="D38" s="35" t="s">
        <v>7496</v>
      </c>
      <c r="E38" s="51" t="s">
        <v>53</v>
      </c>
      <c r="F38" s="563"/>
      <c r="G38" s="573" t="s">
        <v>519</v>
      </c>
      <c r="H38" s="574" t="s">
        <v>519</v>
      </c>
      <c r="I38" s="574" t="s">
        <v>519</v>
      </c>
      <c r="J38" s="574" t="s">
        <v>519</v>
      </c>
      <c r="L38" s="575" t="s">
        <v>7497</v>
      </c>
      <c r="M38" s="89" t="s">
        <v>7498</v>
      </c>
      <c r="N38" s="89"/>
      <c r="O38" s="89"/>
      <c r="P38" s="89"/>
      <c r="Q38" s="89"/>
      <c r="R38" s="89"/>
      <c r="V38" s="139"/>
      <c r="X38" t="s">
        <v>519</v>
      </c>
    </row>
    <row r="39">
      <c r="A39" s="14" t="s">
        <v>44</v>
      </c>
      <c r="B39" s="31" t="s">
        <v>7499</v>
      </c>
      <c r="C39" s="35" t="s">
        <v>3589</v>
      </c>
      <c r="D39" s="35" t="s">
        <v>7501</v>
      </c>
      <c r="E39" s="51" t="s">
        <v>53</v>
      </c>
      <c r="F39" s="563"/>
      <c r="G39" s="573" t="s">
        <v>519</v>
      </c>
      <c r="H39" s="574" t="s">
        <v>519</v>
      </c>
      <c r="I39" s="574" t="s">
        <v>519</v>
      </c>
      <c r="J39" s="574" t="s">
        <v>519</v>
      </c>
      <c r="L39" s="577"/>
      <c r="M39" s="89" t="s">
        <v>7502</v>
      </c>
      <c r="N39" s="89"/>
      <c r="O39" s="89"/>
      <c r="P39" s="89"/>
      <c r="Q39" s="89"/>
      <c r="R39" s="89"/>
      <c r="V39" s="139"/>
      <c r="X39" t="s">
        <v>519</v>
      </c>
    </row>
    <row r="40">
      <c r="A40" s="14" t="s">
        <v>44</v>
      </c>
      <c r="B40" s="31" t="s">
        <v>7503</v>
      </c>
      <c r="C40" s="35" t="s">
        <v>683</v>
      </c>
      <c r="D40" s="35" t="s">
        <v>7504</v>
      </c>
      <c r="E40" s="36" t="s">
        <v>7378</v>
      </c>
      <c r="F40" s="563"/>
      <c r="G40" s="573" t="s">
        <v>519</v>
      </c>
      <c r="H40" s="574" t="s">
        <v>519</v>
      </c>
      <c r="I40" s="574" t="s">
        <v>519</v>
      </c>
      <c r="J40" s="574" t="s">
        <v>519</v>
      </c>
      <c r="L40" s="575" t="s">
        <v>7505</v>
      </c>
      <c r="M40" s="89" t="s">
        <v>7506</v>
      </c>
      <c r="N40" s="89"/>
      <c r="O40" s="89"/>
      <c r="P40" s="89"/>
      <c r="Q40" s="89"/>
      <c r="R40" s="89"/>
      <c r="V40" s="139"/>
      <c r="X40" t="s">
        <v>519</v>
      </c>
    </row>
    <row r="41">
      <c r="A41" s="14" t="s">
        <v>44</v>
      </c>
      <c r="B41" s="31" t="s">
        <v>7507</v>
      </c>
      <c r="C41" s="35" t="s">
        <v>792</v>
      </c>
      <c r="D41" s="35" t="s">
        <v>7508</v>
      </c>
      <c r="E41" s="36" t="s">
        <v>7378</v>
      </c>
      <c r="F41" s="563"/>
      <c r="G41" s="573" t="s">
        <v>519</v>
      </c>
      <c r="H41" s="574" t="s">
        <v>519</v>
      </c>
      <c r="I41" s="574" t="s">
        <v>519</v>
      </c>
      <c r="J41" s="574" t="s">
        <v>519</v>
      </c>
      <c r="L41" s="577"/>
      <c r="M41" s="89" t="s">
        <v>7509</v>
      </c>
      <c r="N41" s="89"/>
      <c r="O41" s="89"/>
      <c r="P41" s="89"/>
      <c r="Q41" s="89"/>
      <c r="R41" s="89"/>
      <c r="V41" s="139"/>
      <c r="X41" t="s">
        <v>519</v>
      </c>
    </row>
    <row r="42">
      <c r="A42" s="14" t="s">
        <v>44</v>
      </c>
      <c r="B42" s="31" t="s">
        <v>7510</v>
      </c>
      <c r="C42" s="35" t="s">
        <v>419</v>
      </c>
      <c r="D42" s="35" t="s">
        <v>7511</v>
      </c>
      <c r="E42" s="51" t="s">
        <v>53</v>
      </c>
      <c r="F42" s="563"/>
      <c r="G42" s="573" t="s">
        <v>519</v>
      </c>
      <c r="H42" s="574" t="s">
        <v>519</v>
      </c>
      <c r="I42" s="574" t="s">
        <v>519</v>
      </c>
      <c r="J42" s="574" t="s">
        <v>519</v>
      </c>
      <c r="L42" s="575" t="s">
        <v>7512</v>
      </c>
      <c r="M42" s="89" t="s">
        <v>7513</v>
      </c>
      <c r="N42" s="89"/>
      <c r="O42" s="89"/>
      <c r="P42" s="89"/>
      <c r="Q42" s="89"/>
      <c r="R42" s="89"/>
      <c r="V42" s="139"/>
      <c r="X42" t="s">
        <v>519</v>
      </c>
    </row>
    <row r="43">
      <c r="A43" s="14" t="s">
        <v>44</v>
      </c>
      <c r="B43" s="31" t="s">
        <v>7514</v>
      </c>
      <c r="C43" s="35" t="s">
        <v>1974</v>
      </c>
      <c r="D43" s="35" t="s">
        <v>7515</v>
      </c>
      <c r="E43" s="36" t="s">
        <v>7378</v>
      </c>
      <c r="F43" s="563"/>
      <c r="G43" s="573" t="s">
        <v>519</v>
      </c>
      <c r="H43" s="574" t="s">
        <v>519</v>
      </c>
      <c r="I43" s="574" t="s">
        <v>519</v>
      </c>
      <c r="J43" s="574" t="s">
        <v>519</v>
      </c>
      <c r="L43" s="575" t="s">
        <v>7517</v>
      </c>
      <c r="M43" s="89" t="s">
        <v>7518</v>
      </c>
      <c r="N43" s="89"/>
      <c r="O43" s="89"/>
      <c r="P43" s="89"/>
      <c r="Q43" s="89"/>
      <c r="R43" s="89"/>
      <c r="V43" s="139"/>
      <c r="X43" t="s">
        <v>519</v>
      </c>
    </row>
    <row r="44">
      <c r="A44" s="14" t="s">
        <v>44</v>
      </c>
      <c r="B44" s="31" t="s">
        <v>7519</v>
      </c>
      <c r="C44" s="35" t="s">
        <v>7520</v>
      </c>
      <c r="D44" s="35" t="s">
        <v>5393</v>
      </c>
      <c r="E44" s="51" t="s">
        <v>53</v>
      </c>
      <c r="F44" s="563"/>
      <c r="G44" s="573" t="s">
        <v>519</v>
      </c>
      <c r="H44" s="574" t="s">
        <v>519</v>
      </c>
      <c r="I44" s="574" t="s">
        <v>519</v>
      </c>
      <c r="J44" s="574" t="s">
        <v>519</v>
      </c>
      <c r="L44" s="577"/>
      <c r="M44" s="89" t="s">
        <v>7522</v>
      </c>
      <c r="N44" s="89"/>
      <c r="O44" s="89"/>
      <c r="P44" s="89"/>
      <c r="Q44" s="89"/>
      <c r="R44" s="89"/>
      <c r="V44" s="139"/>
      <c r="X44" t="s">
        <v>519</v>
      </c>
    </row>
    <row r="45">
      <c r="A45" s="14" t="s">
        <v>44</v>
      </c>
      <c r="B45" s="31" t="s">
        <v>7523</v>
      </c>
      <c r="C45" s="35" t="s">
        <v>55</v>
      </c>
      <c r="D45" s="35" t="s">
        <v>7524</v>
      </c>
      <c r="E45" s="51" t="s">
        <v>53</v>
      </c>
      <c r="F45" s="563"/>
      <c r="G45" s="573" t="s">
        <v>519</v>
      </c>
      <c r="H45" s="574" t="s">
        <v>519</v>
      </c>
      <c r="I45" s="574" t="s">
        <v>519</v>
      </c>
      <c r="J45" s="574" t="s">
        <v>519</v>
      </c>
      <c r="L45" s="575" t="s">
        <v>7525</v>
      </c>
      <c r="M45" s="89" t="s">
        <v>7526</v>
      </c>
      <c r="N45" s="89"/>
      <c r="O45" s="89"/>
      <c r="P45" s="89"/>
      <c r="Q45" s="89"/>
      <c r="R45" s="89"/>
      <c r="V45" s="139"/>
      <c r="X45" t="s">
        <v>519</v>
      </c>
    </row>
    <row r="46">
      <c r="A46" s="14" t="s">
        <v>44</v>
      </c>
      <c r="B46" s="31" t="s">
        <v>7527</v>
      </c>
      <c r="C46" s="35" t="s">
        <v>622</v>
      </c>
      <c r="D46" s="35" t="s">
        <v>7529</v>
      </c>
      <c r="E46" s="51" t="s">
        <v>53</v>
      </c>
      <c r="F46" s="563"/>
      <c r="G46" s="573" t="s">
        <v>519</v>
      </c>
      <c r="H46" s="574" t="s">
        <v>519</v>
      </c>
      <c r="I46" s="574" t="s">
        <v>519</v>
      </c>
      <c r="J46" s="574" t="s">
        <v>519</v>
      </c>
      <c r="L46" s="575" t="s">
        <v>7530</v>
      </c>
      <c r="M46" s="89" t="s">
        <v>7531</v>
      </c>
      <c r="N46" s="89"/>
      <c r="O46" s="89"/>
      <c r="P46" s="89"/>
      <c r="Q46" s="89"/>
      <c r="R46" s="89"/>
      <c r="V46" s="139"/>
      <c r="X46" t="s">
        <v>519</v>
      </c>
    </row>
    <row r="47">
      <c r="A47" s="14" t="s">
        <v>44</v>
      </c>
      <c r="B47" s="31" t="s">
        <v>7532</v>
      </c>
      <c r="C47" s="35" t="s">
        <v>503</v>
      </c>
      <c r="D47" s="35" t="s">
        <v>4789</v>
      </c>
      <c r="E47" s="51" t="s">
        <v>53</v>
      </c>
      <c r="F47" s="563"/>
      <c r="G47" s="573" t="s">
        <v>519</v>
      </c>
      <c r="H47" s="574" t="s">
        <v>519</v>
      </c>
      <c r="I47" s="574" t="s">
        <v>519</v>
      </c>
      <c r="J47" s="574" t="s">
        <v>519</v>
      </c>
      <c r="L47" s="577"/>
      <c r="M47" s="89" t="s">
        <v>7535</v>
      </c>
      <c r="N47" s="89"/>
      <c r="O47" s="89"/>
      <c r="P47" s="89"/>
      <c r="Q47" s="89"/>
      <c r="R47" s="89"/>
      <c r="V47" s="139"/>
      <c r="X47" t="s">
        <v>519</v>
      </c>
    </row>
    <row r="48">
      <c r="A48" s="14" t="s">
        <v>44</v>
      </c>
      <c r="B48" s="31" t="s">
        <v>6306</v>
      </c>
      <c r="C48" s="35" t="s">
        <v>419</v>
      </c>
      <c r="D48" s="35" t="s">
        <v>7538</v>
      </c>
      <c r="E48" s="51" t="s">
        <v>53</v>
      </c>
      <c r="F48" s="563"/>
      <c r="G48" s="573" t="s">
        <v>519</v>
      </c>
      <c r="H48" s="574" t="s">
        <v>519</v>
      </c>
      <c r="I48" s="574" t="s">
        <v>519</v>
      </c>
      <c r="J48" s="574" t="s">
        <v>519</v>
      </c>
      <c r="L48" s="575" t="s">
        <v>7539</v>
      </c>
      <c r="M48" s="89" t="s">
        <v>7540</v>
      </c>
      <c r="N48" s="89"/>
      <c r="O48" s="89"/>
      <c r="P48" s="89"/>
      <c r="Q48" s="89"/>
      <c r="R48" s="89"/>
      <c r="V48" s="139"/>
      <c r="X48" t="s">
        <v>519</v>
      </c>
    </row>
    <row r="49">
      <c r="A49" s="14" t="s">
        <v>44</v>
      </c>
      <c r="B49" s="31" t="s">
        <v>6309</v>
      </c>
      <c r="C49" s="35" t="s">
        <v>657</v>
      </c>
      <c r="D49" s="35" t="s">
        <v>7548</v>
      </c>
      <c r="E49" s="51" t="s">
        <v>53</v>
      </c>
      <c r="F49" s="563"/>
      <c r="G49" s="573" t="s">
        <v>519</v>
      </c>
      <c r="H49" s="574" t="s">
        <v>519</v>
      </c>
      <c r="I49" s="574" t="s">
        <v>519</v>
      </c>
      <c r="J49" s="574" t="s">
        <v>519</v>
      </c>
      <c r="L49" s="577"/>
      <c r="M49" s="89" t="s">
        <v>7549</v>
      </c>
      <c r="N49" s="89"/>
      <c r="O49" s="89"/>
      <c r="P49" s="89"/>
      <c r="Q49" s="89"/>
      <c r="R49" s="89"/>
      <c r="V49" s="139"/>
      <c r="X49" t="s">
        <v>519</v>
      </c>
    </row>
    <row r="50">
      <c r="A50" s="14" t="s">
        <v>44</v>
      </c>
      <c r="B50" s="31" t="s">
        <v>7550</v>
      </c>
      <c r="C50" s="35" t="s">
        <v>278</v>
      </c>
      <c r="D50" s="35" t="s">
        <v>7557</v>
      </c>
      <c r="E50" s="51" t="s">
        <v>53</v>
      </c>
      <c r="F50" s="563"/>
      <c r="G50" s="573" t="s">
        <v>519</v>
      </c>
      <c r="H50" s="574" t="s">
        <v>519</v>
      </c>
      <c r="I50" s="574" t="s">
        <v>519</v>
      </c>
      <c r="J50" s="574" t="s">
        <v>519</v>
      </c>
      <c r="L50" s="575" t="s">
        <v>7558</v>
      </c>
      <c r="M50" s="89" t="s">
        <v>7559</v>
      </c>
      <c r="N50" s="89"/>
      <c r="O50" s="89"/>
      <c r="P50" s="89"/>
      <c r="Q50" s="89"/>
      <c r="R50" s="89"/>
      <c r="V50" s="139"/>
      <c r="X50" t="s">
        <v>519</v>
      </c>
    </row>
    <row r="51">
      <c r="A51" s="14" t="s">
        <v>44</v>
      </c>
      <c r="B51" s="31" t="s">
        <v>7561</v>
      </c>
      <c r="C51" s="35" t="s">
        <v>1331</v>
      </c>
      <c r="D51" s="35" t="s">
        <v>497</v>
      </c>
      <c r="E51" s="51" t="s">
        <v>53</v>
      </c>
      <c r="F51" s="563"/>
      <c r="G51" s="573" t="s">
        <v>519</v>
      </c>
      <c r="H51" s="574" t="s">
        <v>519</v>
      </c>
      <c r="I51" s="574" t="s">
        <v>519</v>
      </c>
      <c r="J51" s="574" t="s">
        <v>519</v>
      </c>
      <c r="L51" s="575" t="s">
        <v>7573</v>
      </c>
      <c r="M51" s="89" t="s">
        <v>7574</v>
      </c>
      <c r="N51" s="89"/>
      <c r="O51" s="89"/>
      <c r="P51" s="89"/>
      <c r="Q51" s="89"/>
      <c r="R51" s="89"/>
      <c r="V51" s="139"/>
      <c r="X51" t="s">
        <v>519</v>
      </c>
    </row>
    <row r="52">
      <c r="A52" s="14" t="s">
        <v>44</v>
      </c>
      <c r="B52" s="31" t="s">
        <v>7575</v>
      </c>
      <c r="C52" s="35" t="s">
        <v>7576</v>
      </c>
      <c r="D52" s="35" t="s">
        <v>7584</v>
      </c>
      <c r="E52" s="51" t="s">
        <v>53</v>
      </c>
      <c r="F52" s="563"/>
      <c r="G52" s="573" t="s">
        <v>519</v>
      </c>
      <c r="H52" s="574" t="s">
        <v>519</v>
      </c>
      <c r="I52" s="574" t="s">
        <v>519</v>
      </c>
      <c r="J52" s="574" t="s">
        <v>519</v>
      </c>
      <c r="L52" s="575" t="s">
        <v>7586</v>
      </c>
      <c r="M52" s="89" t="s">
        <v>7588</v>
      </c>
      <c r="N52" s="89"/>
      <c r="O52" s="89"/>
      <c r="P52" s="89"/>
      <c r="Q52" s="89"/>
      <c r="R52" s="89"/>
      <c r="V52" s="139"/>
      <c r="X52" t="s">
        <v>519</v>
      </c>
    </row>
    <row r="53">
      <c r="A53" s="14" t="s">
        <v>44</v>
      </c>
      <c r="B53" s="31" t="s">
        <v>7595</v>
      </c>
      <c r="C53" s="35" t="s">
        <v>7576</v>
      </c>
      <c r="D53" s="35" t="s">
        <v>7598</v>
      </c>
      <c r="E53" s="36" t="s">
        <v>7378</v>
      </c>
      <c r="F53" s="563"/>
      <c r="G53" s="573" t="s">
        <v>519</v>
      </c>
      <c r="H53" s="574" t="s">
        <v>519</v>
      </c>
      <c r="I53" s="574" t="s">
        <v>519</v>
      </c>
      <c r="J53" s="574" t="s">
        <v>519</v>
      </c>
      <c r="L53" s="575" t="s">
        <v>7599</v>
      </c>
      <c r="M53" s="89" t="s">
        <v>7600</v>
      </c>
      <c r="N53" s="89"/>
      <c r="O53" s="89"/>
      <c r="P53" s="89"/>
      <c r="Q53" s="89"/>
      <c r="R53" s="89"/>
      <c r="V53" s="139"/>
      <c r="X53" t="s">
        <v>519</v>
      </c>
    </row>
    <row r="54">
      <c r="A54" s="14" t="s">
        <v>44</v>
      </c>
      <c r="B54" s="31" t="s">
        <v>7601</v>
      </c>
      <c r="C54" s="35" t="s">
        <v>3053</v>
      </c>
      <c r="D54" s="35" t="s">
        <v>7604</v>
      </c>
      <c r="E54" s="36" t="s">
        <v>7378</v>
      </c>
      <c r="F54" s="563"/>
      <c r="G54" s="578" t="s">
        <v>7605</v>
      </c>
      <c r="H54" s="579"/>
      <c r="I54" s="574" t="s">
        <v>519</v>
      </c>
      <c r="J54" s="574" t="s">
        <v>519</v>
      </c>
      <c r="L54" s="577"/>
      <c r="M54" s="89" t="s">
        <v>7606</v>
      </c>
      <c r="N54" s="89"/>
      <c r="O54" s="89"/>
      <c r="P54" s="89"/>
      <c r="Q54" s="89"/>
      <c r="R54" s="89"/>
      <c r="V54" s="139"/>
      <c r="X54" t="s">
        <v>519</v>
      </c>
    </row>
    <row r="55">
      <c r="A55" s="14" t="s">
        <v>44</v>
      </c>
      <c r="B55" s="31" t="s">
        <v>7607</v>
      </c>
      <c r="C55" s="35" t="s">
        <v>7608</v>
      </c>
      <c r="D55" s="35" t="s">
        <v>7609</v>
      </c>
      <c r="E55" s="51" t="s">
        <v>53</v>
      </c>
      <c r="F55" s="563"/>
      <c r="G55" s="573" t="s">
        <v>519</v>
      </c>
      <c r="H55" s="574" t="s">
        <v>519</v>
      </c>
      <c r="I55" s="574" t="s">
        <v>519</v>
      </c>
      <c r="J55" s="574" t="s">
        <v>519</v>
      </c>
      <c r="L55" s="575" t="s">
        <v>7610</v>
      </c>
      <c r="M55" s="89" t="s">
        <v>7611</v>
      </c>
      <c r="N55" s="89"/>
      <c r="O55" s="89"/>
      <c r="P55" s="89"/>
      <c r="Q55" s="89"/>
      <c r="R55" s="89"/>
      <c r="V55" s="139"/>
      <c r="X55" t="s">
        <v>519</v>
      </c>
    </row>
    <row r="56">
      <c r="A56" s="14" t="s">
        <v>44</v>
      </c>
      <c r="B56" s="31" t="s">
        <v>6331</v>
      </c>
      <c r="C56" s="35" t="s">
        <v>4750</v>
      </c>
      <c r="D56" s="35" t="s">
        <v>2763</v>
      </c>
      <c r="E56" s="51" t="s">
        <v>53</v>
      </c>
      <c r="F56" s="563"/>
      <c r="G56" s="573" t="s">
        <v>519</v>
      </c>
      <c r="H56" s="574" t="s">
        <v>519</v>
      </c>
      <c r="I56" s="574" t="s">
        <v>519</v>
      </c>
      <c r="J56" s="574" t="s">
        <v>519</v>
      </c>
      <c r="L56" s="575" t="s">
        <v>7617</v>
      </c>
      <c r="M56" s="89" t="s">
        <v>7618</v>
      </c>
      <c r="N56" s="89"/>
      <c r="O56" s="89"/>
      <c r="P56" s="89"/>
      <c r="Q56" s="89"/>
      <c r="R56" s="89"/>
      <c r="V56" s="139"/>
      <c r="X56" t="s">
        <v>519</v>
      </c>
    </row>
    <row r="57">
      <c r="A57" s="14" t="s">
        <v>44</v>
      </c>
      <c r="B57" s="31" t="s">
        <v>6334</v>
      </c>
      <c r="C57" s="35" t="s">
        <v>7619</v>
      </c>
      <c r="D57" s="35" t="s">
        <v>7620</v>
      </c>
      <c r="E57" s="36" t="s">
        <v>7378</v>
      </c>
      <c r="F57" s="563"/>
      <c r="G57" s="573" t="s">
        <v>7621</v>
      </c>
      <c r="H57" s="574" t="s">
        <v>519</v>
      </c>
      <c r="I57" s="574" t="s">
        <v>519</v>
      </c>
      <c r="J57" s="574" t="s">
        <v>519</v>
      </c>
      <c r="L57" s="575" t="s">
        <v>7623</v>
      </c>
      <c r="M57" s="89" t="s">
        <v>7624</v>
      </c>
      <c r="N57" s="89"/>
      <c r="O57" s="89"/>
      <c r="P57" s="89"/>
      <c r="Q57" s="89"/>
      <c r="R57" s="89"/>
      <c r="V57" s="139"/>
      <c r="X57" t="s">
        <v>519</v>
      </c>
    </row>
    <row r="58">
      <c r="A58" s="14" t="s">
        <v>44</v>
      </c>
      <c r="B58" s="31" t="s">
        <v>7627</v>
      </c>
      <c r="C58" s="35" t="s">
        <v>3242</v>
      </c>
      <c r="D58" s="35" t="s">
        <v>7630</v>
      </c>
      <c r="E58" s="36" t="s">
        <v>7378</v>
      </c>
      <c r="F58" s="563"/>
      <c r="G58" s="578" t="s">
        <v>7631</v>
      </c>
      <c r="H58" s="579"/>
      <c r="I58" s="574" t="s">
        <v>519</v>
      </c>
      <c r="J58" s="574" t="s">
        <v>519</v>
      </c>
      <c r="L58" s="575" t="s">
        <v>7632</v>
      </c>
      <c r="M58" s="89" t="s">
        <v>7633</v>
      </c>
      <c r="N58" s="89"/>
      <c r="O58" s="89"/>
      <c r="P58" s="89"/>
      <c r="Q58" s="89"/>
      <c r="R58" s="89"/>
      <c r="V58" s="139"/>
      <c r="X58" t="s">
        <v>519</v>
      </c>
    </row>
    <row r="59">
      <c r="A59" s="14" t="s">
        <v>44</v>
      </c>
      <c r="B59" s="31" t="s">
        <v>7634</v>
      </c>
      <c r="C59" s="35" t="s">
        <v>997</v>
      </c>
      <c r="D59" s="35" t="s">
        <v>5540</v>
      </c>
      <c r="E59" s="51" t="s">
        <v>53</v>
      </c>
      <c r="F59" s="563"/>
      <c r="G59" s="573" t="s">
        <v>519</v>
      </c>
      <c r="H59" s="574" t="s">
        <v>519</v>
      </c>
      <c r="I59" s="574" t="s">
        <v>519</v>
      </c>
      <c r="J59" s="574" t="s">
        <v>519</v>
      </c>
      <c r="L59" s="575" t="s">
        <v>7640</v>
      </c>
      <c r="M59" s="89" t="s">
        <v>7641</v>
      </c>
      <c r="N59" s="89"/>
      <c r="O59" s="89"/>
      <c r="P59" s="89"/>
      <c r="Q59" s="89"/>
      <c r="R59" s="89"/>
      <c r="V59" s="139"/>
      <c r="X59" t="s">
        <v>519</v>
      </c>
    </row>
    <row r="60">
      <c r="A60" s="14" t="s">
        <v>44</v>
      </c>
      <c r="B60" s="31" t="s">
        <v>6345</v>
      </c>
      <c r="C60" s="35" t="s">
        <v>622</v>
      </c>
      <c r="D60" s="35" t="s">
        <v>6869</v>
      </c>
      <c r="E60" s="51" t="s">
        <v>53</v>
      </c>
      <c r="F60" s="563"/>
      <c r="G60" s="573" t="s">
        <v>519</v>
      </c>
      <c r="H60" s="574" t="s">
        <v>519</v>
      </c>
      <c r="I60" s="574" t="s">
        <v>519</v>
      </c>
      <c r="J60" s="574" t="s">
        <v>519</v>
      </c>
      <c r="L60" s="575" t="s">
        <v>7649</v>
      </c>
      <c r="M60" s="89" t="s">
        <v>7650</v>
      </c>
      <c r="N60" s="89"/>
      <c r="O60" s="89"/>
      <c r="P60" s="89"/>
      <c r="Q60" s="89"/>
      <c r="R60" s="89"/>
      <c r="V60" s="139"/>
      <c r="X60" t="s">
        <v>519</v>
      </c>
    </row>
    <row r="61">
      <c r="A61" s="14" t="s">
        <v>44</v>
      </c>
      <c r="B61" s="31" t="s">
        <v>6348</v>
      </c>
      <c r="C61" s="35" t="s">
        <v>7651</v>
      </c>
      <c r="D61" s="35" t="s">
        <v>2591</v>
      </c>
      <c r="E61" s="51" t="s">
        <v>53</v>
      </c>
      <c r="F61" s="563"/>
      <c r="G61" s="573" t="s">
        <v>519</v>
      </c>
      <c r="H61" s="574" t="s">
        <v>519</v>
      </c>
      <c r="I61" s="574" t="s">
        <v>519</v>
      </c>
      <c r="J61" s="574" t="s">
        <v>519</v>
      </c>
      <c r="L61" s="577"/>
      <c r="M61" s="89" t="s">
        <v>7659</v>
      </c>
      <c r="N61" s="89"/>
      <c r="O61" s="89"/>
      <c r="P61" s="89"/>
      <c r="Q61" s="89"/>
      <c r="R61" s="89"/>
      <c r="V61" s="139"/>
      <c r="X61" t="s">
        <v>519</v>
      </c>
    </row>
    <row r="62">
      <c r="A62" s="14" t="s">
        <v>44</v>
      </c>
      <c r="B62" s="31" t="s">
        <v>6356</v>
      </c>
      <c r="C62" s="35" t="s">
        <v>3030</v>
      </c>
      <c r="D62" s="35" t="s">
        <v>7664</v>
      </c>
      <c r="E62" s="51" t="s">
        <v>53</v>
      </c>
      <c r="F62" s="563"/>
      <c r="G62" s="573" t="s">
        <v>519</v>
      </c>
      <c r="H62" s="574" t="s">
        <v>519</v>
      </c>
      <c r="I62" s="574" t="s">
        <v>519</v>
      </c>
      <c r="J62" s="574" t="s">
        <v>519</v>
      </c>
      <c r="L62" s="577"/>
      <c r="M62" s="89" t="s">
        <v>7665</v>
      </c>
      <c r="N62" s="89"/>
      <c r="O62" s="89"/>
      <c r="P62" s="89"/>
      <c r="Q62" s="89"/>
      <c r="R62" s="89"/>
      <c r="V62" s="139"/>
      <c r="X62" t="s">
        <v>519</v>
      </c>
    </row>
    <row r="63">
      <c r="A63" s="14" t="s">
        <v>44</v>
      </c>
      <c r="B63" s="31" t="s">
        <v>6361</v>
      </c>
      <c r="C63" s="35" t="s">
        <v>2302</v>
      </c>
      <c r="D63" s="35" t="s">
        <v>7666</v>
      </c>
      <c r="E63" s="51" t="s">
        <v>53</v>
      </c>
      <c r="F63" s="563"/>
      <c r="G63" s="573" t="s">
        <v>519</v>
      </c>
      <c r="H63" s="574" t="s">
        <v>519</v>
      </c>
      <c r="I63" s="574" t="s">
        <v>519</v>
      </c>
      <c r="J63" s="574" t="s">
        <v>519</v>
      </c>
      <c r="L63" s="577"/>
      <c r="M63" s="89" t="s">
        <v>7667</v>
      </c>
      <c r="N63" s="89"/>
      <c r="O63" s="89"/>
      <c r="P63" s="89"/>
      <c r="Q63" s="89"/>
      <c r="R63" s="89"/>
      <c r="V63" s="139"/>
      <c r="X63" t="s">
        <v>519</v>
      </c>
    </row>
    <row r="64">
      <c r="A64" s="14" t="s">
        <v>44</v>
      </c>
      <c r="B64" s="31" t="s">
        <v>6363</v>
      </c>
      <c r="C64" s="35" t="s">
        <v>2569</v>
      </c>
      <c r="D64" s="35" t="s">
        <v>7673</v>
      </c>
      <c r="E64" s="51" t="s">
        <v>53</v>
      </c>
      <c r="F64" s="567" t="s">
        <v>498</v>
      </c>
      <c r="G64" s="573" t="s">
        <v>519</v>
      </c>
      <c r="H64" s="574" t="s">
        <v>519</v>
      </c>
      <c r="I64" s="574" t="s">
        <v>519</v>
      </c>
      <c r="J64" s="574" t="s">
        <v>519</v>
      </c>
      <c r="L64" s="575" t="s">
        <v>7674</v>
      </c>
      <c r="M64" s="89" t="s">
        <v>7675</v>
      </c>
      <c r="N64" s="89"/>
      <c r="O64" s="89"/>
      <c r="P64" s="89"/>
      <c r="Q64" s="89"/>
      <c r="R64" s="89"/>
      <c r="V64" s="139"/>
      <c r="X64" t="s">
        <v>519</v>
      </c>
    </row>
    <row r="65">
      <c r="A65" s="14" t="s">
        <v>44</v>
      </c>
      <c r="B65" s="31" t="s">
        <v>6365</v>
      </c>
      <c r="C65" s="35" t="s">
        <v>7676</v>
      </c>
      <c r="D65" s="35" t="s">
        <v>7685</v>
      </c>
      <c r="E65" s="51" t="s">
        <v>53</v>
      </c>
      <c r="F65" s="563"/>
      <c r="G65" s="573"/>
      <c r="H65" s="574" t="s">
        <v>519</v>
      </c>
      <c r="I65" s="574" t="s">
        <v>519</v>
      </c>
      <c r="J65" s="574" t="s">
        <v>519</v>
      </c>
      <c r="L65" s="577"/>
      <c r="M65" s="89" t="s">
        <v>7686</v>
      </c>
      <c r="N65" s="89"/>
      <c r="O65" s="89"/>
      <c r="P65" s="89"/>
      <c r="Q65" s="89"/>
      <c r="R65" s="89"/>
      <c r="V65" s="139"/>
      <c r="X65" t="s">
        <v>519</v>
      </c>
    </row>
    <row r="66">
      <c r="A66" s="14" t="s">
        <v>44</v>
      </c>
      <c r="B66" s="31" t="s">
        <v>7687</v>
      </c>
      <c r="C66" s="35" t="s">
        <v>1331</v>
      </c>
      <c r="D66" s="35" t="s">
        <v>118</v>
      </c>
      <c r="E66" s="51" t="s">
        <v>53</v>
      </c>
      <c r="F66" s="563"/>
      <c r="G66" s="573" t="s">
        <v>519</v>
      </c>
      <c r="H66" s="574" t="s">
        <v>519</v>
      </c>
      <c r="I66" s="574" t="s">
        <v>519</v>
      </c>
      <c r="J66" s="574" t="s">
        <v>519</v>
      </c>
      <c r="L66" s="575" t="s">
        <v>7690</v>
      </c>
      <c r="M66" s="89" t="s">
        <v>7691</v>
      </c>
      <c r="N66" s="89"/>
      <c r="O66" s="89"/>
      <c r="P66" s="89"/>
      <c r="Q66" s="89"/>
      <c r="R66" s="89"/>
      <c r="V66" s="139"/>
      <c r="X66" t="s">
        <v>519</v>
      </c>
    </row>
    <row r="67">
      <c r="A67" s="14" t="s">
        <v>44</v>
      </c>
      <c r="B67" s="31" t="s">
        <v>7695</v>
      </c>
      <c r="C67" s="35" t="s">
        <v>2560</v>
      </c>
      <c r="D67" s="35" t="s">
        <v>7699</v>
      </c>
      <c r="E67" s="51" t="s">
        <v>53</v>
      </c>
      <c r="F67" s="563"/>
      <c r="G67" s="573" t="s">
        <v>519</v>
      </c>
      <c r="H67" s="574" t="s">
        <v>519</v>
      </c>
      <c r="I67" s="574" t="s">
        <v>519</v>
      </c>
      <c r="J67" s="574" t="s">
        <v>519</v>
      </c>
      <c r="L67" s="575" t="s">
        <v>7700</v>
      </c>
      <c r="M67" s="89" t="s">
        <v>7701</v>
      </c>
      <c r="N67" s="89"/>
      <c r="O67" s="89"/>
      <c r="P67" s="89"/>
      <c r="Q67" s="89"/>
      <c r="R67" s="89"/>
      <c r="V67" s="139"/>
      <c r="X67" t="s">
        <v>519</v>
      </c>
    </row>
    <row r="68">
      <c r="A68" s="14" t="s">
        <v>44</v>
      </c>
      <c r="B68" s="31" t="s">
        <v>7702</v>
      </c>
      <c r="C68" s="35" t="s">
        <v>2105</v>
      </c>
      <c r="D68" s="35" t="s">
        <v>7709</v>
      </c>
      <c r="E68" s="51" t="s">
        <v>53</v>
      </c>
      <c r="F68" s="563"/>
      <c r="G68" s="573" t="s">
        <v>519</v>
      </c>
      <c r="H68" s="574" t="s">
        <v>519</v>
      </c>
      <c r="I68" s="574" t="s">
        <v>519</v>
      </c>
      <c r="J68" s="574" t="s">
        <v>519</v>
      </c>
      <c r="L68" s="575" t="s">
        <v>7710</v>
      </c>
      <c r="M68" s="89" t="s">
        <v>7711</v>
      </c>
      <c r="N68" s="89"/>
      <c r="O68" s="89"/>
      <c r="P68" s="89"/>
      <c r="Q68" s="89"/>
      <c r="R68" s="89"/>
      <c r="V68" s="139"/>
      <c r="X68" t="s">
        <v>519</v>
      </c>
    </row>
    <row r="69">
      <c r="A69" s="14" t="s">
        <v>44</v>
      </c>
      <c r="B69" s="31" t="s">
        <v>7712</v>
      </c>
      <c r="C69" s="35" t="s">
        <v>1561</v>
      </c>
      <c r="D69" s="35" t="s">
        <v>6022</v>
      </c>
      <c r="E69" s="51" t="s">
        <v>53</v>
      </c>
      <c r="F69" s="563"/>
      <c r="G69" s="573" t="s">
        <v>519</v>
      </c>
      <c r="H69" s="574" t="s">
        <v>519</v>
      </c>
      <c r="I69" s="574" t="s">
        <v>519</v>
      </c>
      <c r="J69" s="574" t="s">
        <v>519</v>
      </c>
      <c r="L69" s="577"/>
      <c r="M69" s="89" t="s">
        <v>7721</v>
      </c>
      <c r="N69" s="89"/>
      <c r="O69" s="89"/>
      <c r="P69" s="89"/>
      <c r="Q69" s="89"/>
      <c r="R69" s="89"/>
      <c r="V69" s="139"/>
      <c r="X69" t="s">
        <v>519</v>
      </c>
    </row>
    <row r="70">
      <c r="A70" s="14" t="s">
        <v>44</v>
      </c>
      <c r="B70" s="31" t="s">
        <v>6379</v>
      </c>
      <c r="C70" s="74" t="s">
        <v>3074</v>
      </c>
      <c r="D70" s="74" t="s">
        <v>7722</v>
      </c>
      <c r="E70" s="51" t="s">
        <v>53</v>
      </c>
      <c r="F70" s="591"/>
      <c r="G70" s="573" t="s">
        <v>519</v>
      </c>
      <c r="H70" s="574" t="s">
        <v>519</v>
      </c>
      <c r="I70" s="574" t="s">
        <v>519</v>
      </c>
      <c r="J70" s="574" t="s">
        <v>519</v>
      </c>
      <c r="L70" s="577"/>
      <c r="M70" s="89" t="s">
        <v>7723</v>
      </c>
      <c r="N70" s="89"/>
      <c r="O70" s="89"/>
      <c r="P70" s="89"/>
      <c r="Q70" s="89"/>
      <c r="R70" s="89"/>
      <c r="V70" s="139"/>
      <c r="X70" t="s">
        <v>519</v>
      </c>
    </row>
    <row r="71">
      <c r="A71" s="14" t="s">
        <v>44</v>
      </c>
      <c r="B71" s="31" t="s">
        <v>6384</v>
      </c>
      <c r="C71" s="35" t="s">
        <v>3074</v>
      </c>
      <c r="D71" s="35" t="s">
        <v>7724</v>
      </c>
      <c r="E71" s="51" t="s">
        <v>53</v>
      </c>
      <c r="F71" s="563"/>
      <c r="G71" s="573" t="s">
        <v>519</v>
      </c>
      <c r="H71" s="574" t="s">
        <v>519</v>
      </c>
      <c r="I71" s="574" t="s">
        <v>519</v>
      </c>
      <c r="J71" s="574" t="s">
        <v>519</v>
      </c>
      <c r="L71" s="577"/>
      <c r="M71" s="89" t="s">
        <v>7725</v>
      </c>
      <c r="N71" s="89"/>
      <c r="O71" s="89"/>
      <c r="P71" s="89"/>
      <c r="Q71" s="89"/>
      <c r="R71" s="89"/>
      <c r="V71" s="139"/>
      <c r="X71" t="s">
        <v>519</v>
      </c>
    </row>
    <row r="72">
      <c r="A72" s="14" t="s">
        <v>44</v>
      </c>
      <c r="B72" s="31" t="s">
        <v>6387</v>
      </c>
      <c r="C72" s="35" t="s">
        <v>278</v>
      </c>
      <c r="D72" s="35" t="s">
        <v>7727</v>
      </c>
      <c r="E72" s="51" t="s">
        <v>53</v>
      </c>
      <c r="F72" s="563"/>
      <c r="G72" s="573" t="s">
        <v>519</v>
      </c>
      <c r="H72" s="574" t="s">
        <v>519</v>
      </c>
      <c r="I72" s="574" t="s">
        <v>519</v>
      </c>
      <c r="J72" s="574" t="s">
        <v>519</v>
      </c>
      <c r="L72" s="577"/>
      <c r="M72" s="89" t="s">
        <v>7730</v>
      </c>
      <c r="N72" s="89"/>
      <c r="O72" s="89"/>
      <c r="P72" s="89"/>
      <c r="Q72" s="89"/>
      <c r="R72" s="89"/>
      <c r="V72" s="139"/>
      <c r="X72" t="s">
        <v>519</v>
      </c>
    </row>
    <row r="73">
      <c r="A73" s="14" t="s">
        <v>44</v>
      </c>
      <c r="B73" s="31" t="s">
        <v>6390</v>
      </c>
      <c r="C73" s="35" t="s">
        <v>4750</v>
      </c>
      <c r="D73" s="35" t="s">
        <v>45</v>
      </c>
      <c r="E73" s="51" t="s">
        <v>53</v>
      </c>
      <c r="F73" s="563"/>
      <c r="G73" s="573" t="s">
        <v>519</v>
      </c>
      <c r="H73" s="574" t="s">
        <v>519</v>
      </c>
      <c r="I73" s="574" t="s">
        <v>519</v>
      </c>
      <c r="J73" s="574" t="s">
        <v>519</v>
      </c>
      <c r="L73" s="575" t="s">
        <v>7731</v>
      </c>
      <c r="M73" s="89" t="s">
        <v>7732</v>
      </c>
      <c r="N73" s="89"/>
      <c r="O73" s="89"/>
      <c r="P73" s="89"/>
      <c r="Q73" s="89"/>
      <c r="R73" s="89"/>
      <c r="V73" s="139"/>
      <c r="X73" t="s">
        <v>519</v>
      </c>
    </row>
    <row r="74">
      <c r="A74" s="14" t="s">
        <v>44</v>
      </c>
      <c r="B74" s="31" t="s">
        <v>7736</v>
      </c>
      <c r="C74" s="35" t="s">
        <v>161</v>
      </c>
      <c r="D74" s="35" t="s">
        <v>3658</v>
      </c>
      <c r="E74" s="36" t="s">
        <v>7378</v>
      </c>
      <c r="F74" s="563"/>
      <c r="G74" s="573" t="s">
        <v>519</v>
      </c>
      <c r="H74" s="574" t="s">
        <v>519</v>
      </c>
      <c r="I74" s="574" t="s">
        <v>519</v>
      </c>
      <c r="J74" s="574" t="s">
        <v>519</v>
      </c>
      <c r="L74" s="575" t="s">
        <v>7738</v>
      </c>
      <c r="M74" s="89" t="s">
        <v>7739</v>
      </c>
      <c r="N74" s="89"/>
      <c r="O74" s="89"/>
      <c r="P74" s="89"/>
      <c r="Q74" s="89"/>
      <c r="R74" s="89"/>
      <c r="V74" s="139"/>
      <c r="X74" t="s">
        <v>519</v>
      </c>
    </row>
    <row r="75">
      <c r="A75" s="14" t="s">
        <v>44</v>
      </c>
      <c r="B75" s="31" t="s">
        <v>7741</v>
      </c>
      <c r="C75" s="35" t="s">
        <v>1884</v>
      </c>
      <c r="D75" s="35" t="s">
        <v>7747</v>
      </c>
      <c r="E75" s="36" t="s">
        <v>7378</v>
      </c>
      <c r="F75" s="567" t="s">
        <v>254</v>
      </c>
      <c r="G75" s="573" t="s">
        <v>519</v>
      </c>
      <c r="H75" s="574" t="s">
        <v>519</v>
      </c>
      <c r="I75" s="574" t="s">
        <v>519</v>
      </c>
      <c r="J75" s="574" t="s">
        <v>519</v>
      </c>
      <c r="L75" s="577"/>
      <c r="M75" s="89" t="s">
        <v>7748</v>
      </c>
      <c r="N75" s="89"/>
      <c r="O75" s="89"/>
      <c r="P75" s="89"/>
      <c r="Q75" s="89"/>
      <c r="R75" s="89"/>
      <c r="V75" s="139"/>
      <c r="X75" t="s">
        <v>519</v>
      </c>
    </row>
    <row r="76">
      <c r="A76" s="14" t="s">
        <v>44</v>
      </c>
      <c r="B76" s="31" t="s">
        <v>6401</v>
      </c>
      <c r="C76" s="35" t="s">
        <v>2994</v>
      </c>
      <c r="D76" s="35" t="s">
        <v>7752</v>
      </c>
      <c r="E76" s="36" t="s">
        <v>7378</v>
      </c>
      <c r="F76" s="563"/>
      <c r="G76" s="573" t="s">
        <v>519</v>
      </c>
      <c r="H76" s="574" t="s">
        <v>519</v>
      </c>
      <c r="I76" s="574" t="s">
        <v>519</v>
      </c>
      <c r="J76" s="574" t="s">
        <v>519</v>
      </c>
      <c r="L76" s="577"/>
      <c r="M76" s="89" t="s">
        <v>7753</v>
      </c>
      <c r="N76" s="89"/>
      <c r="O76" s="89"/>
      <c r="P76" s="89"/>
      <c r="Q76" s="89"/>
      <c r="R76" s="89"/>
      <c r="V76" s="139"/>
      <c r="X76" t="s">
        <v>519</v>
      </c>
    </row>
    <row r="77">
      <c r="A77" s="14" t="s">
        <v>44</v>
      </c>
      <c r="B77" s="31" t="s">
        <v>6407</v>
      </c>
      <c r="C77" s="35" t="s">
        <v>7482</v>
      </c>
      <c r="D77" s="35" t="s">
        <v>4286</v>
      </c>
      <c r="E77" s="51" t="s">
        <v>53</v>
      </c>
      <c r="F77" s="563"/>
      <c r="G77" s="573" t="s">
        <v>519</v>
      </c>
      <c r="H77" s="574" t="s">
        <v>519</v>
      </c>
      <c r="I77" s="574" t="s">
        <v>519</v>
      </c>
      <c r="J77" s="574" t="s">
        <v>519</v>
      </c>
      <c r="L77" s="577"/>
      <c r="M77" s="89" t="s">
        <v>7763</v>
      </c>
      <c r="N77" s="89"/>
      <c r="O77" s="89"/>
      <c r="P77" s="89"/>
      <c r="Q77" s="89"/>
      <c r="R77" s="89"/>
      <c r="V77" s="139"/>
      <c r="X77" t="s">
        <v>519</v>
      </c>
    </row>
    <row r="78">
      <c r="A78" s="14" t="s">
        <v>44</v>
      </c>
      <c r="B78" s="31" t="s">
        <v>6411</v>
      </c>
      <c r="C78" s="35" t="s">
        <v>978</v>
      </c>
      <c r="D78" s="35" t="s">
        <v>7766</v>
      </c>
      <c r="E78" s="51" t="s">
        <v>53</v>
      </c>
      <c r="F78" s="563"/>
      <c r="G78" s="573" t="s">
        <v>519</v>
      </c>
      <c r="H78" s="574" t="s">
        <v>519</v>
      </c>
      <c r="I78" s="574" t="s">
        <v>519</v>
      </c>
      <c r="J78" s="574" t="s">
        <v>519</v>
      </c>
      <c r="L78" s="575" t="s">
        <v>7769</v>
      </c>
      <c r="M78" s="89" t="s">
        <v>7770</v>
      </c>
      <c r="N78" s="89"/>
      <c r="O78" s="89"/>
      <c r="P78" s="89"/>
      <c r="Q78" s="89"/>
      <c r="R78" s="89"/>
      <c r="V78" s="139"/>
      <c r="X78" t="s">
        <v>519</v>
      </c>
    </row>
    <row r="79">
      <c r="A79" s="14" t="s">
        <v>44</v>
      </c>
      <c r="B79" s="31" t="s">
        <v>6414</v>
      </c>
      <c r="C79" s="35" t="s">
        <v>2291</v>
      </c>
      <c r="D79" s="35" t="s">
        <v>7771</v>
      </c>
      <c r="E79" s="36" t="s">
        <v>7378</v>
      </c>
      <c r="F79" s="563"/>
      <c r="G79" s="573" t="s">
        <v>519</v>
      </c>
      <c r="H79" s="574" t="s">
        <v>519</v>
      </c>
      <c r="I79" s="574" t="s">
        <v>519</v>
      </c>
      <c r="J79" s="574" t="s">
        <v>519</v>
      </c>
      <c r="L79" s="577"/>
      <c r="M79" s="89" t="s">
        <v>7773</v>
      </c>
      <c r="N79" s="89"/>
      <c r="O79" s="89"/>
      <c r="P79" s="89"/>
      <c r="Q79" s="89"/>
      <c r="R79" s="89"/>
      <c r="V79" s="139"/>
      <c r="X79" t="s">
        <v>519</v>
      </c>
    </row>
    <row r="80">
      <c r="A80" s="14" t="s">
        <v>44</v>
      </c>
      <c r="B80" s="31" t="s">
        <v>7774</v>
      </c>
      <c r="C80" s="35" t="s">
        <v>419</v>
      </c>
      <c r="D80" s="35" t="s">
        <v>7787</v>
      </c>
      <c r="E80" s="51" t="s">
        <v>53</v>
      </c>
      <c r="F80" s="563"/>
      <c r="G80" s="573" t="s">
        <v>519</v>
      </c>
      <c r="H80" s="574" t="s">
        <v>519</v>
      </c>
      <c r="I80" s="574" t="s">
        <v>519</v>
      </c>
      <c r="J80" s="574" t="s">
        <v>519</v>
      </c>
      <c r="L80" s="575" t="s">
        <v>7788</v>
      </c>
      <c r="M80" s="89" t="s">
        <v>7789</v>
      </c>
      <c r="N80" s="89"/>
      <c r="O80" s="89"/>
      <c r="P80" s="89"/>
      <c r="Q80" s="89"/>
      <c r="R80" s="89"/>
      <c r="V80" s="139"/>
      <c r="X80" t="s">
        <v>519</v>
      </c>
    </row>
    <row r="81">
      <c r="A81" s="14" t="s">
        <v>44</v>
      </c>
      <c r="B81" s="31" t="s">
        <v>7790</v>
      </c>
      <c r="C81" s="35" t="s">
        <v>2724</v>
      </c>
      <c r="D81" s="35" t="s">
        <v>7792</v>
      </c>
      <c r="E81" s="51" t="s">
        <v>53</v>
      </c>
      <c r="F81" s="563"/>
      <c r="G81" s="592"/>
      <c r="H81" s="574" t="s">
        <v>519</v>
      </c>
      <c r="I81" s="574" t="s">
        <v>519</v>
      </c>
      <c r="J81" s="574" t="s">
        <v>519</v>
      </c>
      <c r="L81" s="577"/>
      <c r="M81" s="89" t="s">
        <v>7796</v>
      </c>
      <c r="N81" s="89"/>
      <c r="O81" s="89"/>
      <c r="P81" s="89"/>
      <c r="Q81" s="89"/>
      <c r="R81" s="89"/>
      <c r="V81" s="139"/>
      <c r="X81" t="s">
        <v>519</v>
      </c>
    </row>
    <row r="82">
      <c r="A82" s="14" t="s">
        <v>44</v>
      </c>
      <c r="B82" s="31" t="s">
        <v>7797</v>
      </c>
      <c r="C82" s="35" t="s">
        <v>157</v>
      </c>
      <c r="D82" s="35" t="s">
        <v>3823</v>
      </c>
      <c r="E82" s="36" t="s">
        <v>7378</v>
      </c>
      <c r="F82" s="563"/>
      <c r="G82" s="578" t="s">
        <v>7806</v>
      </c>
      <c r="H82" s="574" t="s">
        <v>519</v>
      </c>
      <c r="I82" s="579"/>
      <c r="J82" s="574" t="s">
        <v>519</v>
      </c>
      <c r="L82" s="575" t="s">
        <v>7807</v>
      </c>
      <c r="M82" s="89" t="s">
        <v>7808</v>
      </c>
      <c r="N82" s="89"/>
      <c r="O82" s="89"/>
      <c r="P82" s="89"/>
      <c r="Q82" s="89"/>
      <c r="R82" s="89"/>
      <c r="V82" s="139"/>
      <c r="X82" t="s">
        <v>519</v>
      </c>
    </row>
    <row r="83">
      <c r="A83" s="14" t="s">
        <v>44</v>
      </c>
      <c r="B83" s="31" t="s">
        <v>7809</v>
      </c>
      <c r="C83" s="35" t="s">
        <v>7810</v>
      </c>
      <c r="D83" s="35" t="s">
        <v>7811</v>
      </c>
      <c r="E83" s="36" t="s">
        <v>7378</v>
      </c>
      <c r="F83" s="563"/>
      <c r="G83" s="573" t="s">
        <v>519</v>
      </c>
      <c r="H83" s="574" t="s">
        <v>519</v>
      </c>
      <c r="I83" s="574" t="s">
        <v>519</v>
      </c>
      <c r="J83" s="574" t="s">
        <v>519</v>
      </c>
      <c r="L83" s="577"/>
      <c r="M83" s="89" t="s">
        <v>7812</v>
      </c>
      <c r="N83" s="89"/>
      <c r="O83" s="89"/>
      <c r="P83" s="89"/>
      <c r="Q83" s="89"/>
      <c r="R83" s="89"/>
      <c r="V83" s="139"/>
      <c r="X83" t="s">
        <v>519</v>
      </c>
    </row>
    <row r="84">
      <c r="A84" s="14" t="s">
        <v>44</v>
      </c>
      <c r="B84" s="31" t="s">
        <v>7813</v>
      </c>
      <c r="C84" s="35" t="s">
        <v>27</v>
      </c>
      <c r="D84" s="35" t="s">
        <v>7815</v>
      </c>
      <c r="E84" s="36" t="s">
        <v>7378</v>
      </c>
      <c r="F84" s="563"/>
      <c r="G84" s="578" t="s">
        <v>7816</v>
      </c>
      <c r="H84" s="579"/>
      <c r="I84" s="574" t="s">
        <v>519</v>
      </c>
      <c r="J84" s="574" t="s">
        <v>519</v>
      </c>
      <c r="L84" s="577"/>
      <c r="M84" s="89" t="s">
        <v>7817</v>
      </c>
      <c r="N84" s="89"/>
      <c r="O84" s="89"/>
      <c r="P84" s="89"/>
      <c r="Q84" s="89"/>
      <c r="R84" s="89"/>
      <c r="V84" s="139"/>
      <c r="X84" t="s">
        <v>519</v>
      </c>
    </row>
    <row r="85">
      <c r="A85" s="14" t="s">
        <v>44</v>
      </c>
      <c r="B85" s="31" t="s">
        <v>7820</v>
      </c>
      <c r="C85" s="35" t="s">
        <v>514</v>
      </c>
      <c r="D85" s="35" t="s">
        <v>7827</v>
      </c>
      <c r="E85" s="36" t="s">
        <v>7378</v>
      </c>
      <c r="F85" s="563"/>
      <c r="G85" s="573" t="s">
        <v>519</v>
      </c>
      <c r="H85" s="574" t="s">
        <v>519</v>
      </c>
      <c r="I85" s="574" t="s">
        <v>519</v>
      </c>
      <c r="J85" s="574" t="s">
        <v>519</v>
      </c>
      <c r="L85" s="575" t="s">
        <v>7828</v>
      </c>
      <c r="M85" s="89" t="s">
        <v>7829</v>
      </c>
      <c r="N85" s="89"/>
      <c r="O85" s="89"/>
      <c r="P85" s="89"/>
      <c r="Q85" s="89"/>
      <c r="R85" s="89"/>
      <c r="V85" s="139"/>
      <c r="X85" t="s">
        <v>519</v>
      </c>
    </row>
    <row r="86">
      <c r="A86" s="14" t="s">
        <v>44</v>
      </c>
      <c r="B86" s="31" t="s">
        <v>6433</v>
      </c>
      <c r="C86" s="35" t="s">
        <v>130</v>
      </c>
      <c r="D86" s="35" t="s">
        <v>7830</v>
      </c>
      <c r="E86" s="36" t="s">
        <v>7378</v>
      </c>
      <c r="F86" s="563"/>
      <c r="G86" s="573" t="s">
        <v>519</v>
      </c>
      <c r="H86" s="574" t="s">
        <v>519</v>
      </c>
      <c r="I86" s="574" t="s">
        <v>519</v>
      </c>
      <c r="J86" s="574" t="s">
        <v>519</v>
      </c>
      <c r="L86" s="575" t="s">
        <v>7836</v>
      </c>
      <c r="M86" s="89" t="s">
        <v>7837</v>
      </c>
      <c r="N86" s="89"/>
      <c r="O86" s="89"/>
      <c r="P86" s="89"/>
      <c r="Q86" s="89"/>
      <c r="R86" s="89"/>
      <c r="V86" s="139"/>
      <c r="X86" t="s">
        <v>519</v>
      </c>
    </row>
    <row r="87">
      <c r="A87" s="14" t="s">
        <v>44</v>
      </c>
      <c r="B87" s="31" t="s">
        <v>6436</v>
      </c>
      <c r="C87" s="35" t="s">
        <v>283</v>
      </c>
      <c r="D87" s="35" t="s">
        <v>7845</v>
      </c>
      <c r="E87" s="36" t="s">
        <v>7378</v>
      </c>
      <c r="F87" s="563"/>
      <c r="G87" s="573" t="s">
        <v>519</v>
      </c>
      <c r="H87" s="574" t="s">
        <v>519</v>
      </c>
      <c r="I87" s="574" t="s">
        <v>519</v>
      </c>
      <c r="J87" s="574" t="s">
        <v>519</v>
      </c>
      <c r="L87" s="577"/>
      <c r="M87" s="89" t="s">
        <v>7846</v>
      </c>
      <c r="N87" s="89"/>
      <c r="O87" s="89"/>
      <c r="P87" s="89"/>
      <c r="Q87" s="89"/>
      <c r="R87" s="89"/>
      <c r="V87" s="139"/>
      <c r="X87" t="s">
        <v>519</v>
      </c>
    </row>
    <row r="88">
      <c r="A88" s="14" t="s">
        <v>44</v>
      </c>
      <c r="B88" s="31" t="s">
        <v>7851</v>
      </c>
      <c r="C88" s="35" t="s">
        <v>367</v>
      </c>
      <c r="D88" s="35" t="s">
        <v>2861</v>
      </c>
      <c r="E88" s="36" t="s">
        <v>7378</v>
      </c>
      <c r="F88" s="563"/>
      <c r="G88" s="573" t="s">
        <v>519</v>
      </c>
      <c r="H88" s="574" t="s">
        <v>519</v>
      </c>
      <c r="I88" s="574" t="s">
        <v>519</v>
      </c>
      <c r="J88" s="574" t="s">
        <v>519</v>
      </c>
      <c r="L88" s="575" t="s">
        <v>7858</v>
      </c>
      <c r="M88" s="89" t="s">
        <v>7859</v>
      </c>
      <c r="N88" s="89"/>
      <c r="O88" s="89"/>
      <c r="P88" s="89"/>
      <c r="Q88" s="89"/>
      <c r="R88" s="89"/>
      <c r="V88" s="139"/>
      <c r="X88" t="s">
        <v>519</v>
      </c>
    </row>
    <row r="89">
      <c r="A89" s="14" t="s">
        <v>44</v>
      </c>
      <c r="B89" s="31" t="s">
        <v>7860</v>
      </c>
      <c r="C89" s="35" t="s">
        <v>7861</v>
      </c>
      <c r="D89" s="35" t="s">
        <v>7863</v>
      </c>
      <c r="E89" s="36" t="s">
        <v>7378</v>
      </c>
      <c r="F89" s="563"/>
      <c r="G89" s="578" t="s">
        <v>7866</v>
      </c>
      <c r="H89" s="574" t="s">
        <v>519</v>
      </c>
      <c r="I89" s="579"/>
      <c r="J89" s="579"/>
      <c r="L89" s="575" t="s">
        <v>7868</v>
      </c>
      <c r="M89" s="89" t="s">
        <v>7869</v>
      </c>
      <c r="N89" s="89"/>
      <c r="O89" s="89"/>
      <c r="P89" s="89"/>
      <c r="Q89" s="89"/>
      <c r="R89" s="89"/>
      <c r="V89" s="139"/>
      <c r="X89" t="s">
        <v>519</v>
      </c>
    </row>
    <row r="90">
      <c r="A90" s="14" t="s">
        <v>44</v>
      </c>
      <c r="B90" s="31" t="s">
        <v>6448</v>
      </c>
      <c r="C90" s="35" t="s">
        <v>442</v>
      </c>
      <c r="D90" s="35" t="s">
        <v>7870</v>
      </c>
      <c r="E90" s="36" t="s">
        <v>7378</v>
      </c>
      <c r="F90" s="563"/>
      <c r="G90" s="578" t="s">
        <v>519</v>
      </c>
      <c r="H90" s="574" t="s">
        <v>519</v>
      </c>
      <c r="I90" s="579"/>
      <c r="J90" s="579"/>
      <c r="L90" s="577"/>
      <c r="M90" s="89" t="s">
        <v>7871</v>
      </c>
      <c r="N90" s="89"/>
      <c r="O90" s="89"/>
      <c r="P90" s="89"/>
      <c r="Q90" s="89"/>
      <c r="R90" s="89"/>
      <c r="V90" s="139"/>
      <c r="X90" t="s">
        <v>519</v>
      </c>
    </row>
    <row r="91">
      <c r="A91" s="14" t="s">
        <v>44</v>
      </c>
      <c r="B91" s="31" t="s">
        <v>6452</v>
      </c>
      <c r="C91" s="35" t="s">
        <v>3923</v>
      </c>
      <c r="D91" s="35" t="s">
        <v>7873</v>
      </c>
      <c r="E91" s="36" t="s">
        <v>7378</v>
      </c>
      <c r="F91" s="563"/>
      <c r="G91" s="578" t="s">
        <v>519</v>
      </c>
      <c r="H91" s="574" t="s">
        <v>519</v>
      </c>
      <c r="I91" s="579"/>
      <c r="J91" s="579"/>
      <c r="L91" s="577"/>
      <c r="M91" s="89" t="s">
        <v>7874</v>
      </c>
      <c r="N91" s="89"/>
      <c r="O91" s="89"/>
      <c r="P91" s="89"/>
      <c r="Q91" s="89"/>
      <c r="R91" s="89"/>
      <c r="V91" s="139"/>
      <c r="X91" t="s">
        <v>519</v>
      </c>
    </row>
    <row r="92">
      <c r="A92" s="14" t="s">
        <v>44</v>
      </c>
      <c r="B92" s="31" t="s">
        <v>7876</v>
      </c>
      <c r="C92" s="35" t="s">
        <v>2768</v>
      </c>
      <c r="D92" s="35" t="s">
        <v>5484</v>
      </c>
      <c r="E92" s="36" t="s">
        <v>7378</v>
      </c>
      <c r="F92" s="563"/>
      <c r="G92" s="578" t="s">
        <v>7881</v>
      </c>
      <c r="H92" s="579"/>
      <c r="I92" s="579"/>
      <c r="J92" s="579"/>
      <c r="L92" s="575" t="s">
        <v>7883</v>
      </c>
      <c r="M92" s="89" t="s">
        <v>7884</v>
      </c>
      <c r="N92" s="89"/>
      <c r="O92" s="89"/>
      <c r="P92" s="89"/>
      <c r="Q92" s="89"/>
      <c r="R92" s="89"/>
      <c r="V92" s="139"/>
      <c r="X92" t="s">
        <v>519</v>
      </c>
    </row>
    <row r="93">
      <c r="A93" s="14" t="s">
        <v>44</v>
      </c>
      <c r="B93" s="31" t="s">
        <v>7885</v>
      </c>
      <c r="C93" s="35" t="s">
        <v>157</v>
      </c>
      <c r="D93" s="35" t="s">
        <v>7891</v>
      </c>
      <c r="E93" s="36" t="s">
        <v>7378</v>
      </c>
      <c r="F93" s="563"/>
      <c r="G93" s="578" t="s">
        <v>7892</v>
      </c>
      <c r="H93" s="579"/>
      <c r="I93" s="574" t="s">
        <v>519</v>
      </c>
      <c r="J93" s="574" t="s">
        <v>519</v>
      </c>
      <c r="L93" s="575" t="s">
        <v>7893</v>
      </c>
      <c r="M93" s="89" t="s">
        <v>7894</v>
      </c>
      <c r="N93" s="89"/>
      <c r="O93" s="89"/>
      <c r="P93" s="89"/>
      <c r="Q93" s="89"/>
      <c r="R93" s="89"/>
      <c r="V93" s="139"/>
      <c r="X93" t="s">
        <v>519</v>
      </c>
    </row>
    <row r="94">
      <c r="A94" s="14" t="s">
        <v>44</v>
      </c>
      <c r="B94" s="31" t="s">
        <v>7895</v>
      </c>
      <c r="C94" s="35" t="s">
        <v>2780</v>
      </c>
      <c r="D94" s="35" t="s">
        <v>2575</v>
      </c>
      <c r="E94" s="36" t="s">
        <v>7378</v>
      </c>
      <c r="F94" s="567" t="s">
        <v>176</v>
      </c>
      <c r="G94" s="578" t="s">
        <v>7896</v>
      </c>
      <c r="H94" s="574" t="s">
        <v>519</v>
      </c>
      <c r="I94" s="579"/>
      <c r="J94" s="574" t="s">
        <v>519</v>
      </c>
      <c r="L94" s="577"/>
      <c r="M94" s="89" t="s">
        <v>7897</v>
      </c>
      <c r="N94" s="89"/>
      <c r="O94" s="89"/>
      <c r="P94" s="89"/>
      <c r="Q94" s="89"/>
      <c r="R94" s="89"/>
      <c r="V94" s="139"/>
      <c r="X94" t="s">
        <v>519</v>
      </c>
    </row>
    <row r="95">
      <c r="A95" s="14" t="s">
        <v>44</v>
      </c>
      <c r="B95" s="31" t="s">
        <v>7898</v>
      </c>
      <c r="C95" s="35" t="s">
        <v>5120</v>
      </c>
      <c r="D95" s="35" t="s">
        <v>7903</v>
      </c>
      <c r="E95" s="36" t="s">
        <v>7378</v>
      </c>
      <c r="F95" s="563"/>
      <c r="G95" s="573" t="s">
        <v>7904</v>
      </c>
      <c r="H95" s="574" t="s">
        <v>519</v>
      </c>
      <c r="I95" s="574" t="s">
        <v>519</v>
      </c>
      <c r="J95" s="574" t="s">
        <v>519</v>
      </c>
      <c r="L95" s="575" t="s">
        <v>7905</v>
      </c>
      <c r="M95" s="89" t="s">
        <v>7906</v>
      </c>
      <c r="N95" s="89"/>
      <c r="O95" s="89"/>
      <c r="P95" s="89"/>
      <c r="Q95" s="89"/>
      <c r="R95" s="89"/>
      <c r="V95" s="139"/>
      <c r="X95" t="s">
        <v>519</v>
      </c>
    </row>
    <row r="96">
      <c r="A96" s="14" t="s">
        <v>44</v>
      </c>
      <c r="B96" s="31" t="s">
        <v>6468</v>
      </c>
      <c r="C96" s="35" t="s">
        <v>476</v>
      </c>
      <c r="D96" s="35" t="s">
        <v>7909</v>
      </c>
      <c r="E96" s="51" t="s">
        <v>53</v>
      </c>
      <c r="F96" s="563"/>
      <c r="G96" s="573" t="s">
        <v>519</v>
      </c>
      <c r="H96" s="574" t="s">
        <v>519</v>
      </c>
      <c r="I96" s="574" t="s">
        <v>519</v>
      </c>
      <c r="J96" s="574" t="s">
        <v>519</v>
      </c>
      <c r="L96" s="575" t="s">
        <v>7910</v>
      </c>
      <c r="M96" s="89" t="s">
        <v>7911</v>
      </c>
      <c r="N96" s="89"/>
      <c r="O96" s="89"/>
      <c r="P96" s="89"/>
      <c r="Q96" s="89"/>
      <c r="R96" s="89"/>
      <c r="V96" s="139"/>
      <c r="X96" t="s">
        <v>519</v>
      </c>
    </row>
    <row r="97">
      <c r="A97" s="14" t="s">
        <v>44</v>
      </c>
      <c r="B97" s="31" t="s">
        <v>6473</v>
      </c>
      <c r="C97" s="35" t="s">
        <v>622</v>
      </c>
      <c r="D97" s="35" t="s">
        <v>7920</v>
      </c>
      <c r="E97" s="51" t="s">
        <v>53</v>
      </c>
      <c r="F97" s="563"/>
      <c r="G97" s="573" t="s">
        <v>519</v>
      </c>
      <c r="H97" s="574" t="s">
        <v>519</v>
      </c>
      <c r="I97" s="574" t="s">
        <v>519</v>
      </c>
      <c r="J97" s="574" t="s">
        <v>519</v>
      </c>
      <c r="L97" s="575" t="s">
        <v>7921</v>
      </c>
      <c r="M97" s="89" t="s">
        <v>7922</v>
      </c>
      <c r="N97" s="89"/>
      <c r="O97" s="89"/>
      <c r="P97" s="89"/>
      <c r="Q97" s="89"/>
      <c r="R97" s="89"/>
      <c r="V97" s="139"/>
      <c r="X97" t="s">
        <v>519</v>
      </c>
    </row>
    <row r="98">
      <c r="A98" s="14" t="s">
        <v>44</v>
      </c>
      <c r="B98" s="31" t="s">
        <v>7923</v>
      </c>
      <c r="C98" s="35" t="s">
        <v>1213</v>
      </c>
      <c r="D98" s="35" t="s">
        <v>4799</v>
      </c>
      <c r="E98" s="36" t="s">
        <v>7378</v>
      </c>
      <c r="F98" s="563"/>
      <c r="G98" s="573" t="s">
        <v>519</v>
      </c>
      <c r="H98" s="574" t="s">
        <v>519</v>
      </c>
      <c r="I98" s="574" t="s">
        <v>519</v>
      </c>
      <c r="J98" s="574" t="s">
        <v>519</v>
      </c>
      <c r="L98" s="577"/>
      <c r="M98" s="89" t="s">
        <v>7924</v>
      </c>
      <c r="N98" s="89"/>
      <c r="O98" s="89"/>
      <c r="P98" s="89"/>
      <c r="Q98" s="89"/>
      <c r="R98" s="89"/>
      <c r="V98" s="139"/>
      <c r="X98" t="s">
        <v>519</v>
      </c>
    </row>
    <row r="99">
      <c r="A99" s="14" t="s">
        <v>44</v>
      </c>
      <c r="B99" s="31" t="s">
        <v>7925</v>
      </c>
      <c r="C99" s="35" t="s">
        <v>7926</v>
      </c>
      <c r="D99" s="35" t="s">
        <v>7927</v>
      </c>
      <c r="E99" s="36" t="s">
        <v>7378</v>
      </c>
      <c r="F99" s="563"/>
      <c r="G99" s="573" t="s">
        <v>519</v>
      </c>
      <c r="H99" s="574" t="s">
        <v>519</v>
      </c>
      <c r="I99" s="574" t="s">
        <v>519</v>
      </c>
      <c r="J99" s="574" t="s">
        <v>519</v>
      </c>
      <c r="L99" s="577"/>
      <c r="M99" s="89" t="s">
        <v>7928</v>
      </c>
      <c r="N99" s="89"/>
      <c r="O99" s="89"/>
      <c r="P99" s="89"/>
      <c r="Q99" s="89"/>
      <c r="R99" s="89"/>
      <c r="V99" s="139"/>
      <c r="X99" t="s">
        <v>519</v>
      </c>
    </row>
    <row r="100">
      <c r="A100" s="14" t="s">
        <v>44</v>
      </c>
      <c r="B100" s="31" t="s">
        <v>7929</v>
      </c>
      <c r="C100" s="35" t="s">
        <v>1255</v>
      </c>
      <c r="D100" s="35" t="s">
        <v>7930</v>
      </c>
      <c r="E100" s="36" t="s">
        <v>7378</v>
      </c>
      <c r="F100" s="563"/>
      <c r="G100" s="573" t="s">
        <v>519</v>
      </c>
      <c r="H100" s="574" t="s">
        <v>519</v>
      </c>
      <c r="I100" s="574" t="s">
        <v>519</v>
      </c>
      <c r="J100" s="574" t="s">
        <v>519</v>
      </c>
      <c r="L100" s="575" t="s">
        <v>7932</v>
      </c>
      <c r="M100" s="89" t="s">
        <v>7933</v>
      </c>
      <c r="N100" s="89"/>
      <c r="O100" s="89"/>
      <c r="P100" s="89"/>
      <c r="Q100" s="89"/>
      <c r="R100" s="89"/>
      <c r="V100" s="139"/>
      <c r="X100" t="s">
        <v>519</v>
      </c>
    </row>
    <row r="101">
      <c r="A101" s="14" t="s">
        <v>44</v>
      </c>
      <c r="B101" s="31" t="s">
        <v>7934</v>
      </c>
      <c r="C101" s="74" t="s">
        <v>55</v>
      </c>
      <c r="D101" s="74" t="s">
        <v>5129</v>
      </c>
      <c r="E101" s="36" t="s">
        <v>7378</v>
      </c>
      <c r="F101" s="591"/>
      <c r="G101" s="573" t="s">
        <v>519</v>
      </c>
      <c r="H101" s="574" t="s">
        <v>519</v>
      </c>
      <c r="I101" s="574" t="s">
        <v>519</v>
      </c>
      <c r="J101" s="574" t="s">
        <v>519</v>
      </c>
      <c r="L101" s="575" t="s">
        <v>7935</v>
      </c>
      <c r="M101" s="89" t="s">
        <v>7936</v>
      </c>
      <c r="N101" s="89"/>
      <c r="O101" s="89"/>
      <c r="P101" s="89"/>
      <c r="Q101" s="89"/>
      <c r="R101" s="89"/>
      <c r="V101" s="139"/>
      <c r="X101" t="s">
        <v>519</v>
      </c>
    </row>
    <row r="102">
      <c r="A102" s="14" t="s">
        <v>44</v>
      </c>
      <c r="B102" s="31" t="s">
        <v>7937</v>
      </c>
      <c r="C102" s="35" t="s">
        <v>2490</v>
      </c>
      <c r="D102" s="35" t="s">
        <v>297</v>
      </c>
      <c r="E102" s="36" t="s">
        <v>7378</v>
      </c>
      <c r="F102" s="563"/>
      <c r="G102" s="573" t="s">
        <v>519</v>
      </c>
      <c r="H102" s="574" t="s">
        <v>519</v>
      </c>
      <c r="I102" s="574" t="s">
        <v>519</v>
      </c>
      <c r="J102" s="574" t="s">
        <v>519</v>
      </c>
      <c r="L102" s="577"/>
      <c r="M102" s="89" t="s">
        <v>7938</v>
      </c>
      <c r="N102" s="89"/>
      <c r="O102" s="89"/>
      <c r="P102" s="89"/>
      <c r="Q102" s="89"/>
      <c r="R102" s="89"/>
      <c r="V102" s="139"/>
      <c r="X102" t="s">
        <v>519</v>
      </c>
    </row>
    <row r="103">
      <c r="A103" s="14" t="s">
        <v>44</v>
      </c>
      <c r="B103" s="31" t="s">
        <v>7939</v>
      </c>
      <c r="C103" s="35" t="s">
        <v>80</v>
      </c>
      <c r="D103" s="35" t="s">
        <v>5484</v>
      </c>
      <c r="E103" s="36" t="s">
        <v>7378</v>
      </c>
      <c r="F103" s="563"/>
      <c r="G103" s="578"/>
      <c r="H103" s="574" t="s">
        <v>519</v>
      </c>
      <c r="I103" s="574" t="s">
        <v>519</v>
      </c>
      <c r="J103" s="579"/>
      <c r="L103" s="575" t="s">
        <v>7948</v>
      </c>
      <c r="M103" s="89" t="s">
        <v>7949</v>
      </c>
      <c r="N103" s="89"/>
      <c r="O103" s="89"/>
      <c r="P103" s="89"/>
      <c r="Q103" s="89"/>
      <c r="R103" s="89"/>
      <c r="V103" s="139"/>
      <c r="X103" t="s">
        <v>519</v>
      </c>
    </row>
    <row r="104">
      <c r="A104" s="14" t="s">
        <v>44</v>
      </c>
      <c r="B104" s="31" t="s">
        <v>7951</v>
      </c>
      <c r="C104" s="35" t="s">
        <v>3576</v>
      </c>
      <c r="D104" s="35" t="s">
        <v>7954</v>
      </c>
      <c r="E104" s="36" t="s">
        <v>7378</v>
      </c>
      <c r="F104" s="563"/>
      <c r="G104" s="573" t="s">
        <v>519</v>
      </c>
      <c r="H104" s="574" t="s">
        <v>519</v>
      </c>
      <c r="I104" s="574" t="s">
        <v>519</v>
      </c>
      <c r="J104" s="574" t="s">
        <v>519</v>
      </c>
      <c r="L104" s="575" t="s">
        <v>7955</v>
      </c>
      <c r="M104" s="89" t="s">
        <v>7956</v>
      </c>
      <c r="N104" s="89"/>
      <c r="O104" s="89"/>
      <c r="P104" s="89"/>
      <c r="Q104" s="89"/>
      <c r="R104" s="89"/>
      <c r="V104" s="139"/>
      <c r="X104" t="s">
        <v>519</v>
      </c>
    </row>
    <row r="105">
      <c r="A105" s="14" t="s">
        <v>44</v>
      </c>
      <c r="B105" s="31" t="s">
        <v>7962</v>
      </c>
      <c r="C105" s="35" t="s">
        <v>1213</v>
      </c>
      <c r="D105" s="35" t="s">
        <v>7965</v>
      </c>
      <c r="E105" s="36" t="s">
        <v>7378</v>
      </c>
      <c r="F105" s="563"/>
      <c r="G105" s="573" t="s">
        <v>911</v>
      </c>
      <c r="H105" s="574" t="s">
        <v>519</v>
      </c>
      <c r="I105" s="574" t="s">
        <v>519</v>
      </c>
      <c r="J105" s="574" t="s">
        <v>519</v>
      </c>
      <c r="L105" s="575" t="s">
        <v>7972</v>
      </c>
      <c r="M105" s="89" t="s">
        <v>7973</v>
      </c>
      <c r="N105" s="89"/>
      <c r="O105" s="89"/>
      <c r="P105" s="89"/>
      <c r="Q105" s="89"/>
      <c r="R105" s="89"/>
      <c r="V105" s="139"/>
      <c r="X105" t="s">
        <v>519</v>
      </c>
    </row>
    <row r="106">
      <c r="A106" s="14" t="s">
        <v>44</v>
      </c>
      <c r="B106" s="31" t="s">
        <v>7975</v>
      </c>
      <c r="C106" s="35" t="s">
        <v>1291</v>
      </c>
      <c r="D106" s="35" t="s">
        <v>1653</v>
      </c>
      <c r="E106" s="36" t="s">
        <v>7378</v>
      </c>
      <c r="F106" s="563"/>
      <c r="G106" s="573" t="s">
        <v>7981</v>
      </c>
      <c r="H106" s="574" t="s">
        <v>519</v>
      </c>
      <c r="I106" s="574" t="s">
        <v>519</v>
      </c>
      <c r="J106" s="574" t="s">
        <v>519</v>
      </c>
      <c r="L106" s="575" t="s">
        <v>7982</v>
      </c>
      <c r="M106" s="89" t="s">
        <v>7983</v>
      </c>
      <c r="N106" s="89"/>
      <c r="O106" s="89"/>
      <c r="P106" s="89"/>
      <c r="Q106" s="89"/>
      <c r="R106" s="89"/>
      <c r="V106" s="139"/>
      <c r="X106" t="s">
        <v>519</v>
      </c>
    </row>
    <row r="107">
      <c r="A107" s="14" t="s">
        <v>44</v>
      </c>
      <c r="B107" s="31" t="s">
        <v>7987</v>
      </c>
      <c r="C107" s="35" t="s">
        <v>2779</v>
      </c>
      <c r="D107" s="35" t="s">
        <v>1571</v>
      </c>
      <c r="E107" s="36" t="s">
        <v>7378</v>
      </c>
      <c r="F107" s="563"/>
      <c r="G107" s="573" t="s">
        <v>519</v>
      </c>
      <c r="H107" s="574" t="s">
        <v>519</v>
      </c>
      <c r="I107" s="574" t="s">
        <v>519</v>
      </c>
      <c r="J107" s="574" t="s">
        <v>519</v>
      </c>
      <c r="L107" s="577"/>
      <c r="M107" s="89" t="s">
        <v>7989</v>
      </c>
      <c r="N107" s="89"/>
      <c r="O107" s="89"/>
      <c r="P107" s="89"/>
      <c r="Q107" s="89"/>
      <c r="R107" s="89"/>
      <c r="V107" s="139"/>
      <c r="X107" t="s">
        <v>519</v>
      </c>
    </row>
    <row r="108">
      <c r="A108" s="14" t="s">
        <v>44</v>
      </c>
      <c r="B108" s="31" t="s">
        <v>7990</v>
      </c>
      <c r="C108" s="35" t="s">
        <v>7991</v>
      </c>
      <c r="D108" s="35" t="s">
        <v>7992</v>
      </c>
      <c r="E108" s="36" t="s">
        <v>7378</v>
      </c>
      <c r="F108" s="563"/>
      <c r="G108" s="573" t="s">
        <v>519</v>
      </c>
      <c r="H108" s="574" t="s">
        <v>519</v>
      </c>
      <c r="I108" s="574" t="s">
        <v>519</v>
      </c>
      <c r="J108" s="574" t="s">
        <v>519</v>
      </c>
      <c r="L108" s="577"/>
      <c r="M108" s="89" t="s">
        <v>7993</v>
      </c>
      <c r="N108" s="89"/>
      <c r="O108" s="89"/>
      <c r="P108" s="89"/>
      <c r="Q108" s="89"/>
      <c r="R108" s="89"/>
      <c r="V108" s="139"/>
      <c r="X108" t="s">
        <v>519</v>
      </c>
    </row>
    <row r="109">
      <c r="A109" s="14" t="s">
        <v>44</v>
      </c>
      <c r="B109" s="31" t="s">
        <v>7996</v>
      </c>
      <c r="C109" s="35" t="s">
        <v>55</v>
      </c>
      <c r="D109" s="35" t="s">
        <v>7997</v>
      </c>
      <c r="E109" s="36" t="s">
        <v>7378</v>
      </c>
      <c r="F109" s="563"/>
      <c r="G109" s="573" t="s">
        <v>519</v>
      </c>
      <c r="H109" s="574" t="s">
        <v>519</v>
      </c>
      <c r="I109" s="574" t="s">
        <v>519</v>
      </c>
      <c r="J109" s="574" t="s">
        <v>519</v>
      </c>
      <c r="L109" s="575" t="s">
        <v>8000</v>
      </c>
      <c r="M109" s="89" t="s">
        <v>8001</v>
      </c>
      <c r="N109" s="89"/>
      <c r="O109" s="89"/>
      <c r="P109" s="89"/>
      <c r="Q109" s="89"/>
      <c r="R109" s="89"/>
      <c r="V109" s="139"/>
      <c r="X109" t="s">
        <v>519</v>
      </c>
    </row>
    <row r="110">
      <c r="A110" s="14" t="s">
        <v>44</v>
      </c>
      <c r="B110" s="31" t="s">
        <v>8002</v>
      </c>
      <c r="C110" s="35" t="s">
        <v>2560</v>
      </c>
      <c r="D110" s="35" t="s">
        <v>8003</v>
      </c>
      <c r="E110" s="36" t="s">
        <v>7378</v>
      </c>
      <c r="F110" s="563"/>
      <c r="G110" s="573" t="s">
        <v>519</v>
      </c>
      <c r="H110" s="574" t="s">
        <v>519</v>
      </c>
      <c r="I110" s="574" t="s">
        <v>519</v>
      </c>
      <c r="J110" s="574" t="s">
        <v>519</v>
      </c>
      <c r="L110" s="577"/>
      <c r="M110" s="89" t="s">
        <v>8004</v>
      </c>
      <c r="N110" s="89"/>
      <c r="O110" s="89"/>
      <c r="P110" s="89"/>
      <c r="Q110" s="89"/>
      <c r="R110" s="89"/>
      <c r="V110" s="139"/>
      <c r="X110" t="s">
        <v>519</v>
      </c>
    </row>
    <row r="111">
      <c r="A111" s="14" t="s">
        <v>44</v>
      </c>
      <c r="B111" s="31" t="s">
        <v>8005</v>
      </c>
      <c r="C111" s="35" t="s">
        <v>980</v>
      </c>
      <c r="D111" s="35" t="s">
        <v>8013</v>
      </c>
      <c r="E111" s="51" t="s">
        <v>53</v>
      </c>
      <c r="F111" s="563"/>
      <c r="G111" s="573" t="s">
        <v>519</v>
      </c>
      <c r="H111" s="574" t="s">
        <v>519</v>
      </c>
      <c r="I111" s="574" t="s">
        <v>519</v>
      </c>
      <c r="J111" s="574" t="s">
        <v>519</v>
      </c>
      <c r="L111" s="577"/>
      <c r="M111" s="89" t="s">
        <v>8014</v>
      </c>
      <c r="N111" s="89"/>
      <c r="O111" s="89"/>
      <c r="P111" s="89"/>
      <c r="Q111" s="89"/>
      <c r="R111" s="89"/>
      <c r="V111" s="139"/>
      <c r="X111" t="s">
        <v>519</v>
      </c>
    </row>
    <row r="112">
      <c r="A112" s="14" t="s">
        <v>44</v>
      </c>
      <c r="B112" s="31" t="s">
        <v>8015</v>
      </c>
      <c r="C112" s="35" t="s">
        <v>2323</v>
      </c>
      <c r="D112" s="35" t="s">
        <v>8016</v>
      </c>
      <c r="E112" s="36" t="s">
        <v>7378</v>
      </c>
      <c r="F112" s="563"/>
      <c r="G112" s="573" t="s">
        <v>519</v>
      </c>
      <c r="H112" s="574" t="s">
        <v>519</v>
      </c>
      <c r="I112" s="574" t="s">
        <v>519</v>
      </c>
      <c r="J112" s="574" t="s">
        <v>519</v>
      </c>
      <c r="L112" s="577"/>
      <c r="M112" s="89" t="s">
        <v>8017</v>
      </c>
      <c r="N112" s="89"/>
      <c r="O112" s="89"/>
      <c r="P112" s="89"/>
      <c r="Q112" s="89"/>
      <c r="R112" s="89"/>
      <c r="V112" s="139"/>
      <c r="X112" t="s">
        <v>519</v>
      </c>
    </row>
    <row r="113">
      <c r="A113" s="14" t="s">
        <v>44</v>
      </c>
      <c r="B113" s="31" t="s">
        <v>8018</v>
      </c>
      <c r="C113" s="35" t="s">
        <v>980</v>
      </c>
      <c r="D113" s="35" t="s">
        <v>8022</v>
      </c>
      <c r="E113" s="51" t="s">
        <v>53</v>
      </c>
      <c r="F113" s="563"/>
      <c r="G113" s="573" t="s">
        <v>519</v>
      </c>
      <c r="H113" s="574" t="s">
        <v>519</v>
      </c>
      <c r="I113" s="574" t="s">
        <v>519</v>
      </c>
      <c r="J113" s="574" t="s">
        <v>519</v>
      </c>
      <c r="L113" s="575" t="s">
        <v>8023</v>
      </c>
      <c r="M113" s="89" t="s">
        <v>8024</v>
      </c>
      <c r="N113" s="89"/>
      <c r="O113" s="89"/>
      <c r="P113" s="89"/>
      <c r="Q113" s="89"/>
      <c r="R113" s="89"/>
      <c r="V113" s="139"/>
      <c r="X113" t="s">
        <v>519</v>
      </c>
    </row>
    <row r="114">
      <c r="A114" s="14" t="s">
        <v>44</v>
      </c>
      <c r="B114" s="31" t="s">
        <v>8026</v>
      </c>
      <c r="C114" s="35" t="s">
        <v>2354</v>
      </c>
      <c r="D114" s="35" t="s">
        <v>3199</v>
      </c>
      <c r="E114" s="36" t="s">
        <v>7378</v>
      </c>
      <c r="F114" s="563"/>
      <c r="G114" s="573" t="s">
        <v>519</v>
      </c>
      <c r="H114" s="574" t="s">
        <v>519</v>
      </c>
      <c r="I114" s="574" t="s">
        <v>519</v>
      </c>
      <c r="J114" s="574" t="s">
        <v>519</v>
      </c>
      <c r="L114" s="575" t="s">
        <v>8027</v>
      </c>
      <c r="M114" s="89" t="s">
        <v>8028</v>
      </c>
      <c r="N114" s="89"/>
      <c r="O114" s="89"/>
      <c r="P114" s="89"/>
      <c r="Q114" s="89"/>
      <c r="R114" s="89"/>
      <c r="V114" s="139"/>
      <c r="X114" t="s">
        <v>519</v>
      </c>
    </row>
    <row r="115">
      <c r="A115" s="14" t="s">
        <v>44</v>
      </c>
      <c r="B115" s="31" t="s">
        <v>8029</v>
      </c>
      <c r="C115" s="35" t="s">
        <v>5331</v>
      </c>
      <c r="D115" s="35" t="s">
        <v>8032</v>
      </c>
      <c r="E115" s="36" t="s">
        <v>7378</v>
      </c>
      <c r="F115" s="563"/>
      <c r="G115" s="573" t="s">
        <v>519</v>
      </c>
      <c r="H115" s="574" t="s">
        <v>519</v>
      </c>
      <c r="I115" s="574" t="s">
        <v>519</v>
      </c>
      <c r="J115" s="574" t="s">
        <v>519</v>
      </c>
      <c r="L115" s="577"/>
      <c r="M115" s="89" t="s">
        <v>8034</v>
      </c>
      <c r="N115" s="89"/>
      <c r="O115" s="89"/>
      <c r="P115" s="89"/>
      <c r="Q115" s="89"/>
      <c r="R115" s="89"/>
      <c r="V115" s="139"/>
      <c r="X115" t="s">
        <v>519</v>
      </c>
    </row>
    <row r="116">
      <c r="A116" s="14" t="s">
        <v>44</v>
      </c>
      <c r="B116" s="31" t="s">
        <v>8038</v>
      </c>
      <c r="C116" s="35" t="s">
        <v>1134</v>
      </c>
      <c r="D116" s="35" t="s">
        <v>8039</v>
      </c>
      <c r="E116" s="36" t="s">
        <v>7378</v>
      </c>
      <c r="F116" s="563"/>
      <c r="G116" s="573" t="s">
        <v>519</v>
      </c>
      <c r="H116" s="574" t="s">
        <v>519</v>
      </c>
      <c r="I116" s="574" t="s">
        <v>519</v>
      </c>
      <c r="J116" s="574" t="s">
        <v>519</v>
      </c>
      <c r="L116" s="575" t="s">
        <v>8040</v>
      </c>
      <c r="M116" s="89" t="s">
        <v>8041</v>
      </c>
      <c r="N116" s="89"/>
      <c r="O116" s="89"/>
      <c r="P116" s="89"/>
      <c r="Q116" s="89"/>
      <c r="R116" s="89"/>
      <c r="V116" s="139"/>
      <c r="X116" t="s">
        <v>519</v>
      </c>
    </row>
    <row r="117">
      <c r="A117" s="14" t="s">
        <v>44</v>
      </c>
      <c r="B117" s="31" t="s">
        <v>8042</v>
      </c>
      <c r="C117" s="35" t="s">
        <v>278</v>
      </c>
      <c r="D117" s="35" t="s">
        <v>8043</v>
      </c>
      <c r="E117" s="36" t="s">
        <v>7378</v>
      </c>
      <c r="F117" s="563"/>
      <c r="G117" s="573" t="s">
        <v>519</v>
      </c>
      <c r="H117" s="574" t="s">
        <v>519</v>
      </c>
      <c r="I117" s="574" t="s">
        <v>519</v>
      </c>
      <c r="J117" s="574" t="s">
        <v>519</v>
      </c>
      <c r="L117" s="575" t="s">
        <v>8044</v>
      </c>
      <c r="M117" s="89" t="s">
        <v>8045</v>
      </c>
      <c r="N117" s="89"/>
      <c r="O117" s="89"/>
      <c r="P117" s="89"/>
      <c r="Q117" s="89"/>
      <c r="R117" s="89"/>
      <c r="V117" s="139"/>
      <c r="X117" t="s">
        <v>519</v>
      </c>
    </row>
    <row r="118">
      <c r="A118" s="14" t="s">
        <v>44</v>
      </c>
      <c r="B118" s="31" t="s">
        <v>8046</v>
      </c>
      <c r="C118" s="35" t="s">
        <v>1387</v>
      </c>
      <c r="D118" s="35" t="s">
        <v>8054</v>
      </c>
      <c r="E118" s="51" t="s">
        <v>53</v>
      </c>
      <c r="F118" s="563"/>
      <c r="G118" s="573" t="s">
        <v>519</v>
      </c>
      <c r="H118" s="574" t="s">
        <v>519</v>
      </c>
      <c r="I118" s="574" t="s">
        <v>519</v>
      </c>
      <c r="J118" s="574" t="s">
        <v>519</v>
      </c>
      <c r="L118" s="577"/>
      <c r="M118" s="89" t="s">
        <v>8055</v>
      </c>
      <c r="N118" s="89"/>
      <c r="O118" s="89"/>
      <c r="P118" s="89"/>
      <c r="Q118" s="89"/>
      <c r="R118" s="89"/>
      <c r="V118" s="139"/>
      <c r="X118" t="s">
        <v>519</v>
      </c>
    </row>
    <row r="119">
      <c r="A119" s="14" t="s">
        <v>44</v>
      </c>
      <c r="B119" s="31" t="s">
        <v>8056</v>
      </c>
      <c r="C119" s="35" t="s">
        <v>2570</v>
      </c>
      <c r="D119" s="35" t="s">
        <v>6156</v>
      </c>
      <c r="E119" s="51" t="s">
        <v>53</v>
      </c>
      <c r="F119" s="563"/>
      <c r="G119" s="573" t="s">
        <v>519</v>
      </c>
      <c r="H119" s="574" t="s">
        <v>519</v>
      </c>
      <c r="I119" s="574" t="s">
        <v>519</v>
      </c>
      <c r="J119" s="574" t="s">
        <v>519</v>
      </c>
      <c r="L119" s="577"/>
      <c r="M119" s="89" t="s">
        <v>8066</v>
      </c>
      <c r="N119" s="89"/>
      <c r="O119" s="89"/>
      <c r="P119" s="89"/>
      <c r="Q119" s="89"/>
      <c r="R119" s="89"/>
      <c r="V119" s="139"/>
      <c r="X119" t="s">
        <v>519</v>
      </c>
    </row>
    <row r="120">
      <c r="A120" s="14" t="s">
        <v>44</v>
      </c>
      <c r="B120" s="31" t="s">
        <v>8070</v>
      </c>
      <c r="C120" s="35" t="s">
        <v>8071</v>
      </c>
      <c r="D120" s="35" t="s">
        <v>629</v>
      </c>
      <c r="E120" s="36" t="s">
        <v>7378</v>
      </c>
      <c r="F120" s="563"/>
      <c r="G120" s="573" t="s">
        <v>519</v>
      </c>
      <c r="H120" s="574" t="s">
        <v>519</v>
      </c>
      <c r="I120" s="574" t="s">
        <v>519</v>
      </c>
      <c r="J120" s="574" t="s">
        <v>519</v>
      </c>
      <c r="L120" s="577"/>
      <c r="M120" s="89" t="s">
        <v>8075</v>
      </c>
      <c r="N120" s="89"/>
      <c r="O120" s="89"/>
      <c r="P120" s="89"/>
      <c r="Q120" s="89"/>
      <c r="R120" s="89"/>
      <c r="V120" s="139"/>
      <c r="X120" t="s">
        <v>519</v>
      </c>
    </row>
    <row r="121">
      <c r="A121" s="14" t="s">
        <v>44</v>
      </c>
      <c r="B121" s="31" t="s">
        <v>8076</v>
      </c>
      <c r="C121" s="35" t="s">
        <v>2609</v>
      </c>
      <c r="D121" s="35" t="s">
        <v>8078</v>
      </c>
      <c r="E121" s="36" t="s">
        <v>7378</v>
      </c>
      <c r="F121" s="563"/>
      <c r="G121" s="573" t="s">
        <v>519</v>
      </c>
      <c r="H121" s="574" t="s">
        <v>519</v>
      </c>
      <c r="I121" s="574" t="s">
        <v>519</v>
      </c>
      <c r="J121" s="574" t="s">
        <v>519</v>
      </c>
      <c r="L121" s="575" t="s">
        <v>8081</v>
      </c>
      <c r="M121" s="89" t="s">
        <v>8082</v>
      </c>
      <c r="N121" s="89"/>
      <c r="O121" s="89"/>
      <c r="P121" s="89"/>
      <c r="Q121" s="89"/>
      <c r="R121" s="89"/>
      <c r="V121" s="139"/>
      <c r="X121" t="s">
        <v>519</v>
      </c>
    </row>
    <row r="122">
      <c r="A122" s="14" t="s">
        <v>44</v>
      </c>
      <c r="B122" s="31" t="s">
        <v>8086</v>
      </c>
      <c r="C122" s="35" t="s">
        <v>5233</v>
      </c>
      <c r="D122" s="35" t="s">
        <v>8087</v>
      </c>
      <c r="E122" s="36" t="s">
        <v>7378</v>
      </c>
      <c r="F122" s="563"/>
      <c r="G122" s="578" t="s">
        <v>8089</v>
      </c>
      <c r="H122" s="574" t="s">
        <v>519</v>
      </c>
      <c r="I122" s="579"/>
      <c r="J122" s="574" t="s">
        <v>519</v>
      </c>
      <c r="L122" s="575" t="s">
        <v>8090</v>
      </c>
      <c r="M122" s="89" t="s">
        <v>8091</v>
      </c>
      <c r="N122" s="89"/>
      <c r="O122" s="89"/>
      <c r="P122" s="89"/>
      <c r="Q122" s="89"/>
      <c r="R122" s="89"/>
      <c r="V122" s="139"/>
      <c r="X122" t="s">
        <v>519</v>
      </c>
    </row>
    <row r="123">
      <c r="A123" s="14" t="s">
        <v>44</v>
      </c>
      <c r="B123" s="31" t="s">
        <v>8092</v>
      </c>
      <c r="C123" s="35" t="s">
        <v>8093</v>
      </c>
      <c r="D123" s="35" t="s">
        <v>8094</v>
      </c>
      <c r="E123" s="36" t="s">
        <v>7378</v>
      </c>
      <c r="F123" s="563"/>
      <c r="G123" s="573" t="s">
        <v>519</v>
      </c>
      <c r="H123" s="574" t="s">
        <v>519</v>
      </c>
      <c r="I123" s="574" t="s">
        <v>519</v>
      </c>
      <c r="J123" s="574" t="s">
        <v>519</v>
      </c>
      <c r="L123" s="577"/>
      <c r="M123" s="89" t="s">
        <v>8095</v>
      </c>
      <c r="N123" s="89"/>
      <c r="O123" s="89"/>
      <c r="P123" s="89"/>
      <c r="Q123" s="89"/>
      <c r="R123" s="89"/>
      <c r="V123" s="139"/>
      <c r="X123" t="s">
        <v>519</v>
      </c>
    </row>
    <row r="124">
      <c r="A124" s="14" t="s">
        <v>44</v>
      </c>
      <c r="B124" s="31" t="s">
        <v>8099</v>
      </c>
      <c r="C124" s="35" t="s">
        <v>1000</v>
      </c>
      <c r="D124" s="35" t="s">
        <v>8100</v>
      </c>
      <c r="E124" s="36" t="s">
        <v>7378</v>
      </c>
      <c r="F124" s="563"/>
      <c r="G124" s="578" t="s">
        <v>8103</v>
      </c>
      <c r="H124" s="574" t="s">
        <v>519</v>
      </c>
      <c r="I124" s="574" t="s">
        <v>519</v>
      </c>
      <c r="J124" s="579"/>
      <c r="L124" s="575" t="s">
        <v>8107</v>
      </c>
      <c r="M124" s="89" t="s">
        <v>8108</v>
      </c>
      <c r="N124" s="89"/>
      <c r="O124" s="89"/>
      <c r="P124" s="89"/>
      <c r="Q124" s="89"/>
      <c r="R124" s="89"/>
      <c r="V124" s="139"/>
      <c r="X124" t="s">
        <v>519</v>
      </c>
    </row>
    <row r="125">
      <c r="A125" s="14" t="s">
        <v>44</v>
      </c>
      <c r="B125" s="31" t="s">
        <v>8111</v>
      </c>
      <c r="C125" s="74" t="s">
        <v>283</v>
      </c>
      <c r="D125" s="74" t="s">
        <v>4836</v>
      </c>
      <c r="E125" s="36" t="s">
        <v>7378</v>
      </c>
      <c r="F125" s="591"/>
      <c r="G125" s="573" t="s">
        <v>519</v>
      </c>
      <c r="H125" s="574" t="s">
        <v>519</v>
      </c>
      <c r="I125" s="574" t="s">
        <v>519</v>
      </c>
      <c r="J125" s="574" t="s">
        <v>519</v>
      </c>
      <c r="L125" s="577"/>
      <c r="M125" s="89" t="s">
        <v>8113</v>
      </c>
      <c r="N125" s="89"/>
      <c r="O125" s="89"/>
      <c r="P125" s="89"/>
      <c r="Q125" s="89"/>
      <c r="R125" s="89"/>
      <c r="V125" s="139"/>
      <c r="X125" t="s">
        <v>519</v>
      </c>
    </row>
    <row r="126">
      <c r="A126" s="14" t="s">
        <v>44</v>
      </c>
      <c r="B126" s="31" t="s">
        <v>8114</v>
      </c>
      <c r="C126" s="35" t="s">
        <v>8115</v>
      </c>
      <c r="D126" s="35" t="s">
        <v>8116</v>
      </c>
      <c r="E126" s="36" t="s">
        <v>7378</v>
      </c>
      <c r="F126" s="563"/>
      <c r="G126" s="573" t="s">
        <v>519</v>
      </c>
      <c r="H126" s="574" t="s">
        <v>519</v>
      </c>
      <c r="I126" s="574" t="s">
        <v>519</v>
      </c>
      <c r="J126" s="574" t="s">
        <v>519</v>
      </c>
      <c r="L126" s="575" t="s">
        <v>8117</v>
      </c>
      <c r="M126" s="89" t="s">
        <v>8118</v>
      </c>
      <c r="N126" s="89"/>
      <c r="O126" s="89"/>
      <c r="P126" s="89"/>
      <c r="Q126" s="89"/>
      <c r="R126" s="89"/>
      <c r="V126" s="139"/>
      <c r="X126" t="s">
        <v>519</v>
      </c>
    </row>
    <row r="127">
      <c r="A127" s="14" t="s">
        <v>44</v>
      </c>
      <c r="B127" s="31" t="s">
        <v>8120</v>
      </c>
      <c r="C127" s="35" t="s">
        <v>8121</v>
      </c>
      <c r="D127" s="35" t="s">
        <v>2332</v>
      </c>
      <c r="E127" s="36" t="s">
        <v>7378</v>
      </c>
      <c r="F127" s="563"/>
      <c r="G127" s="573" t="s">
        <v>519</v>
      </c>
      <c r="H127" s="574" t="s">
        <v>519</v>
      </c>
      <c r="I127" s="574" t="s">
        <v>519</v>
      </c>
      <c r="J127" s="574" t="s">
        <v>519</v>
      </c>
      <c r="L127" s="577"/>
      <c r="M127" s="89" t="s">
        <v>8122</v>
      </c>
      <c r="N127" s="89"/>
      <c r="O127" s="89"/>
      <c r="P127" s="89"/>
      <c r="Q127" s="89"/>
      <c r="R127" s="89"/>
      <c r="V127" s="139"/>
      <c r="X127" t="s">
        <v>519</v>
      </c>
    </row>
    <row r="128">
      <c r="A128" s="14" t="s">
        <v>44</v>
      </c>
      <c r="B128" s="31" t="s">
        <v>8123</v>
      </c>
      <c r="C128" s="35" t="s">
        <v>476</v>
      </c>
      <c r="D128" s="35" t="s">
        <v>8130</v>
      </c>
      <c r="E128" s="36" t="s">
        <v>7378</v>
      </c>
      <c r="F128" s="563"/>
      <c r="G128" s="573" t="s">
        <v>8131</v>
      </c>
      <c r="H128" s="574" t="s">
        <v>519</v>
      </c>
      <c r="I128" s="574" t="s">
        <v>519</v>
      </c>
      <c r="J128" s="574" t="s">
        <v>519</v>
      </c>
      <c r="L128" s="577"/>
      <c r="M128" s="89" t="s">
        <v>8134</v>
      </c>
      <c r="N128" s="89"/>
      <c r="O128" s="89"/>
      <c r="P128" s="89"/>
      <c r="Q128" s="89"/>
      <c r="R128" s="89"/>
      <c r="V128" s="139"/>
      <c r="X128" t="s">
        <v>519</v>
      </c>
    </row>
    <row r="129">
      <c r="A129" s="14" t="s">
        <v>44</v>
      </c>
      <c r="B129" s="31" t="s">
        <v>8135</v>
      </c>
      <c r="C129" s="35" t="s">
        <v>837</v>
      </c>
      <c r="D129" s="35" t="s">
        <v>8136</v>
      </c>
      <c r="E129" s="36" t="s">
        <v>7378</v>
      </c>
      <c r="F129" s="563"/>
      <c r="G129" s="573" t="s">
        <v>8137</v>
      </c>
      <c r="H129" s="574" t="s">
        <v>519</v>
      </c>
      <c r="I129" s="574" t="s">
        <v>519</v>
      </c>
      <c r="J129" s="574" t="s">
        <v>519</v>
      </c>
      <c r="L129" s="575" t="s">
        <v>8139</v>
      </c>
      <c r="M129" s="89" t="s">
        <v>8140</v>
      </c>
      <c r="N129" s="89"/>
      <c r="O129" s="89"/>
      <c r="P129" s="89"/>
      <c r="Q129" s="89"/>
      <c r="R129" s="89"/>
      <c r="V129" s="139"/>
      <c r="X129" t="s">
        <v>519</v>
      </c>
    </row>
    <row r="130">
      <c r="A130" s="14" t="s">
        <v>44</v>
      </c>
      <c r="B130" s="31" t="s">
        <v>8141</v>
      </c>
      <c r="C130" s="35" t="s">
        <v>8142</v>
      </c>
      <c r="D130" s="35" t="s">
        <v>8143</v>
      </c>
      <c r="E130" s="36" t="s">
        <v>7378</v>
      </c>
      <c r="F130" s="563"/>
      <c r="G130" s="573" t="s">
        <v>7904</v>
      </c>
      <c r="H130" s="574" t="s">
        <v>519</v>
      </c>
      <c r="I130" s="574" t="s">
        <v>519</v>
      </c>
      <c r="J130" s="574" t="s">
        <v>519</v>
      </c>
      <c r="L130" s="575" t="s">
        <v>8144</v>
      </c>
      <c r="M130" s="89" t="s">
        <v>8146</v>
      </c>
      <c r="N130" s="89"/>
      <c r="O130" s="89"/>
      <c r="P130" s="89"/>
      <c r="Q130" s="89"/>
      <c r="R130" s="89"/>
      <c r="V130" s="139"/>
      <c r="X130" t="s">
        <v>519</v>
      </c>
    </row>
    <row r="131">
      <c r="A131" s="14" t="s">
        <v>44</v>
      </c>
      <c r="B131" s="31" t="s">
        <v>8151</v>
      </c>
      <c r="C131" s="35" t="s">
        <v>76</v>
      </c>
      <c r="D131" s="35" t="s">
        <v>8152</v>
      </c>
      <c r="E131" s="36" t="s">
        <v>7378</v>
      </c>
      <c r="F131" s="563"/>
      <c r="G131" s="573" t="s">
        <v>519</v>
      </c>
      <c r="H131" s="574" t="s">
        <v>519</v>
      </c>
      <c r="I131" s="574" t="s">
        <v>519</v>
      </c>
      <c r="J131" s="574" t="s">
        <v>519</v>
      </c>
      <c r="L131" s="575" t="s">
        <v>8153</v>
      </c>
      <c r="M131" s="89" t="s">
        <v>8154</v>
      </c>
      <c r="N131" s="89"/>
      <c r="O131" s="89"/>
      <c r="P131" s="89"/>
      <c r="Q131" s="89"/>
      <c r="R131" s="89"/>
      <c r="V131" s="139"/>
      <c r="X131" t="s">
        <v>519</v>
      </c>
    </row>
    <row r="132">
      <c r="A132" s="14" t="s">
        <v>44</v>
      </c>
      <c r="B132" s="31" t="s">
        <v>8155</v>
      </c>
      <c r="C132" s="35" t="s">
        <v>8157</v>
      </c>
      <c r="D132" s="35" t="s">
        <v>5541</v>
      </c>
      <c r="E132" s="36" t="s">
        <v>7378</v>
      </c>
      <c r="F132" s="563"/>
      <c r="G132" s="578" t="s">
        <v>8166</v>
      </c>
      <c r="H132" s="579"/>
      <c r="I132" s="574" t="s">
        <v>519</v>
      </c>
      <c r="J132" s="574" t="s">
        <v>519</v>
      </c>
      <c r="L132" s="577"/>
      <c r="M132" s="89" t="s">
        <v>8167</v>
      </c>
      <c r="N132" s="89"/>
      <c r="O132" s="89"/>
      <c r="P132" s="89"/>
      <c r="Q132" s="89"/>
      <c r="R132" s="89"/>
      <c r="V132" s="139"/>
      <c r="X132" t="s">
        <v>519</v>
      </c>
    </row>
    <row r="133">
      <c r="A133" s="14" t="s">
        <v>44</v>
      </c>
      <c r="B133" s="31" t="s">
        <v>8171</v>
      </c>
      <c r="C133" s="35" t="s">
        <v>2975</v>
      </c>
      <c r="D133" s="35" t="s">
        <v>8182</v>
      </c>
      <c r="E133" s="36" t="s">
        <v>7378</v>
      </c>
      <c r="F133" s="563"/>
      <c r="G133" s="578" t="s">
        <v>8183</v>
      </c>
      <c r="H133" s="574" t="s">
        <v>519</v>
      </c>
      <c r="I133" s="579"/>
      <c r="J133" s="574" t="s">
        <v>519</v>
      </c>
      <c r="L133" s="575" t="s">
        <v>8184</v>
      </c>
      <c r="M133" s="89" t="s">
        <v>8185</v>
      </c>
      <c r="N133" s="89"/>
      <c r="O133" s="89"/>
      <c r="P133" s="89"/>
      <c r="Q133" s="89"/>
      <c r="R133" s="89"/>
      <c r="V133" s="139"/>
      <c r="X133" t="s">
        <v>519</v>
      </c>
    </row>
    <row r="134">
      <c r="A134" s="14" t="s">
        <v>44</v>
      </c>
      <c r="B134" s="31" t="s">
        <v>8186</v>
      </c>
      <c r="C134" s="35" t="s">
        <v>5331</v>
      </c>
      <c r="D134" s="35" t="s">
        <v>8188</v>
      </c>
      <c r="E134" s="36" t="s">
        <v>7378</v>
      </c>
      <c r="F134" s="563"/>
      <c r="G134" s="578" t="s">
        <v>8189</v>
      </c>
      <c r="H134" s="579"/>
      <c r="I134" s="574" t="s">
        <v>519</v>
      </c>
      <c r="J134" s="574" t="s">
        <v>519</v>
      </c>
      <c r="L134" s="575" t="s">
        <v>8191</v>
      </c>
      <c r="M134" s="89" t="s">
        <v>8192</v>
      </c>
      <c r="N134" s="89"/>
      <c r="O134" s="89"/>
      <c r="P134" s="89"/>
      <c r="Q134" s="89"/>
      <c r="R134" s="89"/>
      <c r="V134" s="139"/>
      <c r="X134" t="s">
        <v>519</v>
      </c>
    </row>
    <row r="135">
      <c r="A135" s="14" t="s">
        <v>44</v>
      </c>
      <c r="B135" s="31" t="s">
        <v>8199</v>
      </c>
      <c r="C135" s="35" t="s">
        <v>278</v>
      </c>
      <c r="D135" s="35" t="s">
        <v>8200</v>
      </c>
      <c r="E135" s="36" t="s">
        <v>7378</v>
      </c>
      <c r="F135" s="563"/>
      <c r="G135" s="573" t="s">
        <v>877</v>
      </c>
      <c r="H135" s="574" t="s">
        <v>519</v>
      </c>
      <c r="I135" s="574" t="s">
        <v>519</v>
      </c>
      <c r="J135" s="574" t="s">
        <v>519</v>
      </c>
      <c r="L135" s="577"/>
      <c r="M135" s="89" t="s">
        <v>8201</v>
      </c>
      <c r="N135" s="89"/>
      <c r="O135" s="89"/>
      <c r="P135" s="89"/>
      <c r="Q135" s="89"/>
      <c r="R135" s="89"/>
      <c r="V135" s="139"/>
      <c r="X135" t="s">
        <v>519</v>
      </c>
    </row>
    <row r="136">
      <c r="A136" s="14" t="s">
        <v>44</v>
      </c>
      <c r="B136" s="31" t="s">
        <v>8202</v>
      </c>
      <c r="C136" s="35" t="s">
        <v>225</v>
      </c>
      <c r="D136" s="35" t="s">
        <v>7086</v>
      </c>
      <c r="E136" s="36" t="s">
        <v>7378</v>
      </c>
      <c r="F136" s="563"/>
      <c r="G136" s="573" t="s">
        <v>519</v>
      </c>
      <c r="H136" s="574" t="s">
        <v>519</v>
      </c>
      <c r="I136" s="574" t="s">
        <v>519</v>
      </c>
      <c r="J136" s="574" t="s">
        <v>519</v>
      </c>
      <c r="L136" s="575" t="s">
        <v>8209</v>
      </c>
      <c r="M136" s="89" t="s">
        <v>8210</v>
      </c>
      <c r="N136" s="89"/>
      <c r="O136" s="89"/>
      <c r="P136" s="89"/>
      <c r="Q136" s="89"/>
      <c r="R136" s="89"/>
      <c r="V136" s="139"/>
      <c r="X136" t="s">
        <v>519</v>
      </c>
    </row>
    <row r="137">
      <c r="A137" s="14" t="s">
        <v>44</v>
      </c>
      <c r="B137" s="31" t="s">
        <v>8213</v>
      </c>
      <c r="C137" s="35" t="s">
        <v>1013</v>
      </c>
      <c r="D137" s="35" t="s">
        <v>7992</v>
      </c>
      <c r="E137" s="36" t="s">
        <v>7378</v>
      </c>
      <c r="F137" s="563"/>
      <c r="G137" s="573" t="s">
        <v>519</v>
      </c>
      <c r="H137" s="574" t="s">
        <v>519</v>
      </c>
      <c r="I137" s="574" t="s">
        <v>519</v>
      </c>
      <c r="J137" s="574" t="s">
        <v>519</v>
      </c>
      <c r="L137" s="577"/>
      <c r="M137" s="89" t="s">
        <v>8214</v>
      </c>
      <c r="N137" s="89"/>
      <c r="O137" s="89"/>
      <c r="P137" s="89"/>
      <c r="Q137" s="89"/>
      <c r="R137" s="89"/>
      <c r="V137" s="139"/>
      <c r="X137" t="s">
        <v>519</v>
      </c>
    </row>
    <row r="138">
      <c r="A138" s="70"/>
      <c r="B138" s="70"/>
      <c r="C138" s="71"/>
      <c r="D138" s="71"/>
      <c r="E138" s="70"/>
      <c r="F138" s="417"/>
      <c r="G138" s="593"/>
      <c r="H138" s="594"/>
      <c r="I138" s="594"/>
      <c r="J138" s="594"/>
      <c r="K138" s="70"/>
      <c r="L138" s="70"/>
      <c r="M138" s="70"/>
      <c r="N138" s="70"/>
      <c r="O138" s="70"/>
      <c r="P138" s="70"/>
      <c r="Q138" s="70"/>
      <c r="R138" s="70"/>
      <c r="S138" s="70"/>
      <c r="T138" s="70"/>
      <c r="V138" s="139"/>
      <c r="X138" t="s">
        <v>519</v>
      </c>
      <c r="Z138" s="70"/>
      <c r="AA138" s="70"/>
      <c r="AB138" s="70"/>
      <c r="AC138" s="70"/>
      <c r="AD138" s="70"/>
    </row>
    <row r="139">
      <c r="A139" s="14" t="s">
        <v>286</v>
      </c>
      <c r="B139" s="35">
        <v>1.0</v>
      </c>
      <c r="C139" s="35" t="s">
        <v>91</v>
      </c>
      <c r="D139" s="35" t="s">
        <v>118</v>
      </c>
      <c r="E139" s="51" t="s">
        <v>53</v>
      </c>
      <c r="F139" s="563"/>
      <c r="G139" s="595"/>
      <c r="H139" s="574"/>
      <c r="I139" s="574"/>
      <c r="J139" s="574"/>
      <c r="L139" s="89"/>
      <c r="M139" s="223" t="s">
        <v>8229</v>
      </c>
      <c r="N139" s="89"/>
      <c r="O139" s="89"/>
      <c r="P139" s="89"/>
      <c r="Q139" s="89"/>
      <c r="R139" s="89"/>
      <c r="T139" s="596" t="str">
        <f t="shared" ref="T139:T205" si="1">if(E139="Rep",C139,"")</f>
        <v>Mark</v>
      </c>
      <c r="U139" t="str">
        <f t="shared" ref="U139:U205" si="2">if(T139="","",D139)</f>
        <v>Johnson</v>
      </c>
      <c r="V139" t="str">
        <f t="shared" ref="V139:V205" si="3">if(U139="","",M139)</f>
        <v>Use mail form</v>
      </c>
      <c r="X139" t="s">
        <v>519</v>
      </c>
    </row>
    <row r="140">
      <c r="A140" s="14" t="s">
        <v>286</v>
      </c>
      <c r="B140" s="35">
        <v>2.0</v>
      </c>
      <c r="C140" s="35" t="s">
        <v>679</v>
      </c>
      <c r="D140" s="35" t="s">
        <v>8243</v>
      </c>
      <c r="E140" s="51" t="s">
        <v>53</v>
      </c>
      <c r="F140" s="563"/>
      <c r="G140" s="595"/>
      <c r="H140" s="574"/>
      <c r="I140" s="574"/>
      <c r="J140" s="574"/>
      <c r="L140" s="89"/>
      <c r="M140" s="223" t="s">
        <v>8229</v>
      </c>
      <c r="N140" s="89"/>
      <c r="O140" s="89"/>
      <c r="P140" s="89"/>
      <c r="Q140" s="89"/>
      <c r="R140" s="89"/>
      <c r="T140" s="596" t="str">
        <f t="shared" si="1"/>
        <v>Paul</v>
      </c>
      <c r="U140" t="str">
        <f t="shared" si="2"/>
        <v>Utke</v>
      </c>
      <c r="V140" t="str">
        <f t="shared" si="3"/>
        <v>Use mail form</v>
      </c>
      <c r="X140" t="s">
        <v>519</v>
      </c>
    </row>
    <row r="141">
      <c r="A141" s="14" t="s">
        <v>286</v>
      </c>
      <c r="B141" s="35">
        <v>3.0</v>
      </c>
      <c r="C141" s="35" t="s">
        <v>338</v>
      </c>
      <c r="D141" s="35" t="s">
        <v>8250</v>
      </c>
      <c r="E141" s="36" t="s">
        <v>7378</v>
      </c>
      <c r="F141" s="567" t="s">
        <v>8251</v>
      </c>
      <c r="G141" s="595"/>
      <c r="H141" s="574"/>
      <c r="I141" s="574"/>
      <c r="J141" s="574"/>
      <c r="L141" s="89"/>
      <c r="M141" s="223" t="s">
        <v>8252</v>
      </c>
      <c r="N141" s="89"/>
      <c r="O141" s="89"/>
      <c r="P141" s="89"/>
      <c r="Q141" s="89"/>
      <c r="R141" s="89"/>
      <c r="T141" t="str">
        <f t="shared" si="1"/>
        <v/>
      </c>
      <c r="U141" t="str">
        <f t="shared" si="2"/>
        <v/>
      </c>
      <c r="V141" t="str">
        <f t="shared" si="3"/>
        <v/>
      </c>
      <c r="X141" t="s">
        <v>519</v>
      </c>
    </row>
    <row r="142">
      <c r="A142" s="14" t="s">
        <v>286</v>
      </c>
      <c r="B142" s="35">
        <v>4.0</v>
      </c>
      <c r="C142" s="35" t="s">
        <v>4892</v>
      </c>
      <c r="D142" s="35" t="s">
        <v>8261</v>
      </c>
      <c r="E142" s="36" t="s">
        <v>7378</v>
      </c>
      <c r="F142" s="567" t="s">
        <v>2004</v>
      </c>
      <c r="G142" s="595"/>
      <c r="H142" s="574"/>
      <c r="I142" s="574"/>
      <c r="J142" s="574"/>
      <c r="L142" s="89"/>
      <c r="M142" s="89" t="s">
        <v>8262</v>
      </c>
      <c r="N142" s="89"/>
      <c r="O142" s="89"/>
      <c r="P142" s="89"/>
      <c r="Q142" s="89"/>
      <c r="R142" s="89"/>
      <c r="T142" t="str">
        <f t="shared" si="1"/>
        <v/>
      </c>
      <c r="U142" t="str">
        <f t="shared" si="2"/>
        <v/>
      </c>
      <c r="V142" t="str">
        <f t="shared" si="3"/>
        <v/>
      </c>
      <c r="X142" t="s">
        <v>519</v>
      </c>
    </row>
    <row r="143">
      <c r="A143" s="14" t="s">
        <v>286</v>
      </c>
      <c r="B143" s="35">
        <v>5.0</v>
      </c>
      <c r="C143" s="35" t="s">
        <v>786</v>
      </c>
      <c r="D143" s="35" t="s">
        <v>8276</v>
      </c>
      <c r="E143" s="51" t="s">
        <v>53</v>
      </c>
      <c r="F143" s="563"/>
      <c r="G143" s="595"/>
      <c r="H143" s="574"/>
      <c r="I143" s="574"/>
      <c r="J143" s="574"/>
      <c r="L143" s="89"/>
      <c r="M143" s="89" t="s">
        <v>8277</v>
      </c>
      <c r="N143" s="89"/>
      <c r="O143" s="89"/>
      <c r="P143" s="89"/>
      <c r="Q143" s="89"/>
      <c r="R143" s="89"/>
      <c r="T143" s="596" t="str">
        <f t="shared" si="1"/>
        <v>Justin</v>
      </c>
      <c r="U143" t="str">
        <f t="shared" si="2"/>
        <v>Eichorn</v>
      </c>
      <c r="V143" t="str">
        <f t="shared" si="3"/>
        <v>sen.justin.eichorn@senate.mn</v>
      </c>
      <c r="X143" t="s">
        <v>519</v>
      </c>
    </row>
    <row r="144">
      <c r="A144" s="14" t="s">
        <v>286</v>
      </c>
      <c r="B144" s="35">
        <v>6.0</v>
      </c>
      <c r="C144" s="35" t="s">
        <v>108</v>
      </c>
      <c r="D144" s="35" t="s">
        <v>8287</v>
      </c>
      <c r="E144" s="36" t="s">
        <v>7378</v>
      </c>
      <c r="F144" s="563"/>
      <c r="G144" s="595"/>
      <c r="H144" s="574"/>
      <c r="I144" s="574"/>
      <c r="J144" s="574"/>
      <c r="L144" s="89"/>
      <c r="M144" s="89" t="s">
        <v>8288</v>
      </c>
      <c r="N144" s="89"/>
      <c r="O144" s="89"/>
      <c r="P144" s="89"/>
      <c r="Q144" s="89"/>
      <c r="R144" s="89"/>
      <c r="T144" t="str">
        <f t="shared" si="1"/>
        <v/>
      </c>
      <c r="U144" t="str">
        <f t="shared" si="2"/>
        <v/>
      </c>
      <c r="V144" t="str">
        <f t="shared" si="3"/>
        <v/>
      </c>
      <c r="X144" t="s">
        <v>519</v>
      </c>
    </row>
    <row r="145">
      <c r="A145" s="14" t="s">
        <v>286</v>
      </c>
      <c r="B145" s="35">
        <v>7.0</v>
      </c>
      <c r="C145" s="35" t="s">
        <v>5947</v>
      </c>
      <c r="D145" s="35" t="s">
        <v>8296</v>
      </c>
      <c r="E145" s="36" t="s">
        <v>7378</v>
      </c>
      <c r="F145" s="563"/>
      <c r="G145" s="595"/>
      <c r="H145" s="574"/>
      <c r="I145" s="574"/>
      <c r="J145" s="574"/>
      <c r="L145" s="89"/>
      <c r="M145" s="89" t="s">
        <v>8297</v>
      </c>
      <c r="N145" s="89"/>
      <c r="O145" s="89"/>
      <c r="P145" s="89"/>
      <c r="Q145" s="89"/>
      <c r="R145" s="89"/>
      <c r="T145" t="str">
        <f t="shared" si="1"/>
        <v/>
      </c>
      <c r="U145" t="str">
        <f t="shared" si="2"/>
        <v/>
      </c>
      <c r="V145" t="str">
        <f t="shared" si="3"/>
        <v/>
      </c>
      <c r="X145" t="s">
        <v>519</v>
      </c>
    </row>
    <row r="146">
      <c r="A146" s="14" t="s">
        <v>286</v>
      </c>
      <c r="B146" s="35">
        <v>8.0</v>
      </c>
      <c r="C146" s="35" t="s">
        <v>325</v>
      </c>
      <c r="D146" s="35" t="s">
        <v>8308</v>
      </c>
      <c r="E146" s="51" t="s">
        <v>53</v>
      </c>
      <c r="F146" s="563"/>
      <c r="G146" s="595"/>
      <c r="H146" s="574"/>
      <c r="I146" s="574"/>
      <c r="J146" s="574"/>
      <c r="L146" s="89"/>
      <c r="M146" s="89" t="s">
        <v>8309</v>
      </c>
      <c r="N146" s="89"/>
      <c r="O146" s="89"/>
      <c r="P146" s="89"/>
      <c r="Q146" s="89"/>
      <c r="R146" s="89"/>
      <c r="T146" s="596" t="str">
        <f t="shared" si="1"/>
        <v>Bill</v>
      </c>
      <c r="U146" t="str">
        <f t="shared" si="2"/>
        <v>Ingebrigtsen</v>
      </c>
      <c r="V146" t="str">
        <f t="shared" si="3"/>
        <v>sen.bill.ingebrigtsen@senate.mn</v>
      </c>
      <c r="X146" t="s">
        <v>519</v>
      </c>
    </row>
    <row r="147">
      <c r="A147" s="14" t="s">
        <v>286</v>
      </c>
      <c r="B147" s="35">
        <v>9.0</v>
      </c>
      <c r="C147" s="35" t="s">
        <v>679</v>
      </c>
      <c r="D147" s="35" t="s">
        <v>8319</v>
      </c>
      <c r="E147" s="51" t="s">
        <v>53</v>
      </c>
      <c r="F147" s="567" t="s">
        <v>176</v>
      </c>
      <c r="G147" s="573" t="s">
        <v>957</v>
      </c>
      <c r="H147" s="574"/>
      <c r="I147" s="574"/>
      <c r="J147" s="574"/>
      <c r="L147" s="89"/>
      <c r="M147" s="89" t="s">
        <v>8320</v>
      </c>
      <c r="N147" s="89"/>
      <c r="O147" s="89"/>
      <c r="P147" s="89"/>
      <c r="Q147" s="89"/>
      <c r="R147" s="89"/>
      <c r="T147" s="596" t="str">
        <f t="shared" si="1"/>
        <v>Paul</v>
      </c>
      <c r="U147" t="str">
        <f t="shared" si="2"/>
        <v>Gazelka</v>
      </c>
      <c r="V147" t="str">
        <f t="shared" si="3"/>
        <v>sen.paul.gazelka@senate.mn</v>
      </c>
      <c r="X147" t="s">
        <v>519</v>
      </c>
    </row>
    <row r="148">
      <c r="A148" s="14" t="s">
        <v>286</v>
      </c>
      <c r="B148" s="35">
        <v>10.0</v>
      </c>
      <c r="C148" s="35" t="s">
        <v>5714</v>
      </c>
      <c r="D148" s="35" t="s">
        <v>8330</v>
      </c>
      <c r="E148" s="51" t="s">
        <v>53</v>
      </c>
      <c r="F148" s="563"/>
      <c r="G148" s="595"/>
      <c r="H148" s="574"/>
      <c r="I148" s="574"/>
      <c r="J148" s="574"/>
      <c r="L148" s="89"/>
      <c r="M148" s="89" t="s">
        <v>8331</v>
      </c>
      <c r="N148" s="89"/>
      <c r="O148" s="89"/>
      <c r="P148" s="89"/>
      <c r="Q148" s="89"/>
      <c r="R148" s="89"/>
      <c r="T148" s="596" t="str">
        <f t="shared" si="1"/>
        <v>Carrie</v>
      </c>
      <c r="U148" t="str">
        <f t="shared" si="2"/>
        <v>Ruud</v>
      </c>
      <c r="V148" t="str">
        <f t="shared" si="3"/>
        <v>sen.carrie.ruud@senate.mn</v>
      </c>
      <c r="X148" t="s">
        <v>519</v>
      </c>
    </row>
    <row r="149">
      <c r="A149" s="14" t="s">
        <v>286</v>
      </c>
      <c r="B149" s="74">
        <v>11.0</v>
      </c>
      <c r="C149" s="35" t="s">
        <v>980</v>
      </c>
      <c r="D149" s="35" t="s">
        <v>8333</v>
      </c>
      <c r="E149" s="36" t="s">
        <v>7378</v>
      </c>
      <c r="F149" s="563"/>
      <c r="G149" s="595"/>
      <c r="H149" s="574"/>
      <c r="I149" s="574"/>
      <c r="J149" s="574"/>
      <c r="L149" s="89"/>
      <c r="M149" s="89" t="s">
        <v>8334</v>
      </c>
      <c r="N149" s="89"/>
      <c r="O149" s="89"/>
      <c r="P149" s="89"/>
      <c r="Q149" s="89"/>
      <c r="R149" s="89"/>
      <c r="T149" t="str">
        <f t="shared" si="1"/>
        <v/>
      </c>
      <c r="U149" t="str">
        <f t="shared" si="2"/>
        <v/>
      </c>
      <c r="V149" t="str">
        <f t="shared" si="3"/>
        <v/>
      </c>
      <c r="X149" t="s">
        <v>519</v>
      </c>
    </row>
    <row r="150">
      <c r="A150" s="14" t="s">
        <v>286</v>
      </c>
      <c r="B150" s="74">
        <v>12.0</v>
      </c>
      <c r="C150" s="35" t="s">
        <v>8338</v>
      </c>
      <c r="D150" s="35" t="s">
        <v>5261</v>
      </c>
      <c r="E150" s="98" t="s">
        <v>53</v>
      </c>
      <c r="F150" s="426"/>
      <c r="G150" s="573" t="s">
        <v>8341</v>
      </c>
      <c r="H150" s="574"/>
      <c r="I150" s="574"/>
      <c r="J150" s="574"/>
      <c r="L150" s="89"/>
      <c r="M150" s="89" t="s">
        <v>8342</v>
      </c>
      <c r="N150" s="89"/>
      <c r="O150" s="89"/>
      <c r="P150" s="89"/>
      <c r="Q150" s="89"/>
      <c r="R150" s="89"/>
      <c r="T150" s="596" t="str">
        <f t="shared" si="1"/>
        <v>Torrey</v>
      </c>
      <c r="U150" t="str">
        <f t="shared" si="2"/>
        <v>Westrom</v>
      </c>
      <c r="V150" t="str">
        <f t="shared" si="3"/>
        <v>sen.torrey.westrom@senate.mn</v>
      </c>
      <c r="X150" t="s">
        <v>519</v>
      </c>
    </row>
    <row r="151">
      <c r="A151" s="14" t="s">
        <v>286</v>
      </c>
      <c r="B151" s="74">
        <v>13.0</v>
      </c>
      <c r="C151" s="78" t="s">
        <v>683</v>
      </c>
      <c r="D151" s="78" t="s">
        <v>8343</v>
      </c>
      <c r="E151" s="98" t="s">
        <v>53</v>
      </c>
      <c r="F151" s="591"/>
      <c r="G151" s="602"/>
      <c r="H151" s="574"/>
      <c r="I151" s="574"/>
      <c r="J151" s="574"/>
      <c r="L151" s="89"/>
      <c r="M151" s="89" t="s">
        <v>8344</v>
      </c>
      <c r="N151" s="89"/>
      <c r="O151" s="89"/>
      <c r="P151" s="89"/>
      <c r="Q151" s="89"/>
      <c r="R151" s="89"/>
      <c r="T151" t="str">
        <f t="shared" si="1"/>
        <v>Jeff</v>
      </c>
      <c r="U151" t="str">
        <f t="shared" si="2"/>
        <v>Howe</v>
      </c>
      <c r="V151" t="str">
        <f t="shared" si="3"/>
        <v>sen.jeff.howe@senate.mn</v>
      </c>
      <c r="X151" t="s">
        <v>519</v>
      </c>
    </row>
    <row r="152">
      <c r="A152" s="14" t="s">
        <v>286</v>
      </c>
      <c r="B152" s="74">
        <v>14.0</v>
      </c>
      <c r="C152" s="35" t="s">
        <v>2105</v>
      </c>
      <c r="D152" s="35" t="s">
        <v>8350</v>
      </c>
      <c r="E152" s="51" t="s">
        <v>53</v>
      </c>
      <c r="F152" s="563"/>
      <c r="G152" s="595"/>
      <c r="H152" s="574"/>
      <c r="I152" s="574"/>
      <c r="J152" s="574"/>
      <c r="L152" s="89"/>
      <c r="M152" s="89" t="s">
        <v>8351</v>
      </c>
      <c r="N152" s="89"/>
      <c r="O152" s="89"/>
      <c r="P152" s="89"/>
      <c r="Q152" s="89"/>
      <c r="R152" s="89"/>
      <c r="T152" s="596" t="str">
        <f t="shared" si="1"/>
        <v>Jerry</v>
      </c>
      <c r="U152" t="str">
        <f t="shared" si="2"/>
        <v>Relph</v>
      </c>
      <c r="V152" t="str">
        <f t="shared" si="3"/>
        <v>sen.jerry.relph@senate.mn</v>
      </c>
      <c r="X152" t="s">
        <v>519</v>
      </c>
    </row>
    <row r="153">
      <c r="A153" s="14" t="s">
        <v>286</v>
      </c>
      <c r="B153" s="74">
        <v>15.0</v>
      </c>
      <c r="C153" s="35" t="s">
        <v>80</v>
      </c>
      <c r="D153" s="35" t="s">
        <v>8354</v>
      </c>
      <c r="E153" s="51" t="s">
        <v>53</v>
      </c>
      <c r="F153" s="563"/>
      <c r="G153" s="595"/>
      <c r="H153" s="574"/>
      <c r="I153" s="574"/>
      <c r="J153" s="574"/>
      <c r="L153" s="89"/>
      <c r="M153" s="89" t="s">
        <v>8355</v>
      </c>
      <c r="N153" s="89"/>
      <c r="O153" s="89"/>
      <c r="P153" s="89"/>
      <c r="Q153" s="89"/>
      <c r="R153" s="89"/>
      <c r="T153" s="596" t="str">
        <f t="shared" si="1"/>
        <v>Andrew</v>
      </c>
      <c r="U153" t="str">
        <f t="shared" si="2"/>
        <v>Mathews</v>
      </c>
      <c r="V153" t="str">
        <f t="shared" si="3"/>
        <v>sen.andrew.mathews@senate.mn</v>
      </c>
      <c r="X153" t="s">
        <v>519</v>
      </c>
    </row>
    <row r="154">
      <c r="A154" s="14" t="s">
        <v>286</v>
      </c>
      <c r="B154" s="74">
        <v>16.0</v>
      </c>
      <c r="C154" s="35" t="s">
        <v>199</v>
      </c>
      <c r="D154" s="35" t="s">
        <v>8363</v>
      </c>
      <c r="E154" s="51" t="s">
        <v>53</v>
      </c>
      <c r="F154" s="567" t="s">
        <v>1479</v>
      </c>
      <c r="G154" s="595"/>
      <c r="H154" s="574"/>
      <c r="I154" s="574"/>
      <c r="J154" s="574"/>
      <c r="L154" s="89"/>
      <c r="M154" s="89" t="s">
        <v>8366</v>
      </c>
      <c r="N154" s="89"/>
      <c r="O154" s="89"/>
      <c r="P154" s="89"/>
      <c r="Q154" s="89"/>
      <c r="R154" s="89"/>
      <c r="T154" s="596" t="str">
        <f t="shared" si="1"/>
        <v>Gary</v>
      </c>
      <c r="U154" t="str">
        <f t="shared" si="2"/>
        <v>Dahms</v>
      </c>
      <c r="V154" t="str">
        <f t="shared" si="3"/>
        <v>sen.gary.dahms@senate.mn</v>
      </c>
      <c r="X154" t="s">
        <v>519</v>
      </c>
    </row>
    <row r="155">
      <c r="A155" s="14" t="s">
        <v>286</v>
      </c>
      <c r="B155" s="74">
        <v>17.0</v>
      </c>
      <c r="C155" s="35" t="s">
        <v>80</v>
      </c>
      <c r="D155" s="35" t="s">
        <v>4054</v>
      </c>
      <c r="E155" s="51" t="s">
        <v>53</v>
      </c>
      <c r="F155" s="563"/>
      <c r="G155" s="595"/>
      <c r="H155" s="574"/>
      <c r="I155" s="574"/>
      <c r="J155" s="574"/>
      <c r="L155" s="89"/>
      <c r="M155" s="89" t="s">
        <v>8370</v>
      </c>
      <c r="N155" s="89"/>
      <c r="O155" s="89"/>
      <c r="P155" s="89"/>
      <c r="Q155" s="89"/>
      <c r="R155" s="89"/>
      <c r="T155" s="596" t="str">
        <f t="shared" si="1"/>
        <v>Andrew</v>
      </c>
      <c r="U155" t="str">
        <f t="shared" si="2"/>
        <v>Lang</v>
      </c>
      <c r="V155" t="str">
        <f t="shared" si="3"/>
        <v>sen.andrew.lang@senate.mn</v>
      </c>
      <c r="X155" t="s">
        <v>519</v>
      </c>
    </row>
    <row r="156">
      <c r="A156" s="14" t="s">
        <v>286</v>
      </c>
      <c r="B156" s="74">
        <v>18.0</v>
      </c>
      <c r="C156" s="35" t="s">
        <v>45</v>
      </c>
      <c r="D156" s="35" t="s">
        <v>8374</v>
      </c>
      <c r="E156" s="51" t="s">
        <v>53</v>
      </c>
      <c r="F156" s="563"/>
      <c r="G156" s="595"/>
      <c r="H156" s="574"/>
      <c r="I156" s="574"/>
      <c r="J156" s="574"/>
      <c r="L156" s="89"/>
      <c r="M156" s="89" t="s">
        <v>8375</v>
      </c>
      <c r="N156" s="89"/>
      <c r="O156" s="89"/>
      <c r="P156" s="89"/>
      <c r="Q156" s="89"/>
      <c r="R156" s="89"/>
      <c r="T156" s="596" t="str">
        <f t="shared" si="1"/>
        <v>Scott</v>
      </c>
      <c r="U156" t="str">
        <f t="shared" si="2"/>
        <v>Newman</v>
      </c>
      <c r="V156" t="str">
        <f t="shared" si="3"/>
        <v>sen.scott.newman@senate.mn</v>
      </c>
      <c r="X156" t="s">
        <v>519</v>
      </c>
    </row>
    <row r="157">
      <c r="A157" s="14" t="s">
        <v>286</v>
      </c>
      <c r="B157" s="74">
        <v>19.0</v>
      </c>
      <c r="C157" s="35" t="s">
        <v>3030</v>
      </c>
      <c r="D157" s="35" t="s">
        <v>8382</v>
      </c>
      <c r="E157" s="36" t="s">
        <v>7378</v>
      </c>
      <c r="F157" s="563"/>
      <c r="G157" s="595"/>
      <c r="H157" s="574"/>
      <c r="I157" s="574"/>
      <c r="J157" s="574"/>
      <c r="L157" s="89"/>
      <c r="M157" s="89" t="s">
        <v>8383</v>
      </c>
      <c r="N157" s="89"/>
      <c r="O157" s="89"/>
      <c r="P157" s="89"/>
      <c r="Q157" s="89"/>
      <c r="R157" s="89"/>
      <c r="T157" t="str">
        <f t="shared" si="1"/>
        <v/>
      </c>
      <c r="U157" t="str">
        <f t="shared" si="2"/>
        <v/>
      </c>
      <c r="V157" t="str">
        <f t="shared" si="3"/>
        <v/>
      </c>
      <c r="X157" t="s">
        <v>519</v>
      </c>
    </row>
    <row r="158">
      <c r="A158" s="14" t="s">
        <v>286</v>
      </c>
      <c r="B158" s="74">
        <v>20.0</v>
      </c>
      <c r="C158" s="35" t="s">
        <v>345</v>
      </c>
      <c r="D158" s="35" t="s">
        <v>8390</v>
      </c>
      <c r="E158" s="51" t="s">
        <v>53</v>
      </c>
      <c r="F158" s="563"/>
      <c r="G158" s="595"/>
      <c r="H158" s="574"/>
      <c r="I158" s="574"/>
      <c r="J158" s="574"/>
      <c r="L158" s="89"/>
      <c r="M158" s="89" t="s">
        <v>8391</v>
      </c>
      <c r="N158" s="89"/>
      <c r="O158" s="89"/>
      <c r="P158" s="89"/>
      <c r="Q158" s="89"/>
      <c r="R158" s="89"/>
      <c r="T158" s="596" t="str">
        <f t="shared" si="1"/>
        <v>Rich</v>
      </c>
      <c r="U158" t="str">
        <f t="shared" si="2"/>
        <v>Draheim</v>
      </c>
      <c r="V158" t="str">
        <f t="shared" si="3"/>
        <v>sen.rich.draheim@senate.mn</v>
      </c>
      <c r="X158" t="s">
        <v>519</v>
      </c>
    </row>
    <row r="159">
      <c r="A159" s="14" t="s">
        <v>286</v>
      </c>
      <c r="B159" s="74">
        <v>21.0</v>
      </c>
      <c r="C159" s="35" t="s">
        <v>157</v>
      </c>
      <c r="D159" s="35" t="s">
        <v>8397</v>
      </c>
      <c r="E159" s="51" t="s">
        <v>53</v>
      </c>
      <c r="F159" s="563"/>
      <c r="G159" s="595"/>
      <c r="H159" s="574"/>
      <c r="I159" s="574"/>
      <c r="J159" s="574"/>
      <c r="L159" s="89"/>
      <c r="M159" s="89" t="s">
        <v>8398</v>
      </c>
      <c r="N159" s="89"/>
      <c r="O159" s="89"/>
      <c r="P159" s="89"/>
      <c r="Q159" s="89"/>
      <c r="R159" s="89"/>
      <c r="T159" s="596" t="str">
        <f t="shared" si="1"/>
        <v>Mike</v>
      </c>
      <c r="U159" t="str">
        <f t="shared" si="2"/>
        <v>Goggin</v>
      </c>
      <c r="V159" t="str">
        <f t="shared" si="3"/>
        <v>sen.mike.goggin@senate.mn</v>
      </c>
      <c r="X159" t="s">
        <v>519</v>
      </c>
    </row>
    <row r="160">
      <c r="A160" s="14" t="s">
        <v>286</v>
      </c>
      <c r="B160" s="74">
        <v>22.0</v>
      </c>
      <c r="C160" s="35" t="s">
        <v>325</v>
      </c>
      <c r="D160" s="35" t="s">
        <v>1988</v>
      </c>
      <c r="E160" s="51" t="s">
        <v>53</v>
      </c>
      <c r="F160" s="563"/>
      <c r="G160" s="595"/>
      <c r="H160" s="574"/>
      <c r="I160" s="574"/>
      <c r="J160" s="574"/>
      <c r="L160" s="89"/>
      <c r="M160" s="89" t="s">
        <v>8402</v>
      </c>
      <c r="N160" s="89"/>
      <c r="O160" s="89"/>
      <c r="P160" s="89"/>
      <c r="Q160" s="89"/>
      <c r="R160" s="89"/>
      <c r="T160" s="596" t="str">
        <f t="shared" si="1"/>
        <v>Bill</v>
      </c>
      <c r="U160" t="str">
        <f t="shared" si="2"/>
        <v>Weber</v>
      </c>
      <c r="V160" t="str">
        <f t="shared" si="3"/>
        <v>sen.bill.weber@senate.mn</v>
      </c>
      <c r="X160" t="s">
        <v>519</v>
      </c>
    </row>
    <row r="161">
      <c r="A161" s="14" t="s">
        <v>286</v>
      </c>
      <c r="B161" s="74">
        <v>23.0</v>
      </c>
      <c r="C161" s="35" t="s">
        <v>2133</v>
      </c>
      <c r="D161" s="35" t="s">
        <v>7005</v>
      </c>
      <c r="E161" s="51" t="s">
        <v>53</v>
      </c>
      <c r="F161" s="563"/>
      <c r="G161" s="573" t="s">
        <v>1272</v>
      </c>
      <c r="H161" s="574"/>
      <c r="I161" s="574"/>
      <c r="J161" s="574"/>
      <c r="L161" s="89"/>
      <c r="M161" s="89" t="s">
        <v>8408</v>
      </c>
      <c r="N161" s="89"/>
      <c r="O161" s="89"/>
      <c r="P161" s="89"/>
      <c r="Q161" s="89"/>
      <c r="R161" s="89"/>
      <c r="T161" s="596" t="str">
        <f t="shared" si="1"/>
        <v>Julie</v>
      </c>
      <c r="U161" t="str">
        <f t="shared" si="2"/>
        <v>Rosen</v>
      </c>
      <c r="V161" t="str">
        <f t="shared" si="3"/>
        <v>sen.julie.rosen@senate.mn</v>
      </c>
      <c r="X161" t="s">
        <v>519</v>
      </c>
    </row>
    <row r="162">
      <c r="A162" s="14" t="s">
        <v>286</v>
      </c>
      <c r="B162" s="74">
        <v>24.0</v>
      </c>
      <c r="C162" s="35" t="s">
        <v>278</v>
      </c>
      <c r="D162" s="35" t="s">
        <v>8413</v>
      </c>
      <c r="E162" s="51" t="s">
        <v>53</v>
      </c>
      <c r="F162" s="567" t="s">
        <v>1479</v>
      </c>
      <c r="G162" s="595"/>
      <c r="H162" s="574"/>
      <c r="I162" s="574"/>
      <c r="J162" s="574"/>
      <c r="L162" s="89"/>
      <c r="M162" s="89" t="s">
        <v>8416</v>
      </c>
      <c r="N162" s="89"/>
      <c r="O162" s="89"/>
      <c r="P162" s="89"/>
      <c r="Q162" s="89"/>
      <c r="R162" s="89"/>
      <c r="T162" s="596" t="str">
        <f t="shared" si="1"/>
        <v>John</v>
      </c>
      <c r="U162" t="str">
        <f t="shared" si="2"/>
        <v>Jasinski</v>
      </c>
      <c r="V162" t="str">
        <f t="shared" si="3"/>
        <v>sen.john.jasinski@senate.mn</v>
      </c>
      <c r="X162" t="s">
        <v>519</v>
      </c>
    </row>
    <row r="163">
      <c r="A163" s="14" t="s">
        <v>286</v>
      </c>
      <c r="B163" s="74">
        <v>25.0</v>
      </c>
      <c r="C163" s="35" t="s">
        <v>76</v>
      </c>
      <c r="D163" s="35" t="s">
        <v>8418</v>
      </c>
      <c r="E163" s="51" t="s">
        <v>53</v>
      </c>
      <c r="F163" s="563"/>
      <c r="G163" s="595"/>
      <c r="H163" s="574"/>
      <c r="I163" s="574"/>
      <c r="J163" s="574"/>
      <c r="L163" s="89"/>
      <c r="M163" s="89" t="s">
        <v>8419</v>
      </c>
      <c r="N163" s="89"/>
      <c r="O163" s="89"/>
      <c r="P163" s="89"/>
      <c r="Q163" s="89"/>
      <c r="R163" s="89"/>
      <c r="T163" s="596" t="str">
        <f t="shared" si="1"/>
        <v>Dave</v>
      </c>
      <c r="U163" t="str">
        <f t="shared" si="2"/>
        <v>Senjem</v>
      </c>
      <c r="V163" t="str">
        <f t="shared" si="3"/>
        <v>sen.dave.senjem@senate.mn</v>
      </c>
      <c r="X163" t="s">
        <v>519</v>
      </c>
    </row>
    <row r="164">
      <c r="A164" s="14" t="s">
        <v>286</v>
      </c>
      <c r="B164" s="74">
        <v>26.0</v>
      </c>
      <c r="C164" s="35" t="s">
        <v>8423</v>
      </c>
      <c r="D164" s="35" t="s">
        <v>3823</v>
      </c>
      <c r="E164" s="51" t="s">
        <v>53</v>
      </c>
      <c r="F164" s="563"/>
      <c r="G164" s="595"/>
      <c r="H164" s="574"/>
      <c r="I164" s="574"/>
      <c r="J164" s="574"/>
      <c r="L164" s="89"/>
      <c r="M164" s="89" t="s">
        <v>8428</v>
      </c>
      <c r="N164" s="89"/>
      <c r="O164" s="89"/>
      <c r="P164" s="89"/>
      <c r="Q164" s="89"/>
      <c r="R164" s="89"/>
      <c r="T164" s="596" t="str">
        <f t="shared" si="1"/>
        <v>Carla</v>
      </c>
      <c r="U164" t="str">
        <f t="shared" si="2"/>
        <v>Nelson</v>
      </c>
      <c r="V164" t="str">
        <f t="shared" si="3"/>
        <v>sen.carla.nelson@senate.mn</v>
      </c>
      <c r="X164" t="s">
        <v>519</v>
      </c>
    </row>
    <row r="165">
      <c r="A165" s="14" t="s">
        <v>286</v>
      </c>
      <c r="B165" s="74">
        <v>27.0</v>
      </c>
      <c r="C165" s="35" t="s">
        <v>239</v>
      </c>
      <c r="D165" s="35" t="s">
        <v>8438</v>
      </c>
      <c r="E165" s="36" t="s">
        <v>7378</v>
      </c>
      <c r="F165" s="563"/>
      <c r="G165" s="595"/>
      <c r="H165" s="574"/>
      <c r="I165" s="574"/>
      <c r="J165" s="574"/>
      <c r="L165" s="89"/>
      <c r="M165" s="89" t="s">
        <v>8439</v>
      </c>
      <c r="N165" s="89"/>
      <c r="O165" s="89"/>
      <c r="P165" s="89"/>
      <c r="Q165" s="89"/>
      <c r="R165" s="89"/>
      <c r="T165" t="str">
        <f t="shared" si="1"/>
        <v/>
      </c>
      <c r="U165" t="str">
        <f t="shared" si="2"/>
        <v/>
      </c>
      <c r="V165" t="str">
        <f t="shared" si="3"/>
        <v/>
      </c>
      <c r="X165" t="s">
        <v>519</v>
      </c>
    </row>
    <row r="166">
      <c r="A166" s="14" t="s">
        <v>286</v>
      </c>
      <c r="B166" s="74">
        <v>28.0</v>
      </c>
      <c r="C166" s="35" t="s">
        <v>657</v>
      </c>
      <c r="D166" s="35" t="s">
        <v>1501</v>
      </c>
      <c r="E166" s="51" t="s">
        <v>53</v>
      </c>
      <c r="F166" s="567" t="s">
        <v>291</v>
      </c>
      <c r="G166" s="595"/>
      <c r="H166" s="574"/>
      <c r="I166" s="574"/>
      <c r="J166" s="574"/>
      <c r="L166" s="89"/>
      <c r="M166" s="89" t="s">
        <v>8443</v>
      </c>
      <c r="N166" s="89"/>
      <c r="O166" s="89"/>
      <c r="P166" s="89"/>
      <c r="Q166" s="89"/>
      <c r="R166" s="89"/>
      <c r="T166" s="596" t="str">
        <f t="shared" si="1"/>
        <v>Jeremy</v>
      </c>
      <c r="U166" t="str">
        <f t="shared" si="2"/>
        <v>Miller</v>
      </c>
      <c r="V166" t="str">
        <f t="shared" si="3"/>
        <v>sen.jeremy.miller@senate.mn</v>
      </c>
      <c r="X166" t="s">
        <v>519</v>
      </c>
    </row>
    <row r="167">
      <c r="A167" s="14" t="s">
        <v>286</v>
      </c>
      <c r="B167" s="74">
        <v>29.0</v>
      </c>
      <c r="C167" s="35" t="s">
        <v>1193</v>
      </c>
      <c r="D167" s="35" t="s">
        <v>3961</v>
      </c>
      <c r="E167" s="51" t="s">
        <v>53</v>
      </c>
      <c r="F167" s="563"/>
      <c r="G167" s="573" t="s">
        <v>8451</v>
      </c>
      <c r="H167" s="574"/>
      <c r="I167" s="574"/>
      <c r="J167" s="574"/>
      <c r="L167" s="89"/>
      <c r="M167" s="89" t="s">
        <v>8452</v>
      </c>
      <c r="N167" s="89"/>
      <c r="O167" s="89"/>
      <c r="P167" s="89"/>
      <c r="Q167" s="89"/>
      <c r="R167" s="89"/>
      <c r="T167" s="596" t="str">
        <f t="shared" si="1"/>
        <v>Bruce</v>
      </c>
      <c r="U167" t="str">
        <f t="shared" si="2"/>
        <v>Anderson</v>
      </c>
      <c r="V167" t="str">
        <f t="shared" si="3"/>
        <v>sen.bruce.anderson@senate.mn</v>
      </c>
      <c r="X167" t="s">
        <v>519</v>
      </c>
    </row>
    <row r="168">
      <c r="A168" s="14" t="s">
        <v>286</v>
      </c>
      <c r="B168" s="74">
        <v>30.0</v>
      </c>
      <c r="C168" s="35" t="s">
        <v>514</v>
      </c>
      <c r="D168" s="35" t="s">
        <v>8456</v>
      </c>
      <c r="E168" s="51" t="s">
        <v>53</v>
      </c>
      <c r="F168" s="563"/>
      <c r="G168" s="573" t="s">
        <v>8457</v>
      </c>
      <c r="H168" s="574"/>
      <c r="I168" s="574"/>
      <c r="J168" s="574"/>
      <c r="L168" s="89"/>
      <c r="M168" s="89" t="s">
        <v>8458</v>
      </c>
      <c r="N168" s="89"/>
      <c r="O168" s="89"/>
      <c r="P168" s="89"/>
      <c r="Q168" s="89"/>
      <c r="R168" s="89"/>
      <c r="T168" s="596" t="str">
        <f t="shared" si="1"/>
        <v>Mary</v>
      </c>
      <c r="U168" t="str">
        <f t="shared" si="2"/>
        <v>Kiffmeyer</v>
      </c>
      <c r="V168" t="str">
        <f t="shared" si="3"/>
        <v>sen.mary.kiffmeyer@senate.mn</v>
      </c>
      <c r="X168" t="s">
        <v>519</v>
      </c>
    </row>
    <row r="169">
      <c r="A169" s="14" t="s">
        <v>286</v>
      </c>
      <c r="B169" s="74">
        <v>31.0</v>
      </c>
      <c r="C169" s="35" t="s">
        <v>22</v>
      </c>
      <c r="D169" s="35" t="s">
        <v>5021</v>
      </c>
      <c r="E169" s="51" t="s">
        <v>53</v>
      </c>
      <c r="F169" s="563" t="s">
        <v>6450</v>
      </c>
      <c r="G169" s="573" t="s">
        <v>8462</v>
      </c>
      <c r="H169" s="574"/>
      <c r="I169" s="574"/>
      <c r="J169" s="574"/>
      <c r="L169" s="89"/>
      <c r="M169" s="89" t="s">
        <v>8463</v>
      </c>
      <c r="N169" s="89"/>
      <c r="O169" s="89"/>
      <c r="P169" s="89"/>
      <c r="Q169" s="89"/>
      <c r="R169" s="89"/>
      <c r="T169" s="596" t="str">
        <f t="shared" si="1"/>
        <v>Michelle</v>
      </c>
      <c r="U169" t="str">
        <f t="shared" si="2"/>
        <v>Benson</v>
      </c>
      <c r="V169" t="str">
        <f t="shared" si="3"/>
        <v>sen.michelle.benson@senate.mn</v>
      </c>
      <c r="X169" t="s">
        <v>519</v>
      </c>
    </row>
    <row r="170">
      <c r="A170" s="14" t="s">
        <v>286</v>
      </c>
      <c r="B170" s="74">
        <v>32.0</v>
      </c>
      <c r="C170" s="35" t="s">
        <v>91</v>
      </c>
      <c r="D170" s="35" t="s">
        <v>8468</v>
      </c>
      <c r="E170" s="51" t="s">
        <v>53</v>
      </c>
      <c r="F170" s="563"/>
      <c r="G170" s="595"/>
      <c r="H170" s="574"/>
      <c r="I170" s="574"/>
      <c r="J170" s="574"/>
      <c r="L170" s="89"/>
      <c r="M170" s="89" t="s">
        <v>8469</v>
      </c>
      <c r="N170" s="89"/>
      <c r="O170" s="89"/>
      <c r="P170" s="89"/>
      <c r="Q170" s="89"/>
      <c r="R170" s="89"/>
      <c r="T170" s="596" t="str">
        <f t="shared" si="1"/>
        <v>Mark</v>
      </c>
      <c r="U170" t="str">
        <f t="shared" si="2"/>
        <v>Koran</v>
      </c>
      <c r="V170" t="str">
        <f t="shared" si="3"/>
        <v>sen.mark.koran@senate.mn</v>
      </c>
      <c r="X170" t="s">
        <v>519</v>
      </c>
    </row>
    <row r="171">
      <c r="A171" s="14" t="s">
        <v>286</v>
      </c>
      <c r="B171" s="74">
        <v>33.0</v>
      </c>
      <c r="C171" s="35" t="s">
        <v>108</v>
      </c>
      <c r="D171" s="35" t="s">
        <v>8474</v>
      </c>
      <c r="E171" s="51" t="s">
        <v>53</v>
      </c>
      <c r="F171" s="563"/>
      <c r="G171" s="595"/>
      <c r="H171" s="574"/>
      <c r="I171" s="574"/>
      <c r="J171" s="574"/>
      <c r="L171" s="89"/>
      <c r="M171" s="89" t="s">
        <v>8475</v>
      </c>
      <c r="N171" s="89"/>
      <c r="O171" s="89"/>
      <c r="P171" s="89"/>
      <c r="Q171" s="89"/>
      <c r="R171" s="89"/>
      <c r="T171" s="596" t="str">
        <f t="shared" si="1"/>
        <v>David</v>
      </c>
      <c r="U171" t="str">
        <f t="shared" si="2"/>
        <v>Osmek</v>
      </c>
      <c r="V171" t="str">
        <f t="shared" si="3"/>
        <v>sen.david.osmek@senate.mn</v>
      </c>
      <c r="X171" t="s">
        <v>519</v>
      </c>
    </row>
    <row r="172">
      <c r="A172" s="14" t="s">
        <v>286</v>
      </c>
      <c r="B172" s="74">
        <v>34.0</v>
      </c>
      <c r="C172" s="35" t="s">
        <v>646</v>
      </c>
      <c r="D172" s="35" t="s">
        <v>8483</v>
      </c>
      <c r="E172" s="51" t="s">
        <v>53</v>
      </c>
      <c r="F172" s="567" t="s">
        <v>2875</v>
      </c>
      <c r="G172" s="603" t="s">
        <v>877</v>
      </c>
      <c r="H172" s="574"/>
      <c r="I172" s="574"/>
      <c r="J172" s="574"/>
      <c r="L172" s="89"/>
      <c r="M172" s="89" t="s">
        <v>8486</v>
      </c>
      <c r="N172" s="89"/>
      <c r="O172" s="89"/>
      <c r="P172" s="89"/>
      <c r="Q172" s="89"/>
      <c r="R172" s="89"/>
      <c r="T172" s="596" t="str">
        <f t="shared" si="1"/>
        <v>Warren</v>
      </c>
      <c r="U172" t="str">
        <f t="shared" si="2"/>
        <v>Limmer</v>
      </c>
      <c r="V172" t="str">
        <f t="shared" si="3"/>
        <v>sen.warren.limmer@senate.mn</v>
      </c>
      <c r="X172" t="s">
        <v>519</v>
      </c>
    </row>
    <row r="173">
      <c r="A173" s="14" t="s">
        <v>286</v>
      </c>
      <c r="B173" s="74">
        <v>35.0</v>
      </c>
      <c r="C173" s="35" t="s">
        <v>476</v>
      </c>
      <c r="D173" s="35" t="s">
        <v>8492</v>
      </c>
      <c r="E173" s="51" t="s">
        <v>53</v>
      </c>
      <c r="F173" s="563"/>
      <c r="G173" s="595"/>
      <c r="H173" s="574"/>
      <c r="I173" s="574"/>
      <c r="J173" s="574"/>
      <c r="L173" s="89"/>
      <c r="M173" s="89" t="s">
        <v>8493</v>
      </c>
      <c r="N173" s="89"/>
      <c r="O173" s="89"/>
      <c r="P173" s="89"/>
      <c r="Q173" s="89"/>
      <c r="R173" s="89"/>
      <c r="T173" s="596" t="str">
        <f t="shared" si="1"/>
        <v>Jim</v>
      </c>
      <c r="U173" t="str">
        <f t="shared" si="2"/>
        <v>Abeler</v>
      </c>
      <c r="V173" t="str">
        <f t="shared" si="3"/>
        <v>sen.jim.abeler@senate.mn</v>
      </c>
      <c r="X173" t="s">
        <v>519</v>
      </c>
    </row>
    <row r="174">
      <c r="A174" s="14" t="s">
        <v>286</v>
      </c>
      <c r="B174" s="74">
        <v>36.0</v>
      </c>
      <c r="C174" s="35" t="s">
        <v>278</v>
      </c>
      <c r="D174" s="35" t="s">
        <v>401</v>
      </c>
      <c r="E174" s="36" t="s">
        <v>7378</v>
      </c>
      <c r="F174" s="567" t="s">
        <v>2004</v>
      </c>
      <c r="G174" s="595"/>
      <c r="H174" s="574"/>
      <c r="I174" s="574"/>
      <c r="J174" s="574"/>
      <c r="L174" s="89"/>
      <c r="M174" s="89" t="s">
        <v>8497</v>
      </c>
      <c r="N174" s="89"/>
      <c r="O174" s="89"/>
      <c r="P174" s="89"/>
      <c r="Q174" s="89"/>
      <c r="R174" s="89"/>
      <c r="T174" t="str">
        <f t="shared" si="1"/>
        <v/>
      </c>
      <c r="U174" t="str">
        <f t="shared" si="2"/>
        <v/>
      </c>
      <c r="V174" t="str">
        <f t="shared" si="3"/>
        <v/>
      </c>
      <c r="X174" t="s">
        <v>519</v>
      </c>
    </row>
    <row r="175">
      <c r="A175" s="14" t="s">
        <v>286</v>
      </c>
      <c r="B175" s="74">
        <v>37.0</v>
      </c>
      <c r="C175" s="35" t="s">
        <v>2105</v>
      </c>
      <c r="D175" s="35" t="s">
        <v>3038</v>
      </c>
      <c r="E175" s="36" t="s">
        <v>7378</v>
      </c>
      <c r="F175" s="563"/>
      <c r="G175" s="595"/>
      <c r="H175" s="574"/>
      <c r="I175" s="574"/>
      <c r="J175" s="574"/>
      <c r="L175" s="89"/>
      <c r="M175" s="89" t="s">
        <v>8502</v>
      </c>
      <c r="N175" s="89"/>
      <c r="O175" s="89"/>
      <c r="P175" s="89"/>
      <c r="Q175" s="89"/>
      <c r="R175" s="89"/>
      <c r="T175" t="str">
        <f t="shared" si="1"/>
        <v/>
      </c>
      <c r="U175" t="str">
        <f t="shared" si="2"/>
        <v/>
      </c>
      <c r="V175" t="str">
        <f t="shared" si="3"/>
        <v/>
      </c>
      <c r="X175" t="s">
        <v>519</v>
      </c>
    </row>
    <row r="176">
      <c r="A176" s="14" t="s">
        <v>286</v>
      </c>
      <c r="B176" s="74">
        <v>38.0</v>
      </c>
      <c r="C176" s="35" t="s">
        <v>1040</v>
      </c>
      <c r="D176" s="35" t="s">
        <v>8503</v>
      </c>
      <c r="E176" s="51" t="s">
        <v>53</v>
      </c>
      <c r="F176" s="563"/>
      <c r="G176" s="595"/>
      <c r="H176" s="574"/>
      <c r="I176" s="574"/>
      <c r="J176" s="574"/>
      <c r="L176" s="89"/>
      <c r="M176" s="89" t="s">
        <v>8506</v>
      </c>
      <c r="N176" s="89"/>
      <c r="O176" s="89"/>
      <c r="P176" s="89"/>
      <c r="Q176" s="89"/>
      <c r="R176" s="89"/>
      <c r="T176" s="596" t="str">
        <f t="shared" si="1"/>
        <v>Roger</v>
      </c>
      <c r="U176" t="str">
        <f t="shared" si="2"/>
        <v>Chamberlain</v>
      </c>
      <c r="V176" t="str">
        <f t="shared" si="3"/>
        <v>sen.roger.chamberlain@senate.mn</v>
      </c>
      <c r="X176" t="s">
        <v>519</v>
      </c>
    </row>
    <row r="177">
      <c r="A177" s="14" t="s">
        <v>286</v>
      </c>
      <c r="B177" s="74">
        <v>39.0</v>
      </c>
      <c r="C177" s="35" t="s">
        <v>5034</v>
      </c>
      <c r="D177" s="35" t="s">
        <v>8510</v>
      </c>
      <c r="E177" s="51" t="s">
        <v>53</v>
      </c>
      <c r="F177" s="567" t="s">
        <v>1479</v>
      </c>
      <c r="G177" s="595"/>
      <c r="H177" s="574"/>
      <c r="I177" s="574"/>
      <c r="J177" s="574"/>
      <c r="L177" s="89"/>
      <c r="M177" s="89" t="s">
        <v>8513</v>
      </c>
      <c r="N177" s="89"/>
      <c r="O177" s="89"/>
      <c r="P177" s="89"/>
      <c r="Q177" s="89"/>
      <c r="R177" s="89"/>
      <c r="T177" s="596" t="str">
        <f t="shared" si="1"/>
        <v>Karin</v>
      </c>
      <c r="U177" t="str">
        <f t="shared" si="2"/>
        <v>Housley</v>
      </c>
      <c r="V177" t="str">
        <f t="shared" si="3"/>
        <v>sen.karin.housley@senate.mn</v>
      </c>
      <c r="X177" t="s">
        <v>519</v>
      </c>
    </row>
    <row r="178">
      <c r="A178" s="14" t="s">
        <v>286</v>
      </c>
      <c r="B178" s="74">
        <v>40.0</v>
      </c>
      <c r="C178" s="35" t="s">
        <v>173</v>
      </c>
      <c r="D178" s="35" t="s">
        <v>8522</v>
      </c>
      <c r="E178" s="36" t="s">
        <v>7378</v>
      </c>
      <c r="F178" s="563"/>
      <c r="G178" s="602"/>
      <c r="H178" s="574"/>
      <c r="I178" s="574"/>
      <c r="J178" s="574"/>
      <c r="L178" s="89"/>
      <c r="M178" s="89" t="s">
        <v>8524</v>
      </c>
      <c r="N178" s="89"/>
      <c r="O178" s="89"/>
      <c r="P178" s="89"/>
      <c r="Q178" s="89"/>
      <c r="R178" s="89"/>
      <c r="T178" t="str">
        <f t="shared" si="1"/>
        <v/>
      </c>
      <c r="U178" t="str">
        <f t="shared" si="2"/>
        <v/>
      </c>
      <c r="V178" t="str">
        <f t="shared" si="3"/>
        <v/>
      </c>
      <c r="X178" t="s">
        <v>519</v>
      </c>
    </row>
    <row r="179">
      <c r="A179" s="14" t="s">
        <v>286</v>
      </c>
      <c r="B179" s="74">
        <v>41.0</v>
      </c>
      <c r="C179" s="35" t="s">
        <v>3902</v>
      </c>
      <c r="D179" s="35" t="s">
        <v>8525</v>
      </c>
      <c r="E179" s="36" t="s">
        <v>7378</v>
      </c>
      <c r="F179" s="563"/>
      <c r="G179" s="595"/>
      <c r="H179" s="574"/>
      <c r="I179" s="574"/>
      <c r="J179" s="574"/>
      <c r="L179" s="89"/>
      <c r="M179" s="89" t="s">
        <v>8526</v>
      </c>
      <c r="N179" s="89"/>
      <c r="O179" s="89"/>
      <c r="P179" s="89"/>
      <c r="Q179" s="89"/>
      <c r="R179" s="89"/>
      <c r="T179" t="str">
        <f t="shared" si="1"/>
        <v/>
      </c>
      <c r="U179" t="str">
        <f t="shared" si="2"/>
        <v/>
      </c>
      <c r="V179" t="str">
        <f t="shared" si="3"/>
        <v/>
      </c>
      <c r="X179" t="s">
        <v>519</v>
      </c>
    </row>
    <row r="180">
      <c r="A180" s="14" t="s">
        <v>286</v>
      </c>
      <c r="B180" s="74">
        <v>42.0</v>
      </c>
      <c r="C180" s="35" t="s">
        <v>1231</v>
      </c>
      <c r="D180" s="35" t="s">
        <v>8530</v>
      </c>
      <c r="E180" s="36" t="s">
        <v>7378</v>
      </c>
      <c r="F180" s="563"/>
      <c r="G180" s="595"/>
      <c r="H180" s="574"/>
      <c r="I180" s="574"/>
      <c r="J180" s="574"/>
      <c r="L180" s="89"/>
      <c r="M180" s="89" t="s">
        <v>8531</v>
      </c>
      <c r="N180" s="89"/>
      <c r="O180" s="89"/>
      <c r="P180" s="89"/>
      <c r="Q180" s="89"/>
      <c r="R180" s="89"/>
      <c r="T180" t="str">
        <f t="shared" si="1"/>
        <v/>
      </c>
      <c r="U180" t="str">
        <f t="shared" si="2"/>
        <v/>
      </c>
      <c r="V180" t="str">
        <f t="shared" si="3"/>
        <v/>
      </c>
      <c r="X180" t="s">
        <v>519</v>
      </c>
    </row>
    <row r="181">
      <c r="A181" s="14" t="s">
        <v>286</v>
      </c>
      <c r="B181" s="74">
        <v>43.0</v>
      </c>
      <c r="C181" s="35" t="s">
        <v>177</v>
      </c>
      <c r="D181" s="35" t="s">
        <v>8533</v>
      </c>
      <c r="E181" s="36" t="s">
        <v>7378</v>
      </c>
      <c r="F181" s="563"/>
      <c r="G181" s="595"/>
      <c r="H181" s="574"/>
      <c r="I181" s="574"/>
      <c r="J181" s="574"/>
      <c r="L181" s="89"/>
      <c r="M181" s="89" t="s">
        <v>8536</v>
      </c>
      <c r="N181" s="89"/>
      <c r="O181" s="89"/>
      <c r="P181" s="89"/>
      <c r="Q181" s="89"/>
      <c r="R181" s="89"/>
      <c r="T181" t="str">
        <f t="shared" si="1"/>
        <v/>
      </c>
      <c r="U181" t="str">
        <f t="shared" si="2"/>
        <v/>
      </c>
      <c r="V181" t="str">
        <f t="shared" si="3"/>
        <v/>
      </c>
      <c r="X181" t="s">
        <v>519</v>
      </c>
    </row>
    <row r="182">
      <c r="A182" s="14" t="s">
        <v>286</v>
      </c>
      <c r="B182" s="74">
        <v>44.0</v>
      </c>
      <c r="C182" s="35" t="s">
        <v>679</v>
      </c>
      <c r="D182" s="35" t="s">
        <v>3961</v>
      </c>
      <c r="E182" s="51" t="s">
        <v>53</v>
      </c>
      <c r="F182" s="563"/>
      <c r="G182" s="595"/>
      <c r="H182" s="574"/>
      <c r="I182" s="574"/>
      <c r="J182" s="574"/>
      <c r="L182" s="89"/>
      <c r="M182" s="89" t="s">
        <v>8542</v>
      </c>
      <c r="N182" s="89"/>
      <c r="O182" s="89"/>
      <c r="P182" s="89"/>
      <c r="Q182" s="89"/>
      <c r="R182" s="89"/>
      <c r="T182" s="596" t="str">
        <f t="shared" si="1"/>
        <v>Paul</v>
      </c>
      <c r="U182" t="str">
        <f t="shared" si="2"/>
        <v>Anderson</v>
      </c>
      <c r="V182" t="str">
        <f t="shared" si="3"/>
        <v>sen.paul.anderson@senate.mn</v>
      </c>
      <c r="X182" t="s">
        <v>519</v>
      </c>
    </row>
    <row r="183">
      <c r="A183" s="14" t="s">
        <v>286</v>
      </c>
      <c r="B183" s="74">
        <v>45.0</v>
      </c>
      <c r="C183" s="35" t="s">
        <v>1375</v>
      </c>
      <c r="D183" s="35" t="s">
        <v>8547</v>
      </c>
      <c r="E183" s="36" t="s">
        <v>7378</v>
      </c>
      <c r="F183" s="567" t="s">
        <v>2004</v>
      </c>
      <c r="G183" s="595"/>
      <c r="H183" s="574"/>
      <c r="I183" s="574"/>
      <c r="J183" s="574"/>
      <c r="L183" s="89"/>
      <c r="M183" s="89" t="s">
        <v>8549</v>
      </c>
      <c r="N183" s="89"/>
      <c r="O183" s="89"/>
      <c r="P183" s="89"/>
      <c r="Q183" s="89"/>
      <c r="R183" s="89"/>
      <c r="T183" t="str">
        <f t="shared" si="1"/>
        <v/>
      </c>
      <c r="U183" t="str">
        <f t="shared" si="2"/>
        <v/>
      </c>
      <c r="V183" t="str">
        <f t="shared" si="3"/>
        <v/>
      </c>
      <c r="X183" t="s">
        <v>519</v>
      </c>
    </row>
    <row r="184">
      <c r="A184" s="14" t="s">
        <v>286</v>
      </c>
      <c r="B184" s="74">
        <v>46.0</v>
      </c>
      <c r="C184" s="35" t="s">
        <v>1813</v>
      </c>
      <c r="D184" s="35" t="s">
        <v>8553</v>
      </c>
      <c r="E184" s="36" t="s">
        <v>7378</v>
      </c>
      <c r="F184" s="563"/>
      <c r="G184" s="573" t="s">
        <v>8554</v>
      </c>
      <c r="H184" s="574"/>
      <c r="I184" s="574"/>
      <c r="J184" s="574"/>
      <c r="L184" s="89"/>
      <c r="M184" s="89" t="s">
        <v>8555</v>
      </c>
      <c r="N184" s="89"/>
      <c r="O184" s="89"/>
      <c r="P184" s="89"/>
      <c r="Q184" s="89"/>
      <c r="R184" s="89"/>
      <c r="T184" t="str">
        <f t="shared" si="1"/>
        <v/>
      </c>
      <c r="U184" t="str">
        <f t="shared" si="2"/>
        <v/>
      </c>
      <c r="V184" t="str">
        <f t="shared" si="3"/>
        <v/>
      </c>
      <c r="X184" t="s">
        <v>519</v>
      </c>
    </row>
    <row r="185">
      <c r="A185" s="14" t="s">
        <v>286</v>
      </c>
      <c r="B185" s="74">
        <v>47.0</v>
      </c>
      <c r="C185" s="35" t="s">
        <v>45</v>
      </c>
      <c r="D185" s="35" t="s">
        <v>8556</v>
      </c>
      <c r="E185" s="51" t="s">
        <v>53</v>
      </c>
      <c r="F185" s="563"/>
      <c r="G185" s="595"/>
      <c r="H185" s="574"/>
      <c r="I185" s="574"/>
      <c r="J185" s="574"/>
      <c r="L185" s="89"/>
      <c r="M185" s="89" t="s">
        <v>8557</v>
      </c>
      <c r="N185" s="89"/>
      <c r="O185" s="89"/>
      <c r="P185" s="89"/>
      <c r="Q185" s="89"/>
      <c r="R185" s="89"/>
      <c r="T185" s="596" t="str">
        <f t="shared" si="1"/>
        <v>Scott</v>
      </c>
      <c r="U185" t="str">
        <f t="shared" si="2"/>
        <v>Jensen</v>
      </c>
      <c r="V185" t="str">
        <f t="shared" si="3"/>
        <v>sen.scott.jensen@senate.mn</v>
      </c>
      <c r="X185" t="s">
        <v>519</v>
      </c>
    </row>
    <row r="186">
      <c r="A186" s="14" t="s">
        <v>286</v>
      </c>
      <c r="B186" s="74">
        <v>48.0</v>
      </c>
      <c r="C186" s="35" t="s">
        <v>55</v>
      </c>
      <c r="D186" s="35" t="s">
        <v>8562</v>
      </c>
      <c r="E186" s="36" t="s">
        <v>7378</v>
      </c>
      <c r="F186" s="563"/>
      <c r="G186" s="595"/>
      <c r="H186" s="574"/>
      <c r="I186" s="574"/>
      <c r="J186" s="574"/>
      <c r="L186" s="89"/>
      <c r="M186" s="89" t="s">
        <v>8563</v>
      </c>
      <c r="N186" s="89"/>
      <c r="O186" s="89"/>
      <c r="P186" s="89"/>
      <c r="Q186" s="89"/>
      <c r="R186" s="89"/>
      <c r="T186" t="str">
        <f t="shared" si="1"/>
        <v/>
      </c>
      <c r="U186" t="str">
        <f t="shared" si="2"/>
        <v/>
      </c>
      <c r="V186" t="str">
        <f t="shared" si="3"/>
        <v/>
      </c>
      <c r="X186" t="s">
        <v>519</v>
      </c>
    </row>
    <row r="187">
      <c r="A187" s="14" t="s">
        <v>286</v>
      </c>
      <c r="B187" s="74">
        <v>49.0</v>
      </c>
      <c r="C187" s="35" t="s">
        <v>8564</v>
      </c>
      <c r="D187" s="35" t="s">
        <v>8566</v>
      </c>
      <c r="E187" s="36" t="s">
        <v>7378</v>
      </c>
      <c r="F187" s="563"/>
      <c r="G187" s="595"/>
      <c r="H187" s="574"/>
      <c r="I187" s="574"/>
      <c r="J187" s="574"/>
      <c r="L187" s="89"/>
      <c r="M187" s="89" t="s">
        <v>8567</v>
      </c>
      <c r="N187" s="89"/>
      <c r="O187" s="89"/>
      <c r="P187" s="89"/>
      <c r="Q187" s="89"/>
      <c r="R187" s="89"/>
      <c r="T187" t="str">
        <f t="shared" si="1"/>
        <v/>
      </c>
      <c r="U187" t="str">
        <f t="shared" si="2"/>
        <v/>
      </c>
      <c r="V187" t="str">
        <f t="shared" si="3"/>
        <v/>
      </c>
      <c r="X187" t="s">
        <v>519</v>
      </c>
    </row>
    <row r="188">
      <c r="A188" s="14" t="s">
        <v>286</v>
      </c>
      <c r="B188" s="74">
        <v>50.0</v>
      </c>
      <c r="C188" s="35" t="s">
        <v>1884</v>
      </c>
      <c r="D188" s="35" t="s">
        <v>8573</v>
      </c>
      <c r="E188" s="36" t="s">
        <v>7378</v>
      </c>
      <c r="F188" s="563"/>
      <c r="G188" s="595"/>
      <c r="H188" s="574"/>
      <c r="I188" s="574"/>
      <c r="J188" s="574"/>
      <c r="L188" s="89"/>
      <c r="M188" s="89" t="s">
        <v>8574</v>
      </c>
      <c r="N188" s="89"/>
      <c r="O188" s="89"/>
      <c r="P188" s="89"/>
      <c r="Q188" s="89"/>
      <c r="R188" s="89"/>
      <c r="T188" t="str">
        <f t="shared" si="1"/>
        <v/>
      </c>
      <c r="U188" t="str">
        <f t="shared" si="2"/>
        <v/>
      </c>
      <c r="V188" t="str">
        <f t="shared" si="3"/>
        <v/>
      </c>
      <c r="X188" t="s">
        <v>519</v>
      </c>
    </row>
    <row r="189">
      <c r="A189" s="14" t="s">
        <v>286</v>
      </c>
      <c r="B189" s="74">
        <v>51.0</v>
      </c>
      <c r="C189" s="35" t="s">
        <v>476</v>
      </c>
      <c r="D189" s="35" t="s">
        <v>5484</v>
      </c>
      <c r="E189" s="36" t="s">
        <v>7378</v>
      </c>
      <c r="F189" s="563"/>
      <c r="G189" s="595"/>
      <c r="H189" s="574"/>
      <c r="I189" s="574"/>
      <c r="J189" s="574"/>
      <c r="L189" s="89"/>
      <c r="M189" s="89" t="s">
        <v>8583</v>
      </c>
      <c r="N189" s="89"/>
      <c r="O189" s="89"/>
      <c r="P189" s="89"/>
      <c r="Q189" s="89"/>
      <c r="R189" s="89"/>
      <c r="T189" t="str">
        <f t="shared" si="1"/>
        <v/>
      </c>
      <c r="U189" t="str">
        <f t="shared" si="2"/>
        <v/>
      </c>
      <c r="V189" t="str">
        <f t="shared" si="3"/>
        <v/>
      </c>
      <c r="X189" t="s">
        <v>519</v>
      </c>
    </row>
    <row r="190">
      <c r="A190" s="14" t="s">
        <v>286</v>
      </c>
      <c r="B190" s="74">
        <v>52.0</v>
      </c>
      <c r="C190" s="35" t="s">
        <v>163</v>
      </c>
      <c r="D190" s="35" t="s">
        <v>5381</v>
      </c>
      <c r="E190" s="36" t="s">
        <v>7378</v>
      </c>
      <c r="F190" s="563"/>
      <c r="G190" s="595"/>
      <c r="H190" s="574"/>
      <c r="I190" s="574"/>
      <c r="J190" s="574"/>
      <c r="L190" s="89"/>
      <c r="M190" s="89" t="s">
        <v>8587</v>
      </c>
      <c r="N190" s="89"/>
      <c r="O190" s="89"/>
      <c r="P190" s="89"/>
      <c r="Q190" s="89"/>
      <c r="R190" s="89"/>
      <c r="T190" t="str">
        <f t="shared" si="1"/>
        <v/>
      </c>
      <c r="U190" t="str">
        <f t="shared" si="2"/>
        <v/>
      </c>
      <c r="V190" t="str">
        <f t="shared" si="3"/>
        <v/>
      </c>
      <c r="X190" t="s">
        <v>519</v>
      </c>
    </row>
    <row r="191">
      <c r="A191" s="14" t="s">
        <v>286</v>
      </c>
      <c r="B191" s="74">
        <v>53.0</v>
      </c>
      <c r="C191" s="35" t="s">
        <v>1446</v>
      </c>
      <c r="D191" s="35" t="s">
        <v>4892</v>
      </c>
      <c r="E191" s="36" t="s">
        <v>7378</v>
      </c>
      <c r="F191" s="563"/>
      <c r="G191" s="595"/>
      <c r="H191" s="574"/>
      <c r="I191" s="574"/>
      <c r="J191" s="574"/>
      <c r="L191" s="89"/>
      <c r="M191" s="89" t="s">
        <v>8592</v>
      </c>
      <c r="N191" s="89"/>
      <c r="O191" s="89"/>
      <c r="P191" s="89"/>
      <c r="Q191" s="89"/>
      <c r="R191" s="89"/>
      <c r="T191" t="str">
        <f t="shared" si="1"/>
        <v/>
      </c>
      <c r="U191" t="str">
        <f t="shared" si="2"/>
        <v/>
      </c>
      <c r="V191" t="str">
        <f t="shared" si="3"/>
        <v/>
      </c>
      <c r="X191" t="s">
        <v>519</v>
      </c>
    </row>
    <row r="192">
      <c r="A192" s="14" t="s">
        <v>286</v>
      </c>
      <c r="B192" s="74">
        <v>54.0</v>
      </c>
      <c r="C192" s="35" t="s">
        <v>3636</v>
      </c>
      <c r="D192" s="35" t="s">
        <v>8596</v>
      </c>
      <c r="E192" s="36" t="s">
        <v>7378</v>
      </c>
      <c r="F192" s="563"/>
      <c r="G192" s="595"/>
      <c r="H192" s="574"/>
      <c r="I192" s="574"/>
      <c r="J192" s="574"/>
      <c r="L192" s="89"/>
      <c r="M192" s="89" t="s">
        <v>8597</v>
      </c>
      <c r="N192" s="89"/>
      <c r="O192" s="89"/>
      <c r="P192" s="89"/>
      <c r="Q192" s="89"/>
      <c r="R192" s="89"/>
      <c r="T192" t="str">
        <f t="shared" si="1"/>
        <v/>
      </c>
      <c r="U192" t="str">
        <f t="shared" si="2"/>
        <v/>
      </c>
      <c r="V192" t="str">
        <f t="shared" si="3"/>
        <v/>
      </c>
      <c r="X192" t="s">
        <v>519</v>
      </c>
    </row>
    <row r="193">
      <c r="A193" s="14" t="s">
        <v>286</v>
      </c>
      <c r="B193" s="74">
        <v>55.0</v>
      </c>
      <c r="C193" s="35" t="s">
        <v>2302</v>
      </c>
      <c r="D193" s="35" t="s">
        <v>1208</v>
      </c>
      <c r="E193" s="51" t="s">
        <v>53</v>
      </c>
      <c r="F193" s="567" t="s">
        <v>1479</v>
      </c>
      <c r="G193" s="595"/>
      <c r="H193" s="574"/>
      <c r="I193" s="574"/>
      <c r="J193" s="574"/>
      <c r="L193" s="89"/>
      <c r="M193" s="89" t="s">
        <v>8604</v>
      </c>
      <c r="N193" s="89"/>
      <c r="O193" s="89"/>
      <c r="P193" s="89"/>
      <c r="Q193" s="89"/>
      <c r="R193" s="89"/>
      <c r="T193" s="596" t="str">
        <f t="shared" si="1"/>
        <v>Eric</v>
      </c>
      <c r="U193" t="str">
        <f t="shared" si="2"/>
        <v>Pratt</v>
      </c>
      <c r="V193" t="str">
        <f t="shared" si="3"/>
        <v>sen.eric.pratt@senate.mn</v>
      </c>
      <c r="X193" t="s">
        <v>519</v>
      </c>
    </row>
    <row r="194">
      <c r="A194" s="14" t="s">
        <v>286</v>
      </c>
      <c r="B194" s="74">
        <v>56.0</v>
      </c>
      <c r="C194" s="35" t="s">
        <v>239</v>
      </c>
      <c r="D194" s="35" t="s">
        <v>293</v>
      </c>
      <c r="E194" s="51" t="s">
        <v>53</v>
      </c>
      <c r="F194" s="563"/>
      <c r="G194" s="573" t="s">
        <v>517</v>
      </c>
      <c r="H194" s="574"/>
      <c r="I194" s="574"/>
      <c r="J194" s="574"/>
      <c r="L194" s="89"/>
      <c r="M194" s="89" t="s">
        <v>8608</v>
      </c>
      <c r="N194" s="89"/>
      <c r="O194" s="89"/>
      <c r="P194" s="89"/>
      <c r="Q194" s="89"/>
      <c r="R194" s="89"/>
      <c r="T194" s="596" t="str">
        <f t="shared" si="1"/>
        <v>Dan</v>
      </c>
      <c r="U194" t="str">
        <f t="shared" si="2"/>
        <v>Hall</v>
      </c>
      <c r="V194" t="str">
        <f t="shared" si="3"/>
        <v>sen.dan.hall@senate.mn</v>
      </c>
      <c r="X194" t="s">
        <v>519</v>
      </c>
    </row>
    <row r="195">
      <c r="A195" s="14" t="s">
        <v>286</v>
      </c>
      <c r="B195" s="74">
        <v>57.0</v>
      </c>
      <c r="C195" s="35" t="s">
        <v>997</v>
      </c>
      <c r="D195" s="35" t="s">
        <v>8612</v>
      </c>
      <c r="E195" s="36" t="s">
        <v>7378</v>
      </c>
      <c r="F195" s="563"/>
      <c r="G195" s="595"/>
      <c r="H195" s="574"/>
      <c r="I195" s="574"/>
      <c r="J195" s="574"/>
      <c r="L195" s="89"/>
      <c r="M195" s="89" t="s">
        <v>8613</v>
      </c>
      <c r="N195" s="89"/>
      <c r="O195" s="89"/>
      <c r="P195" s="89"/>
      <c r="Q195" s="89"/>
      <c r="R195" s="89"/>
      <c r="T195" t="str">
        <f t="shared" si="1"/>
        <v/>
      </c>
      <c r="U195" t="str">
        <f t="shared" si="2"/>
        <v/>
      </c>
      <c r="V195" t="str">
        <f t="shared" si="3"/>
        <v/>
      </c>
      <c r="X195" t="s">
        <v>519</v>
      </c>
    </row>
    <row r="196">
      <c r="A196" s="14" t="s">
        <v>286</v>
      </c>
      <c r="B196" s="74">
        <v>58.0</v>
      </c>
      <c r="C196" s="35" t="s">
        <v>163</v>
      </c>
      <c r="D196" s="35" t="s">
        <v>4410</v>
      </c>
      <c r="E196" s="36" t="s">
        <v>7378</v>
      </c>
      <c r="F196" s="563"/>
      <c r="G196" s="595"/>
      <c r="H196" s="574"/>
      <c r="I196" s="574"/>
      <c r="J196" s="574"/>
      <c r="L196" s="89"/>
      <c r="M196" s="89" t="s">
        <v>8617</v>
      </c>
      <c r="N196" s="89"/>
      <c r="O196" s="89"/>
      <c r="P196" s="89"/>
      <c r="Q196" s="89"/>
      <c r="R196" s="89"/>
      <c r="T196" t="str">
        <f t="shared" si="1"/>
        <v/>
      </c>
      <c r="U196" t="str">
        <f t="shared" si="2"/>
        <v/>
      </c>
      <c r="V196" t="str">
        <f t="shared" si="3"/>
        <v/>
      </c>
      <c r="X196" t="s">
        <v>519</v>
      </c>
    </row>
    <row r="197">
      <c r="A197" s="14" t="s">
        <v>286</v>
      </c>
      <c r="B197" s="74">
        <v>59.0</v>
      </c>
      <c r="C197" s="35" t="s">
        <v>1019</v>
      </c>
      <c r="D197" s="35" t="s">
        <v>8619</v>
      </c>
      <c r="E197" s="36" t="s">
        <v>7378</v>
      </c>
      <c r="F197" s="563"/>
      <c r="G197" s="595"/>
      <c r="H197" s="574"/>
      <c r="I197" s="574"/>
      <c r="J197" s="574"/>
      <c r="L197" s="89"/>
      <c r="M197" s="89" t="s">
        <v>8620</v>
      </c>
      <c r="N197" s="89"/>
      <c r="O197" s="89"/>
      <c r="P197" s="89"/>
      <c r="Q197" s="89"/>
      <c r="R197" s="89"/>
      <c r="T197" t="str">
        <f t="shared" si="1"/>
        <v/>
      </c>
      <c r="U197" t="str">
        <f t="shared" si="2"/>
        <v/>
      </c>
      <c r="V197" t="str">
        <f t="shared" si="3"/>
        <v/>
      </c>
      <c r="X197" t="s">
        <v>519</v>
      </c>
    </row>
    <row r="198">
      <c r="A198" s="14" t="s">
        <v>286</v>
      </c>
      <c r="B198" s="74">
        <v>60.0</v>
      </c>
      <c r="C198" s="35" t="s">
        <v>8626</v>
      </c>
      <c r="D198" s="35" t="s">
        <v>8627</v>
      </c>
      <c r="E198" s="36" t="s">
        <v>7378</v>
      </c>
      <c r="F198" s="563"/>
      <c r="G198" s="602"/>
      <c r="H198" s="574"/>
      <c r="I198" s="574"/>
      <c r="J198" s="574"/>
      <c r="L198" s="89"/>
      <c r="M198" s="89" t="s">
        <v>8628</v>
      </c>
      <c r="N198" s="89"/>
      <c r="O198" s="89"/>
      <c r="P198" s="89"/>
      <c r="Q198" s="89"/>
      <c r="R198" s="89"/>
      <c r="T198" t="str">
        <f t="shared" si="1"/>
        <v/>
      </c>
      <c r="U198" t="str">
        <f t="shared" si="2"/>
        <v/>
      </c>
      <c r="V198" t="str">
        <f t="shared" si="3"/>
        <v/>
      </c>
      <c r="X198" t="s">
        <v>519</v>
      </c>
    </row>
    <row r="199">
      <c r="A199" s="14" t="s">
        <v>286</v>
      </c>
      <c r="B199" s="74">
        <v>61.0</v>
      </c>
      <c r="C199" s="35" t="s">
        <v>45</v>
      </c>
      <c r="D199" s="35" t="s">
        <v>8633</v>
      </c>
      <c r="E199" s="36" t="s">
        <v>7378</v>
      </c>
      <c r="F199" s="563"/>
      <c r="G199" s="595"/>
      <c r="H199" s="574"/>
      <c r="I199" s="574"/>
      <c r="J199" s="574"/>
      <c r="L199" s="89"/>
      <c r="M199" s="89" t="s">
        <v>8636</v>
      </c>
      <c r="N199" s="89"/>
      <c r="O199" s="89"/>
      <c r="P199" s="89"/>
      <c r="Q199" s="89"/>
      <c r="R199" s="89"/>
      <c r="T199" t="str">
        <f t="shared" si="1"/>
        <v/>
      </c>
      <c r="U199" t="str">
        <f t="shared" si="2"/>
        <v/>
      </c>
      <c r="V199" t="str">
        <f t="shared" si="3"/>
        <v/>
      </c>
      <c r="X199" t="s">
        <v>519</v>
      </c>
    </row>
    <row r="200">
      <c r="A200" s="14" t="s">
        <v>286</v>
      </c>
      <c r="B200" s="74">
        <v>62.0</v>
      </c>
      <c r="C200" s="35" t="s">
        <v>683</v>
      </c>
      <c r="D200" s="35" t="s">
        <v>8638</v>
      </c>
      <c r="E200" s="36" t="s">
        <v>7378</v>
      </c>
      <c r="F200" s="563"/>
      <c r="G200" s="602"/>
      <c r="H200" s="574"/>
      <c r="I200" s="574"/>
      <c r="J200" s="574"/>
      <c r="L200" s="89"/>
      <c r="M200" s="89" t="s">
        <v>8639</v>
      </c>
      <c r="N200" s="89"/>
      <c r="O200" s="89"/>
      <c r="P200" s="89"/>
      <c r="Q200" s="89"/>
      <c r="R200" s="89"/>
      <c r="T200" t="str">
        <f t="shared" si="1"/>
        <v/>
      </c>
      <c r="U200" t="str">
        <f t="shared" si="2"/>
        <v/>
      </c>
      <c r="V200" t="str">
        <f t="shared" si="3"/>
        <v/>
      </c>
      <c r="X200" t="s">
        <v>519</v>
      </c>
    </row>
    <row r="201">
      <c r="A201" s="14" t="s">
        <v>286</v>
      </c>
      <c r="B201" s="74">
        <v>63.0</v>
      </c>
      <c r="C201" s="35" t="s">
        <v>2249</v>
      </c>
      <c r="D201" s="38" t="s">
        <v>8643</v>
      </c>
      <c r="E201" s="36" t="s">
        <v>7378</v>
      </c>
      <c r="F201" s="563"/>
      <c r="G201" s="595"/>
      <c r="H201" s="574"/>
      <c r="I201" s="574"/>
      <c r="J201" s="574"/>
      <c r="L201" s="89"/>
      <c r="M201" s="89" t="s">
        <v>8644</v>
      </c>
      <c r="N201" s="89"/>
      <c r="O201" s="89"/>
      <c r="P201" s="89"/>
      <c r="Q201" s="89"/>
      <c r="R201" s="89"/>
      <c r="T201" t="str">
        <f t="shared" si="1"/>
        <v/>
      </c>
      <c r="U201" t="str">
        <f t="shared" si="2"/>
        <v/>
      </c>
      <c r="V201" t="str">
        <f t="shared" si="3"/>
        <v/>
      </c>
      <c r="X201" t="s">
        <v>519</v>
      </c>
    </row>
    <row r="202">
      <c r="A202" s="14" t="s">
        <v>286</v>
      </c>
      <c r="B202" s="74">
        <v>64.0</v>
      </c>
      <c r="C202" s="35" t="s">
        <v>4711</v>
      </c>
      <c r="D202" s="35" t="s">
        <v>2878</v>
      </c>
      <c r="E202" s="36" t="s">
        <v>7378</v>
      </c>
      <c r="F202" s="563"/>
      <c r="G202" s="595"/>
      <c r="H202" s="574"/>
      <c r="I202" s="574"/>
      <c r="J202" s="574"/>
      <c r="L202" s="89"/>
      <c r="M202" s="89" t="s">
        <v>8648</v>
      </c>
      <c r="N202" s="89"/>
      <c r="O202" s="89"/>
      <c r="P202" s="89"/>
      <c r="Q202" s="89"/>
      <c r="R202" s="89"/>
      <c r="T202" t="str">
        <f t="shared" si="1"/>
        <v/>
      </c>
      <c r="U202" t="str">
        <f t="shared" si="2"/>
        <v/>
      </c>
      <c r="V202" t="str">
        <f t="shared" si="3"/>
        <v/>
      </c>
      <c r="X202" t="s">
        <v>519</v>
      </c>
    </row>
    <row r="203">
      <c r="A203" s="14" t="s">
        <v>286</v>
      </c>
      <c r="B203" s="74">
        <v>65.0</v>
      </c>
      <c r="C203" s="35" t="s">
        <v>5229</v>
      </c>
      <c r="D203" s="35" t="s">
        <v>8654</v>
      </c>
      <c r="E203" s="36" t="s">
        <v>7378</v>
      </c>
      <c r="F203" s="563"/>
      <c r="G203" s="595"/>
      <c r="H203" s="574"/>
      <c r="I203" s="574"/>
      <c r="J203" s="574"/>
      <c r="L203" s="89"/>
      <c r="M203" s="89" t="s">
        <v>8655</v>
      </c>
      <c r="N203" s="89"/>
      <c r="O203" s="89"/>
      <c r="P203" s="89"/>
      <c r="Q203" s="89"/>
      <c r="R203" s="89"/>
      <c r="T203" t="str">
        <f t="shared" si="1"/>
        <v/>
      </c>
      <c r="U203" t="str">
        <f t="shared" si="2"/>
        <v/>
      </c>
      <c r="V203" t="str">
        <f t="shared" si="3"/>
        <v/>
      </c>
      <c r="X203" t="s">
        <v>519</v>
      </c>
    </row>
    <row r="204">
      <c r="A204" s="14" t="s">
        <v>286</v>
      </c>
      <c r="B204" s="74">
        <v>66.0</v>
      </c>
      <c r="C204" s="35" t="s">
        <v>278</v>
      </c>
      <c r="D204" s="35" t="s">
        <v>4242</v>
      </c>
      <c r="E204" s="36" t="s">
        <v>7378</v>
      </c>
      <c r="F204" s="563"/>
      <c r="G204" s="595"/>
      <c r="H204" s="574"/>
      <c r="I204" s="574"/>
      <c r="J204" s="574"/>
      <c r="L204" s="89"/>
      <c r="M204" s="89" t="s">
        <v>8658</v>
      </c>
      <c r="N204" s="89"/>
      <c r="O204" s="89"/>
      <c r="P204" s="89"/>
      <c r="Q204" s="89"/>
      <c r="R204" s="89"/>
      <c r="T204" t="str">
        <f t="shared" si="1"/>
        <v/>
      </c>
      <c r="U204" t="str">
        <f t="shared" si="2"/>
        <v/>
      </c>
      <c r="V204" t="str">
        <f t="shared" si="3"/>
        <v/>
      </c>
      <c r="X204" t="s">
        <v>519</v>
      </c>
    </row>
    <row r="205">
      <c r="A205" s="14" t="s">
        <v>286</v>
      </c>
      <c r="B205" s="74">
        <v>67.0</v>
      </c>
      <c r="C205" s="35" t="s">
        <v>8659</v>
      </c>
      <c r="D205" s="35" t="s">
        <v>8660</v>
      </c>
      <c r="E205" s="36" t="s">
        <v>7378</v>
      </c>
      <c r="F205" s="563"/>
      <c r="G205" s="595"/>
      <c r="H205" s="574"/>
      <c r="I205" s="574"/>
      <c r="J205" s="574"/>
      <c r="L205" s="89"/>
      <c r="M205" s="89" t="s">
        <v>8661</v>
      </c>
      <c r="N205" s="89"/>
      <c r="O205" s="89"/>
      <c r="P205" s="89"/>
      <c r="Q205" s="89"/>
      <c r="R205" s="89"/>
      <c r="T205" t="str">
        <f t="shared" si="1"/>
        <v/>
      </c>
      <c r="U205" t="str">
        <f t="shared" si="2"/>
        <v/>
      </c>
      <c r="V205" t="str">
        <f t="shared" si="3"/>
        <v/>
      </c>
      <c r="X205" t="s">
        <v>519</v>
      </c>
    </row>
    <row r="206">
      <c r="A206" s="70"/>
      <c r="B206" s="71"/>
      <c r="C206" s="71"/>
      <c r="D206" s="71"/>
      <c r="E206" s="70"/>
      <c r="F206" s="417"/>
      <c r="G206" s="593"/>
      <c r="H206" s="594"/>
      <c r="I206" s="594"/>
      <c r="J206" s="594"/>
      <c r="K206" s="70"/>
      <c r="L206" s="70"/>
      <c r="M206" s="70"/>
      <c r="N206" s="70"/>
      <c r="O206" s="70"/>
      <c r="P206" s="70"/>
      <c r="Q206" s="70"/>
      <c r="R206" s="70"/>
      <c r="S206" s="70"/>
      <c r="T206" s="70"/>
      <c r="U206" s="70"/>
      <c r="V206" s="70"/>
      <c r="W206" s="70"/>
      <c r="X206" s="70"/>
      <c r="Y206" s="70"/>
      <c r="Z206" s="70"/>
      <c r="AA206" s="70"/>
      <c r="AB206" s="70"/>
      <c r="AC206" s="70"/>
      <c r="AD206" s="70"/>
    </row>
    <row r="207">
      <c r="A207" s="14" t="s">
        <v>421</v>
      </c>
      <c r="B207" s="139"/>
      <c r="C207" s="77" t="s">
        <v>225</v>
      </c>
      <c r="D207" s="77" t="s">
        <v>8665</v>
      </c>
      <c r="E207" s="36" t="s">
        <v>7378</v>
      </c>
      <c r="F207" s="426"/>
      <c r="G207" s="578"/>
      <c r="H207" s="574"/>
      <c r="I207" s="574"/>
      <c r="J207" s="574"/>
      <c r="L207" s="89"/>
      <c r="M207" s="89"/>
      <c r="N207" s="89"/>
      <c r="O207" s="89"/>
      <c r="P207" s="89"/>
      <c r="Q207" s="89"/>
      <c r="R207" s="89"/>
    </row>
    <row r="208">
      <c r="A208" s="70"/>
      <c r="B208" s="71"/>
      <c r="C208" s="71"/>
      <c r="D208" s="71"/>
      <c r="E208" s="157"/>
      <c r="F208" s="417"/>
      <c r="G208" s="593"/>
      <c r="H208" s="594"/>
      <c r="I208" s="594"/>
      <c r="J208" s="594"/>
      <c r="K208" s="70"/>
      <c r="L208" s="70"/>
      <c r="M208" s="70"/>
      <c r="N208" s="70"/>
      <c r="O208" s="70"/>
      <c r="P208" s="70"/>
      <c r="Q208" s="70"/>
      <c r="R208" s="70"/>
      <c r="S208" s="70"/>
      <c r="T208" s="70"/>
      <c r="U208" s="70"/>
      <c r="V208" s="70"/>
      <c r="W208" s="70"/>
      <c r="X208" s="70"/>
      <c r="Y208" s="70"/>
      <c r="Z208" s="70"/>
      <c r="AA208" s="70"/>
      <c r="AB208" s="70"/>
      <c r="AC208" s="70"/>
      <c r="AD208" s="70"/>
    </row>
    <row r="209">
      <c r="A209" s="14" t="s">
        <v>427</v>
      </c>
      <c r="B209" s="77">
        <v>1.0</v>
      </c>
      <c r="C209" s="77" t="s">
        <v>476</v>
      </c>
      <c r="D209" s="77" t="s">
        <v>8666</v>
      </c>
      <c r="E209" s="156" t="s">
        <v>53</v>
      </c>
      <c r="F209" s="426"/>
      <c r="G209" s="578"/>
      <c r="H209" s="574"/>
      <c r="I209" s="574"/>
      <c r="J209" s="574"/>
      <c r="L209" s="89"/>
      <c r="M209" s="89"/>
      <c r="N209" s="89"/>
      <c r="O209" s="89"/>
      <c r="P209" s="89"/>
      <c r="Q209" s="89"/>
      <c r="R209" s="89"/>
    </row>
    <row r="210">
      <c r="A210" s="14" t="s">
        <v>427</v>
      </c>
      <c r="B210" s="77">
        <v>2.0</v>
      </c>
      <c r="C210" s="77" t="s">
        <v>5291</v>
      </c>
      <c r="D210" s="77" t="s">
        <v>373</v>
      </c>
      <c r="E210" s="100" t="s">
        <v>49</v>
      </c>
      <c r="F210" s="426"/>
      <c r="G210" s="578"/>
      <c r="H210" s="574"/>
      <c r="I210" s="574"/>
      <c r="J210" s="574"/>
      <c r="L210" s="89"/>
      <c r="M210" s="89"/>
      <c r="N210" s="89"/>
      <c r="O210" s="89"/>
      <c r="P210" s="89"/>
      <c r="Q210" s="89"/>
      <c r="R210" s="89"/>
    </row>
    <row r="211">
      <c r="A211" s="14" t="s">
        <v>427</v>
      </c>
      <c r="B211" s="77">
        <v>3.0</v>
      </c>
      <c r="C211" s="77" t="s">
        <v>4340</v>
      </c>
      <c r="D211" s="77" t="s">
        <v>5085</v>
      </c>
      <c r="E211" s="100" t="s">
        <v>49</v>
      </c>
      <c r="F211" s="426"/>
      <c r="G211" s="578"/>
      <c r="H211" s="574"/>
      <c r="I211" s="574"/>
      <c r="J211" s="574"/>
      <c r="L211" s="89"/>
      <c r="M211" s="89"/>
      <c r="N211" s="89"/>
      <c r="O211" s="89"/>
      <c r="P211" s="89"/>
      <c r="Q211" s="89"/>
      <c r="R211" s="89"/>
    </row>
    <row r="212">
      <c r="A212" s="14" t="s">
        <v>427</v>
      </c>
      <c r="B212" s="77">
        <v>4.0</v>
      </c>
      <c r="C212" s="77" t="s">
        <v>3369</v>
      </c>
      <c r="D212" s="77" t="s">
        <v>1765</v>
      </c>
      <c r="E212" s="100" t="s">
        <v>49</v>
      </c>
      <c r="F212" s="426"/>
      <c r="G212" s="578"/>
      <c r="H212" s="574"/>
      <c r="I212" s="574"/>
      <c r="J212" s="574"/>
      <c r="L212" s="89"/>
      <c r="M212" s="89"/>
      <c r="N212" s="89"/>
      <c r="O212" s="89"/>
      <c r="P212" s="89"/>
      <c r="Q212" s="89"/>
      <c r="R212" s="89"/>
    </row>
    <row r="213">
      <c r="A213" s="14" t="s">
        <v>427</v>
      </c>
      <c r="B213" s="77">
        <v>5.0</v>
      </c>
      <c r="C213" s="77" t="s">
        <v>8670</v>
      </c>
      <c r="D213" s="77" t="s">
        <v>4494</v>
      </c>
      <c r="E213" s="100" t="s">
        <v>49</v>
      </c>
      <c r="F213" s="426"/>
      <c r="G213" s="578"/>
      <c r="H213" s="574"/>
      <c r="I213" s="574"/>
      <c r="J213" s="574"/>
      <c r="L213" s="89"/>
      <c r="M213" s="89"/>
      <c r="N213" s="89"/>
      <c r="O213" s="89"/>
      <c r="P213" s="89"/>
      <c r="Q213" s="89"/>
      <c r="R213" s="89"/>
    </row>
    <row r="214">
      <c r="A214" s="14" t="s">
        <v>427</v>
      </c>
      <c r="B214" s="77">
        <v>6.0</v>
      </c>
      <c r="C214" s="77" t="s">
        <v>338</v>
      </c>
      <c r="D214" s="77" t="s">
        <v>8671</v>
      </c>
      <c r="E214" s="98" t="s">
        <v>53</v>
      </c>
      <c r="F214" s="426"/>
      <c r="G214" s="578"/>
      <c r="H214" s="574"/>
      <c r="I214" s="574"/>
      <c r="J214" s="574"/>
      <c r="L214" s="89"/>
      <c r="M214" s="89"/>
      <c r="N214" s="89"/>
      <c r="O214" s="89"/>
      <c r="P214" s="89"/>
      <c r="Q214" s="89"/>
      <c r="R214" s="89"/>
    </row>
    <row r="215">
      <c r="A215" s="14" t="s">
        <v>427</v>
      </c>
      <c r="B215" s="77">
        <v>7.0</v>
      </c>
      <c r="C215" s="77" t="s">
        <v>8672</v>
      </c>
      <c r="D215" s="77" t="s">
        <v>6554</v>
      </c>
      <c r="E215" s="100" t="s">
        <v>49</v>
      </c>
      <c r="F215" s="426"/>
      <c r="G215" s="578"/>
      <c r="H215" s="574"/>
      <c r="I215" s="574"/>
      <c r="J215" s="574"/>
      <c r="L215" s="89"/>
      <c r="M215" s="89"/>
      <c r="N215" s="89"/>
      <c r="O215" s="89"/>
      <c r="P215" s="89"/>
      <c r="Q215" s="89"/>
      <c r="R215" s="89"/>
    </row>
    <row r="216">
      <c r="A216" s="14" t="s">
        <v>427</v>
      </c>
      <c r="B216" s="77">
        <v>8.0</v>
      </c>
      <c r="C216" s="77" t="s">
        <v>288</v>
      </c>
      <c r="D216" s="77" t="s">
        <v>8673</v>
      </c>
      <c r="E216" s="98" t="s">
        <v>53</v>
      </c>
      <c r="F216" s="426"/>
      <c r="G216" s="578"/>
      <c r="H216" s="574"/>
      <c r="I216" s="574"/>
      <c r="J216" s="574"/>
      <c r="L216" s="89"/>
      <c r="M216" s="89"/>
      <c r="N216" s="89"/>
      <c r="O216" s="89"/>
      <c r="P216" s="89"/>
      <c r="Q216" s="89"/>
      <c r="R216" s="89"/>
    </row>
    <row r="217">
      <c r="A217" s="70"/>
      <c r="B217" s="71"/>
      <c r="C217" s="71"/>
      <c r="D217" s="71"/>
      <c r="E217" s="70"/>
      <c r="F217" s="417"/>
      <c r="G217" s="593"/>
      <c r="H217" s="594"/>
      <c r="I217" s="594"/>
      <c r="J217" s="594"/>
      <c r="K217" s="70"/>
      <c r="L217" s="70"/>
      <c r="M217" s="70"/>
      <c r="N217" s="70"/>
      <c r="O217" s="70"/>
      <c r="P217" s="70"/>
      <c r="Q217" s="70"/>
      <c r="R217" s="70"/>
      <c r="S217" s="70"/>
      <c r="T217" s="70"/>
      <c r="U217" s="70"/>
      <c r="V217" s="70"/>
      <c r="W217" s="70"/>
      <c r="X217" s="70"/>
      <c r="Y217" s="70"/>
      <c r="Z217" s="70"/>
      <c r="AA217" s="70"/>
      <c r="AB217" s="70"/>
      <c r="AC217" s="70"/>
      <c r="AD217" s="70"/>
    </row>
    <row r="218">
      <c r="A218" s="14" t="s">
        <v>430</v>
      </c>
      <c r="B218" s="77" t="s">
        <v>431</v>
      </c>
      <c r="C218" s="77" t="s">
        <v>2969</v>
      </c>
      <c r="D218" s="77" t="s">
        <v>8679</v>
      </c>
      <c r="E218" s="100" t="s">
        <v>49</v>
      </c>
      <c r="F218" s="426"/>
      <c r="G218" s="578"/>
      <c r="H218" s="574"/>
      <c r="I218" s="574"/>
      <c r="J218" s="574"/>
      <c r="L218" s="89"/>
      <c r="M218" s="89"/>
      <c r="N218" s="89"/>
      <c r="O218" s="89"/>
      <c r="P218" s="89"/>
      <c r="Q218" s="89"/>
      <c r="R218" s="89"/>
    </row>
    <row r="219">
      <c r="A219" s="14" t="s">
        <v>430</v>
      </c>
      <c r="B219" s="77" t="s">
        <v>434</v>
      </c>
      <c r="C219" s="77" t="s">
        <v>3053</v>
      </c>
      <c r="D219" s="77" t="s">
        <v>1451</v>
      </c>
      <c r="E219" s="100" t="s">
        <v>49</v>
      </c>
      <c r="F219" s="426"/>
      <c r="G219" s="578"/>
      <c r="H219" s="574"/>
      <c r="I219" s="574"/>
      <c r="J219" s="574"/>
      <c r="L219" s="89"/>
      <c r="M219" s="89"/>
      <c r="N219" s="89"/>
      <c r="O219" s="89"/>
      <c r="P219" s="89"/>
      <c r="Q219" s="89"/>
      <c r="R219" s="89"/>
    </row>
    <row r="220">
      <c r="A220" s="70"/>
      <c r="B220" s="71"/>
      <c r="C220" s="71"/>
      <c r="D220" s="71"/>
      <c r="E220" s="70"/>
      <c r="F220" s="417"/>
      <c r="G220" s="593"/>
      <c r="H220" s="594"/>
      <c r="I220" s="594"/>
      <c r="J220" s="594"/>
      <c r="K220" s="70"/>
      <c r="L220" s="70"/>
      <c r="M220" s="70"/>
      <c r="N220" s="70"/>
      <c r="O220" s="70"/>
      <c r="P220" s="70"/>
      <c r="Q220" s="70"/>
      <c r="R220" s="70"/>
      <c r="S220" s="70"/>
      <c r="T220" s="70"/>
      <c r="U220" s="70"/>
      <c r="V220" s="70"/>
      <c r="W220" s="70"/>
      <c r="X220" s="70"/>
      <c r="Y220" s="70"/>
      <c r="Z220" s="70"/>
      <c r="AA220" s="70"/>
      <c r="AB220" s="70"/>
      <c r="AC220" s="70"/>
      <c r="AD220" s="70"/>
    </row>
    <row r="221">
      <c r="A221" s="14" t="s">
        <v>438</v>
      </c>
      <c r="B221" s="139"/>
      <c r="C221" s="77" t="s">
        <v>1617</v>
      </c>
      <c r="D221" s="77" t="s">
        <v>7113</v>
      </c>
      <c r="E221" s="36" t="s">
        <v>7378</v>
      </c>
      <c r="F221" s="426"/>
      <c r="G221" s="578"/>
      <c r="H221" s="574"/>
      <c r="I221" s="574"/>
      <c r="J221" s="574"/>
      <c r="L221" s="89"/>
      <c r="M221" s="89"/>
      <c r="N221" s="89"/>
      <c r="O221" s="89"/>
      <c r="P221" s="89"/>
      <c r="Q221" s="89"/>
      <c r="R221" s="89"/>
    </row>
    <row r="222">
      <c r="A222" s="70"/>
      <c r="B222" s="71"/>
      <c r="C222" s="71"/>
      <c r="D222" s="71"/>
      <c r="E222" s="70"/>
      <c r="F222" s="417"/>
      <c r="G222" s="593"/>
      <c r="H222" s="594"/>
      <c r="I222" s="594"/>
      <c r="J222" s="594"/>
      <c r="K222" s="70"/>
      <c r="L222" s="70"/>
      <c r="M222" s="70"/>
      <c r="N222" s="70"/>
      <c r="O222" s="70"/>
      <c r="P222" s="70"/>
      <c r="Q222" s="70"/>
      <c r="R222" s="70"/>
      <c r="S222" s="70"/>
      <c r="T222" s="70"/>
      <c r="U222" s="70"/>
      <c r="V222" s="70"/>
      <c r="W222" s="70"/>
      <c r="X222" s="70"/>
      <c r="Y222" s="70"/>
      <c r="Z222" s="70"/>
      <c r="AA222" s="70"/>
      <c r="AB222" s="70"/>
      <c r="AC222" s="70"/>
      <c r="AD222" s="70"/>
    </row>
    <row r="223">
      <c r="C223" s="139"/>
      <c r="D223" s="139"/>
      <c r="F223" s="426"/>
      <c r="G223" s="578"/>
      <c r="H223" s="574"/>
      <c r="I223" s="574"/>
      <c r="J223" s="574"/>
    </row>
    <row r="224">
      <c r="C224" s="139"/>
      <c r="D224" s="139"/>
      <c r="F224" s="426"/>
      <c r="G224" s="578"/>
      <c r="H224" s="574"/>
      <c r="I224" s="574"/>
      <c r="J224" s="574"/>
    </row>
    <row r="225">
      <c r="C225" s="139"/>
      <c r="D225" s="139"/>
      <c r="F225" s="426"/>
      <c r="G225" s="578"/>
      <c r="H225" s="574"/>
      <c r="I225" s="574"/>
      <c r="J225" s="574"/>
    </row>
    <row r="226">
      <c r="C226" s="139"/>
      <c r="D226" s="139"/>
      <c r="F226" s="426"/>
      <c r="G226" s="578"/>
      <c r="H226" s="574"/>
      <c r="I226" s="574"/>
      <c r="J226" s="574"/>
    </row>
    <row r="227">
      <c r="C227" s="139"/>
      <c r="D227" s="139"/>
      <c r="F227" s="426"/>
      <c r="G227" s="578"/>
      <c r="H227" s="574"/>
      <c r="I227" s="574"/>
      <c r="J227" s="574"/>
    </row>
    <row r="228">
      <c r="C228" s="139"/>
      <c r="D228" s="139"/>
      <c r="F228" s="426"/>
      <c r="G228" s="578"/>
      <c r="H228" s="574"/>
      <c r="I228" s="574"/>
      <c r="J228" s="574"/>
    </row>
    <row r="229">
      <c r="C229" s="139"/>
      <c r="D229" s="139"/>
      <c r="F229" s="426"/>
      <c r="G229" s="578"/>
      <c r="H229" s="574"/>
      <c r="I229" s="574"/>
      <c r="J229" s="574"/>
    </row>
    <row r="230">
      <c r="C230" s="139"/>
      <c r="D230" s="139"/>
      <c r="F230" s="426"/>
      <c r="G230" s="578"/>
      <c r="H230" s="574"/>
      <c r="I230" s="574"/>
      <c r="J230" s="574"/>
    </row>
    <row r="231">
      <c r="C231" s="139"/>
      <c r="D231" s="139"/>
      <c r="F231" s="426"/>
      <c r="G231" s="578"/>
      <c r="H231" s="574"/>
      <c r="I231" s="574"/>
      <c r="J231" s="574"/>
    </row>
    <row r="232">
      <c r="C232" s="139"/>
      <c r="D232" s="139"/>
      <c r="F232" s="426"/>
      <c r="G232" s="578"/>
      <c r="H232" s="574"/>
      <c r="I232" s="574"/>
      <c r="J232" s="574"/>
    </row>
    <row r="233">
      <c r="C233" s="139"/>
      <c r="D233" s="139"/>
      <c r="F233" s="426"/>
      <c r="G233" s="578"/>
      <c r="H233" s="574"/>
      <c r="I233" s="574"/>
      <c r="J233" s="574"/>
    </row>
    <row r="234">
      <c r="C234" s="139"/>
      <c r="D234" s="139"/>
      <c r="F234" s="426"/>
      <c r="G234" s="578"/>
      <c r="H234" s="574"/>
      <c r="I234" s="574"/>
      <c r="J234" s="574"/>
    </row>
    <row r="235">
      <c r="C235" s="139"/>
      <c r="D235" s="139"/>
      <c r="F235" s="426"/>
      <c r="G235" s="578"/>
      <c r="H235" s="574"/>
      <c r="I235" s="574"/>
      <c r="J235" s="574"/>
    </row>
    <row r="236">
      <c r="C236" s="139"/>
      <c r="D236" s="139"/>
      <c r="F236" s="426"/>
      <c r="G236" s="578"/>
      <c r="H236" s="574"/>
      <c r="I236" s="574"/>
      <c r="J236" s="574"/>
    </row>
    <row r="237">
      <c r="C237" s="139"/>
      <c r="D237" s="139"/>
      <c r="F237" s="426"/>
      <c r="G237" s="578"/>
      <c r="H237" s="574"/>
      <c r="I237" s="574"/>
      <c r="J237" s="574"/>
    </row>
    <row r="238">
      <c r="C238" s="139"/>
      <c r="D238" s="139"/>
      <c r="F238" s="426"/>
      <c r="G238" s="578"/>
      <c r="H238" s="574"/>
      <c r="I238" s="574"/>
      <c r="J238" s="574"/>
    </row>
    <row r="239">
      <c r="C239" s="139"/>
      <c r="D239" s="139"/>
      <c r="F239" s="426"/>
      <c r="G239" s="578"/>
      <c r="H239" s="574"/>
      <c r="I239" s="574"/>
      <c r="J239" s="574"/>
    </row>
    <row r="240">
      <c r="C240" s="139"/>
      <c r="D240" s="139"/>
      <c r="F240" s="426"/>
      <c r="G240" s="578"/>
      <c r="H240" s="574"/>
      <c r="I240" s="574"/>
      <c r="J240" s="574"/>
    </row>
    <row r="241">
      <c r="C241" s="139"/>
      <c r="D241" s="139"/>
      <c r="F241" s="426"/>
      <c r="G241" s="578"/>
      <c r="H241" s="574"/>
      <c r="I241" s="574"/>
      <c r="J241" s="574"/>
    </row>
    <row r="242">
      <c r="C242" s="139"/>
      <c r="D242" s="139"/>
      <c r="F242" s="426"/>
      <c r="G242" s="578"/>
      <c r="H242" s="574"/>
      <c r="I242" s="574"/>
      <c r="J242" s="574"/>
    </row>
    <row r="243">
      <c r="C243" s="139"/>
      <c r="D243" s="139"/>
      <c r="F243" s="426"/>
      <c r="G243" s="578"/>
      <c r="H243" s="574"/>
      <c r="I243" s="574"/>
      <c r="J243" s="574"/>
    </row>
    <row r="244">
      <c r="C244" s="139"/>
      <c r="D244" s="139"/>
      <c r="F244" s="426"/>
      <c r="G244" s="578"/>
      <c r="H244" s="574"/>
      <c r="I244" s="574"/>
      <c r="J244" s="574"/>
    </row>
    <row r="245">
      <c r="C245" s="139"/>
      <c r="D245" s="139"/>
      <c r="F245" s="426"/>
      <c r="G245" s="578"/>
      <c r="H245" s="574"/>
      <c r="I245" s="574"/>
      <c r="J245" s="574"/>
    </row>
    <row r="246">
      <c r="C246" s="139"/>
      <c r="D246" s="139"/>
      <c r="F246" s="426"/>
      <c r="G246" s="578"/>
      <c r="H246" s="574"/>
      <c r="I246" s="574"/>
      <c r="J246" s="574"/>
    </row>
    <row r="247">
      <c r="C247" s="139"/>
      <c r="D247" s="139"/>
      <c r="F247" s="426"/>
      <c r="G247" s="578"/>
      <c r="H247" s="574"/>
      <c r="I247" s="574"/>
      <c r="J247" s="574"/>
    </row>
    <row r="248">
      <c r="C248" s="139"/>
      <c r="D248" s="139"/>
      <c r="F248" s="426"/>
      <c r="G248" s="578"/>
      <c r="H248" s="574"/>
      <c r="I248" s="574"/>
      <c r="J248" s="574"/>
    </row>
    <row r="249">
      <c r="C249" s="139"/>
      <c r="D249" s="139"/>
      <c r="F249" s="426"/>
      <c r="G249" s="578"/>
      <c r="H249" s="574"/>
      <c r="I249" s="574"/>
      <c r="J249" s="574"/>
    </row>
    <row r="250">
      <c r="C250" s="139"/>
      <c r="D250" s="139"/>
      <c r="F250" s="426"/>
      <c r="G250" s="578"/>
      <c r="H250" s="574"/>
      <c r="I250" s="574"/>
      <c r="J250" s="574"/>
    </row>
    <row r="251">
      <c r="C251" s="139"/>
      <c r="D251" s="139"/>
      <c r="F251" s="426"/>
      <c r="G251" s="578"/>
      <c r="H251" s="574"/>
      <c r="I251" s="574"/>
      <c r="J251" s="574"/>
    </row>
    <row r="252">
      <c r="C252" s="139"/>
      <c r="D252" s="139"/>
      <c r="F252" s="426"/>
      <c r="G252" s="578"/>
      <c r="H252" s="574"/>
      <c r="I252" s="574"/>
      <c r="J252" s="574"/>
    </row>
    <row r="253">
      <c r="C253" s="139"/>
      <c r="D253" s="139"/>
      <c r="F253" s="426"/>
      <c r="G253" s="578"/>
      <c r="H253" s="574"/>
      <c r="I253" s="574"/>
      <c r="J253" s="574"/>
    </row>
    <row r="254">
      <c r="C254" s="139"/>
      <c r="D254" s="139"/>
      <c r="F254" s="426"/>
      <c r="G254" s="578"/>
      <c r="H254" s="574"/>
      <c r="I254" s="574"/>
      <c r="J254" s="574"/>
    </row>
    <row r="255">
      <c r="C255" s="139"/>
      <c r="D255" s="139"/>
      <c r="F255" s="426"/>
      <c r="G255" s="578"/>
      <c r="H255" s="574"/>
      <c r="I255" s="574"/>
      <c r="J255" s="574"/>
    </row>
    <row r="256">
      <c r="C256" s="139"/>
      <c r="D256" s="139"/>
      <c r="F256" s="426"/>
      <c r="G256" s="578"/>
      <c r="H256" s="574"/>
      <c r="I256" s="574"/>
      <c r="J256" s="574"/>
    </row>
    <row r="257">
      <c r="C257" s="139"/>
      <c r="D257" s="139"/>
      <c r="F257" s="426"/>
      <c r="G257" s="578"/>
      <c r="H257" s="574"/>
      <c r="I257" s="574"/>
      <c r="J257" s="574"/>
    </row>
    <row r="258">
      <c r="C258" s="139"/>
      <c r="D258" s="139"/>
      <c r="F258" s="426"/>
      <c r="G258" s="578"/>
      <c r="H258" s="574"/>
      <c r="I258" s="574"/>
      <c r="J258" s="574"/>
    </row>
    <row r="259">
      <c r="C259" s="139"/>
      <c r="D259" s="139"/>
      <c r="F259" s="426"/>
      <c r="G259" s="578"/>
      <c r="H259" s="574"/>
      <c r="I259" s="574"/>
      <c r="J259" s="574"/>
    </row>
    <row r="260">
      <c r="C260" s="139"/>
      <c r="D260" s="139"/>
      <c r="F260" s="426"/>
      <c r="G260" s="578"/>
      <c r="H260" s="574"/>
      <c r="I260" s="574"/>
      <c r="J260" s="574"/>
    </row>
    <row r="261">
      <c r="C261" s="139"/>
      <c r="D261" s="139"/>
      <c r="F261" s="426"/>
      <c r="G261" s="578"/>
      <c r="H261" s="574"/>
      <c r="I261" s="574"/>
      <c r="J261" s="574"/>
    </row>
    <row r="262">
      <c r="C262" s="139"/>
      <c r="D262" s="139"/>
      <c r="F262" s="426"/>
      <c r="G262" s="578"/>
      <c r="H262" s="574"/>
      <c r="I262" s="574"/>
      <c r="J262" s="574"/>
    </row>
    <row r="263">
      <c r="C263" s="139"/>
      <c r="D263" s="139"/>
      <c r="F263" s="426"/>
      <c r="G263" s="578"/>
      <c r="H263" s="574"/>
      <c r="I263" s="574"/>
      <c r="J263" s="574"/>
    </row>
    <row r="264">
      <c r="C264" s="139"/>
      <c r="D264" s="139"/>
      <c r="F264" s="426"/>
      <c r="G264" s="578"/>
      <c r="H264" s="574"/>
      <c r="I264" s="574"/>
      <c r="J264" s="574"/>
    </row>
    <row r="265">
      <c r="C265" s="139"/>
      <c r="D265" s="139"/>
      <c r="F265" s="426"/>
      <c r="G265" s="578"/>
      <c r="H265" s="574"/>
      <c r="I265" s="574"/>
      <c r="J265" s="574"/>
    </row>
    <row r="266">
      <c r="C266" s="139"/>
      <c r="D266" s="139"/>
      <c r="F266" s="426"/>
      <c r="G266" s="578"/>
      <c r="H266" s="574"/>
      <c r="I266" s="574"/>
      <c r="J266" s="574"/>
    </row>
    <row r="267">
      <c r="C267" s="139"/>
      <c r="D267" s="139"/>
      <c r="F267" s="426"/>
      <c r="G267" s="578"/>
      <c r="H267" s="574"/>
      <c r="I267" s="574"/>
      <c r="J267" s="574"/>
    </row>
    <row r="268">
      <c r="C268" s="139"/>
      <c r="D268" s="139"/>
      <c r="F268" s="426"/>
      <c r="G268" s="578"/>
      <c r="H268" s="574"/>
      <c r="I268" s="574"/>
      <c r="J268" s="574"/>
    </row>
    <row r="269">
      <c r="C269" s="139"/>
      <c r="D269" s="139"/>
      <c r="F269" s="426"/>
      <c r="G269" s="578"/>
      <c r="H269" s="574"/>
      <c r="I269" s="574"/>
      <c r="J269" s="574"/>
    </row>
    <row r="270">
      <c r="C270" s="139"/>
      <c r="D270" s="139"/>
      <c r="F270" s="426"/>
      <c r="G270" s="578"/>
      <c r="H270" s="574"/>
      <c r="I270" s="574"/>
      <c r="J270" s="574"/>
    </row>
    <row r="271">
      <c r="C271" s="139"/>
      <c r="D271" s="139"/>
      <c r="F271" s="426"/>
      <c r="G271" s="578"/>
      <c r="H271" s="574"/>
      <c r="I271" s="574"/>
      <c r="J271" s="574"/>
    </row>
    <row r="272">
      <c r="C272" s="139"/>
      <c r="D272" s="139"/>
      <c r="F272" s="426"/>
      <c r="G272" s="578"/>
      <c r="H272" s="574"/>
      <c r="I272" s="574"/>
      <c r="J272" s="574"/>
    </row>
    <row r="273">
      <c r="C273" s="139"/>
      <c r="D273" s="139"/>
      <c r="F273" s="426"/>
      <c r="G273" s="578"/>
      <c r="H273" s="574"/>
      <c r="I273" s="574"/>
      <c r="J273" s="574"/>
    </row>
    <row r="274">
      <c r="C274" s="139"/>
      <c r="D274" s="139"/>
      <c r="F274" s="426"/>
      <c r="G274" s="578"/>
      <c r="H274" s="574"/>
      <c r="I274" s="574"/>
      <c r="J274" s="574"/>
    </row>
    <row r="275">
      <c r="C275" s="139"/>
      <c r="D275" s="139"/>
      <c r="F275" s="426"/>
      <c r="G275" s="578"/>
      <c r="H275" s="574"/>
      <c r="I275" s="574"/>
      <c r="J275" s="574"/>
    </row>
    <row r="276">
      <c r="C276" s="139"/>
      <c r="D276" s="139"/>
      <c r="F276" s="426"/>
      <c r="G276" s="578"/>
      <c r="H276" s="574"/>
      <c r="I276" s="574"/>
      <c r="J276" s="574"/>
    </row>
    <row r="277">
      <c r="C277" s="139"/>
      <c r="D277" s="139"/>
      <c r="F277" s="426"/>
      <c r="G277" s="578"/>
      <c r="H277" s="574"/>
      <c r="I277" s="574"/>
      <c r="J277" s="574"/>
    </row>
    <row r="278">
      <c r="C278" s="139"/>
      <c r="D278" s="139"/>
      <c r="F278" s="426"/>
      <c r="G278" s="578"/>
      <c r="H278" s="574"/>
      <c r="I278" s="574"/>
      <c r="J278" s="574"/>
    </row>
    <row r="279">
      <c r="C279" s="139"/>
      <c r="D279" s="139"/>
      <c r="F279" s="426"/>
      <c r="G279" s="578"/>
      <c r="H279" s="574"/>
      <c r="I279" s="574"/>
      <c r="J279" s="574"/>
    </row>
    <row r="280">
      <c r="C280" s="139"/>
      <c r="D280" s="139"/>
      <c r="F280" s="426"/>
      <c r="G280" s="578"/>
      <c r="H280" s="574"/>
      <c r="I280" s="574"/>
      <c r="J280" s="574"/>
    </row>
    <row r="281">
      <c r="C281" s="139"/>
      <c r="D281" s="139"/>
      <c r="F281" s="426"/>
      <c r="G281" s="578"/>
      <c r="H281" s="574"/>
      <c r="I281" s="574"/>
      <c r="J281" s="574"/>
    </row>
    <row r="282">
      <c r="C282" s="139"/>
      <c r="D282" s="139"/>
      <c r="F282" s="426"/>
      <c r="G282" s="578"/>
      <c r="H282" s="574"/>
      <c r="I282" s="574"/>
      <c r="J282" s="574"/>
    </row>
    <row r="283">
      <c r="C283" s="139"/>
      <c r="D283" s="139"/>
      <c r="F283" s="426"/>
      <c r="G283" s="578"/>
      <c r="H283" s="574"/>
      <c r="I283" s="574"/>
      <c r="J283" s="574"/>
    </row>
    <row r="284">
      <c r="C284" s="139"/>
      <c r="D284" s="139"/>
      <c r="F284" s="426"/>
      <c r="G284" s="578"/>
      <c r="H284" s="574"/>
      <c r="I284" s="574"/>
      <c r="J284" s="574"/>
    </row>
    <row r="285">
      <c r="C285" s="139"/>
      <c r="D285" s="139"/>
      <c r="F285" s="426"/>
      <c r="G285" s="578"/>
      <c r="H285" s="574"/>
      <c r="I285" s="574"/>
      <c r="J285" s="574"/>
    </row>
    <row r="286">
      <c r="C286" s="139"/>
      <c r="D286" s="139"/>
      <c r="F286" s="426"/>
      <c r="G286" s="578"/>
      <c r="H286" s="574"/>
      <c r="I286" s="574"/>
      <c r="J286" s="574"/>
    </row>
    <row r="287">
      <c r="C287" s="139"/>
      <c r="D287" s="139"/>
      <c r="F287" s="426"/>
      <c r="G287" s="578"/>
      <c r="H287" s="574"/>
      <c r="I287" s="574"/>
      <c r="J287" s="574"/>
    </row>
    <row r="288">
      <c r="C288" s="139"/>
      <c r="D288" s="139"/>
      <c r="F288" s="426"/>
      <c r="G288" s="578"/>
      <c r="H288" s="574"/>
      <c r="I288" s="574"/>
      <c r="J288" s="574"/>
    </row>
    <row r="289">
      <c r="C289" s="139"/>
      <c r="D289" s="139"/>
      <c r="F289" s="426"/>
      <c r="G289" s="578"/>
      <c r="H289" s="574"/>
      <c r="I289" s="574"/>
      <c r="J289" s="574"/>
    </row>
    <row r="290">
      <c r="C290" s="139"/>
      <c r="D290" s="139"/>
      <c r="F290" s="426"/>
      <c r="G290" s="578"/>
      <c r="H290" s="574"/>
      <c r="I290" s="574"/>
      <c r="J290" s="574"/>
    </row>
    <row r="291">
      <c r="C291" s="139"/>
      <c r="D291" s="139"/>
      <c r="F291" s="426"/>
      <c r="G291" s="578"/>
      <c r="H291" s="574"/>
      <c r="I291" s="574"/>
      <c r="J291" s="574"/>
    </row>
    <row r="292">
      <c r="C292" s="139"/>
      <c r="D292" s="139"/>
      <c r="F292" s="426"/>
      <c r="G292" s="578"/>
      <c r="H292" s="574"/>
      <c r="I292" s="574"/>
      <c r="J292" s="574"/>
    </row>
    <row r="293">
      <c r="C293" s="139"/>
      <c r="D293" s="139"/>
      <c r="F293" s="426"/>
      <c r="G293" s="578"/>
      <c r="H293" s="574"/>
      <c r="I293" s="574"/>
      <c r="J293" s="574"/>
    </row>
    <row r="294">
      <c r="C294" s="139"/>
      <c r="D294" s="139"/>
      <c r="F294" s="426"/>
      <c r="G294" s="578"/>
      <c r="H294" s="574"/>
      <c r="I294" s="574"/>
      <c r="J294" s="574"/>
    </row>
    <row r="295">
      <c r="C295" s="139"/>
      <c r="D295" s="139"/>
      <c r="F295" s="426"/>
      <c r="G295" s="578"/>
      <c r="H295" s="574"/>
      <c r="I295" s="574"/>
      <c r="J295" s="574"/>
    </row>
    <row r="296">
      <c r="C296" s="139"/>
      <c r="D296" s="139"/>
      <c r="F296" s="426"/>
      <c r="G296" s="578"/>
      <c r="H296" s="574"/>
      <c r="I296" s="574"/>
      <c r="J296" s="574"/>
    </row>
    <row r="297">
      <c r="C297" s="139"/>
      <c r="D297" s="139"/>
      <c r="F297" s="426"/>
      <c r="G297" s="578"/>
      <c r="H297" s="574"/>
      <c r="I297" s="574"/>
      <c r="J297" s="574"/>
    </row>
    <row r="298">
      <c r="C298" s="139"/>
      <c r="D298" s="139"/>
      <c r="F298" s="426"/>
      <c r="G298" s="578"/>
      <c r="H298" s="574"/>
      <c r="I298" s="574"/>
      <c r="J298" s="574"/>
    </row>
    <row r="299">
      <c r="C299" s="139"/>
      <c r="D299" s="139"/>
      <c r="F299" s="426"/>
      <c r="G299" s="578"/>
      <c r="H299" s="574"/>
      <c r="I299" s="574"/>
      <c r="J299" s="574"/>
    </row>
    <row r="300">
      <c r="C300" s="139"/>
      <c r="D300" s="139"/>
      <c r="F300" s="426"/>
      <c r="G300" s="578"/>
      <c r="H300" s="574"/>
      <c r="I300" s="574"/>
      <c r="J300" s="574"/>
    </row>
    <row r="301">
      <c r="C301" s="139"/>
      <c r="D301" s="139"/>
      <c r="F301" s="426"/>
      <c r="G301" s="578"/>
      <c r="H301" s="574"/>
      <c r="I301" s="574"/>
      <c r="J301" s="574"/>
    </row>
    <row r="302">
      <c r="C302" s="139"/>
      <c r="D302" s="139"/>
      <c r="F302" s="426"/>
      <c r="G302" s="578"/>
      <c r="H302" s="574"/>
      <c r="I302" s="574"/>
      <c r="J302" s="574"/>
    </row>
    <row r="303">
      <c r="C303" s="139"/>
      <c r="D303" s="139"/>
      <c r="F303" s="426"/>
      <c r="G303" s="578"/>
      <c r="H303" s="574"/>
      <c r="I303" s="574"/>
      <c r="J303" s="574"/>
    </row>
    <row r="304">
      <c r="C304" s="139"/>
      <c r="D304" s="139"/>
      <c r="F304" s="426"/>
      <c r="G304" s="578"/>
      <c r="H304" s="574"/>
      <c r="I304" s="574"/>
      <c r="J304" s="574"/>
    </row>
    <row r="305">
      <c r="C305" s="139"/>
      <c r="D305" s="139"/>
      <c r="F305" s="426"/>
      <c r="G305" s="578"/>
      <c r="H305" s="574"/>
      <c r="I305" s="574"/>
      <c r="J305" s="574"/>
    </row>
    <row r="306">
      <c r="C306" s="139"/>
      <c r="D306" s="139"/>
      <c r="F306" s="426"/>
      <c r="G306" s="578"/>
      <c r="H306" s="574"/>
      <c r="I306" s="574"/>
      <c r="J306" s="574"/>
    </row>
    <row r="307">
      <c r="C307" s="139"/>
      <c r="D307" s="139"/>
      <c r="F307" s="426"/>
      <c r="G307" s="578"/>
      <c r="H307" s="574"/>
      <c r="I307" s="574"/>
      <c r="J307" s="574"/>
    </row>
    <row r="308">
      <c r="C308" s="139"/>
      <c r="D308" s="139"/>
      <c r="F308" s="426"/>
      <c r="G308" s="578"/>
      <c r="H308" s="574"/>
      <c r="I308" s="574"/>
      <c r="J308" s="574"/>
    </row>
    <row r="309">
      <c r="C309" s="139"/>
      <c r="D309" s="139"/>
      <c r="F309" s="426"/>
      <c r="G309" s="578"/>
      <c r="H309" s="574"/>
      <c r="I309" s="574"/>
      <c r="J309" s="574"/>
    </row>
    <row r="310">
      <c r="C310" s="139"/>
      <c r="D310" s="139"/>
      <c r="F310" s="426"/>
      <c r="G310" s="578"/>
      <c r="H310" s="574"/>
      <c r="I310" s="574"/>
      <c r="J310" s="574"/>
    </row>
    <row r="311">
      <c r="C311" s="139"/>
      <c r="D311" s="139"/>
      <c r="F311" s="426"/>
      <c r="G311" s="578"/>
      <c r="H311" s="574"/>
      <c r="I311" s="574"/>
      <c r="J311" s="574"/>
    </row>
    <row r="312">
      <c r="C312" s="139"/>
      <c r="D312" s="139"/>
      <c r="F312" s="426"/>
      <c r="G312" s="578"/>
      <c r="H312" s="574"/>
      <c r="I312" s="574"/>
      <c r="J312" s="574"/>
    </row>
    <row r="313">
      <c r="C313" s="139"/>
      <c r="D313" s="139"/>
      <c r="F313" s="426"/>
      <c r="G313" s="578"/>
      <c r="H313" s="574"/>
      <c r="I313" s="574"/>
      <c r="J313" s="574"/>
    </row>
    <row r="314">
      <c r="C314" s="139"/>
      <c r="D314" s="139"/>
      <c r="F314" s="426"/>
      <c r="G314" s="578"/>
      <c r="H314" s="574"/>
      <c r="I314" s="574"/>
      <c r="J314" s="574"/>
    </row>
    <row r="315">
      <c r="C315" s="139"/>
      <c r="D315" s="139"/>
      <c r="F315" s="426"/>
      <c r="G315" s="578"/>
      <c r="H315" s="574"/>
      <c r="I315" s="574"/>
      <c r="J315" s="574"/>
    </row>
    <row r="316">
      <c r="C316" s="139"/>
      <c r="D316" s="139"/>
      <c r="F316" s="426"/>
      <c r="G316" s="578"/>
      <c r="H316" s="574"/>
      <c r="I316" s="574"/>
      <c r="J316" s="574"/>
    </row>
    <row r="317">
      <c r="C317" s="139"/>
      <c r="D317" s="139"/>
      <c r="F317" s="426"/>
      <c r="G317" s="578"/>
      <c r="H317" s="574"/>
      <c r="I317" s="574"/>
      <c r="J317" s="574"/>
    </row>
    <row r="318">
      <c r="C318" s="139"/>
      <c r="D318" s="139"/>
      <c r="F318" s="426"/>
      <c r="G318" s="578"/>
      <c r="H318" s="574"/>
      <c r="I318" s="574"/>
      <c r="J318" s="574"/>
    </row>
    <row r="319">
      <c r="C319" s="139"/>
      <c r="D319" s="139"/>
      <c r="F319" s="426"/>
      <c r="G319" s="578"/>
      <c r="H319" s="574"/>
      <c r="I319" s="574"/>
      <c r="J319" s="574"/>
    </row>
    <row r="320">
      <c r="C320" s="139"/>
      <c r="D320" s="139"/>
      <c r="F320" s="426"/>
      <c r="G320" s="578"/>
      <c r="H320" s="574"/>
      <c r="I320" s="574"/>
      <c r="J320" s="574"/>
    </row>
    <row r="321">
      <c r="C321" s="139"/>
      <c r="D321" s="139"/>
      <c r="F321" s="426"/>
      <c r="G321" s="578"/>
      <c r="H321" s="574"/>
      <c r="I321" s="574"/>
      <c r="J321" s="574"/>
    </row>
    <row r="322">
      <c r="C322" s="139"/>
      <c r="D322" s="139"/>
      <c r="F322" s="426"/>
      <c r="G322" s="578"/>
      <c r="H322" s="574"/>
      <c r="I322" s="574"/>
      <c r="J322" s="574"/>
    </row>
    <row r="323">
      <c r="C323" s="139"/>
      <c r="D323" s="139"/>
      <c r="F323" s="426"/>
      <c r="G323" s="578"/>
      <c r="H323" s="574"/>
      <c r="I323" s="574"/>
      <c r="J323" s="574"/>
    </row>
    <row r="324">
      <c r="C324" s="139"/>
      <c r="D324" s="139"/>
      <c r="F324" s="426"/>
      <c r="G324" s="578"/>
      <c r="H324" s="574"/>
      <c r="I324" s="574"/>
      <c r="J324" s="574"/>
    </row>
    <row r="325">
      <c r="C325" s="139"/>
      <c r="D325" s="139"/>
      <c r="F325" s="426"/>
      <c r="G325" s="578"/>
      <c r="H325" s="574"/>
      <c r="I325" s="574"/>
      <c r="J325" s="574"/>
    </row>
    <row r="326">
      <c r="C326" s="139"/>
      <c r="D326" s="139"/>
      <c r="F326" s="426"/>
      <c r="G326" s="578"/>
      <c r="H326" s="574"/>
      <c r="I326" s="574"/>
      <c r="J326" s="574"/>
    </row>
    <row r="327">
      <c r="C327" s="139"/>
      <c r="D327" s="139"/>
      <c r="F327" s="426"/>
      <c r="G327" s="578"/>
      <c r="H327" s="574"/>
      <c r="I327" s="574"/>
      <c r="J327" s="574"/>
    </row>
    <row r="328">
      <c r="C328" s="139"/>
      <c r="D328" s="139"/>
      <c r="F328" s="426"/>
      <c r="G328" s="578"/>
      <c r="H328" s="574"/>
      <c r="I328" s="574"/>
      <c r="J328" s="574"/>
    </row>
    <row r="329">
      <c r="C329" s="139"/>
      <c r="D329" s="139"/>
      <c r="F329" s="426"/>
      <c r="G329" s="578"/>
      <c r="H329" s="574"/>
      <c r="I329" s="574"/>
      <c r="J329" s="574"/>
    </row>
    <row r="330">
      <c r="C330" s="139"/>
      <c r="D330" s="139"/>
      <c r="F330" s="426"/>
      <c r="G330" s="578"/>
      <c r="H330" s="574"/>
      <c r="I330" s="574"/>
      <c r="J330" s="574"/>
    </row>
    <row r="331">
      <c r="C331" s="139"/>
      <c r="D331" s="139"/>
      <c r="F331" s="426"/>
      <c r="G331" s="578"/>
      <c r="H331" s="574"/>
      <c r="I331" s="574"/>
      <c r="J331" s="574"/>
    </row>
    <row r="332">
      <c r="C332" s="139"/>
      <c r="D332" s="139"/>
      <c r="F332" s="426"/>
      <c r="G332" s="578"/>
      <c r="H332" s="574"/>
      <c r="I332" s="574"/>
      <c r="J332" s="574"/>
    </row>
    <row r="333">
      <c r="C333" s="139"/>
      <c r="D333" s="139"/>
      <c r="F333" s="426"/>
      <c r="G333" s="578"/>
      <c r="H333" s="574"/>
      <c r="I333" s="574"/>
      <c r="J333" s="574"/>
    </row>
    <row r="334">
      <c r="C334" s="139"/>
      <c r="D334" s="139"/>
      <c r="F334" s="426"/>
      <c r="G334" s="578"/>
      <c r="H334" s="574"/>
      <c r="I334" s="574"/>
      <c r="J334" s="574"/>
    </row>
    <row r="335">
      <c r="C335" s="139"/>
      <c r="D335" s="139"/>
      <c r="F335" s="426"/>
      <c r="G335" s="578"/>
      <c r="H335" s="574"/>
      <c r="I335" s="574"/>
      <c r="J335" s="574"/>
    </row>
    <row r="336">
      <c r="C336" s="139"/>
      <c r="D336" s="139"/>
      <c r="F336" s="426"/>
      <c r="G336" s="578"/>
      <c r="H336" s="574"/>
      <c r="I336" s="574"/>
      <c r="J336" s="574"/>
    </row>
    <row r="337">
      <c r="C337" s="139"/>
      <c r="D337" s="139"/>
      <c r="F337" s="426"/>
      <c r="G337" s="578"/>
      <c r="H337" s="574"/>
      <c r="I337" s="574"/>
      <c r="J337" s="574"/>
    </row>
    <row r="338">
      <c r="C338" s="139"/>
      <c r="D338" s="139"/>
      <c r="F338" s="426"/>
      <c r="G338" s="578"/>
      <c r="H338" s="574"/>
      <c r="I338" s="574"/>
      <c r="J338" s="574"/>
    </row>
    <row r="339">
      <c r="C339" s="139"/>
      <c r="D339" s="139"/>
      <c r="F339" s="426"/>
      <c r="G339" s="578"/>
      <c r="H339" s="574"/>
      <c r="I339" s="574"/>
      <c r="J339" s="574"/>
    </row>
    <row r="340">
      <c r="C340" s="139"/>
      <c r="D340" s="139"/>
      <c r="F340" s="426"/>
      <c r="G340" s="578"/>
      <c r="H340" s="574"/>
      <c r="I340" s="574"/>
      <c r="J340" s="574"/>
    </row>
    <row r="341">
      <c r="C341" s="139"/>
      <c r="D341" s="139"/>
      <c r="F341" s="426"/>
      <c r="G341" s="578"/>
      <c r="H341" s="574"/>
      <c r="I341" s="574"/>
      <c r="J341" s="574"/>
    </row>
    <row r="342">
      <c r="C342" s="139"/>
      <c r="D342" s="139"/>
      <c r="F342" s="426"/>
      <c r="G342" s="578"/>
      <c r="H342" s="574"/>
      <c r="I342" s="574"/>
      <c r="J342" s="574"/>
    </row>
    <row r="343">
      <c r="C343" s="139"/>
      <c r="D343" s="139"/>
      <c r="F343" s="426"/>
      <c r="G343" s="578"/>
      <c r="H343" s="574"/>
      <c r="I343" s="574"/>
      <c r="J343" s="574"/>
    </row>
    <row r="344">
      <c r="C344" s="139"/>
      <c r="D344" s="139"/>
      <c r="F344" s="426"/>
      <c r="G344" s="578"/>
      <c r="H344" s="574"/>
      <c r="I344" s="574"/>
      <c r="J344" s="574"/>
    </row>
    <row r="345">
      <c r="C345" s="139"/>
      <c r="D345" s="139"/>
      <c r="F345" s="426"/>
      <c r="G345" s="578"/>
      <c r="H345" s="574"/>
      <c r="I345" s="574"/>
      <c r="J345" s="574"/>
    </row>
    <row r="346">
      <c r="C346" s="139"/>
      <c r="D346" s="139"/>
      <c r="F346" s="426"/>
      <c r="G346" s="578"/>
      <c r="H346" s="574"/>
      <c r="I346" s="574"/>
      <c r="J346" s="574"/>
    </row>
    <row r="347">
      <c r="C347" s="139"/>
      <c r="D347" s="139"/>
      <c r="F347" s="426"/>
      <c r="G347" s="578"/>
      <c r="H347" s="574"/>
      <c r="I347" s="574"/>
      <c r="J347" s="574"/>
    </row>
    <row r="348">
      <c r="C348" s="139"/>
      <c r="D348" s="139"/>
      <c r="F348" s="426"/>
      <c r="G348" s="578"/>
      <c r="H348" s="574"/>
      <c r="I348" s="574"/>
      <c r="J348" s="574"/>
    </row>
    <row r="349">
      <c r="C349" s="139"/>
      <c r="D349" s="139"/>
      <c r="F349" s="426"/>
      <c r="G349" s="578"/>
      <c r="H349" s="574"/>
      <c r="I349" s="574"/>
      <c r="J349" s="574"/>
    </row>
    <row r="350">
      <c r="C350" s="139"/>
      <c r="D350" s="139"/>
      <c r="F350" s="426"/>
      <c r="G350" s="578"/>
      <c r="H350" s="574"/>
      <c r="I350" s="574"/>
      <c r="J350" s="574"/>
    </row>
    <row r="351">
      <c r="C351" s="139"/>
      <c r="D351" s="139"/>
      <c r="F351" s="426"/>
      <c r="G351" s="578"/>
      <c r="H351" s="574"/>
      <c r="I351" s="574"/>
      <c r="J351" s="574"/>
    </row>
    <row r="352">
      <c r="C352" s="139"/>
      <c r="D352" s="139"/>
      <c r="F352" s="426"/>
      <c r="G352" s="578"/>
      <c r="H352" s="574"/>
      <c r="I352" s="574"/>
      <c r="J352" s="574"/>
    </row>
    <row r="353">
      <c r="C353" s="139"/>
      <c r="D353" s="139"/>
      <c r="F353" s="426"/>
      <c r="G353" s="578"/>
      <c r="H353" s="574"/>
      <c r="I353" s="574"/>
      <c r="J353" s="574"/>
    </row>
    <row r="354">
      <c r="C354" s="139"/>
      <c r="D354" s="139"/>
      <c r="F354" s="426"/>
      <c r="G354" s="578"/>
      <c r="H354" s="574"/>
      <c r="I354" s="574"/>
      <c r="J354" s="574"/>
    </row>
    <row r="355">
      <c r="C355" s="139"/>
      <c r="D355" s="139"/>
      <c r="F355" s="426"/>
      <c r="G355" s="578"/>
      <c r="H355" s="574"/>
      <c r="I355" s="574"/>
      <c r="J355" s="574"/>
    </row>
    <row r="356">
      <c r="C356" s="139"/>
      <c r="D356" s="139"/>
      <c r="F356" s="426"/>
      <c r="G356" s="578"/>
      <c r="H356" s="574"/>
      <c r="I356" s="574"/>
      <c r="J356" s="574"/>
    </row>
    <row r="357">
      <c r="C357" s="139"/>
      <c r="D357" s="139"/>
      <c r="F357" s="426"/>
      <c r="G357" s="578"/>
      <c r="H357" s="574"/>
      <c r="I357" s="574"/>
      <c r="J357" s="574"/>
    </row>
    <row r="358">
      <c r="C358" s="139"/>
      <c r="D358" s="139"/>
      <c r="F358" s="426"/>
      <c r="G358" s="578"/>
      <c r="H358" s="574"/>
      <c r="I358" s="574"/>
      <c r="J358" s="574"/>
    </row>
    <row r="359">
      <c r="C359" s="139"/>
      <c r="D359" s="139"/>
      <c r="F359" s="426"/>
      <c r="G359" s="578"/>
      <c r="H359" s="574"/>
      <c r="I359" s="574"/>
      <c r="J359" s="574"/>
    </row>
    <row r="360">
      <c r="C360" s="139"/>
      <c r="D360" s="139"/>
      <c r="F360" s="426"/>
      <c r="G360" s="578"/>
      <c r="H360" s="574"/>
      <c r="I360" s="574"/>
      <c r="J360" s="574"/>
    </row>
    <row r="361">
      <c r="C361" s="139"/>
      <c r="D361" s="139"/>
      <c r="F361" s="426"/>
      <c r="G361" s="578"/>
      <c r="H361" s="574"/>
      <c r="I361" s="574"/>
      <c r="J361" s="574"/>
    </row>
    <row r="362">
      <c r="C362" s="139"/>
      <c r="D362" s="139"/>
      <c r="F362" s="426"/>
      <c r="G362" s="578"/>
      <c r="H362" s="574"/>
      <c r="I362" s="574"/>
      <c r="J362" s="574"/>
    </row>
    <row r="363">
      <c r="C363" s="139"/>
      <c r="D363" s="139"/>
      <c r="F363" s="426"/>
      <c r="G363" s="578"/>
      <c r="H363" s="574"/>
      <c r="I363" s="574"/>
      <c r="J363" s="574"/>
    </row>
    <row r="364">
      <c r="C364" s="139"/>
      <c r="D364" s="139"/>
      <c r="F364" s="426"/>
      <c r="G364" s="578"/>
      <c r="H364" s="574"/>
      <c r="I364" s="574"/>
      <c r="J364" s="574"/>
    </row>
    <row r="365">
      <c r="C365" s="139"/>
      <c r="D365" s="139"/>
      <c r="F365" s="426"/>
      <c r="G365" s="578"/>
      <c r="H365" s="574"/>
      <c r="I365" s="574"/>
      <c r="J365" s="574"/>
    </row>
    <row r="366">
      <c r="C366" s="139"/>
      <c r="D366" s="139"/>
      <c r="F366" s="426"/>
      <c r="G366" s="578"/>
      <c r="H366" s="574"/>
      <c r="I366" s="574"/>
      <c r="J366" s="574"/>
    </row>
    <row r="367">
      <c r="C367" s="139"/>
      <c r="D367" s="139"/>
      <c r="F367" s="426"/>
      <c r="G367" s="578"/>
      <c r="H367" s="574"/>
      <c r="I367" s="574"/>
      <c r="J367" s="574"/>
    </row>
    <row r="368">
      <c r="C368" s="139"/>
      <c r="D368" s="139"/>
      <c r="F368" s="426"/>
      <c r="G368" s="578"/>
      <c r="H368" s="574"/>
      <c r="I368" s="574"/>
      <c r="J368" s="574"/>
    </row>
    <row r="369">
      <c r="C369" s="139"/>
      <c r="D369" s="139"/>
      <c r="F369" s="426"/>
      <c r="G369" s="578"/>
      <c r="H369" s="574"/>
      <c r="I369" s="574"/>
      <c r="J369" s="574"/>
    </row>
    <row r="370">
      <c r="C370" s="139"/>
      <c r="D370" s="139"/>
      <c r="F370" s="426"/>
      <c r="G370" s="578"/>
      <c r="H370" s="574"/>
      <c r="I370" s="574"/>
      <c r="J370" s="574"/>
    </row>
    <row r="371">
      <c r="C371" s="139"/>
      <c r="D371" s="139"/>
      <c r="F371" s="426"/>
      <c r="G371" s="578"/>
      <c r="H371" s="574"/>
      <c r="I371" s="574"/>
      <c r="J371" s="574"/>
    </row>
    <row r="372">
      <c r="C372" s="139"/>
      <c r="D372" s="139"/>
      <c r="F372" s="426"/>
      <c r="G372" s="578"/>
      <c r="H372" s="574"/>
      <c r="I372" s="574"/>
      <c r="J372" s="574"/>
    </row>
    <row r="373">
      <c r="C373" s="139"/>
      <c r="D373" s="139"/>
      <c r="F373" s="426"/>
      <c r="G373" s="578"/>
      <c r="H373" s="574"/>
      <c r="I373" s="574"/>
      <c r="J373" s="574"/>
    </row>
    <row r="374">
      <c r="C374" s="139"/>
      <c r="D374" s="139"/>
      <c r="F374" s="426"/>
      <c r="G374" s="578"/>
      <c r="H374" s="574"/>
      <c r="I374" s="574"/>
      <c r="J374" s="574"/>
    </row>
    <row r="375">
      <c r="C375" s="139"/>
      <c r="D375" s="139"/>
      <c r="F375" s="426"/>
      <c r="G375" s="578"/>
      <c r="H375" s="574"/>
      <c r="I375" s="574"/>
      <c r="J375" s="574"/>
    </row>
    <row r="376">
      <c r="C376" s="139"/>
      <c r="D376" s="139"/>
      <c r="F376" s="426"/>
      <c r="G376" s="578"/>
      <c r="H376" s="574"/>
      <c r="I376" s="574"/>
      <c r="J376" s="574"/>
    </row>
    <row r="377">
      <c r="C377" s="139"/>
      <c r="D377" s="139"/>
      <c r="F377" s="426"/>
      <c r="G377" s="578"/>
      <c r="H377" s="574"/>
      <c r="I377" s="574"/>
      <c r="J377" s="574"/>
    </row>
    <row r="378">
      <c r="C378" s="139"/>
      <c r="D378" s="139"/>
      <c r="F378" s="426"/>
      <c r="G378" s="578"/>
      <c r="H378" s="574"/>
      <c r="I378" s="574"/>
      <c r="J378" s="574"/>
    </row>
    <row r="379">
      <c r="C379" s="139"/>
      <c r="D379" s="139"/>
      <c r="F379" s="426"/>
      <c r="G379" s="578"/>
      <c r="H379" s="574"/>
      <c r="I379" s="574"/>
      <c r="J379" s="574"/>
    </row>
    <row r="380">
      <c r="C380" s="139"/>
      <c r="D380" s="139"/>
      <c r="F380" s="426"/>
      <c r="G380" s="578"/>
      <c r="H380" s="574"/>
      <c r="I380" s="574"/>
      <c r="J380" s="574"/>
    </row>
    <row r="381">
      <c r="C381" s="139"/>
      <c r="D381" s="139"/>
      <c r="F381" s="426"/>
      <c r="G381" s="578"/>
      <c r="H381" s="574"/>
      <c r="I381" s="574"/>
      <c r="J381" s="574"/>
    </row>
    <row r="382">
      <c r="C382" s="139"/>
      <c r="D382" s="139"/>
      <c r="F382" s="426"/>
      <c r="G382" s="578"/>
      <c r="H382" s="574"/>
      <c r="I382" s="574"/>
      <c r="J382" s="574"/>
    </row>
    <row r="383">
      <c r="C383" s="139"/>
      <c r="D383" s="139"/>
      <c r="F383" s="426"/>
      <c r="G383" s="578"/>
      <c r="H383" s="574"/>
      <c r="I383" s="574"/>
      <c r="J383" s="574"/>
    </row>
    <row r="384">
      <c r="C384" s="139"/>
      <c r="D384" s="139"/>
      <c r="F384" s="426"/>
      <c r="G384" s="578"/>
      <c r="H384" s="574"/>
      <c r="I384" s="574"/>
      <c r="J384" s="574"/>
    </row>
    <row r="385">
      <c r="C385" s="139"/>
      <c r="D385" s="139"/>
      <c r="F385" s="426"/>
      <c r="G385" s="578"/>
      <c r="H385" s="574"/>
      <c r="I385" s="574"/>
      <c r="J385" s="574"/>
    </row>
    <row r="386">
      <c r="C386" s="139"/>
      <c r="D386" s="139"/>
      <c r="F386" s="426"/>
      <c r="G386" s="578"/>
      <c r="H386" s="574"/>
      <c r="I386" s="574"/>
      <c r="J386" s="574"/>
    </row>
    <row r="387">
      <c r="C387" s="139"/>
      <c r="D387" s="139"/>
      <c r="F387" s="426"/>
      <c r="G387" s="578"/>
      <c r="H387" s="574"/>
      <c r="I387" s="574"/>
      <c r="J387" s="574"/>
    </row>
    <row r="388">
      <c r="C388" s="139"/>
      <c r="D388" s="139"/>
      <c r="F388" s="426"/>
      <c r="G388" s="578"/>
      <c r="H388" s="574"/>
      <c r="I388" s="574"/>
      <c r="J388" s="574"/>
    </row>
    <row r="389">
      <c r="C389" s="139"/>
      <c r="D389" s="139"/>
      <c r="F389" s="426"/>
      <c r="G389" s="578"/>
      <c r="H389" s="574"/>
      <c r="I389" s="574"/>
      <c r="J389" s="574"/>
    </row>
    <row r="390">
      <c r="C390" s="139"/>
      <c r="D390" s="139"/>
      <c r="F390" s="426"/>
      <c r="G390" s="578"/>
      <c r="H390" s="574"/>
      <c r="I390" s="574"/>
      <c r="J390" s="574"/>
    </row>
    <row r="391">
      <c r="C391" s="139"/>
      <c r="D391" s="139"/>
      <c r="F391" s="426"/>
      <c r="G391" s="578"/>
      <c r="H391" s="574"/>
      <c r="I391" s="574"/>
      <c r="J391" s="574"/>
    </row>
    <row r="392">
      <c r="C392" s="139"/>
      <c r="D392" s="139"/>
      <c r="F392" s="426"/>
      <c r="G392" s="578"/>
      <c r="H392" s="574"/>
      <c r="I392" s="574"/>
      <c r="J392" s="574"/>
    </row>
    <row r="393">
      <c r="C393" s="139"/>
      <c r="D393" s="139"/>
      <c r="F393" s="426"/>
      <c r="G393" s="578"/>
      <c r="H393" s="574"/>
      <c r="I393" s="574"/>
      <c r="J393" s="574"/>
    </row>
    <row r="394">
      <c r="C394" s="139"/>
      <c r="D394" s="139"/>
      <c r="F394" s="426"/>
      <c r="G394" s="578"/>
      <c r="H394" s="574"/>
      <c r="I394" s="574"/>
      <c r="J394" s="574"/>
    </row>
    <row r="395">
      <c r="C395" s="139"/>
      <c r="D395" s="139"/>
      <c r="F395" s="426"/>
      <c r="G395" s="578"/>
      <c r="H395" s="574"/>
      <c r="I395" s="574"/>
      <c r="J395" s="574"/>
    </row>
    <row r="396">
      <c r="C396" s="139"/>
      <c r="D396" s="139"/>
      <c r="F396" s="426"/>
      <c r="G396" s="578"/>
      <c r="H396" s="574"/>
      <c r="I396" s="574"/>
      <c r="J396" s="574"/>
    </row>
    <row r="397">
      <c r="C397" s="139"/>
      <c r="D397" s="139"/>
      <c r="F397" s="426"/>
      <c r="G397" s="578"/>
      <c r="H397" s="574"/>
      <c r="I397" s="574"/>
      <c r="J397" s="574"/>
    </row>
    <row r="398">
      <c r="C398" s="139"/>
      <c r="D398" s="139"/>
      <c r="F398" s="426"/>
      <c r="G398" s="578"/>
      <c r="H398" s="574"/>
      <c r="I398" s="574"/>
      <c r="J398" s="574"/>
    </row>
    <row r="399">
      <c r="C399" s="139"/>
      <c r="D399" s="139"/>
      <c r="F399" s="426"/>
      <c r="G399" s="578"/>
      <c r="H399" s="574"/>
      <c r="I399" s="574"/>
      <c r="J399" s="574"/>
    </row>
    <row r="400">
      <c r="C400" s="139"/>
      <c r="D400" s="139"/>
      <c r="F400" s="426"/>
      <c r="G400" s="578"/>
      <c r="H400" s="574"/>
      <c r="I400" s="574"/>
      <c r="J400" s="574"/>
    </row>
    <row r="401">
      <c r="C401" s="139"/>
      <c r="D401" s="139"/>
      <c r="F401" s="426"/>
      <c r="G401" s="578"/>
      <c r="H401" s="574"/>
      <c r="I401" s="574"/>
      <c r="J401" s="574"/>
    </row>
    <row r="402">
      <c r="C402" s="139"/>
      <c r="D402" s="139"/>
      <c r="F402" s="426"/>
      <c r="G402" s="578"/>
      <c r="H402" s="574"/>
      <c r="I402" s="574"/>
      <c r="J402" s="574"/>
    </row>
    <row r="403">
      <c r="C403" s="139"/>
      <c r="D403" s="139"/>
      <c r="F403" s="426"/>
      <c r="G403" s="578"/>
      <c r="H403" s="574"/>
      <c r="I403" s="574"/>
      <c r="J403" s="574"/>
    </row>
    <row r="404">
      <c r="C404" s="139"/>
      <c r="D404" s="139"/>
      <c r="F404" s="426"/>
      <c r="G404" s="578"/>
      <c r="H404" s="574"/>
      <c r="I404" s="574"/>
      <c r="J404" s="574"/>
    </row>
    <row r="405">
      <c r="C405" s="139"/>
      <c r="D405" s="139"/>
      <c r="F405" s="426"/>
      <c r="G405" s="578"/>
      <c r="H405" s="574"/>
      <c r="I405" s="574"/>
      <c r="J405" s="574"/>
    </row>
    <row r="406">
      <c r="C406" s="139"/>
      <c r="D406" s="139"/>
      <c r="F406" s="426"/>
      <c r="G406" s="578"/>
      <c r="H406" s="574"/>
      <c r="I406" s="574"/>
      <c r="J406" s="574"/>
    </row>
    <row r="407">
      <c r="C407" s="139"/>
      <c r="D407" s="139"/>
      <c r="F407" s="426"/>
      <c r="G407" s="578"/>
      <c r="H407" s="574"/>
      <c r="I407" s="574"/>
      <c r="J407" s="574"/>
    </row>
    <row r="408">
      <c r="C408" s="139"/>
      <c r="D408" s="139"/>
      <c r="F408" s="426"/>
      <c r="G408" s="578"/>
      <c r="H408" s="574"/>
      <c r="I408" s="574"/>
      <c r="J408" s="574"/>
    </row>
    <row r="409">
      <c r="C409" s="139"/>
      <c r="D409" s="139"/>
      <c r="F409" s="426"/>
      <c r="G409" s="578"/>
      <c r="H409" s="574"/>
      <c r="I409" s="574"/>
      <c r="J409" s="574"/>
    </row>
    <row r="410">
      <c r="C410" s="139"/>
      <c r="D410" s="139"/>
      <c r="F410" s="426"/>
      <c r="G410" s="578"/>
      <c r="H410" s="574"/>
      <c r="I410" s="574"/>
      <c r="J410" s="574"/>
    </row>
    <row r="411">
      <c r="C411" s="139"/>
      <c r="D411" s="139"/>
      <c r="F411" s="426"/>
      <c r="G411" s="578"/>
      <c r="H411" s="574"/>
      <c r="I411" s="574"/>
      <c r="J411" s="574"/>
    </row>
    <row r="412">
      <c r="C412" s="139"/>
      <c r="D412" s="139"/>
      <c r="F412" s="426"/>
      <c r="G412" s="578"/>
      <c r="H412" s="574"/>
      <c r="I412" s="574"/>
      <c r="J412" s="574"/>
    </row>
    <row r="413">
      <c r="C413" s="139"/>
      <c r="D413" s="139"/>
      <c r="F413" s="426"/>
      <c r="G413" s="578"/>
      <c r="H413" s="574"/>
      <c r="I413" s="574"/>
      <c r="J413" s="574"/>
    </row>
    <row r="414">
      <c r="C414" s="139"/>
      <c r="D414" s="139"/>
      <c r="F414" s="426"/>
      <c r="G414" s="578"/>
      <c r="H414" s="574"/>
      <c r="I414" s="574"/>
      <c r="J414" s="574"/>
    </row>
    <row r="415">
      <c r="C415" s="139"/>
      <c r="D415" s="139"/>
      <c r="F415" s="426"/>
      <c r="G415" s="578"/>
      <c r="H415" s="574"/>
      <c r="I415" s="574"/>
      <c r="J415" s="574"/>
    </row>
    <row r="416">
      <c r="C416" s="139"/>
      <c r="D416" s="139"/>
      <c r="F416" s="426"/>
      <c r="G416" s="578"/>
      <c r="H416" s="574"/>
      <c r="I416" s="574"/>
      <c r="J416" s="574"/>
    </row>
    <row r="417">
      <c r="C417" s="139"/>
      <c r="D417" s="139"/>
      <c r="F417" s="426"/>
      <c r="G417" s="578"/>
      <c r="H417" s="574"/>
      <c r="I417" s="574"/>
      <c r="J417" s="574"/>
    </row>
    <row r="418">
      <c r="C418" s="139"/>
      <c r="D418" s="139"/>
      <c r="F418" s="426"/>
      <c r="G418" s="578"/>
      <c r="H418" s="574"/>
      <c r="I418" s="574"/>
      <c r="J418" s="574"/>
    </row>
    <row r="419">
      <c r="C419" s="139"/>
      <c r="D419" s="139"/>
      <c r="F419" s="426"/>
      <c r="G419" s="578"/>
      <c r="H419" s="574"/>
      <c r="I419" s="574"/>
      <c r="J419" s="574"/>
    </row>
    <row r="420">
      <c r="C420" s="139"/>
      <c r="D420" s="139"/>
      <c r="F420" s="426"/>
      <c r="G420" s="578"/>
      <c r="H420" s="574"/>
      <c r="I420" s="574"/>
      <c r="J420" s="574"/>
    </row>
    <row r="421">
      <c r="C421" s="139"/>
      <c r="D421" s="139"/>
      <c r="F421" s="426"/>
      <c r="G421" s="578"/>
      <c r="H421" s="574"/>
      <c r="I421" s="574"/>
      <c r="J421" s="574"/>
    </row>
    <row r="422">
      <c r="C422" s="139"/>
      <c r="D422" s="139"/>
      <c r="F422" s="426"/>
      <c r="G422" s="578"/>
      <c r="H422" s="574"/>
      <c r="I422" s="574"/>
      <c r="J422" s="574"/>
    </row>
    <row r="423">
      <c r="C423" s="139"/>
      <c r="D423" s="139"/>
      <c r="F423" s="426"/>
      <c r="G423" s="578"/>
      <c r="H423" s="574"/>
      <c r="I423" s="574"/>
      <c r="J423" s="574"/>
    </row>
    <row r="424">
      <c r="C424" s="139"/>
      <c r="D424" s="139"/>
      <c r="F424" s="426"/>
      <c r="G424" s="578"/>
      <c r="H424" s="574"/>
      <c r="I424" s="574"/>
      <c r="J424" s="574"/>
    </row>
    <row r="425">
      <c r="C425" s="139"/>
      <c r="D425" s="139"/>
      <c r="F425" s="426"/>
      <c r="G425" s="578"/>
      <c r="H425" s="574"/>
      <c r="I425" s="574"/>
      <c r="J425" s="574"/>
    </row>
    <row r="426">
      <c r="C426" s="139"/>
      <c r="D426" s="139"/>
      <c r="F426" s="426"/>
      <c r="G426" s="578"/>
      <c r="H426" s="574"/>
      <c r="I426" s="574"/>
      <c r="J426" s="574"/>
    </row>
    <row r="427">
      <c r="C427" s="139"/>
      <c r="D427" s="139"/>
      <c r="F427" s="426"/>
      <c r="G427" s="578"/>
      <c r="H427" s="574"/>
      <c r="I427" s="574"/>
      <c r="J427" s="574"/>
    </row>
    <row r="428">
      <c r="C428" s="139"/>
      <c r="D428" s="139"/>
      <c r="F428" s="426"/>
      <c r="G428" s="578"/>
      <c r="H428" s="574"/>
      <c r="I428" s="574"/>
      <c r="J428" s="574"/>
    </row>
    <row r="429">
      <c r="C429" s="139"/>
      <c r="D429" s="139"/>
      <c r="F429" s="426"/>
      <c r="G429" s="578"/>
      <c r="H429" s="574"/>
      <c r="I429" s="574"/>
      <c r="J429" s="574"/>
    </row>
    <row r="430">
      <c r="C430" s="139"/>
      <c r="D430" s="139"/>
      <c r="F430" s="426"/>
      <c r="G430" s="578"/>
      <c r="H430" s="574"/>
      <c r="I430" s="574"/>
      <c r="J430" s="574"/>
    </row>
    <row r="431">
      <c r="C431" s="139"/>
      <c r="D431" s="139"/>
      <c r="F431" s="426"/>
      <c r="G431" s="578"/>
      <c r="H431" s="574"/>
      <c r="I431" s="574"/>
      <c r="J431" s="574"/>
    </row>
    <row r="432">
      <c r="C432" s="139"/>
      <c r="D432" s="139"/>
      <c r="F432" s="426"/>
      <c r="G432" s="578"/>
      <c r="H432" s="574"/>
      <c r="I432" s="574"/>
      <c r="J432" s="574"/>
    </row>
    <row r="433">
      <c r="C433" s="139"/>
      <c r="D433" s="139"/>
      <c r="F433" s="426"/>
      <c r="G433" s="578"/>
      <c r="H433" s="574"/>
      <c r="I433" s="574"/>
      <c r="J433" s="574"/>
    </row>
    <row r="434">
      <c r="C434" s="139"/>
      <c r="D434" s="139"/>
      <c r="F434" s="426"/>
      <c r="G434" s="578"/>
      <c r="H434" s="574"/>
      <c r="I434" s="574"/>
      <c r="J434" s="574"/>
    </row>
    <row r="435">
      <c r="C435" s="139"/>
      <c r="D435" s="139"/>
      <c r="F435" s="426"/>
      <c r="G435" s="578"/>
      <c r="H435" s="574"/>
      <c r="I435" s="574"/>
      <c r="J435" s="574"/>
    </row>
    <row r="436">
      <c r="C436" s="139"/>
      <c r="D436" s="139"/>
      <c r="F436" s="426"/>
      <c r="G436" s="578"/>
      <c r="H436" s="574"/>
      <c r="I436" s="574"/>
      <c r="J436" s="574"/>
    </row>
    <row r="437">
      <c r="C437" s="139"/>
      <c r="D437" s="139"/>
      <c r="F437" s="426"/>
      <c r="G437" s="578"/>
      <c r="H437" s="574"/>
      <c r="I437" s="574"/>
      <c r="J437" s="574"/>
    </row>
    <row r="438">
      <c r="C438" s="139"/>
      <c r="D438" s="139"/>
      <c r="F438" s="426"/>
      <c r="G438" s="578"/>
      <c r="H438" s="574"/>
      <c r="I438" s="574"/>
      <c r="J438" s="574"/>
    </row>
    <row r="439">
      <c r="C439" s="139"/>
      <c r="D439" s="139"/>
      <c r="F439" s="426"/>
      <c r="G439" s="578"/>
      <c r="H439" s="574"/>
      <c r="I439" s="574"/>
      <c r="J439" s="574"/>
    </row>
    <row r="440">
      <c r="C440" s="139"/>
      <c r="D440" s="139"/>
      <c r="F440" s="426"/>
      <c r="G440" s="578"/>
      <c r="H440" s="574"/>
      <c r="I440" s="574"/>
      <c r="J440" s="574"/>
    </row>
    <row r="441">
      <c r="C441" s="139"/>
      <c r="D441" s="139"/>
      <c r="F441" s="426"/>
      <c r="G441" s="578"/>
      <c r="H441" s="574"/>
      <c r="I441" s="574"/>
      <c r="J441" s="574"/>
    </row>
    <row r="442">
      <c r="C442" s="139"/>
      <c r="D442" s="139"/>
      <c r="F442" s="426"/>
      <c r="G442" s="578"/>
      <c r="H442" s="574"/>
      <c r="I442" s="574"/>
      <c r="J442" s="574"/>
    </row>
    <row r="443">
      <c r="C443" s="139"/>
      <c r="D443" s="139"/>
      <c r="F443" s="426"/>
      <c r="G443" s="578"/>
      <c r="H443" s="574"/>
      <c r="I443" s="574"/>
      <c r="J443" s="574"/>
    </row>
    <row r="444">
      <c r="C444" s="139"/>
      <c r="D444" s="139"/>
      <c r="F444" s="426"/>
      <c r="G444" s="578"/>
      <c r="H444" s="574"/>
      <c r="I444" s="574"/>
      <c r="J444" s="574"/>
    </row>
    <row r="445">
      <c r="C445" s="139"/>
      <c r="D445" s="139"/>
      <c r="F445" s="426"/>
      <c r="G445" s="578"/>
      <c r="H445" s="574"/>
      <c r="I445" s="574"/>
      <c r="J445" s="574"/>
    </row>
    <row r="446">
      <c r="C446" s="139"/>
      <c r="D446" s="139"/>
      <c r="F446" s="426"/>
      <c r="G446" s="578"/>
      <c r="H446" s="574"/>
      <c r="I446" s="574"/>
      <c r="J446" s="574"/>
    </row>
    <row r="447">
      <c r="C447" s="139"/>
      <c r="D447" s="139"/>
      <c r="F447" s="426"/>
      <c r="G447" s="578"/>
      <c r="H447" s="574"/>
      <c r="I447" s="574"/>
      <c r="J447" s="574"/>
    </row>
    <row r="448">
      <c r="C448" s="139"/>
      <c r="D448" s="139"/>
      <c r="F448" s="426"/>
      <c r="G448" s="578"/>
      <c r="H448" s="574"/>
      <c r="I448" s="574"/>
      <c r="J448" s="574"/>
    </row>
    <row r="449">
      <c r="C449" s="139"/>
      <c r="D449" s="139"/>
      <c r="F449" s="426"/>
      <c r="G449" s="578"/>
      <c r="H449" s="574"/>
      <c r="I449" s="574"/>
      <c r="J449" s="574"/>
    </row>
    <row r="450">
      <c r="C450" s="139"/>
      <c r="D450" s="139"/>
      <c r="F450" s="426"/>
      <c r="G450" s="578"/>
      <c r="H450" s="574"/>
      <c r="I450" s="574"/>
      <c r="J450" s="574"/>
    </row>
    <row r="451">
      <c r="C451" s="139"/>
      <c r="D451" s="139"/>
      <c r="F451" s="426"/>
      <c r="G451" s="578"/>
      <c r="H451" s="574"/>
      <c r="I451" s="574"/>
      <c r="J451" s="574"/>
    </row>
    <row r="452">
      <c r="C452" s="139"/>
      <c r="D452" s="139"/>
      <c r="F452" s="426"/>
      <c r="G452" s="578"/>
      <c r="H452" s="574"/>
      <c r="I452" s="574"/>
      <c r="J452" s="574"/>
    </row>
    <row r="453">
      <c r="C453" s="139"/>
      <c r="D453" s="139"/>
      <c r="F453" s="426"/>
      <c r="G453" s="578"/>
      <c r="H453" s="574"/>
      <c r="I453" s="574"/>
      <c r="J453" s="574"/>
    </row>
    <row r="454">
      <c r="C454" s="139"/>
      <c r="D454" s="139"/>
      <c r="F454" s="426"/>
      <c r="G454" s="578"/>
      <c r="H454" s="574"/>
      <c r="I454" s="574"/>
      <c r="J454" s="574"/>
    </row>
    <row r="455">
      <c r="C455" s="139"/>
      <c r="D455" s="139"/>
      <c r="F455" s="426"/>
      <c r="G455" s="578"/>
      <c r="H455" s="574"/>
      <c r="I455" s="574"/>
      <c r="J455" s="574"/>
    </row>
    <row r="456">
      <c r="C456" s="139"/>
      <c r="D456" s="139"/>
      <c r="F456" s="426"/>
      <c r="G456" s="578"/>
      <c r="H456" s="574"/>
      <c r="I456" s="574"/>
      <c r="J456" s="574"/>
    </row>
    <row r="457">
      <c r="C457" s="139"/>
      <c r="D457" s="139"/>
      <c r="F457" s="426"/>
      <c r="G457" s="578"/>
      <c r="H457" s="574"/>
      <c r="I457" s="574"/>
      <c r="J457" s="574"/>
    </row>
    <row r="458">
      <c r="C458" s="139"/>
      <c r="D458" s="139"/>
      <c r="F458" s="426"/>
      <c r="G458" s="578"/>
      <c r="H458" s="574"/>
      <c r="I458" s="574"/>
      <c r="J458" s="574"/>
    </row>
    <row r="459">
      <c r="C459" s="139"/>
      <c r="D459" s="139"/>
      <c r="F459" s="426"/>
      <c r="G459" s="578"/>
      <c r="H459" s="574"/>
      <c r="I459" s="574"/>
      <c r="J459" s="574"/>
    </row>
    <row r="460">
      <c r="C460" s="139"/>
      <c r="D460" s="139"/>
      <c r="F460" s="426"/>
      <c r="G460" s="578"/>
      <c r="H460" s="574"/>
      <c r="I460" s="574"/>
      <c r="J460" s="574"/>
    </row>
    <row r="461">
      <c r="C461" s="139"/>
      <c r="D461" s="139"/>
      <c r="F461" s="426"/>
      <c r="G461" s="578"/>
      <c r="H461" s="574"/>
      <c r="I461" s="574"/>
      <c r="J461" s="574"/>
    </row>
    <row r="462">
      <c r="C462" s="139"/>
      <c r="D462" s="139"/>
      <c r="F462" s="426"/>
      <c r="G462" s="578"/>
      <c r="H462" s="574"/>
      <c r="I462" s="574"/>
      <c r="J462" s="574"/>
    </row>
    <row r="463">
      <c r="C463" s="139"/>
      <c r="D463" s="139"/>
      <c r="F463" s="426"/>
      <c r="G463" s="578"/>
      <c r="H463" s="574"/>
      <c r="I463" s="574"/>
      <c r="J463" s="574"/>
    </row>
    <row r="464">
      <c r="C464" s="139"/>
      <c r="D464" s="139"/>
      <c r="F464" s="426"/>
      <c r="G464" s="578"/>
      <c r="H464" s="574"/>
      <c r="I464" s="574"/>
      <c r="J464" s="574"/>
    </row>
    <row r="465">
      <c r="C465" s="139"/>
      <c r="D465" s="139"/>
      <c r="F465" s="426"/>
      <c r="G465" s="578"/>
      <c r="H465" s="574"/>
      <c r="I465" s="574"/>
      <c r="J465" s="574"/>
    </row>
    <row r="466">
      <c r="C466" s="139"/>
      <c r="D466" s="139"/>
      <c r="F466" s="426"/>
      <c r="G466" s="578"/>
      <c r="H466" s="574"/>
      <c r="I466" s="574"/>
      <c r="J466" s="574"/>
    </row>
    <row r="467">
      <c r="C467" s="139"/>
      <c r="D467" s="139"/>
      <c r="F467" s="426"/>
      <c r="G467" s="578"/>
      <c r="H467" s="574"/>
      <c r="I467" s="574"/>
      <c r="J467" s="574"/>
    </row>
    <row r="468">
      <c r="C468" s="139"/>
      <c r="D468" s="139"/>
      <c r="F468" s="426"/>
      <c r="G468" s="578"/>
      <c r="H468" s="574"/>
      <c r="I468" s="574"/>
      <c r="J468" s="574"/>
    </row>
    <row r="469">
      <c r="C469" s="139"/>
      <c r="D469" s="139"/>
      <c r="F469" s="426"/>
      <c r="G469" s="578"/>
      <c r="H469" s="574"/>
      <c r="I469" s="574"/>
      <c r="J469" s="574"/>
    </row>
    <row r="470">
      <c r="C470" s="139"/>
      <c r="D470" s="139"/>
      <c r="F470" s="426"/>
      <c r="G470" s="578"/>
      <c r="H470" s="574"/>
      <c r="I470" s="574"/>
      <c r="J470" s="574"/>
    </row>
    <row r="471">
      <c r="C471" s="139"/>
      <c r="D471" s="139"/>
      <c r="F471" s="426"/>
      <c r="G471" s="578"/>
      <c r="H471" s="574"/>
      <c r="I471" s="574"/>
      <c r="J471" s="574"/>
    </row>
    <row r="472">
      <c r="C472" s="139"/>
      <c r="D472" s="139"/>
      <c r="F472" s="426"/>
      <c r="G472" s="578"/>
      <c r="H472" s="574"/>
      <c r="I472" s="574"/>
      <c r="J472" s="574"/>
    </row>
    <row r="473">
      <c r="C473" s="139"/>
      <c r="D473" s="139"/>
      <c r="F473" s="426"/>
      <c r="G473" s="578"/>
      <c r="H473" s="574"/>
      <c r="I473" s="574"/>
      <c r="J473" s="574"/>
    </row>
    <row r="474">
      <c r="C474" s="139"/>
      <c r="D474" s="139"/>
      <c r="F474" s="426"/>
      <c r="G474" s="578"/>
      <c r="H474" s="574"/>
      <c r="I474" s="574"/>
      <c r="J474" s="574"/>
    </row>
    <row r="475">
      <c r="C475" s="139"/>
      <c r="D475" s="139"/>
      <c r="F475" s="426"/>
      <c r="G475" s="578"/>
      <c r="H475" s="574"/>
      <c r="I475" s="574"/>
      <c r="J475" s="574"/>
    </row>
    <row r="476">
      <c r="C476" s="139"/>
      <c r="D476" s="139"/>
      <c r="F476" s="426"/>
      <c r="G476" s="578"/>
      <c r="H476" s="574"/>
      <c r="I476" s="574"/>
      <c r="J476" s="574"/>
    </row>
    <row r="477">
      <c r="C477" s="139"/>
      <c r="D477" s="139"/>
      <c r="F477" s="426"/>
      <c r="G477" s="578"/>
      <c r="H477" s="574"/>
      <c r="I477" s="574"/>
      <c r="J477" s="574"/>
    </row>
    <row r="478">
      <c r="C478" s="139"/>
      <c r="D478" s="139"/>
      <c r="F478" s="426"/>
      <c r="G478" s="578"/>
      <c r="H478" s="574"/>
      <c r="I478" s="574"/>
      <c r="J478" s="574"/>
    </row>
    <row r="479">
      <c r="C479" s="139"/>
      <c r="D479" s="139"/>
      <c r="F479" s="426"/>
      <c r="G479" s="578"/>
      <c r="H479" s="574"/>
      <c r="I479" s="574"/>
      <c r="J479" s="574"/>
    </row>
    <row r="480">
      <c r="C480" s="139"/>
      <c r="D480" s="139"/>
      <c r="F480" s="426"/>
      <c r="G480" s="578"/>
      <c r="H480" s="574"/>
      <c r="I480" s="574"/>
      <c r="J480" s="574"/>
    </row>
    <row r="481">
      <c r="C481" s="139"/>
      <c r="D481" s="139"/>
      <c r="F481" s="426"/>
      <c r="G481" s="578"/>
      <c r="H481" s="574"/>
      <c r="I481" s="574"/>
      <c r="J481" s="574"/>
    </row>
    <row r="482">
      <c r="C482" s="139"/>
      <c r="D482" s="139"/>
      <c r="F482" s="426"/>
      <c r="G482" s="578"/>
      <c r="H482" s="574"/>
      <c r="I482" s="574"/>
      <c r="J482" s="574"/>
    </row>
    <row r="483">
      <c r="C483" s="139"/>
      <c r="D483" s="139"/>
      <c r="F483" s="426"/>
      <c r="G483" s="578"/>
      <c r="H483" s="574"/>
      <c r="I483" s="574"/>
      <c r="J483" s="574"/>
    </row>
    <row r="484">
      <c r="C484" s="139"/>
      <c r="D484" s="139"/>
      <c r="F484" s="426"/>
      <c r="G484" s="578"/>
      <c r="H484" s="574"/>
      <c r="I484" s="574"/>
      <c r="J484" s="574"/>
    </row>
    <row r="485">
      <c r="C485" s="139"/>
      <c r="D485" s="139"/>
      <c r="F485" s="426"/>
      <c r="G485" s="578"/>
      <c r="H485" s="574"/>
      <c r="I485" s="574"/>
      <c r="J485" s="574"/>
    </row>
    <row r="486">
      <c r="C486" s="139"/>
      <c r="D486" s="139"/>
      <c r="F486" s="426"/>
      <c r="G486" s="578"/>
      <c r="H486" s="574"/>
      <c r="I486" s="574"/>
      <c r="J486" s="574"/>
    </row>
    <row r="487">
      <c r="C487" s="139"/>
      <c r="D487" s="139"/>
      <c r="F487" s="426"/>
      <c r="G487" s="578"/>
      <c r="H487" s="574"/>
      <c r="I487" s="574"/>
      <c r="J487" s="574"/>
    </row>
    <row r="488">
      <c r="C488" s="139"/>
      <c r="D488" s="139"/>
      <c r="F488" s="426"/>
      <c r="G488" s="578"/>
      <c r="H488" s="574"/>
      <c r="I488" s="574"/>
      <c r="J488" s="574"/>
    </row>
    <row r="489">
      <c r="C489" s="139"/>
      <c r="D489" s="139"/>
      <c r="F489" s="426"/>
      <c r="G489" s="578"/>
      <c r="H489" s="574"/>
      <c r="I489" s="574"/>
      <c r="J489" s="574"/>
    </row>
    <row r="490">
      <c r="C490" s="139"/>
      <c r="D490" s="139"/>
      <c r="F490" s="426"/>
      <c r="G490" s="578"/>
      <c r="H490" s="574"/>
      <c r="I490" s="574"/>
      <c r="J490" s="574"/>
    </row>
    <row r="491">
      <c r="C491" s="139"/>
      <c r="D491" s="139"/>
      <c r="F491" s="426"/>
      <c r="G491" s="578"/>
      <c r="H491" s="574"/>
      <c r="I491" s="574"/>
      <c r="J491" s="574"/>
    </row>
    <row r="492">
      <c r="C492" s="139"/>
      <c r="D492" s="139"/>
      <c r="F492" s="426"/>
      <c r="G492" s="578"/>
      <c r="H492" s="574"/>
      <c r="I492" s="574"/>
      <c r="J492" s="574"/>
    </row>
    <row r="493">
      <c r="C493" s="139"/>
      <c r="D493" s="139"/>
      <c r="F493" s="426"/>
      <c r="G493" s="578"/>
      <c r="H493" s="574"/>
      <c r="I493" s="574"/>
      <c r="J493" s="574"/>
    </row>
    <row r="494">
      <c r="C494" s="139"/>
      <c r="D494" s="139"/>
      <c r="F494" s="426"/>
      <c r="G494" s="578"/>
      <c r="H494" s="574"/>
      <c r="I494" s="574"/>
      <c r="J494" s="574"/>
    </row>
    <row r="495">
      <c r="C495" s="139"/>
      <c r="D495" s="139"/>
      <c r="F495" s="426"/>
      <c r="G495" s="578"/>
      <c r="H495" s="574"/>
      <c r="I495" s="574"/>
      <c r="J495" s="574"/>
    </row>
    <row r="496">
      <c r="C496" s="139"/>
      <c r="D496" s="139"/>
      <c r="F496" s="426"/>
      <c r="G496" s="578"/>
      <c r="H496" s="574"/>
      <c r="I496" s="574"/>
      <c r="J496" s="574"/>
    </row>
    <row r="497">
      <c r="C497" s="139"/>
      <c r="D497" s="139"/>
      <c r="F497" s="426"/>
      <c r="G497" s="578"/>
      <c r="H497" s="574"/>
      <c r="I497" s="574"/>
      <c r="J497" s="574"/>
    </row>
    <row r="498">
      <c r="C498" s="139"/>
      <c r="D498" s="139"/>
      <c r="F498" s="426"/>
      <c r="G498" s="578"/>
      <c r="H498" s="574"/>
      <c r="I498" s="574"/>
      <c r="J498" s="574"/>
    </row>
    <row r="499">
      <c r="C499" s="139"/>
      <c r="D499" s="139"/>
      <c r="F499" s="426"/>
      <c r="G499" s="578"/>
      <c r="H499" s="574"/>
      <c r="I499" s="574"/>
      <c r="J499" s="574"/>
    </row>
    <row r="500">
      <c r="C500" s="139"/>
      <c r="D500" s="139"/>
      <c r="F500" s="426"/>
      <c r="G500" s="578"/>
      <c r="H500" s="574"/>
      <c r="I500" s="574"/>
      <c r="J500" s="574"/>
    </row>
    <row r="501">
      <c r="C501" s="139"/>
      <c r="D501" s="139"/>
      <c r="F501" s="426"/>
      <c r="G501" s="578"/>
      <c r="H501" s="574"/>
      <c r="I501" s="574"/>
      <c r="J501" s="574"/>
    </row>
    <row r="502">
      <c r="C502" s="139"/>
      <c r="D502" s="139"/>
      <c r="F502" s="426"/>
      <c r="G502" s="578"/>
      <c r="H502" s="574"/>
      <c r="I502" s="574"/>
      <c r="J502" s="574"/>
    </row>
    <row r="503">
      <c r="C503" s="139"/>
      <c r="D503" s="139"/>
      <c r="F503" s="426"/>
      <c r="G503" s="578"/>
      <c r="H503" s="574"/>
      <c r="I503" s="574"/>
      <c r="J503" s="574"/>
    </row>
    <row r="504">
      <c r="C504" s="139"/>
      <c r="D504" s="139"/>
      <c r="F504" s="426"/>
      <c r="G504" s="578"/>
      <c r="H504" s="574"/>
      <c r="I504" s="574"/>
      <c r="J504" s="574"/>
    </row>
    <row r="505">
      <c r="C505" s="139"/>
      <c r="D505" s="139"/>
      <c r="F505" s="426"/>
      <c r="G505" s="578"/>
      <c r="H505" s="574"/>
      <c r="I505" s="574"/>
      <c r="J505" s="574"/>
    </row>
    <row r="506">
      <c r="C506" s="139"/>
      <c r="D506" s="139"/>
      <c r="F506" s="426"/>
      <c r="G506" s="578"/>
      <c r="H506" s="574"/>
      <c r="I506" s="574"/>
      <c r="J506" s="574"/>
    </row>
    <row r="507">
      <c r="C507" s="139"/>
      <c r="D507" s="139"/>
      <c r="F507" s="426"/>
      <c r="G507" s="578"/>
      <c r="H507" s="574"/>
      <c r="I507" s="574"/>
      <c r="J507" s="574"/>
    </row>
    <row r="508">
      <c r="C508" s="139"/>
      <c r="D508" s="139"/>
      <c r="F508" s="426"/>
      <c r="G508" s="578"/>
      <c r="H508" s="574"/>
      <c r="I508" s="574"/>
      <c r="J508" s="574"/>
    </row>
    <row r="509">
      <c r="C509" s="139"/>
      <c r="D509" s="139"/>
      <c r="F509" s="426"/>
      <c r="G509" s="578"/>
      <c r="H509" s="574"/>
      <c r="I509" s="574"/>
      <c r="J509" s="574"/>
    </row>
    <row r="510">
      <c r="C510" s="139"/>
      <c r="D510" s="139"/>
      <c r="F510" s="426"/>
      <c r="G510" s="578"/>
      <c r="H510" s="574"/>
      <c r="I510" s="574"/>
      <c r="J510" s="574"/>
    </row>
    <row r="511">
      <c r="C511" s="139"/>
      <c r="D511" s="139"/>
      <c r="F511" s="426"/>
      <c r="G511" s="578"/>
      <c r="H511" s="574"/>
      <c r="I511" s="574"/>
      <c r="J511" s="574"/>
    </row>
    <row r="512">
      <c r="C512" s="139"/>
      <c r="D512" s="139"/>
      <c r="F512" s="426"/>
      <c r="G512" s="578"/>
      <c r="H512" s="574"/>
      <c r="I512" s="574"/>
      <c r="J512" s="574"/>
    </row>
    <row r="513">
      <c r="C513" s="139"/>
      <c r="D513" s="139"/>
      <c r="F513" s="426"/>
      <c r="G513" s="578"/>
      <c r="H513" s="574"/>
      <c r="I513" s="574"/>
      <c r="J513" s="574"/>
    </row>
    <row r="514">
      <c r="C514" s="139"/>
      <c r="D514" s="139"/>
      <c r="F514" s="426"/>
      <c r="G514" s="578"/>
      <c r="H514" s="574"/>
      <c r="I514" s="574"/>
      <c r="J514" s="574"/>
    </row>
    <row r="515">
      <c r="C515" s="139"/>
      <c r="D515" s="139"/>
      <c r="F515" s="426"/>
      <c r="G515" s="578"/>
      <c r="H515" s="574"/>
      <c r="I515" s="574"/>
      <c r="J515" s="574"/>
    </row>
    <row r="516">
      <c r="C516" s="139"/>
      <c r="D516" s="139"/>
      <c r="F516" s="426"/>
      <c r="G516" s="578"/>
      <c r="H516" s="574"/>
      <c r="I516" s="574"/>
      <c r="J516" s="574"/>
    </row>
    <row r="517">
      <c r="C517" s="139"/>
      <c r="D517" s="139"/>
      <c r="F517" s="426"/>
      <c r="G517" s="578"/>
      <c r="H517" s="574"/>
      <c r="I517" s="574"/>
      <c r="J517" s="574"/>
    </row>
    <row r="518">
      <c r="C518" s="139"/>
      <c r="D518" s="139"/>
      <c r="F518" s="426"/>
      <c r="G518" s="578"/>
      <c r="H518" s="574"/>
      <c r="I518" s="574"/>
      <c r="J518" s="574"/>
    </row>
    <row r="519">
      <c r="C519" s="139"/>
      <c r="D519" s="139"/>
      <c r="F519" s="426"/>
      <c r="G519" s="578"/>
      <c r="H519" s="574"/>
      <c r="I519" s="574"/>
      <c r="J519" s="574"/>
    </row>
    <row r="520">
      <c r="C520" s="139"/>
      <c r="D520" s="139"/>
      <c r="F520" s="426"/>
      <c r="G520" s="578"/>
      <c r="H520" s="574"/>
      <c r="I520" s="574"/>
      <c r="J520" s="574"/>
    </row>
    <row r="521">
      <c r="C521" s="139"/>
      <c r="D521" s="139"/>
      <c r="F521" s="426"/>
      <c r="G521" s="578"/>
      <c r="H521" s="574"/>
      <c r="I521" s="574"/>
      <c r="J521" s="574"/>
    </row>
    <row r="522">
      <c r="C522" s="139"/>
      <c r="D522" s="139"/>
      <c r="F522" s="426"/>
      <c r="G522" s="578"/>
      <c r="H522" s="574"/>
      <c r="I522" s="574"/>
      <c r="J522" s="574"/>
    </row>
    <row r="523">
      <c r="C523" s="139"/>
      <c r="D523" s="139"/>
      <c r="F523" s="426"/>
      <c r="G523" s="578"/>
      <c r="H523" s="574"/>
      <c r="I523" s="574"/>
      <c r="J523" s="574"/>
    </row>
    <row r="524">
      <c r="C524" s="139"/>
      <c r="D524" s="139"/>
      <c r="F524" s="426"/>
      <c r="G524" s="578"/>
      <c r="H524" s="574"/>
      <c r="I524" s="574"/>
      <c r="J524" s="574"/>
    </row>
    <row r="525">
      <c r="C525" s="139"/>
      <c r="D525" s="139"/>
      <c r="F525" s="426"/>
      <c r="G525" s="578"/>
      <c r="H525" s="574"/>
      <c r="I525" s="574"/>
      <c r="J525" s="574"/>
    </row>
    <row r="526">
      <c r="C526" s="139"/>
      <c r="D526" s="139"/>
      <c r="F526" s="426"/>
      <c r="G526" s="578"/>
      <c r="H526" s="574"/>
      <c r="I526" s="574"/>
      <c r="J526" s="574"/>
    </row>
    <row r="527">
      <c r="C527" s="139"/>
      <c r="D527" s="139"/>
      <c r="F527" s="426"/>
      <c r="G527" s="578"/>
      <c r="H527" s="574"/>
      <c r="I527" s="574"/>
      <c r="J527" s="574"/>
    </row>
    <row r="528">
      <c r="C528" s="139"/>
      <c r="D528" s="139"/>
      <c r="F528" s="426"/>
      <c r="G528" s="578"/>
      <c r="H528" s="574"/>
      <c r="I528" s="574"/>
      <c r="J528" s="574"/>
    </row>
    <row r="529">
      <c r="C529" s="139"/>
      <c r="D529" s="139"/>
      <c r="F529" s="426"/>
      <c r="G529" s="578"/>
      <c r="H529" s="574"/>
      <c r="I529" s="574"/>
      <c r="J529" s="574"/>
    </row>
    <row r="530">
      <c r="C530" s="139"/>
      <c r="D530" s="139"/>
      <c r="F530" s="426"/>
      <c r="G530" s="578"/>
      <c r="H530" s="574"/>
      <c r="I530" s="574"/>
      <c r="J530" s="574"/>
    </row>
    <row r="531">
      <c r="C531" s="139"/>
      <c r="D531" s="139"/>
      <c r="F531" s="426"/>
      <c r="G531" s="578"/>
      <c r="H531" s="574"/>
      <c r="I531" s="574"/>
      <c r="J531" s="574"/>
    </row>
    <row r="532">
      <c r="C532" s="139"/>
      <c r="D532" s="139"/>
      <c r="F532" s="426"/>
      <c r="G532" s="578"/>
      <c r="H532" s="574"/>
      <c r="I532" s="574"/>
      <c r="J532" s="574"/>
    </row>
    <row r="533">
      <c r="C533" s="139"/>
      <c r="D533" s="139"/>
      <c r="F533" s="426"/>
      <c r="G533" s="578"/>
      <c r="H533" s="574"/>
      <c r="I533" s="574"/>
      <c r="J533" s="574"/>
    </row>
    <row r="534">
      <c r="C534" s="139"/>
      <c r="D534" s="139"/>
      <c r="F534" s="426"/>
      <c r="G534" s="578"/>
      <c r="H534" s="574"/>
      <c r="I534" s="574"/>
      <c r="J534" s="574"/>
    </row>
    <row r="535">
      <c r="C535" s="139"/>
      <c r="D535" s="139"/>
      <c r="F535" s="426"/>
      <c r="G535" s="578"/>
      <c r="H535" s="574"/>
      <c r="I535" s="574"/>
      <c r="J535" s="574"/>
    </row>
    <row r="536">
      <c r="C536" s="139"/>
      <c r="D536" s="139"/>
      <c r="F536" s="426"/>
      <c r="G536" s="578"/>
      <c r="H536" s="574"/>
      <c r="I536" s="574"/>
      <c r="J536" s="574"/>
    </row>
    <row r="537">
      <c r="C537" s="139"/>
      <c r="D537" s="139"/>
      <c r="F537" s="426"/>
      <c r="G537" s="578"/>
      <c r="H537" s="574"/>
      <c r="I537" s="574"/>
      <c r="J537" s="574"/>
    </row>
    <row r="538">
      <c r="C538" s="139"/>
      <c r="D538" s="139"/>
      <c r="F538" s="426"/>
      <c r="G538" s="578"/>
      <c r="H538" s="574"/>
      <c r="I538" s="574"/>
      <c r="J538" s="574"/>
    </row>
    <row r="539">
      <c r="C539" s="139"/>
      <c r="D539" s="139"/>
      <c r="F539" s="426"/>
      <c r="G539" s="578"/>
      <c r="H539" s="574"/>
      <c r="I539" s="574"/>
      <c r="J539" s="574"/>
    </row>
    <row r="540">
      <c r="C540" s="139"/>
      <c r="D540" s="139"/>
      <c r="F540" s="426"/>
      <c r="G540" s="578"/>
      <c r="H540" s="574"/>
      <c r="I540" s="574"/>
      <c r="J540" s="574"/>
    </row>
    <row r="541">
      <c r="C541" s="139"/>
      <c r="D541" s="139"/>
      <c r="F541" s="426"/>
      <c r="G541" s="578"/>
      <c r="H541" s="574"/>
      <c r="I541" s="574"/>
      <c r="J541" s="574"/>
    </row>
    <row r="542">
      <c r="C542" s="139"/>
      <c r="D542" s="139"/>
      <c r="F542" s="426"/>
      <c r="G542" s="578"/>
      <c r="H542" s="574"/>
      <c r="I542" s="574"/>
      <c r="J542" s="574"/>
    </row>
    <row r="543">
      <c r="C543" s="139"/>
      <c r="D543" s="139"/>
      <c r="F543" s="426"/>
      <c r="G543" s="578"/>
      <c r="H543" s="574"/>
      <c r="I543" s="574"/>
      <c r="J543" s="574"/>
    </row>
    <row r="544">
      <c r="C544" s="139"/>
      <c r="D544" s="139"/>
      <c r="F544" s="426"/>
      <c r="G544" s="578"/>
      <c r="H544" s="574"/>
      <c r="I544" s="574"/>
      <c r="J544" s="574"/>
    </row>
    <row r="545">
      <c r="C545" s="139"/>
      <c r="D545" s="139"/>
      <c r="F545" s="426"/>
      <c r="G545" s="578"/>
      <c r="H545" s="574"/>
      <c r="I545" s="574"/>
      <c r="J545" s="574"/>
    </row>
    <row r="546">
      <c r="C546" s="139"/>
      <c r="D546" s="139"/>
      <c r="F546" s="426"/>
      <c r="G546" s="578"/>
      <c r="H546" s="574"/>
      <c r="I546" s="574"/>
      <c r="J546" s="574"/>
    </row>
    <row r="547">
      <c r="C547" s="139"/>
      <c r="D547" s="139"/>
      <c r="F547" s="426"/>
      <c r="G547" s="578"/>
      <c r="H547" s="574"/>
      <c r="I547" s="574"/>
      <c r="J547" s="574"/>
    </row>
    <row r="548">
      <c r="C548" s="139"/>
      <c r="D548" s="139"/>
      <c r="F548" s="426"/>
      <c r="G548" s="578"/>
      <c r="H548" s="574"/>
      <c r="I548" s="574"/>
      <c r="J548" s="574"/>
    </row>
    <row r="549">
      <c r="C549" s="139"/>
      <c r="D549" s="139"/>
      <c r="F549" s="426"/>
      <c r="G549" s="578"/>
      <c r="H549" s="574"/>
      <c r="I549" s="574"/>
      <c r="J549" s="574"/>
    </row>
    <row r="550">
      <c r="C550" s="139"/>
      <c r="D550" s="139"/>
      <c r="F550" s="426"/>
      <c r="G550" s="578"/>
      <c r="H550" s="574"/>
      <c r="I550" s="574"/>
      <c r="J550" s="574"/>
    </row>
    <row r="551">
      <c r="C551" s="139"/>
      <c r="D551" s="139"/>
      <c r="F551" s="426"/>
      <c r="G551" s="578"/>
      <c r="H551" s="574"/>
      <c r="I551" s="574"/>
      <c r="J551" s="574"/>
    </row>
    <row r="552">
      <c r="C552" s="139"/>
      <c r="D552" s="139"/>
      <c r="F552" s="426"/>
      <c r="G552" s="578"/>
      <c r="H552" s="574"/>
      <c r="I552" s="574"/>
      <c r="J552" s="574"/>
    </row>
    <row r="553">
      <c r="C553" s="139"/>
      <c r="D553" s="139"/>
      <c r="F553" s="426"/>
      <c r="G553" s="578"/>
      <c r="H553" s="574"/>
      <c r="I553" s="574"/>
      <c r="J553" s="574"/>
    </row>
    <row r="554">
      <c r="C554" s="139"/>
      <c r="D554" s="139"/>
      <c r="F554" s="426"/>
      <c r="G554" s="578"/>
      <c r="H554" s="574"/>
      <c r="I554" s="574"/>
      <c r="J554" s="574"/>
    </row>
    <row r="555">
      <c r="C555" s="139"/>
      <c r="D555" s="139"/>
      <c r="F555" s="426"/>
      <c r="G555" s="578"/>
      <c r="H555" s="574"/>
      <c r="I555" s="574"/>
      <c r="J555" s="574"/>
    </row>
    <row r="556">
      <c r="C556" s="139"/>
      <c r="D556" s="139"/>
      <c r="F556" s="426"/>
      <c r="G556" s="578"/>
      <c r="H556" s="574"/>
      <c r="I556" s="574"/>
      <c r="J556" s="574"/>
    </row>
    <row r="557">
      <c r="C557" s="139"/>
      <c r="D557" s="139"/>
      <c r="F557" s="426"/>
      <c r="G557" s="578"/>
      <c r="H557" s="574"/>
      <c r="I557" s="574"/>
      <c r="J557" s="574"/>
    </row>
    <row r="558">
      <c r="C558" s="139"/>
      <c r="D558" s="139"/>
      <c r="F558" s="426"/>
      <c r="G558" s="578"/>
      <c r="H558" s="574"/>
      <c r="I558" s="574"/>
      <c r="J558" s="574"/>
    </row>
    <row r="559">
      <c r="C559" s="139"/>
      <c r="D559" s="139"/>
      <c r="F559" s="426"/>
      <c r="G559" s="578"/>
      <c r="H559" s="574"/>
      <c r="I559" s="574"/>
      <c r="J559" s="574"/>
    </row>
    <row r="560">
      <c r="C560" s="139"/>
      <c r="D560" s="139"/>
      <c r="F560" s="426"/>
      <c r="G560" s="578"/>
      <c r="H560" s="574"/>
      <c r="I560" s="574"/>
      <c r="J560" s="574"/>
    </row>
    <row r="561">
      <c r="C561" s="139"/>
      <c r="D561" s="139"/>
      <c r="F561" s="426"/>
      <c r="G561" s="578"/>
      <c r="H561" s="574"/>
      <c r="I561" s="574"/>
      <c r="J561" s="574"/>
    </row>
    <row r="562">
      <c r="C562" s="139"/>
      <c r="D562" s="139"/>
      <c r="F562" s="426"/>
      <c r="G562" s="578"/>
      <c r="H562" s="574"/>
      <c r="I562" s="574"/>
      <c r="J562" s="574"/>
    </row>
    <row r="563">
      <c r="C563" s="139"/>
      <c r="D563" s="139"/>
      <c r="F563" s="426"/>
      <c r="G563" s="578"/>
      <c r="H563" s="574"/>
      <c r="I563" s="574"/>
      <c r="J563" s="574"/>
    </row>
    <row r="564">
      <c r="C564" s="139"/>
      <c r="D564" s="139"/>
      <c r="F564" s="426"/>
      <c r="G564" s="578"/>
      <c r="H564" s="574"/>
      <c r="I564" s="574"/>
      <c r="J564" s="574"/>
    </row>
    <row r="565">
      <c r="C565" s="139"/>
      <c r="D565" s="139"/>
      <c r="F565" s="426"/>
      <c r="G565" s="578"/>
      <c r="H565" s="574"/>
      <c r="I565" s="574"/>
      <c r="J565" s="574"/>
    </row>
    <row r="566">
      <c r="C566" s="139"/>
      <c r="D566" s="139"/>
      <c r="F566" s="426"/>
      <c r="G566" s="578"/>
      <c r="H566" s="574"/>
      <c r="I566" s="574"/>
      <c r="J566" s="574"/>
    </row>
    <row r="567">
      <c r="C567" s="139"/>
      <c r="D567" s="139"/>
      <c r="F567" s="426"/>
      <c r="G567" s="578"/>
      <c r="H567" s="574"/>
      <c r="I567" s="574"/>
      <c r="J567" s="574"/>
    </row>
    <row r="568">
      <c r="C568" s="139"/>
      <c r="D568" s="139"/>
      <c r="F568" s="426"/>
      <c r="G568" s="578"/>
      <c r="H568" s="574"/>
      <c r="I568" s="574"/>
      <c r="J568" s="574"/>
    </row>
    <row r="569">
      <c r="C569" s="139"/>
      <c r="D569" s="139"/>
      <c r="F569" s="426"/>
      <c r="G569" s="578"/>
      <c r="H569" s="574"/>
      <c r="I569" s="574"/>
      <c r="J569" s="574"/>
    </row>
    <row r="570">
      <c r="C570" s="139"/>
      <c r="D570" s="139"/>
      <c r="F570" s="426"/>
      <c r="G570" s="578"/>
      <c r="H570" s="574"/>
      <c r="I570" s="574"/>
      <c r="J570" s="574"/>
    </row>
    <row r="571">
      <c r="C571" s="139"/>
      <c r="D571" s="139"/>
      <c r="F571" s="426"/>
      <c r="G571" s="578"/>
      <c r="H571" s="574"/>
      <c r="I571" s="574"/>
      <c r="J571" s="574"/>
    </row>
    <row r="572">
      <c r="C572" s="139"/>
      <c r="D572" s="139"/>
      <c r="F572" s="426"/>
      <c r="G572" s="578"/>
      <c r="H572" s="574"/>
      <c r="I572" s="574"/>
      <c r="J572" s="574"/>
    </row>
    <row r="573">
      <c r="C573" s="139"/>
      <c r="D573" s="139"/>
      <c r="F573" s="426"/>
      <c r="G573" s="578"/>
      <c r="H573" s="574"/>
      <c r="I573" s="574"/>
      <c r="J573" s="574"/>
    </row>
    <row r="574">
      <c r="C574" s="139"/>
      <c r="D574" s="139"/>
      <c r="F574" s="426"/>
      <c r="G574" s="578"/>
      <c r="H574" s="574"/>
      <c r="I574" s="574"/>
      <c r="J574" s="574"/>
    </row>
    <row r="575">
      <c r="C575" s="139"/>
      <c r="D575" s="139"/>
      <c r="F575" s="426"/>
      <c r="G575" s="578"/>
      <c r="H575" s="574"/>
      <c r="I575" s="574"/>
      <c r="J575" s="574"/>
    </row>
    <row r="576">
      <c r="C576" s="139"/>
      <c r="D576" s="139"/>
      <c r="F576" s="426"/>
      <c r="G576" s="578"/>
      <c r="H576" s="574"/>
      <c r="I576" s="574"/>
      <c r="J576" s="574"/>
    </row>
    <row r="577">
      <c r="C577" s="139"/>
      <c r="D577" s="139"/>
      <c r="F577" s="426"/>
      <c r="G577" s="578"/>
      <c r="H577" s="574"/>
      <c r="I577" s="574"/>
      <c r="J577" s="574"/>
    </row>
    <row r="578">
      <c r="C578" s="139"/>
      <c r="D578" s="139"/>
      <c r="F578" s="426"/>
      <c r="G578" s="578"/>
      <c r="H578" s="574"/>
      <c r="I578" s="574"/>
      <c r="J578" s="574"/>
    </row>
    <row r="579">
      <c r="C579" s="139"/>
      <c r="D579" s="139"/>
      <c r="F579" s="426"/>
      <c r="G579" s="578"/>
      <c r="H579" s="574"/>
      <c r="I579" s="574"/>
      <c r="J579" s="574"/>
    </row>
    <row r="580">
      <c r="C580" s="139"/>
      <c r="D580" s="139"/>
      <c r="F580" s="426"/>
      <c r="G580" s="578"/>
      <c r="H580" s="574"/>
      <c r="I580" s="574"/>
      <c r="J580" s="574"/>
    </row>
    <row r="581">
      <c r="C581" s="139"/>
      <c r="D581" s="139"/>
      <c r="F581" s="426"/>
      <c r="G581" s="578"/>
      <c r="H581" s="574"/>
      <c r="I581" s="574"/>
      <c r="J581" s="574"/>
    </row>
    <row r="582">
      <c r="C582" s="139"/>
      <c r="D582" s="139"/>
      <c r="F582" s="426"/>
      <c r="G582" s="578"/>
      <c r="H582" s="574"/>
      <c r="I582" s="574"/>
      <c r="J582" s="574"/>
    </row>
    <row r="583">
      <c r="C583" s="139"/>
      <c r="D583" s="139"/>
      <c r="F583" s="426"/>
      <c r="G583" s="578"/>
      <c r="H583" s="574"/>
      <c r="I583" s="574"/>
      <c r="J583" s="574"/>
    </row>
    <row r="584">
      <c r="C584" s="139"/>
      <c r="D584" s="139"/>
      <c r="F584" s="426"/>
      <c r="G584" s="578"/>
      <c r="H584" s="574"/>
      <c r="I584" s="574"/>
      <c r="J584" s="574"/>
    </row>
    <row r="585">
      <c r="C585" s="139"/>
      <c r="D585" s="139"/>
      <c r="F585" s="426"/>
      <c r="G585" s="578"/>
      <c r="H585" s="574"/>
      <c r="I585" s="574"/>
      <c r="J585" s="574"/>
    </row>
    <row r="586">
      <c r="C586" s="139"/>
      <c r="D586" s="139"/>
      <c r="F586" s="426"/>
      <c r="G586" s="578"/>
      <c r="H586" s="574"/>
      <c r="I586" s="574"/>
      <c r="J586" s="574"/>
    </row>
    <row r="587">
      <c r="C587" s="139"/>
      <c r="D587" s="139"/>
      <c r="F587" s="426"/>
      <c r="G587" s="578"/>
      <c r="H587" s="574"/>
      <c r="I587" s="574"/>
      <c r="J587" s="574"/>
    </row>
    <row r="588">
      <c r="C588" s="139"/>
      <c r="D588" s="139"/>
      <c r="F588" s="426"/>
      <c r="G588" s="578"/>
      <c r="H588" s="574"/>
      <c r="I588" s="574"/>
      <c r="J588" s="574"/>
    </row>
    <row r="589">
      <c r="C589" s="139"/>
      <c r="D589" s="139"/>
      <c r="F589" s="426"/>
      <c r="G589" s="578"/>
      <c r="H589" s="574"/>
      <c r="I589" s="574"/>
      <c r="J589" s="574"/>
    </row>
    <row r="590">
      <c r="C590" s="139"/>
      <c r="D590" s="139"/>
      <c r="F590" s="426"/>
      <c r="G590" s="578"/>
      <c r="H590" s="574"/>
      <c r="I590" s="574"/>
      <c r="J590" s="574"/>
    </row>
    <row r="591">
      <c r="C591" s="139"/>
      <c r="D591" s="139"/>
      <c r="F591" s="426"/>
      <c r="G591" s="578"/>
      <c r="H591" s="574"/>
      <c r="I591" s="574"/>
      <c r="J591" s="574"/>
    </row>
    <row r="592">
      <c r="C592" s="139"/>
      <c r="D592" s="139"/>
      <c r="F592" s="426"/>
      <c r="G592" s="578"/>
      <c r="H592" s="574"/>
      <c r="I592" s="574"/>
      <c r="J592" s="574"/>
    </row>
    <row r="593">
      <c r="C593" s="139"/>
      <c r="D593" s="139"/>
      <c r="F593" s="426"/>
      <c r="G593" s="578"/>
      <c r="H593" s="574"/>
      <c r="I593" s="574"/>
      <c r="J593" s="574"/>
    </row>
    <row r="594">
      <c r="C594" s="139"/>
      <c r="D594" s="139"/>
      <c r="F594" s="426"/>
      <c r="G594" s="578"/>
      <c r="H594" s="574"/>
      <c r="I594" s="574"/>
      <c r="J594" s="574"/>
    </row>
    <row r="595">
      <c r="C595" s="139"/>
      <c r="D595" s="139"/>
      <c r="F595" s="426"/>
      <c r="G595" s="578"/>
      <c r="H595" s="574"/>
      <c r="I595" s="574"/>
      <c r="J595" s="574"/>
    </row>
    <row r="596">
      <c r="C596" s="139"/>
      <c r="D596" s="139"/>
      <c r="F596" s="426"/>
      <c r="G596" s="578"/>
      <c r="H596" s="574"/>
      <c r="I596" s="574"/>
      <c r="J596" s="574"/>
    </row>
    <row r="597">
      <c r="C597" s="139"/>
      <c r="D597" s="139"/>
      <c r="F597" s="426"/>
      <c r="G597" s="578"/>
      <c r="H597" s="574"/>
      <c r="I597" s="574"/>
      <c r="J597" s="574"/>
    </row>
    <row r="598">
      <c r="C598" s="139"/>
      <c r="D598" s="139"/>
      <c r="F598" s="426"/>
      <c r="G598" s="578"/>
      <c r="H598" s="574"/>
      <c r="I598" s="574"/>
      <c r="J598" s="574"/>
    </row>
    <row r="599">
      <c r="C599" s="139"/>
      <c r="D599" s="139"/>
      <c r="F599" s="426"/>
      <c r="G599" s="578"/>
      <c r="H599" s="574"/>
      <c r="I599" s="574"/>
      <c r="J599" s="574"/>
    </row>
    <row r="600">
      <c r="C600" s="139"/>
      <c r="D600" s="139"/>
      <c r="F600" s="426"/>
      <c r="G600" s="578"/>
      <c r="H600" s="574"/>
      <c r="I600" s="574"/>
      <c r="J600" s="574"/>
    </row>
    <row r="601">
      <c r="C601" s="139"/>
      <c r="D601" s="139"/>
      <c r="F601" s="426"/>
      <c r="G601" s="578"/>
      <c r="H601" s="574"/>
      <c r="I601" s="574"/>
      <c r="J601" s="574"/>
    </row>
    <row r="602">
      <c r="C602" s="139"/>
      <c r="D602" s="139"/>
      <c r="F602" s="426"/>
      <c r="G602" s="578"/>
      <c r="H602" s="574"/>
      <c r="I602" s="574"/>
      <c r="J602" s="574"/>
    </row>
    <row r="603">
      <c r="C603" s="139"/>
      <c r="D603" s="139"/>
      <c r="F603" s="426"/>
      <c r="G603" s="578"/>
      <c r="H603" s="574"/>
      <c r="I603" s="574"/>
      <c r="J603" s="574"/>
    </row>
    <row r="604">
      <c r="C604" s="139"/>
      <c r="D604" s="139"/>
      <c r="F604" s="426"/>
      <c r="G604" s="578"/>
      <c r="H604" s="574"/>
      <c r="I604" s="574"/>
      <c r="J604" s="574"/>
    </row>
    <row r="605">
      <c r="C605" s="139"/>
      <c r="D605" s="139"/>
      <c r="F605" s="426"/>
      <c r="G605" s="578"/>
      <c r="H605" s="574"/>
      <c r="I605" s="574"/>
      <c r="J605" s="574"/>
    </row>
    <row r="606">
      <c r="C606" s="139"/>
      <c r="D606" s="139"/>
      <c r="F606" s="426"/>
      <c r="G606" s="578"/>
      <c r="H606" s="574"/>
      <c r="I606" s="574"/>
      <c r="J606" s="574"/>
    </row>
    <row r="607">
      <c r="C607" s="139"/>
      <c r="D607" s="139"/>
      <c r="F607" s="426"/>
      <c r="G607" s="578"/>
      <c r="H607" s="574"/>
      <c r="I607" s="574"/>
      <c r="J607" s="574"/>
    </row>
    <row r="608">
      <c r="C608" s="139"/>
      <c r="D608" s="139"/>
      <c r="F608" s="426"/>
      <c r="G608" s="578"/>
      <c r="H608" s="574"/>
      <c r="I608" s="574"/>
      <c r="J608" s="574"/>
    </row>
    <row r="609">
      <c r="C609" s="139"/>
      <c r="D609" s="139"/>
      <c r="F609" s="426"/>
      <c r="G609" s="578"/>
      <c r="H609" s="574"/>
      <c r="I609" s="574"/>
      <c r="J609" s="574"/>
    </row>
    <row r="610">
      <c r="C610" s="139"/>
      <c r="D610" s="139"/>
      <c r="F610" s="426"/>
      <c r="G610" s="578"/>
      <c r="H610" s="574"/>
      <c r="I610" s="574"/>
      <c r="J610" s="574"/>
    </row>
    <row r="611">
      <c r="C611" s="139"/>
      <c r="D611" s="139"/>
      <c r="F611" s="426"/>
      <c r="G611" s="578"/>
      <c r="H611" s="574"/>
      <c r="I611" s="574"/>
      <c r="J611" s="574"/>
    </row>
    <row r="612">
      <c r="C612" s="139"/>
      <c r="D612" s="139"/>
      <c r="F612" s="426"/>
      <c r="G612" s="578"/>
      <c r="H612" s="574"/>
      <c r="I612" s="574"/>
      <c r="J612" s="574"/>
    </row>
    <row r="613">
      <c r="C613" s="139"/>
      <c r="D613" s="139"/>
      <c r="F613" s="426"/>
      <c r="G613" s="578"/>
      <c r="H613" s="574"/>
      <c r="I613" s="574"/>
      <c r="J613" s="574"/>
    </row>
    <row r="614">
      <c r="C614" s="139"/>
      <c r="D614" s="139"/>
      <c r="F614" s="426"/>
      <c r="G614" s="578"/>
      <c r="H614" s="574"/>
      <c r="I614" s="574"/>
      <c r="J614" s="574"/>
    </row>
    <row r="615">
      <c r="C615" s="139"/>
      <c r="D615" s="139"/>
      <c r="F615" s="426"/>
      <c r="G615" s="578"/>
      <c r="H615" s="574"/>
      <c r="I615" s="574"/>
      <c r="J615" s="574"/>
    </row>
    <row r="616">
      <c r="C616" s="139"/>
      <c r="D616" s="139"/>
      <c r="F616" s="426"/>
      <c r="G616" s="578"/>
      <c r="H616" s="574"/>
      <c r="I616" s="574"/>
      <c r="J616" s="574"/>
    </row>
    <row r="617">
      <c r="C617" s="139"/>
      <c r="D617" s="139"/>
      <c r="F617" s="426"/>
      <c r="G617" s="578"/>
      <c r="H617" s="574"/>
      <c r="I617" s="574"/>
      <c r="J617" s="574"/>
    </row>
    <row r="618">
      <c r="C618" s="139"/>
      <c r="D618" s="139"/>
      <c r="F618" s="426"/>
      <c r="G618" s="578"/>
      <c r="H618" s="574"/>
      <c r="I618" s="574"/>
      <c r="J618" s="574"/>
    </row>
    <row r="619">
      <c r="C619" s="139"/>
      <c r="D619" s="139"/>
      <c r="F619" s="426"/>
      <c r="G619" s="578"/>
      <c r="H619" s="574"/>
      <c r="I619" s="574"/>
      <c r="J619" s="574"/>
    </row>
    <row r="620">
      <c r="C620" s="139"/>
      <c r="D620" s="139"/>
      <c r="F620" s="426"/>
      <c r="G620" s="578"/>
      <c r="H620" s="574"/>
      <c r="I620" s="574"/>
      <c r="J620" s="574"/>
    </row>
    <row r="621">
      <c r="C621" s="139"/>
      <c r="D621" s="139"/>
      <c r="F621" s="426"/>
      <c r="G621" s="578"/>
      <c r="H621" s="574"/>
      <c r="I621" s="574"/>
      <c r="J621" s="574"/>
    </row>
    <row r="622">
      <c r="C622" s="139"/>
      <c r="D622" s="139"/>
      <c r="F622" s="426"/>
      <c r="G622" s="578"/>
      <c r="H622" s="574"/>
      <c r="I622" s="574"/>
      <c r="J622" s="574"/>
    </row>
    <row r="623">
      <c r="C623" s="139"/>
      <c r="D623" s="139"/>
      <c r="F623" s="426"/>
      <c r="G623" s="578"/>
      <c r="H623" s="574"/>
      <c r="I623" s="574"/>
      <c r="J623" s="574"/>
    </row>
    <row r="624">
      <c r="C624" s="139"/>
      <c r="D624" s="139"/>
      <c r="F624" s="426"/>
      <c r="G624" s="578"/>
      <c r="H624" s="574"/>
      <c r="I624" s="574"/>
      <c r="J624" s="574"/>
    </row>
    <row r="625">
      <c r="C625" s="139"/>
      <c r="D625" s="139"/>
      <c r="F625" s="426"/>
      <c r="G625" s="578"/>
      <c r="H625" s="574"/>
      <c r="I625" s="574"/>
      <c r="J625" s="574"/>
    </row>
    <row r="626">
      <c r="C626" s="139"/>
      <c r="D626" s="139"/>
      <c r="F626" s="426"/>
      <c r="G626" s="578"/>
      <c r="H626" s="574"/>
      <c r="I626" s="574"/>
      <c r="J626" s="574"/>
    </row>
    <row r="627">
      <c r="C627" s="139"/>
      <c r="D627" s="139"/>
      <c r="F627" s="426"/>
      <c r="G627" s="578"/>
      <c r="H627" s="574"/>
      <c r="I627" s="574"/>
      <c r="J627" s="574"/>
    </row>
    <row r="628">
      <c r="C628" s="139"/>
      <c r="D628" s="139"/>
      <c r="F628" s="426"/>
      <c r="G628" s="578"/>
      <c r="H628" s="574"/>
      <c r="I628" s="574"/>
      <c r="J628" s="574"/>
    </row>
    <row r="629">
      <c r="C629" s="139"/>
      <c r="D629" s="139"/>
      <c r="F629" s="426"/>
      <c r="G629" s="578"/>
      <c r="H629" s="574"/>
      <c r="I629" s="574"/>
      <c r="J629" s="574"/>
    </row>
    <row r="630">
      <c r="C630" s="139"/>
      <c r="D630" s="139"/>
      <c r="F630" s="426"/>
      <c r="G630" s="578"/>
      <c r="H630" s="574"/>
      <c r="I630" s="574"/>
      <c r="J630" s="574"/>
    </row>
    <row r="631">
      <c r="C631" s="139"/>
      <c r="D631" s="139"/>
      <c r="F631" s="426"/>
      <c r="G631" s="578"/>
      <c r="H631" s="574"/>
      <c r="I631" s="574"/>
      <c r="J631" s="574"/>
    </row>
    <row r="632">
      <c r="C632" s="139"/>
      <c r="D632" s="139"/>
      <c r="F632" s="426"/>
      <c r="G632" s="578"/>
      <c r="H632" s="574"/>
      <c r="I632" s="574"/>
      <c r="J632" s="574"/>
    </row>
    <row r="633">
      <c r="C633" s="139"/>
      <c r="D633" s="139"/>
      <c r="F633" s="426"/>
      <c r="G633" s="578"/>
      <c r="H633" s="574"/>
      <c r="I633" s="574"/>
      <c r="J633" s="574"/>
    </row>
    <row r="634">
      <c r="C634" s="139"/>
      <c r="D634" s="139"/>
      <c r="F634" s="426"/>
      <c r="G634" s="578"/>
      <c r="H634" s="574"/>
      <c r="I634" s="574"/>
      <c r="J634" s="574"/>
    </row>
    <row r="635">
      <c r="C635" s="139"/>
      <c r="D635" s="139"/>
      <c r="F635" s="426"/>
      <c r="G635" s="578"/>
      <c r="H635" s="574"/>
      <c r="I635" s="574"/>
      <c r="J635" s="574"/>
    </row>
    <row r="636">
      <c r="C636" s="139"/>
      <c r="D636" s="139"/>
      <c r="F636" s="426"/>
      <c r="G636" s="578"/>
      <c r="H636" s="574"/>
      <c r="I636" s="574"/>
      <c r="J636" s="574"/>
    </row>
    <row r="637">
      <c r="C637" s="139"/>
      <c r="D637" s="139"/>
      <c r="F637" s="426"/>
      <c r="G637" s="578"/>
      <c r="H637" s="574"/>
      <c r="I637" s="574"/>
      <c r="J637" s="574"/>
    </row>
    <row r="638">
      <c r="C638" s="139"/>
      <c r="D638" s="139"/>
      <c r="F638" s="426"/>
      <c r="G638" s="578"/>
      <c r="H638" s="574"/>
      <c r="I638" s="574"/>
      <c r="J638" s="574"/>
    </row>
    <row r="639">
      <c r="C639" s="139"/>
      <c r="D639" s="139"/>
      <c r="F639" s="426"/>
      <c r="G639" s="578"/>
      <c r="H639" s="574"/>
      <c r="I639" s="574"/>
      <c r="J639" s="574"/>
    </row>
    <row r="640">
      <c r="C640" s="139"/>
      <c r="D640" s="139"/>
      <c r="F640" s="426"/>
      <c r="G640" s="578"/>
      <c r="H640" s="574"/>
      <c r="I640" s="574"/>
      <c r="J640" s="574"/>
    </row>
    <row r="641">
      <c r="C641" s="139"/>
      <c r="D641" s="139"/>
      <c r="F641" s="426"/>
      <c r="G641" s="578"/>
      <c r="H641" s="574"/>
      <c r="I641" s="574"/>
      <c r="J641" s="574"/>
    </row>
    <row r="642">
      <c r="C642" s="139"/>
      <c r="D642" s="139"/>
      <c r="F642" s="426"/>
      <c r="G642" s="578"/>
      <c r="H642" s="574"/>
      <c r="I642" s="574"/>
      <c r="J642" s="574"/>
    </row>
    <row r="643">
      <c r="C643" s="139"/>
      <c r="D643" s="139"/>
      <c r="F643" s="426"/>
      <c r="G643" s="578"/>
      <c r="H643" s="574"/>
      <c r="I643" s="574"/>
      <c r="J643" s="574"/>
    </row>
    <row r="644">
      <c r="C644" s="139"/>
      <c r="D644" s="139"/>
      <c r="F644" s="426"/>
      <c r="G644" s="578"/>
      <c r="H644" s="574"/>
      <c r="I644" s="574"/>
      <c r="J644" s="574"/>
    </row>
    <row r="645">
      <c r="C645" s="139"/>
      <c r="D645" s="139"/>
      <c r="F645" s="426"/>
      <c r="G645" s="578"/>
      <c r="H645" s="574"/>
      <c r="I645" s="574"/>
      <c r="J645" s="574"/>
    </row>
    <row r="646">
      <c r="C646" s="139"/>
      <c r="D646" s="139"/>
      <c r="F646" s="426"/>
      <c r="G646" s="578"/>
      <c r="H646" s="574"/>
      <c r="I646" s="574"/>
      <c r="J646" s="574"/>
    </row>
    <row r="647">
      <c r="C647" s="139"/>
      <c r="D647" s="139"/>
      <c r="F647" s="426"/>
      <c r="G647" s="578"/>
      <c r="H647" s="574"/>
      <c r="I647" s="574"/>
      <c r="J647" s="574"/>
    </row>
    <row r="648">
      <c r="C648" s="139"/>
      <c r="D648" s="139"/>
      <c r="F648" s="426"/>
      <c r="G648" s="578"/>
      <c r="H648" s="574"/>
      <c r="I648" s="574"/>
      <c r="J648" s="574"/>
    </row>
    <row r="649">
      <c r="C649" s="139"/>
      <c r="D649" s="139"/>
      <c r="F649" s="426"/>
      <c r="G649" s="578"/>
      <c r="H649" s="574"/>
      <c r="I649" s="574"/>
      <c r="J649" s="574"/>
    </row>
    <row r="650">
      <c r="C650" s="139"/>
      <c r="D650" s="139"/>
      <c r="F650" s="426"/>
      <c r="G650" s="578"/>
      <c r="H650" s="574"/>
      <c r="I650" s="574"/>
      <c r="J650" s="574"/>
    </row>
    <row r="651">
      <c r="C651" s="139"/>
      <c r="D651" s="139"/>
      <c r="F651" s="426"/>
      <c r="G651" s="578"/>
      <c r="H651" s="574"/>
      <c r="I651" s="574"/>
      <c r="J651" s="574"/>
    </row>
    <row r="652">
      <c r="C652" s="139"/>
      <c r="D652" s="139"/>
      <c r="F652" s="426"/>
      <c r="G652" s="578"/>
      <c r="H652" s="574"/>
      <c r="I652" s="574"/>
      <c r="J652" s="574"/>
    </row>
    <row r="653">
      <c r="C653" s="139"/>
      <c r="D653" s="139"/>
      <c r="F653" s="426"/>
      <c r="G653" s="578"/>
      <c r="H653" s="574"/>
      <c r="I653" s="574"/>
      <c r="J653" s="574"/>
    </row>
    <row r="654">
      <c r="C654" s="139"/>
      <c r="D654" s="139"/>
      <c r="F654" s="426"/>
      <c r="G654" s="578"/>
      <c r="H654" s="574"/>
      <c r="I654" s="574"/>
      <c r="J654" s="574"/>
    </row>
    <row r="655">
      <c r="C655" s="139"/>
      <c r="D655" s="139"/>
      <c r="F655" s="426"/>
      <c r="G655" s="578"/>
      <c r="H655" s="574"/>
      <c r="I655" s="574"/>
      <c r="J655" s="574"/>
    </row>
    <row r="656">
      <c r="C656" s="139"/>
      <c r="D656" s="139"/>
      <c r="F656" s="426"/>
      <c r="G656" s="578"/>
      <c r="H656" s="574"/>
      <c r="I656" s="574"/>
      <c r="J656" s="574"/>
    </row>
    <row r="657">
      <c r="C657" s="139"/>
      <c r="D657" s="139"/>
      <c r="F657" s="426"/>
      <c r="G657" s="578"/>
      <c r="H657" s="574"/>
      <c r="I657" s="574"/>
      <c r="J657" s="574"/>
    </row>
    <row r="658">
      <c r="C658" s="139"/>
      <c r="D658" s="139"/>
      <c r="F658" s="426"/>
      <c r="G658" s="578"/>
      <c r="H658" s="574"/>
      <c r="I658" s="574"/>
      <c r="J658" s="574"/>
    </row>
    <row r="659">
      <c r="C659" s="139"/>
      <c r="D659" s="139"/>
      <c r="F659" s="426"/>
      <c r="G659" s="578"/>
      <c r="H659" s="574"/>
      <c r="I659" s="574"/>
      <c r="J659" s="574"/>
    </row>
    <row r="660">
      <c r="C660" s="139"/>
      <c r="D660" s="139"/>
      <c r="F660" s="426"/>
      <c r="G660" s="578"/>
      <c r="H660" s="574"/>
      <c r="I660" s="574"/>
      <c r="J660" s="574"/>
    </row>
    <row r="661">
      <c r="C661" s="139"/>
      <c r="D661" s="139"/>
      <c r="F661" s="426"/>
      <c r="G661" s="578"/>
      <c r="H661" s="574"/>
      <c r="I661" s="574"/>
      <c r="J661" s="574"/>
    </row>
    <row r="662">
      <c r="C662" s="139"/>
      <c r="D662" s="139"/>
      <c r="F662" s="426"/>
      <c r="G662" s="578"/>
      <c r="H662" s="574"/>
      <c r="I662" s="574"/>
      <c r="J662" s="574"/>
    </row>
    <row r="663">
      <c r="C663" s="139"/>
      <c r="D663" s="139"/>
      <c r="F663" s="426"/>
      <c r="G663" s="578"/>
      <c r="H663" s="574"/>
      <c r="I663" s="574"/>
      <c r="J663" s="574"/>
    </row>
    <row r="664">
      <c r="C664" s="139"/>
      <c r="D664" s="139"/>
      <c r="F664" s="426"/>
      <c r="G664" s="578"/>
      <c r="H664" s="574"/>
      <c r="I664" s="574"/>
      <c r="J664" s="574"/>
    </row>
    <row r="665">
      <c r="C665" s="139"/>
      <c r="D665" s="139"/>
      <c r="F665" s="426"/>
      <c r="G665" s="578"/>
      <c r="H665" s="574"/>
      <c r="I665" s="574"/>
      <c r="J665" s="574"/>
    </row>
    <row r="666">
      <c r="C666" s="139"/>
      <c r="D666" s="139"/>
      <c r="F666" s="426"/>
      <c r="G666" s="578"/>
      <c r="H666" s="574"/>
      <c r="I666" s="574"/>
      <c r="J666" s="574"/>
    </row>
    <row r="667">
      <c r="C667" s="139"/>
      <c r="D667" s="139"/>
      <c r="F667" s="426"/>
      <c r="G667" s="578"/>
      <c r="H667" s="574"/>
      <c r="I667" s="574"/>
      <c r="J667" s="574"/>
    </row>
    <row r="668">
      <c r="C668" s="139"/>
      <c r="D668" s="139"/>
      <c r="F668" s="426"/>
      <c r="G668" s="578"/>
      <c r="H668" s="574"/>
      <c r="I668" s="574"/>
      <c r="J668" s="574"/>
    </row>
    <row r="669">
      <c r="C669" s="139"/>
      <c r="D669" s="139"/>
      <c r="F669" s="426"/>
      <c r="G669" s="578"/>
      <c r="H669" s="574"/>
      <c r="I669" s="574"/>
      <c r="J669" s="574"/>
    </row>
    <row r="670">
      <c r="C670" s="139"/>
      <c r="D670" s="139"/>
      <c r="F670" s="426"/>
      <c r="G670" s="578"/>
      <c r="H670" s="574"/>
      <c r="I670" s="574"/>
      <c r="J670" s="574"/>
    </row>
    <row r="671">
      <c r="C671" s="139"/>
      <c r="D671" s="139"/>
      <c r="F671" s="426"/>
      <c r="G671" s="578"/>
      <c r="H671" s="574"/>
      <c r="I671" s="574"/>
      <c r="J671" s="574"/>
    </row>
    <row r="672">
      <c r="C672" s="139"/>
      <c r="D672" s="139"/>
      <c r="F672" s="426"/>
      <c r="G672" s="578"/>
      <c r="H672" s="574"/>
      <c r="I672" s="574"/>
      <c r="J672" s="574"/>
    </row>
    <row r="673">
      <c r="C673" s="139"/>
      <c r="D673" s="139"/>
      <c r="F673" s="426"/>
      <c r="G673" s="578"/>
      <c r="H673" s="574"/>
      <c r="I673" s="574"/>
      <c r="J673" s="574"/>
    </row>
    <row r="674">
      <c r="C674" s="139"/>
      <c r="D674" s="139"/>
      <c r="F674" s="426"/>
      <c r="G674" s="578"/>
      <c r="H674" s="574"/>
      <c r="I674" s="574"/>
      <c r="J674" s="574"/>
    </row>
    <row r="675">
      <c r="C675" s="139"/>
      <c r="D675" s="139"/>
      <c r="F675" s="426"/>
      <c r="G675" s="578"/>
      <c r="H675" s="574"/>
      <c r="I675" s="574"/>
      <c r="J675" s="574"/>
    </row>
    <row r="676">
      <c r="C676" s="139"/>
      <c r="D676" s="139"/>
      <c r="F676" s="426"/>
      <c r="G676" s="578"/>
      <c r="H676" s="574"/>
      <c r="I676" s="574"/>
      <c r="J676" s="574"/>
    </row>
    <row r="677">
      <c r="C677" s="139"/>
      <c r="D677" s="139"/>
      <c r="F677" s="426"/>
      <c r="G677" s="578"/>
      <c r="H677" s="574"/>
      <c r="I677" s="574"/>
      <c r="J677" s="574"/>
    </row>
    <row r="678">
      <c r="C678" s="139"/>
      <c r="D678" s="139"/>
      <c r="F678" s="426"/>
      <c r="G678" s="578"/>
      <c r="H678" s="574"/>
      <c r="I678" s="574"/>
      <c r="J678" s="574"/>
    </row>
    <row r="679">
      <c r="C679" s="139"/>
      <c r="D679" s="139"/>
      <c r="F679" s="426"/>
      <c r="G679" s="578"/>
      <c r="H679" s="574"/>
      <c r="I679" s="574"/>
      <c r="J679" s="574"/>
    </row>
    <row r="680">
      <c r="C680" s="139"/>
      <c r="D680" s="139"/>
      <c r="F680" s="426"/>
      <c r="G680" s="578"/>
      <c r="H680" s="574"/>
      <c r="I680" s="574"/>
      <c r="J680" s="574"/>
    </row>
    <row r="681">
      <c r="C681" s="139"/>
      <c r="D681" s="139"/>
      <c r="F681" s="426"/>
      <c r="G681" s="578"/>
      <c r="H681" s="574"/>
      <c r="I681" s="574"/>
      <c r="J681" s="574"/>
    </row>
    <row r="682">
      <c r="C682" s="139"/>
      <c r="D682" s="139"/>
      <c r="F682" s="426"/>
      <c r="G682" s="578"/>
      <c r="H682" s="574"/>
      <c r="I682" s="574"/>
      <c r="J682" s="574"/>
    </row>
    <row r="683">
      <c r="C683" s="139"/>
      <c r="D683" s="139"/>
      <c r="F683" s="426"/>
      <c r="G683" s="578"/>
      <c r="H683" s="574"/>
      <c r="I683" s="574"/>
      <c r="J683" s="574"/>
    </row>
    <row r="684">
      <c r="C684" s="139"/>
      <c r="D684" s="139"/>
      <c r="F684" s="426"/>
      <c r="G684" s="578"/>
      <c r="H684" s="574"/>
      <c r="I684" s="574"/>
      <c r="J684" s="574"/>
    </row>
    <row r="685">
      <c r="C685" s="139"/>
      <c r="D685" s="139"/>
      <c r="F685" s="426"/>
      <c r="G685" s="578"/>
      <c r="H685" s="574"/>
      <c r="I685" s="574"/>
      <c r="J685" s="574"/>
    </row>
    <row r="686">
      <c r="C686" s="139"/>
      <c r="D686" s="139"/>
      <c r="F686" s="426"/>
      <c r="G686" s="578"/>
      <c r="H686" s="574"/>
      <c r="I686" s="574"/>
      <c r="J686" s="574"/>
    </row>
    <row r="687">
      <c r="C687" s="139"/>
      <c r="D687" s="139"/>
      <c r="F687" s="426"/>
      <c r="G687" s="578"/>
      <c r="H687" s="574"/>
      <c r="I687" s="574"/>
      <c r="J687" s="574"/>
    </row>
    <row r="688">
      <c r="C688" s="139"/>
      <c r="D688" s="139"/>
      <c r="F688" s="426"/>
      <c r="G688" s="578"/>
      <c r="H688" s="574"/>
      <c r="I688" s="574"/>
      <c r="J688" s="574"/>
    </row>
    <row r="689">
      <c r="C689" s="139"/>
      <c r="D689" s="139"/>
      <c r="F689" s="426"/>
      <c r="G689" s="578"/>
      <c r="H689" s="574"/>
      <c r="I689" s="574"/>
      <c r="J689" s="574"/>
    </row>
    <row r="690">
      <c r="C690" s="139"/>
      <c r="D690" s="139"/>
      <c r="F690" s="426"/>
      <c r="G690" s="578"/>
      <c r="H690" s="574"/>
      <c r="I690" s="574"/>
      <c r="J690" s="574"/>
    </row>
    <row r="691">
      <c r="C691" s="139"/>
      <c r="D691" s="139"/>
      <c r="F691" s="426"/>
      <c r="G691" s="578"/>
      <c r="H691" s="574"/>
      <c r="I691" s="574"/>
      <c r="J691" s="574"/>
    </row>
    <row r="692">
      <c r="C692" s="139"/>
      <c r="D692" s="139"/>
      <c r="F692" s="426"/>
      <c r="G692" s="578"/>
      <c r="H692" s="574"/>
      <c r="I692" s="574"/>
      <c r="J692" s="574"/>
    </row>
    <row r="693">
      <c r="C693" s="139"/>
      <c r="D693" s="139"/>
      <c r="F693" s="426"/>
      <c r="G693" s="578"/>
      <c r="H693" s="574"/>
      <c r="I693" s="574"/>
      <c r="J693" s="574"/>
    </row>
    <row r="694">
      <c r="C694" s="139"/>
      <c r="D694" s="139"/>
      <c r="F694" s="426"/>
      <c r="G694" s="578"/>
      <c r="H694" s="574"/>
      <c r="I694" s="574"/>
      <c r="J694" s="574"/>
    </row>
    <row r="695">
      <c r="C695" s="139"/>
      <c r="D695" s="139"/>
      <c r="F695" s="426"/>
      <c r="G695" s="578"/>
      <c r="H695" s="574"/>
      <c r="I695" s="574"/>
      <c r="J695" s="574"/>
    </row>
    <row r="696">
      <c r="C696" s="139"/>
      <c r="D696" s="139"/>
      <c r="F696" s="426"/>
      <c r="G696" s="578"/>
      <c r="H696" s="574"/>
      <c r="I696" s="574"/>
      <c r="J696" s="574"/>
    </row>
    <row r="697">
      <c r="C697" s="139"/>
      <c r="D697" s="139"/>
      <c r="F697" s="426"/>
      <c r="G697" s="578"/>
      <c r="H697" s="574"/>
      <c r="I697" s="574"/>
      <c r="J697" s="574"/>
    </row>
    <row r="698">
      <c r="C698" s="139"/>
      <c r="D698" s="139"/>
      <c r="F698" s="426"/>
      <c r="G698" s="578"/>
      <c r="H698" s="574"/>
      <c r="I698" s="574"/>
      <c r="J698" s="574"/>
    </row>
    <row r="699">
      <c r="C699" s="139"/>
      <c r="D699" s="139"/>
      <c r="F699" s="426"/>
      <c r="G699" s="578"/>
      <c r="H699" s="574"/>
      <c r="I699" s="574"/>
      <c r="J699" s="574"/>
    </row>
    <row r="700">
      <c r="C700" s="139"/>
      <c r="D700" s="139"/>
      <c r="F700" s="426"/>
      <c r="G700" s="578"/>
      <c r="H700" s="574"/>
      <c r="I700" s="574"/>
      <c r="J700" s="574"/>
    </row>
    <row r="701">
      <c r="C701" s="139"/>
      <c r="D701" s="139"/>
      <c r="F701" s="426"/>
      <c r="G701" s="578"/>
      <c r="H701" s="574"/>
      <c r="I701" s="574"/>
      <c r="J701" s="574"/>
    </row>
    <row r="702">
      <c r="C702" s="139"/>
      <c r="D702" s="139"/>
      <c r="F702" s="426"/>
      <c r="G702" s="578"/>
      <c r="H702" s="574"/>
      <c r="I702" s="574"/>
      <c r="J702" s="574"/>
    </row>
    <row r="703">
      <c r="C703" s="139"/>
      <c r="D703" s="139"/>
      <c r="F703" s="426"/>
      <c r="G703" s="578"/>
      <c r="H703" s="574"/>
      <c r="I703" s="574"/>
      <c r="J703" s="574"/>
    </row>
    <row r="704">
      <c r="C704" s="139"/>
      <c r="D704" s="139"/>
      <c r="F704" s="426"/>
      <c r="G704" s="578"/>
      <c r="H704" s="574"/>
      <c r="I704" s="574"/>
      <c r="J704" s="574"/>
    </row>
    <row r="705">
      <c r="C705" s="139"/>
      <c r="D705" s="139"/>
      <c r="F705" s="426"/>
      <c r="G705" s="578"/>
      <c r="H705" s="574"/>
      <c r="I705" s="574"/>
      <c r="J705" s="574"/>
    </row>
    <row r="706">
      <c r="C706" s="139"/>
      <c r="D706" s="139"/>
      <c r="F706" s="426"/>
      <c r="G706" s="578"/>
      <c r="H706" s="574"/>
      <c r="I706" s="574"/>
      <c r="J706" s="574"/>
    </row>
    <row r="707">
      <c r="C707" s="139"/>
      <c r="D707" s="139"/>
      <c r="F707" s="426"/>
      <c r="G707" s="578"/>
      <c r="H707" s="574"/>
      <c r="I707" s="574"/>
      <c r="J707" s="574"/>
    </row>
    <row r="708">
      <c r="C708" s="139"/>
      <c r="D708" s="139"/>
      <c r="F708" s="426"/>
      <c r="G708" s="578"/>
      <c r="H708" s="574"/>
      <c r="I708" s="574"/>
      <c r="J708" s="574"/>
    </row>
    <row r="709">
      <c r="C709" s="139"/>
      <c r="D709" s="139"/>
      <c r="F709" s="426"/>
      <c r="G709" s="578"/>
      <c r="H709" s="574"/>
      <c r="I709" s="574"/>
      <c r="J709" s="574"/>
    </row>
    <row r="710">
      <c r="C710" s="139"/>
      <c r="D710" s="139"/>
      <c r="F710" s="426"/>
      <c r="G710" s="578"/>
      <c r="H710" s="574"/>
      <c r="I710" s="574"/>
      <c r="J710" s="574"/>
    </row>
    <row r="711">
      <c r="C711" s="139"/>
      <c r="D711" s="139"/>
      <c r="F711" s="426"/>
      <c r="G711" s="578"/>
      <c r="H711" s="574"/>
      <c r="I711" s="574"/>
      <c r="J711" s="574"/>
    </row>
    <row r="712">
      <c r="C712" s="139"/>
      <c r="D712" s="139"/>
      <c r="F712" s="426"/>
      <c r="G712" s="578"/>
      <c r="H712" s="574"/>
      <c r="I712" s="574"/>
      <c r="J712" s="574"/>
    </row>
    <row r="713">
      <c r="C713" s="139"/>
      <c r="D713" s="139"/>
      <c r="F713" s="426"/>
      <c r="G713" s="578"/>
      <c r="H713" s="574"/>
      <c r="I713" s="574"/>
      <c r="J713" s="574"/>
    </row>
    <row r="714">
      <c r="C714" s="139"/>
      <c r="D714" s="139"/>
      <c r="F714" s="426"/>
      <c r="G714" s="578"/>
      <c r="H714" s="574"/>
      <c r="I714" s="574"/>
      <c r="J714" s="574"/>
    </row>
    <row r="715">
      <c r="C715" s="139"/>
      <c r="D715" s="139"/>
      <c r="F715" s="426"/>
      <c r="G715" s="578"/>
      <c r="H715" s="574"/>
      <c r="I715" s="574"/>
      <c r="J715" s="574"/>
    </row>
    <row r="716">
      <c r="C716" s="139"/>
      <c r="D716" s="139"/>
      <c r="F716" s="426"/>
      <c r="G716" s="578"/>
      <c r="H716" s="574"/>
      <c r="I716" s="574"/>
      <c r="J716" s="574"/>
    </row>
    <row r="717">
      <c r="C717" s="139"/>
      <c r="D717" s="139"/>
      <c r="F717" s="426"/>
      <c r="G717" s="578"/>
      <c r="H717" s="574"/>
      <c r="I717" s="574"/>
      <c r="J717" s="574"/>
    </row>
    <row r="718">
      <c r="C718" s="139"/>
      <c r="D718" s="139"/>
      <c r="F718" s="426"/>
      <c r="G718" s="578"/>
      <c r="H718" s="574"/>
      <c r="I718" s="574"/>
      <c r="J718" s="574"/>
    </row>
    <row r="719">
      <c r="C719" s="139"/>
      <c r="D719" s="139"/>
      <c r="F719" s="426"/>
      <c r="G719" s="578"/>
      <c r="H719" s="574"/>
      <c r="I719" s="574"/>
      <c r="J719" s="574"/>
    </row>
    <row r="720">
      <c r="C720" s="139"/>
      <c r="D720" s="139"/>
      <c r="F720" s="426"/>
      <c r="G720" s="578"/>
      <c r="H720" s="574"/>
      <c r="I720" s="574"/>
      <c r="J720" s="574"/>
    </row>
    <row r="721">
      <c r="C721" s="139"/>
      <c r="D721" s="139"/>
      <c r="F721" s="426"/>
      <c r="G721" s="578"/>
      <c r="H721" s="574"/>
      <c r="I721" s="574"/>
      <c r="J721" s="574"/>
    </row>
    <row r="722">
      <c r="C722" s="139"/>
      <c r="D722" s="139"/>
      <c r="F722" s="426"/>
      <c r="G722" s="578"/>
      <c r="H722" s="574"/>
      <c r="I722" s="574"/>
      <c r="J722" s="574"/>
    </row>
    <row r="723">
      <c r="C723" s="139"/>
      <c r="D723" s="139"/>
      <c r="F723" s="426"/>
      <c r="G723" s="578"/>
      <c r="H723" s="574"/>
      <c r="I723" s="574"/>
      <c r="J723" s="574"/>
    </row>
    <row r="724">
      <c r="C724" s="139"/>
      <c r="D724" s="139"/>
      <c r="F724" s="426"/>
      <c r="G724" s="578"/>
      <c r="H724" s="574"/>
      <c r="I724" s="574"/>
      <c r="J724" s="574"/>
    </row>
    <row r="725">
      <c r="C725" s="139"/>
      <c r="D725" s="139"/>
      <c r="F725" s="426"/>
      <c r="G725" s="578"/>
      <c r="H725" s="574"/>
      <c r="I725" s="574"/>
      <c r="J725" s="574"/>
    </row>
    <row r="726">
      <c r="C726" s="139"/>
      <c r="D726" s="139"/>
      <c r="F726" s="426"/>
      <c r="G726" s="578"/>
      <c r="H726" s="574"/>
      <c r="I726" s="574"/>
      <c r="J726" s="574"/>
    </row>
    <row r="727">
      <c r="C727" s="139"/>
      <c r="D727" s="139"/>
      <c r="F727" s="426"/>
      <c r="G727" s="578"/>
      <c r="H727" s="574"/>
      <c r="I727" s="574"/>
      <c r="J727" s="574"/>
    </row>
    <row r="728">
      <c r="C728" s="139"/>
      <c r="D728" s="139"/>
      <c r="F728" s="426"/>
      <c r="G728" s="578"/>
      <c r="H728" s="574"/>
      <c r="I728" s="574"/>
      <c r="J728" s="574"/>
    </row>
    <row r="729">
      <c r="C729" s="139"/>
      <c r="D729" s="139"/>
      <c r="F729" s="426"/>
      <c r="G729" s="578"/>
      <c r="H729" s="574"/>
      <c r="I729" s="574"/>
      <c r="J729" s="574"/>
    </row>
    <row r="730">
      <c r="C730" s="139"/>
      <c r="D730" s="139"/>
      <c r="F730" s="426"/>
      <c r="G730" s="578"/>
      <c r="H730" s="574"/>
      <c r="I730" s="574"/>
      <c r="J730" s="574"/>
    </row>
    <row r="731">
      <c r="C731" s="139"/>
      <c r="D731" s="139"/>
      <c r="F731" s="426"/>
      <c r="G731" s="578"/>
      <c r="H731" s="574"/>
      <c r="I731" s="574"/>
      <c r="J731" s="574"/>
    </row>
    <row r="732">
      <c r="C732" s="139"/>
      <c r="D732" s="139"/>
      <c r="F732" s="426"/>
      <c r="G732" s="578"/>
      <c r="H732" s="574"/>
      <c r="I732" s="574"/>
      <c r="J732" s="574"/>
    </row>
    <row r="733">
      <c r="C733" s="139"/>
      <c r="D733" s="139"/>
      <c r="F733" s="426"/>
      <c r="G733" s="578"/>
      <c r="H733" s="574"/>
      <c r="I733" s="574"/>
      <c r="J733" s="574"/>
    </row>
    <row r="734">
      <c r="C734" s="139"/>
      <c r="D734" s="139"/>
      <c r="F734" s="426"/>
      <c r="G734" s="578"/>
      <c r="H734" s="574"/>
      <c r="I734" s="574"/>
      <c r="J734" s="574"/>
    </row>
    <row r="735">
      <c r="C735" s="139"/>
      <c r="D735" s="139"/>
      <c r="F735" s="426"/>
      <c r="G735" s="578"/>
      <c r="H735" s="574"/>
      <c r="I735" s="574"/>
      <c r="J735" s="574"/>
    </row>
    <row r="736">
      <c r="C736" s="139"/>
      <c r="D736" s="139"/>
      <c r="F736" s="426"/>
      <c r="G736" s="578"/>
      <c r="H736" s="574"/>
      <c r="I736" s="574"/>
      <c r="J736" s="574"/>
    </row>
    <row r="737">
      <c r="C737" s="139"/>
      <c r="D737" s="139"/>
      <c r="F737" s="426"/>
      <c r="G737" s="578"/>
      <c r="H737" s="574"/>
      <c r="I737" s="574"/>
      <c r="J737" s="574"/>
    </row>
    <row r="738">
      <c r="C738" s="139"/>
      <c r="D738" s="139"/>
      <c r="F738" s="426"/>
      <c r="G738" s="578"/>
      <c r="H738" s="574"/>
      <c r="I738" s="574"/>
      <c r="J738" s="574"/>
    </row>
    <row r="739">
      <c r="C739" s="139"/>
      <c r="D739" s="139"/>
      <c r="F739" s="426"/>
      <c r="G739" s="578"/>
      <c r="H739" s="574"/>
      <c r="I739" s="574"/>
      <c r="J739" s="574"/>
    </row>
    <row r="740">
      <c r="C740" s="139"/>
      <c r="D740" s="139"/>
      <c r="F740" s="426"/>
      <c r="G740" s="578"/>
      <c r="H740" s="574"/>
      <c r="I740" s="574"/>
      <c r="J740" s="574"/>
    </row>
    <row r="741">
      <c r="C741" s="139"/>
      <c r="D741" s="139"/>
      <c r="F741" s="426"/>
      <c r="G741" s="578"/>
      <c r="H741" s="574"/>
      <c r="I741" s="574"/>
      <c r="J741" s="574"/>
    </row>
    <row r="742">
      <c r="C742" s="139"/>
      <c r="D742" s="139"/>
      <c r="F742" s="426"/>
      <c r="G742" s="578"/>
      <c r="H742" s="574"/>
      <c r="I742" s="574"/>
      <c r="J742" s="574"/>
    </row>
    <row r="743">
      <c r="C743" s="139"/>
      <c r="D743" s="139"/>
      <c r="F743" s="426"/>
      <c r="G743" s="578"/>
      <c r="H743" s="574"/>
      <c r="I743" s="574"/>
      <c r="J743" s="574"/>
    </row>
    <row r="744">
      <c r="C744" s="139"/>
      <c r="D744" s="139"/>
      <c r="F744" s="426"/>
      <c r="G744" s="578"/>
      <c r="H744" s="574"/>
      <c r="I744" s="574"/>
      <c r="J744" s="574"/>
    </row>
    <row r="745">
      <c r="C745" s="139"/>
      <c r="D745" s="139"/>
      <c r="F745" s="426"/>
      <c r="G745" s="578"/>
      <c r="H745" s="574"/>
      <c r="I745" s="574"/>
      <c r="J745" s="574"/>
    </row>
    <row r="746">
      <c r="C746" s="139"/>
      <c r="D746" s="139"/>
      <c r="F746" s="426"/>
      <c r="G746" s="578"/>
      <c r="H746" s="574"/>
      <c r="I746" s="574"/>
      <c r="J746" s="574"/>
    </row>
    <row r="747">
      <c r="C747" s="139"/>
      <c r="D747" s="139"/>
      <c r="F747" s="426"/>
      <c r="G747" s="578"/>
      <c r="H747" s="574"/>
      <c r="I747" s="574"/>
      <c r="J747" s="574"/>
    </row>
    <row r="748">
      <c r="C748" s="139"/>
      <c r="D748" s="139"/>
      <c r="F748" s="426"/>
      <c r="G748" s="578"/>
      <c r="H748" s="574"/>
      <c r="I748" s="574"/>
      <c r="J748" s="574"/>
    </row>
    <row r="749">
      <c r="C749" s="139"/>
      <c r="D749" s="139"/>
      <c r="F749" s="426"/>
      <c r="G749" s="578"/>
      <c r="H749" s="574"/>
      <c r="I749" s="574"/>
      <c r="J749" s="574"/>
    </row>
    <row r="750">
      <c r="C750" s="139"/>
      <c r="D750" s="139"/>
      <c r="F750" s="426"/>
      <c r="G750" s="578"/>
      <c r="H750" s="574"/>
      <c r="I750" s="574"/>
      <c r="J750" s="574"/>
    </row>
    <row r="751">
      <c r="C751" s="139"/>
      <c r="D751" s="139"/>
      <c r="F751" s="426"/>
      <c r="G751" s="578"/>
      <c r="H751" s="574"/>
      <c r="I751" s="574"/>
      <c r="J751" s="574"/>
    </row>
    <row r="752">
      <c r="C752" s="139"/>
      <c r="D752" s="139"/>
      <c r="F752" s="426"/>
      <c r="G752" s="578"/>
      <c r="H752" s="574"/>
      <c r="I752" s="574"/>
      <c r="J752" s="574"/>
    </row>
    <row r="753">
      <c r="C753" s="139"/>
      <c r="D753" s="139"/>
      <c r="F753" s="426"/>
      <c r="G753" s="578"/>
      <c r="H753" s="574"/>
      <c r="I753" s="574"/>
      <c r="J753" s="574"/>
    </row>
    <row r="754">
      <c r="C754" s="139"/>
      <c r="D754" s="139"/>
      <c r="F754" s="426"/>
      <c r="G754" s="578"/>
      <c r="H754" s="574"/>
      <c r="I754" s="574"/>
      <c r="J754" s="574"/>
    </row>
    <row r="755">
      <c r="C755" s="139"/>
      <c r="D755" s="139"/>
      <c r="F755" s="426"/>
      <c r="G755" s="578"/>
      <c r="H755" s="574"/>
      <c r="I755" s="574"/>
      <c r="J755" s="574"/>
    </row>
    <row r="756">
      <c r="C756" s="139"/>
      <c r="D756" s="139"/>
      <c r="F756" s="426"/>
      <c r="G756" s="578"/>
      <c r="H756" s="574"/>
      <c r="I756" s="574"/>
      <c r="J756" s="574"/>
    </row>
    <row r="757">
      <c r="C757" s="139"/>
      <c r="D757" s="139"/>
      <c r="F757" s="426"/>
      <c r="G757" s="578"/>
      <c r="H757" s="574"/>
      <c r="I757" s="574"/>
      <c r="J757" s="574"/>
    </row>
    <row r="758">
      <c r="C758" s="139"/>
      <c r="D758" s="139"/>
      <c r="F758" s="426"/>
      <c r="G758" s="578"/>
      <c r="H758" s="574"/>
      <c r="I758" s="574"/>
      <c r="J758" s="574"/>
    </row>
    <row r="759">
      <c r="C759" s="139"/>
      <c r="D759" s="139"/>
      <c r="F759" s="426"/>
      <c r="G759" s="578"/>
      <c r="H759" s="574"/>
      <c r="I759" s="574"/>
      <c r="J759" s="574"/>
    </row>
    <row r="760">
      <c r="C760" s="139"/>
      <c r="D760" s="139"/>
      <c r="F760" s="426"/>
      <c r="G760" s="578"/>
      <c r="H760" s="574"/>
      <c r="I760" s="574"/>
      <c r="J760" s="574"/>
    </row>
    <row r="761">
      <c r="C761" s="139"/>
      <c r="D761" s="139"/>
      <c r="F761" s="426"/>
      <c r="G761" s="578"/>
      <c r="H761" s="574"/>
      <c r="I761" s="574"/>
      <c r="J761" s="574"/>
    </row>
    <row r="762">
      <c r="C762" s="139"/>
      <c r="D762" s="139"/>
      <c r="F762" s="426"/>
      <c r="G762" s="578"/>
      <c r="H762" s="574"/>
      <c r="I762" s="574"/>
      <c r="J762" s="574"/>
    </row>
    <row r="763">
      <c r="C763" s="139"/>
      <c r="D763" s="139"/>
      <c r="F763" s="426"/>
      <c r="G763" s="578"/>
      <c r="H763" s="574"/>
      <c r="I763" s="574"/>
      <c r="J763" s="574"/>
    </row>
    <row r="764">
      <c r="C764" s="139"/>
      <c r="D764" s="139"/>
      <c r="F764" s="426"/>
      <c r="G764" s="578"/>
      <c r="H764" s="574"/>
      <c r="I764" s="574"/>
      <c r="J764" s="574"/>
    </row>
    <row r="765">
      <c r="C765" s="139"/>
      <c r="D765" s="139"/>
      <c r="F765" s="426"/>
      <c r="G765" s="578"/>
      <c r="H765" s="574"/>
      <c r="I765" s="574"/>
      <c r="J765" s="574"/>
    </row>
    <row r="766">
      <c r="C766" s="139"/>
      <c r="D766" s="139"/>
      <c r="F766" s="426"/>
      <c r="G766" s="578"/>
      <c r="H766" s="574"/>
      <c r="I766" s="574"/>
      <c r="J766" s="574"/>
    </row>
    <row r="767">
      <c r="C767" s="139"/>
      <c r="D767" s="139"/>
      <c r="F767" s="426"/>
      <c r="G767" s="578"/>
      <c r="H767" s="574"/>
      <c r="I767" s="574"/>
      <c r="J767" s="574"/>
    </row>
    <row r="768">
      <c r="C768" s="139"/>
      <c r="D768" s="139"/>
      <c r="F768" s="426"/>
      <c r="G768" s="578"/>
      <c r="H768" s="574"/>
      <c r="I768" s="574"/>
      <c r="J768" s="574"/>
    </row>
    <row r="769">
      <c r="C769" s="139"/>
      <c r="D769" s="139"/>
      <c r="F769" s="426"/>
      <c r="G769" s="578"/>
      <c r="H769" s="574"/>
      <c r="I769" s="574"/>
      <c r="J769" s="574"/>
    </row>
    <row r="770">
      <c r="C770" s="139"/>
      <c r="D770" s="139"/>
      <c r="F770" s="426"/>
      <c r="G770" s="578"/>
      <c r="H770" s="574"/>
      <c r="I770" s="574"/>
      <c r="J770" s="574"/>
    </row>
    <row r="771">
      <c r="C771" s="139"/>
      <c r="D771" s="139"/>
      <c r="F771" s="426"/>
      <c r="G771" s="578"/>
      <c r="H771" s="574"/>
      <c r="I771" s="574"/>
      <c r="J771" s="574"/>
    </row>
    <row r="772">
      <c r="C772" s="139"/>
      <c r="D772" s="139"/>
      <c r="F772" s="426"/>
      <c r="G772" s="578"/>
      <c r="H772" s="574"/>
      <c r="I772" s="574"/>
      <c r="J772" s="574"/>
    </row>
    <row r="773">
      <c r="C773" s="139"/>
      <c r="D773" s="139"/>
      <c r="F773" s="426"/>
      <c r="G773" s="578"/>
      <c r="H773" s="574"/>
      <c r="I773" s="574"/>
      <c r="J773" s="574"/>
    </row>
    <row r="774">
      <c r="C774" s="139"/>
      <c r="D774" s="139"/>
      <c r="F774" s="426"/>
      <c r="G774" s="578"/>
      <c r="H774" s="574"/>
      <c r="I774" s="574"/>
      <c r="J774" s="574"/>
    </row>
    <row r="775">
      <c r="C775" s="139"/>
      <c r="D775" s="139"/>
      <c r="F775" s="426"/>
      <c r="G775" s="578"/>
      <c r="H775" s="574"/>
      <c r="I775" s="574"/>
      <c r="J775" s="574"/>
    </row>
    <row r="776">
      <c r="C776" s="139"/>
      <c r="D776" s="139"/>
      <c r="F776" s="426"/>
      <c r="G776" s="578"/>
      <c r="H776" s="574"/>
      <c r="I776" s="574"/>
      <c r="J776" s="574"/>
    </row>
    <row r="777">
      <c r="C777" s="139"/>
      <c r="D777" s="139"/>
      <c r="F777" s="426"/>
      <c r="G777" s="578"/>
      <c r="H777" s="574"/>
      <c r="I777" s="574"/>
      <c r="J777" s="574"/>
    </row>
    <row r="778">
      <c r="C778" s="139"/>
      <c r="D778" s="139"/>
      <c r="F778" s="426"/>
      <c r="G778" s="578"/>
      <c r="H778" s="574"/>
      <c r="I778" s="574"/>
      <c r="J778" s="574"/>
    </row>
    <row r="779">
      <c r="C779" s="139"/>
      <c r="D779" s="139"/>
      <c r="F779" s="426"/>
      <c r="G779" s="578"/>
      <c r="H779" s="574"/>
      <c r="I779" s="574"/>
      <c r="J779" s="574"/>
    </row>
    <row r="780">
      <c r="C780" s="139"/>
      <c r="D780" s="139"/>
      <c r="F780" s="426"/>
      <c r="G780" s="578"/>
      <c r="H780" s="574"/>
      <c r="I780" s="574"/>
      <c r="J780" s="574"/>
    </row>
    <row r="781">
      <c r="C781" s="139"/>
      <c r="D781" s="139"/>
      <c r="F781" s="426"/>
      <c r="G781" s="578"/>
      <c r="H781" s="574"/>
      <c r="I781" s="574"/>
      <c r="J781" s="574"/>
    </row>
    <row r="782">
      <c r="C782" s="139"/>
      <c r="D782" s="139"/>
      <c r="F782" s="426"/>
      <c r="G782" s="578"/>
      <c r="H782" s="574"/>
      <c r="I782" s="574"/>
      <c r="J782" s="574"/>
    </row>
    <row r="783">
      <c r="C783" s="139"/>
      <c r="D783" s="139"/>
      <c r="F783" s="426"/>
      <c r="G783" s="578"/>
      <c r="H783" s="574"/>
      <c r="I783" s="574"/>
      <c r="J783" s="574"/>
    </row>
    <row r="784">
      <c r="C784" s="139"/>
      <c r="D784" s="139"/>
      <c r="F784" s="426"/>
      <c r="G784" s="578"/>
      <c r="H784" s="574"/>
      <c r="I784" s="574"/>
      <c r="J784" s="574"/>
    </row>
    <row r="785">
      <c r="C785" s="139"/>
      <c r="D785" s="139"/>
      <c r="F785" s="426"/>
      <c r="G785" s="578"/>
      <c r="H785" s="574"/>
      <c r="I785" s="574"/>
      <c r="J785" s="574"/>
    </row>
    <row r="786">
      <c r="C786" s="139"/>
      <c r="D786" s="139"/>
      <c r="F786" s="426"/>
      <c r="G786" s="578"/>
      <c r="H786" s="574"/>
      <c r="I786" s="574"/>
      <c r="J786" s="574"/>
    </row>
    <row r="787">
      <c r="C787" s="139"/>
      <c r="D787" s="139"/>
      <c r="F787" s="426"/>
      <c r="G787" s="578"/>
      <c r="H787" s="574"/>
      <c r="I787" s="574"/>
      <c r="J787" s="574"/>
    </row>
    <row r="788">
      <c r="C788" s="139"/>
      <c r="D788" s="139"/>
      <c r="F788" s="426"/>
      <c r="G788" s="578"/>
      <c r="H788" s="574"/>
      <c r="I788" s="574"/>
      <c r="J788" s="574"/>
    </row>
    <row r="789">
      <c r="C789" s="139"/>
      <c r="D789" s="139"/>
      <c r="F789" s="426"/>
      <c r="G789" s="578"/>
      <c r="H789" s="574"/>
      <c r="I789" s="574"/>
      <c r="J789" s="574"/>
    </row>
    <row r="790">
      <c r="C790" s="139"/>
      <c r="D790" s="139"/>
      <c r="F790" s="426"/>
      <c r="G790" s="578"/>
      <c r="H790" s="574"/>
      <c r="I790" s="574"/>
      <c r="J790" s="574"/>
    </row>
    <row r="791">
      <c r="C791" s="139"/>
      <c r="D791" s="139"/>
      <c r="F791" s="426"/>
      <c r="G791" s="578"/>
      <c r="H791" s="574"/>
      <c r="I791" s="574"/>
      <c r="J791" s="574"/>
    </row>
    <row r="792">
      <c r="C792" s="139"/>
      <c r="D792" s="139"/>
      <c r="F792" s="426"/>
      <c r="G792" s="578"/>
      <c r="H792" s="574"/>
      <c r="I792" s="574"/>
      <c r="J792" s="574"/>
    </row>
    <row r="793">
      <c r="C793" s="139"/>
      <c r="D793" s="139"/>
      <c r="F793" s="426"/>
      <c r="G793" s="578"/>
      <c r="H793" s="574"/>
      <c r="I793" s="574"/>
      <c r="J793" s="574"/>
    </row>
    <row r="794">
      <c r="C794" s="139"/>
      <c r="D794" s="139"/>
      <c r="F794" s="426"/>
      <c r="G794" s="578"/>
      <c r="H794" s="574"/>
      <c r="I794" s="574"/>
      <c r="J794" s="574"/>
    </row>
    <row r="795">
      <c r="C795" s="139"/>
      <c r="D795" s="139"/>
      <c r="F795" s="426"/>
      <c r="G795" s="578"/>
      <c r="H795" s="574"/>
      <c r="I795" s="574"/>
      <c r="J795" s="574"/>
    </row>
    <row r="796">
      <c r="C796" s="139"/>
      <c r="D796" s="139"/>
      <c r="F796" s="426"/>
      <c r="G796" s="578"/>
      <c r="H796" s="574"/>
      <c r="I796" s="574"/>
      <c r="J796" s="574"/>
    </row>
    <row r="797">
      <c r="C797" s="139"/>
      <c r="D797" s="139"/>
      <c r="F797" s="426"/>
      <c r="G797" s="578"/>
      <c r="H797" s="574"/>
      <c r="I797" s="574"/>
      <c r="J797" s="574"/>
    </row>
    <row r="798">
      <c r="C798" s="139"/>
      <c r="D798" s="139"/>
      <c r="F798" s="426"/>
      <c r="G798" s="578"/>
      <c r="H798" s="574"/>
      <c r="I798" s="574"/>
      <c r="J798" s="574"/>
    </row>
    <row r="799">
      <c r="C799" s="139"/>
      <c r="D799" s="139"/>
      <c r="F799" s="426"/>
      <c r="G799" s="578"/>
      <c r="H799" s="574"/>
      <c r="I799" s="574"/>
      <c r="J799" s="574"/>
    </row>
    <row r="800">
      <c r="C800" s="139"/>
      <c r="D800" s="139"/>
      <c r="F800" s="426"/>
      <c r="G800" s="578"/>
      <c r="H800" s="574"/>
      <c r="I800" s="574"/>
      <c r="J800" s="574"/>
    </row>
    <row r="801">
      <c r="C801" s="139"/>
      <c r="D801" s="139"/>
      <c r="F801" s="426"/>
      <c r="G801" s="578"/>
      <c r="H801" s="574"/>
      <c r="I801" s="574"/>
      <c r="J801" s="574"/>
    </row>
    <row r="802">
      <c r="C802" s="139"/>
      <c r="D802" s="139"/>
      <c r="F802" s="426"/>
      <c r="G802" s="578"/>
      <c r="H802" s="574"/>
      <c r="I802" s="574"/>
      <c r="J802" s="574"/>
    </row>
    <row r="803">
      <c r="C803" s="139"/>
      <c r="D803" s="139"/>
      <c r="F803" s="426"/>
      <c r="G803" s="578"/>
      <c r="H803" s="574"/>
      <c r="I803" s="574"/>
      <c r="J803" s="574"/>
    </row>
    <row r="804">
      <c r="C804" s="139"/>
      <c r="D804" s="139"/>
      <c r="F804" s="426"/>
      <c r="G804" s="578"/>
      <c r="H804" s="574"/>
      <c r="I804" s="574"/>
      <c r="J804" s="574"/>
    </row>
    <row r="805">
      <c r="C805" s="139"/>
      <c r="D805" s="139"/>
      <c r="F805" s="426"/>
      <c r="G805" s="578"/>
      <c r="H805" s="574"/>
      <c r="I805" s="574"/>
      <c r="J805" s="574"/>
    </row>
    <row r="806">
      <c r="C806" s="139"/>
      <c r="D806" s="139"/>
      <c r="F806" s="426"/>
      <c r="G806" s="578"/>
      <c r="H806" s="574"/>
      <c r="I806" s="574"/>
      <c r="J806" s="574"/>
    </row>
    <row r="807">
      <c r="C807" s="139"/>
      <c r="D807" s="139"/>
      <c r="F807" s="426"/>
      <c r="G807" s="578"/>
      <c r="H807" s="574"/>
      <c r="I807" s="574"/>
      <c r="J807" s="574"/>
    </row>
    <row r="808">
      <c r="C808" s="139"/>
      <c r="D808" s="139"/>
      <c r="F808" s="426"/>
      <c r="G808" s="578"/>
      <c r="H808" s="574"/>
      <c r="I808" s="574"/>
      <c r="J808" s="574"/>
    </row>
    <row r="809">
      <c r="C809" s="139"/>
      <c r="D809" s="139"/>
      <c r="F809" s="426"/>
      <c r="G809" s="578"/>
      <c r="H809" s="574"/>
      <c r="I809" s="574"/>
      <c r="J809" s="574"/>
    </row>
    <row r="810">
      <c r="C810" s="139"/>
      <c r="D810" s="139"/>
      <c r="F810" s="426"/>
      <c r="G810" s="578"/>
      <c r="H810" s="574"/>
      <c r="I810" s="574"/>
      <c r="J810" s="574"/>
    </row>
    <row r="811">
      <c r="C811" s="139"/>
      <c r="D811" s="139"/>
      <c r="F811" s="426"/>
      <c r="G811" s="578"/>
      <c r="H811" s="574"/>
      <c r="I811" s="574"/>
      <c r="J811" s="574"/>
    </row>
    <row r="812">
      <c r="C812" s="139"/>
      <c r="D812" s="139"/>
      <c r="F812" s="426"/>
      <c r="G812" s="578"/>
      <c r="H812" s="574"/>
      <c r="I812" s="574"/>
      <c r="J812" s="574"/>
    </row>
    <row r="813">
      <c r="C813" s="139"/>
      <c r="D813" s="139"/>
      <c r="F813" s="426"/>
      <c r="G813" s="578"/>
      <c r="H813" s="574"/>
      <c r="I813" s="574"/>
      <c r="J813" s="574"/>
    </row>
    <row r="814">
      <c r="C814" s="139"/>
      <c r="D814" s="139"/>
      <c r="F814" s="426"/>
      <c r="G814" s="578"/>
      <c r="H814" s="574"/>
      <c r="I814" s="574"/>
      <c r="J814" s="574"/>
    </row>
    <row r="815">
      <c r="C815" s="139"/>
      <c r="D815" s="139"/>
      <c r="F815" s="426"/>
      <c r="G815" s="578"/>
      <c r="H815" s="574"/>
      <c r="I815" s="574"/>
      <c r="J815" s="574"/>
    </row>
    <row r="816">
      <c r="C816" s="139"/>
      <c r="D816" s="139"/>
      <c r="F816" s="426"/>
      <c r="G816" s="578"/>
      <c r="H816" s="574"/>
      <c r="I816" s="574"/>
      <c r="J816" s="574"/>
    </row>
    <row r="817">
      <c r="C817" s="139"/>
      <c r="D817" s="139"/>
      <c r="F817" s="426"/>
      <c r="G817" s="578"/>
      <c r="H817" s="574"/>
      <c r="I817" s="574"/>
      <c r="J817" s="574"/>
    </row>
    <row r="818">
      <c r="C818" s="139"/>
      <c r="D818" s="139"/>
      <c r="F818" s="426"/>
      <c r="G818" s="578"/>
      <c r="H818" s="574"/>
      <c r="I818" s="574"/>
      <c r="J818" s="574"/>
    </row>
    <row r="819">
      <c r="C819" s="139"/>
      <c r="D819" s="139"/>
      <c r="F819" s="426"/>
      <c r="G819" s="578"/>
      <c r="H819" s="574"/>
      <c r="I819" s="574"/>
      <c r="J819" s="574"/>
    </row>
    <row r="820">
      <c r="C820" s="139"/>
      <c r="D820" s="139"/>
      <c r="F820" s="426"/>
      <c r="G820" s="578"/>
      <c r="H820" s="574"/>
      <c r="I820" s="574"/>
      <c r="J820" s="574"/>
    </row>
    <row r="821">
      <c r="C821" s="139"/>
      <c r="D821" s="139"/>
      <c r="F821" s="426"/>
      <c r="G821" s="578"/>
      <c r="H821" s="574"/>
      <c r="I821" s="574"/>
      <c r="J821" s="574"/>
    </row>
    <row r="822">
      <c r="C822" s="139"/>
      <c r="D822" s="139"/>
      <c r="F822" s="426"/>
      <c r="G822" s="578"/>
      <c r="H822" s="574"/>
      <c r="I822" s="574"/>
      <c r="J822" s="574"/>
    </row>
    <row r="823">
      <c r="C823" s="139"/>
      <c r="D823" s="139"/>
      <c r="F823" s="426"/>
      <c r="G823" s="578"/>
      <c r="H823" s="574"/>
      <c r="I823" s="574"/>
      <c r="J823" s="574"/>
    </row>
    <row r="824">
      <c r="C824" s="139"/>
      <c r="D824" s="139"/>
      <c r="F824" s="426"/>
      <c r="G824" s="578"/>
      <c r="H824" s="574"/>
      <c r="I824" s="574"/>
      <c r="J824" s="574"/>
    </row>
    <row r="825">
      <c r="C825" s="139"/>
      <c r="D825" s="139"/>
      <c r="F825" s="426"/>
      <c r="G825" s="578"/>
      <c r="H825" s="574"/>
      <c r="I825" s="574"/>
      <c r="J825" s="574"/>
    </row>
    <row r="826">
      <c r="C826" s="139"/>
      <c r="D826" s="139"/>
      <c r="F826" s="426"/>
      <c r="G826" s="578"/>
      <c r="H826" s="574"/>
      <c r="I826" s="574"/>
      <c r="J826" s="574"/>
    </row>
    <row r="827">
      <c r="C827" s="139"/>
      <c r="D827" s="139"/>
      <c r="F827" s="426"/>
      <c r="G827" s="578"/>
      <c r="H827" s="574"/>
      <c r="I827" s="574"/>
      <c r="J827" s="574"/>
    </row>
    <row r="828">
      <c r="C828" s="139"/>
      <c r="D828" s="139"/>
      <c r="F828" s="426"/>
      <c r="G828" s="578"/>
      <c r="H828" s="574"/>
      <c r="I828" s="574"/>
      <c r="J828" s="574"/>
    </row>
    <row r="829">
      <c r="C829" s="139"/>
      <c r="D829" s="139"/>
      <c r="F829" s="426"/>
      <c r="G829" s="578"/>
      <c r="H829" s="574"/>
      <c r="I829" s="574"/>
      <c r="J829" s="574"/>
    </row>
    <row r="830">
      <c r="C830" s="139"/>
      <c r="D830" s="139"/>
      <c r="F830" s="426"/>
      <c r="G830" s="578"/>
      <c r="H830" s="574"/>
      <c r="I830" s="574"/>
      <c r="J830" s="574"/>
    </row>
    <row r="831">
      <c r="C831" s="139"/>
      <c r="D831" s="139"/>
      <c r="F831" s="426"/>
      <c r="G831" s="578"/>
      <c r="H831" s="574"/>
      <c r="I831" s="574"/>
      <c r="J831" s="574"/>
    </row>
    <row r="832">
      <c r="C832" s="139"/>
      <c r="D832" s="139"/>
      <c r="F832" s="426"/>
      <c r="G832" s="578"/>
      <c r="H832" s="574"/>
      <c r="I832" s="574"/>
      <c r="J832" s="574"/>
    </row>
    <row r="833">
      <c r="C833" s="139"/>
      <c r="D833" s="139"/>
      <c r="F833" s="426"/>
      <c r="G833" s="578"/>
      <c r="H833" s="574"/>
      <c r="I833" s="574"/>
      <c r="J833" s="574"/>
    </row>
    <row r="834">
      <c r="C834" s="139"/>
      <c r="D834" s="139"/>
      <c r="F834" s="426"/>
      <c r="G834" s="578"/>
      <c r="H834" s="574"/>
      <c r="I834" s="574"/>
      <c r="J834" s="574"/>
    </row>
    <row r="835">
      <c r="C835" s="139"/>
      <c r="D835" s="139"/>
      <c r="F835" s="426"/>
      <c r="G835" s="578"/>
      <c r="H835" s="574"/>
      <c r="I835" s="574"/>
      <c r="J835" s="574"/>
    </row>
    <row r="836">
      <c r="C836" s="139"/>
      <c r="D836" s="139"/>
      <c r="F836" s="426"/>
      <c r="G836" s="578"/>
      <c r="H836" s="574"/>
      <c r="I836" s="574"/>
      <c r="J836" s="574"/>
    </row>
    <row r="837">
      <c r="C837" s="139"/>
      <c r="D837" s="139"/>
      <c r="F837" s="426"/>
      <c r="G837" s="578"/>
      <c r="H837" s="574"/>
      <c r="I837" s="574"/>
      <c r="J837" s="574"/>
    </row>
    <row r="838">
      <c r="C838" s="139"/>
      <c r="D838" s="139"/>
      <c r="F838" s="426"/>
      <c r="G838" s="578"/>
      <c r="H838" s="574"/>
      <c r="I838" s="574"/>
      <c r="J838" s="574"/>
    </row>
    <row r="839">
      <c r="C839" s="139"/>
      <c r="D839" s="139"/>
      <c r="F839" s="426"/>
      <c r="G839" s="578"/>
      <c r="H839" s="574"/>
      <c r="I839" s="574"/>
      <c r="J839" s="574"/>
    </row>
    <row r="840">
      <c r="C840" s="139"/>
      <c r="D840" s="139"/>
      <c r="F840" s="426"/>
      <c r="G840" s="578"/>
      <c r="H840" s="574"/>
      <c r="I840" s="574"/>
      <c r="J840" s="574"/>
    </row>
    <row r="841">
      <c r="C841" s="139"/>
      <c r="D841" s="139"/>
      <c r="F841" s="426"/>
      <c r="G841" s="578"/>
      <c r="H841" s="574"/>
      <c r="I841" s="574"/>
      <c r="J841" s="574"/>
    </row>
    <row r="842">
      <c r="C842" s="139"/>
      <c r="D842" s="139"/>
      <c r="F842" s="426"/>
      <c r="G842" s="578"/>
      <c r="H842" s="574"/>
      <c r="I842" s="574"/>
      <c r="J842" s="574"/>
    </row>
    <row r="843">
      <c r="C843" s="139"/>
      <c r="D843" s="139"/>
      <c r="F843" s="426"/>
      <c r="G843" s="578"/>
      <c r="H843" s="574"/>
      <c r="I843" s="574"/>
      <c r="J843" s="574"/>
    </row>
    <row r="844">
      <c r="C844" s="139"/>
      <c r="D844" s="139"/>
      <c r="F844" s="426"/>
      <c r="G844" s="578"/>
      <c r="H844" s="574"/>
      <c r="I844" s="574"/>
      <c r="J844" s="574"/>
    </row>
    <row r="845">
      <c r="C845" s="139"/>
      <c r="D845" s="139"/>
      <c r="F845" s="426"/>
      <c r="G845" s="578"/>
      <c r="H845" s="574"/>
      <c r="I845" s="574"/>
      <c r="J845" s="574"/>
    </row>
    <row r="846">
      <c r="C846" s="139"/>
      <c r="D846" s="139"/>
      <c r="F846" s="426"/>
      <c r="G846" s="578"/>
      <c r="H846" s="574"/>
      <c r="I846" s="574"/>
      <c r="J846" s="574"/>
    </row>
    <row r="847">
      <c r="C847" s="139"/>
      <c r="D847" s="139"/>
      <c r="F847" s="426"/>
      <c r="G847" s="578"/>
      <c r="H847" s="574"/>
      <c r="I847" s="574"/>
      <c r="J847" s="574"/>
    </row>
    <row r="848">
      <c r="C848" s="139"/>
      <c r="D848" s="139"/>
      <c r="F848" s="426"/>
      <c r="G848" s="578"/>
      <c r="H848" s="574"/>
      <c r="I848" s="574"/>
      <c r="J848" s="574"/>
    </row>
    <row r="849">
      <c r="C849" s="139"/>
      <c r="D849" s="139"/>
      <c r="F849" s="426"/>
      <c r="G849" s="578"/>
      <c r="H849" s="574"/>
      <c r="I849" s="574"/>
      <c r="J849" s="574"/>
    </row>
    <row r="850">
      <c r="C850" s="139"/>
      <c r="D850" s="139"/>
      <c r="F850" s="426"/>
      <c r="G850" s="578"/>
      <c r="H850" s="574"/>
      <c r="I850" s="574"/>
      <c r="J850" s="574"/>
    </row>
    <row r="851">
      <c r="C851" s="139"/>
      <c r="D851" s="139"/>
      <c r="F851" s="426"/>
      <c r="G851" s="578"/>
      <c r="H851" s="574"/>
      <c r="I851" s="574"/>
      <c r="J851" s="574"/>
    </row>
    <row r="852">
      <c r="C852" s="139"/>
      <c r="D852" s="139"/>
      <c r="F852" s="426"/>
      <c r="G852" s="578"/>
      <c r="H852" s="574"/>
      <c r="I852" s="574"/>
      <c r="J852" s="574"/>
    </row>
    <row r="853">
      <c r="C853" s="139"/>
      <c r="D853" s="139"/>
      <c r="F853" s="426"/>
      <c r="G853" s="578"/>
      <c r="H853" s="574"/>
      <c r="I853" s="574"/>
      <c r="J853" s="574"/>
    </row>
    <row r="854">
      <c r="C854" s="139"/>
      <c r="D854" s="139"/>
      <c r="F854" s="426"/>
      <c r="G854" s="578"/>
      <c r="H854" s="574"/>
      <c r="I854" s="574"/>
      <c r="J854" s="574"/>
    </row>
    <row r="855">
      <c r="C855" s="139"/>
      <c r="D855" s="139"/>
      <c r="F855" s="426"/>
      <c r="G855" s="578"/>
      <c r="H855" s="574"/>
      <c r="I855" s="574"/>
      <c r="J855" s="574"/>
    </row>
    <row r="856">
      <c r="C856" s="139"/>
      <c r="D856" s="139"/>
      <c r="F856" s="426"/>
      <c r="G856" s="578"/>
      <c r="H856" s="574"/>
      <c r="I856" s="574"/>
      <c r="J856" s="574"/>
    </row>
    <row r="857">
      <c r="C857" s="139"/>
      <c r="D857" s="139"/>
      <c r="F857" s="426"/>
      <c r="G857" s="578"/>
      <c r="H857" s="574"/>
      <c r="I857" s="574"/>
      <c r="J857" s="574"/>
    </row>
    <row r="858">
      <c r="C858" s="139"/>
      <c r="D858" s="139"/>
      <c r="F858" s="426"/>
      <c r="G858" s="578"/>
      <c r="H858" s="574"/>
      <c r="I858" s="574"/>
      <c r="J858" s="574"/>
    </row>
    <row r="859">
      <c r="C859" s="139"/>
      <c r="D859" s="139"/>
      <c r="F859" s="426"/>
      <c r="G859" s="578"/>
      <c r="H859" s="574"/>
      <c r="I859" s="574"/>
      <c r="J859" s="574"/>
    </row>
    <row r="860">
      <c r="C860" s="139"/>
      <c r="D860" s="139"/>
      <c r="F860" s="426"/>
      <c r="G860" s="578"/>
      <c r="H860" s="574"/>
      <c r="I860" s="574"/>
      <c r="J860" s="574"/>
    </row>
    <row r="861">
      <c r="C861" s="139"/>
      <c r="D861" s="139"/>
      <c r="F861" s="426"/>
      <c r="G861" s="578"/>
      <c r="H861" s="574"/>
      <c r="I861" s="574"/>
      <c r="J861" s="574"/>
    </row>
    <row r="862">
      <c r="C862" s="139"/>
      <c r="D862" s="139"/>
      <c r="F862" s="426"/>
      <c r="G862" s="578"/>
      <c r="H862" s="574"/>
      <c r="I862" s="574"/>
      <c r="J862" s="574"/>
    </row>
    <row r="863">
      <c r="C863" s="139"/>
      <c r="D863" s="139"/>
      <c r="F863" s="426"/>
      <c r="G863" s="578"/>
      <c r="H863" s="574"/>
      <c r="I863" s="574"/>
      <c r="J863" s="574"/>
    </row>
    <row r="864">
      <c r="C864" s="139"/>
      <c r="D864" s="139"/>
      <c r="F864" s="426"/>
      <c r="G864" s="578"/>
      <c r="H864" s="574"/>
      <c r="I864" s="574"/>
      <c r="J864" s="574"/>
    </row>
    <row r="865">
      <c r="C865" s="139"/>
      <c r="D865" s="139"/>
      <c r="F865" s="426"/>
      <c r="G865" s="578"/>
      <c r="H865" s="574"/>
      <c r="I865" s="574"/>
      <c r="J865" s="574"/>
    </row>
    <row r="866">
      <c r="C866" s="139"/>
      <c r="D866" s="139"/>
      <c r="F866" s="426"/>
      <c r="G866" s="578"/>
      <c r="H866" s="574"/>
      <c r="I866" s="574"/>
      <c r="J866" s="574"/>
    </row>
    <row r="867">
      <c r="C867" s="139"/>
      <c r="D867" s="139"/>
      <c r="F867" s="426"/>
      <c r="G867" s="578"/>
      <c r="H867" s="574"/>
      <c r="I867" s="574"/>
      <c r="J867" s="574"/>
    </row>
    <row r="868">
      <c r="C868" s="139"/>
      <c r="D868" s="139"/>
      <c r="F868" s="426"/>
      <c r="G868" s="578"/>
      <c r="H868" s="574"/>
      <c r="I868" s="574"/>
      <c r="J868" s="574"/>
    </row>
    <row r="869">
      <c r="C869" s="139"/>
      <c r="D869" s="139"/>
      <c r="F869" s="426"/>
      <c r="G869" s="578"/>
      <c r="H869" s="574"/>
      <c r="I869" s="574"/>
      <c r="J869" s="574"/>
    </row>
    <row r="870">
      <c r="C870" s="139"/>
      <c r="D870" s="139"/>
      <c r="F870" s="426"/>
      <c r="G870" s="578"/>
      <c r="H870" s="574"/>
      <c r="I870" s="574"/>
      <c r="J870" s="574"/>
    </row>
    <row r="871">
      <c r="C871" s="139"/>
      <c r="D871" s="139"/>
      <c r="F871" s="426"/>
      <c r="G871" s="578"/>
      <c r="H871" s="574"/>
      <c r="I871" s="574"/>
      <c r="J871" s="574"/>
    </row>
    <row r="872">
      <c r="C872" s="139"/>
      <c r="D872" s="139"/>
      <c r="F872" s="426"/>
      <c r="G872" s="578"/>
      <c r="H872" s="574"/>
      <c r="I872" s="574"/>
      <c r="J872" s="574"/>
    </row>
    <row r="873">
      <c r="C873" s="139"/>
      <c r="D873" s="139"/>
      <c r="F873" s="426"/>
      <c r="G873" s="578"/>
      <c r="H873" s="574"/>
      <c r="I873" s="574"/>
      <c r="J873" s="574"/>
    </row>
    <row r="874">
      <c r="C874" s="139"/>
      <c r="D874" s="139"/>
      <c r="F874" s="426"/>
      <c r="G874" s="578"/>
      <c r="H874" s="574"/>
      <c r="I874" s="574"/>
      <c r="J874" s="574"/>
    </row>
    <row r="875">
      <c r="C875" s="139"/>
      <c r="D875" s="139"/>
      <c r="F875" s="426"/>
      <c r="G875" s="578"/>
      <c r="H875" s="574"/>
      <c r="I875" s="574"/>
      <c r="J875" s="574"/>
    </row>
    <row r="876">
      <c r="C876" s="139"/>
      <c r="D876" s="139"/>
      <c r="F876" s="426"/>
      <c r="G876" s="578"/>
      <c r="H876" s="574"/>
      <c r="I876" s="574"/>
      <c r="J876" s="574"/>
    </row>
    <row r="877">
      <c r="C877" s="139"/>
      <c r="D877" s="139"/>
      <c r="F877" s="426"/>
      <c r="G877" s="578"/>
      <c r="H877" s="574"/>
      <c r="I877" s="574"/>
      <c r="J877" s="574"/>
    </row>
    <row r="878">
      <c r="C878" s="139"/>
      <c r="D878" s="139"/>
      <c r="F878" s="426"/>
      <c r="G878" s="578"/>
      <c r="H878" s="574"/>
      <c r="I878" s="574"/>
      <c r="J878" s="574"/>
    </row>
    <row r="879">
      <c r="C879" s="139"/>
      <c r="D879" s="139"/>
      <c r="F879" s="426"/>
      <c r="G879" s="578"/>
      <c r="H879" s="574"/>
      <c r="I879" s="574"/>
      <c r="J879" s="574"/>
    </row>
    <row r="880">
      <c r="C880" s="139"/>
      <c r="D880" s="139"/>
      <c r="F880" s="426"/>
      <c r="G880" s="578"/>
      <c r="H880" s="574"/>
      <c r="I880" s="574"/>
      <c r="J880" s="574"/>
    </row>
    <row r="881">
      <c r="C881" s="139"/>
      <c r="D881" s="139"/>
      <c r="F881" s="426"/>
      <c r="G881" s="578"/>
      <c r="H881" s="574"/>
      <c r="I881" s="574"/>
      <c r="J881" s="574"/>
    </row>
    <row r="882">
      <c r="C882" s="139"/>
      <c r="D882" s="139"/>
      <c r="F882" s="426"/>
      <c r="G882" s="578"/>
      <c r="H882" s="574"/>
      <c r="I882" s="574"/>
      <c r="J882" s="574"/>
    </row>
    <row r="883">
      <c r="C883" s="139"/>
      <c r="D883" s="139"/>
      <c r="F883" s="426"/>
      <c r="G883" s="578"/>
      <c r="H883" s="574"/>
      <c r="I883" s="574"/>
      <c r="J883" s="574"/>
    </row>
    <row r="884">
      <c r="C884" s="139"/>
      <c r="D884" s="139"/>
      <c r="F884" s="426"/>
      <c r="G884" s="578"/>
      <c r="H884" s="574"/>
      <c r="I884" s="574"/>
      <c r="J884" s="574"/>
    </row>
    <row r="885">
      <c r="C885" s="139"/>
      <c r="D885" s="139"/>
      <c r="F885" s="426"/>
      <c r="G885" s="578"/>
      <c r="H885" s="574"/>
      <c r="I885" s="574"/>
      <c r="J885" s="574"/>
    </row>
    <row r="886">
      <c r="C886" s="139"/>
      <c r="D886" s="139"/>
      <c r="F886" s="426"/>
      <c r="G886" s="578"/>
      <c r="H886" s="574"/>
      <c r="I886" s="574"/>
      <c r="J886" s="574"/>
    </row>
    <row r="887">
      <c r="C887" s="139"/>
      <c r="D887" s="139"/>
      <c r="F887" s="426"/>
      <c r="G887" s="578"/>
      <c r="H887" s="574"/>
      <c r="I887" s="574"/>
      <c r="J887" s="574"/>
    </row>
    <row r="888">
      <c r="C888" s="139"/>
      <c r="D888" s="139"/>
      <c r="F888" s="426"/>
      <c r="G888" s="578"/>
      <c r="H888" s="574"/>
      <c r="I888" s="574"/>
      <c r="J888" s="574"/>
    </row>
    <row r="889">
      <c r="C889" s="139"/>
      <c r="D889" s="139"/>
      <c r="F889" s="426"/>
      <c r="G889" s="578"/>
      <c r="H889" s="574"/>
      <c r="I889" s="574"/>
      <c r="J889" s="574"/>
    </row>
    <row r="890">
      <c r="C890" s="139"/>
      <c r="D890" s="139"/>
      <c r="F890" s="426"/>
      <c r="G890" s="578"/>
      <c r="H890" s="574"/>
      <c r="I890" s="574"/>
      <c r="J890" s="574"/>
    </row>
    <row r="891">
      <c r="C891" s="139"/>
      <c r="D891" s="139"/>
      <c r="F891" s="426"/>
      <c r="G891" s="578"/>
      <c r="H891" s="574"/>
      <c r="I891" s="574"/>
      <c r="J891" s="574"/>
    </row>
    <row r="892">
      <c r="C892" s="139"/>
      <c r="D892" s="139"/>
      <c r="F892" s="426"/>
      <c r="G892" s="578"/>
      <c r="H892" s="574"/>
      <c r="I892" s="574"/>
      <c r="J892" s="574"/>
    </row>
    <row r="893">
      <c r="C893" s="139"/>
      <c r="D893" s="139"/>
      <c r="F893" s="426"/>
      <c r="G893" s="578"/>
      <c r="H893" s="574"/>
      <c r="I893" s="574"/>
      <c r="J893" s="574"/>
    </row>
    <row r="894">
      <c r="C894" s="139"/>
      <c r="D894" s="139"/>
      <c r="F894" s="426"/>
      <c r="G894" s="578"/>
      <c r="H894" s="574"/>
      <c r="I894" s="574"/>
      <c r="J894" s="574"/>
    </row>
    <row r="895">
      <c r="C895" s="139"/>
      <c r="D895" s="139"/>
      <c r="F895" s="426"/>
      <c r="G895" s="578"/>
      <c r="H895" s="574"/>
      <c r="I895" s="574"/>
      <c r="J895" s="574"/>
    </row>
    <row r="896">
      <c r="C896" s="139"/>
      <c r="D896" s="139"/>
      <c r="F896" s="426"/>
      <c r="G896" s="578"/>
      <c r="H896" s="574"/>
      <c r="I896" s="574"/>
      <c r="J896" s="574"/>
    </row>
    <row r="897">
      <c r="C897" s="139"/>
      <c r="D897" s="139"/>
      <c r="F897" s="426"/>
      <c r="G897" s="578"/>
      <c r="H897" s="574"/>
      <c r="I897" s="574"/>
      <c r="J897" s="574"/>
    </row>
    <row r="898">
      <c r="C898" s="139"/>
      <c r="D898" s="139"/>
      <c r="F898" s="426"/>
      <c r="G898" s="578"/>
      <c r="H898" s="574"/>
      <c r="I898" s="574"/>
      <c r="J898" s="574"/>
    </row>
    <row r="899">
      <c r="C899" s="139"/>
      <c r="D899" s="139"/>
      <c r="F899" s="426"/>
      <c r="G899" s="578"/>
      <c r="H899" s="574"/>
      <c r="I899" s="574"/>
      <c r="J899" s="574"/>
    </row>
    <row r="900">
      <c r="C900" s="139"/>
      <c r="D900" s="139"/>
      <c r="F900" s="426"/>
      <c r="G900" s="578"/>
      <c r="H900" s="574"/>
      <c r="I900" s="574"/>
      <c r="J900" s="574"/>
    </row>
    <row r="901">
      <c r="C901" s="139"/>
      <c r="D901" s="139"/>
      <c r="F901" s="426"/>
      <c r="G901" s="578"/>
      <c r="H901" s="574"/>
      <c r="I901" s="574"/>
      <c r="J901" s="574"/>
    </row>
    <row r="902">
      <c r="C902" s="139"/>
      <c r="D902" s="139"/>
      <c r="F902" s="426"/>
      <c r="G902" s="578"/>
      <c r="H902" s="574"/>
      <c r="I902" s="574"/>
      <c r="J902" s="574"/>
    </row>
    <row r="903">
      <c r="C903" s="139"/>
      <c r="D903" s="139"/>
      <c r="F903" s="426"/>
      <c r="G903" s="578"/>
      <c r="H903" s="574"/>
      <c r="I903" s="574"/>
      <c r="J903" s="574"/>
    </row>
    <row r="904">
      <c r="C904" s="139"/>
      <c r="D904" s="139"/>
      <c r="F904" s="426"/>
      <c r="G904" s="578"/>
      <c r="H904" s="574"/>
      <c r="I904" s="574"/>
      <c r="J904" s="574"/>
    </row>
    <row r="905">
      <c r="C905" s="139"/>
      <c r="D905" s="139"/>
      <c r="F905" s="426"/>
      <c r="G905" s="578"/>
      <c r="H905" s="574"/>
      <c r="I905" s="574"/>
      <c r="J905" s="574"/>
    </row>
    <row r="906">
      <c r="C906" s="139"/>
      <c r="D906" s="139"/>
      <c r="F906" s="426"/>
      <c r="G906" s="578"/>
      <c r="H906" s="574"/>
      <c r="I906" s="574"/>
      <c r="J906" s="574"/>
    </row>
    <row r="907">
      <c r="C907" s="139"/>
      <c r="D907" s="139"/>
      <c r="F907" s="426"/>
      <c r="G907" s="578"/>
      <c r="H907" s="574"/>
      <c r="I907" s="574"/>
      <c r="J907" s="574"/>
    </row>
    <row r="908">
      <c r="C908" s="139"/>
      <c r="D908" s="139"/>
      <c r="F908" s="426"/>
      <c r="G908" s="578"/>
      <c r="H908" s="574"/>
      <c r="I908" s="574"/>
      <c r="J908" s="574"/>
    </row>
    <row r="909">
      <c r="C909" s="139"/>
      <c r="D909" s="139"/>
      <c r="F909" s="426"/>
      <c r="G909" s="578"/>
      <c r="H909" s="574"/>
      <c r="I909" s="574"/>
      <c r="J909" s="574"/>
    </row>
    <row r="910">
      <c r="C910" s="139"/>
      <c r="D910" s="139"/>
      <c r="F910" s="426"/>
      <c r="G910" s="578"/>
      <c r="H910" s="574"/>
      <c r="I910" s="574"/>
      <c r="J910" s="574"/>
    </row>
    <row r="911">
      <c r="C911" s="139"/>
      <c r="D911" s="139"/>
      <c r="F911" s="426"/>
      <c r="G911" s="578"/>
      <c r="H911" s="574"/>
      <c r="I911" s="574"/>
      <c r="J911" s="574"/>
    </row>
    <row r="912">
      <c r="C912" s="139"/>
      <c r="D912" s="139"/>
      <c r="F912" s="426"/>
      <c r="G912" s="578"/>
      <c r="H912" s="574"/>
      <c r="I912" s="574"/>
      <c r="J912" s="574"/>
    </row>
    <row r="913">
      <c r="C913" s="139"/>
      <c r="D913" s="139"/>
      <c r="F913" s="426"/>
      <c r="G913" s="578"/>
      <c r="H913" s="574"/>
      <c r="I913" s="574"/>
      <c r="J913" s="574"/>
    </row>
    <row r="914">
      <c r="C914" s="139"/>
      <c r="D914" s="139"/>
      <c r="F914" s="426"/>
      <c r="G914" s="578"/>
      <c r="H914" s="574"/>
      <c r="I914" s="574"/>
      <c r="J914" s="574"/>
    </row>
    <row r="915">
      <c r="C915" s="139"/>
      <c r="D915" s="139"/>
      <c r="F915" s="426"/>
      <c r="G915" s="578"/>
      <c r="H915" s="574"/>
      <c r="I915" s="574"/>
      <c r="J915" s="574"/>
    </row>
    <row r="916">
      <c r="C916" s="139"/>
      <c r="D916" s="139"/>
      <c r="F916" s="426"/>
      <c r="G916" s="578"/>
      <c r="H916" s="574"/>
      <c r="I916" s="574"/>
      <c r="J916" s="574"/>
    </row>
    <row r="917">
      <c r="C917" s="139"/>
      <c r="D917" s="139"/>
      <c r="F917" s="426"/>
      <c r="G917" s="578"/>
      <c r="H917" s="574"/>
      <c r="I917" s="574"/>
      <c r="J917" s="574"/>
    </row>
    <row r="918">
      <c r="C918" s="139"/>
      <c r="D918" s="139"/>
      <c r="F918" s="426"/>
      <c r="G918" s="578"/>
      <c r="H918" s="574"/>
      <c r="I918" s="574"/>
      <c r="J918" s="574"/>
    </row>
    <row r="919">
      <c r="C919" s="139"/>
      <c r="D919" s="139"/>
      <c r="F919" s="426"/>
      <c r="G919" s="578"/>
      <c r="H919" s="574"/>
      <c r="I919" s="574"/>
      <c r="J919" s="574"/>
    </row>
    <row r="920">
      <c r="C920" s="139"/>
      <c r="D920" s="139"/>
      <c r="F920" s="426"/>
      <c r="G920" s="578"/>
      <c r="H920" s="574"/>
      <c r="I920" s="574"/>
      <c r="J920" s="574"/>
    </row>
    <row r="921">
      <c r="C921" s="139"/>
      <c r="D921" s="139"/>
      <c r="F921" s="426"/>
      <c r="G921" s="578"/>
      <c r="H921" s="574"/>
      <c r="I921" s="574"/>
      <c r="J921" s="574"/>
    </row>
    <row r="922">
      <c r="C922" s="139"/>
      <c r="D922" s="139"/>
      <c r="F922" s="426"/>
      <c r="G922" s="578"/>
      <c r="H922" s="574"/>
      <c r="I922" s="574"/>
      <c r="J922" s="574"/>
    </row>
    <row r="923">
      <c r="C923" s="139"/>
      <c r="D923" s="139"/>
      <c r="F923" s="426"/>
      <c r="G923" s="578"/>
      <c r="H923" s="574"/>
      <c r="I923" s="574"/>
      <c r="J923" s="574"/>
    </row>
    <row r="924">
      <c r="C924" s="139"/>
      <c r="D924" s="139"/>
      <c r="F924" s="426"/>
      <c r="G924" s="578"/>
      <c r="H924" s="574"/>
      <c r="I924" s="574"/>
      <c r="J924" s="574"/>
    </row>
    <row r="925">
      <c r="C925" s="139"/>
      <c r="D925" s="139"/>
      <c r="F925" s="426"/>
      <c r="G925" s="578"/>
      <c r="H925" s="574"/>
      <c r="I925" s="574"/>
      <c r="J925" s="574"/>
    </row>
    <row r="926">
      <c r="C926" s="139"/>
      <c r="D926" s="139"/>
      <c r="F926" s="426"/>
      <c r="G926" s="578"/>
      <c r="H926" s="574"/>
      <c r="I926" s="574"/>
      <c r="J926" s="574"/>
    </row>
    <row r="927">
      <c r="C927" s="139"/>
      <c r="D927" s="139"/>
      <c r="F927" s="426"/>
      <c r="G927" s="578"/>
      <c r="H927" s="574"/>
      <c r="I927" s="574"/>
      <c r="J927" s="574"/>
    </row>
    <row r="928">
      <c r="C928" s="139"/>
      <c r="D928" s="139"/>
      <c r="F928" s="426"/>
      <c r="G928" s="578"/>
      <c r="H928" s="574"/>
      <c r="I928" s="574"/>
      <c r="J928" s="574"/>
    </row>
    <row r="929">
      <c r="C929" s="139"/>
      <c r="D929" s="139"/>
      <c r="F929" s="426"/>
      <c r="G929" s="578"/>
      <c r="H929" s="574"/>
      <c r="I929" s="574"/>
      <c r="J929" s="574"/>
    </row>
    <row r="930">
      <c r="C930" s="139"/>
      <c r="D930" s="139"/>
      <c r="F930" s="426"/>
      <c r="G930" s="578"/>
      <c r="H930" s="574"/>
      <c r="I930" s="574"/>
      <c r="J930" s="574"/>
    </row>
    <row r="931">
      <c r="C931" s="139"/>
      <c r="D931" s="139"/>
      <c r="F931" s="426"/>
      <c r="G931" s="578"/>
      <c r="H931" s="574"/>
      <c r="I931" s="574"/>
      <c r="J931" s="574"/>
    </row>
    <row r="932">
      <c r="C932" s="139"/>
      <c r="D932" s="139"/>
      <c r="F932" s="426"/>
      <c r="G932" s="578"/>
      <c r="H932" s="574"/>
      <c r="I932" s="574"/>
      <c r="J932" s="574"/>
    </row>
    <row r="933">
      <c r="C933" s="139"/>
      <c r="D933" s="139"/>
      <c r="F933" s="426"/>
      <c r="G933" s="578"/>
      <c r="H933" s="574"/>
      <c r="I933" s="574"/>
      <c r="J933" s="574"/>
    </row>
    <row r="934">
      <c r="C934" s="139"/>
      <c r="D934" s="139"/>
      <c r="F934" s="426"/>
      <c r="G934" s="578"/>
      <c r="H934" s="574"/>
      <c r="I934" s="574"/>
      <c r="J934" s="574"/>
    </row>
    <row r="935">
      <c r="C935" s="139"/>
      <c r="D935" s="139"/>
      <c r="F935" s="426"/>
      <c r="G935" s="578"/>
      <c r="H935" s="574"/>
      <c r="I935" s="574"/>
      <c r="J935" s="574"/>
    </row>
    <row r="936">
      <c r="C936" s="139"/>
      <c r="D936" s="139"/>
      <c r="F936" s="426"/>
      <c r="G936" s="578"/>
      <c r="H936" s="574"/>
      <c r="I936" s="574"/>
      <c r="J936" s="574"/>
    </row>
    <row r="937">
      <c r="C937" s="139"/>
      <c r="D937" s="139"/>
      <c r="F937" s="426"/>
      <c r="G937" s="578"/>
      <c r="H937" s="574"/>
      <c r="I937" s="574"/>
      <c r="J937" s="574"/>
    </row>
    <row r="938">
      <c r="C938" s="139"/>
      <c r="D938" s="139"/>
      <c r="F938" s="426"/>
      <c r="G938" s="578"/>
      <c r="H938" s="574"/>
      <c r="I938" s="574"/>
      <c r="J938" s="574"/>
    </row>
    <row r="939">
      <c r="C939" s="139"/>
      <c r="D939" s="139"/>
      <c r="F939" s="426"/>
      <c r="G939" s="578"/>
      <c r="H939" s="574"/>
      <c r="I939" s="574"/>
      <c r="J939" s="574"/>
    </row>
    <row r="940">
      <c r="C940" s="139"/>
      <c r="D940" s="139"/>
      <c r="F940" s="426"/>
      <c r="G940" s="578"/>
      <c r="H940" s="574"/>
      <c r="I940" s="574"/>
      <c r="J940" s="574"/>
    </row>
    <row r="941">
      <c r="C941" s="139"/>
      <c r="D941" s="139"/>
      <c r="F941" s="426"/>
      <c r="G941" s="578"/>
      <c r="H941" s="574"/>
      <c r="I941" s="574"/>
      <c r="J941" s="574"/>
    </row>
    <row r="942">
      <c r="C942" s="139"/>
      <c r="D942" s="139"/>
      <c r="F942" s="426"/>
      <c r="G942" s="578"/>
      <c r="H942" s="574"/>
      <c r="I942" s="574"/>
      <c r="J942" s="574"/>
    </row>
    <row r="943">
      <c r="C943" s="139"/>
      <c r="D943" s="139"/>
      <c r="F943" s="426"/>
      <c r="G943" s="578"/>
      <c r="H943" s="574"/>
      <c r="I943" s="574"/>
      <c r="J943" s="574"/>
    </row>
    <row r="944">
      <c r="C944" s="139"/>
      <c r="D944" s="139"/>
      <c r="F944" s="426"/>
      <c r="G944" s="578"/>
      <c r="H944" s="574"/>
      <c r="I944" s="574"/>
      <c r="J944" s="574"/>
    </row>
    <row r="945">
      <c r="C945" s="139"/>
      <c r="D945" s="139"/>
      <c r="F945" s="426"/>
      <c r="G945" s="578"/>
      <c r="H945" s="574"/>
      <c r="I945" s="574"/>
      <c r="J945" s="574"/>
    </row>
    <row r="946">
      <c r="C946" s="139"/>
      <c r="D946" s="139"/>
      <c r="F946" s="426"/>
      <c r="G946" s="578"/>
      <c r="H946" s="574"/>
      <c r="I946" s="574"/>
      <c r="J946" s="574"/>
    </row>
    <row r="947">
      <c r="C947" s="139"/>
      <c r="D947" s="139"/>
      <c r="F947" s="426"/>
      <c r="G947" s="578"/>
      <c r="H947" s="574"/>
      <c r="I947" s="574"/>
      <c r="J947" s="574"/>
    </row>
    <row r="948">
      <c r="C948" s="139"/>
      <c r="D948" s="139"/>
      <c r="F948" s="426"/>
      <c r="G948" s="578"/>
      <c r="H948" s="574"/>
      <c r="I948" s="574"/>
      <c r="J948" s="574"/>
    </row>
    <row r="949">
      <c r="C949" s="139"/>
      <c r="D949" s="139"/>
      <c r="F949" s="426"/>
      <c r="G949" s="578"/>
      <c r="H949" s="574"/>
      <c r="I949" s="574"/>
      <c r="J949" s="574"/>
    </row>
    <row r="950">
      <c r="C950" s="139"/>
      <c r="D950" s="139"/>
      <c r="F950" s="426"/>
      <c r="G950" s="578"/>
      <c r="H950" s="574"/>
      <c r="I950" s="574"/>
      <c r="J950" s="574"/>
    </row>
    <row r="951">
      <c r="C951" s="139"/>
      <c r="D951" s="139"/>
      <c r="F951" s="426"/>
      <c r="G951" s="578"/>
      <c r="H951" s="574"/>
      <c r="I951" s="574"/>
      <c r="J951" s="574"/>
    </row>
    <row r="952">
      <c r="C952" s="139"/>
      <c r="D952" s="139"/>
      <c r="F952" s="426"/>
      <c r="G952" s="578"/>
      <c r="H952" s="574"/>
      <c r="I952" s="574"/>
      <c r="J952" s="574"/>
    </row>
    <row r="953">
      <c r="C953" s="139"/>
      <c r="D953" s="139"/>
      <c r="F953" s="426"/>
      <c r="G953" s="578"/>
      <c r="H953" s="574"/>
      <c r="I953" s="574"/>
      <c r="J953" s="574"/>
    </row>
    <row r="954">
      <c r="C954" s="139"/>
      <c r="D954" s="139"/>
      <c r="F954" s="426"/>
      <c r="G954" s="578"/>
      <c r="H954" s="574"/>
      <c r="I954" s="574"/>
      <c r="J954" s="574"/>
    </row>
    <row r="955">
      <c r="C955" s="139"/>
      <c r="D955" s="139"/>
      <c r="F955" s="426"/>
      <c r="G955" s="578"/>
      <c r="H955" s="574"/>
      <c r="I955" s="574"/>
      <c r="J955" s="574"/>
    </row>
    <row r="956">
      <c r="C956" s="139"/>
      <c r="D956" s="139"/>
      <c r="F956" s="426"/>
      <c r="G956" s="578"/>
      <c r="H956" s="574"/>
      <c r="I956" s="574"/>
      <c r="J956" s="574"/>
    </row>
    <row r="957">
      <c r="C957" s="139"/>
      <c r="D957" s="139"/>
      <c r="F957" s="426"/>
      <c r="G957" s="578"/>
      <c r="H957" s="574"/>
      <c r="I957" s="574"/>
      <c r="J957" s="574"/>
    </row>
    <row r="958">
      <c r="C958" s="139"/>
      <c r="D958" s="139"/>
      <c r="F958" s="426"/>
      <c r="G958" s="578"/>
      <c r="H958" s="574"/>
      <c r="I958" s="574"/>
      <c r="J958" s="574"/>
    </row>
    <row r="959">
      <c r="C959" s="139"/>
      <c r="D959" s="139"/>
      <c r="F959" s="426"/>
      <c r="G959" s="578"/>
      <c r="H959" s="574"/>
      <c r="I959" s="574"/>
      <c r="J959" s="574"/>
    </row>
    <row r="960">
      <c r="C960" s="139"/>
      <c r="D960" s="139"/>
      <c r="F960" s="426"/>
      <c r="G960" s="578"/>
      <c r="H960" s="574"/>
      <c r="I960" s="574"/>
      <c r="J960" s="574"/>
    </row>
    <row r="961">
      <c r="C961" s="139"/>
      <c r="D961" s="139"/>
      <c r="F961" s="426"/>
      <c r="G961" s="578"/>
      <c r="H961" s="574"/>
      <c r="I961" s="574"/>
      <c r="J961" s="574"/>
    </row>
    <row r="962">
      <c r="C962" s="139"/>
      <c r="D962" s="139"/>
      <c r="F962" s="426"/>
      <c r="G962" s="578"/>
      <c r="H962" s="574"/>
      <c r="I962" s="574"/>
      <c r="J962" s="574"/>
    </row>
    <row r="963">
      <c r="C963" s="139"/>
      <c r="D963" s="139"/>
      <c r="F963" s="426"/>
      <c r="G963" s="578"/>
      <c r="H963" s="574"/>
      <c r="I963" s="574"/>
      <c r="J963" s="574"/>
    </row>
    <row r="964">
      <c r="C964" s="139"/>
      <c r="D964" s="139"/>
      <c r="F964" s="426"/>
      <c r="G964" s="578"/>
      <c r="H964" s="574"/>
      <c r="I964" s="574"/>
      <c r="J964" s="574"/>
    </row>
    <row r="965">
      <c r="C965" s="139"/>
      <c r="D965" s="139"/>
      <c r="F965" s="426"/>
      <c r="G965" s="578"/>
      <c r="H965" s="574"/>
      <c r="I965" s="574"/>
      <c r="J965" s="574"/>
    </row>
    <row r="966">
      <c r="C966" s="139"/>
      <c r="D966" s="139"/>
      <c r="F966" s="426"/>
      <c r="G966" s="578"/>
      <c r="H966" s="574"/>
      <c r="I966" s="574"/>
      <c r="J966" s="574"/>
    </row>
    <row r="967">
      <c r="C967" s="139"/>
      <c r="D967" s="139"/>
      <c r="F967" s="426"/>
      <c r="G967" s="578"/>
      <c r="H967" s="574"/>
      <c r="I967" s="574"/>
      <c r="J967" s="574"/>
    </row>
    <row r="968">
      <c r="C968" s="139"/>
      <c r="D968" s="139"/>
      <c r="F968" s="426"/>
      <c r="G968" s="578"/>
      <c r="H968" s="574"/>
      <c r="I968" s="574"/>
      <c r="J968" s="574"/>
    </row>
    <row r="969">
      <c r="C969" s="139"/>
      <c r="D969" s="139"/>
      <c r="F969" s="426"/>
      <c r="G969" s="578"/>
      <c r="H969" s="574"/>
      <c r="I969" s="574"/>
      <c r="J969" s="574"/>
    </row>
    <row r="970">
      <c r="C970" s="139"/>
      <c r="D970" s="139"/>
      <c r="F970" s="426"/>
      <c r="G970" s="578"/>
      <c r="H970" s="574"/>
      <c r="I970" s="574"/>
      <c r="J970" s="574"/>
    </row>
    <row r="971">
      <c r="C971" s="139"/>
      <c r="D971" s="139"/>
      <c r="F971" s="426"/>
      <c r="G971" s="578"/>
      <c r="H971" s="574"/>
      <c r="I971" s="574"/>
      <c r="J971" s="574"/>
    </row>
    <row r="972">
      <c r="C972" s="139"/>
      <c r="D972" s="139"/>
      <c r="F972" s="426"/>
      <c r="G972" s="578"/>
      <c r="H972" s="574"/>
      <c r="I972" s="574"/>
      <c r="J972" s="574"/>
    </row>
    <row r="973">
      <c r="C973" s="139"/>
      <c r="D973" s="139"/>
      <c r="F973" s="426"/>
      <c r="G973" s="578"/>
      <c r="H973" s="574"/>
      <c r="I973" s="574"/>
      <c r="J973" s="574"/>
    </row>
    <row r="974">
      <c r="C974" s="139"/>
      <c r="D974" s="139"/>
      <c r="F974" s="426"/>
      <c r="G974" s="578"/>
      <c r="H974" s="574"/>
      <c r="I974" s="574"/>
      <c r="J974" s="574"/>
    </row>
    <row r="975">
      <c r="C975" s="139"/>
      <c r="D975" s="139"/>
      <c r="F975" s="426"/>
      <c r="G975" s="578"/>
      <c r="H975" s="574"/>
      <c r="I975" s="574"/>
      <c r="J975" s="574"/>
    </row>
    <row r="976">
      <c r="C976" s="139"/>
      <c r="D976" s="139"/>
      <c r="F976" s="426"/>
      <c r="G976" s="578"/>
      <c r="H976" s="574"/>
      <c r="I976" s="574"/>
      <c r="J976" s="574"/>
    </row>
    <row r="977">
      <c r="C977" s="139"/>
      <c r="D977" s="139"/>
      <c r="F977" s="426"/>
      <c r="G977" s="578"/>
      <c r="H977" s="574"/>
      <c r="I977" s="574"/>
      <c r="J977" s="574"/>
    </row>
    <row r="978">
      <c r="C978" s="139"/>
      <c r="D978" s="139"/>
      <c r="F978" s="426"/>
      <c r="G978" s="578"/>
      <c r="H978" s="574"/>
      <c r="I978" s="574"/>
      <c r="J978" s="574"/>
    </row>
    <row r="979">
      <c r="C979" s="139"/>
      <c r="D979" s="139"/>
      <c r="F979" s="426"/>
      <c r="G979" s="578"/>
      <c r="H979" s="574"/>
      <c r="I979" s="574"/>
      <c r="J979" s="574"/>
    </row>
    <row r="980">
      <c r="C980" s="139"/>
      <c r="D980" s="139"/>
      <c r="F980" s="426"/>
      <c r="G980" s="578"/>
      <c r="H980" s="574"/>
      <c r="I980" s="574"/>
      <c r="J980" s="574"/>
    </row>
    <row r="981">
      <c r="C981" s="139"/>
      <c r="D981" s="139"/>
      <c r="F981" s="426"/>
      <c r="G981" s="578"/>
      <c r="H981" s="574"/>
      <c r="I981" s="574"/>
      <c r="J981" s="574"/>
    </row>
    <row r="982">
      <c r="C982" s="139"/>
      <c r="D982" s="139"/>
      <c r="F982" s="426"/>
      <c r="G982" s="578"/>
      <c r="H982" s="574"/>
      <c r="I982" s="574"/>
      <c r="J982" s="574"/>
    </row>
    <row r="983">
      <c r="C983" s="139"/>
      <c r="D983" s="139"/>
      <c r="F983" s="426"/>
      <c r="G983" s="578"/>
      <c r="H983" s="574"/>
      <c r="I983" s="574"/>
      <c r="J983" s="574"/>
    </row>
    <row r="984">
      <c r="C984" s="139"/>
      <c r="D984" s="139"/>
      <c r="F984" s="426"/>
      <c r="G984" s="578"/>
      <c r="H984" s="574"/>
      <c r="I984" s="574"/>
      <c r="J984" s="574"/>
    </row>
    <row r="985">
      <c r="C985" s="139"/>
      <c r="D985" s="139"/>
      <c r="F985" s="426"/>
      <c r="G985" s="578"/>
      <c r="H985" s="574"/>
      <c r="I985" s="574"/>
      <c r="J985" s="574"/>
    </row>
    <row r="986">
      <c r="C986" s="139"/>
      <c r="D986" s="139"/>
      <c r="F986" s="426"/>
      <c r="G986" s="578"/>
      <c r="H986" s="574"/>
      <c r="I986" s="574"/>
      <c r="J986" s="574"/>
    </row>
    <row r="987">
      <c r="C987" s="139"/>
      <c r="D987" s="139"/>
      <c r="F987" s="426"/>
      <c r="G987" s="578"/>
      <c r="H987" s="574"/>
      <c r="I987" s="574"/>
      <c r="J987" s="574"/>
    </row>
    <row r="988">
      <c r="C988" s="139"/>
      <c r="D988" s="139"/>
      <c r="F988" s="426"/>
      <c r="G988" s="578"/>
      <c r="H988" s="574"/>
      <c r="I988" s="574"/>
      <c r="J988" s="574"/>
    </row>
    <row r="989">
      <c r="C989" s="139"/>
      <c r="D989" s="139"/>
      <c r="F989" s="426"/>
      <c r="G989" s="578"/>
      <c r="H989" s="574"/>
      <c r="I989" s="574"/>
      <c r="J989" s="574"/>
    </row>
    <row r="990">
      <c r="C990" s="139"/>
      <c r="D990" s="139"/>
      <c r="F990" s="426"/>
      <c r="G990" s="578"/>
      <c r="H990" s="574"/>
      <c r="I990" s="574"/>
      <c r="J990" s="574"/>
    </row>
    <row r="991">
      <c r="C991" s="139"/>
      <c r="D991" s="139"/>
      <c r="F991" s="426"/>
      <c r="G991" s="578"/>
      <c r="H991" s="574"/>
      <c r="I991" s="574"/>
      <c r="J991" s="574"/>
    </row>
    <row r="992">
      <c r="C992" s="139"/>
      <c r="D992" s="139"/>
      <c r="F992" s="426"/>
      <c r="G992" s="578"/>
      <c r="H992" s="574"/>
      <c r="I992" s="574"/>
      <c r="J992" s="574"/>
    </row>
    <row r="993">
      <c r="C993" s="139"/>
      <c r="D993" s="139"/>
      <c r="F993" s="426"/>
      <c r="G993" s="578"/>
      <c r="H993" s="574"/>
      <c r="I993" s="574"/>
      <c r="J993" s="574"/>
    </row>
    <row r="994">
      <c r="C994" s="139"/>
      <c r="D994" s="139"/>
      <c r="F994" s="426"/>
      <c r="G994" s="578"/>
      <c r="H994" s="574"/>
      <c r="I994" s="574"/>
      <c r="J994" s="574"/>
    </row>
    <row r="995">
      <c r="C995" s="139"/>
      <c r="D995" s="139"/>
      <c r="F995" s="426"/>
      <c r="G995" s="578"/>
      <c r="H995" s="574"/>
      <c r="I995" s="574"/>
      <c r="J995" s="574"/>
    </row>
    <row r="996">
      <c r="C996" s="139"/>
      <c r="D996" s="139"/>
      <c r="F996" s="426"/>
      <c r="G996" s="578"/>
      <c r="H996" s="574"/>
      <c r="I996" s="574"/>
      <c r="J996" s="574"/>
    </row>
    <row r="997">
      <c r="C997" s="139"/>
      <c r="D997" s="139"/>
      <c r="F997" s="426"/>
      <c r="G997" s="578"/>
      <c r="H997" s="574"/>
      <c r="I997" s="574"/>
      <c r="J997" s="574"/>
    </row>
    <row r="998">
      <c r="C998" s="139"/>
      <c r="D998" s="139"/>
      <c r="F998" s="426"/>
      <c r="G998" s="578"/>
      <c r="H998" s="574"/>
      <c r="I998" s="574"/>
      <c r="J998" s="574"/>
    </row>
    <row r="999">
      <c r="C999" s="139"/>
      <c r="D999" s="139"/>
      <c r="F999" s="426"/>
      <c r="G999" s="578"/>
      <c r="H999" s="574"/>
      <c r="I999" s="574"/>
      <c r="J999" s="574"/>
    </row>
    <row r="1000">
      <c r="C1000" s="139"/>
      <c r="D1000" s="139"/>
      <c r="F1000" s="426"/>
      <c r="G1000" s="578"/>
      <c r="H1000" s="574"/>
      <c r="I1000" s="574"/>
      <c r="J1000" s="574"/>
    </row>
    <row r="1001">
      <c r="C1001" s="139"/>
      <c r="D1001" s="139"/>
      <c r="F1001" s="426"/>
      <c r="G1001" s="578"/>
      <c r="H1001" s="574"/>
      <c r="I1001" s="574"/>
      <c r="J1001" s="574"/>
    </row>
    <row r="1002">
      <c r="C1002" s="139"/>
      <c r="D1002" s="139"/>
      <c r="F1002" s="426"/>
      <c r="G1002" s="578"/>
      <c r="H1002" s="574"/>
      <c r="I1002" s="574"/>
      <c r="J1002" s="574"/>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C4"/>
    <hyperlink r:id="rId2" ref="C5"/>
    <hyperlink r:id="rId3" ref="C6"/>
    <hyperlink r:id="rId4" ref="C7"/>
    <hyperlink r:id="rId5" ref="C8"/>
    <hyperlink r:id="rId6" ref="C9"/>
    <hyperlink r:id="rId7" ref="C10"/>
    <hyperlink r:id="rId8" ref="C11"/>
    <hyperlink r:id="rId9" ref="C12"/>
    <hyperlink r:id="rId10" ref="C13"/>
    <hyperlink r:id="rId11" ref="C14"/>
    <hyperlink r:id="rId12" ref="C16"/>
    <hyperlink r:id="rId13" ref="C17"/>
    <hyperlink r:id="rId14" ref="C18"/>
    <hyperlink r:id="rId15" ref="C19"/>
    <hyperlink r:id="rId16" ref="C20"/>
    <hyperlink r:id="rId17" ref="C21"/>
    <hyperlink r:id="rId18" ref="C22"/>
    <hyperlink r:id="rId19" ref="C23"/>
    <hyperlink r:id="rId20" ref="C24"/>
    <hyperlink r:id="rId21" ref="C25"/>
    <hyperlink r:id="rId22" ref="C26"/>
    <hyperlink r:id="rId23" ref="C27"/>
    <hyperlink r:id="rId24" ref="C29"/>
    <hyperlink r:id="rId25" ref="C30"/>
    <hyperlink r:id="rId26" ref="C32"/>
    <hyperlink r:id="rId27" ref="C34"/>
    <hyperlink r:id="rId28" ref="C35"/>
    <hyperlink r:id="rId29" ref="C36"/>
    <hyperlink r:id="rId30" ref="C37"/>
    <hyperlink r:id="rId31" ref="C38"/>
    <hyperlink r:id="rId32" ref="C39"/>
    <hyperlink r:id="rId33" ref="C41"/>
    <hyperlink r:id="rId34" ref="C42"/>
    <hyperlink r:id="rId35" ref="C44"/>
    <hyperlink r:id="rId36" ref="C45"/>
    <hyperlink r:id="rId37" ref="C46"/>
    <hyperlink r:id="rId38" ref="C47"/>
    <hyperlink r:id="rId39" ref="C48"/>
    <hyperlink r:id="rId40" ref="C49"/>
    <hyperlink r:id="rId41" ref="C50"/>
    <hyperlink r:id="rId42" ref="C51"/>
    <hyperlink r:id="rId43" ref="C52"/>
    <hyperlink r:id="rId44" ref="C53"/>
    <hyperlink r:id="rId45" ref="C54"/>
    <hyperlink r:id="rId46" ref="C55"/>
    <hyperlink r:id="rId47" ref="C56"/>
    <hyperlink r:id="rId48" ref="C57"/>
    <hyperlink r:id="rId49" ref="C58"/>
    <hyperlink r:id="rId50" ref="C59"/>
    <hyperlink r:id="rId51" ref="C60"/>
    <hyperlink r:id="rId52" ref="C61"/>
    <hyperlink r:id="rId53" ref="C62"/>
    <hyperlink r:id="rId54" ref="C63"/>
    <hyperlink r:id="rId55" ref="C64"/>
    <hyperlink r:id="rId56" ref="C65"/>
    <hyperlink r:id="rId57" ref="C66"/>
    <hyperlink r:id="rId58" ref="C67"/>
    <hyperlink r:id="rId59" ref="C68"/>
    <hyperlink r:id="rId60" ref="C69"/>
    <hyperlink r:id="rId61" ref="C73"/>
    <hyperlink r:id="rId62" ref="C75"/>
    <hyperlink r:id="rId63" ref="C76"/>
    <hyperlink r:id="rId64" ref="C77"/>
    <hyperlink r:id="rId65" ref="C78"/>
    <hyperlink r:id="rId66" ref="C80"/>
    <hyperlink r:id="rId67" ref="C81"/>
    <hyperlink r:id="rId68" ref="C82"/>
    <hyperlink r:id="rId69" ref="C84"/>
    <hyperlink r:id="rId70" ref="C85"/>
    <hyperlink r:id="rId71" ref="C87"/>
    <hyperlink r:id="rId72" ref="C88"/>
    <hyperlink r:id="rId73" ref="C89"/>
    <hyperlink r:id="rId74" ref="C92"/>
    <hyperlink r:id="rId75" ref="C93"/>
    <hyperlink r:id="rId76" ref="C95"/>
    <hyperlink r:id="rId77" ref="C96"/>
    <hyperlink r:id="rId78" ref="C97"/>
    <hyperlink r:id="rId79" ref="C103"/>
    <hyperlink r:id="rId80" ref="C104"/>
    <hyperlink r:id="rId81" ref="C105"/>
    <hyperlink r:id="rId82" ref="C106"/>
    <hyperlink r:id="rId83" ref="C111"/>
    <hyperlink r:id="rId84" ref="C113"/>
    <hyperlink r:id="rId85" ref="C118"/>
    <hyperlink r:id="rId86" ref="C119"/>
    <hyperlink r:id="rId87" ref="C120"/>
    <hyperlink r:id="rId88" ref="C121"/>
    <hyperlink r:id="rId89" ref="C122"/>
    <hyperlink r:id="rId90" ref="C124"/>
    <hyperlink r:id="rId91" ref="C128"/>
    <hyperlink r:id="rId92" ref="C129"/>
    <hyperlink r:id="rId93" ref="C131"/>
    <hyperlink r:id="rId94" ref="C132"/>
    <hyperlink r:id="rId95" ref="C133"/>
    <hyperlink r:id="rId96" ref="C134"/>
    <hyperlink r:id="rId97" ref="C135"/>
    <hyperlink r:id="rId98" ref="C136"/>
    <hyperlink r:id="rId99" ref="B139"/>
    <hyperlink r:id="rId100" ref="C139"/>
    <hyperlink r:id="rId101" ref="B140"/>
    <hyperlink r:id="rId102" ref="C140"/>
    <hyperlink r:id="rId103" ref="B141"/>
    <hyperlink r:id="rId104" ref="C141"/>
    <hyperlink r:id="rId105" ref="B142"/>
    <hyperlink r:id="rId106" ref="C142"/>
    <hyperlink r:id="rId107" ref="B143"/>
    <hyperlink r:id="rId108" ref="C143"/>
    <hyperlink r:id="rId109" ref="B144"/>
    <hyperlink r:id="rId110" ref="C144"/>
    <hyperlink r:id="rId111" ref="B145"/>
    <hyperlink r:id="rId112" ref="C145"/>
    <hyperlink r:id="rId113" ref="B146"/>
    <hyperlink r:id="rId114" ref="C146"/>
    <hyperlink r:id="rId115" ref="B147"/>
    <hyperlink r:id="rId116" ref="C147"/>
    <hyperlink r:id="rId117" ref="B148"/>
    <hyperlink r:id="rId118" ref="C148"/>
    <hyperlink r:id="rId119" ref="C149"/>
    <hyperlink r:id="rId120" ref="C150"/>
    <hyperlink r:id="rId121" ref="C152"/>
    <hyperlink r:id="rId122" ref="C153"/>
    <hyperlink r:id="rId123" ref="C154"/>
    <hyperlink r:id="rId124" ref="C155"/>
    <hyperlink r:id="rId125" ref="C156"/>
    <hyperlink r:id="rId126" ref="C157"/>
    <hyperlink r:id="rId127" ref="C158"/>
    <hyperlink r:id="rId128" ref="C159"/>
    <hyperlink r:id="rId129" ref="C160"/>
    <hyperlink r:id="rId130" ref="C161"/>
    <hyperlink r:id="rId131" ref="C162"/>
    <hyperlink r:id="rId132" ref="C163"/>
    <hyperlink r:id="rId133" ref="C164"/>
    <hyperlink r:id="rId134" ref="C165"/>
    <hyperlink r:id="rId135" ref="C166"/>
    <hyperlink r:id="rId136" ref="C167"/>
    <hyperlink r:id="rId137" ref="C168"/>
    <hyperlink r:id="rId138" ref="C169"/>
    <hyperlink r:id="rId139" ref="C170"/>
    <hyperlink r:id="rId140" ref="C171"/>
    <hyperlink r:id="rId141" ref="C172"/>
    <hyperlink r:id="rId142" ref="C173"/>
    <hyperlink r:id="rId143" ref="C174"/>
    <hyperlink r:id="rId144" ref="C175"/>
    <hyperlink r:id="rId145" ref="C176"/>
    <hyperlink r:id="rId146" ref="C177"/>
    <hyperlink r:id="rId147" ref="C178"/>
    <hyperlink r:id="rId148" ref="C179"/>
    <hyperlink r:id="rId149" ref="C180"/>
    <hyperlink r:id="rId150" ref="C181"/>
    <hyperlink r:id="rId151" ref="C182"/>
    <hyperlink r:id="rId152" ref="C183"/>
    <hyperlink r:id="rId153" ref="C184"/>
    <hyperlink r:id="rId154" ref="C185"/>
    <hyperlink r:id="rId155" ref="C186"/>
    <hyperlink r:id="rId156" ref="C187"/>
    <hyperlink r:id="rId157" ref="C188"/>
    <hyperlink r:id="rId158" ref="C189"/>
    <hyperlink r:id="rId159" ref="C190"/>
    <hyperlink r:id="rId160" ref="C191"/>
    <hyperlink r:id="rId161" ref="C192"/>
    <hyperlink r:id="rId162" ref="C193"/>
    <hyperlink r:id="rId163" ref="C194"/>
    <hyperlink r:id="rId164" ref="C195"/>
    <hyperlink r:id="rId165" ref="C196"/>
    <hyperlink r:id="rId166" ref="C197"/>
    <hyperlink r:id="rId167" ref="C198"/>
    <hyperlink r:id="rId168" ref="C199"/>
    <hyperlink r:id="rId169" ref="C200"/>
    <hyperlink r:id="rId170" ref="C201"/>
    <hyperlink r:id="rId171" ref="C202"/>
    <hyperlink r:id="rId172" ref="C203"/>
    <hyperlink r:id="rId173" ref="C204"/>
    <hyperlink r:id="rId174" ref="C205"/>
  </hyperlinks>
  <drawing r:id="rId175"/>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topLeftCell="E1" activePane="topRight" state="frozen"/>
      <selection activeCell="F2" sqref="F2" pane="topRight"/>
    </sheetView>
  </sheetViews>
  <sheetFormatPr customHeight="1" defaultColWidth="14.43" defaultRowHeight="15.75" outlineLevelRow="1"/>
  <cols>
    <col customWidth="1" min="1" max="1" width="10.14"/>
    <col customWidth="1" min="2" max="2" width="7.0"/>
    <col customWidth="1" min="3" max="3" width="13.29"/>
  </cols>
  <sheetData>
    <row r="1" ht="15.0" customHeight="1" outlineLevel="1">
      <c r="A1" s="1" t="s">
        <v>0</v>
      </c>
      <c r="B1" s="2" t="s">
        <v>1</v>
      </c>
      <c r="C1" s="2" t="s">
        <v>2</v>
      </c>
      <c r="D1" s="2"/>
      <c r="E1" s="3"/>
      <c r="F1" s="30" t="s">
        <v>1577</v>
      </c>
      <c r="G1" s="30" t="s">
        <v>4</v>
      </c>
      <c r="H1" s="30" t="s">
        <v>5</v>
      </c>
      <c r="I1" s="30" t="s">
        <v>6</v>
      </c>
      <c r="J1" s="30" t="s">
        <v>7</v>
      </c>
      <c r="K1" s="1" t="s">
        <v>8</v>
      </c>
      <c r="L1" s="7" t="s">
        <v>9</v>
      </c>
      <c r="N1" s="10" t="s">
        <v>14</v>
      </c>
      <c r="P1" s="167"/>
      <c r="Q1" s="167"/>
      <c r="R1" s="30"/>
      <c r="S1" s="20"/>
      <c r="T1" s="20"/>
      <c r="U1" s="20"/>
      <c r="V1" s="20"/>
      <c r="W1" s="20"/>
      <c r="X1" s="20"/>
      <c r="Y1" s="20"/>
      <c r="Z1" s="20"/>
      <c r="AA1" s="20"/>
      <c r="AB1" s="20"/>
      <c r="AC1" s="20"/>
      <c r="AD1" s="20"/>
    </row>
    <row r="2" ht="16.5" customHeight="1" outlineLevel="1">
      <c r="A2" s="21" t="s">
        <v>492</v>
      </c>
      <c r="B2" s="21" t="s">
        <v>7436</v>
      </c>
      <c r="C2" s="325"/>
      <c r="D2" s="325"/>
      <c r="E2" s="3"/>
      <c r="F2" s="168">
        <v>43473.0</v>
      </c>
      <c r="G2" s="168">
        <v>43486.0</v>
      </c>
      <c r="H2" s="21">
        <f>G2-TODAY()</f>
        <v>-249</v>
      </c>
      <c r="I2" s="168">
        <v>43473.0</v>
      </c>
      <c r="J2" s="168">
        <v>43562.0</v>
      </c>
      <c r="K2" s="23"/>
      <c r="L2" s="26">
        <f>CountIFS($E:$E,"=Dem",$A:$A,"=House")</f>
        <v>46</v>
      </c>
      <c r="M2" s="28">
        <f>CountIFS($E:$E,"=Rep",$A:$A,"=House")</f>
        <v>74</v>
      </c>
      <c r="N2" s="26">
        <f>CountIFS($E:$E,"=Dem",$A:$A,"=Senate")</f>
        <v>19</v>
      </c>
      <c r="O2" s="28">
        <f>CountIFS($E:$E,"=Rep",$A:$A,"=Senate")</f>
        <v>33</v>
      </c>
      <c r="P2" s="167"/>
      <c r="Q2" s="167"/>
      <c r="R2" s="30"/>
      <c r="S2" s="20"/>
      <c r="T2" s="20"/>
      <c r="U2" s="20"/>
      <c r="V2" s="20"/>
      <c r="W2" s="20"/>
      <c r="X2" s="20"/>
      <c r="Y2" s="20"/>
      <c r="Z2" s="20"/>
      <c r="AA2" s="20"/>
      <c r="AB2" s="20"/>
      <c r="AC2" s="20"/>
      <c r="AD2" s="20"/>
    </row>
    <row r="3">
      <c r="A3" s="30" t="s">
        <v>29</v>
      </c>
      <c r="B3" s="30" t="s">
        <v>30</v>
      </c>
      <c r="C3" s="2" t="s">
        <v>799</v>
      </c>
      <c r="D3" s="2" t="s">
        <v>800</v>
      </c>
      <c r="E3" s="3" t="s">
        <v>33</v>
      </c>
      <c r="F3" s="1" t="s">
        <v>10</v>
      </c>
      <c r="G3" s="1" t="s">
        <v>34</v>
      </c>
      <c r="H3" s="1" t="s">
        <v>34</v>
      </c>
      <c r="I3" s="1" t="s">
        <v>34</v>
      </c>
      <c r="J3" s="1" t="s">
        <v>34</v>
      </c>
      <c r="K3" s="1" t="s">
        <v>35</v>
      </c>
      <c r="L3" s="19" t="s">
        <v>36</v>
      </c>
      <c r="M3" s="19" t="s">
        <v>37</v>
      </c>
      <c r="N3" s="19" t="s">
        <v>38</v>
      </c>
      <c r="O3" s="17" t="s">
        <v>39</v>
      </c>
      <c r="P3" s="11" t="s">
        <v>40</v>
      </c>
      <c r="Q3" s="11" t="s">
        <v>41</v>
      </c>
      <c r="R3" s="17" t="s">
        <v>42</v>
      </c>
      <c r="S3" s="20"/>
      <c r="T3" s="20"/>
      <c r="U3" s="20"/>
      <c r="V3" s="20"/>
      <c r="W3" s="20"/>
      <c r="X3" s="20"/>
      <c r="Y3" s="20"/>
      <c r="Z3" s="20"/>
      <c r="AA3" s="20"/>
      <c r="AB3" s="20"/>
      <c r="AC3" s="20"/>
      <c r="AD3" s="20"/>
    </row>
    <row r="4">
      <c r="A4" s="14" t="s">
        <v>44</v>
      </c>
      <c r="B4" s="552">
        <v>1.0</v>
      </c>
      <c r="C4" s="264" t="s">
        <v>4328</v>
      </c>
      <c r="D4" s="264" t="s">
        <v>196</v>
      </c>
      <c r="E4" s="580" t="s">
        <v>53</v>
      </c>
      <c r="M4" t="str">
        <f t="shared" ref="M4:M125" si="1">Concatenate(lower(left(C4,1)),lower(D4),"@house.ms.gov")</f>
        <v>lcarpenter@house.ms.gov</v>
      </c>
    </row>
    <row r="5">
      <c r="A5" s="14" t="s">
        <v>44</v>
      </c>
      <c r="B5" s="552">
        <v>2.0</v>
      </c>
      <c r="C5" s="264" t="s">
        <v>3030</v>
      </c>
      <c r="D5" s="264" t="s">
        <v>7454</v>
      </c>
      <c r="E5" s="581" t="s">
        <v>49</v>
      </c>
      <c r="M5" t="str">
        <f t="shared" si="1"/>
        <v>nbain@house.ms.gov</v>
      </c>
    </row>
    <row r="6">
      <c r="A6" s="14" t="s">
        <v>44</v>
      </c>
      <c r="B6" s="552">
        <v>3.0</v>
      </c>
      <c r="C6" s="264" t="s">
        <v>1058</v>
      </c>
      <c r="D6" s="264" t="s">
        <v>460</v>
      </c>
      <c r="E6" s="384" t="s">
        <v>53</v>
      </c>
      <c r="M6" t="str">
        <f t="shared" si="1"/>
        <v>warnold@house.ms.gov</v>
      </c>
    </row>
    <row r="7">
      <c r="A7" s="14" t="s">
        <v>44</v>
      </c>
      <c r="B7" s="552">
        <v>4.0</v>
      </c>
      <c r="C7" s="264" t="s">
        <v>4766</v>
      </c>
      <c r="D7" s="264" t="s">
        <v>7460</v>
      </c>
      <c r="E7" s="384" t="s">
        <v>53</v>
      </c>
      <c r="M7" t="str">
        <f t="shared" si="1"/>
        <v>jsteverson@house.ms.gov</v>
      </c>
    </row>
    <row r="8">
      <c r="A8" s="14" t="s">
        <v>44</v>
      </c>
      <c r="B8" s="552">
        <v>5.0</v>
      </c>
      <c r="C8" s="264" t="s">
        <v>278</v>
      </c>
      <c r="D8" s="264" t="s">
        <v>472</v>
      </c>
      <c r="E8" s="394" t="s">
        <v>49</v>
      </c>
      <c r="M8" t="str">
        <f t="shared" si="1"/>
        <v>jfaulkner@house.ms.gov</v>
      </c>
    </row>
    <row r="9">
      <c r="A9" s="14" t="s">
        <v>44</v>
      </c>
      <c r="B9" s="552">
        <v>6.0</v>
      </c>
      <c r="C9" s="264" t="s">
        <v>6243</v>
      </c>
      <c r="D9" s="264" t="s">
        <v>7468</v>
      </c>
      <c r="E9" s="384" t="s">
        <v>53</v>
      </c>
      <c r="M9" t="str">
        <f t="shared" si="1"/>
        <v>dcriswell@house.ms.gov</v>
      </c>
    </row>
    <row r="10">
      <c r="A10" s="14" t="s">
        <v>44</v>
      </c>
      <c r="B10" s="552">
        <v>7.0</v>
      </c>
      <c r="C10" s="264" t="s">
        <v>55</v>
      </c>
      <c r="D10" s="264" t="s">
        <v>68</v>
      </c>
      <c r="E10" s="384" t="s">
        <v>53</v>
      </c>
      <c r="M10" t="str">
        <f t="shared" si="1"/>
        <v>shopkins@house.ms.gov</v>
      </c>
    </row>
    <row r="11">
      <c r="A11" s="14" t="s">
        <v>44</v>
      </c>
      <c r="B11" s="552">
        <v>8.0</v>
      </c>
      <c r="C11" s="264" t="s">
        <v>2940</v>
      </c>
      <c r="D11" s="264" t="s">
        <v>7476</v>
      </c>
      <c r="E11" s="384" t="s">
        <v>53</v>
      </c>
      <c r="M11" t="str">
        <f t="shared" si="1"/>
        <v>tlamar@house.ms.gov</v>
      </c>
    </row>
    <row r="12">
      <c r="A12" s="14" t="s">
        <v>44</v>
      </c>
      <c r="B12" s="552">
        <v>9.0</v>
      </c>
      <c r="C12" s="264" t="s">
        <v>3463</v>
      </c>
      <c r="D12" s="264" t="s">
        <v>7478</v>
      </c>
      <c r="E12" s="394" t="s">
        <v>49</v>
      </c>
      <c r="M12" t="str">
        <f t="shared" si="1"/>
        <v>cburnett@house.ms.gov</v>
      </c>
    </row>
    <row r="13">
      <c r="A13" s="14" t="s">
        <v>44</v>
      </c>
      <c r="B13" s="552">
        <v>10.0</v>
      </c>
      <c r="C13" s="264" t="s">
        <v>7482</v>
      </c>
      <c r="D13" s="264" t="s">
        <v>7483</v>
      </c>
      <c r="E13" s="384" t="s">
        <v>53</v>
      </c>
      <c r="M13" t="str">
        <f t="shared" si="1"/>
        <v>nmettetal@house.ms.gov</v>
      </c>
    </row>
    <row r="14">
      <c r="A14" s="14" t="s">
        <v>44</v>
      </c>
      <c r="B14" s="552">
        <v>11.0</v>
      </c>
      <c r="C14" s="264" t="s">
        <v>7484</v>
      </c>
      <c r="D14" s="264" t="s">
        <v>567</v>
      </c>
      <c r="E14" s="394" t="s">
        <v>49</v>
      </c>
      <c r="M14" t="str">
        <f t="shared" si="1"/>
        <v>ljackson@house.ms.gov</v>
      </c>
    </row>
    <row r="15">
      <c r="A15" s="14" t="s">
        <v>44</v>
      </c>
      <c r="B15" s="552">
        <v>12.0</v>
      </c>
      <c r="C15" s="542" t="s">
        <v>3526</v>
      </c>
      <c r="D15" s="542" t="s">
        <v>316</v>
      </c>
      <c r="E15" s="394" t="s">
        <v>49</v>
      </c>
      <c r="M15" t="str">
        <f t="shared" si="1"/>
        <v>jhughes@house.ms.gov</v>
      </c>
    </row>
    <row r="16">
      <c r="A16" s="14" t="s">
        <v>44</v>
      </c>
      <c r="B16" s="552">
        <v>13.0</v>
      </c>
      <c r="C16" s="264" t="s">
        <v>55</v>
      </c>
      <c r="D16" s="264" t="s">
        <v>7492</v>
      </c>
      <c r="E16" s="384" t="s">
        <v>53</v>
      </c>
      <c r="M16" t="str">
        <f t="shared" si="1"/>
        <v>smassengill@house.ms.gov</v>
      </c>
    </row>
    <row r="17">
      <c r="A17" s="14" t="s">
        <v>44</v>
      </c>
      <c r="B17" s="552">
        <v>14.0</v>
      </c>
      <c r="C17" s="264" t="s">
        <v>3040</v>
      </c>
      <c r="D17" s="264" t="s">
        <v>494</v>
      </c>
      <c r="E17" s="384" t="s">
        <v>53</v>
      </c>
      <c r="M17" t="str">
        <f t="shared" si="1"/>
        <v>mrogers@house.ms.gov</v>
      </c>
    </row>
    <row r="18">
      <c r="A18" s="14" t="s">
        <v>44</v>
      </c>
      <c r="B18" s="552">
        <v>15.0</v>
      </c>
      <c r="C18" s="264" t="s">
        <v>333</v>
      </c>
      <c r="D18" s="264" t="s">
        <v>7495</v>
      </c>
      <c r="E18" s="384" t="s">
        <v>53</v>
      </c>
      <c r="M18" t="str">
        <f t="shared" si="1"/>
        <v>mhuddleston@house.ms.gov</v>
      </c>
    </row>
    <row r="19">
      <c r="A19" s="14" t="s">
        <v>44</v>
      </c>
      <c r="B19" s="552">
        <v>16.0</v>
      </c>
      <c r="C19" s="264" t="s">
        <v>55</v>
      </c>
      <c r="D19" s="264" t="s">
        <v>3435</v>
      </c>
      <c r="E19" s="394" t="s">
        <v>49</v>
      </c>
      <c r="M19" t="str">
        <f t="shared" si="1"/>
        <v>sholland@house.ms.gov</v>
      </c>
    </row>
    <row r="20">
      <c r="A20" s="14" t="s">
        <v>44</v>
      </c>
      <c r="B20" s="552">
        <v>17.0</v>
      </c>
      <c r="C20" s="264" t="s">
        <v>756</v>
      </c>
      <c r="D20" s="264" t="s">
        <v>7500</v>
      </c>
      <c r="E20" s="384" t="s">
        <v>53</v>
      </c>
      <c r="M20" t="str">
        <f t="shared" si="1"/>
        <v>saguirre@house.ms.gov</v>
      </c>
    </row>
    <row r="21">
      <c r="A21" s="14" t="s">
        <v>44</v>
      </c>
      <c r="B21" s="552">
        <v>18.0</v>
      </c>
      <c r="C21" s="264" t="s">
        <v>2105</v>
      </c>
      <c r="D21" s="264" t="s">
        <v>3193</v>
      </c>
      <c r="E21" s="384" t="s">
        <v>53</v>
      </c>
      <c r="M21" t="str">
        <f t="shared" si="1"/>
        <v>jturner@house.ms.gov</v>
      </c>
    </row>
    <row r="22">
      <c r="A22" s="14" t="s">
        <v>44</v>
      </c>
      <c r="B22" s="552">
        <v>19.0</v>
      </c>
      <c r="C22" s="264" t="s">
        <v>412</v>
      </c>
      <c r="D22" s="264" t="s">
        <v>388</v>
      </c>
      <c r="E22" s="384" t="s">
        <v>53</v>
      </c>
      <c r="M22" t="str">
        <f t="shared" si="1"/>
        <v>rboyd@house.ms.gov</v>
      </c>
    </row>
    <row r="23">
      <c r="A23" s="14" t="s">
        <v>44</v>
      </c>
      <c r="B23" s="552">
        <v>20.0</v>
      </c>
      <c r="C23" s="264" t="s">
        <v>173</v>
      </c>
      <c r="D23" s="264" t="s">
        <v>447</v>
      </c>
      <c r="E23" s="384" t="s">
        <v>53</v>
      </c>
      <c r="M23" t="str">
        <f t="shared" si="1"/>
        <v>cbrown@house.ms.gov</v>
      </c>
    </row>
    <row r="24">
      <c r="A24" s="14" t="s">
        <v>44</v>
      </c>
      <c r="B24" s="552">
        <v>21.0</v>
      </c>
      <c r="C24" s="264" t="s">
        <v>1064</v>
      </c>
      <c r="D24" s="264" t="s">
        <v>3007</v>
      </c>
      <c r="E24" s="384" t="s">
        <v>53</v>
      </c>
      <c r="M24" t="str">
        <f t="shared" si="1"/>
        <v>dbell@house.ms.gov</v>
      </c>
    </row>
    <row r="25">
      <c r="A25" s="14" t="s">
        <v>44</v>
      </c>
      <c r="B25" s="552">
        <v>22.0</v>
      </c>
      <c r="C25" s="264" t="s">
        <v>7521</v>
      </c>
      <c r="D25" s="264" t="s">
        <v>435</v>
      </c>
      <c r="E25" s="394" t="s">
        <v>49</v>
      </c>
      <c r="M25" t="str">
        <f t="shared" si="1"/>
        <v>psullivan@house.ms.gov</v>
      </c>
    </row>
    <row r="26">
      <c r="A26" s="14" t="s">
        <v>44</v>
      </c>
      <c r="B26" s="552">
        <v>23.0</v>
      </c>
      <c r="C26" s="264" t="s">
        <v>1287</v>
      </c>
      <c r="D26" s="264" t="s">
        <v>7528</v>
      </c>
      <c r="E26" s="384" t="s">
        <v>53</v>
      </c>
      <c r="M26" t="str">
        <f t="shared" si="1"/>
        <v>cbeckett@house.ms.gov</v>
      </c>
    </row>
    <row r="27">
      <c r="A27" s="14" t="s">
        <v>44</v>
      </c>
      <c r="B27" s="552">
        <v>24.0</v>
      </c>
      <c r="C27" s="264" t="s">
        <v>683</v>
      </c>
      <c r="D27" s="264" t="s">
        <v>5252</v>
      </c>
      <c r="E27" s="384" t="s">
        <v>53</v>
      </c>
      <c r="M27" t="str">
        <f t="shared" si="1"/>
        <v>jhale@house.ms.gov</v>
      </c>
    </row>
    <row r="28">
      <c r="A28" s="14" t="s">
        <v>44</v>
      </c>
      <c r="B28" s="552">
        <v>25.0</v>
      </c>
      <c r="C28" s="264" t="s">
        <v>239</v>
      </c>
      <c r="D28" s="264" t="s">
        <v>931</v>
      </c>
      <c r="E28" s="384" t="s">
        <v>53</v>
      </c>
      <c r="M28" t="str">
        <f t="shared" si="1"/>
        <v>deubanks@house.ms.gov</v>
      </c>
    </row>
    <row r="29">
      <c r="A29" s="14" t="s">
        <v>44</v>
      </c>
      <c r="B29" s="552">
        <v>26.0</v>
      </c>
      <c r="C29" s="264" t="s">
        <v>7537</v>
      </c>
      <c r="D29" s="264" t="s">
        <v>7541</v>
      </c>
      <c r="E29" s="394" t="s">
        <v>49</v>
      </c>
      <c r="M29" t="str">
        <f t="shared" si="1"/>
        <v>opaden@house.ms.gov</v>
      </c>
    </row>
    <row r="30">
      <c r="A30" s="14" t="s">
        <v>44</v>
      </c>
      <c r="B30" s="552">
        <v>27.0</v>
      </c>
      <c r="C30" s="264" t="s">
        <v>2777</v>
      </c>
      <c r="D30" s="264" t="s">
        <v>1275</v>
      </c>
      <c r="E30" s="394" t="s">
        <v>49</v>
      </c>
      <c r="M30" t="str">
        <f t="shared" si="1"/>
        <v>kwalker@house.ms.gov</v>
      </c>
    </row>
    <row r="31">
      <c r="A31" s="14" t="s">
        <v>44</v>
      </c>
      <c r="B31" s="552">
        <v>28.0</v>
      </c>
      <c r="C31" s="264" t="s">
        <v>1134</v>
      </c>
      <c r="D31" s="264" t="s">
        <v>271</v>
      </c>
      <c r="E31" s="384" t="s">
        <v>53</v>
      </c>
      <c r="M31" t="str">
        <f t="shared" si="1"/>
        <v>rfoster@house.ms.gov</v>
      </c>
    </row>
    <row r="32">
      <c r="A32" s="14" t="s">
        <v>44</v>
      </c>
      <c r="B32" s="552">
        <v>29.0</v>
      </c>
      <c r="C32" s="264" t="s">
        <v>7568</v>
      </c>
      <c r="D32" s="264" t="s">
        <v>6808</v>
      </c>
      <c r="E32" s="394" t="s">
        <v>49</v>
      </c>
      <c r="M32" t="str">
        <f t="shared" si="1"/>
        <v>ahudson@house.ms.gov</v>
      </c>
    </row>
    <row r="33">
      <c r="A33" s="14" t="s">
        <v>44</v>
      </c>
      <c r="B33" s="552">
        <v>30.0</v>
      </c>
      <c r="C33" s="264" t="s">
        <v>7577</v>
      </c>
      <c r="D33" s="264" t="s">
        <v>7592</v>
      </c>
      <c r="E33" s="394" t="s">
        <v>49</v>
      </c>
      <c r="M33" t="str">
        <f t="shared" si="1"/>
        <v>trosebud@house.ms.gov</v>
      </c>
    </row>
    <row r="34">
      <c r="A34" s="14" t="s">
        <v>44</v>
      </c>
      <c r="B34" s="552">
        <v>31.0</v>
      </c>
      <c r="C34" s="264" t="s">
        <v>6821</v>
      </c>
      <c r="D34" s="264"/>
      <c r="E34" s="532"/>
      <c r="M34" t="str">
        <f t="shared" si="1"/>
        <v>v@house.ms.gov</v>
      </c>
    </row>
    <row r="35">
      <c r="A35" s="14" t="s">
        <v>44</v>
      </c>
      <c r="B35" s="552">
        <v>32.0</v>
      </c>
      <c r="C35" s="264" t="s">
        <v>4995</v>
      </c>
      <c r="D35" s="264" t="s">
        <v>6545</v>
      </c>
      <c r="E35" s="394" t="s">
        <v>49</v>
      </c>
      <c r="M35" t="str">
        <f t="shared" si="1"/>
        <v>wperkins@house.ms.gov</v>
      </c>
    </row>
    <row r="36">
      <c r="A36" s="14" t="s">
        <v>44</v>
      </c>
      <c r="B36" s="552">
        <v>33.0</v>
      </c>
      <c r="C36" s="264" t="s">
        <v>561</v>
      </c>
      <c r="D36" s="264" t="s">
        <v>306</v>
      </c>
      <c r="E36" s="394" t="s">
        <v>49</v>
      </c>
      <c r="M36" t="str">
        <f t="shared" si="1"/>
        <v>treynolds@house.ms.gov</v>
      </c>
    </row>
    <row r="37">
      <c r="A37" s="14" t="s">
        <v>44</v>
      </c>
      <c r="B37" s="552">
        <v>34.0</v>
      </c>
      <c r="C37" s="264" t="s">
        <v>971</v>
      </c>
      <c r="D37" s="264" t="s">
        <v>7628</v>
      </c>
      <c r="E37" s="394" t="s">
        <v>49</v>
      </c>
      <c r="M37" t="str">
        <f t="shared" si="1"/>
        <v>khoran@house.ms.gov</v>
      </c>
    </row>
    <row r="38">
      <c r="A38" s="14" t="s">
        <v>44</v>
      </c>
      <c r="B38" s="552">
        <v>35.0</v>
      </c>
      <c r="C38" s="264" t="s">
        <v>7629</v>
      </c>
      <c r="D38" s="264" t="s">
        <v>7232</v>
      </c>
      <c r="E38" s="384" t="s">
        <v>53</v>
      </c>
      <c r="M38" t="str">
        <f t="shared" si="1"/>
        <v>jhood@house.ms.gov</v>
      </c>
    </row>
    <row r="39">
      <c r="A39" s="14" t="s">
        <v>44</v>
      </c>
      <c r="B39" s="552">
        <v>36.0</v>
      </c>
      <c r="C39" s="264" t="s">
        <v>3578</v>
      </c>
      <c r="D39" s="264" t="s">
        <v>3968</v>
      </c>
      <c r="E39" s="394" t="s">
        <v>49</v>
      </c>
      <c r="M39" t="str">
        <f t="shared" si="1"/>
        <v>kgibbs@house.ms.gov</v>
      </c>
    </row>
    <row r="40">
      <c r="A40" s="14" t="s">
        <v>44</v>
      </c>
      <c r="B40" s="552">
        <v>37.0</v>
      </c>
      <c r="C40" s="264" t="s">
        <v>199</v>
      </c>
      <c r="D40" s="264" t="s">
        <v>7652</v>
      </c>
      <c r="E40" s="384" t="s">
        <v>53</v>
      </c>
      <c r="M40" t="str">
        <f t="shared" si="1"/>
        <v>gchism@house.ms.gov</v>
      </c>
    </row>
    <row r="41">
      <c r="A41" s="14" t="s">
        <v>44</v>
      </c>
      <c r="B41" s="552">
        <v>38.0</v>
      </c>
      <c r="C41" s="264" t="s">
        <v>7653</v>
      </c>
      <c r="D41" s="264" t="s">
        <v>4255</v>
      </c>
      <c r="E41" s="394" t="s">
        <v>49</v>
      </c>
      <c r="M41" t="str">
        <f t="shared" si="1"/>
        <v>ctaylor@house.ms.gov</v>
      </c>
    </row>
    <row r="42">
      <c r="A42" s="14" t="s">
        <v>44</v>
      </c>
      <c r="B42" s="552">
        <v>39.0</v>
      </c>
      <c r="C42" s="264" t="s">
        <v>683</v>
      </c>
      <c r="D42" s="264" t="s">
        <v>1451</v>
      </c>
      <c r="E42" s="384" t="s">
        <v>53</v>
      </c>
      <c r="M42" t="str">
        <f t="shared" si="1"/>
        <v>jsmith@house.ms.gov</v>
      </c>
    </row>
    <row r="43">
      <c r="A43" s="14" t="s">
        <v>44</v>
      </c>
      <c r="B43" s="552">
        <v>40.0</v>
      </c>
      <c r="C43" s="264" t="s">
        <v>3414</v>
      </c>
      <c r="D43" s="264" t="s">
        <v>7671</v>
      </c>
      <c r="E43" s="384" t="s">
        <v>53</v>
      </c>
      <c r="M43" t="str">
        <f t="shared" si="1"/>
        <v>ahenley@house.ms.gov</v>
      </c>
    </row>
    <row r="44">
      <c r="A44" s="14" t="s">
        <v>44</v>
      </c>
      <c r="B44" s="552">
        <v>41.0</v>
      </c>
      <c r="C44" s="264" t="s">
        <v>7672</v>
      </c>
      <c r="D44" s="264" t="s">
        <v>7677</v>
      </c>
      <c r="E44" s="394" t="s">
        <v>49</v>
      </c>
      <c r="M44" t="str">
        <f t="shared" si="1"/>
        <v>kkarriem@house.ms.gov</v>
      </c>
    </row>
    <row r="45">
      <c r="A45" s="14" t="s">
        <v>44</v>
      </c>
      <c r="B45" s="552">
        <v>42.0</v>
      </c>
      <c r="C45" s="264" t="s">
        <v>4087</v>
      </c>
      <c r="D45" s="264" t="s">
        <v>7688</v>
      </c>
      <c r="E45" s="394" t="s">
        <v>49</v>
      </c>
      <c r="M45" t="str">
        <f t="shared" si="1"/>
        <v>cmickens@house.ms.gov</v>
      </c>
    </row>
    <row r="46">
      <c r="A46" s="14" t="s">
        <v>44</v>
      </c>
      <c r="B46" s="552">
        <v>43.0</v>
      </c>
      <c r="C46" s="264" t="s">
        <v>1476</v>
      </c>
      <c r="D46" s="264" t="s">
        <v>7689</v>
      </c>
      <c r="E46" s="384" t="s">
        <v>53</v>
      </c>
      <c r="M46" t="str">
        <f t="shared" si="1"/>
        <v>rroberson@house.ms.gov</v>
      </c>
    </row>
    <row r="47">
      <c r="A47" s="14" t="s">
        <v>44</v>
      </c>
      <c r="B47" s="552">
        <v>44.0</v>
      </c>
      <c r="C47" s="542" t="s">
        <v>45</v>
      </c>
      <c r="D47" s="542" t="s">
        <v>7694</v>
      </c>
      <c r="E47" s="384" t="s">
        <v>53</v>
      </c>
      <c r="M47" t="str">
        <f t="shared" si="1"/>
        <v>sbounds@house.ms.gov</v>
      </c>
    </row>
    <row r="48">
      <c r="A48" s="14" t="s">
        <v>44</v>
      </c>
      <c r="B48" s="552">
        <v>45.0</v>
      </c>
      <c r="C48" s="264" t="s">
        <v>2490</v>
      </c>
      <c r="D48" s="264" t="s">
        <v>1332</v>
      </c>
      <c r="E48" s="394" t="s">
        <v>49</v>
      </c>
      <c r="M48" t="str">
        <f t="shared" si="1"/>
        <v>mevans@house.ms.gov</v>
      </c>
    </row>
    <row r="49">
      <c r="A49" s="14" t="s">
        <v>44</v>
      </c>
      <c r="B49" s="552">
        <v>46.0</v>
      </c>
      <c r="C49" s="264" t="s">
        <v>3578</v>
      </c>
      <c r="D49" s="264" t="s">
        <v>637</v>
      </c>
      <c r="E49" s="384" t="s">
        <v>53</v>
      </c>
      <c r="M49" t="str">
        <f t="shared" si="1"/>
        <v>koliver@house.ms.gov</v>
      </c>
    </row>
    <row r="50">
      <c r="A50" s="14" t="s">
        <v>44</v>
      </c>
      <c r="B50" s="552">
        <v>47.0</v>
      </c>
      <c r="C50" s="264" t="s">
        <v>2976</v>
      </c>
      <c r="D50" s="264" t="s">
        <v>2063</v>
      </c>
      <c r="E50" s="394" t="s">
        <v>49</v>
      </c>
      <c r="M50" t="str">
        <f t="shared" si="1"/>
        <v>bclark@house.ms.gov</v>
      </c>
    </row>
    <row r="51">
      <c r="A51" s="14" t="s">
        <v>44</v>
      </c>
      <c r="B51" s="552">
        <v>48.0</v>
      </c>
      <c r="C51" s="264" t="s">
        <v>1231</v>
      </c>
      <c r="D51" s="264" t="s">
        <v>6034</v>
      </c>
      <c r="E51" s="384" t="s">
        <v>53</v>
      </c>
      <c r="M51" t="str">
        <f t="shared" si="1"/>
        <v>jwhite@house.ms.gov</v>
      </c>
    </row>
    <row r="52">
      <c r="A52" s="14" t="s">
        <v>44</v>
      </c>
      <c r="B52" s="552">
        <v>49.0</v>
      </c>
      <c r="C52" s="264" t="s">
        <v>4995</v>
      </c>
      <c r="D52" s="264" t="s">
        <v>4464</v>
      </c>
      <c r="E52" s="394" t="s">
        <v>49</v>
      </c>
      <c r="M52" t="str">
        <f t="shared" si="1"/>
        <v>wbailey@house.ms.gov</v>
      </c>
    </row>
    <row r="53">
      <c r="A53" s="14" t="s">
        <v>44</v>
      </c>
      <c r="B53" s="552">
        <v>50.0</v>
      </c>
      <c r="C53" s="264" t="s">
        <v>278</v>
      </c>
      <c r="D53" s="264" t="s">
        <v>7735</v>
      </c>
      <c r="E53" s="394" t="s">
        <v>49</v>
      </c>
      <c r="M53" t="str">
        <f t="shared" si="1"/>
        <v>jhines@house.ms.gov</v>
      </c>
    </row>
    <row r="54">
      <c r="A54" s="14" t="s">
        <v>44</v>
      </c>
      <c r="B54" s="552">
        <v>51.0</v>
      </c>
      <c r="C54" s="264" t="s">
        <v>7740</v>
      </c>
      <c r="D54" s="264" t="s">
        <v>7744</v>
      </c>
      <c r="E54" s="394" t="s">
        <v>49</v>
      </c>
      <c r="M54" t="str">
        <f t="shared" si="1"/>
        <v>rstraughter@house.ms.gov</v>
      </c>
    </row>
    <row r="55">
      <c r="A55" s="14" t="s">
        <v>44</v>
      </c>
      <c r="B55" s="552">
        <v>52.0</v>
      </c>
      <c r="C55" s="264" t="s">
        <v>325</v>
      </c>
      <c r="D55" s="264" t="s">
        <v>7751</v>
      </c>
      <c r="E55" s="384" t="s">
        <v>53</v>
      </c>
      <c r="M55" t="str">
        <f t="shared" si="1"/>
        <v>bkinkade@house.ms.gov</v>
      </c>
    </row>
    <row r="56">
      <c r="A56" s="14" t="s">
        <v>44</v>
      </c>
      <c r="B56" s="552">
        <v>53.0</v>
      </c>
      <c r="C56" s="264" t="s">
        <v>1576</v>
      </c>
      <c r="D56" s="264" t="s">
        <v>7756</v>
      </c>
      <c r="E56" s="384" t="s">
        <v>53</v>
      </c>
      <c r="M56" t="str">
        <f t="shared" si="1"/>
        <v>vmangold@house.ms.gov</v>
      </c>
    </row>
    <row r="57">
      <c r="A57" s="14" t="s">
        <v>44</v>
      </c>
      <c r="B57" s="552">
        <v>54.0</v>
      </c>
      <c r="C57" s="264" t="s">
        <v>971</v>
      </c>
      <c r="D57" s="264" t="s">
        <v>4018</v>
      </c>
      <c r="E57" s="384" t="s">
        <v>53</v>
      </c>
      <c r="M57" t="str">
        <f t="shared" si="1"/>
        <v>kford@house.ms.gov</v>
      </c>
    </row>
    <row r="58">
      <c r="A58" s="14" t="s">
        <v>44</v>
      </c>
      <c r="B58" s="552">
        <v>55.0</v>
      </c>
      <c r="C58" s="264" t="s">
        <v>3334</v>
      </c>
      <c r="D58" s="264" t="s">
        <v>7772</v>
      </c>
      <c r="E58" s="394" t="s">
        <v>49</v>
      </c>
      <c r="M58" t="str">
        <f t="shared" si="1"/>
        <v>odenton@house.ms.gov</v>
      </c>
    </row>
    <row r="59">
      <c r="A59" s="14" t="s">
        <v>44</v>
      </c>
      <c r="B59" s="552">
        <v>56.0</v>
      </c>
      <c r="C59" s="264" t="s">
        <v>5231</v>
      </c>
      <c r="D59" s="264" t="s">
        <v>7780</v>
      </c>
      <c r="E59" s="384" t="s">
        <v>53</v>
      </c>
      <c r="F59" s="14" t="s">
        <v>1056</v>
      </c>
      <c r="M59" t="str">
        <f t="shared" si="1"/>
        <v>pgunn@house.ms.gov</v>
      </c>
    </row>
    <row r="60">
      <c r="A60" s="14" t="s">
        <v>44</v>
      </c>
      <c r="B60" s="552">
        <v>57.0</v>
      </c>
      <c r="C60" s="264" t="s">
        <v>2705</v>
      </c>
      <c r="D60" s="264" t="s">
        <v>3978</v>
      </c>
      <c r="E60" s="394" t="s">
        <v>49</v>
      </c>
      <c r="M60" t="str">
        <f t="shared" si="1"/>
        <v>eblackmon@house.ms.gov</v>
      </c>
    </row>
    <row r="61">
      <c r="A61" s="14" t="s">
        <v>44</v>
      </c>
      <c r="B61" s="552">
        <v>58.0</v>
      </c>
      <c r="C61" s="264" t="s">
        <v>28</v>
      </c>
      <c r="D61" s="264" t="s">
        <v>7795</v>
      </c>
      <c r="E61" s="384" t="s">
        <v>53</v>
      </c>
      <c r="M61" t="str">
        <f t="shared" si="1"/>
        <v>jbomgar@house.ms.gov</v>
      </c>
    </row>
    <row r="62">
      <c r="A62" s="14" t="s">
        <v>44</v>
      </c>
      <c r="B62" s="552">
        <v>59.0</v>
      </c>
      <c r="C62" s="264" t="s">
        <v>3805</v>
      </c>
      <c r="D62" s="264" t="s">
        <v>3264</v>
      </c>
      <c r="E62" s="384" t="s">
        <v>53</v>
      </c>
      <c r="M62" t="str">
        <f t="shared" si="1"/>
        <v>bpowell@house.ms.gov</v>
      </c>
    </row>
    <row r="63">
      <c r="A63" s="14" t="s">
        <v>44</v>
      </c>
      <c r="B63" s="552">
        <v>60.0</v>
      </c>
      <c r="C63" s="264" t="s">
        <v>1242</v>
      </c>
      <c r="D63" s="264" t="s">
        <v>7814</v>
      </c>
      <c r="E63" s="384" t="s">
        <v>53</v>
      </c>
      <c r="M63" t="str">
        <f t="shared" si="1"/>
        <v>fshanks@house.ms.gov</v>
      </c>
    </row>
    <row r="64">
      <c r="A64" s="14" t="s">
        <v>44</v>
      </c>
      <c r="B64" s="552">
        <v>61.0</v>
      </c>
      <c r="C64" s="264" t="s">
        <v>2250</v>
      </c>
      <c r="D64" s="264" t="s">
        <v>494</v>
      </c>
      <c r="E64" s="384" t="s">
        <v>53</v>
      </c>
      <c r="M64" t="str">
        <f t="shared" si="1"/>
        <v>rrogers@house.ms.gov</v>
      </c>
    </row>
    <row r="65">
      <c r="A65" s="14" t="s">
        <v>44</v>
      </c>
      <c r="B65" s="552">
        <v>62.0</v>
      </c>
      <c r="C65" s="264" t="s">
        <v>338</v>
      </c>
      <c r="D65" s="264" t="s">
        <v>7840</v>
      </c>
      <c r="E65" s="384" t="s">
        <v>53</v>
      </c>
      <c r="M65" t="str">
        <f t="shared" si="1"/>
        <v>tweathersby@house.ms.gov</v>
      </c>
    </row>
    <row r="66">
      <c r="A66" s="14" t="s">
        <v>44</v>
      </c>
      <c r="B66" s="552">
        <v>63.0</v>
      </c>
      <c r="C66" s="542" t="s">
        <v>1395</v>
      </c>
      <c r="D66" s="542" t="s">
        <v>3679</v>
      </c>
      <c r="E66" s="394" t="s">
        <v>49</v>
      </c>
      <c r="M66" t="str">
        <f t="shared" si="1"/>
        <v>ddixon@house.ms.gov</v>
      </c>
    </row>
    <row r="67">
      <c r="A67" s="14" t="s">
        <v>44</v>
      </c>
      <c r="B67" s="552">
        <v>64.0</v>
      </c>
      <c r="C67" s="264" t="s">
        <v>325</v>
      </c>
      <c r="D67" s="264" t="s">
        <v>7853</v>
      </c>
      <c r="E67" s="384" t="s">
        <v>53</v>
      </c>
      <c r="M67" t="str">
        <f t="shared" si="1"/>
        <v>bdenny@house.ms.gov</v>
      </c>
    </row>
    <row r="68">
      <c r="A68" s="14" t="s">
        <v>44</v>
      </c>
      <c r="B68" s="552">
        <v>65.0</v>
      </c>
      <c r="C68" s="264" t="s">
        <v>575</v>
      </c>
      <c r="D68" s="264" t="s">
        <v>3007</v>
      </c>
      <c r="E68" s="394" t="s">
        <v>49</v>
      </c>
      <c r="M68" t="str">
        <f t="shared" si="1"/>
        <v>cbell@house.ms.gov</v>
      </c>
    </row>
    <row r="69">
      <c r="A69" s="14" t="s">
        <v>44</v>
      </c>
      <c r="B69" s="552">
        <v>66.0</v>
      </c>
      <c r="C69" s="264" t="s">
        <v>7862</v>
      </c>
      <c r="D69" s="264" t="s">
        <v>7872</v>
      </c>
      <c r="E69" s="394" t="s">
        <v>49</v>
      </c>
      <c r="M69" t="str">
        <f t="shared" si="1"/>
        <v>jdortch@house.ms.gov</v>
      </c>
    </row>
    <row r="70">
      <c r="A70" s="14" t="s">
        <v>44</v>
      </c>
      <c r="B70" s="552">
        <v>67.0</v>
      </c>
      <c r="C70" s="264" t="s">
        <v>7875</v>
      </c>
      <c r="D70" s="264" t="s">
        <v>4947</v>
      </c>
      <c r="E70" s="394" t="s">
        <v>49</v>
      </c>
      <c r="M70" t="str">
        <f t="shared" si="1"/>
        <v>ebanks@house.ms.gov</v>
      </c>
    </row>
    <row r="71">
      <c r="A71" s="14" t="s">
        <v>44</v>
      </c>
      <c r="B71" s="552">
        <v>68.0</v>
      </c>
      <c r="C71" s="264" t="s">
        <v>7882</v>
      </c>
      <c r="D71" s="264" t="s">
        <v>449</v>
      </c>
      <c r="E71" s="394" t="s">
        <v>49</v>
      </c>
      <c r="M71" t="str">
        <f t="shared" si="1"/>
        <v>ccalhoun@house.ms.gov</v>
      </c>
    </row>
    <row r="72">
      <c r="A72" s="14" t="s">
        <v>44</v>
      </c>
      <c r="B72" s="552">
        <v>69.0</v>
      </c>
      <c r="C72" s="264" t="s">
        <v>7890</v>
      </c>
      <c r="D72" s="264" t="s">
        <v>737</v>
      </c>
      <c r="E72" s="394" t="s">
        <v>49</v>
      </c>
      <c r="M72" t="str">
        <f t="shared" si="1"/>
        <v>aclarke@house.ms.gov</v>
      </c>
    </row>
    <row r="73">
      <c r="A73" s="14" t="s">
        <v>44</v>
      </c>
      <c r="B73" s="552">
        <v>70.0</v>
      </c>
      <c r="C73" s="264" t="s">
        <v>2724</v>
      </c>
      <c r="D73" s="264" t="s">
        <v>5459</v>
      </c>
      <c r="E73" s="394" t="s">
        <v>49</v>
      </c>
      <c r="M73" t="str">
        <f t="shared" si="1"/>
        <v>ksykes@house.ms.gov</v>
      </c>
    </row>
    <row r="74">
      <c r="A74" s="14" t="s">
        <v>44</v>
      </c>
      <c r="B74" s="552">
        <v>71.0</v>
      </c>
      <c r="C74" s="264" t="s">
        <v>1862</v>
      </c>
      <c r="D74" s="264" t="s">
        <v>1338</v>
      </c>
      <c r="E74" s="394" t="s">
        <v>49</v>
      </c>
      <c r="M74" t="str">
        <f t="shared" si="1"/>
        <v>awooten@house.ms.gov</v>
      </c>
    </row>
    <row r="75">
      <c r="A75" s="14" t="s">
        <v>44</v>
      </c>
      <c r="B75" s="552">
        <v>72.0</v>
      </c>
      <c r="C75" s="264" t="s">
        <v>2601</v>
      </c>
      <c r="D75" s="264" t="s">
        <v>3968</v>
      </c>
      <c r="E75" s="394" t="s">
        <v>49</v>
      </c>
      <c r="M75" t="str">
        <f t="shared" si="1"/>
        <v>dgibbs@house.ms.gov</v>
      </c>
    </row>
    <row r="76">
      <c r="A76" s="14" t="s">
        <v>44</v>
      </c>
      <c r="B76" s="552">
        <v>73.0</v>
      </c>
      <c r="C76" s="264" t="s">
        <v>2493</v>
      </c>
      <c r="D76" s="264" t="s">
        <v>62</v>
      </c>
      <c r="E76" s="384" t="s">
        <v>53</v>
      </c>
      <c r="M76" t="str">
        <f t="shared" si="1"/>
        <v>cwilson@house.ms.gov</v>
      </c>
    </row>
    <row r="77">
      <c r="A77" s="14" t="s">
        <v>44</v>
      </c>
      <c r="B77" s="552">
        <v>74.0</v>
      </c>
      <c r="C77" s="264" t="s">
        <v>91</v>
      </c>
      <c r="D77" s="264" t="s">
        <v>553</v>
      </c>
      <c r="E77" s="384" t="s">
        <v>53</v>
      </c>
      <c r="M77" t="str">
        <f t="shared" si="1"/>
        <v>mbaker@house.ms.gov</v>
      </c>
    </row>
    <row r="78">
      <c r="A78" s="14" t="s">
        <v>44</v>
      </c>
      <c r="B78" s="552">
        <v>75.0</v>
      </c>
      <c r="C78" s="264" t="s">
        <v>338</v>
      </c>
      <c r="D78" s="264" t="s">
        <v>5136</v>
      </c>
      <c r="E78" s="394" t="s">
        <v>49</v>
      </c>
      <c r="M78" t="str">
        <f t="shared" si="1"/>
        <v>tmiles@house.ms.gov</v>
      </c>
    </row>
    <row r="79">
      <c r="A79" s="14" t="s">
        <v>44</v>
      </c>
      <c r="B79" s="552">
        <v>76.0</v>
      </c>
      <c r="C79" s="264" t="s">
        <v>823</v>
      </c>
      <c r="D79" s="264" t="s">
        <v>7953</v>
      </c>
      <c r="E79" s="394" t="s">
        <v>49</v>
      </c>
      <c r="M79" t="str">
        <f t="shared" si="1"/>
        <v>gholloway@house.ms.gov</v>
      </c>
    </row>
    <row r="80">
      <c r="A80" s="14" t="s">
        <v>44</v>
      </c>
      <c r="B80" s="552">
        <v>77.0</v>
      </c>
      <c r="C80" s="264" t="s">
        <v>906</v>
      </c>
      <c r="D80" s="264" t="s">
        <v>2214</v>
      </c>
      <c r="E80" s="384" t="s">
        <v>53</v>
      </c>
      <c r="M80" t="str">
        <f t="shared" si="1"/>
        <v>pwallace@house.ms.gov</v>
      </c>
    </row>
    <row r="81">
      <c r="A81" s="14" t="s">
        <v>44</v>
      </c>
      <c r="B81" s="552">
        <v>78.0</v>
      </c>
      <c r="C81" s="264" t="s">
        <v>412</v>
      </c>
      <c r="D81" s="264" t="s">
        <v>1215</v>
      </c>
      <c r="E81" s="384" t="s">
        <v>53</v>
      </c>
      <c r="M81" t="str">
        <f t="shared" si="1"/>
        <v>rrushing@house.ms.gov</v>
      </c>
    </row>
    <row r="82">
      <c r="A82" s="14" t="s">
        <v>44</v>
      </c>
      <c r="B82" s="552">
        <v>79.0</v>
      </c>
      <c r="C82" s="264" t="s">
        <v>91</v>
      </c>
      <c r="D82" s="264" t="s">
        <v>7974</v>
      </c>
      <c r="E82" s="384" t="s">
        <v>53</v>
      </c>
      <c r="M82" t="str">
        <f t="shared" si="1"/>
        <v>mtullos@house.ms.gov</v>
      </c>
    </row>
    <row r="83">
      <c r="A83" s="14" t="s">
        <v>44</v>
      </c>
      <c r="B83" s="552">
        <v>80.0</v>
      </c>
      <c r="C83" s="264" t="s">
        <v>7976</v>
      </c>
      <c r="D83" s="264" t="s">
        <v>45</v>
      </c>
      <c r="E83" s="394" t="s">
        <v>49</v>
      </c>
      <c r="M83" t="str">
        <f t="shared" si="1"/>
        <v>oscott@house.ms.gov</v>
      </c>
    </row>
    <row r="84">
      <c r="A84" s="14" t="s">
        <v>44</v>
      </c>
      <c r="B84" s="552">
        <v>81.0</v>
      </c>
      <c r="C84" s="264" t="s">
        <v>1505</v>
      </c>
      <c r="D84" s="264" t="s">
        <v>7988</v>
      </c>
      <c r="E84" s="384" t="s">
        <v>53</v>
      </c>
      <c r="M84" t="str">
        <f t="shared" si="1"/>
        <v>shorne@house.ms.gov</v>
      </c>
    </row>
    <row r="85">
      <c r="A85" s="14" t="s">
        <v>44</v>
      </c>
      <c r="B85" s="552">
        <v>82.0</v>
      </c>
      <c r="C85" s="264" t="s">
        <v>1287</v>
      </c>
      <c r="D85" s="264" t="s">
        <v>429</v>
      </c>
      <c r="E85" s="394" t="s">
        <v>49</v>
      </c>
      <c r="M85" t="str">
        <f t="shared" si="1"/>
        <v>cyoung@house.ms.gov</v>
      </c>
    </row>
    <row r="86">
      <c r="A86" s="14" t="s">
        <v>44</v>
      </c>
      <c r="B86" s="552">
        <v>83.0</v>
      </c>
      <c r="C86" s="264" t="s">
        <v>997</v>
      </c>
      <c r="D86" s="264" t="s">
        <v>8006</v>
      </c>
      <c r="E86" s="384" t="s">
        <v>53</v>
      </c>
      <c r="F86" s="14" t="s">
        <v>751</v>
      </c>
      <c r="M86" t="str">
        <f t="shared" si="1"/>
        <v>gsnowden@house.ms.gov</v>
      </c>
    </row>
    <row r="87">
      <c r="A87" s="14" t="s">
        <v>44</v>
      </c>
      <c r="B87" s="552">
        <v>84.0</v>
      </c>
      <c r="C87" s="264" t="s">
        <v>1058</v>
      </c>
      <c r="D87" s="264" t="s">
        <v>1985</v>
      </c>
      <c r="E87" s="384" t="s">
        <v>53</v>
      </c>
      <c r="M87" t="str">
        <f t="shared" si="1"/>
        <v>wshirley@house.ms.gov</v>
      </c>
    </row>
    <row r="88">
      <c r="A88" s="14" t="s">
        <v>44</v>
      </c>
      <c r="B88" s="552">
        <v>85.0</v>
      </c>
      <c r="C88" s="264" t="s">
        <v>6821</v>
      </c>
      <c r="D88" s="264"/>
      <c r="E88" s="532"/>
      <c r="M88" t="str">
        <f t="shared" si="1"/>
        <v>v@house.ms.gov</v>
      </c>
    </row>
    <row r="89">
      <c r="A89" s="14" t="s">
        <v>44</v>
      </c>
      <c r="B89" s="552">
        <v>86.0</v>
      </c>
      <c r="C89" s="264" t="s">
        <v>756</v>
      </c>
      <c r="D89" s="264" t="s">
        <v>8025</v>
      </c>
      <c r="E89" s="384" t="s">
        <v>53</v>
      </c>
      <c r="M89" t="str">
        <f t="shared" si="1"/>
        <v>sbarnett@house.ms.gov</v>
      </c>
    </row>
    <row r="90">
      <c r="A90" s="14" t="s">
        <v>44</v>
      </c>
      <c r="B90" s="552">
        <v>87.0</v>
      </c>
      <c r="C90" s="264" t="s">
        <v>173</v>
      </c>
      <c r="D90" s="264" t="s">
        <v>118</v>
      </c>
      <c r="E90" s="384" t="s">
        <v>53</v>
      </c>
      <c r="M90" t="str">
        <f t="shared" si="1"/>
        <v>cjohnson@house.ms.gov</v>
      </c>
    </row>
    <row r="91">
      <c r="A91" s="14" t="s">
        <v>44</v>
      </c>
      <c r="B91" s="552">
        <v>88.0</v>
      </c>
      <c r="C91" s="264" t="s">
        <v>199</v>
      </c>
      <c r="D91" s="264" t="s">
        <v>8047</v>
      </c>
      <c r="E91" s="384" t="s">
        <v>53</v>
      </c>
      <c r="M91" t="str">
        <f t="shared" si="1"/>
        <v>gstaples@house.ms.gov</v>
      </c>
    </row>
    <row r="92">
      <c r="A92" s="14" t="s">
        <v>44</v>
      </c>
      <c r="B92" s="552">
        <v>89.0</v>
      </c>
      <c r="C92" s="264" t="s">
        <v>1064</v>
      </c>
      <c r="D92" s="264" t="s">
        <v>8057</v>
      </c>
      <c r="E92" s="384" t="s">
        <v>53</v>
      </c>
      <c r="M92" t="str">
        <f t="shared" si="1"/>
        <v>dscoggin@house.ms.gov</v>
      </c>
    </row>
    <row r="93">
      <c r="A93" s="14" t="s">
        <v>44</v>
      </c>
      <c r="B93" s="552">
        <v>90.0</v>
      </c>
      <c r="C93" s="264" t="s">
        <v>8062</v>
      </c>
      <c r="D93" s="264" t="s">
        <v>4757</v>
      </c>
      <c r="E93" s="384" t="s">
        <v>53</v>
      </c>
      <c r="M93" t="str">
        <f t="shared" si="1"/>
        <v>nsanford@house.ms.gov</v>
      </c>
    </row>
    <row r="94">
      <c r="A94" s="14" t="s">
        <v>44</v>
      </c>
      <c r="B94" s="552">
        <v>91.0</v>
      </c>
      <c r="C94" s="264" t="s">
        <v>419</v>
      </c>
      <c r="D94" s="264" t="s">
        <v>1332</v>
      </c>
      <c r="E94" s="394" t="s">
        <v>49</v>
      </c>
      <c r="M94" t="str">
        <f t="shared" si="1"/>
        <v>bevans@house.ms.gov</v>
      </c>
    </row>
    <row r="95">
      <c r="A95" s="14" t="s">
        <v>44</v>
      </c>
      <c r="B95" s="552">
        <v>92.0</v>
      </c>
      <c r="C95" s="264" t="s">
        <v>364</v>
      </c>
      <c r="D95" s="264" t="s">
        <v>8077</v>
      </c>
      <c r="E95" s="384" t="s">
        <v>53</v>
      </c>
      <c r="M95" t="str">
        <f t="shared" si="1"/>
        <v>bcurrie@house.ms.gov</v>
      </c>
    </row>
    <row r="96">
      <c r="A96" s="14" t="s">
        <v>44</v>
      </c>
      <c r="B96" s="552">
        <v>93.0</v>
      </c>
      <c r="C96" s="264" t="s">
        <v>8085</v>
      </c>
      <c r="D96" s="264" t="s">
        <v>8088</v>
      </c>
      <c r="E96" s="384" t="s">
        <v>53</v>
      </c>
      <c r="M96" t="str">
        <f t="shared" si="1"/>
        <v>tladner@house.ms.gov</v>
      </c>
    </row>
    <row r="97">
      <c r="A97" s="14" t="s">
        <v>44</v>
      </c>
      <c r="B97" s="552">
        <v>94.0</v>
      </c>
      <c r="C97" s="264" t="s">
        <v>1134</v>
      </c>
      <c r="D97" s="264" t="s">
        <v>118</v>
      </c>
      <c r="E97" s="394" t="s">
        <v>49</v>
      </c>
      <c r="M97" t="str">
        <f t="shared" si="1"/>
        <v>rjohnson@house.ms.gov</v>
      </c>
    </row>
    <row r="98">
      <c r="A98" s="14" t="s">
        <v>44</v>
      </c>
      <c r="B98" s="552">
        <v>95.0</v>
      </c>
      <c r="C98" s="264" t="s">
        <v>2249</v>
      </c>
      <c r="D98" s="264" t="s">
        <v>4330</v>
      </c>
      <c r="E98" s="384" t="s">
        <v>53</v>
      </c>
      <c r="M98" t="str">
        <f t="shared" si="1"/>
        <v>pwillis@house.ms.gov</v>
      </c>
    </row>
    <row r="99">
      <c r="A99" s="14" t="s">
        <v>44</v>
      </c>
      <c r="B99" s="552">
        <v>96.0</v>
      </c>
      <c r="C99" s="264" t="s">
        <v>2472</v>
      </c>
      <c r="D99" s="264" t="s">
        <v>8119</v>
      </c>
      <c r="E99" s="394" t="s">
        <v>49</v>
      </c>
      <c r="M99" t="str">
        <f t="shared" si="1"/>
        <v>acockerham@house.ms.gov</v>
      </c>
    </row>
    <row r="100">
      <c r="A100" s="14" t="s">
        <v>44</v>
      </c>
      <c r="B100" s="552">
        <v>97.0</v>
      </c>
      <c r="C100" s="264" t="s">
        <v>224</v>
      </c>
      <c r="D100" s="264" t="s">
        <v>8124</v>
      </c>
      <c r="E100" s="384" t="s">
        <v>53</v>
      </c>
      <c r="M100" t="str">
        <f t="shared" si="1"/>
        <v>smims@house.ms.gov</v>
      </c>
    </row>
    <row r="101">
      <c r="A101" s="14" t="s">
        <v>44</v>
      </c>
      <c r="B101" s="552">
        <v>98.0</v>
      </c>
      <c r="C101" s="264" t="s">
        <v>108</v>
      </c>
      <c r="D101" s="264" t="s">
        <v>8132</v>
      </c>
      <c r="E101" s="394" t="s">
        <v>49</v>
      </c>
      <c r="M101" t="str">
        <f t="shared" si="1"/>
        <v>dmyers@house.ms.gov</v>
      </c>
    </row>
    <row r="102">
      <c r="A102" s="14" t="s">
        <v>44</v>
      </c>
      <c r="B102" s="552">
        <v>99.0</v>
      </c>
      <c r="C102" s="264" t="s">
        <v>325</v>
      </c>
      <c r="D102" s="264" t="s">
        <v>8138</v>
      </c>
      <c r="E102" s="384" t="s">
        <v>53</v>
      </c>
      <c r="M102" t="str">
        <f t="shared" si="1"/>
        <v>bpigott@house.ms.gov</v>
      </c>
    </row>
    <row r="103">
      <c r="A103" s="14" t="s">
        <v>44</v>
      </c>
      <c r="B103" s="552">
        <v>100.0</v>
      </c>
      <c r="C103" s="264" t="s">
        <v>1049</v>
      </c>
      <c r="D103" s="264" t="s">
        <v>141</v>
      </c>
      <c r="E103" s="384" t="s">
        <v>53</v>
      </c>
      <c r="M103" t="str">
        <f t="shared" si="1"/>
        <v>kmorgan@house.ms.gov</v>
      </c>
    </row>
    <row r="104">
      <c r="A104" s="14" t="s">
        <v>44</v>
      </c>
      <c r="B104" s="552">
        <v>101.0</v>
      </c>
      <c r="C104" s="264" t="s">
        <v>2323</v>
      </c>
      <c r="D104" s="264" t="s">
        <v>8165</v>
      </c>
      <c r="E104" s="384" t="s">
        <v>53</v>
      </c>
      <c r="M104" t="str">
        <f t="shared" si="1"/>
        <v>btouchstone@house.ms.gov</v>
      </c>
    </row>
    <row r="105">
      <c r="A105" s="14" t="s">
        <v>44</v>
      </c>
      <c r="B105" s="552">
        <v>102.0</v>
      </c>
      <c r="C105" s="542" t="s">
        <v>2150</v>
      </c>
      <c r="D105" s="542" t="s">
        <v>1355</v>
      </c>
      <c r="E105" s="384" t="s">
        <v>53</v>
      </c>
      <c r="M105" t="str">
        <f t="shared" si="1"/>
        <v>mmcgee@house.ms.gov</v>
      </c>
    </row>
    <row r="106">
      <c r="A106" s="14" t="s">
        <v>44</v>
      </c>
      <c r="B106" s="552">
        <v>103.0</v>
      </c>
      <c r="C106" s="264" t="s">
        <v>8174</v>
      </c>
      <c r="D106" s="264" t="s">
        <v>853</v>
      </c>
      <c r="E106" s="394" t="s">
        <v>49</v>
      </c>
      <c r="M106" t="str">
        <f t="shared" si="1"/>
        <v>pwatson@house.ms.gov</v>
      </c>
    </row>
    <row r="107">
      <c r="A107" s="14" t="s">
        <v>44</v>
      </c>
      <c r="B107" s="552">
        <v>104.0</v>
      </c>
      <c r="C107" s="264" t="s">
        <v>839</v>
      </c>
      <c r="D107" s="264" t="s">
        <v>2840</v>
      </c>
      <c r="E107" s="384" t="s">
        <v>53</v>
      </c>
      <c r="M107" t="str">
        <f t="shared" si="1"/>
        <v>lbyrd@house.ms.gov</v>
      </c>
    </row>
    <row r="108">
      <c r="A108" s="14" t="s">
        <v>44</v>
      </c>
      <c r="B108" s="552">
        <v>105.0</v>
      </c>
      <c r="C108" s="264" t="s">
        <v>8187</v>
      </c>
      <c r="D108" s="264" t="s">
        <v>8196</v>
      </c>
      <c r="E108" s="384" t="s">
        <v>53</v>
      </c>
      <c r="M108" t="str">
        <f t="shared" si="1"/>
        <v>rmcneal@house.ms.gov</v>
      </c>
    </row>
    <row r="109">
      <c r="A109" s="14" t="s">
        <v>44</v>
      </c>
      <c r="B109" s="552">
        <v>106.0</v>
      </c>
      <c r="C109" s="264" t="s">
        <v>278</v>
      </c>
      <c r="D109" s="264" t="s">
        <v>450</v>
      </c>
      <c r="E109" s="384" t="s">
        <v>53</v>
      </c>
      <c r="M109" t="str">
        <f t="shared" si="1"/>
        <v>jcorley@house.ms.gov</v>
      </c>
    </row>
    <row r="110">
      <c r="A110" s="14" t="s">
        <v>44</v>
      </c>
      <c r="B110" s="552">
        <v>107.0</v>
      </c>
      <c r="C110" s="264" t="s">
        <v>1146</v>
      </c>
      <c r="D110" s="264" t="s">
        <v>3678</v>
      </c>
      <c r="E110" s="384" t="s">
        <v>53</v>
      </c>
      <c r="M110" t="str">
        <f t="shared" si="1"/>
        <v>dmcleod@house.ms.gov</v>
      </c>
    </row>
    <row r="111">
      <c r="A111" s="14" t="s">
        <v>44</v>
      </c>
      <c r="B111" s="552">
        <v>108.0</v>
      </c>
      <c r="C111" s="542" t="s">
        <v>8208</v>
      </c>
      <c r="D111" s="542" t="s">
        <v>8215</v>
      </c>
      <c r="E111" s="384" t="s">
        <v>53</v>
      </c>
      <c r="M111" t="str">
        <f t="shared" si="1"/>
        <v>swilkes@house.ms.gov</v>
      </c>
    </row>
    <row r="112">
      <c r="A112" s="14" t="s">
        <v>44</v>
      </c>
      <c r="B112" s="552">
        <v>109.0</v>
      </c>
      <c r="C112" s="264" t="s">
        <v>8216</v>
      </c>
      <c r="D112" s="264" t="s">
        <v>5288</v>
      </c>
      <c r="E112" s="384" t="s">
        <v>53</v>
      </c>
      <c r="M112" t="str">
        <f t="shared" si="1"/>
        <v>mbarton@house.ms.gov</v>
      </c>
    </row>
    <row r="113">
      <c r="A113" s="14" t="s">
        <v>44</v>
      </c>
      <c r="B113" s="552">
        <v>110.0</v>
      </c>
      <c r="C113" s="264" t="s">
        <v>8223</v>
      </c>
      <c r="D113" s="264" t="s">
        <v>3961</v>
      </c>
      <c r="E113" s="394" t="s">
        <v>49</v>
      </c>
      <c r="M113" t="str">
        <f t="shared" si="1"/>
        <v>janderson@house.ms.gov</v>
      </c>
    </row>
    <row r="114">
      <c r="A114" s="14" t="s">
        <v>44</v>
      </c>
      <c r="B114" s="552">
        <v>111.0</v>
      </c>
      <c r="C114" s="264" t="s">
        <v>1287</v>
      </c>
      <c r="D114" s="264" t="s">
        <v>8228</v>
      </c>
      <c r="E114" s="384" t="s">
        <v>53</v>
      </c>
      <c r="M114" t="str">
        <f t="shared" si="1"/>
        <v>cbusby@house.ms.gov</v>
      </c>
    </row>
    <row r="115">
      <c r="A115" s="14" t="s">
        <v>44</v>
      </c>
      <c r="B115" s="552">
        <v>112.0</v>
      </c>
      <c r="C115" s="264" t="s">
        <v>278</v>
      </c>
      <c r="D115" s="264" t="s">
        <v>8233</v>
      </c>
      <c r="E115" s="384" t="s">
        <v>53</v>
      </c>
      <c r="M115" t="str">
        <f t="shared" si="1"/>
        <v>jread@house.ms.gov</v>
      </c>
    </row>
    <row r="116">
      <c r="A116" s="14" t="s">
        <v>44</v>
      </c>
      <c r="B116" s="552">
        <v>113.0</v>
      </c>
      <c r="C116" s="542" t="s">
        <v>4760</v>
      </c>
      <c r="D116" s="542" t="s">
        <v>8235</v>
      </c>
      <c r="E116" s="384" t="s">
        <v>53</v>
      </c>
      <c r="M116" t="str">
        <f t="shared" si="1"/>
        <v>hzuber@house.ms.gov</v>
      </c>
    </row>
    <row r="117">
      <c r="A117" s="14" t="s">
        <v>44</v>
      </c>
      <c r="B117" s="552">
        <v>114.0</v>
      </c>
      <c r="C117" s="264" t="s">
        <v>2512</v>
      </c>
      <c r="D117" s="264" t="s">
        <v>8236</v>
      </c>
      <c r="E117" s="384" t="s">
        <v>53</v>
      </c>
      <c r="M117" t="str">
        <f t="shared" si="1"/>
        <v>jguice@house.ms.gov</v>
      </c>
    </row>
    <row r="118">
      <c r="A118" s="14" t="s">
        <v>44</v>
      </c>
      <c r="B118" s="552">
        <v>115.0</v>
      </c>
      <c r="C118" s="264" t="s">
        <v>179</v>
      </c>
      <c r="D118" s="264" t="s">
        <v>1510</v>
      </c>
      <c r="E118" s="384" t="s">
        <v>53</v>
      </c>
      <c r="M118" t="str">
        <f t="shared" si="1"/>
        <v>rpatterson@house.ms.gov</v>
      </c>
    </row>
    <row r="119">
      <c r="A119" s="14" t="s">
        <v>44</v>
      </c>
      <c r="B119" s="552">
        <v>116.0</v>
      </c>
      <c r="C119" s="264" t="s">
        <v>8242</v>
      </c>
      <c r="D119" s="264" t="s">
        <v>8244</v>
      </c>
      <c r="E119" s="384" t="s">
        <v>53</v>
      </c>
      <c r="M119" t="str">
        <f t="shared" si="1"/>
        <v>ceure@house.ms.gov</v>
      </c>
    </row>
    <row r="120">
      <c r="A120" s="14" t="s">
        <v>44</v>
      </c>
      <c r="B120" s="552">
        <v>117.0</v>
      </c>
      <c r="C120" s="264" t="s">
        <v>45</v>
      </c>
      <c r="D120" s="264" t="s">
        <v>8249</v>
      </c>
      <c r="E120" s="384" t="s">
        <v>53</v>
      </c>
      <c r="M120" t="str">
        <f t="shared" si="1"/>
        <v>sdelano@house.ms.gov</v>
      </c>
    </row>
    <row r="121">
      <c r="A121" s="14" t="s">
        <v>44</v>
      </c>
      <c r="B121" s="552">
        <v>118.0</v>
      </c>
      <c r="C121" s="264" t="s">
        <v>997</v>
      </c>
      <c r="D121" s="264" t="s">
        <v>8253</v>
      </c>
      <c r="E121" s="384" t="s">
        <v>53</v>
      </c>
      <c r="M121" t="str">
        <f t="shared" si="1"/>
        <v>ghaney@house.ms.gov</v>
      </c>
    </row>
    <row r="122">
      <c r="A122" s="14" t="s">
        <v>44</v>
      </c>
      <c r="B122" s="552">
        <v>119.0</v>
      </c>
      <c r="C122" s="264" t="s">
        <v>1706</v>
      </c>
      <c r="D122" s="264" t="s">
        <v>8257</v>
      </c>
      <c r="E122" s="394" t="s">
        <v>49</v>
      </c>
      <c r="M122" t="str">
        <f t="shared" si="1"/>
        <v>swilliams-barnes@house.ms.gov</v>
      </c>
    </row>
    <row r="123">
      <c r="A123" s="14" t="s">
        <v>44</v>
      </c>
      <c r="B123" s="552">
        <v>120.0</v>
      </c>
      <c r="C123" s="264" t="s">
        <v>1112</v>
      </c>
      <c r="D123" s="264" t="s">
        <v>2763</v>
      </c>
      <c r="E123" s="384" t="s">
        <v>53</v>
      </c>
      <c r="M123" t="str">
        <f t="shared" si="1"/>
        <v>rbennett@house.ms.gov</v>
      </c>
    </row>
    <row r="124">
      <c r="A124" s="14" t="s">
        <v>44</v>
      </c>
      <c r="B124" s="552">
        <v>121.0</v>
      </c>
      <c r="C124" s="264" t="s">
        <v>3902</v>
      </c>
      <c r="D124" s="264" t="s">
        <v>103</v>
      </c>
      <c r="E124" s="384" t="s">
        <v>53</v>
      </c>
      <c r="M124" t="str">
        <f t="shared" si="1"/>
        <v>ccrawford@house.ms.gov</v>
      </c>
    </row>
    <row r="125">
      <c r="A125" s="14" t="s">
        <v>44</v>
      </c>
      <c r="B125" s="552">
        <v>122.0</v>
      </c>
      <c r="C125" s="264" t="s">
        <v>108</v>
      </c>
      <c r="D125" s="264" t="s">
        <v>8281</v>
      </c>
      <c r="E125" s="394" t="s">
        <v>49</v>
      </c>
      <c r="M125" t="str">
        <f t="shared" si="1"/>
        <v>dbaria@house.ms.gov</v>
      </c>
    </row>
    <row r="126">
      <c r="A126" s="70"/>
      <c r="B126" s="599"/>
      <c r="C126" s="353"/>
      <c r="D126" s="353"/>
      <c r="E126" s="427"/>
      <c r="F126" s="70"/>
      <c r="G126" s="70"/>
      <c r="H126" s="70"/>
      <c r="I126" s="70"/>
      <c r="J126" s="70"/>
      <c r="K126" s="70"/>
      <c r="L126" s="70"/>
      <c r="M126" s="70"/>
      <c r="N126" s="70"/>
      <c r="O126" s="70"/>
      <c r="P126" s="70"/>
      <c r="Q126" s="70"/>
      <c r="R126" s="70"/>
      <c r="S126" s="70"/>
      <c r="T126" s="70"/>
      <c r="U126" s="70"/>
      <c r="V126" s="70"/>
      <c r="W126" s="70"/>
      <c r="X126" s="70"/>
      <c r="Y126" s="70"/>
      <c r="Z126" s="70"/>
      <c r="AA126" s="70"/>
      <c r="AB126" s="70"/>
      <c r="AC126" s="70"/>
      <c r="AD126" s="70"/>
    </row>
    <row r="127">
      <c r="A127" s="14" t="s">
        <v>286</v>
      </c>
      <c r="B127" s="600">
        <v>1.0</v>
      </c>
      <c r="C127" s="35" t="s">
        <v>173</v>
      </c>
      <c r="D127" s="35" t="s">
        <v>5243</v>
      </c>
      <c r="E127" s="580" t="s">
        <v>53</v>
      </c>
      <c r="F127" s="31"/>
      <c r="M127" t="str">
        <f t="shared" ref="M127:M178" si="2">Concatenate(lower(left(C127,1)),lower(D127),"@senate.ms.gov")</f>
        <v>cmassey@senate.ms.gov</v>
      </c>
    </row>
    <row r="128">
      <c r="A128" s="14" t="s">
        <v>286</v>
      </c>
      <c r="B128" s="600">
        <v>2.0</v>
      </c>
      <c r="C128" s="35" t="s">
        <v>108</v>
      </c>
      <c r="D128" s="35" t="s">
        <v>87</v>
      </c>
      <c r="E128" s="580" t="s">
        <v>53</v>
      </c>
      <c r="F128" s="31"/>
      <c r="M128" t="str">
        <f t="shared" si="2"/>
        <v>dparker@senate.ms.gov</v>
      </c>
    </row>
    <row r="129">
      <c r="A129" s="14" t="s">
        <v>286</v>
      </c>
      <c r="B129" s="600">
        <v>3.0</v>
      </c>
      <c r="C129" s="35" t="s">
        <v>8298</v>
      </c>
      <c r="D129" s="35" t="s">
        <v>8303</v>
      </c>
      <c r="E129" s="580" t="s">
        <v>53</v>
      </c>
      <c r="F129" s="31"/>
      <c r="M129" t="str">
        <f t="shared" si="2"/>
        <v>nbrowning@senate.ms.gov</v>
      </c>
    </row>
    <row r="130">
      <c r="A130" s="14" t="s">
        <v>286</v>
      </c>
      <c r="B130" s="600">
        <v>4.0</v>
      </c>
      <c r="C130" s="35" t="s">
        <v>4118</v>
      </c>
      <c r="D130" s="35" t="s">
        <v>8307</v>
      </c>
      <c r="E130" s="580" t="s">
        <v>53</v>
      </c>
      <c r="F130" s="31"/>
      <c r="M130" t="str">
        <f t="shared" si="2"/>
        <v>rparks@senate.ms.gov</v>
      </c>
    </row>
    <row r="131">
      <c r="A131" s="14" t="s">
        <v>286</v>
      </c>
      <c r="B131" s="600">
        <v>5.0</v>
      </c>
      <c r="C131" s="601" t="s">
        <v>3526</v>
      </c>
      <c r="D131" s="601" t="s">
        <v>8315</v>
      </c>
      <c r="E131" s="581" t="s">
        <v>49</v>
      </c>
      <c r="F131" s="31"/>
      <c r="M131" t="str">
        <f t="shared" si="2"/>
        <v>jwilemon@senate.ms.gov</v>
      </c>
    </row>
    <row r="132">
      <c r="A132" s="14" t="s">
        <v>286</v>
      </c>
      <c r="B132" s="600">
        <v>6.0</v>
      </c>
      <c r="C132" s="35" t="s">
        <v>1626</v>
      </c>
      <c r="D132" s="35" t="s">
        <v>8321</v>
      </c>
      <c r="E132" s="580" t="s">
        <v>53</v>
      </c>
      <c r="F132" s="31"/>
      <c r="M132" t="str">
        <f t="shared" si="2"/>
        <v>cmcmahan@senate.ms.gov</v>
      </c>
    </row>
    <row r="133">
      <c r="A133" s="14" t="s">
        <v>286</v>
      </c>
      <c r="B133" s="600">
        <v>7.0</v>
      </c>
      <c r="C133" s="35" t="s">
        <v>8327</v>
      </c>
      <c r="D133" s="35" t="s">
        <v>2775</v>
      </c>
      <c r="E133" s="581" t="s">
        <v>49</v>
      </c>
      <c r="F133" s="31"/>
      <c r="M133" t="str">
        <f t="shared" si="2"/>
        <v>hbryan@senate.ms.gov</v>
      </c>
    </row>
    <row r="134">
      <c r="A134" s="14" t="s">
        <v>286</v>
      </c>
      <c r="B134" s="600">
        <v>8.0</v>
      </c>
      <c r="C134" s="35" t="s">
        <v>1054</v>
      </c>
      <c r="D134" s="35" t="s">
        <v>8332</v>
      </c>
      <c r="E134" s="581" t="s">
        <v>49</v>
      </c>
      <c r="F134" s="31"/>
      <c r="M134" t="str">
        <f t="shared" si="2"/>
        <v>rjolly@senate.ms.gov</v>
      </c>
    </row>
    <row r="135">
      <c r="A135" s="14" t="s">
        <v>286</v>
      </c>
      <c r="B135" s="600">
        <v>9.0</v>
      </c>
      <c r="C135" s="35" t="s">
        <v>658</v>
      </c>
      <c r="D135" s="35" t="s">
        <v>8335</v>
      </c>
      <c r="E135" s="580" t="s">
        <v>53</v>
      </c>
      <c r="F135" s="31"/>
      <c r="M135" t="str">
        <f t="shared" si="2"/>
        <v>gtollison@senate.ms.gov</v>
      </c>
    </row>
    <row r="136">
      <c r="A136" s="14" t="s">
        <v>286</v>
      </c>
      <c r="B136" s="600">
        <v>10.0</v>
      </c>
      <c r="C136" s="35" t="s">
        <v>500</v>
      </c>
      <c r="D136" s="35" t="s">
        <v>8340</v>
      </c>
      <c r="E136" s="580" t="s">
        <v>53</v>
      </c>
      <c r="F136" s="31"/>
      <c r="M136" t="str">
        <f t="shared" si="2"/>
        <v>nwhaley@senate.ms.gov</v>
      </c>
    </row>
    <row r="137">
      <c r="A137" s="14" t="s">
        <v>286</v>
      </c>
      <c r="B137" s="600">
        <v>11.0</v>
      </c>
      <c r="C137" s="35" t="s">
        <v>1134</v>
      </c>
      <c r="D137" s="35" t="s">
        <v>567</v>
      </c>
      <c r="E137" s="581" t="s">
        <v>49</v>
      </c>
      <c r="F137" s="31"/>
      <c r="M137" t="str">
        <f t="shared" si="2"/>
        <v>rjackson@senate.ms.gov</v>
      </c>
    </row>
    <row r="138">
      <c r="A138" s="14" t="s">
        <v>286</v>
      </c>
      <c r="B138" s="600">
        <v>12.0</v>
      </c>
      <c r="C138" s="35" t="s">
        <v>3497</v>
      </c>
      <c r="D138" s="35" t="s">
        <v>2800</v>
      </c>
      <c r="E138" s="581" t="s">
        <v>49</v>
      </c>
      <c r="F138" s="31"/>
      <c r="M138" t="str">
        <f t="shared" si="2"/>
        <v>dsimmons@senate.ms.gov</v>
      </c>
    </row>
    <row r="139">
      <c r="A139" s="14" t="s">
        <v>286</v>
      </c>
      <c r="B139" s="600">
        <v>13.0</v>
      </c>
      <c r="C139" s="35" t="s">
        <v>4995</v>
      </c>
      <c r="D139" s="35" t="s">
        <v>2800</v>
      </c>
      <c r="E139" s="581" t="s">
        <v>49</v>
      </c>
      <c r="F139" s="31"/>
      <c r="M139" t="str">
        <f t="shared" si="2"/>
        <v>wsimmons@senate.ms.gov</v>
      </c>
    </row>
    <row r="140">
      <c r="A140" s="14" t="s">
        <v>286</v>
      </c>
      <c r="B140" s="600">
        <v>14.0</v>
      </c>
      <c r="C140" s="35" t="s">
        <v>5619</v>
      </c>
      <c r="D140" s="35" t="s">
        <v>8362</v>
      </c>
      <c r="E140" s="580" t="s">
        <v>53</v>
      </c>
      <c r="F140" s="31"/>
      <c r="M140" t="str">
        <f t="shared" si="2"/>
        <v>lchassaniol@senate.ms.gov</v>
      </c>
    </row>
    <row r="141">
      <c r="A141" s="14" t="s">
        <v>286</v>
      </c>
      <c r="B141" s="600">
        <v>15.0</v>
      </c>
      <c r="C141" s="35" t="s">
        <v>199</v>
      </c>
      <c r="D141" s="35" t="s">
        <v>567</v>
      </c>
      <c r="E141" s="580" t="s">
        <v>53</v>
      </c>
      <c r="F141" s="31"/>
      <c r="M141" t="str">
        <f t="shared" si="2"/>
        <v>gjackson@senate.ms.gov</v>
      </c>
    </row>
    <row r="142">
      <c r="A142" s="14" t="s">
        <v>286</v>
      </c>
      <c r="B142" s="600">
        <v>16.0</v>
      </c>
      <c r="C142" s="35" t="s">
        <v>2472</v>
      </c>
      <c r="D142" s="35" t="s">
        <v>3193</v>
      </c>
      <c r="E142" s="581" t="s">
        <v>49</v>
      </c>
      <c r="F142" s="31"/>
      <c r="M142" t="str">
        <f t="shared" si="2"/>
        <v>aturner@senate.ms.gov</v>
      </c>
    </row>
    <row r="143">
      <c r="A143" s="14" t="s">
        <v>286</v>
      </c>
      <c r="B143" s="600">
        <v>17.0</v>
      </c>
      <c r="C143" s="35" t="s">
        <v>1287</v>
      </c>
      <c r="D143" s="35" t="s">
        <v>8376</v>
      </c>
      <c r="E143" s="580" t="s">
        <v>53</v>
      </c>
      <c r="F143" s="31"/>
      <c r="M143" t="str">
        <f t="shared" si="2"/>
        <v>cyounger@senate.ms.gov</v>
      </c>
    </row>
    <row r="144">
      <c r="A144" s="14" t="s">
        <v>286</v>
      </c>
      <c r="B144" s="600">
        <v>18.0</v>
      </c>
      <c r="C144" s="35" t="s">
        <v>8379</v>
      </c>
      <c r="D144" s="35" t="s">
        <v>8381</v>
      </c>
      <c r="E144" s="580" t="s">
        <v>53</v>
      </c>
      <c r="F144" s="31"/>
      <c r="M144" t="str">
        <f t="shared" si="2"/>
        <v>jbranning@senate.ms.gov</v>
      </c>
    </row>
    <row r="145">
      <c r="A145" s="14" t="s">
        <v>286</v>
      </c>
      <c r="B145" s="600">
        <v>19.0</v>
      </c>
      <c r="C145" s="35" t="s">
        <v>971</v>
      </c>
      <c r="D145" s="35" t="s">
        <v>8389</v>
      </c>
      <c r="E145" s="580" t="s">
        <v>53</v>
      </c>
      <c r="F145" s="31"/>
      <c r="M145" t="str">
        <f t="shared" si="2"/>
        <v>kblackwell@senate.ms.gov</v>
      </c>
    </row>
    <row r="146">
      <c r="A146" s="14" t="s">
        <v>286</v>
      </c>
      <c r="B146" s="600">
        <v>20.0</v>
      </c>
      <c r="C146" s="35" t="s">
        <v>180</v>
      </c>
      <c r="D146" s="35" t="s">
        <v>8392</v>
      </c>
      <c r="E146" s="580" t="s">
        <v>53</v>
      </c>
      <c r="F146" s="31"/>
      <c r="M146" t="str">
        <f t="shared" si="2"/>
        <v>jharkins@senate.ms.gov</v>
      </c>
    </row>
    <row r="147">
      <c r="A147" s="14" t="s">
        <v>286</v>
      </c>
      <c r="B147" s="600">
        <v>21.0</v>
      </c>
      <c r="C147" s="35" t="s">
        <v>384</v>
      </c>
      <c r="D147" s="35" t="s">
        <v>3978</v>
      </c>
      <c r="E147" s="581" t="s">
        <v>49</v>
      </c>
      <c r="F147" s="31"/>
      <c r="M147" t="str">
        <f t="shared" si="2"/>
        <v>bblackmon@senate.ms.gov</v>
      </c>
    </row>
    <row r="148">
      <c r="A148" s="14" t="s">
        <v>286</v>
      </c>
      <c r="B148" s="600">
        <v>22.0</v>
      </c>
      <c r="C148" s="35" t="s">
        <v>8399</v>
      </c>
      <c r="D148" s="35" t="s">
        <v>737</v>
      </c>
      <c r="E148" s="580" t="s">
        <v>53</v>
      </c>
      <c r="F148" s="31"/>
      <c r="M148" t="str">
        <f t="shared" si="2"/>
        <v>eclarke@senate.ms.gov</v>
      </c>
    </row>
    <row r="149">
      <c r="A149" s="14" t="s">
        <v>286</v>
      </c>
      <c r="B149" s="600">
        <v>23.0</v>
      </c>
      <c r="C149" s="35" t="s">
        <v>8403</v>
      </c>
      <c r="D149" s="35" t="s">
        <v>4040</v>
      </c>
      <c r="E149" s="580" t="s">
        <v>53</v>
      </c>
      <c r="F149" s="31"/>
      <c r="M149" t="str">
        <f t="shared" si="2"/>
        <v>bhopson@senate.ms.gov</v>
      </c>
    </row>
    <row r="150">
      <c r="A150" s="14" t="s">
        <v>286</v>
      </c>
      <c r="B150" s="600">
        <v>24.0</v>
      </c>
      <c r="C150" s="35" t="s">
        <v>108</v>
      </c>
      <c r="D150" s="35" t="s">
        <v>1581</v>
      </c>
      <c r="E150" s="581" t="s">
        <v>49</v>
      </c>
      <c r="F150" s="31"/>
      <c r="M150" t="str">
        <f t="shared" si="2"/>
        <v>djordan@senate.ms.gov</v>
      </c>
    </row>
    <row r="151">
      <c r="A151" s="14" t="s">
        <v>286</v>
      </c>
      <c r="B151" s="600">
        <v>25.0</v>
      </c>
      <c r="C151" s="601" t="s">
        <v>669</v>
      </c>
      <c r="D151" s="601" t="s">
        <v>2804</v>
      </c>
      <c r="E151" s="580" t="s">
        <v>53</v>
      </c>
      <c r="F151" s="31"/>
      <c r="M151" t="str">
        <f t="shared" si="2"/>
        <v>wmichel@senate.ms.gov</v>
      </c>
    </row>
    <row r="152">
      <c r="A152" s="14" t="s">
        <v>286</v>
      </c>
      <c r="B152" s="600">
        <v>26.0</v>
      </c>
      <c r="C152" s="35" t="s">
        <v>278</v>
      </c>
      <c r="D152" s="35" t="s">
        <v>8417</v>
      </c>
      <c r="E152" s="581" t="s">
        <v>49</v>
      </c>
      <c r="F152" s="31"/>
      <c r="M152" t="str">
        <f t="shared" si="2"/>
        <v>jhorhn@senate.ms.gov</v>
      </c>
    </row>
    <row r="153">
      <c r="A153" s="14" t="s">
        <v>286</v>
      </c>
      <c r="B153" s="600">
        <v>27.0</v>
      </c>
      <c r="C153" s="601" t="s">
        <v>1020</v>
      </c>
      <c r="D153" s="601" t="s">
        <v>1437</v>
      </c>
      <c r="E153" s="581" t="s">
        <v>49</v>
      </c>
      <c r="F153" s="31"/>
      <c r="M153" t="str">
        <f t="shared" si="2"/>
        <v>hfrazier@senate.ms.gov</v>
      </c>
    </row>
    <row r="154">
      <c r="A154" s="14" t="s">
        <v>286</v>
      </c>
      <c r="B154" s="600">
        <v>28.0</v>
      </c>
      <c r="C154" s="35" t="s">
        <v>8424</v>
      </c>
      <c r="D154" s="35" t="s">
        <v>8433</v>
      </c>
      <c r="E154" s="581" t="s">
        <v>49</v>
      </c>
      <c r="F154" s="31"/>
      <c r="M154" t="str">
        <f t="shared" si="2"/>
        <v>snorwood@senate.ms.gov</v>
      </c>
    </row>
    <row r="155">
      <c r="A155" s="14" t="s">
        <v>286</v>
      </c>
      <c r="B155" s="600">
        <v>29.0</v>
      </c>
      <c r="C155" s="35" t="s">
        <v>108</v>
      </c>
      <c r="D155" s="35" t="s">
        <v>8441</v>
      </c>
      <c r="E155" s="581" t="s">
        <v>49</v>
      </c>
      <c r="F155" s="31"/>
      <c r="M155" t="str">
        <f t="shared" si="2"/>
        <v>dblount@senate.ms.gov</v>
      </c>
    </row>
    <row r="156">
      <c r="A156" s="14" t="s">
        <v>286</v>
      </c>
      <c r="B156" s="600">
        <v>30.0</v>
      </c>
      <c r="C156" s="35" t="s">
        <v>4340</v>
      </c>
      <c r="D156" s="35" t="s">
        <v>3760</v>
      </c>
      <c r="E156" s="580" t="s">
        <v>53</v>
      </c>
      <c r="F156" s="31"/>
      <c r="M156" t="str">
        <f t="shared" si="2"/>
        <v>dkirby@senate.ms.gov</v>
      </c>
    </row>
    <row r="157">
      <c r="A157" s="14" t="s">
        <v>286</v>
      </c>
      <c r="B157" s="600">
        <v>31.0</v>
      </c>
      <c r="C157" s="35" t="s">
        <v>1990</v>
      </c>
      <c r="D157" s="35" t="s">
        <v>2945</v>
      </c>
      <c r="E157" s="580" t="s">
        <v>53</v>
      </c>
      <c r="F157" s="164" t="s">
        <v>903</v>
      </c>
      <c r="M157" t="str">
        <f t="shared" si="2"/>
        <v>tburton@senate.ms.gov</v>
      </c>
    </row>
    <row r="158">
      <c r="A158" s="14" t="s">
        <v>286</v>
      </c>
      <c r="B158" s="600">
        <v>32.0</v>
      </c>
      <c r="C158" s="35" t="s">
        <v>2886</v>
      </c>
      <c r="D158" s="35" t="s">
        <v>567</v>
      </c>
      <c r="E158" s="581" t="s">
        <v>49</v>
      </c>
      <c r="F158" s="31"/>
      <c r="M158" t="str">
        <f t="shared" si="2"/>
        <v>sjackson@senate.ms.gov</v>
      </c>
    </row>
    <row r="159">
      <c r="A159" s="14" t="s">
        <v>286</v>
      </c>
      <c r="B159" s="600">
        <v>33.0</v>
      </c>
      <c r="C159" s="35" t="s">
        <v>8453</v>
      </c>
      <c r="D159" s="35" t="s">
        <v>5186</v>
      </c>
      <c r="E159" s="580" t="s">
        <v>53</v>
      </c>
      <c r="F159" s="31"/>
      <c r="M159" t="str">
        <f t="shared" si="2"/>
        <v>vcarmichael@senate.ms.gov</v>
      </c>
    </row>
    <row r="160">
      <c r="A160" s="14" t="s">
        <v>286</v>
      </c>
      <c r="B160" s="600">
        <v>34.0</v>
      </c>
      <c r="C160" s="35" t="s">
        <v>1327</v>
      </c>
      <c r="D160" s="35" t="s">
        <v>8025</v>
      </c>
      <c r="E160" s="581" t="s">
        <v>49</v>
      </c>
      <c r="F160" s="31"/>
      <c r="M160" t="str">
        <f t="shared" si="2"/>
        <v>jbarnett@senate.ms.gov</v>
      </c>
    </row>
    <row r="161">
      <c r="A161" s="14" t="s">
        <v>286</v>
      </c>
      <c r="B161" s="600">
        <v>35.0</v>
      </c>
      <c r="C161" s="35" t="s">
        <v>173</v>
      </c>
      <c r="D161" s="35" t="s">
        <v>8467</v>
      </c>
      <c r="E161" s="580" t="s">
        <v>53</v>
      </c>
      <c r="F161" s="31"/>
      <c r="M161" t="str">
        <f t="shared" si="2"/>
        <v>ccaughman@senate.ms.gov</v>
      </c>
    </row>
    <row r="162">
      <c r="A162" s="14" t="s">
        <v>286</v>
      </c>
      <c r="B162" s="600">
        <v>36.0</v>
      </c>
      <c r="C162" s="35" t="s">
        <v>5347</v>
      </c>
      <c r="D162" s="35" t="s">
        <v>1102</v>
      </c>
      <c r="E162" s="581" t="s">
        <v>49</v>
      </c>
      <c r="F162" s="31"/>
      <c r="M162" t="str">
        <f t="shared" si="2"/>
        <v>abutler@senate.ms.gov</v>
      </c>
    </row>
    <row r="163">
      <c r="A163" s="14" t="s">
        <v>286</v>
      </c>
      <c r="B163" s="600">
        <v>37.0</v>
      </c>
      <c r="C163" s="35" t="s">
        <v>419</v>
      </c>
      <c r="D163" s="35" t="s">
        <v>8476</v>
      </c>
      <c r="E163" s="581" t="s">
        <v>49</v>
      </c>
      <c r="F163" s="31"/>
      <c r="M163" t="str">
        <f t="shared" si="2"/>
        <v>bdearing@senate.ms.gov</v>
      </c>
    </row>
    <row r="164">
      <c r="A164" s="14" t="s">
        <v>286</v>
      </c>
      <c r="B164" s="600">
        <v>38.0</v>
      </c>
      <c r="C164" s="35" t="s">
        <v>2373</v>
      </c>
      <c r="D164" s="35" t="s">
        <v>8484</v>
      </c>
      <c r="E164" s="581" t="s">
        <v>49</v>
      </c>
      <c r="F164" s="31"/>
      <c r="M164" t="str">
        <f t="shared" si="2"/>
        <v>twitherspoon@senate.ms.gov</v>
      </c>
    </row>
    <row r="165">
      <c r="A165" s="14" t="s">
        <v>286</v>
      </c>
      <c r="B165" s="600">
        <v>39.0</v>
      </c>
      <c r="C165" s="35" t="s">
        <v>1172</v>
      </c>
      <c r="D165" s="35" t="s">
        <v>8489</v>
      </c>
      <c r="E165" s="580" t="s">
        <v>53</v>
      </c>
      <c r="F165" s="31"/>
      <c r="M165" t="str">
        <f t="shared" si="2"/>
        <v>sdoty@senate.ms.gov</v>
      </c>
    </row>
    <row r="166">
      <c r="A166" s="14" t="s">
        <v>286</v>
      </c>
      <c r="B166" s="600">
        <v>40.0</v>
      </c>
      <c r="C166" s="35" t="s">
        <v>2472</v>
      </c>
      <c r="D166" s="35" t="s">
        <v>485</v>
      </c>
      <c r="E166" s="580" t="s">
        <v>53</v>
      </c>
      <c r="F166" s="31"/>
      <c r="M166" t="str">
        <f t="shared" si="2"/>
        <v>ahill@senate.ms.gov</v>
      </c>
    </row>
    <row r="167">
      <c r="A167" s="14" t="s">
        <v>286</v>
      </c>
      <c r="B167" s="600">
        <v>41.0</v>
      </c>
      <c r="C167" s="35" t="s">
        <v>7629</v>
      </c>
      <c r="D167" s="35" t="s">
        <v>8498</v>
      </c>
      <c r="E167" s="580" t="s">
        <v>53</v>
      </c>
      <c r="F167" s="31"/>
      <c r="M167" t="str">
        <f t="shared" si="2"/>
        <v>jfillingane@senate.ms.gov</v>
      </c>
    </row>
    <row r="168">
      <c r="A168" s="14" t="s">
        <v>286</v>
      </c>
      <c r="B168" s="600">
        <v>42.0</v>
      </c>
      <c r="C168" s="35" t="s">
        <v>173</v>
      </c>
      <c r="D168" s="35" t="s">
        <v>5349</v>
      </c>
      <c r="E168" s="580" t="s">
        <v>53</v>
      </c>
      <c r="F168" s="31"/>
      <c r="M168" t="str">
        <f t="shared" si="2"/>
        <v>cmcdaniel@senate.ms.gov</v>
      </c>
    </row>
    <row r="169">
      <c r="A169" s="14" t="s">
        <v>286</v>
      </c>
      <c r="B169" s="600">
        <v>43.0</v>
      </c>
      <c r="C169" s="35" t="s">
        <v>2194</v>
      </c>
      <c r="D169" s="35" t="s">
        <v>8508</v>
      </c>
      <c r="E169" s="580" t="s">
        <v>53</v>
      </c>
      <c r="F169" s="31"/>
      <c r="M169" t="str">
        <f t="shared" si="2"/>
        <v>ddebar@senate.ms.gov</v>
      </c>
    </row>
    <row r="170">
      <c r="A170" s="14" t="s">
        <v>286</v>
      </c>
      <c r="B170" s="600">
        <v>44.0</v>
      </c>
      <c r="C170" s="35" t="s">
        <v>278</v>
      </c>
      <c r="D170" s="35" t="s">
        <v>8516</v>
      </c>
      <c r="E170" s="580" t="s">
        <v>53</v>
      </c>
      <c r="F170" s="31"/>
      <c r="M170" t="str">
        <f t="shared" si="2"/>
        <v>jpolk@senate.ms.gov</v>
      </c>
    </row>
    <row r="171">
      <c r="A171" s="14" t="s">
        <v>286</v>
      </c>
      <c r="B171" s="600">
        <v>45.0</v>
      </c>
      <c r="C171" s="35" t="s">
        <v>3651</v>
      </c>
      <c r="D171" s="35" t="s">
        <v>6808</v>
      </c>
      <c r="E171" s="580" t="s">
        <v>53</v>
      </c>
      <c r="F171" s="31"/>
      <c r="M171" t="str">
        <f t="shared" si="2"/>
        <v>bhudson@senate.ms.gov</v>
      </c>
    </row>
    <row r="172">
      <c r="A172" s="14" t="s">
        <v>286</v>
      </c>
      <c r="B172" s="600">
        <v>46.0</v>
      </c>
      <c r="C172" s="35" t="s">
        <v>5231</v>
      </c>
      <c r="D172" s="35" t="s">
        <v>5541</v>
      </c>
      <c r="E172" s="580" t="s">
        <v>53</v>
      </c>
      <c r="F172" s="31"/>
      <c r="M172" t="str">
        <f t="shared" si="2"/>
        <v>pmoran@senate.ms.gov</v>
      </c>
    </row>
    <row r="173">
      <c r="A173" s="14" t="s">
        <v>286</v>
      </c>
      <c r="B173" s="600">
        <v>47.0</v>
      </c>
      <c r="C173" s="35" t="s">
        <v>2527</v>
      </c>
      <c r="D173" s="35" t="s">
        <v>8532</v>
      </c>
      <c r="E173" s="580" t="s">
        <v>53</v>
      </c>
      <c r="F173" s="31"/>
      <c r="M173" t="str">
        <f t="shared" si="2"/>
        <v>jseymour@senate.ms.gov</v>
      </c>
    </row>
    <row r="174">
      <c r="A174" s="14" t="s">
        <v>286</v>
      </c>
      <c r="B174" s="600">
        <v>48.0</v>
      </c>
      <c r="C174" s="35" t="s">
        <v>1395</v>
      </c>
      <c r="D174" s="35" t="s">
        <v>8541</v>
      </c>
      <c r="E174" s="581" t="s">
        <v>49</v>
      </c>
      <c r="F174" s="31"/>
      <c r="M174" t="str">
        <f t="shared" si="2"/>
        <v>ddawkins@senate.ms.gov</v>
      </c>
    </row>
    <row r="175">
      <c r="A175" s="14" t="s">
        <v>286</v>
      </c>
      <c r="B175" s="600">
        <v>49.0</v>
      </c>
      <c r="C175" s="35" t="s">
        <v>1276</v>
      </c>
      <c r="D175" s="35" t="s">
        <v>8545</v>
      </c>
      <c r="E175" s="580" t="s">
        <v>53</v>
      </c>
      <c r="F175" s="31"/>
      <c r="M175" t="str">
        <f t="shared" si="2"/>
        <v>stindell@senate.ms.gov</v>
      </c>
    </row>
    <row r="176">
      <c r="A176" s="14" t="s">
        <v>286</v>
      </c>
      <c r="B176" s="600">
        <v>50.0</v>
      </c>
      <c r="C176" s="35" t="s">
        <v>317</v>
      </c>
      <c r="D176" s="35" t="s">
        <v>8552</v>
      </c>
      <c r="E176" s="580" t="s">
        <v>53</v>
      </c>
      <c r="F176" s="31"/>
      <c r="M176" t="str">
        <f t="shared" si="2"/>
        <v>tgollott@senate.ms.gov</v>
      </c>
    </row>
    <row r="177">
      <c r="A177" s="14" t="s">
        <v>286</v>
      </c>
      <c r="B177" s="600">
        <v>51.0</v>
      </c>
      <c r="C177" s="35" t="s">
        <v>2490</v>
      </c>
      <c r="D177" s="35" t="s">
        <v>853</v>
      </c>
      <c r="E177" s="580" t="s">
        <v>53</v>
      </c>
      <c r="F177" s="31"/>
      <c r="M177" t="str">
        <f t="shared" si="2"/>
        <v>mwatson@senate.ms.gov</v>
      </c>
    </row>
    <row r="178">
      <c r="A178" s="14" t="s">
        <v>286</v>
      </c>
      <c r="B178" s="600">
        <v>52.0</v>
      </c>
      <c r="C178" s="35" t="s">
        <v>8561</v>
      </c>
      <c r="D178" s="35" t="s">
        <v>8565</v>
      </c>
      <c r="E178" s="580" t="s">
        <v>53</v>
      </c>
      <c r="F178" s="31"/>
      <c r="M178" t="str">
        <f t="shared" si="2"/>
        <v>bwiggins@senate.ms.gov</v>
      </c>
    </row>
    <row r="179">
      <c r="A179" s="70"/>
      <c r="B179" s="605"/>
      <c r="C179" s="71"/>
      <c r="D179" s="71"/>
      <c r="E179" s="345"/>
      <c r="F179" s="70"/>
      <c r="G179" s="70"/>
      <c r="H179" s="70"/>
      <c r="I179" s="70"/>
      <c r="J179" s="70"/>
      <c r="K179" s="70"/>
      <c r="L179" s="70"/>
      <c r="M179" s="70"/>
      <c r="N179" s="70"/>
      <c r="O179" s="70"/>
      <c r="P179" s="70"/>
      <c r="Q179" s="70"/>
      <c r="R179" s="70"/>
      <c r="S179" s="70"/>
      <c r="T179" s="70"/>
      <c r="U179" s="70"/>
      <c r="V179" s="70"/>
      <c r="W179" s="70"/>
      <c r="X179" s="70"/>
      <c r="Y179" s="70"/>
      <c r="Z179" s="70"/>
      <c r="AA179" s="70"/>
      <c r="AB179" s="70"/>
      <c r="AC179" s="70"/>
      <c r="AD179" s="70"/>
    </row>
    <row r="180">
      <c r="A180" s="14" t="s">
        <v>421</v>
      </c>
      <c r="B180" s="607"/>
      <c r="C180" s="77" t="s">
        <v>1483</v>
      </c>
      <c r="D180" s="77" t="s">
        <v>2976</v>
      </c>
      <c r="E180" s="226" t="s">
        <v>53</v>
      </c>
    </row>
    <row r="181">
      <c r="A181" s="70"/>
      <c r="B181" s="605"/>
      <c r="C181" s="71"/>
      <c r="D181" s="71"/>
      <c r="E181" s="345"/>
      <c r="F181" s="70"/>
      <c r="G181" s="70"/>
      <c r="H181" s="70"/>
      <c r="I181" s="70"/>
      <c r="J181" s="70"/>
      <c r="K181" s="70"/>
      <c r="L181" s="70"/>
      <c r="M181" s="70"/>
      <c r="N181" s="70"/>
      <c r="O181" s="70"/>
      <c r="P181" s="70"/>
      <c r="Q181" s="70"/>
      <c r="R181" s="70"/>
      <c r="S181" s="70"/>
      <c r="T181" s="70"/>
      <c r="U181" s="70"/>
      <c r="V181" s="70"/>
      <c r="W181" s="70"/>
      <c r="X181" s="70"/>
      <c r="Y181" s="70"/>
      <c r="Z181" s="70"/>
      <c r="AA181" s="70"/>
      <c r="AB181" s="70"/>
      <c r="AC181" s="70"/>
      <c r="AD181" s="70"/>
    </row>
    <row r="182">
      <c r="A182" s="14" t="s">
        <v>427</v>
      </c>
      <c r="B182" s="562">
        <v>1.0</v>
      </c>
      <c r="C182" s="77" t="s">
        <v>2298</v>
      </c>
      <c r="D182" s="77" t="s">
        <v>130</v>
      </c>
      <c r="E182" s="226" t="s">
        <v>53</v>
      </c>
    </row>
    <row r="183">
      <c r="A183" s="14" t="s">
        <v>427</v>
      </c>
      <c r="B183" s="562">
        <v>2.0</v>
      </c>
      <c r="C183" s="77" t="s">
        <v>8575</v>
      </c>
      <c r="D183" s="77" t="s">
        <v>59</v>
      </c>
      <c r="E183" s="226" t="s">
        <v>49</v>
      </c>
    </row>
    <row r="184">
      <c r="A184" s="14" t="s">
        <v>427</v>
      </c>
      <c r="B184" s="562">
        <v>3.0</v>
      </c>
      <c r="C184" s="77" t="s">
        <v>2490</v>
      </c>
      <c r="D184" s="77" t="s">
        <v>8576</v>
      </c>
      <c r="E184" s="226" t="s">
        <v>53</v>
      </c>
    </row>
    <row r="185">
      <c r="A185" s="14" t="s">
        <v>427</v>
      </c>
      <c r="B185" s="562">
        <v>4.0</v>
      </c>
      <c r="C185" s="77" t="s">
        <v>1897</v>
      </c>
      <c r="D185" s="77" t="s">
        <v>8577</v>
      </c>
      <c r="E185" s="226" t="s">
        <v>53</v>
      </c>
    </row>
    <row r="186">
      <c r="A186" s="70"/>
      <c r="B186" s="605"/>
      <c r="C186" s="71"/>
      <c r="D186" s="71"/>
      <c r="E186" s="345"/>
      <c r="F186" s="70"/>
      <c r="G186" s="70"/>
      <c r="H186" s="70"/>
      <c r="I186" s="70"/>
      <c r="J186" s="70"/>
      <c r="K186" s="70"/>
      <c r="L186" s="70"/>
      <c r="M186" s="70"/>
      <c r="N186" s="70"/>
      <c r="O186" s="70"/>
      <c r="P186" s="70"/>
      <c r="Q186" s="70"/>
      <c r="R186" s="70"/>
      <c r="S186" s="70"/>
      <c r="T186" s="70"/>
      <c r="U186" s="70"/>
      <c r="V186" s="70"/>
      <c r="W186" s="70"/>
      <c r="X186" s="70"/>
      <c r="Y186" s="70"/>
      <c r="Z186" s="70"/>
      <c r="AA186" s="70"/>
      <c r="AB186" s="70"/>
      <c r="AC186" s="70"/>
      <c r="AD186" s="70"/>
    </row>
    <row r="187">
      <c r="A187" s="14" t="s">
        <v>430</v>
      </c>
      <c r="B187" s="562"/>
      <c r="C187" s="77" t="s">
        <v>8578</v>
      </c>
      <c r="D187" s="77"/>
      <c r="E187" s="303"/>
    </row>
    <row r="188">
      <c r="A188" s="14" t="s">
        <v>430</v>
      </c>
      <c r="B188" s="562"/>
      <c r="C188" s="77" t="s">
        <v>1040</v>
      </c>
      <c r="D188" s="77" t="s">
        <v>8579</v>
      </c>
      <c r="E188" s="226" t="s">
        <v>53</v>
      </c>
    </row>
    <row r="189">
      <c r="A189" s="70"/>
      <c r="B189" s="70"/>
      <c r="C189" s="71"/>
      <c r="D189" s="71"/>
      <c r="E189" s="345"/>
      <c r="F189" s="70"/>
      <c r="G189" s="70"/>
      <c r="H189" s="70"/>
      <c r="I189" s="70"/>
      <c r="J189" s="70"/>
      <c r="K189" s="70"/>
      <c r="L189" s="70"/>
      <c r="M189" s="70"/>
      <c r="N189" s="70"/>
      <c r="O189" s="70"/>
      <c r="P189" s="70"/>
      <c r="Q189" s="70"/>
      <c r="R189" s="70"/>
      <c r="S189" s="70"/>
      <c r="T189" s="70"/>
      <c r="U189" s="70"/>
      <c r="V189" s="70"/>
      <c r="W189" s="70"/>
      <c r="X189" s="70"/>
      <c r="Y189" s="70"/>
      <c r="Z189" s="70"/>
      <c r="AA189" s="70"/>
      <c r="AB189" s="70"/>
      <c r="AC189" s="70"/>
      <c r="AD189" s="70"/>
    </row>
    <row r="190">
      <c r="A190" s="14" t="s">
        <v>438</v>
      </c>
      <c r="C190" s="77" t="s">
        <v>476</v>
      </c>
      <c r="D190" s="77" t="s">
        <v>7232</v>
      </c>
      <c r="E190" s="226" t="s">
        <v>49</v>
      </c>
    </row>
    <row r="191">
      <c r="A191" s="70"/>
      <c r="B191" s="70"/>
      <c r="C191" s="71"/>
      <c r="D191" s="71"/>
      <c r="E191" s="345"/>
      <c r="F191" s="70"/>
      <c r="G191" s="70"/>
      <c r="H191" s="70"/>
      <c r="I191" s="70"/>
      <c r="J191" s="70"/>
      <c r="K191" s="70"/>
      <c r="L191" s="70"/>
      <c r="M191" s="70"/>
      <c r="N191" s="70"/>
      <c r="O191" s="70"/>
      <c r="P191" s="70"/>
      <c r="Q191" s="70"/>
      <c r="R191" s="70"/>
      <c r="S191" s="70"/>
      <c r="T191" s="70"/>
      <c r="U191" s="70"/>
      <c r="V191" s="70"/>
      <c r="W191" s="70"/>
      <c r="X191" s="70"/>
      <c r="Y191" s="70"/>
      <c r="Z191" s="70"/>
      <c r="AA191" s="70"/>
      <c r="AB191" s="70"/>
      <c r="AC191" s="70"/>
      <c r="AD191" s="70"/>
    </row>
    <row r="192">
      <c r="B192" s="607"/>
      <c r="C192" s="139"/>
      <c r="D192" s="139"/>
      <c r="E192" s="303"/>
    </row>
    <row r="193">
      <c r="B193" s="607"/>
      <c r="C193" s="139"/>
      <c r="D193" s="139"/>
      <c r="E193" s="303"/>
    </row>
    <row r="194">
      <c r="B194" s="607"/>
      <c r="C194" s="139"/>
      <c r="D194" s="139"/>
      <c r="E194" s="303"/>
    </row>
    <row r="195">
      <c r="B195" s="607"/>
      <c r="C195" s="139"/>
      <c r="D195" s="139"/>
      <c r="E195" s="303"/>
    </row>
    <row r="196">
      <c r="B196" s="607"/>
      <c r="C196" s="139"/>
      <c r="D196" s="139"/>
      <c r="E196" s="303"/>
    </row>
    <row r="197">
      <c r="B197" s="607"/>
      <c r="C197" s="139"/>
      <c r="D197" s="139"/>
      <c r="E197" s="303"/>
    </row>
    <row r="198">
      <c r="B198" s="607"/>
      <c r="C198" s="139"/>
      <c r="D198" s="139"/>
      <c r="E198" s="303"/>
    </row>
    <row r="199">
      <c r="B199" s="607"/>
      <c r="C199" s="139"/>
      <c r="D199" s="139"/>
      <c r="E199" s="303"/>
    </row>
    <row r="200">
      <c r="B200" s="607"/>
      <c r="C200" s="139"/>
      <c r="D200" s="139"/>
      <c r="E200" s="303"/>
    </row>
    <row r="201">
      <c r="B201" s="607"/>
      <c r="C201" s="139"/>
      <c r="D201" s="139"/>
      <c r="E201" s="303"/>
    </row>
    <row r="202">
      <c r="B202" s="607"/>
      <c r="C202" s="139"/>
      <c r="D202" s="139"/>
      <c r="E202" s="303"/>
    </row>
    <row r="203">
      <c r="B203" s="607"/>
      <c r="C203" s="139"/>
      <c r="D203" s="139"/>
      <c r="E203" s="303"/>
    </row>
    <row r="204">
      <c r="B204" s="607"/>
      <c r="C204" s="139"/>
      <c r="D204" s="139"/>
      <c r="E204" s="303"/>
    </row>
    <row r="205">
      <c r="B205" s="607"/>
      <c r="C205" s="139"/>
      <c r="D205" s="139"/>
      <c r="E205" s="303"/>
    </row>
    <row r="206">
      <c r="B206" s="607"/>
      <c r="C206" s="139"/>
      <c r="D206" s="139"/>
      <c r="E206" s="303"/>
    </row>
    <row r="207">
      <c r="B207" s="607"/>
      <c r="C207" s="139"/>
      <c r="D207" s="139"/>
      <c r="E207" s="303"/>
    </row>
    <row r="208">
      <c r="B208" s="607"/>
      <c r="C208" s="139"/>
      <c r="D208" s="139"/>
      <c r="E208" s="303"/>
    </row>
    <row r="209">
      <c r="B209" s="607"/>
      <c r="C209" s="139"/>
      <c r="D209" s="139"/>
      <c r="E209" s="303"/>
    </row>
    <row r="210">
      <c r="B210" s="607"/>
      <c r="C210" s="139"/>
      <c r="D210" s="139"/>
      <c r="E210" s="303"/>
    </row>
    <row r="211">
      <c r="B211" s="607"/>
      <c r="C211" s="139"/>
      <c r="D211" s="139"/>
      <c r="E211" s="303"/>
    </row>
    <row r="212">
      <c r="B212" s="607"/>
      <c r="C212" s="139"/>
      <c r="D212" s="139"/>
      <c r="E212" s="303"/>
    </row>
    <row r="213">
      <c r="B213" s="607"/>
      <c r="C213" s="139"/>
      <c r="D213" s="139"/>
      <c r="E213" s="303"/>
    </row>
    <row r="214">
      <c r="B214" s="607"/>
      <c r="C214" s="139"/>
      <c r="D214" s="139"/>
      <c r="E214" s="303"/>
    </row>
    <row r="215">
      <c r="B215" s="607"/>
      <c r="C215" s="139"/>
      <c r="D215" s="139"/>
      <c r="E215" s="303"/>
    </row>
    <row r="216">
      <c r="B216" s="607"/>
      <c r="C216" s="139"/>
      <c r="D216" s="139"/>
      <c r="E216" s="303"/>
    </row>
    <row r="217">
      <c r="B217" s="607"/>
      <c r="C217" s="139"/>
      <c r="D217" s="139"/>
      <c r="E217" s="303"/>
    </row>
    <row r="218">
      <c r="B218" s="607"/>
      <c r="C218" s="139"/>
      <c r="D218" s="139"/>
      <c r="E218" s="303"/>
    </row>
    <row r="219">
      <c r="B219" s="607"/>
      <c r="C219" s="139"/>
      <c r="D219" s="139"/>
      <c r="E219" s="303"/>
    </row>
    <row r="220">
      <c r="B220" s="607"/>
      <c r="C220" s="139"/>
      <c r="D220" s="139"/>
      <c r="E220" s="303"/>
    </row>
    <row r="221">
      <c r="B221" s="607"/>
      <c r="C221" s="139"/>
      <c r="D221" s="139"/>
      <c r="E221" s="303"/>
    </row>
    <row r="222">
      <c r="B222" s="607"/>
      <c r="C222" s="139"/>
      <c r="D222" s="139"/>
      <c r="E222" s="303"/>
    </row>
    <row r="223">
      <c r="B223" s="607"/>
      <c r="C223" s="139"/>
      <c r="D223" s="139"/>
      <c r="E223" s="303"/>
    </row>
    <row r="224">
      <c r="B224" s="607"/>
      <c r="C224" s="139"/>
      <c r="D224" s="139"/>
      <c r="E224" s="303"/>
    </row>
    <row r="225">
      <c r="B225" s="607"/>
      <c r="C225" s="139"/>
      <c r="D225" s="139"/>
      <c r="E225" s="303"/>
    </row>
    <row r="226">
      <c r="B226" s="607"/>
      <c r="C226" s="139"/>
      <c r="D226" s="139"/>
      <c r="E226" s="303"/>
    </row>
    <row r="227">
      <c r="B227" s="607"/>
      <c r="C227" s="139"/>
      <c r="D227" s="139"/>
      <c r="E227" s="303"/>
    </row>
    <row r="228">
      <c r="B228" s="607"/>
      <c r="C228" s="139"/>
      <c r="D228" s="139"/>
      <c r="E228" s="303"/>
    </row>
    <row r="229">
      <c r="B229" s="607"/>
      <c r="C229" s="139"/>
      <c r="D229" s="139"/>
      <c r="E229" s="303"/>
    </row>
    <row r="230">
      <c r="B230" s="607"/>
      <c r="C230" s="139"/>
      <c r="D230" s="139"/>
      <c r="E230" s="303"/>
    </row>
    <row r="231">
      <c r="B231" s="607"/>
      <c r="C231" s="139"/>
      <c r="D231" s="139"/>
      <c r="E231" s="303"/>
    </row>
    <row r="232">
      <c r="B232" s="607"/>
      <c r="C232" s="139"/>
      <c r="D232" s="139"/>
      <c r="E232" s="303"/>
    </row>
    <row r="233">
      <c r="B233" s="607"/>
      <c r="C233" s="139"/>
      <c r="D233" s="139"/>
      <c r="E233" s="303"/>
    </row>
    <row r="234">
      <c r="B234" s="607"/>
      <c r="C234" s="139"/>
      <c r="D234" s="139"/>
      <c r="E234" s="303"/>
    </row>
    <row r="235">
      <c r="B235" s="607"/>
      <c r="C235" s="139"/>
      <c r="D235" s="139"/>
      <c r="E235" s="303"/>
    </row>
    <row r="236">
      <c r="B236" s="607"/>
      <c r="C236" s="139"/>
      <c r="D236" s="139"/>
      <c r="E236" s="303"/>
    </row>
    <row r="237">
      <c r="B237" s="607"/>
      <c r="C237" s="139"/>
      <c r="D237" s="139"/>
      <c r="E237" s="303"/>
    </row>
    <row r="238">
      <c r="B238" s="607"/>
      <c r="C238" s="139"/>
      <c r="D238" s="139"/>
      <c r="E238" s="303"/>
    </row>
    <row r="239">
      <c r="B239" s="607"/>
      <c r="C239" s="139"/>
      <c r="D239" s="139"/>
      <c r="E239" s="303"/>
    </row>
    <row r="240">
      <c r="B240" s="607"/>
      <c r="C240" s="139"/>
      <c r="D240" s="139"/>
      <c r="E240" s="303"/>
    </row>
    <row r="241">
      <c r="B241" s="607"/>
      <c r="C241" s="139"/>
      <c r="D241" s="139"/>
      <c r="E241" s="303"/>
    </row>
    <row r="242">
      <c r="B242" s="607"/>
      <c r="C242" s="139"/>
      <c r="D242" s="139"/>
      <c r="E242" s="303"/>
    </row>
    <row r="243">
      <c r="B243" s="607"/>
      <c r="C243" s="139"/>
      <c r="D243" s="139"/>
      <c r="E243" s="303"/>
    </row>
    <row r="244">
      <c r="B244" s="607"/>
      <c r="C244" s="139"/>
      <c r="D244" s="139"/>
      <c r="E244" s="303"/>
    </row>
    <row r="245">
      <c r="B245" s="607"/>
      <c r="C245" s="139"/>
      <c r="D245" s="139"/>
      <c r="E245" s="303"/>
    </row>
    <row r="246">
      <c r="B246" s="607"/>
      <c r="C246" s="139"/>
      <c r="D246" s="139"/>
      <c r="E246" s="303"/>
    </row>
    <row r="247">
      <c r="B247" s="607"/>
      <c r="C247" s="139"/>
      <c r="D247" s="139"/>
      <c r="E247" s="303"/>
    </row>
    <row r="248">
      <c r="B248" s="607"/>
      <c r="C248" s="139"/>
      <c r="D248" s="139"/>
      <c r="E248" s="303"/>
    </row>
    <row r="249">
      <c r="B249" s="607"/>
      <c r="C249" s="139"/>
      <c r="D249" s="139"/>
      <c r="E249" s="303"/>
    </row>
    <row r="250">
      <c r="B250" s="607"/>
      <c r="C250" s="139"/>
      <c r="D250" s="139"/>
      <c r="E250" s="303"/>
    </row>
    <row r="251">
      <c r="B251" s="607"/>
      <c r="C251" s="139"/>
      <c r="D251" s="139"/>
      <c r="E251" s="303"/>
    </row>
    <row r="252">
      <c r="B252" s="607"/>
      <c r="C252" s="139"/>
      <c r="D252" s="139"/>
      <c r="E252" s="303"/>
    </row>
    <row r="253">
      <c r="B253" s="607"/>
      <c r="C253" s="139"/>
      <c r="D253" s="139"/>
      <c r="E253" s="303"/>
    </row>
    <row r="254">
      <c r="B254" s="607"/>
      <c r="C254" s="139"/>
      <c r="D254" s="139"/>
      <c r="E254" s="303"/>
    </row>
    <row r="255">
      <c r="B255" s="607"/>
      <c r="C255" s="139"/>
      <c r="D255" s="139"/>
      <c r="E255" s="303"/>
    </row>
    <row r="256">
      <c r="B256" s="607"/>
      <c r="C256" s="139"/>
      <c r="D256" s="139"/>
      <c r="E256" s="303"/>
    </row>
    <row r="257">
      <c r="B257" s="607"/>
      <c r="C257" s="139"/>
      <c r="D257" s="139"/>
      <c r="E257" s="303"/>
    </row>
    <row r="258">
      <c r="B258" s="607"/>
      <c r="C258" s="139"/>
      <c r="D258" s="139"/>
      <c r="E258" s="303"/>
    </row>
    <row r="259">
      <c r="B259" s="607"/>
      <c r="C259" s="139"/>
      <c r="D259" s="139"/>
      <c r="E259" s="303"/>
    </row>
    <row r="260">
      <c r="B260" s="607"/>
      <c r="C260" s="139"/>
      <c r="D260" s="139"/>
      <c r="E260" s="303"/>
    </row>
    <row r="261">
      <c r="B261" s="607"/>
      <c r="C261" s="139"/>
      <c r="D261" s="139"/>
      <c r="E261" s="303"/>
    </row>
    <row r="262">
      <c r="B262" s="607"/>
      <c r="C262" s="139"/>
      <c r="D262" s="139"/>
      <c r="E262" s="303"/>
    </row>
    <row r="263">
      <c r="B263" s="607"/>
      <c r="C263" s="139"/>
      <c r="D263" s="139"/>
      <c r="E263" s="303"/>
    </row>
    <row r="264">
      <c r="B264" s="607"/>
      <c r="C264" s="139"/>
      <c r="D264" s="139"/>
      <c r="E264" s="303"/>
    </row>
    <row r="265">
      <c r="B265" s="607"/>
      <c r="C265" s="139"/>
      <c r="D265" s="139"/>
      <c r="E265" s="303"/>
    </row>
    <row r="266">
      <c r="B266" s="607"/>
      <c r="C266" s="139"/>
      <c r="D266" s="139"/>
      <c r="E266" s="303"/>
    </row>
    <row r="267">
      <c r="B267" s="607"/>
      <c r="C267" s="139"/>
      <c r="D267" s="139"/>
      <c r="E267" s="303"/>
    </row>
    <row r="268">
      <c r="B268" s="607"/>
      <c r="C268" s="139"/>
      <c r="D268" s="139"/>
      <c r="E268" s="303"/>
    </row>
    <row r="269">
      <c r="B269" s="607"/>
      <c r="C269" s="139"/>
      <c r="D269" s="139"/>
      <c r="E269" s="303"/>
    </row>
    <row r="270">
      <c r="B270" s="607"/>
      <c r="C270" s="139"/>
      <c r="D270" s="139"/>
      <c r="E270" s="303"/>
    </row>
    <row r="271">
      <c r="B271" s="607"/>
      <c r="C271" s="139"/>
      <c r="D271" s="139"/>
      <c r="E271" s="303"/>
    </row>
    <row r="272">
      <c r="B272" s="607"/>
      <c r="C272" s="139"/>
      <c r="D272" s="139"/>
      <c r="E272" s="303"/>
    </row>
    <row r="273">
      <c r="B273" s="607"/>
      <c r="C273" s="139"/>
      <c r="D273" s="139"/>
      <c r="E273" s="303"/>
    </row>
    <row r="274">
      <c r="B274" s="607"/>
      <c r="C274" s="139"/>
      <c r="D274" s="139"/>
      <c r="E274" s="303"/>
    </row>
    <row r="275">
      <c r="B275" s="607"/>
      <c r="C275" s="139"/>
      <c r="D275" s="139"/>
      <c r="E275" s="303"/>
    </row>
    <row r="276">
      <c r="B276" s="607"/>
      <c r="C276" s="139"/>
      <c r="D276" s="139"/>
      <c r="E276" s="303"/>
    </row>
    <row r="277">
      <c r="B277" s="607"/>
      <c r="C277" s="139"/>
      <c r="D277" s="139"/>
      <c r="E277" s="303"/>
    </row>
    <row r="278">
      <c r="B278" s="607"/>
      <c r="C278" s="139"/>
      <c r="D278" s="139"/>
      <c r="E278" s="303"/>
    </row>
    <row r="279">
      <c r="B279" s="607"/>
      <c r="C279" s="139"/>
      <c r="D279" s="139"/>
      <c r="E279" s="303"/>
    </row>
    <row r="280">
      <c r="B280" s="607"/>
      <c r="C280" s="139"/>
      <c r="D280" s="139"/>
      <c r="E280" s="303"/>
    </row>
    <row r="281">
      <c r="B281" s="607"/>
      <c r="C281" s="139"/>
      <c r="D281" s="139"/>
      <c r="E281" s="303"/>
    </row>
    <row r="282">
      <c r="B282" s="607"/>
      <c r="C282" s="139"/>
      <c r="D282" s="139"/>
      <c r="E282" s="303"/>
    </row>
    <row r="283">
      <c r="B283" s="607"/>
      <c r="C283" s="139"/>
      <c r="D283" s="139"/>
      <c r="E283" s="303"/>
    </row>
    <row r="284">
      <c r="B284" s="607"/>
      <c r="C284" s="139"/>
      <c r="D284" s="139"/>
      <c r="E284" s="303"/>
    </row>
    <row r="285">
      <c r="B285" s="607"/>
      <c r="C285" s="139"/>
      <c r="D285" s="139"/>
      <c r="E285" s="303"/>
    </row>
    <row r="286">
      <c r="B286" s="607"/>
      <c r="C286" s="139"/>
      <c r="D286" s="139"/>
      <c r="E286" s="303"/>
    </row>
    <row r="287">
      <c r="B287" s="607"/>
      <c r="C287" s="139"/>
      <c r="D287" s="139"/>
      <c r="E287" s="303"/>
    </row>
    <row r="288">
      <c r="B288" s="607"/>
      <c r="C288" s="139"/>
      <c r="D288" s="139"/>
      <c r="E288" s="303"/>
    </row>
    <row r="289">
      <c r="B289" s="607"/>
      <c r="C289" s="139"/>
      <c r="D289" s="139"/>
      <c r="E289" s="303"/>
    </row>
    <row r="290">
      <c r="B290" s="607"/>
      <c r="C290" s="139"/>
      <c r="D290" s="139"/>
      <c r="E290" s="303"/>
    </row>
    <row r="291">
      <c r="B291" s="607"/>
      <c r="C291" s="139"/>
      <c r="D291" s="139"/>
      <c r="E291" s="303"/>
    </row>
    <row r="292">
      <c r="B292" s="607"/>
      <c r="C292" s="139"/>
      <c r="D292" s="139"/>
      <c r="E292" s="303"/>
    </row>
    <row r="293">
      <c r="B293" s="607"/>
      <c r="C293" s="139"/>
      <c r="D293" s="139"/>
      <c r="E293" s="303"/>
    </row>
    <row r="294">
      <c r="B294" s="607"/>
      <c r="C294" s="139"/>
      <c r="D294" s="139"/>
      <c r="E294" s="303"/>
    </row>
    <row r="295">
      <c r="B295" s="607"/>
      <c r="C295" s="139"/>
      <c r="D295" s="139"/>
      <c r="E295" s="303"/>
    </row>
    <row r="296">
      <c r="B296" s="607"/>
      <c r="C296" s="139"/>
      <c r="D296" s="139"/>
      <c r="E296" s="303"/>
    </row>
    <row r="297">
      <c r="B297" s="607"/>
      <c r="C297" s="139"/>
      <c r="D297" s="139"/>
      <c r="E297" s="303"/>
    </row>
    <row r="298">
      <c r="B298" s="607"/>
      <c r="C298" s="139"/>
      <c r="D298" s="139"/>
      <c r="E298" s="303"/>
    </row>
    <row r="299">
      <c r="B299" s="607"/>
      <c r="C299" s="139"/>
      <c r="D299" s="139"/>
      <c r="E299" s="303"/>
    </row>
    <row r="300">
      <c r="B300" s="607"/>
      <c r="C300" s="139"/>
      <c r="D300" s="139"/>
      <c r="E300" s="303"/>
    </row>
    <row r="301">
      <c r="B301" s="607"/>
      <c r="C301" s="139"/>
      <c r="D301" s="139"/>
      <c r="E301" s="303"/>
    </row>
    <row r="302">
      <c r="B302" s="607"/>
      <c r="C302" s="139"/>
      <c r="D302" s="139"/>
      <c r="E302" s="303"/>
    </row>
    <row r="303">
      <c r="B303" s="607"/>
      <c r="C303" s="139"/>
      <c r="D303" s="139"/>
      <c r="E303" s="303"/>
    </row>
    <row r="304">
      <c r="B304" s="607"/>
      <c r="C304" s="139"/>
      <c r="D304" s="139"/>
      <c r="E304" s="303"/>
    </row>
    <row r="305">
      <c r="B305" s="607"/>
      <c r="C305" s="139"/>
      <c r="D305" s="139"/>
      <c r="E305" s="303"/>
    </row>
    <row r="306">
      <c r="B306" s="607"/>
      <c r="C306" s="139"/>
      <c r="D306" s="139"/>
      <c r="E306" s="303"/>
    </row>
    <row r="307">
      <c r="B307" s="607"/>
      <c r="C307" s="139"/>
      <c r="D307" s="139"/>
      <c r="E307" s="303"/>
    </row>
    <row r="308">
      <c r="B308" s="607"/>
      <c r="C308" s="139"/>
      <c r="D308" s="139"/>
      <c r="E308" s="303"/>
    </row>
    <row r="309">
      <c r="B309" s="607"/>
      <c r="C309" s="139"/>
      <c r="D309" s="139"/>
      <c r="E309" s="303"/>
    </row>
    <row r="310">
      <c r="B310" s="607"/>
      <c r="C310" s="139"/>
      <c r="D310" s="139"/>
      <c r="E310" s="303"/>
    </row>
    <row r="311">
      <c r="B311" s="607"/>
      <c r="C311" s="139"/>
      <c r="D311" s="139"/>
      <c r="E311" s="303"/>
    </row>
    <row r="312">
      <c r="B312" s="607"/>
      <c r="C312" s="139"/>
      <c r="D312" s="139"/>
      <c r="E312" s="303"/>
    </row>
    <row r="313">
      <c r="B313" s="607"/>
      <c r="C313" s="139"/>
      <c r="D313" s="139"/>
      <c r="E313" s="303"/>
    </row>
    <row r="314">
      <c r="B314" s="607"/>
      <c r="C314" s="139"/>
      <c r="D314" s="139"/>
      <c r="E314" s="303"/>
    </row>
    <row r="315">
      <c r="B315" s="607"/>
      <c r="C315" s="139"/>
      <c r="D315" s="139"/>
      <c r="E315" s="303"/>
    </row>
    <row r="316">
      <c r="B316" s="607"/>
      <c r="C316" s="139"/>
      <c r="D316" s="139"/>
      <c r="E316" s="303"/>
    </row>
    <row r="317">
      <c r="B317" s="607"/>
      <c r="C317" s="139"/>
      <c r="D317" s="139"/>
      <c r="E317" s="303"/>
    </row>
    <row r="318">
      <c r="B318" s="607"/>
      <c r="C318" s="139"/>
      <c r="D318" s="139"/>
      <c r="E318" s="303"/>
    </row>
    <row r="319">
      <c r="B319" s="607"/>
      <c r="C319" s="139"/>
      <c r="D319" s="139"/>
      <c r="E319" s="303"/>
    </row>
    <row r="320">
      <c r="B320" s="607"/>
      <c r="C320" s="139"/>
      <c r="D320" s="139"/>
      <c r="E320" s="303"/>
    </row>
    <row r="321">
      <c r="B321" s="607"/>
      <c r="C321" s="139"/>
      <c r="D321" s="139"/>
      <c r="E321" s="303"/>
    </row>
    <row r="322">
      <c r="B322" s="607"/>
      <c r="C322" s="139"/>
      <c r="D322" s="139"/>
      <c r="E322" s="303"/>
    </row>
    <row r="323">
      <c r="B323" s="607"/>
      <c r="C323" s="139"/>
      <c r="D323" s="139"/>
      <c r="E323" s="303"/>
    </row>
    <row r="324">
      <c r="B324" s="607"/>
      <c r="C324" s="139"/>
      <c r="D324" s="139"/>
      <c r="E324" s="303"/>
    </row>
    <row r="325">
      <c r="B325" s="607"/>
      <c r="C325" s="139"/>
      <c r="D325" s="139"/>
      <c r="E325" s="303"/>
    </row>
    <row r="326">
      <c r="B326" s="607"/>
      <c r="C326" s="139"/>
      <c r="D326" s="139"/>
      <c r="E326" s="303"/>
    </row>
    <row r="327">
      <c r="B327" s="607"/>
      <c r="C327" s="139"/>
      <c r="D327" s="139"/>
      <c r="E327" s="303"/>
    </row>
    <row r="328">
      <c r="B328" s="607"/>
      <c r="C328" s="139"/>
      <c r="D328" s="139"/>
      <c r="E328" s="303"/>
    </row>
    <row r="329">
      <c r="B329" s="607"/>
      <c r="C329" s="139"/>
      <c r="D329" s="139"/>
      <c r="E329" s="303"/>
    </row>
    <row r="330">
      <c r="B330" s="607"/>
      <c r="C330" s="139"/>
      <c r="D330" s="139"/>
      <c r="E330" s="303"/>
    </row>
    <row r="331">
      <c r="B331" s="607"/>
      <c r="C331" s="139"/>
      <c r="D331" s="139"/>
      <c r="E331" s="303"/>
    </row>
    <row r="332">
      <c r="B332" s="607"/>
      <c r="C332" s="139"/>
      <c r="D332" s="139"/>
      <c r="E332" s="303"/>
    </row>
    <row r="333">
      <c r="B333" s="607"/>
      <c r="C333" s="139"/>
      <c r="D333" s="139"/>
      <c r="E333" s="303"/>
    </row>
    <row r="334">
      <c r="B334" s="607"/>
      <c r="C334" s="139"/>
      <c r="D334" s="139"/>
      <c r="E334" s="303"/>
    </row>
    <row r="335">
      <c r="B335" s="607"/>
      <c r="C335" s="139"/>
      <c r="D335" s="139"/>
      <c r="E335" s="303"/>
    </row>
    <row r="336">
      <c r="B336" s="607"/>
      <c r="C336" s="139"/>
      <c r="D336" s="139"/>
      <c r="E336" s="303"/>
    </row>
    <row r="337">
      <c r="B337" s="607"/>
      <c r="C337" s="139"/>
      <c r="D337" s="139"/>
      <c r="E337" s="303"/>
    </row>
    <row r="338">
      <c r="B338" s="607"/>
      <c r="C338" s="139"/>
      <c r="D338" s="139"/>
      <c r="E338" s="303"/>
    </row>
    <row r="339">
      <c r="B339" s="607"/>
      <c r="C339" s="139"/>
      <c r="D339" s="139"/>
      <c r="E339" s="303"/>
    </row>
    <row r="340">
      <c r="B340" s="607"/>
      <c r="C340" s="139"/>
      <c r="D340" s="139"/>
      <c r="E340" s="303"/>
    </row>
    <row r="341">
      <c r="B341" s="607"/>
      <c r="C341" s="139"/>
      <c r="D341" s="139"/>
      <c r="E341" s="303"/>
    </row>
    <row r="342">
      <c r="B342" s="607"/>
      <c r="C342" s="139"/>
      <c r="D342" s="139"/>
      <c r="E342" s="303"/>
    </row>
    <row r="343">
      <c r="B343" s="607"/>
      <c r="C343" s="139"/>
      <c r="D343" s="139"/>
      <c r="E343" s="303"/>
    </row>
    <row r="344">
      <c r="B344" s="607"/>
      <c r="C344" s="139"/>
      <c r="D344" s="139"/>
      <c r="E344" s="303"/>
    </row>
    <row r="345">
      <c r="B345" s="607"/>
      <c r="C345" s="139"/>
      <c r="D345" s="139"/>
      <c r="E345" s="303"/>
    </row>
    <row r="346">
      <c r="B346" s="607"/>
      <c r="C346" s="139"/>
      <c r="D346" s="139"/>
      <c r="E346" s="303"/>
    </row>
    <row r="347">
      <c r="B347" s="607"/>
      <c r="C347" s="139"/>
      <c r="D347" s="139"/>
      <c r="E347" s="303"/>
    </row>
    <row r="348">
      <c r="B348" s="607"/>
      <c r="C348" s="139"/>
      <c r="D348" s="139"/>
      <c r="E348" s="303"/>
    </row>
    <row r="349">
      <c r="B349" s="607"/>
      <c r="C349" s="139"/>
      <c r="D349" s="139"/>
      <c r="E349" s="303"/>
    </row>
    <row r="350">
      <c r="B350" s="607"/>
      <c r="C350" s="139"/>
      <c r="D350" s="139"/>
      <c r="E350" s="303"/>
    </row>
    <row r="351">
      <c r="B351" s="607"/>
      <c r="C351" s="139"/>
      <c r="D351" s="139"/>
      <c r="E351" s="303"/>
    </row>
    <row r="352">
      <c r="B352" s="607"/>
      <c r="C352" s="139"/>
      <c r="D352" s="139"/>
      <c r="E352" s="303"/>
    </row>
    <row r="353">
      <c r="B353" s="607"/>
      <c r="C353" s="139"/>
      <c r="D353" s="139"/>
      <c r="E353" s="303"/>
    </row>
    <row r="354">
      <c r="B354" s="607"/>
      <c r="C354" s="139"/>
      <c r="D354" s="139"/>
      <c r="E354" s="303"/>
    </row>
    <row r="355">
      <c r="B355" s="607"/>
      <c r="C355" s="139"/>
      <c r="D355" s="139"/>
      <c r="E355" s="303"/>
    </row>
    <row r="356">
      <c r="B356" s="607"/>
      <c r="C356" s="139"/>
      <c r="D356" s="139"/>
      <c r="E356" s="303"/>
    </row>
    <row r="357">
      <c r="B357" s="607"/>
      <c r="C357" s="139"/>
      <c r="D357" s="139"/>
      <c r="E357" s="303"/>
    </row>
    <row r="358">
      <c r="B358" s="607"/>
      <c r="C358" s="139"/>
      <c r="D358" s="139"/>
      <c r="E358" s="303"/>
    </row>
    <row r="359">
      <c r="B359" s="607"/>
      <c r="C359" s="139"/>
      <c r="D359" s="139"/>
      <c r="E359" s="303"/>
    </row>
    <row r="360">
      <c r="B360" s="607"/>
      <c r="C360" s="139"/>
      <c r="D360" s="139"/>
      <c r="E360" s="303"/>
    </row>
    <row r="361">
      <c r="B361" s="607"/>
      <c r="C361" s="139"/>
      <c r="D361" s="139"/>
      <c r="E361" s="303"/>
    </row>
    <row r="362">
      <c r="B362" s="607"/>
      <c r="C362" s="139"/>
      <c r="D362" s="139"/>
      <c r="E362" s="303"/>
    </row>
    <row r="363">
      <c r="B363" s="607"/>
      <c r="C363" s="139"/>
      <c r="D363" s="139"/>
      <c r="E363" s="303"/>
    </row>
    <row r="364">
      <c r="B364" s="607"/>
      <c r="C364" s="139"/>
      <c r="D364" s="139"/>
      <c r="E364" s="303"/>
    </row>
    <row r="365">
      <c r="B365" s="607"/>
      <c r="C365" s="139"/>
      <c r="D365" s="139"/>
      <c r="E365" s="303"/>
    </row>
    <row r="366">
      <c r="B366" s="607"/>
      <c r="C366" s="139"/>
      <c r="D366" s="139"/>
      <c r="E366" s="303"/>
    </row>
    <row r="367">
      <c r="B367" s="607"/>
      <c r="C367" s="139"/>
      <c r="D367" s="139"/>
      <c r="E367" s="303"/>
    </row>
    <row r="368">
      <c r="B368" s="607"/>
      <c r="C368" s="139"/>
      <c r="D368" s="139"/>
      <c r="E368" s="303"/>
    </row>
    <row r="369">
      <c r="B369" s="607"/>
      <c r="C369" s="139"/>
      <c r="D369" s="139"/>
      <c r="E369" s="303"/>
    </row>
    <row r="370">
      <c r="B370" s="607"/>
      <c r="C370" s="139"/>
      <c r="D370" s="139"/>
      <c r="E370" s="303"/>
    </row>
    <row r="371">
      <c r="B371" s="607"/>
      <c r="C371" s="139"/>
      <c r="D371" s="139"/>
      <c r="E371" s="303"/>
    </row>
    <row r="372">
      <c r="B372" s="607"/>
      <c r="C372" s="139"/>
      <c r="D372" s="139"/>
      <c r="E372" s="303"/>
    </row>
    <row r="373">
      <c r="B373" s="607"/>
      <c r="C373" s="139"/>
      <c r="D373" s="139"/>
      <c r="E373" s="303"/>
    </row>
    <row r="374">
      <c r="B374" s="607"/>
      <c r="C374" s="139"/>
      <c r="D374" s="139"/>
      <c r="E374" s="303"/>
    </row>
    <row r="375">
      <c r="B375" s="607"/>
      <c r="C375" s="139"/>
      <c r="D375" s="139"/>
      <c r="E375" s="303"/>
    </row>
    <row r="376">
      <c r="B376" s="607"/>
      <c r="C376" s="139"/>
      <c r="D376" s="139"/>
      <c r="E376" s="303"/>
    </row>
    <row r="377">
      <c r="B377" s="607"/>
      <c r="C377" s="139"/>
      <c r="D377" s="139"/>
      <c r="E377" s="303"/>
    </row>
    <row r="378">
      <c r="B378" s="607"/>
      <c r="C378" s="139"/>
      <c r="D378" s="139"/>
      <c r="E378" s="303"/>
    </row>
    <row r="379">
      <c r="B379" s="607"/>
      <c r="C379" s="139"/>
      <c r="D379" s="139"/>
      <c r="E379" s="303"/>
    </row>
    <row r="380">
      <c r="B380" s="607"/>
      <c r="C380" s="139"/>
      <c r="D380" s="139"/>
      <c r="E380" s="303"/>
    </row>
    <row r="381">
      <c r="B381" s="607"/>
      <c r="C381" s="139"/>
      <c r="D381" s="139"/>
      <c r="E381" s="303"/>
    </row>
    <row r="382">
      <c r="B382" s="607"/>
      <c r="C382" s="139"/>
      <c r="D382" s="139"/>
      <c r="E382" s="303"/>
    </row>
    <row r="383">
      <c r="B383" s="607"/>
      <c r="C383" s="139"/>
      <c r="D383" s="139"/>
      <c r="E383" s="303"/>
    </row>
    <row r="384">
      <c r="B384" s="607"/>
      <c r="C384" s="139"/>
      <c r="D384" s="139"/>
      <c r="E384" s="303"/>
    </row>
    <row r="385">
      <c r="B385" s="607"/>
      <c r="C385" s="139"/>
      <c r="D385" s="139"/>
      <c r="E385" s="303"/>
    </row>
    <row r="386">
      <c r="B386" s="607"/>
      <c r="C386" s="139"/>
      <c r="D386" s="139"/>
      <c r="E386" s="303"/>
    </row>
    <row r="387">
      <c r="B387" s="607"/>
      <c r="C387" s="139"/>
      <c r="D387" s="139"/>
      <c r="E387" s="303"/>
    </row>
    <row r="388">
      <c r="B388" s="607"/>
      <c r="C388" s="139"/>
      <c r="D388" s="139"/>
      <c r="E388" s="303"/>
    </row>
    <row r="389">
      <c r="B389" s="607"/>
      <c r="C389" s="139"/>
      <c r="D389" s="139"/>
      <c r="E389" s="303"/>
    </row>
    <row r="390">
      <c r="B390" s="607"/>
      <c r="C390" s="139"/>
      <c r="D390" s="139"/>
      <c r="E390" s="303"/>
    </row>
    <row r="391">
      <c r="B391" s="607"/>
      <c r="C391" s="139"/>
      <c r="D391" s="139"/>
      <c r="E391" s="303"/>
    </row>
    <row r="392">
      <c r="B392" s="607"/>
      <c r="C392" s="139"/>
      <c r="D392" s="139"/>
      <c r="E392" s="303"/>
    </row>
    <row r="393">
      <c r="B393" s="607"/>
      <c r="C393" s="139"/>
      <c r="D393" s="139"/>
      <c r="E393" s="303"/>
    </row>
    <row r="394">
      <c r="B394" s="607"/>
      <c r="C394" s="139"/>
      <c r="D394" s="139"/>
      <c r="E394" s="303"/>
    </row>
    <row r="395">
      <c r="B395" s="607"/>
      <c r="C395" s="139"/>
      <c r="D395" s="139"/>
      <c r="E395" s="303"/>
    </row>
    <row r="396">
      <c r="B396" s="607"/>
      <c r="C396" s="139"/>
      <c r="D396" s="139"/>
      <c r="E396" s="303"/>
    </row>
    <row r="397">
      <c r="B397" s="607"/>
      <c r="C397" s="139"/>
      <c r="D397" s="139"/>
      <c r="E397" s="303"/>
    </row>
    <row r="398">
      <c r="B398" s="607"/>
      <c r="C398" s="139"/>
      <c r="D398" s="139"/>
      <c r="E398" s="303"/>
    </row>
    <row r="399">
      <c r="B399" s="607"/>
      <c r="C399" s="139"/>
      <c r="D399" s="139"/>
      <c r="E399" s="303"/>
    </row>
    <row r="400">
      <c r="B400" s="607"/>
      <c r="C400" s="139"/>
      <c r="D400" s="139"/>
      <c r="E400" s="303"/>
    </row>
    <row r="401">
      <c r="B401" s="607"/>
      <c r="C401" s="139"/>
      <c r="D401" s="139"/>
      <c r="E401" s="303"/>
    </row>
    <row r="402">
      <c r="B402" s="607"/>
      <c r="C402" s="139"/>
      <c r="D402" s="139"/>
      <c r="E402" s="303"/>
    </row>
    <row r="403">
      <c r="B403" s="607"/>
      <c r="C403" s="139"/>
      <c r="D403" s="139"/>
      <c r="E403" s="303"/>
    </row>
    <row r="404">
      <c r="B404" s="607"/>
      <c r="C404" s="139"/>
      <c r="D404" s="139"/>
      <c r="E404" s="303"/>
    </row>
    <row r="405">
      <c r="B405" s="607"/>
      <c r="C405" s="139"/>
      <c r="D405" s="139"/>
      <c r="E405" s="303"/>
    </row>
    <row r="406">
      <c r="B406" s="607"/>
      <c r="C406" s="139"/>
      <c r="D406" s="139"/>
      <c r="E406" s="303"/>
    </row>
    <row r="407">
      <c r="B407" s="607"/>
      <c r="C407" s="139"/>
      <c r="D407" s="139"/>
      <c r="E407" s="303"/>
    </row>
    <row r="408">
      <c r="B408" s="607"/>
      <c r="C408" s="139"/>
      <c r="D408" s="139"/>
      <c r="E408" s="303"/>
    </row>
    <row r="409">
      <c r="B409" s="607"/>
      <c r="C409" s="139"/>
      <c r="D409" s="139"/>
      <c r="E409" s="303"/>
    </row>
    <row r="410">
      <c r="B410" s="607"/>
      <c r="C410" s="139"/>
      <c r="D410" s="139"/>
      <c r="E410" s="303"/>
    </row>
    <row r="411">
      <c r="B411" s="607"/>
      <c r="C411" s="139"/>
      <c r="D411" s="139"/>
      <c r="E411" s="303"/>
    </row>
    <row r="412">
      <c r="B412" s="607"/>
      <c r="C412" s="139"/>
      <c r="D412" s="139"/>
      <c r="E412" s="303"/>
    </row>
    <row r="413">
      <c r="B413" s="607"/>
      <c r="C413" s="139"/>
      <c r="D413" s="139"/>
      <c r="E413" s="303"/>
    </row>
    <row r="414">
      <c r="B414" s="607"/>
      <c r="C414" s="139"/>
      <c r="D414" s="139"/>
      <c r="E414" s="303"/>
    </row>
    <row r="415">
      <c r="B415" s="607"/>
      <c r="C415" s="139"/>
      <c r="D415" s="139"/>
      <c r="E415" s="303"/>
    </row>
    <row r="416">
      <c r="B416" s="607"/>
      <c r="C416" s="139"/>
      <c r="D416" s="139"/>
      <c r="E416" s="303"/>
    </row>
    <row r="417">
      <c r="B417" s="607"/>
      <c r="C417" s="139"/>
      <c r="D417" s="139"/>
      <c r="E417" s="303"/>
    </row>
    <row r="418">
      <c r="B418" s="607"/>
      <c r="C418" s="139"/>
      <c r="D418" s="139"/>
      <c r="E418" s="303"/>
    </row>
    <row r="419">
      <c r="B419" s="607"/>
      <c r="C419" s="139"/>
      <c r="D419" s="139"/>
      <c r="E419" s="303"/>
    </row>
    <row r="420">
      <c r="B420" s="607"/>
      <c r="C420" s="139"/>
      <c r="D420" s="139"/>
      <c r="E420" s="303"/>
    </row>
    <row r="421">
      <c r="B421" s="607"/>
      <c r="C421" s="139"/>
      <c r="D421" s="139"/>
      <c r="E421" s="303"/>
    </row>
    <row r="422">
      <c r="B422" s="607"/>
      <c r="C422" s="139"/>
      <c r="D422" s="139"/>
      <c r="E422" s="303"/>
    </row>
    <row r="423">
      <c r="B423" s="607"/>
      <c r="C423" s="139"/>
      <c r="D423" s="139"/>
      <c r="E423" s="303"/>
    </row>
    <row r="424">
      <c r="B424" s="607"/>
      <c r="C424" s="139"/>
      <c r="D424" s="139"/>
      <c r="E424" s="303"/>
    </row>
    <row r="425">
      <c r="B425" s="607"/>
      <c r="C425" s="139"/>
      <c r="D425" s="139"/>
      <c r="E425" s="303"/>
    </row>
    <row r="426">
      <c r="B426" s="607"/>
      <c r="C426" s="139"/>
      <c r="D426" s="139"/>
      <c r="E426" s="303"/>
    </row>
    <row r="427">
      <c r="B427" s="607"/>
      <c r="C427" s="139"/>
      <c r="D427" s="139"/>
      <c r="E427" s="303"/>
    </row>
    <row r="428">
      <c r="B428" s="607"/>
      <c r="C428" s="139"/>
      <c r="D428" s="139"/>
      <c r="E428" s="303"/>
    </row>
    <row r="429">
      <c r="B429" s="607"/>
      <c r="C429" s="139"/>
      <c r="D429" s="139"/>
      <c r="E429" s="303"/>
    </row>
    <row r="430">
      <c r="B430" s="607"/>
      <c r="C430" s="139"/>
      <c r="D430" s="139"/>
      <c r="E430" s="303"/>
    </row>
    <row r="431">
      <c r="B431" s="607"/>
      <c r="C431" s="139"/>
      <c r="D431" s="139"/>
      <c r="E431" s="303"/>
    </row>
    <row r="432">
      <c r="B432" s="607"/>
      <c r="C432" s="139"/>
      <c r="D432" s="139"/>
      <c r="E432" s="303"/>
    </row>
    <row r="433">
      <c r="B433" s="607"/>
      <c r="C433" s="139"/>
      <c r="D433" s="139"/>
      <c r="E433" s="303"/>
    </row>
    <row r="434">
      <c r="B434" s="607"/>
      <c r="C434" s="139"/>
      <c r="D434" s="139"/>
      <c r="E434" s="303"/>
    </row>
    <row r="435">
      <c r="B435" s="607"/>
      <c r="C435" s="139"/>
      <c r="D435" s="139"/>
      <c r="E435" s="303"/>
    </row>
    <row r="436">
      <c r="B436" s="607"/>
      <c r="C436" s="139"/>
      <c r="D436" s="139"/>
      <c r="E436" s="303"/>
    </row>
    <row r="437">
      <c r="B437" s="607"/>
      <c r="C437" s="139"/>
      <c r="D437" s="139"/>
      <c r="E437" s="303"/>
    </row>
    <row r="438">
      <c r="B438" s="607"/>
      <c r="C438" s="139"/>
      <c r="D438" s="139"/>
      <c r="E438" s="303"/>
    </row>
    <row r="439">
      <c r="B439" s="607"/>
      <c r="C439" s="139"/>
      <c r="D439" s="139"/>
      <c r="E439" s="303"/>
    </row>
    <row r="440">
      <c r="B440" s="607"/>
      <c r="C440" s="139"/>
      <c r="D440" s="139"/>
      <c r="E440" s="303"/>
    </row>
    <row r="441">
      <c r="B441" s="607"/>
      <c r="C441" s="139"/>
      <c r="D441" s="139"/>
      <c r="E441" s="303"/>
    </row>
    <row r="442">
      <c r="B442" s="607"/>
      <c r="C442" s="139"/>
      <c r="D442" s="139"/>
      <c r="E442" s="303"/>
    </row>
    <row r="443">
      <c r="B443" s="607"/>
      <c r="C443" s="139"/>
      <c r="D443" s="139"/>
      <c r="E443" s="303"/>
    </row>
    <row r="444">
      <c r="B444" s="607"/>
      <c r="C444" s="139"/>
      <c r="D444" s="139"/>
      <c r="E444" s="303"/>
    </row>
    <row r="445">
      <c r="B445" s="607"/>
      <c r="C445" s="139"/>
      <c r="D445" s="139"/>
      <c r="E445" s="303"/>
    </row>
    <row r="446">
      <c r="B446" s="607"/>
      <c r="C446" s="139"/>
      <c r="D446" s="139"/>
      <c r="E446" s="303"/>
    </row>
    <row r="447">
      <c r="B447" s="607"/>
      <c r="C447" s="139"/>
      <c r="D447" s="139"/>
      <c r="E447" s="303"/>
    </row>
    <row r="448">
      <c r="B448" s="607"/>
      <c r="C448" s="139"/>
      <c r="D448" s="139"/>
      <c r="E448" s="303"/>
    </row>
    <row r="449">
      <c r="B449" s="607"/>
      <c r="C449" s="139"/>
      <c r="D449" s="139"/>
      <c r="E449" s="303"/>
    </row>
    <row r="450">
      <c r="B450" s="607"/>
      <c r="C450" s="139"/>
      <c r="D450" s="139"/>
      <c r="E450" s="303"/>
    </row>
    <row r="451">
      <c r="B451" s="607"/>
      <c r="C451" s="139"/>
      <c r="D451" s="139"/>
      <c r="E451" s="303"/>
    </row>
    <row r="452">
      <c r="B452" s="607"/>
      <c r="C452" s="139"/>
      <c r="D452" s="139"/>
      <c r="E452" s="303"/>
    </row>
    <row r="453">
      <c r="B453" s="607"/>
      <c r="C453" s="139"/>
      <c r="D453" s="139"/>
      <c r="E453" s="303"/>
    </row>
    <row r="454">
      <c r="B454" s="607"/>
      <c r="C454" s="139"/>
      <c r="D454" s="139"/>
      <c r="E454" s="303"/>
    </row>
    <row r="455">
      <c r="B455" s="607"/>
      <c r="C455" s="139"/>
      <c r="D455" s="139"/>
      <c r="E455" s="303"/>
    </row>
    <row r="456">
      <c r="B456" s="607"/>
      <c r="C456" s="139"/>
      <c r="D456" s="139"/>
      <c r="E456" s="303"/>
    </row>
    <row r="457">
      <c r="B457" s="607"/>
      <c r="C457" s="139"/>
      <c r="D457" s="139"/>
      <c r="E457" s="303"/>
    </row>
    <row r="458">
      <c r="B458" s="607"/>
      <c r="C458" s="139"/>
      <c r="D458" s="139"/>
      <c r="E458" s="303"/>
    </row>
    <row r="459">
      <c r="B459" s="607"/>
      <c r="C459" s="139"/>
      <c r="D459" s="139"/>
      <c r="E459" s="303"/>
    </row>
    <row r="460">
      <c r="B460" s="607"/>
      <c r="C460" s="139"/>
      <c r="D460" s="139"/>
      <c r="E460" s="303"/>
    </row>
    <row r="461">
      <c r="B461" s="607"/>
      <c r="C461" s="139"/>
      <c r="D461" s="139"/>
      <c r="E461" s="303"/>
    </row>
    <row r="462">
      <c r="B462" s="607"/>
      <c r="C462" s="139"/>
      <c r="D462" s="139"/>
      <c r="E462" s="303"/>
    </row>
    <row r="463">
      <c r="B463" s="607"/>
      <c r="C463" s="139"/>
      <c r="D463" s="139"/>
      <c r="E463" s="303"/>
    </row>
    <row r="464">
      <c r="B464" s="607"/>
      <c r="C464" s="139"/>
      <c r="D464" s="139"/>
      <c r="E464" s="303"/>
    </row>
    <row r="465">
      <c r="B465" s="607"/>
      <c r="C465" s="139"/>
      <c r="D465" s="139"/>
      <c r="E465" s="303"/>
    </row>
    <row r="466">
      <c r="B466" s="607"/>
      <c r="C466" s="139"/>
      <c r="D466" s="139"/>
      <c r="E466" s="303"/>
    </row>
    <row r="467">
      <c r="B467" s="607"/>
      <c r="C467" s="139"/>
      <c r="D467" s="139"/>
      <c r="E467" s="303"/>
    </row>
    <row r="468">
      <c r="B468" s="607"/>
      <c r="C468" s="139"/>
      <c r="D468" s="139"/>
      <c r="E468" s="303"/>
    </row>
    <row r="469">
      <c r="B469" s="607"/>
      <c r="C469" s="139"/>
      <c r="D469" s="139"/>
      <c r="E469" s="303"/>
    </row>
    <row r="470">
      <c r="B470" s="607"/>
      <c r="C470" s="139"/>
      <c r="D470" s="139"/>
      <c r="E470" s="303"/>
    </row>
    <row r="471">
      <c r="B471" s="607"/>
      <c r="C471" s="139"/>
      <c r="D471" s="139"/>
      <c r="E471" s="303"/>
    </row>
    <row r="472">
      <c r="B472" s="607"/>
      <c r="C472" s="139"/>
      <c r="D472" s="139"/>
      <c r="E472" s="303"/>
    </row>
    <row r="473">
      <c r="B473" s="607"/>
      <c r="C473" s="139"/>
      <c r="D473" s="139"/>
      <c r="E473" s="303"/>
    </row>
    <row r="474">
      <c r="B474" s="607"/>
      <c r="C474" s="139"/>
      <c r="D474" s="139"/>
      <c r="E474" s="303"/>
    </row>
    <row r="475">
      <c r="B475" s="607"/>
      <c r="C475" s="139"/>
      <c r="D475" s="139"/>
      <c r="E475" s="303"/>
    </row>
    <row r="476">
      <c r="B476" s="607"/>
      <c r="C476" s="139"/>
      <c r="D476" s="139"/>
      <c r="E476" s="303"/>
    </row>
    <row r="477">
      <c r="B477" s="607"/>
      <c r="C477" s="139"/>
      <c r="D477" s="139"/>
      <c r="E477" s="303"/>
    </row>
    <row r="478">
      <c r="B478" s="607"/>
      <c r="C478" s="139"/>
      <c r="D478" s="139"/>
      <c r="E478" s="303"/>
    </row>
    <row r="479">
      <c r="B479" s="607"/>
      <c r="C479" s="139"/>
      <c r="D479" s="139"/>
      <c r="E479" s="303"/>
    </row>
    <row r="480">
      <c r="B480" s="607"/>
      <c r="C480" s="139"/>
      <c r="D480" s="139"/>
      <c r="E480" s="303"/>
    </row>
    <row r="481">
      <c r="B481" s="607"/>
      <c r="C481" s="139"/>
      <c r="D481" s="139"/>
      <c r="E481" s="303"/>
    </row>
    <row r="482">
      <c r="B482" s="607"/>
      <c r="C482" s="139"/>
      <c r="D482" s="139"/>
      <c r="E482" s="303"/>
    </row>
    <row r="483">
      <c r="B483" s="607"/>
      <c r="C483" s="139"/>
      <c r="D483" s="139"/>
      <c r="E483" s="303"/>
    </row>
    <row r="484">
      <c r="B484" s="607"/>
      <c r="C484" s="139"/>
      <c r="D484" s="139"/>
      <c r="E484" s="303"/>
    </row>
    <row r="485">
      <c r="B485" s="607"/>
      <c r="C485" s="139"/>
      <c r="D485" s="139"/>
      <c r="E485" s="303"/>
    </row>
    <row r="486">
      <c r="B486" s="607"/>
      <c r="C486" s="139"/>
      <c r="D486" s="139"/>
      <c r="E486" s="303"/>
    </row>
    <row r="487">
      <c r="B487" s="607"/>
      <c r="C487" s="139"/>
      <c r="D487" s="139"/>
      <c r="E487" s="303"/>
    </row>
    <row r="488">
      <c r="B488" s="607"/>
      <c r="C488" s="139"/>
      <c r="D488" s="139"/>
      <c r="E488" s="303"/>
    </row>
    <row r="489">
      <c r="B489" s="607"/>
      <c r="C489" s="139"/>
      <c r="D489" s="139"/>
      <c r="E489" s="303"/>
    </row>
    <row r="490">
      <c r="B490" s="607"/>
      <c r="C490" s="139"/>
      <c r="D490" s="139"/>
      <c r="E490" s="303"/>
    </row>
    <row r="491">
      <c r="B491" s="607"/>
      <c r="C491" s="139"/>
      <c r="D491" s="139"/>
      <c r="E491" s="303"/>
    </row>
    <row r="492">
      <c r="B492" s="607"/>
      <c r="C492" s="139"/>
      <c r="D492" s="139"/>
      <c r="E492" s="303"/>
    </row>
    <row r="493">
      <c r="B493" s="607"/>
      <c r="C493" s="139"/>
      <c r="D493" s="139"/>
      <c r="E493" s="303"/>
    </row>
    <row r="494">
      <c r="B494" s="607"/>
      <c r="C494" s="139"/>
      <c r="D494" s="139"/>
      <c r="E494" s="303"/>
    </row>
    <row r="495">
      <c r="B495" s="607"/>
      <c r="C495" s="139"/>
      <c r="D495" s="139"/>
      <c r="E495" s="303"/>
    </row>
    <row r="496">
      <c r="B496" s="607"/>
      <c r="C496" s="139"/>
      <c r="D496" s="139"/>
      <c r="E496" s="303"/>
    </row>
    <row r="497">
      <c r="B497" s="607"/>
      <c r="C497" s="139"/>
      <c r="D497" s="139"/>
      <c r="E497" s="303"/>
    </row>
    <row r="498">
      <c r="B498" s="607"/>
      <c r="C498" s="139"/>
      <c r="D498" s="139"/>
      <c r="E498" s="303"/>
    </row>
    <row r="499">
      <c r="B499" s="607"/>
      <c r="C499" s="139"/>
      <c r="D499" s="139"/>
      <c r="E499" s="303"/>
    </row>
    <row r="500">
      <c r="B500" s="607"/>
      <c r="C500" s="139"/>
      <c r="D500" s="139"/>
      <c r="E500" s="303"/>
    </row>
    <row r="501">
      <c r="B501" s="607"/>
      <c r="C501" s="139"/>
      <c r="D501" s="139"/>
      <c r="E501" s="303"/>
    </row>
    <row r="502">
      <c r="B502" s="607"/>
      <c r="C502" s="139"/>
      <c r="D502" s="139"/>
      <c r="E502" s="303"/>
    </row>
    <row r="503">
      <c r="B503" s="607"/>
      <c r="C503" s="139"/>
      <c r="D503" s="139"/>
      <c r="E503" s="303"/>
    </row>
    <row r="504">
      <c r="B504" s="607"/>
      <c r="C504" s="139"/>
      <c r="D504" s="139"/>
      <c r="E504" s="303"/>
    </row>
    <row r="505">
      <c r="B505" s="607"/>
      <c r="C505" s="139"/>
      <c r="D505" s="139"/>
      <c r="E505" s="303"/>
    </row>
    <row r="506">
      <c r="B506" s="607"/>
      <c r="C506" s="139"/>
      <c r="D506" s="139"/>
      <c r="E506" s="303"/>
    </row>
    <row r="507">
      <c r="B507" s="607"/>
      <c r="C507" s="139"/>
      <c r="D507" s="139"/>
      <c r="E507" s="303"/>
    </row>
    <row r="508">
      <c r="B508" s="607"/>
      <c r="C508" s="139"/>
      <c r="D508" s="139"/>
      <c r="E508" s="303"/>
    </row>
    <row r="509">
      <c r="B509" s="607"/>
      <c r="C509" s="139"/>
      <c r="D509" s="139"/>
      <c r="E509" s="303"/>
    </row>
    <row r="510">
      <c r="B510" s="607"/>
      <c r="C510" s="139"/>
      <c r="D510" s="139"/>
      <c r="E510" s="303"/>
    </row>
    <row r="511">
      <c r="B511" s="607"/>
      <c r="C511" s="139"/>
      <c r="D511" s="139"/>
      <c r="E511" s="303"/>
    </row>
    <row r="512">
      <c r="B512" s="607"/>
      <c r="C512" s="139"/>
      <c r="D512" s="139"/>
      <c r="E512" s="303"/>
    </row>
    <row r="513">
      <c r="B513" s="607"/>
      <c r="C513" s="139"/>
      <c r="D513" s="139"/>
      <c r="E513" s="303"/>
    </row>
    <row r="514">
      <c r="B514" s="607"/>
      <c r="C514" s="139"/>
      <c r="D514" s="139"/>
      <c r="E514" s="303"/>
    </row>
    <row r="515">
      <c r="B515" s="607"/>
      <c r="C515" s="139"/>
      <c r="D515" s="139"/>
      <c r="E515" s="303"/>
    </row>
    <row r="516">
      <c r="B516" s="607"/>
      <c r="C516" s="139"/>
      <c r="D516" s="139"/>
      <c r="E516" s="303"/>
    </row>
    <row r="517">
      <c r="B517" s="607"/>
      <c r="C517" s="139"/>
      <c r="D517" s="139"/>
      <c r="E517" s="303"/>
    </row>
    <row r="518">
      <c r="B518" s="607"/>
      <c r="C518" s="139"/>
      <c r="D518" s="139"/>
      <c r="E518" s="303"/>
    </row>
    <row r="519">
      <c r="B519" s="607"/>
      <c r="C519" s="139"/>
      <c r="D519" s="139"/>
      <c r="E519" s="303"/>
    </row>
    <row r="520">
      <c r="B520" s="607"/>
      <c r="C520" s="139"/>
      <c r="D520" s="139"/>
      <c r="E520" s="303"/>
    </row>
    <row r="521">
      <c r="B521" s="607"/>
      <c r="C521" s="139"/>
      <c r="D521" s="139"/>
      <c r="E521" s="303"/>
    </row>
    <row r="522">
      <c r="B522" s="607"/>
      <c r="C522" s="139"/>
      <c r="D522" s="139"/>
      <c r="E522" s="303"/>
    </row>
    <row r="523">
      <c r="B523" s="607"/>
      <c r="C523" s="139"/>
      <c r="D523" s="139"/>
      <c r="E523" s="303"/>
    </row>
    <row r="524">
      <c r="B524" s="607"/>
      <c r="C524" s="139"/>
      <c r="D524" s="139"/>
      <c r="E524" s="303"/>
    </row>
    <row r="525">
      <c r="B525" s="607"/>
      <c r="C525" s="139"/>
      <c r="D525" s="139"/>
      <c r="E525" s="303"/>
    </row>
    <row r="526">
      <c r="B526" s="607"/>
      <c r="C526" s="139"/>
      <c r="D526" s="139"/>
      <c r="E526" s="303"/>
    </row>
    <row r="527">
      <c r="B527" s="607"/>
      <c r="C527" s="139"/>
      <c r="D527" s="139"/>
      <c r="E527" s="303"/>
    </row>
    <row r="528">
      <c r="B528" s="607"/>
      <c r="C528" s="139"/>
      <c r="D528" s="139"/>
      <c r="E528" s="303"/>
    </row>
    <row r="529">
      <c r="B529" s="607"/>
      <c r="C529" s="139"/>
      <c r="D529" s="139"/>
      <c r="E529" s="303"/>
    </row>
    <row r="530">
      <c r="B530" s="607"/>
      <c r="C530" s="139"/>
      <c r="D530" s="139"/>
      <c r="E530" s="303"/>
    </row>
    <row r="531">
      <c r="B531" s="607"/>
      <c r="C531" s="139"/>
      <c r="D531" s="139"/>
      <c r="E531" s="303"/>
    </row>
    <row r="532">
      <c r="B532" s="607"/>
      <c r="C532" s="139"/>
      <c r="D532" s="139"/>
      <c r="E532" s="303"/>
    </row>
    <row r="533">
      <c r="B533" s="607"/>
      <c r="C533" s="139"/>
      <c r="D533" s="139"/>
      <c r="E533" s="303"/>
    </row>
    <row r="534">
      <c r="B534" s="607"/>
      <c r="C534" s="139"/>
      <c r="D534" s="139"/>
      <c r="E534" s="303"/>
    </row>
    <row r="535">
      <c r="B535" s="607"/>
      <c r="C535" s="139"/>
      <c r="D535" s="139"/>
      <c r="E535" s="303"/>
    </row>
    <row r="536">
      <c r="B536" s="607"/>
      <c r="C536" s="139"/>
      <c r="D536" s="139"/>
      <c r="E536" s="303"/>
    </row>
    <row r="537">
      <c r="B537" s="607"/>
      <c r="C537" s="139"/>
      <c r="D537" s="139"/>
      <c r="E537" s="303"/>
    </row>
    <row r="538">
      <c r="B538" s="607"/>
      <c r="C538" s="139"/>
      <c r="D538" s="139"/>
      <c r="E538" s="303"/>
    </row>
    <row r="539">
      <c r="B539" s="607"/>
      <c r="C539" s="139"/>
      <c r="D539" s="139"/>
      <c r="E539" s="303"/>
    </row>
    <row r="540">
      <c r="B540" s="607"/>
      <c r="C540" s="139"/>
      <c r="D540" s="139"/>
      <c r="E540" s="303"/>
    </row>
    <row r="541">
      <c r="B541" s="607"/>
      <c r="C541" s="139"/>
      <c r="D541" s="139"/>
      <c r="E541" s="303"/>
    </row>
    <row r="542">
      <c r="B542" s="607"/>
      <c r="C542" s="139"/>
      <c r="D542" s="139"/>
      <c r="E542" s="303"/>
    </row>
    <row r="543">
      <c r="B543" s="607"/>
      <c r="C543" s="139"/>
      <c r="D543" s="139"/>
      <c r="E543" s="303"/>
    </row>
    <row r="544">
      <c r="B544" s="607"/>
      <c r="C544" s="139"/>
      <c r="D544" s="139"/>
      <c r="E544" s="303"/>
    </row>
    <row r="545">
      <c r="B545" s="607"/>
      <c r="C545" s="139"/>
      <c r="D545" s="139"/>
      <c r="E545" s="303"/>
    </row>
    <row r="546">
      <c r="B546" s="607"/>
      <c r="C546" s="139"/>
      <c r="D546" s="139"/>
      <c r="E546" s="303"/>
    </row>
    <row r="547">
      <c r="B547" s="607"/>
      <c r="C547" s="139"/>
      <c r="D547" s="139"/>
      <c r="E547" s="303"/>
    </row>
    <row r="548">
      <c r="B548" s="607"/>
      <c r="C548" s="139"/>
      <c r="D548" s="139"/>
      <c r="E548" s="303"/>
    </row>
    <row r="549">
      <c r="B549" s="607"/>
      <c r="C549" s="139"/>
      <c r="D549" s="139"/>
      <c r="E549" s="303"/>
    </row>
    <row r="550">
      <c r="B550" s="607"/>
      <c r="C550" s="139"/>
      <c r="D550" s="139"/>
      <c r="E550" s="303"/>
    </row>
    <row r="551">
      <c r="B551" s="607"/>
      <c r="C551" s="139"/>
      <c r="D551" s="139"/>
      <c r="E551" s="303"/>
    </row>
    <row r="552">
      <c r="B552" s="607"/>
      <c r="C552" s="139"/>
      <c r="D552" s="139"/>
      <c r="E552" s="303"/>
    </row>
    <row r="553">
      <c r="B553" s="607"/>
      <c r="C553" s="139"/>
      <c r="D553" s="139"/>
      <c r="E553" s="303"/>
    </row>
    <row r="554">
      <c r="B554" s="607"/>
      <c r="C554" s="139"/>
      <c r="D554" s="139"/>
      <c r="E554" s="303"/>
    </row>
    <row r="555">
      <c r="B555" s="607"/>
      <c r="C555" s="139"/>
      <c r="D555" s="139"/>
      <c r="E555" s="303"/>
    </row>
    <row r="556">
      <c r="B556" s="607"/>
      <c r="C556" s="139"/>
      <c r="D556" s="139"/>
      <c r="E556" s="303"/>
    </row>
    <row r="557">
      <c r="B557" s="607"/>
      <c r="C557" s="139"/>
      <c r="D557" s="139"/>
      <c r="E557" s="303"/>
    </row>
    <row r="558">
      <c r="B558" s="607"/>
      <c r="C558" s="139"/>
      <c r="D558" s="139"/>
      <c r="E558" s="303"/>
    </row>
    <row r="559">
      <c r="B559" s="607"/>
      <c r="C559" s="139"/>
      <c r="D559" s="139"/>
      <c r="E559" s="303"/>
    </row>
    <row r="560">
      <c r="B560" s="607"/>
      <c r="C560" s="139"/>
      <c r="D560" s="139"/>
      <c r="E560" s="303"/>
    </row>
    <row r="561">
      <c r="B561" s="607"/>
      <c r="C561" s="139"/>
      <c r="D561" s="139"/>
      <c r="E561" s="303"/>
    </row>
    <row r="562">
      <c r="B562" s="607"/>
      <c r="C562" s="139"/>
      <c r="D562" s="139"/>
      <c r="E562" s="303"/>
    </row>
    <row r="563">
      <c r="B563" s="607"/>
      <c r="C563" s="139"/>
      <c r="D563" s="139"/>
      <c r="E563" s="303"/>
    </row>
    <row r="564">
      <c r="B564" s="607"/>
      <c r="C564" s="139"/>
      <c r="D564" s="139"/>
      <c r="E564" s="303"/>
    </row>
    <row r="565">
      <c r="B565" s="607"/>
      <c r="C565" s="139"/>
      <c r="D565" s="139"/>
      <c r="E565" s="303"/>
    </row>
    <row r="566">
      <c r="B566" s="607"/>
      <c r="C566" s="139"/>
      <c r="D566" s="139"/>
      <c r="E566" s="303"/>
    </row>
    <row r="567">
      <c r="B567" s="607"/>
      <c r="C567" s="139"/>
      <c r="D567" s="139"/>
      <c r="E567" s="303"/>
    </row>
    <row r="568">
      <c r="B568" s="607"/>
      <c r="C568" s="139"/>
      <c r="D568" s="139"/>
      <c r="E568" s="303"/>
    </row>
    <row r="569">
      <c r="B569" s="607"/>
      <c r="C569" s="139"/>
      <c r="D569" s="139"/>
      <c r="E569" s="303"/>
    </row>
    <row r="570">
      <c r="B570" s="607"/>
      <c r="C570" s="139"/>
      <c r="D570" s="139"/>
      <c r="E570" s="303"/>
    </row>
    <row r="571">
      <c r="B571" s="607"/>
      <c r="C571" s="139"/>
      <c r="D571" s="139"/>
      <c r="E571" s="303"/>
    </row>
    <row r="572">
      <c r="B572" s="607"/>
      <c r="C572" s="139"/>
      <c r="D572" s="139"/>
      <c r="E572" s="303"/>
    </row>
    <row r="573">
      <c r="B573" s="607"/>
      <c r="C573" s="139"/>
      <c r="D573" s="139"/>
      <c r="E573" s="303"/>
    </row>
    <row r="574">
      <c r="B574" s="607"/>
      <c r="C574" s="139"/>
      <c r="D574" s="139"/>
      <c r="E574" s="303"/>
    </row>
    <row r="575">
      <c r="B575" s="607"/>
      <c r="C575" s="139"/>
      <c r="D575" s="139"/>
      <c r="E575" s="303"/>
    </row>
    <row r="576">
      <c r="B576" s="607"/>
      <c r="C576" s="139"/>
      <c r="D576" s="139"/>
      <c r="E576" s="303"/>
    </row>
    <row r="577">
      <c r="B577" s="607"/>
      <c r="C577" s="139"/>
      <c r="D577" s="139"/>
      <c r="E577" s="303"/>
    </row>
    <row r="578">
      <c r="B578" s="607"/>
      <c r="C578" s="139"/>
      <c r="D578" s="139"/>
      <c r="E578" s="303"/>
    </row>
    <row r="579">
      <c r="B579" s="607"/>
      <c r="C579" s="139"/>
      <c r="D579" s="139"/>
      <c r="E579" s="303"/>
    </row>
    <row r="580">
      <c r="B580" s="607"/>
      <c r="C580" s="139"/>
      <c r="D580" s="139"/>
      <c r="E580" s="303"/>
    </row>
    <row r="581">
      <c r="B581" s="607"/>
      <c r="C581" s="139"/>
      <c r="D581" s="139"/>
      <c r="E581" s="303"/>
    </row>
    <row r="582">
      <c r="B582" s="607"/>
      <c r="C582" s="139"/>
      <c r="D582" s="139"/>
      <c r="E582" s="303"/>
    </row>
    <row r="583">
      <c r="B583" s="607"/>
      <c r="C583" s="139"/>
      <c r="D583" s="139"/>
      <c r="E583" s="303"/>
    </row>
    <row r="584">
      <c r="B584" s="607"/>
      <c r="C584" s="139"/>
      <c r="D584" s="139"/>
      <c r="E584" s="303"/>
    </row>
    <row r="585">
      <c r="B585" s="607"/>
      <c r="C585" s="139"/>
      <c r="D585" s="139"/>
      <c r="E585" s="303"/>
    </row>
    <row r="586">
      <c r="B586" s="607"/>
      <c r="C586" s="139"/>
      <c r="D586" s="139"/>
      <c r="E586" s="303"/>
    </row>
    <row r="587">
      <c r="B587" s="607"/>
      <c r="C587" s="139"/>
      <c r="D587" s="139"/>
      <c r="E587" s="303"/>
    </row>
    <row r="588">
      <c r="B588" s="607"/>
      <c r="C588" s="139"/>
      <c r="D588" s="139"/>
      <c r="E588" s="303"/>
    </row>
    <row r="589">
      <c r="B589" s="607"/>
      <c r="C589" s="139"/>
      <c r="D589" s="139"/>
      <c r="E589" s="303"/>
    </row>
    <row r="590">
      <c r="B590" s="607"/>
      <c r="C590" s="139"/>
      <c r="D590" s="139"/>
      <c r="E590" s="303"/>
    </row>
    <row r="591">
      <c r="B591" s="607"/>
      <c r="C591" s="139"/>
      <c r="D591" s="139"/>
      <c r="E591" s="303"/>
    </row>
    <row r="592">
      <c r="B592" s="607"/>
      <c r="C592" s="139"/>
      <c r="D592" s="139"/>
      <c r="E592" s="303"/>
    </row>
    <row r="593">
      <c r="B593" s="607"/>
      <c r="C593" s="139"/>
      <c r="D593" s="139"/>
      <c r="E593" s="303"/>
    </row>
    <row r="594">
      <c r="B594" s="607"/>
      <c r="C594" s="139"/>
      <c r="D594" s="139"/>
      <c r="E594" s="303"/>
    </row>
    <row r="595">
      <c r="B595" s="607"/>
      <c r="C595" s="139"/>
      <c r="D595" s="139"/>
      <c r="E595" s="303"/>
    </row>
    <row r="596">
      <c r="B596" s="607"/>
      <c r="C596" s="139"/>
      <c r="D596" s="139"/>
      <c r="E596" s="303"/>
    </row>
    <row r="597">
      <c r="B597" s="607"/>
      <c r="C597" s="139"/>
      <c r="D597" s="139"/>
      <c r="E597" s="303"/>
    </row>
    <row r="598">
      <c r="B598" s="607"/>
      <c r="C598" s="139"/>
      <c r="D598" s="139"/>
      <c r="E598" s="303"/>
    </row>
    <row r="599">
      <c r="B599" s="607"/>
      <c r="C599" s="139"/>
      <c r="D599" s="139"/>
      <c r="E599" s="303"/>
    </row>
    <row r="600">
      <c r="B600" s="607"/>
      <c r="C600" s="139"/>
      <c r="D600" s="139"/>
      <c r="E600" s="303"/>
    </row>
    <row r="601">
      <c r="B601" s="607"/>
      <c r="C601" s="139"/>
      <c r="D601" s="139"/>
      <c r="E601" s="303"/>
    </row>
    <row r="602">
      <c r="B602" s="607"/>
      <c r="C602" s="139"/>
      <c r="D602" s="139"/>
      <c r="E602" s="303"/>
    </row>
    <row r="603">
      <c r="B603" s="607"/>
      <c r="C603" s="139"/>
      <c r="D603" s="139"/>
      <c r="E603" s="303"/>
    </row>
    <row r="604">
      <c r="B604" s="607"/>
      <c r="C604" s="139"/>
      <c r="D604" s="139"/>
      <c r="E604" s="303"/>
    </row>
    <row r="605">
      <c r="B605" s="607"/>
      <c r="C605" s="139"/>
      <c r="D605" s="139"/>
      <c r="E605" s="303"/>
    </row>
    <row r="606">
      <c r="B606" s="607"/>
      <c r="C606" s="139"/>
      <c r="D606" s="139"/>
      <c r="E606" s="303"/>
    </row>
    <row r="607">
      <c r="B607" s="607"/>
      <c r="C607" s="139"/>
      <c r="D607" s="139"/>
      <c r="E607" s="303"/>
    </row>
    <row r="608">
      <c r="B608" s="607"/>
      <c r="C608" s="139"/>
      <c r="D608" s="139"/>
      <c r="E608" s="303"/>
    </row>
    <row r="609">
      <c r="B609" s="607"/>
      <c r="C609" s="139"/>
      <c r="D609" s="139"/>
      <c r="E609" s="303"/>
    </row>
    <row r="610">
      <c r="B610" s="607"/>
      <c r="C610" s="139"/>
      <c r="D610" s="139"/>
      <c r="E610" s="303"/>
    </row>
    <row r="611">
      <c r="B611" s="607"/>
      <c r="C611" s="139"/>
      <c r="D611" s="139"/>
      <c r="E611" s="303"/>
    </row>
    <row r="612">
      <c r="B612" s="607"/>
      <c r="C612" s="139"/>
      <c r="D612" s="139"/>
      <c r="E612" s="303"/>
    </row>
    <row r="613">
      <c r="B613" s="607"/>
      <c r="C613" s="139"/>
      <c r="D613" s="139"/>
      <c r="E613" s="303"/>
    </row>
    <row r="614">
      <c r="B614" s="607"/>
      <c r="C614" s="139"/>
      <c r="D614" s="139"/>
      <c r="E614" s="303"/>
    </row>
    <row r="615">
      <c r="B615" s="607"/>
      <c r="C615" s="139"/>
      <c r="D615" s="139"/>
      <c r="E615" s="303"/>
    </row>
    <row r="616">
      <c r="B616" s="607"/>
      <c r="C616" s="139"/>
      <c r="D616" s="139"/>
      <c r="E616" s="303"/>
    </row>
    <row r="617">
      <c r="B617" s="607"/>
      <c r="C617" s="139"/>
      <c r="D617" s="139"/>
      <c r="E617" s="303"/>
    </row>
    <row r="618">
      <c r="B618" s="607"/>
      <c r="C618" s="139"/>
      <c r="D618" s="139"/>
      <c r="E618" s="303"/>
    </row>
    <row r="619">
      <c r="B619" s="607"/>
      <c r="C619" s="139"/>
      <c r="D619" s="139"/>
      <c r="E619" s="303"/>
    </row>
    <row r="620">
      <c r="B620" s="607"/>
      <c r="C620" s="139"/>
      <c r="D620" s="139"/>
      <c r="E620" s="303"/>
    </row>
    <row r="621">
      <c r="B621" s="607"/>
      <c r="C621" s="139"/>
      <c r="D621" s="139"/>
      <c r="E621" s="303"/>
    </row>
    <row r="622">
      <c r="B622" s="607"/>
      <c r="C622" s="139"/>
      <c r="D622" s="139"/>
      <c r="E622" s="303"/>
    </row>
    <row r="623">
      <c r="B623" s="607"/>
      <c r="C623" s="139"/>
      <c r="D623" s="139"/>
      <c r="E623" s="303"/>
    </row>
    <row r="624">
      <c r="B624" s="607"/>
      <c r="C624" s="139"/>
      <c r="D624" s="139"/>
      <c r="E624" s="303"/>
    </row>
    <row r="625">
      <c r="B625" s="607"/>
      <c r="C625" s="139"/>
      <c r="D625" s="139"/>
      <c r="E625" s="303"/>
    </row>
    <row r="626">
      <c r="B626" s="607"/>
      <c r="C626" s="139"/>
      <c r="D626" s="139"/>
      <c r="E626" s="303"/>
    </row>
    <row r="627">
      <c r="B627" s="607"/>
      <c r="C627" s="139"/>
      <c r="D627" s="139"/>
      <c r="E627" s="303"/>
    </row>
    <row r="628">
      <c r="B628" s="607"/>
      <c r="C628" s="139"/>
      <c r="D628" s="139"/>
      <c r="E628" s="303"/>
    </row>
    <row r="629">
      <c r="B629" s="607"/>
      <c r="C629" s="139"/>
      <c r="D629" s="139"/>
      <c r="E629" s="303"/>
    </row>
    <row r="630">
      <c r="B630" s="607"/>
      <c r="C630" s="139"/>
      <c r="D630" s="139"/>
      <c r="E630" s="303"/>
    </row>
    <row r="631">
      <c r="B631" s="607"/>
      <c r="C631" s="139"/>
      <c r="D631" s="139"/>
      <c r="E631" s="303"/>
    </row>
    <row r="632">
      <c r="B632" s="607"/>
      <c r="C632" s="139"/>
      <c r="D632" s="139"/>
      <c r="E632" s="303"/>
    </row>
    <row r="633">
      <c r="B633" s="607"/>
      <c r="C633" s="139"/>
      <c r="D633" s="139"/>
      <c r="E633" s="303"/>
    </row>
    <row r="634">
      <c r="B634" s="607"/>
      <c r="C634" s="139"/>
      <c r="D634" s="139"/>
      <c r="E634" s="303"/>
    </row>
    <row r="635">
      <c r="B635" s="607"/>
      <c r="C635" s="139"/>
      <c r="D635" s="139"/>
      <c r="E635" s="303"/>
    </row>
    <row r="636">
      <c r="B636" s="607"/>
      <c r="C636" s="139"/>
      <c r="D636" s="139"/>
      <c r="E636" s="303"/>
    </row>
    <row r="637">
      <c r="B637" s="607"/>
      <c r="C637" s="139"/>
      <c r="D637" s="139"/>
      <c r="E637" s="303"/>
    </row>
    <row r="638">
      <c r="B638" s="607"/>
      <c r="C638" s="139"/>
      <c r="D638" s="139"/>
      <c r="E638" s="303"/>
    </row>
    <row r="639">
      <c r="B639" s="607"/>
      <c r="C639" s="139"/>
      <c r="D639" s="139"/>
      <c r="E639" s="303"/>
    </row>
    <row r="640">
      <c r="B640" s="607"/>
      <c r="C640" s="139"/>
      <c r="D640" s="139"/>
      <c r="E640" s="303"/>
    </row>
    <row r="641">
      <c r="B641" s="607"/>
      <c r="C641" s="139"/>
      <c r="D641" s="139"/>
      <c r="E641" s="303"/>
    </row>
    <row r="642">
      <c r="B642" s="607"/>
      <c r="C642" s="139"/>
      <c r="D642" s="139"/>
      <c r="E642" s="303"/>
    </row>
    <row r="643">
      <c r="B643" s="607"/>
      <c r="C643" s="139"/>
      <c r="D643" s="139"/>
      <c r="E643" s="303"/>
    </row>
    <row r="644">
      <c r="B644" s="607"/>
      <c r="C644" s="139"/>
      <c r="D644" s="139"/>
      <c r="E644" s="303"/>
    </row>
    <row r="645">
      <c r="B645" s="607"/>
      <c r="C645" s="139"/>
      <c r="D645" s="139"/>
      <c r="E645" s="303"/>
    </row>
    <row r="646">
      <c r="B646" s="607"/>
      <c r="C646" s="139"/>
      <c r="D646" s="139"/>
      <c r="E646" s="303"/>
    </row>
    <row r="647">
      <c r="B647" s="607"/>
      <c r="C647" s="139"/>
      <c r="D647" s="139"/>
      <c r="E647" s="303"/>
    </row>
    <row r="648">
      <c r="B648" s="607"/>
      <c r="C648" s="139"/>
      <c r="D648" s="139"/>
      <c r="E648" s="303"/>
    </row>
    <row r="649">
      <c r="B649" s="607"/>
      <c r="C649" s="139"/>
      <c r="D649" s="139"/>
      <c r="E649" s="303"/>
    </row>
    <row r="650">
      <c r="B650" s="607"/>
      <c r="C650" s="139"/>
      <c r="D650" s="139"/>
      <c r="E650" s="303"/>
    </row>
    <row r="651">
      <c r="B651" s="607"/>
      <c r="C651" s="139"/>
      <c r="D651" s="139"/>
      <c r="E651" s="303"/>
    </row>
    <row r="652">
      <c r="B652" s="607"/>
      <c r="C652" s="139"/>
      <c r="D652" s="139"/>
      <c r="E652" s="303"/>
    </row>
    <row r="653">
      <c r="B653" s="607"/>
      <c r="C653" s="139"/>
      <c r="D653" s="139"/>
      <c r="E653" s="303"/>
    </row>
    <row r="654">
      <c r="B654" s="607"/>
      <c r="C654" s="139"/>
      <c r="D654" s="139"/>
      <c r="E654" s="303"/>
    </row>
    <row r="655">
      <c r="B655" s="607"/>
      <c r="C655" s="139"/>
      <c r="D655" s="139"/>
      <c r="E655" s="303"/>
    </row>
    <row r="656">
      <c r="B656" s="607"/>
      <c r="C656" s="139"/>
      <c r="D656" s="139"/>
      <c r="E656" s="303"/>
    </row>
    <row r="657">
      <c r="B657" s="607"/>
      <c r="C657" s="139"/>
      <c r="D657" s="139"/>
      <c r="E657" s="303"/>
    </row>
    <row r="658">
      <c r="B658" s="607"/>
      <c r="C658" s="139"/>
      <c r="D658" s="139"/>
      <c r="E658" s="303"/>
    </row>
    <row r="659">
      <c r="B659" s="607"/>
      <c r="C659" s="139"/>
      <c r="D659" s="139"/>
      <c r="E659" s="303"/>
    </row>
    <row r="660">
      <c r="B660" s="607"/>
      <c r="C660" s="139"/>
      <c r="D660" s="139"/>
      <c r="E660" s="303"/>
    </row>
    <row r="661">
      <c r="B661" s="607"/>
      <c r="C661" s="139"/>
      <c r="D661" s="139"/>
      <c r="E661" s="303"/>
    </row>
    <row r="662">
      <c r="B662" s="607"/>
      <c r="C662" s="139"/>
      <c r="D662" s="139"/>
      <c r="E662" s="303"/>
    </row>
    <row r="663">
      <c r="B663" s="607"/>
      <c r="C663" s="139"/>
      <c r="D663" s="139"/>
      <c r="E663" s="303"/>
    </row>
    <row r="664">
      <c r="B664" s="607"/>
      <c r="C664" s="139"/>
      <c r="D664" s="139"/>
      <c r="E664" s="303"/>
    </row>
    <row r="665">
      <c r="B665" s="607"/>
      <c r="C665" s="139"/>
      <c r="D665" s="139"/>
      <c r="E665" s="303"/>
    </row>
    <row r="666">
      <c r="B666" s="607"/>
      <c r="C666" s="139"/>
      <c r="D666" s="139"/>
      <c r="E666" s="303"/>
    </row>
    <row r="667">
      <c r="B667" s="607"/>
      <c r="C667" s="139"/>
      <c r="D667" s="139"/>
      <c r="E667" s="303"/>
    </row>
    <row r="668">
      <c r="B668" s="607"/>
      <c r="C668" s="139"/>
      <c r="D668" s="139"/>
      <c r="E668" s="303"/>
    </row>
    <row r="669">
      <c r="B669" s="607"/>
      <c r="C669" s="139"/>
      <c r="D669" s="139"/>
      <c r="E669" s="303"/>
    </row>
    <row r="670">
      <c r="B670" s="607"/>
      <c r="C670" s="139"/>
      <c r="D670" s="139"/>
      <c r="E670" s="303"/>
    </row>
    <row r="671">
      <c r="B671" s="607"/>
      <c r="C671" s="139"/>
      <c r="D671" s="139"/>
      <c r="E671" s="303"/>
    </row>
    <row r="672">
      <c r="B672" s="607"/>
      <c r="C672" s="139"/>
      <c r="D672" s="139"/>
      <c r="E672" s="303"/>
    </row>
    <row r="673">
      <c r="B673" s="607"/>
      <c r="C673" s="139"/>
      <c r="D673" s="139"/>
      <c r="E673" s="303"/>
    </row>
    <row r="674">
      <c r="B674" s="607"/>
      <c r="C674" s="139"/>
      <c r="D674" s="139"/>
      <c r="E674" s="303"/>
    </row>
    <row r="675">
      <c r="B675" s="607"/>
      <c r="C675" s="139"/>
      <c r="D675" s="139"/>
      <c r="E675" s="303"/>
    </row>
    <row r="676">
      <c r="B676" s="607"/>
      <c r="C676" s="139"/>
      <c r="D676" s="139"/>
      <c r="E676" s="303"/>
    </row>
    <row r="677">
      <c r="B677" s="607"/>
      <c r="C677" s="139"/>
      <c r="D677" s="139"/>
      <c r="E677" s="303"/>
    </row>
    <row r="678">
      <c r="B678" s="607"/>
      <c r="C678" s="139"/>
      <c r="D678" s="139"/>
      <c r="E678" s="303"/>
    </row>
    <row r="679">
      <c r="B679" s="607"/>
      <c r="C679" s="139"/>
      <c r="D679" s="139"/>
      <c r="E679" s="303"/>
    </row>
    <row r="680">
      <c r="B680" s="607"/>
      <c r="C680" s="139"/>
      <c r="D680" s="139"/>
      <c r="E680" s="303"/>
    </row>
    <row r="681">
      <c r="B681" s="607"/>
      <c r="C681" s="139"/>
      <c r="D681" s="139"/>
      <c r="E681" s="303"/>
    </row>
    <row r="682">
      <c r="B682" s="607"/>
      <c r="C682" s="139"/>
      <c r="D682" s="139"/>
      <c r="E682" s="303"/>
    </row>
    <row r="683">
      <c r="B683" s="607"/>
      <c r="C683" s="139"/>
      <c r="D683" s="139"/>
      <c r="E683" s="303"/>
    </row>
    <row r="684">
      <c r="B684" s="607"/>
      <c r="C684" s="139"/>
      <c r="D684" s="139"/>
      <c r="E684" s="303"/>
    </row>
    <row r="685">
      <c r="B685" s="607"/>
      <c r="C685" s="139"/>
      <c r="D685" s="139"/>
      <c r="E685" s="303"/>
    </row>
    <row r="686">
      <c r="B686" s="607"/>
      <c r="C686" s="139"/>
      <c r="D686" s="139"/>
      <c r="E686" s="303"/>
    </row>
    <row r="687">
      <c r="B687" s="607"/>
      <c r="C687" s="139"/>
      <c r="D687" s="139"/>
      <c r="E687" s="303"/>
    </row>
    <row r="688">
      <c r="B688" s="607"/>
      <c r="C688" s="139"/>
      <c r="D688" s="139"/>
      <c r="E688" s="303"/>
    </row>
    <row r="689">
      <c r="B689" s="607"/>
      <c r="C689" s="139"/>
      <c r="D689" s="139"/>
      <c r="E689" s="303"/>
    </row>
    <row r="690">
      <c r="B690" s="607"/>
      <c r="C690" s="139"/>
      <c r="D690" s="139"/>
      <c r="E690" s="303"/>
    </row>
    <row r="691">
      <c r="B691" s="607"/>
      <c r="C691" s="139"/>
      <c r="D691" s="139"/>
      <c r="E691" s="303"/>
    </row>
    <row r="692">
      <c r="B692" s="607"/>
      <c r="C692" s="139"/>
      <c r="D692" s="139"/>
      <c r="E692" s="303"/>
    </row>
    <row r="693">
      <c r="B693" s="607"/>
      <c r="C693" s="139"/>
      <c r="D693" s="139"/>
      <c r="E693" s="303"/>
    </row>
    <row r="694">
      <c r="B694" s="607"/>
      <c r="C694" s="139"/>
      <c r="D694" s="139"/>
      <c r="E694" s="303"/>
    </row>
    <row r="695">
      <c r="B695" s="607"/>
      <c r="C695" s="139"/>
      <c r="D695" s="139"/>
      <c r="E695" s="303"/>
    </row>
    <row r="696">
      <c r="B696" s="607"/>
      <c r="C696" s="139"/>
      <c r="D696" s="139"/>
      <c r="E696" s="303"/>
    </row>
    <row r="697">
      <c r="B697" s="607"/>
      <c r="C697" s="139"/>
      <c r="D697" s="139"/>
      <c r="E697" s="303"/>
    </row>
    <row r="698">
      <c r="B698" s="607"/>
      <c r="C698" s="139"/>
      <c r="D698" s="139"/>
      <c r="E698" s="303"/>
    </row>
    <row r="699">
      <c r="B699" s="607"/>
      <c r="C699" s="139"/>
      <c r="D699" s="139"/>
      <c r="E699" s="303"/>
    </row>
    <row r="700">
      <c r="B700" s="607"/>
      <c r="C700" s="139"/>
      <c r="D700" s="139"/>
      <c r="E700" s="303"/>
    </row>
    <row r="701">
      <c r="B701" s="607"/>
      <c r="C701" s="139"/>
      <c r="D701" s="139"/>
      <c r="E701" s="303"/>
    </row>
    <row r="702">
      <c r="B702" s="607"/>
      <c r="C702" s="139"/>
      <c r="D702" s="139"/>
      <c r="E702" s="303"/>
    </row>
    <row r="703">
      <c r="B703" s="607"/>
      <c r="C703" s="139"/>
      <c r="D703" s="139"/>
      <c r="E703" s="303"/>
    </row>
    <row r="704">
      <c r="B704" s="607"/>
      <c r="C704" s="139"/>
      <c r="D704" s="139"/>
      <c r="E704" s="303"/>
    </row>
    <row r="705">
      <c r="B705" s="607"/>
      <c r="C705" s="139"/>
      <c r="D705" s="139"/>
      <c r="E705" s="303"/>
    </row>
    <row r="706">
      <c r="B706" s="607"/>
      <c r="C706" s="139"/>
      <c r="D706" s="139"/>
      <c r="E706" s="303"/>
    </row>
    <row r="707">
      <c r="B707" s="607"/>
      <c r="C707" s="139"/>
      <c r="D707" s="139"/>
      <c r="E707" s="303"/>
    </row>
    <row r="708">
      <c r="B708" s="607"/>
      <c r="C708" s="139"/>
      <c r="D708" s="139"/>
      <c r="E708" s="303"/>
    </row>
    <row r="709">
      <c r="B709" s="607"/>
      <c r="C709" s="139"/>
      <c r="D709" s="139"/>
      <c r="E709" s="303"/>
    </row>
    <row r="710">
      <c r="B710" s="607"/>
      <c r="C710" s="139"/>
      <c r="D710" s="139"/>
      <c r="E710" s="303"/>
    </row>
    <row r="711">
      <c r="B711" s="607"/>
      <c r="C711" s="139"/>
      <c r="D711" s="139"/>
      <c r="E711" s="303"/>
    </row>
    <row r="712">
      <c r="B712" s="607"/>
      <c r="C712" s="139"/>
      <c r="D712" s="139"/>
      <c r="E712" s="303"/>
    </row>
    <row r="713">
      <c r="B713" s="607"/>
      <c r="C713" s="139"/>
      <c r="D713" s="139"/>
      <c r="E713" s="303"/>
    </row>
    <row r="714">
      <c r="B714" s="607"/>
      <c r="C714" s="139"/>
      <c r="D714" s="139"/>
      <c r="E714" s="303"/>
    </row>
    <row r="715">
      <c r="B715" s="607"/>
      <c r="C715" s="139"/>
      <c r="D715" s="139"/>
      <c r="E715" s="303"/>
    </row>
    <row r="716">
      <c r="B716" s="607"/>
      <c r="C716" s="139"/>
      <c r="D716" s="139"/>
      <c r="E716" s="303"/>
    </row>
    <row r="717">
      <c r="B717" s="607"/>
      <c r="C717" s="139"/>
      <c r="D717" s="139"/>
      <c r="E717" s="303"/>
    </row>
    <row r="718">
      <c r="B718" s="607"/>
      <c r="C718" s="139"/>
      <c r="D718" s="139"/>
      <c r="E718" s="303"/>
    </row>
    <row r="719">
      <c r="B719" s="607"/>
      <c r="C719" s="139"/>
      <c r="D719" s="139"/>
      <c r="E719" s="303"/>
    </row>
    <row r="720">
      <c r="B720" s="607"/>
      <c r="C720" s="139"/>
      <c r="D720" s="139"/>
      <c r="E720" s="303"/>
    </row>
    <row r="721">
      <c r="B721" s="607"/>
      <c r="C721" s="139"/>
      <c r="D721" s="139"/>
      <c r="E721" s="303"/>
    </row>
    <row r="722">
      <c r="B722" s="607"/>
      <c r="C722" s="139"/>
      <c r="D722" s="139"/>
      <c r="E722" s="303"/>
    </row>
    <row r="723">
      <c r="B723" s="607"/>
      <c r="C723" s="139"/>
      <c r="D723" s="139"/>
      <c r="E723" s="303"/>
    </row>
    <row r="724">
      <c r="B724" s="607"/>
      <c r="C724" s="139"/>
      <c r="D724" s="139"/>
      <c r="E724" s="303"/>
    </row>
    <row r="725">
      <c r="B725" s="607"/>
      <c r="C725" s="139"/>
      <c r="D725" s="139"/>
      <c r="E725" s="303"/>
    </row>
    <row r="726">
      <c r="B726" s="607"/>
      <c r="C726" s="139"/>
      <c r="D726" s="139"/>
      <c r="E726" s="303"/>
    </row>
    <row r="727">
      <c r="B727" s="607"/>
      <c r="C727" s="139"/>
      <c r="D727" s="139"/>
      <c r="E727" s="303"/>
    </row>
    <row r="728">
      <c r="B728" s="607"/>
      <c r="C728" s="139"/>
      <c r="D728" s="139"/>
      <c r="E728" s="303"/>
    </row>
    <row r="729">
      <c r="B729" s="607"/>
      <c r="C729" s="139"/>
      <c r="D729" s="139"/>
      <c r="E729" s="303"/>
    </row>
    <row r="730">
      <c r="B730" s="607"/>
      <c r="C730" s="139"/>
      <c r="D730" s="139"/>
      <c r="E730" s="303"/>
    </row>
    <row r="731">
      <c r="B731" s="607"/>
      <c r="C731" s="139"/>
      <c r="D731" s="139"/>
      <c r="E731" s="303"/>
    </row>
    <row r="732">
      <c r="B732" s="607"/>
      <c r="C732" s="139"/>
      <c r="D732" s="139"/>
      <c r="E732" s="303"/>
    </row>
    <row r="733">
      <c r="B733" s="607"/>
      <c r="C733" s="139"/>
      <c r="D733" s="139"/>
      <c r="E733" s="303"/>
    </row>
    <row r="734">
      <c r="B734" s="607"/>
      <c r="C734" s="139"/>
      <c r="D734" s="139"/>
      <c r="E734" s="303"/>
    </row>
    <row r="735">
      <c r="B735" s="607"/>
      <c r="C735" s="139"/>
      <c r="D735" s="139"/>
      <c r="E735" s="303"/>
    </row>
    <row r="736">
      <c r="B736" s="607"/>
      <c r="C736" s="139"/>
      <c r="D736" s="139"/>
      <c r="E736" s="303"/>
    </row>
    <row r="737">
      <c r="B737" s="607"/>
      <c r="C737" s="139"/>
      <c r="D737" s="139"/>
      <c r="E737" s="303"/>
    </row>
    <row r="738">
      <c r="B738" s="607"/>
      <c r="C738" s="139"/>
      <c r="D738" s="139"/>
      <c r="E738" s="303"/>
    </row>
    <row r="739">
      <c r="B739" s="607"/>
      <c r="C739" s="139"/>
      <c r="D739" s="139"/>
      <c r="E739" s="303"/>
    </row>
    <row r="740">
      <c r="B740" s="607"/>
      <c r="C740" s="139"/>
      <c r="D740" s="139"/>
      <c r="E740" s="303"/>
    </row>
    <row r="741">
      <c r="B741" s="607"/>
      <c r="C741" s="139"/>
      <c r="D741" s="139"/>
      <c r="E741" s="303"/>
    </row>
    <row r="742">
      <c r="B742" s="607"/>
      <c r="C742" s="139"/>
      <c r="D742" s="139"/>
      <c r="E742" s="303"/>
    </row>
    <row r="743">
      <c r="B743" s="607"/>
      <c r="C743" s="139"/>
      <c r="D743" s="139"/>
      <c r="E743" s="303"/>
    </row>
    <row r="744">
      <c r="B744" s="607"/>
      <c r="C744" s="139"/>
      <c r="D744" s="139"/>
      <c r="E744" s="303"/>
    </row>
    <row r="745">
      <c r="B745" s="607"/>
      <c r="C745" s="139"/>
      <c r="D745" s="139"/>
      <c r="E745" s="303"/>
    </row>
    <row r="746">
      <c r="B746" s="607"/>
      <c r="C746" s="139"/>
      <c r="D746" s="139"/>
      <c r="E746" s="303"/>
    </row>
    <row r="747">
      <c r="B747" s="607"/>
      <c r="C747" s="139"/>
      <c r="D747" s="139"/>
      <c r="E747" s="303"/>
    </row>
    <row r="748">
      <c r="B748" s="607"/>
      <c r="C748" s="139"/>
      <c r="D748" s="139"/>
      <c r="E748" s="303"/>
    </row>
    <row r="749">
      <c r="B749" s="607"/>
      <c r="C749" s="139"/>
      <c r="D749" s="139"/>
      <c r="E749" s="303"/>
    </row>
    <row r="750">
      <c r="B750" s="607"/>
      <c r="C750" s="139"/>
      <c r="D750" s="139"/>
      <c r="E750" s="303"/>
    </row>
    <row r="751">
      <c r="B751" s="607"/>
      <c r="C751" s="139"/>
      <c r="D751" s="139"/>
      <c r="E751" s="303"/>
    </row>
    <row r="752">
      <c r="B752" s="607"/>
      <c r="C752" s="139"/>
      <c r="D752" s="139"/>
      <c r="E752" s="303"/>
    </row>
    <row r="753">
      <c r="B753" s="607"/>
      <c r="C753" s="139"/>
      <c r="D753" s="139"/>
      <c r="E753" s="303"/>
    </row>
    <row r="754">
      <c r="B754" s="607"/>
      <c r="C754" s="139"/>
      <c r="D754" s="139"/>
      <c r="E754" s="303"/>
    </row>
    <row r="755">
      <c r="B755" s="607"/>
      <c r="C755" s="139"/>
      <c r="D755" s="139"/>
      <c r="E755" s="303"/>
    </row>
    <row r="756">
      <c r="B756" s="607"/>
      <c r="C756" s="139"/>
      <c r="D756" s="139"/>
      <c r="E756" s="303"/>
    </row>
    <row r="757">
      <c r="B757" s="607"/>
      <c r="C757" s="139"/>
      <c r="D757" s="139"/>
      <c r="E757" s="303"/>
    </row>
    <row r="758">
      <c r="B758" s="607"/>
      <c r="C758" s="139"/>
      <c r="D758" s="139"/>
      <c r="E758" s="303"/>
    </row>
    <row r="759">
      <c r="B759" s="607"/>
      <c r="C759" s="139"/>
      <c r="D759" s="139"/>
      <c r="E759" s="303"/>
    </row>
    <row r="760">
      <c r="B760" s="607"/>
      <c r="C760" s="139"/>
      <c r="D760" s="139"/>
      <c r="E760" s="303"/>
    </row>
    <row r="761">
      <c r="B761" s="607"/>
      <c r="C761" s="139"/>
      <c r="D761" s="139"/>
      <c r="E761" s="303"/>
    </row>
    <row r="762">
      <c r="B762" s="607"/>
      <c r="C762" s="139"/>
      <c r="D762" s="139"/>
      <c r="E762" s="303"/>
    </row>
    <row r="763">
      <c r="B763" s="607"/>
      <c r="C763" s="139"/>
      <c r="D763" s="139"/>
      <c r="E763" s="303"/>
    </row>
    <row r="764">
      <c r="B764" s="607"/>
      <c r="C764" s="139"/>
      <c r="D764" s="139"/>
      <c r="E764" s="303"/>
    </row>
    <row r="765">
      <c r="B765" s="607"/>
      <c r="C765" s="139"/>
      <c r="D765" s="139"/>
      <c r="E765" s="303"/>
    </row>
    <row r="766">
      <c r="B766" s="607"/>
      <c r="C766" s="139"/>
      <c r="D766" s="139"/>
      <c r="E766" s="303"/>
    </row>
    <row r="767">
      <c r="B767" s="607"/>
      <c r="C767" s="139"/>
      <c r="D767" s="139"/>
      <c r="E767" s="303"/>
    </row>
    <row r="768">
      <c r="B768" s="607"/>
      <c r="C768" s="139"/>
      <c r="D768" s="139"/>
      <c r="E768" s="303"/>
    </row>
    <row r="769">
      <c r="B769" s="607"/>
      <c r="C769" s="139"/>
      <c r="D769" s="139"/>
      <c r="E769" s="303"/>
    </row>
    <row r="770">
      <c r="B770" s="607"/>
      <c r="C770" s="139"/>
      <c r="D770" s="139"/>
      <c r="E770" s="303"/>
    </row>
    <row r="771">
      <c r="B771" s="607"/>
      <c r="C771" s="139"/>
      <c r="D771" s="139"/>
      <c r="E771" s="303"/>
    </row>
    <row r="772">
      <c r="B772" s="607"/>
      <c r="C772" s="139"/>
      <c r="D772" s="139"/>
      <c r="E772" s="303"/>
    </row>
    <row r="773">
      <c r="B773" s="607"/>
      <c r="C773" s="139"/>
      <c r="D773" s="139"/>
      <c r="E773" s="303"/>
    </row>
    <row r="774">
      <c r="B774" s="607"/>
      <c r="C774" s="139"/>
      <c r="D774" s="139"/>
      <c r="E774" s="303"/>
    </row>
    <row r="775">
      <c r="B775" s="607"/>
      <c r="C775" s="139"/>
      <c r="D775" s="139"/>
      <c r="E775" s="303"/>
    </row>
    <row r="776">
      <c r="B776" s="607"/>
      <c r="C776" s="139"/>
      <c r="D776" s="139"/>
      <c r="E776" s="303"/>
    </row>
    <row r="777">
      <c r="B777" s="607"/>
      <c r="C777" s="139"/>
      <c r="D777" s="139"/>
      <c r="E777" s="303"/>
    </row>
    <row r="778">
      <c r="B778" s="607"/>
      <c r="C778" s="139"/>
      <c r="D778" s="139"/>
      <c r="E778" s="303"/>
    </row>
    <row r="779">
      <c r="B779" s="607"/>
      <c r="C779" s="139"/>
      <c r="D779" s="139"/>
      <c r="E779" s="303"/>
    </row>
    <row r="780">
      <c r="B780" s="607"/>
      <c r="C780" s="139"/>
      <c r="D780" s="139"/>
      <c r="E780" s="303"/>
    </row>
    <row r="781">
      <c r="B781" s="607"/>
      <c r="C781" s="139"/>
      <c r="D781" s="139"/>
      <c r="E781" s="303"/>
    </row>
    <row r="782">
      <c r="B782" s="607"/>
      <c r="C782" s="139"/>
      <c r="D782" s="139"/>
      <c r="E782" s="303"/>
    </row>
    <row r="783">
      <c r="B783" s="607"/>
      <c r="C783" s="139"/>
      <c r="D783" s="139"/>
      <c r="E783" s="303"/>
    </row>
    <row r="784">
      <c r="B784" s="607"/>
      <c r="C784" s="139"/>
      <c r="D784" s="139"/>
      <c r="E784" s="303"/>
    </row>
    <row r="785">
      <c r="B785" s="607"/>
      <c r="C785" s="139"/>
      <c r="D785" s="139"/>
      <c r="E785" s="303"/>
    </row>
    <row r="786">
      <c r="B786" s="607"/>
      <c r="C786" s="139"/>
      <c r="D786" s="139"/>
      <c r="E786" s="303"/>
    </row>
    <row r="787">
      <c r="B787" s="607"/>
      <c r="C787" s="139"/>
      <c r="D787" s="139"/>
      <c r="E787" s="303"/>
    </row>
    <row r="788">
      <c r="B788" s="607"/>
      <c r="C788" s="139"/>
      <c r="D788" s="139"/>
      <c r="E788" s="303"/>
    </row>
    <row r="789">
      <c r="B789" s="607"/>
      <c r="C789" s="139"/>
      <c r="D789" s="139"/>
      <c r="E789" s="303"/>
    </row>
    <row r="790">
      <c r="B790" s="607"/>
      <c r="C790" s="139"/>
      <c r="D790" s="139"/>
      <c r="E790" s="303"/>
    </row>
    <row r="791">
      <c r="B791" s="607"/>
      <c r="C791" s="139"/>
      <c r="D791" s="139"/>
      <c r="E791" s="303"/>
    </row>
    <row r="792">
      <c r="B792" s="607"/>
      <c r="C792" s="139"/>
      <c r="D792" s="139"/>
      <c r="E792" s="303"/>
    </row>
    <row r="793">
      <c r="B793" s="607"/>
      <c r="C793" s="139"/>
      <c r="D793" s="139"/>
      <c r="E793" s="303"/>
    </row>
    <row r="794">
      <c r="B794" s="607"/>
      <c r="C794" s="139"/>
      <c r="D794" s="139"/>
      <c r="E794" s="303"/>
    </row>
    <row r="795">
      <c r="B795" s="607"/>
      <c r="C795" s="139"/>
      <c r="D795" s="139"/>
      <c r="E795" s="303"/>
    </row>
    <row r="796">
      <c r="B796" s="607"/>
      <c r="C796" s="139"/>
      <c r="D796" s="139"/>
      <c r="E796" s="303"/>
    </row>
    <row r="797">
      <c r="B797" s="607"/>
      <c r="C797" s="139"/>
      <c r="D797" s="139"/>
      <c r="E797" s="303"/>
    </row>
    <row r="798">
      <c r="B798" s="607"/>
      <c r="C798" s="139"/>
      <c r="D798" s="139"/>
      <c r="E798" s="303"/>
    </row>
    <row r="799">
      <c r="B799" s="607"/>
      <c r="C799" s="139"/>
      <c r="D799" s="139"/>
      <c r="E799" s="303"/>
    </row>
    <row r="800">
      <c r="B800" s="607"/>
      <c r="C800" s="139"/>
      <c r="D800" s="139"/>
      <c r="E800" s="303"/>
    </row>
    <row r="801">
      <c r="B801" s="607"/>
      <c r="C801" s="139"/>
      <c r="D801" s="139"/>
      <c r="E801" s="303"/>
    </row>
    <row r="802">
      <c r="B802" s="607"/>
      <c r="C802" s="139"/>
      <c r="D802" s="139"/>
      <c r="E802" s="303"/>
    </row>
    <row r="803">
      <c r="B803" s="607"/>
      <c r="C803" s="139"/>
      <c r="D803" s="139"/>
      <c r="E803" s="303"/>
    </row>
    <row r="804">
      <c r="B804" s="607"/>
      <c r="C804" s="139"/>
      <c r="D804" s="139"/>
      <c r="E804" s="303"/>
    </row>
    <row r="805">
      <c r="B805" s="607"/>
      <c r="C805" s="139"/>
      <c r="D805" s="139"/>
      <c r="E805" s="303"/>
    </row>
    <row r="806">
      <c r="B806" s="607"/>
      <c r="C806" s="139"/>
      <c r="D806" s="139"/>
      <c r="E806" s="303"/>
    </row>
    <row r="807">
      <c r="B807" s="607"/>
      <c r="C807" s="139"/>
      <c r="D807" s="139"/>
      <c r="E807" s="303"/>
    </row>
    <row r="808">
      <c r="B808" s="607"/>
      <c r="C808" s="139"/>
      <c r="D808" s="139"/>
      <c r="E808" s="303"/>
    </row>
    <row r="809">
      <c r="B809" s="607"/>
      <c r="C809" s="139"/>
      <c r="D809" s="139"/>
      <c r="E809" s="303"/>
    </row>
    <row r="810">
      <c r="B810" s="607"/>
      <c r="C810" s="139"/>
      <c r="D810" s="139"/>
      <c r="E810" s="303"/>
    </row>
    <row r="811">
      <c r="B811" s="607"/>
      <c r="C811" s="139"/>
      <c r="D811" s="139"/>
      <c r="E811" s="303"/>
    </row>
    <row r="812">
      <c r="B812" s="607"/>
      <c r="C812" s="139"/>
      <c r="D812" s="139"/>
      <c r="E812" s="303"/>
    </row>
    <row r="813">
      <c r="B813" s="607"/>
      <c r="C813" s="139"/>
      <c r="D813" s="139"/>
      <c r="E813" s="303"/>
    </row>
    <row r="814">
      <c r="B814" s="607"/>
      <c r="C814" s="139"/>
      <c r="D814" s="139"/>
      <c r="E814" s="303"/>
    </row>
    <row r="815">
      <c r="B815" s="607"/>
      <c r="C815" s="139"/>
      <c r="D815" s="139"/>
      <c r="E815" s="303"/>
    </row>
    <row r="816">
      <c r="B816" s="607"/>
      <c r="C816" s="139"/>
      <c r="D816" s="139"/>
      <c r="E816" s="303"/>
    </row>
    <row r="817">
      <c r="B817" s="607"/>
      <c r="C817" s="139"/>
      <c r="D817" s="139"/>
      <c r="E817" s="303"/>
    </row>
    <row r="818">
      <c r="B818" s="607"/>
      <c r="C818" s="139"/>
      <c r="D818" s="139"/>
      <c r="E818" s="303"/>
    </row>
    <row r="819">
      <c r="B819" s="607"/>
      <c r="C819" s="139"/>
      <c r="D819" s="139"/>
      <c r="E819" s="303"/>
    </row>
    <row r="820">
      <c r="B820" s="607"/>
      <c r="C820" s="139"/>
      <c r="D820" s="139"/>
      <c r="E820" s="303"/>
    </row>
    <row r="821">
      <c r="B821" s="607"/>
      <c r="C821" s="139"/>
      <c r="D821" s="139"/>
      <c r="E821" s="303"/>
    </row>
    <row r="822">
      <c r="B822" s="607"/>
      <c r="C822" s="139"/>
      <c r="D822" s="139"/>
      <c r="E822" s="303"/>
    </row>
    <row r="823">
      <c r="B823" s="607"/>
      <c r="C823" s="139"/>
      <c r="D823" s="139"/>
      <c r="E823" s="303"/>
    </row>
    <row r="824">
      <c r="B824" s="607"/>
      <c r="C824" s="139"/>
      <c r="D824" s="139"/>
      <c r="E824" s="303"/>
    </row>
    <row r="825">
      <c r="B825" s="607"/>
      <c r="C825" s="139"/>
      <c r="D825" s="139"/>
      <c r="E825" s="303"/>
    </row>
    <row r="826">
      <c r="B826" s="607"/>
      <c r="C826" s="139"/>
      <c r="D826" s="139"/>
      <c r="E826" s="303"/>
    </row>
    <row r="827">
      <c r="B827" s="607"/>
      <c r="C827" s="139"/>
      <c r="D827" s="139"/>
      <c r="E827" s="303"/>
    </row>
    <row r="828">
      <c r="B828" s="607"/>
      <c r="C828" s="139"/>
      <c r="D828" s="139"/>
      <c r="E828" s="303"/>
    </row>
    <row r="829">
      <c r="B829" s="607"/>
      <c r="C829" s="139"/>
      <c r="D829" s="139"/>
      <c r="E829" s="303"/>
    </row>
    <row r="830">
      <c r="B830" s="607"/>
      <c r="C830" s="139"/>
      <c r="D830" s="139"/>
      <c r="E830" s="303"/>
    </row>
    <row r="831">
      <c r="B831" s="607"/>
      <c r="C831" s="139"/>
      <c r="D831" s="139"/>
      <c r="E831" s="303"/>
    </row>
    <row r="832">
      <c r="B832" s="607"/>
      <c r="C832" s="139"/>
      <c r="D832" s="139"/>
      <c r="E832" s="303"/>
    </row>
    <row r="833">
      <c r="B833" s="607"/>
      <c r="C833" s="139"/>
      <c r="D833" s="139"/>
      <c r="E833" s="303"/>
    </row>
    <row r="834">
      <c r="B834" s="607"/>
      <c r="C834" s="139"/>
      <c r="D834" s="139"/>
      <c r="E834" s="303"/>
    </row>
    <row r="835">
      <c r="B835" s="607"/>
      <c r="C835" s="139"/>
      <c r="D835" s="139"/>
      <c r="E835" s="303"/>
    </row>
    <row r="836">
      <c r="B836" s="607"/>
      <c r="C836" s="139"/>
      <c r="D836" s="139"/>
      <c r="E836" s="303"/>
    </row>
    <row r="837">
      <c r="B837" s="607"/>
      <c r="C837" s="139"/>
      <c r="D837" s="139"/>
      <c r="E837" s="303"/>
    </row>
    <row r="838">
      <c r="B838" s="607"/>
      <c r="C838" s="139"/>
      <c r="D838" s="139"/>
      <c r="E838" s="303"/>
    </row>
    <row r="839">
      <c r="B839" s="607"/>
      <c r="C839" s="139"/>
      <c r="D839" s="139"/>
      <c r="E839" s="303"/>
    </row>
    <row r="840">
      <c r="B840" s="607"/>
      <c r="C840" s="139"/>
      <c r="D840" s="139"/>
      <c r="E840" s="303"/>
    </row>
    <row r="841">
      <c r="B841" s="607"/>
      <c r="C841" s="139"/>
      <c r="D841" s="139"/>
      <c r="E841" s="303"/>
    </row>
    <row r="842">
      <c r="B842" s="607"/>
      <c r="C842" s="139"/>
      <c r="D842" s="139"/>
      <c r="E842" s="303"/>
    </row>
    <row r="843">
      <c r="B843" s="607"/>
      <c r="C843" s="139"/>
      <c r="D843" s="139"/>
      <c r="E843" s="303"/>
    </row>
    <row r="844">
      <c r="B844" s="607"/>
      <c r="C844" s="139"/>
      <c r="D844" s="139"/>
      <c r="E844" s="303"/>
    </row>
    <row r="845">
      <c r="B845" s="607"/>
      <c r="C845" s="139"/>
      <c r="D845" s="139"/>
      <c r="E845" s="303"/>
    </row>
    <row r="846">
      <c r="B846" s="607"/>
      <c r="C846" s="139"/>
      <c r="D846" s="139"/>
      <c r="E846" s="303"/>
    </row>
    <row r="847">
      <c r="B847" s="607"/>
      <c r="C847" s="139"/>
      <c r="D847" s="139"/>
      <c r="E847" s="303"/>
    </row>
    <row r="848">
      <c r="B848" s="607"/>
      <c r="C848" s="139"/>
      <c r="D848" s="139"/>
      <c r="E848" s="303"/>
    </row>
    <row r="849">
      <c r="B849" s="607"/>
      <c r="C849" s="139"/>
      <c r="D849" s="139"/>
      <c r="E849" s="303"/>
    </row>
    <row r="850">
      <c r="B850" s="607"/>
      <c r="C850" s="139"/>
      <c r="D850" s="139"/>
      <c r="E850" s="303"/>
    </row>
    <row r="851">
      <c r="B851" s="607"/>
      <c r="C851" s="139"/>
      <c r="D851" s="139"/>
      <c r="E851" s="303"/>
    </row>
    <row r="852">
      <c r="B852" s="607"/>
      <c r="C852" s="139"/>
      <c r="D852" s="139"/>
      <c r="E852" s="303"/>
    </row>
    <row r="853">
      <c r="B853" s="607"/>
      <c r="C853" s="139"/>
      <c r="D853" s="139"/>
      <c r="E853" s="303"/>
    </row>
    <row r="854">
      <c r="B854" s="607"/>
      <c r="C854" s="139"/>
      <c r="D854" s="139"/>
      <c r="E854" s="303"/>
    </row>
    <row r="855">
      <c r="B855" s="607"/>
      <c r="C855" s="139"/>
      <c r="D855" s="139"/>
      <c r="E855" s="303"/>
    </row>
    <row r="856">
      <c r="B856" s="607"/>
      <c r="C856" s="139"/>
      <c r="D856" s="139"/>
      <c r="E856" s="303"/>
    </row>
    <row r="857">
      <c r="B857" s="607"/>
      <c r="C857" s="139"/>
      <c r="D857" s="139"/>
      <c r="E857" s="303"/>
    </row>
    <row r="858">
      <c r="B858" s="607"/>
      <c r="C858" s="139"/>
      <c r="D858" s="139"/>
      <c r="E858" s="303"/>
    </row>
    <row r="859">
      <c r="B859" s="607"/>
      <c r="C859" s="139"/>
      <c r="D859" s="139"/>
      <c r="E859" s="303"/>
    </row>
    <row r="860">
      <c r="B860" s="607"/>
      <c r="C860" s="139"/>
      <c r="D860" s="139"/>
      <c r="E860" s="303"/>
    </row>
    <row r="861">
      <c r="B861" s="607"/>
      <c r="C861" s="139"/>
      <c r="D861" s="139"/>
      <c r="E861" s="303"/>
    </row>
    <row r="862">
      <c r="B862" s="607"/>
      <c r="C862" s="139"/>
      <c r="D862" s="139"/>
      <c r="E862" s="303"/>
    </row>
    <row r="863">
      <c r="B863" s="607"/>
      <c r="C863" s="139"/>
      <c r="D863" s="139"/>
      <c r="E863" s="303"/>
    </row>
    <row r="864">
      <c r="B864" s="607"/>
      <c r="C864" s="139"/>
      <c r="D864" s="139"/>
      <c r="E864" s="303"/>
    </row>
    <row r="865">
      <c r="B865" s="607"/>
      <c r="C865" s="139"/>
      <c r="D865" s="139"/>
      <c r="E865" s="303"/>
    </row>
    <row r="866">
      <c r="B866" s="607"/>
      <c r="C866" s="139"/>
      <c r="D866" s="139"/>
      <c r="E866" s="303"/>
    </row>
    <row r="867">
      <c r="B867" s="607"/>
      <c r="C867" s="139"/>
      <c r="D867" s="139"/>
      <c r="E867" s="303"/>
    </row>
    <row r="868">
      <c r="B868" s="607"/>
      <c r="C868" s="139"/>
      <c r="D868" s="139"/>
      <c r="E868" s="303"/>
    </row>
    <row r="869">
      <c r="B869" s="607"/>
      <c r="C869" s="139"/>
      <c r="D869" s="139"/>
      <c r="E869" s="303"/>
    </row>
    <row r="870">
      <c r="B870" s="607"/>
      <c r="C870" s="139"/>
      <c r="D870" s="139"/>
      <c r="E870" s="303"/>
    </row>
    <row r="871">
      <c r="B871" s="607"/>
      <c r="C871" s="139"/>
      <c r="D871" s="139"/>
      <c r="E871" s="303"/>
    </row>
    <row r="872">
      <c r="B872" s="607"/>
      <c r="C872" s="139"/>
      <c r="D872" s="139"/>
      <c r="E872" s="303"/>
    </row>
    <row r="873">
      <c r="B873" s="607"/>
      <c r="C873" s="139"/>
      <c r="D873" s="139"/>
      <c r="E873" s="303"/>
    </row>
    <row r="874">
      <c r="B874" s="607"/>
      <c r="C874" s="139"/>
      <c r="D874" s="139"/>
      <c r="E874" s="303"/>
    </row>
    <row r="875">
      <c r="B875" s="607"/>
      <c r="C875" s="139"/>
      <c r="D875" s="139"/>
      <c r="E875" s="303"/>
    </row>
    <row r="876">
      <c r="B876" s="607"/>
      <c r="C876" s="139"/>
      <c r="D876" s="139"/>
      <c r="E876" s="303"/>
    </row>
    <row r="877">
      <c r="B877" s="607"/>
      <c r="C877" s="139"/>
      <c r="D877" s="139"/>
      <c r="E877" s="303"/>
    </row>
    <row r="878">
      <c r="B878" s="607"/>
      <c r="C878" s="139"/>
      <c r="D878" s="139"/>
      <c r="E878" s="303"/>
    </row>
    <row r="879">
      <c r="B879" s="607"/>
      <c r="C879" s="139"/>
      <c r="D879" s="139"/>
      <c r="E879" s="303"/>
    </row>
    <row r="880">
      <c r="B880" s="607"/>
      <c r="C880" s="139"/>
      <c r="D880" s="139"/>
      <c r="E880" s="303"/>
    </row>
    <row r="881">
      <c r="B881" s="607"/>
      <c r="C881" s="139"/>
      <c r="D881" s="139"/>
      <c r="E881" s="303"/>
    </row>
    <row r="882">
      <c r="B882" s="607"/>
      <c r="C882" s="139"/>
      <c r="D882" s="139"/>
      <c r="E882" s="303"/>
    </row>
    <row r="883">
      <c r="B883" s="607"/>
      <c r="C883" s="139"/>
      <c r="D883" s="139"/>
      <c r="E883" s="303"/>
    </row>
    <row r="884">
      <c r="B884" s="607"/>
      <c r="C884" s="139"/>
      <c r="D884" s="139"/>
      <c r="E884" s="303"/>
    </row>
    <row r="885">
      <c r="B885" s="607"/>
      <c r="C885" s="139"/>
      <c r="D885" s="139"/>
      <c r="E885" s="303"/>
    </row>
    <row r="886">
      <c r="B886" s="607"/>
      <c r="C886" s="139"/>
      <c r="D886" s="139"/>
      <c r="E886" s="303"/>
    </row>
    <row r="887">
      <c r="B887" s="607"/>
      <c r="C887" s="139"/>
      <c r="D887" s="139"/>
      <c r="E887" s="303"/>
    </row>
    <row r="888">
      <c r="B888" s="607"/>
      <c r="C888" s="139"/>
      <c r="D888" s="139"/>
      <c r="E888" s="303"/>
    </row>
    <row r="889">
      <c r="B889" s="607"/>
      <c r="C889" s="139"/>
      <c r="D889" s="139"/>
      <c r="E889" s="303"/>
    </row>
    <row r="890">
      <c r="B890" s="607"/>
      <c r="C890" s="139"/>
      <c r="D890" s="139"/>
      <c r="E890" s="303"/>
    </row>
    <row r="891">
      <c r="B891" s="607"/>
      <c r="C891" s="139"/>
      <c r="D891" s="139"/>
      <c r="E891" s="303"/>
    </row>
    <row r="892">
      <c r="B892" s="607"/>
      <c r="C892" s="139"/>
      <c r="D892" s="139"/>
      <c r="E892" s="303"/>
    </row>
    <row r="893">
      <c r="B893" s="607"/>
      <c r="C893" s="139"/>
      <c r="D893" s="139"/>
      <c r="E893" s="303"/>
    </row>
    <row r="894">
      <c r="B894" s="607"/>
      <c r="C894" s="139"/>
      <c r="D894" s="139"/>
      <c r="E894" s="303"/>
    </row>
    <row r="895">
      <c r="B895" s="607"/>
      <c r="C895" s="139"/>
      <c r="D895" s="139"/>
      <c r="E895" s="303"/>
    </row>
    <row r="896">
      <c r="B896" s="607"/>
      <c r="C896" s="139"/>
      <c r="D896" s="139"/>
      <c r="E896" s="303"/>
    </row>
    <row r="897">
      <c r="B897" s="607"/>
      <c r="C897" s="139"/>
      <c r="D897" s="139"/>
      <c r="E897" s="303"/>
    </row>
    <row r="898">
      <c r="B898" s="607"/>
      <c r="C898" s="139"/>
      <c r="D898" s="139"/>
      <c r="E898" s="303"/>
    </row>
    <row r="899">
      <c r="B899" s="607"/>
      <c r="C899" s="139"/>
      <c r="D899" s="139"/>
      <c r="E899" s="303"/>
    </row>
    <row r="900">
      <c r="B900" s="607"/>
      <c r="C900" s="139"/>
      <c r="D900" s="139"/>
      <c r="E900" s="303"/>
    </row>
    <row r="901">
      <c r="B901" s="607"/>
      <c r="C901" s="139"/>
      <c r="D901" s="139"/>
      <c r="E901" s="303"/>
    </row>
    <row r="902">
      <c r="B902" s="607"/>
      <c r="C902" s="139"/>
      <c r="D902" s="139"/>
      <c r="E902" s="303"/>
    </row>
    <row r="903">
      <c r="B903" s="607"/>
      <c r="C903" s="139"/>
      <c r="D903" s="139"/>
      <c r="E903" s="303"/>
    </row>
    <row r="904">
      <c r="B904" s="607"/>
      <c r="C904" s="139"/>
      <c r="D904" s="139"/>
      <c r="E904" s="303"/>
    </row>
    <row r="905">
      <c r="B905" s="607"/>
      <c r="C905" s="139"/>
      <c r="D905" s="139"/>
      <c r="E905" s="303"/>
    </row>
    <row r="906">
      <c r="B906" s="607"/>
      <c r="C906" s="139"/>
      <c r="D906" s="139"/>
      <c r="E906" s="303"/>
    </row>
    <row r="907">
      <c r="B907" s="607"/>
      <c r="C907" s="139"/>
      <c r="D907" s="139"/>
      <c r="E907" s="303"/>
    </row>
    <row r="908">
      <c r="B908" s="607"/>
      <c r="C908" s="139"/>
      <c r="D908" s="139"/>
      <c r="E908" s="303"/>
    </row>
    <row r="909">
      <c r="B909" s="607"/>
      <c r="C909" s="139"/>
      <c r="D909" s="139"/>
      <c r="E909" s="303"/>
    </row>
    <row r="910">
      <c r="B910" s="607"/>
      <c r="C910" s="139"/>
      <c r="D910" s="139"/>
      <c r="E910" s="303"/>
    </row>
    <row r="911">
      <c r="B911" s="607"/>
      <c r="C911" s="139"/>
      <c r="D911" s="139"/>
      <c r="E911" s="303"/>
    </row>
    <row r="912">
      <c r="B912" s="607"/>
      <c r="C912" s="139"/>
      <c r="D912" s="139"/>
      <c r="E912" s="303"/>
    </row>
    <row r="913">
      <c r="B913" s="607"/>
      <c r="C913" s="139"/>
      <c r="D913" s="139"/>
      <c r="E913" s="303"/>
    </row>
    <row r="914">
      <c r="B914" s="607"/>
      <c r="C914" s="139"/>
      <c r="D914" s="139"/>
      <c r="E914" s="303"/>
    </row>
    <row r="915">
      <c r="B915" s="607"/>
      <c r="C915" s="139"/>
      <c r="D915" s="139"/>
      <c r="E915" s="303"/>
    </row>
    <row r="916">
      <c r="B916" s="607"/>
      <c r="C916" s="139"/>
      <c r="D916" s="139"/>
      <c r="E916" s="303"/>
    </row>
    <row r="917">
      <c r="B917" s="607"/>
      <c r="C917" s="139"/>
      <c r="D917" s="139"/>
      <c r="E917" s="303"/>
    </row>
    <row r="918">
      <c r="B918" s="607"/>
      <c r="C918" s="139"/>
      <c r="D918" s="139"/>
      <c r="E918" s="303"/>
    </row>
    <row r="919">
      <c r="B919" s="607"/>
      <c r="C919" s="139"/>
      <c r="D919" s="139"/>
      <c r="E919" s="303"/>
    </row>
    <row r="920">
      <c r="B920" s="607"/>
      <c r="C920" s="139"/>
      <c r="D920" s="139"/>
      <c r="E920" s="303"/>
    </row>
    <row r="921">
      <c r="B921" s="607"/>
      <c r="C921" s="139"/>
      <c r="D921" s="139"/>
      <c r="E921" s="303"/>
    </row>
    <row r="922">
      <c r="B922" s="607"/>
      <c r="C922" s="139"/>
      <c r="D922" s="139"/>
      <c r="E922" s="303"/>
    </row>
    <row r="923">
      <c r="B923" s="607"/>
      <c r="C923" s="139"/>
      <c r="D923" s="139"/>
      <c r="E923" s="303"/>
    </row>
    <row r="924">
      <c r="B924" s="607"/>
      <c r="C924" s="139"/>
      <c r="D924" s="139"/>
      <c r="E924" s="303"/>
    </row>
    <row r="925">
      <c r="B925" s="607"/>
      <c r="C925" s="139"/>
      <c r="D925" s="139"/>
      <c r="E925" s="303"/>
    </row>
    <row r="926">
      <c r="B926" s="607"/>
      <c r="C926" s="139"/>
      <c r="D926" s="139"/>
      <c r="E926" s="303"/>
    </row>
    <row r="927">
      <c r="B927" s="607"/>
      <c r="C927" s="139"/>
      <c r="D927" s="139"/>
      <c r="E927" s="303"/>
    </row>
    <row r="928">
      <c r="B928" s="607"/>
      <c r="C928" s="139"/>
      <c r="D928" s="139"/>
      <c r="E928" s="303"/>
    </row>
    <row r="929">
      <c r="B929" s="607"/>
      <c r="C929" s="139"/>
      <c r="D929" s="139"/>
      <c r="E929" s="303"/>
    </row>
    <row r="930">
      <c r="B930" s="607"/>
      <c r="C930" s="139"/>
      <c r="D930" s="139"/>
      <c r="E930" s="303"/>
    </row>
    <row r="931">
      <c r="B931" s="607"/>
      <c r="C931" s="139"/>
      <c r="D931" s="139"/>
      <c r="E931" s="303"/>
    </row>
    <row r="932">
      <c r="B932" s="607"/>
      <c r="C932" s="139"/>
      <c r="D932" s="139"/>
      <c r="E932" s="303"/>
    </row>
    <row r="933">
      <c r="B933" s="607"/>
      <c r="C933" s="139"/>
      <c r="D933" s="139"/>
      <c r="E933" s="303"/>
    </row>
    <row r="934">
      <c r="B934" s="607"/>
      <c r="C934" s="139"/>
      <c r="D934" s="139"/>
      <c r="E934" s="303"/>
    </row>
    <row r="935">
      <c r="B935" s="607"/>
      <c r="C935" s="139"/>
      <c r="D935" s="139"/>
      <c r="E935" s="303"/>
    </row>
    <row r="936">
      <c r="B936" s="607"/>
      <c r="C936" s="139"/>
      <c r="D936" s="139"/>
      <c r="E936" s="303"/>
    </row>
    <row r="937">
      <c r="B937" s="607"/>
      <c r="C937" s="139"/>
      <c r="D937" s="139"/>
      <c r="E937" s="303"/>
    </row>
    <row r="938">
      <c r="B938" s="607"/>
      <c r="C938" s="139"/>
      <c r="D938" s="139"/>
      <c r="E938" s="303"/>
    </row>
    <row r="939">
      <c r="B939" s="607"/>
      <c r="C939" s="139"/>
      <c r="D939" s="139"/>
      <c r="E939" s="303"/>
    </row>
    <row r="940">
      <c r="B940" s="607"/>
      <c r="C940" s="139"/>
      <c r="D940" s="139"/>
      <c r="E940" s="303"/>
    </row>
    <row r="941">
      <c r="B941" s="607"/>
      <c r="C941" s="139"/>
      <c r="D941" s="139"/>
      <c r="E941" s="303"/>
    </row>
    <row r="942">
      <c r="B942" s="607"/>
      <c r="C942" s="139"/>
      <c r="D942" s="139"/>
      <c r="E942" s="303"/>
    </row>
    <row r="943">
      <c r="B943" s="607"/>
      <c r="C943" s="139"/>
      <c r="D943" s="139"/>
      <c r="E943" s="303"/>
    </row>
    <row r="944">
      <c r="B944" s="607"/>
      <c r="C944" s="139"/>
      <c r="D944" s="139"/>
      <c r="E944" s="303"/>
    </row>
    <row r="945">
      <c r="B945" s="607"/>
      <c r="C945" s="139"/>
      <c r="D945" s="139"/>
      <c r="E945" s="303"/>
    </row>
    <row r="946">
      <c r="B946" s="607"/>
      <c r="C946" s="139"/>
      <c r="D946" s="139"/>
      <c r="E946" s="303"/>
    </row>
    <row r="947">
      <c r="B947" s="607"/>
      <c r="C947" s="139"/>
      <c r="D947" s="139"/>
      <c r="E947" s="303"/>
    </row>
    <row r="948">
      <c r="B948" s="607"/>
      <c r="C948" s="139"/>
      <c r="D948" s="139"/>
      <c r="E948" s="303"/>
    </row>
    <row r="949">
      <c r="B949" s="607"/>
      <c r="C949" s="139"/>
      <c r="D949" s="139"/>
      <c r="E949" s="303"/>
    </row>
    <row r="950">
      <c r="B950" s="607"/>
      <c r="C950" s="139"/>
      <c r="D950" s="139"/>
      <c r="E950" s="303"/>
    </row>
    <row r="951">
      <c r="B951" s="607"/>
      <c r="C951" s="139"/>
      <c r="D951" s="139"/>
      <c r="E951" s="303"/>
    </row>
    <row r="952">
      <c r="B952" s="607"/>
      <c r="C952" s="139"/>
      <c r="D952" s="139"/>
      <c r="E952" s="303"/>
    </row>
    <row r="953">
      <c r="B953" s="607"/>
      <c r="C953" s="139"/>
      <c r="D953" s="139"/>
      <c r="E953" s="303"/>
    </row>
    <row r="954">
      <c r="B954" s="607"/>
      <c r="C954" s="139"/>
      <c r="D954" s="139"/>
      <c r="E954" s="303"/>
    </row>
    <row r="955">
      <c r="B955" s="607"/>
      <c r="C955" s="139"/>
      <c r="D955" s="139"/>
      <c r="E955" s="303"/>
    </row>
    <row r="956">
      <c r="B956" s="607"/>
      <c r="C956" s="139"/>
      <c r="D956" s="139"/>
      <c r="E956" s="303"/>
    </row>
    <row r="957">
      <c r="B957" s="607"/>
      <c r="C957" s="139"/>
      <c r="D957" s="139"/>
      <c r="E957" s="303"/>
    </row>
    <row r="958">
      <c r="B958" s="607"/>
      <c r="C958" s="139"/>
      <c r="D958" s="139"/>
      <c r="E958" s="303"/>
    </row>
    <row r="959">
      <c r="B959" s="607"/>
      <c r="C959" s="139"/>
      <c r="D959" s="139"/>
      <c r="E959" s="303"/>
    </row>
    <row r="960">
      <c r="B960" s="607"/>
      <c r="C960" s="139"/>
      <c r="D960" s="139"/>
      <c r="E960" s="303"/>
    </row>
    <row r="961">
      <c r="B961" s="607"/>
      <c r="C961" s="139"/>
      <c r="D961" s="139"/>
      <c r="E961" s="303"/>
    </row>
    <row r="962">
      <c r="B962" s="607"/>
      <c r="C962" s="139"/>
      <c r="D962" s="139"/>
      <c r="E962" s="303"/>
    </row>
    <row r="963">
      <c r="B963" s="607"/>
      <c r="C963" s="139"/>
      <c r="D963" s="139"/>
      <c r="E963" s="303"/>
    </row>
    <row r="964">
      <c r="B964" s="607"/>
      <c r="C964" s="139"/>
      <c r="D964" s="139"/>
      <c r="E964" s="303"/>
    </row>
    <row r="965">
      <c r="B965" s="607"/>
      <c r="C965" s="139"/>
      <c r="D965" s="139"/>
      <c r="E965" s="303"/>
    </row>
    <row r="966">
      <c r="B966" s="607"/>
      <c r="C966" s="139"/>
      <c r="D966" s="139"/>
      <c r="E966" s="303"/>
    </row>
    <row r="967">
      <c r="B967" s="607"/>
      <c r="C967" s="139"/>
      <c r="D967" s="139"/>
      <c r="E967" s="303"/>
    </row>
    <row r="968">
      <c r="B968" s="607"/>
      <c r="C968" s="139"/>
      <c r="D968" s="139"/>
      <c r="E968" s="303"/>
    </row>
    <row r="969">
      <c r="B969" s="607"/>
      <c r="C969" s="139"/>
      <c r="D969" s="139"/>
      <c r="E969" s="303"/>
    </row>
    <row r="970">
      <c r="B970" s="607"/>
      <c r="C970" s="139"/>
      <c r="D970" s="139"/>
      <c r="E970" s="303"/>
    </row>
    <row r="971">
      <c r="B971" s="607"/>
      <c r="C971" s="139"/>
      <c r="D971" s="139"/>
      <c r="E971" s="303"/>
    </row>
    <row r="972">
      <c r="B972" s="607"/>
      <c r="C972" s="139"/>
      <c r="D972" s="139"/>
      <c r="E972" s="303"/>
    </row>
    <row r="973">
      <c r="B973" s="607"/>
      <c r="C973" s="139"/>
      <c r="D973" s="139"/>
      <c r="E973" s="303"/>
    </row>
    <row r="974">
      <c r="B974" s="607"/>
      <c r="C974" s="139"/>
      <c r="D974" s="139"/>
      <c r="E974" s="303"/>
    </row>
    <row r="975">
      <c r="B975" s="607"/>
      <c r="C975" s="139"/>
      <c r="D975" s="139"/>
      <c r="E975" s="303"/>
    </row>
    <row r="976">
      <c r="B976" s="607"/>
      <c r="C976" s="139"/>
      <c r="D976" s="139"/>
      <c r="E976" s="303"/>
    </row>
    <row r="977">
      <c r="B977" s="607"/>
      <c r="C977" s="139"/>
      <c r="D977" s="139"/>
      <c r="E977" s="303"/>
    </row>
    <row r="978">
      <c r="B978" s="607"/>
      <c r="C978" s="139"/>
      <c r="D978" s="139"/>
      <c r="E978" s="303"/>
    </row>
    <row r="979">
      <c r="B979" s="607"/>
      <c r="C979" s="139"/>
      <c r="D979" s="139"/>
      <c r="E979" s="303"/>
    </row>
    <row r="980">
      <c r="B980" s="607"/>
      <c r="C980" s="139"/>
      <c r="D980" s="139"/>
      <c r="E980" s="303"/>
    </row>
    <row r="981">
      <c r="B981" s="607"/>
      <c r="C981" s="139"/>
      <c r="D981" s="139"/>
      <c r="E981" s="303"/>
    </row>
    <row r="982">
      <c r="B982" s="607"/>
      <c r="C982" s="139"/>
      <c r="D982" s="139"/>
      <c r="E982" s="303"/>
    </row>
    <row r="983">
      <c r="B983" s="607"/>
      <c r="C983" s="139"/>
      <c r="D983" s="139"/>
      <c r="E983" s="303"/>
    </row>
    <row r="984">
      <c r="B984" s="607"/>
      <c r="C984" s="139"/>
      <c r="D984" s="139"/>
      <c r="E984" s="303"/>
    </row>
    <row r="985">
      <c r="B985" s="607"/>
      <c r="C985" s="139"/>
      <c r="D985" s="139"/>
      <c r="E985" s="303"/>
    </row>
    <row r="986">
      <c r="B986" s="607"/>
      <c r="C986" s="139"/>
      <c r="D986" s="139"/>
      <c r="E986" s="303"/>
    </row>
    <row r="987">
      <c r="B987" s="607"/>
      <c r="C987" s="139"/>
      <c r="D987" s="139"/>
      <c r="E987" s="303"/>
    </row>
    <row r="988">
      <c r="B988" s="607"/>
      <c r="C988" s="139"/>
      <c r="D988" s="139"/>
      <c r="E988" s="303"/>
    </row>
    <row r="989">
      <c r="B989" s="607"/>
      <c r="C989" s="139"/>
      <c r="D989" s="139"/>
      <c r="E989" s="303"/>
    </row>
    <row r="990">
      <c r="B990" s="607"/>
      <c r="C990" s="139"/>
      <c r="D990" s="139"/>
      <c r="E990" s="303"/>
    </row>
    <row r="991">
      <c r="B991" s="607"/>
      <c r="C991" s="139"/>
      <c r="D991" s="139"/>
      <c r="E991" s="303"/>
    </row>
    <row r="992">
      <c r="B992" s="607"/>
      <c r="C992" s="139"/>
      <c r="D992" s="139"/>
      <c r="E992" s="303"/>
    </row>
    <row r="993">
      <c r="B993" s="607"/>
      <c r="C993" s="139"/>
      <c r="D993" s="139"/>
      <c r="E993" s="303"/>
    </row>
    <row r="994">
      <c r="B994" s="607"/>
      <c r="C994" s="139"/>
      <c r="D994" s="139"/>
      <c r="E994" s="303"/>
    </row>
    <row r="995">
      <c r="B995" s="607"/>
      <c r="C995" s="139"/>
      <c r="D995" s="139"/>
      <c r="E995" s="303"/>
    </row>
    <row r="996">
      <c r="B996" s="607"/>
      <c r="C996" s="139"/>
      <c r="D996" s="139"/>
      <c r="E996" s="303"/>
    </row>
    <row r="997">
      <c r="B997" s="607"/>
      <c r="C997" s="139"/>
      <c r="D997" s="139"/>
      <c r="E997" s="303"/>
    </row>
    <row r="998">
      <c r="B998" s="607"/>
      <c r="C998" s="139"/>
      <c r="D998" s="139"/>
      <c r="E998" s="303"/>
    </row>
    <row r="999">
      <c r="B999" s="607"/>
      <c r="C999" s="139"/>
      <c r="D999" s="139"/>
      <c r="E999" s="303"/>
    </row>
    <row r="1000">
      <c r="B1000" s="607"/>
      <c r="C1000" s="139"/>
      <c r="D1000" s="139"/>
      <c r="E1000" s="303"/>
    </row>
    <row r="1001">
      <c r="B1001" s="607"/>
      <c r="C1001" s="139"/>
      <c r="D1001" s="139"/>
      <c r="E1001" s="303"/>
    </row>
    <row r="1002">
      <c r="B1002" s="607"/>
      <c r="C1002" s="139"/>
      <c r="D1002" s="139"/>
      <c r="E1002" s="303"/>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conditionalFormatting sqref="D1:D3 E4:E1002">
    <cfRule type="containsText" dxfId="1" priority="3" operator="containsText" text="Rep">
      <formula>NOT(ISERROR(SEARCH(("Rep"),(D1))))</formula>
    </cfRule>
  </conditionalFormatting>
  <conditionalFormatting sqref="D1:D3 E4:E1002">
    <cfRule type="containsText" dxfId="0" priority="4" operator="containsText" text="Dem">
      <formula>NOT(ISERROR(SEARCH(("Dem"),(D1))))</formula>
    </cfRule>
  </conditionalFormatting>
  <hyperlinks>
    <hyperlink r:id="rId1" ref="C4"/>
    <hyperlink r:id="rId2" ref="C5"/>
    <hyperlink r:id="rId3" ref="C6"/>
    <hyperlink r:id="rId4" ref="C7"/>
    <hyperlink r:id="rId5" ref="C8"/>
    <hyperlink r:id="rId6" ref="C9"/>
    <hyperlink r:id="rId7" ref="C10"/>
    <hyperlink r:id="rId8" ref="C11"/>
    <hyperlink r:id="rId9" ref="C12"/>
    <hyperlink r:id="rId10" ref="C13"/>
    <hyperlink r:id="rId11" ref="C14"/>
    <hyperlink r:id="rId12" ref="C15"/>
    <hyperlink r:id="rId13" ref="C16"/>
    <hyperlink r:id="rId14" ref="C17"/>
    <hyperlink r:id="rId15" ref="C18"/>
    <hyperlink r:id="rId16" ref="C19"/>
    <hyperlink r:id="rId17" ref="C20"/>
    <hyperlink r:id="rId18" ref="C21"/>
    <hyperlink r:id="rId19" ref="C22"/>
    <hyperlink r:id="rId20" ref="C23"/>
    <hyperlink r:id="rId21" ref="C24"/>
    <hyperlink r:id="rId22" ref="C25"/>
    <hyperlink r:id="rId23" ref="C26"/>
    <hyperlink r:id="rId24" ref="C27"/>
    <hyperlink r:id="rId25" ref="C28"/>
    <hyperlink r:id="rId26" ref="C29"/>
    <hyperlink r:id="rId27" ref="C30"/>
    <hyperlink r:id="rId28" ref="C31"/>
    <hyperlink r:id="rId29" ref="C32"/>
    <hyperlink r:id="rId30" ref="C33"/>
    <hyperlink r:id="rId31" ref="C34"/>
    <hyperlink r:id="rId32" ref="C35"/>
    <hyperlink r:id="rId33" ref="C36"/>
    <hyperlink r:id="rId34" ref="C37"/>
    <hyperlink r:id="rId35" ref="C38"/>
    <hyperlink r:id="rId36" ref="C39"/>
    <hyperlink r:id="rId37" ref="C40"/>
    <hyperlink r:id="rId38" ref="C41"/>
    <hyperlink r:id="rId39" ref="C42"/>
    <hyperlink r:id="rId40" ref="C43"/>
    <hyperlink r:id="rId41" ref="C44"/>
    <hyperlink r:id="rId42" ref="C45"/>
    <hyperlink r:id="rId43" ref="C46"/>
    <hyperlink r:id="rId44" ref="C48"/>
    <hyperlink r:id="rId45" ref="C49"/>
    <hyperlink r:id="rId46" ref="C50"/>
    <hyperlink r:id="rId47" ref="C51"/>
    <hyperlink r:id="rId48" ref="C52"/>
    <hyperlink r:id="rId49" ref="C53"/>
    <hyperlink r:id="rId50" ref="C54"/>
    <hyperlink r:id="rId51" ref="C55"/>
    <hyperlink r:id="rId52" ref="C56"/>
    <hyperlink r:id="rId53" ref="C57"/>
    <hyperlink r:id="rId54" ref="C58"/>
    <hyperlink r:id="rId55" ref="C59"/>
    <hyperlink r:id="rId56" ref="C60"/>
    <hyperlink r:id="rId57" ref="C61"/>
    <hyperlink r:id="rId58" ref="C62"/>
    <hyperlink r:id="rId59" ref="C63"/>
    <hyperlink r:id="rId60" ref="C64"/>
    <hyperlink r:id="rId61" ref="C65"/>
    <hyperlink r:id="rId62" ref="C66"/>
    <hyperlink r:id="rId63" ref="C67"/>
    <hyperlink r:id="rId64" ref="C68"/>
    <hyperlink r:id="rId65" ref="C69"/>
    <hyperlink r:id="rId66" ref="C70"/>
    <hyperlink r:id="rId67" ref="C71"/>
    <hyperlink r:id="rId68" ref="C72"/>
    <hyperlink r:id="rId69" ref="C73"/>
    <hyperlink r:id="rId70" ref="C74"/>
    <hyperlink r:id="rId71" ref="C75"/>
    <hyperlink r:id="rId72" ref="C76"/>
    <hyperlink r:id="rId73" ref="C77"/>
    <hyperlink r:id="rId74" ref="C78"/>
    <hyperlink r:id="rId75" ref="C79"/>
    <hyperlink r:id="rId76" ref="C80"/>
    <hyperlink r:id="rId77" ref="C81"/>
    <hyperlink r:id="rId78" ref="C82"/>
    <hyperlink r:id="rId79" ref="C83"/>
    <hyperlink r:id="rId80" ref="C84"/>
    <hyperlink r:id="rId81" ref="C85"/>
    <hyperlink r:id="rId82" ref="C86"/>
    <hyperlink r:id="rId83" ref="C87"/>
    <hyperlink r:id="rId84" ref="C88"/>
    <hyperlink r:id="rId85" ref="C89"/>
    <hyperlink r:id="rId86" ref="C90"/>
    <hyperlink r:id="rId87" ref="C91"/>
    <hyperlink r:id="rId88" ref="C92"/>
    <hyperlink r:id="rId89" ref="C93"/>
    <hyperlink r:id="rId90" ref="C94"/>
    <hyperlink r:id="rId91" ref="C95"/>
    <hyperlink r:id="rId92" ref="C96"/>
    <hyperlink r:id="rId93" ref="C97"/>
    <hyperlink r:id="rId94" ref="C98"/>
    <hyperlink r:id="rId95" ref="C99"/>
    <hyperlink r:id="rId96" ref="C100"/>
    <hyperlink r:id="rId97" ref="C101"/>
    <hyperlink r:id="rId98" ref="C102"/>
    <hyperlink r:id="rId99" ref="C103"/>
    <hyperlink r:id="rId100" ref="C104"/>
    <hyperlink r:id="rId101" ref="C105"/>
    <hyperlink r:id="rId102" ref="C106"/>
    <hyperlink r:id="rId103" ref="C107"/>
    <hyperlink r:id="rId104" ref="C108"/>
    <hyperlink r:id="rId105" ref="C109"/>
    <hyperlink r:id="rId106" ref="C110"/>
    <hyperlink r:id="rId107" ref="C111"/>
    <hyperlink r:id="rId108" ref="C112"/>
    <hyperlink r:id="rId109" ref="C113"/>
    <hyperlink r:id="rId110" ref="C114"/>
    <hyperlink r:id="rId111" ref="C115"/>
    <hyperlink r:id="rId112" ref="C117"/>
    <hyperlink r:id="rId113" ref="C118"/>
    <hyperlink r:id="rId114" ref="C119"/>
    <hyperlink r:id="rId115" ref="C120"/>
    <hyperlink r:id="rId116" ref="C121"/>
    <hyperlink r:id="rId117" ref="C122"/>
    <hyperlink r:id="rId118" ref="C123"/>
    <hyperlink r:id="rId119" ref="C124"/>
    <hyperlink r:id="rId120" ref="C125"/>
    <hyperlink r:id="rId121" ref="C127"/>
    <hyperlink r:id="rId122" ref="C128"/>
    <hyperlink r:id="rId123" ref="C129"/>
    <hyperlink r:id="rId124" ref="C130"/>
    <hyperlink r:id="rId125" ref="C131"/>
    <hyperlink r:id="rId126" ref="C132"/>
    <hyperlink r:id="rId127" ref="C133"/>
    <hyperlink r:id="rId128" ref="C134"/>
    <hyperlink r:id="rId129" ref="C135"/>
    <hyperlink r:id="rId130" ref="C136"/>
    <hyperlink r:id="rId131" ref="C137"/>
    <hyperlink r:id="rId132" ref="C138"/>
    <hyperlink r:id="rId133" ref="C139"/>
    <hyperlink r:id="rId134" ref="C140"/>
    <hyperlink r:id="rId135" ref="C141"/>
    <hyperlink r:id="rId136" ref="C142"/>
    <hyperlink r:id="rId137" ref="C143"/>
    <hyperlink r:id="rId138" ref="C144"/>
    <hyperlink r:id="rId139" ref="C145"/>
    <hyperlink r:id="rId140" ref="C146"/>
    <hyperlink r:id="rId141" ref="C147"/>
    <hyperlink r:id="rId142" ref="C148"/>
    <hyperlink r:id="rId143" ref="C149"/>
    <hyperlink r:id="rId144" ref="C150"/>
    <hyperlink r:id="rId145" ref="C152"/>
    <hyperlink r:id="rId146" ref="C153"/>
    <hyperlink r:id="rId147" ref="C154"/>
    <hyperlink r:id="rId148" ref="C155"/>
    <hyperlink r:id="rId149" ref="C156"/>
    <hyperlink r:id="rId150" ref="C157"/>
    <hyperlink r:id="rId151" ref="C158"/>
    <hyperlink r:id="rId152" ref="C159"/>
    <hyperlink r:id="rId153" ref="C160"/>
    <hyperlink r:id="rId154" ref="C161"/>
    <hyperlink r:id="rId155" ref="C162"/>
    <hyperlink r:id="rId156" ref="C163"/>
    <hyperlink r:id="rId157" ref="C164"/>
    <hyperlink r:id="rId158" ref="C165"/>
    <hyperlink r:id="rId159" ref="C166"/>
    <hyperlink r:id="rId160" ref="C167"/>
    <hyperlink r:id="rId161" ref="C168"/>
    <hyperlink r:id="rId162" ref="C169"/>
    <hyperlink r:id="rId163" ref="C170"/>
    <hyperlink r:id="rId164" ref="C171"/>
    <hyperlink r:id="rId165" ref="C172"/>
    <hyperlink r:id="rId166" ref="C173"/>
    <hyperlink r:id="rId167" ref="C174"/>
    <hyperlink r:id="rId168" ref="C175"/>
    <hyperlink r:id="rId169" ref="C176"/>
    <hyperlink r:id="rId170" ref="C177"/>
    <hyperlink r:id="rId171" ref="C178"/>
  </hyperlinks>
  <drawing r:id="rId17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outlineLevelRow="1"/>
  <cols>
    <col customWidth="1" min="6" max="6" width="32.43"/>
    <col customWidth="1" min="12" max="12" width="16.14"/>
    <col customWidth="1" min="13" max="13" width="36.57"/>
  </cols>
  <sheetData>
    <row r="1" ht="15.0" customHeight="1" outlineLevel="1">
      <c r="A1" s="1" t="s">
        <v>0</v>
      </c>
      <c r="B1" s="2" t="s">
        <v>1</v>
      </c>
      <c r="C1" s="2" t="s">
        <v>2</v>
      </c>
      <c r="D1" s="2" t="s">
        <v>2</v>
      </c>
      <c r="E1" s="3"/>
      <c r="F1" s="30" t="s">
        <v>1577</v>
      </c>
      <c r="G1" s="30" t="s">
        <v>4</v>
      </c>
      <c r="H1" s="30" t="s">
        <v>5</v>
      </c>
      <c r="I1" s="30" t="s">
        <v>6</v>
      </c>
      <c r="J1" s="30" t="s">
        <v>7</v>
      </c>
      <c r="K1" s="1"/>
      <c r="L1" s="7" t="s">
        <v>9</v>
      </c>
      <c r="N1" s="10" t="s">
        <v>14</v>
      </c>
      <c r="P1" s="167"/>
      <c r="Q1" s="167"/>
      <c r="R1" s="30"/>
      <c r="S1" s="20"/>
      <c r="T1" s="20"/>
      <c r="U1" s="20"/>
      <c r="V1" s="20"/>
      <c r="W1" s="20"/>
      <c r="X1" s="20"/>
      <c r="Y1" s="20"/>
      <c r="Z1" s="20"/>
      <c r="AA1" s="20"/>
      <c r="AB1" s="20"/>
      <c r="AC1" s="20"/>
      <c r="AD1" s="20"/>
    </row>
    <row r="2" ht="16.5" customHeight="1" outlineLevel="1">
      <c r="A2" s="21" t="s">
        <v>492</v>
      </c>
      <c r="B2" s="21" t="s">
        <v>3946</v>
      </c>
      <c r="C2" s="325" t="s">
        <v>7516</v>
      </c>
      <c r="D2" s="436"/>
      <c r="E2" s="3"/>
      <c r="F2" s="168">
        <v>43437.0</v>
      </c>
      <c r="G2" s="168">
        <v>43525.0</v>
      </c>
      <c r="H2" s="21">
        <f>G2-TODAY()</f>
        <v>-210</v>
      </c>
      <c r="I2" s="168">
        <v>43474.0</v>
      </c>
      <c r="J2" s="168">
        <v>43602.0</v>
      </c>
      <c r="K2" s="582"/>
      <c r="L2" s="26">
        <f>CountIFS($E:$E,"=Dem",$A:$A,"=House")</f>
        <v>47</v>
      </c>
      <c r="M2" s="28">
        <f>CountIFS($E:$E,"=Rep",$A:$A,"=House")</f>
        <v>115</v>
      </c>
      <c r="N2" s="26">
        <f>CountIFS($E:$E,"=Dem",$A:$A,"=Senate")</f>
        <v>10</v>
      </c>
      <c r="O2" s="28">
        <f>CountIFS($E:$E,"=Rep",$A:$A,"=Senate")</f>
        <v>24</v>
      </c>
      <c r="P2" s="167"/>
      <c r="Q2" s="167"/>
      <c r="R2" s="30"/>
      <c r="S2" s="20"/>
      <c r="T2" s="20"/>
      <c r="U2" s="20"/>
      <c r="V2" s="20"/>
      <c r="W2" s="20"/>
      <c r="X2" s="20"/>
      <c r="Y2" s="20"/>
      <c r="Z2" s="20"/>
      <c r="AA2" s="20"/>
      <c r="AB2" s="20"/>
      <c r="AC2" s="20"/>
      <c r="AD2" s="20"/>
    </row>
    <row r="3">
      <c r="A3" s="30" t="s">
        <v>29</v>
      </c>
      <c r="B3" s="30" t="s">
        <v>30</v>
      </c>
      <c r="C3" s="2" t="s">
        <v>31</v>
      </c>
      <c r="D3" s="2" t="s">
        <v>32</v>
      </c>
      <c r="E3" s="3" t="s">
        <v>33</v>
      </c>
      <c r="F3" s="1" t="s">
        <v>10</v>
      </c>
      <c r="G3" s="1"/>
      <c r="H3" s="1" t="s">
        <v>34</v>
      </c>
      <c r="I3" s="1" t="s">
        <v>34</v>
      </c>
      <c r="J3" s="1" t="s">
        <v>34</v>
      </c>
      <c r="K3" s="1" t="s">
        <v>35</v>
      </c>
      <c r="L3" s="19" t="s">
        <v>36</v>
      </c>
      <c r="M3" s="19" t="s">
        <v>37</v>
      </c>
      <c r="N3" s="19" t="s">
        <v>38</v>
      </c>
      <c r="O3" s="583" t="s">
        <v>39</v>
      </c>
      <c r="P3" s="11" t="s">
        <v>40</v>
      </c>
      <c r="Q3" s="11" t="s">
        <v>41</v>
      </c>
      <c r="R3" s="17" t="s">
        <v>42</v>
      </c>
      <c r="S3" s="20"/>
      <c r="T3" s="20"/>
      <c r="U3" s="20"/>
      <c r="V3" s="20"/>
      <c r="W3" s="20"/>
      <c r="X3" s="20"/>
      <c r="Y3" s="20"/>
      <c r="Z3" s="20"/>
      <c r="AA3" s="20"/>
      <c r="AB3" s="20"/>
      <c r="AC3" s="20"/>
      <c r="AD3" s="20"/>
    </row>
    <row r="4">
      <c r="A4" s="14" t="s">
        <v>44</v>
      </c>
      <c r="B4" s="31">
        <v>1.0</v>
      </c>
      <c r="C4" s="35" t="s">
        <v>241</v>
      </c>
      <c r="D4" s="35" t="s">
        <v>6445</v>
      </c>
      <c r="E4" s="51" t="s">
        <v>53</v>
      </c>
      <c r="F4" s="584"/>
      <c r="G4" s="14" t="s">
        <v>2667</v>
      </c>
      <c r="H4" s="14" t="s">
        <v>7533</v>
      </c>
      <c r="L4" s="585" t="s">
        <v>7534</v>
      </c>
      <c r="M4" s="586" t="s">
        <v>7536</v>
      </c>
      <c r="N4" s="587"/>
      <c r="O4" s="588">
        <v>2014.0</v>
      </c>
    </row>
    <row r="5">
      <c r="A5" s="14" t="s">
        <v>44</v>
      </c>
      <c r="B5" s="31">
        <v>2.0</v>
      </c>
      <c r="C5" s="35" t="s">
        <v>3526</v>
      </c>
      <c r="D5" s="35" t="s">
        <v>7542</v>
      </c>
      <c r="E5" s="51" t="s">
        <v>53</v>
      </c>
      <c r="F5" s="393" t="s">
        <v>7162</v>
      </c>
      <c r="G5" s="14" t="s">
        <v>7543</v>
      </c>
      <c r="L5" s="585" t="s">
        <v>7544</v>
      </c>
      <c r="M5" s="586" t="s">
        <v>7545</v>
      </c>
      <c r="N5" s="587"/>
      <c r="O5" s="588">
        <v>2014.0</v>
      </c>
    </row>
    <row r="6">
      <c r="A6" s="14" t="s">
        <v>44</v>
      </c>
      <c r="B6" s="31">
        <v>3.0</v>
      </c>
      <c r="C6" s="35" t="s">
        <v>100</v>
      </c>
      <c r="D6" s="35" t="s">
        <v>7546</v>
      </c>
      <c r="E6" s="51" t="s">
        <v>53</v>
      </c>
      <c r="F6" s="584"/>
      <c r="G6" s="14" t="s">
        <v>2184</v>
      </c>
      <c r="H6" s="14" t="s">
        <v>578</v>
      </c>
      <c r="L6" s="585" t="s">
        <v>7547</v>
      </c>
      <c r="M6" s="589" t="str">
        <f t="shared" ref="M6:M8" si="1">lower(concatenate(C6,".",D6,"@house.mo.gov"))</f>
        <v>danny.busick@house.mo.gov</v>
      </c>
      <c r="N6" s="587"/>
      <c r="O6" s="588">
        <v>2018.0</v>
      </c>
    </row>
    <row r="7">
      <c r="A7" s="14" t="s">
        <v>44</v>
      </c>
      <c r="B7" s="31">
        <v>4.0</v>
      </c>
      <c r="C7" s="35" t="s">
        <v>997</v>
      </c>
      <c r="D7" s="35" t="s">
        <v>5987</v>
      </c>
      <c r="E7" s="51" t="s">
        <v>53</v>
      </c>
      <c r="F7" s="584"/>
      <c r="G7" s="14" t="s">
        <v>7551</v>
      </c>
      <c r="H7" s="14" t="s">
        <v>7552</v>
      </c>
      <c r="I7" s="14" t="s">
        <v>578</v>
      </c>
      <c r="L7" s="585" t="s">
        <v>7553</v>
      </c>
      <c r="M7" s="589" t="str">
        <f t="shared" si="1"/>
        <v>greg.sharpe@house.mo.gov</v>
      </c>
      <c r="N7" s="587"/>
      <c r="O7" s="588">
        <v>2018.0</v>
      </c>
    </row>
    <row r="8">
      <c r="A8" s="14" t="s">
        <v>44</v>
      </c>
      <c r="B8" s="31">
        <v>5.0</v>
      </c>
      <c r="C8" s="35" t="s">
        <v>4971</v>
      </c>
      <c r="D8" s="35" t="s">
        <v>7554</v>
      </c>
      <c r="E8" s="51" t="s">
        <v>53</v>
      </c>
      <c r="F8" s="584"/>
      <c r="G8" s="14" t="s">
        <v>7533</v>
      </c>
      <c r="H8" s="14" t="s">
        <v>7555</v>
      </c>
      <c r="L8" s="585" t="s">
        <v>7556</v>
      </c>
      <c r="M8" s="589" t="str">
        <f t="shared" si="1"/>
        <v>louis.riggs@house.mo.gov</v>
      </c>
      <c r="N8" s="587"/>
      <c r="O8" s="588">
        <v>2018.0</v>
      </c>
    </row>
    <row r="9">
      <c r="A9" s="14" t="s">
        <v>44</v>
      </c>
      <c r="B9" s="31">
        <v>6.0</v>
      </c>
      <c r="C9" s="35" t="s">
        <v>225</v>
      </c>
      <c r="D9" s="35" t="s">
        <v>7560</v>
      </c>
      <c r="E9" s="51" t="s">
        <v>53</v>
      </c>
      <c r="F9" s="584"/>
      <c r="G9" s="14" t="s">
        <v>7562</v>
      </c>
      <c r="H9" s="14" t="s">
        <v>7563</v>
      </c>
      <c r="I9" s="14" t="s">
        <v>7564</v>
      </c>
      <c r="L9" s="585" t="s">
        <v>7565</v>
      </c>
      <c r="M9" s="586" t="s">
        <v>7566</v>
      </c>
      <c r="N9" s="587"/>
      <c r="O9" s="588">
        <v>2012.0</v>
      </c>
    </row>
    <row r="10">
      <c r="A10" s="14" t="s">
        <v>44</v>
      </c>
      <c r="B10" s="31">
        <v>7.0</v>
      </c>
      <c r="C10" s="35" t="s">
        <v>7567</v>
      </c>
      <c r="D10" s="35" t="s">
        <v>4384</v>
      </c>
      <c r="E10" s="51" t="s">
        <v>53</v>
      </c>
      <c r="F10" s="584"/>
      <c r="G10" s="14" t="s">
        <v>7569</v>
      </c>
      <c r="H10" s="14" t="s">
        <v>7570</v>
      </c>
      <c r="I10" s="14" t="s">
        <v>7533</v>
      </c>
      <c r="L10" s="585" t="s">
        <v>7571</v>
      </c>
      <c r="M10" s="586" t="s">
        <v>7572</v>
      </c>
      <c r="N10" s="587"/>
      <c r="O10" s="588">
        <v>2016.0</v>
      </c>
    </row>
    <row r="11">
      <c r="A11" s="14" t="s">
        <v>44</v>
      </c>
      <c r="B11" s="31">
        <v>8.0</v>
      </c>
      <c r="C11" s="35" t="s">
        <v>476</v>
      </c>
      <c r="D11" s="35" t="s">
        <v>7578</v>
      </c>
      <c r="E11" s="51" t="s">
        <v>53</v>
      </c>
      <c r="F11" s="584"/>
      <c r="G11" s="59" t="s">
        <v>7579</v>
      </c>
      <c r="H11" s="14" t="s">
        <v>7580</v>
      </c>
      <c r="I11" s="14" t="s">
        <v>7581</v>
      </c>
      <c r="L11" s="585" t="s">
        <v>7582</v>
      </c>
      <c r="M11" s="586" t="s">
        <v>7583</v>
      </c>
      <c r="N11" s="587"/>
      <c r="O11" s="588">
        <v>2012.0</v>
      </c>
    </row>
    <row r="12">
      <c r="A12" s="14" t="s">
        <v>44</v>
      </c>
      <c r="B12" s="164">
        <v>9.0</v>
      </c>
      <c r="C12" s="35" t="s">
        <v>3432</v>
      </c>
      <c r="D12" s="35" t="s">
        <v>7585</v>
      </c>
      <c r="E12" s="51" t="s">
        <v>53</v>
      </c>
      <c r="F12" s="584"/>
      <c r="G12" s="14" t="s">
        <v>7587</v>
      </c>
      <c r="H12" s="14" t="s">
        <v>7589</v>
      </c>
      <c r="I12" s="14" t="s">
        <v>7590</v>
      </c>
      <c r="J12" s="14" t="s">
        <v>7591</v>
      </c>
      <c r="L12" s="585" t="s">
        <v>7593</v>
      </c>
      <c r="M12" s="586" t="s">
        <v>7594</v>
      </c>
      <c r="N12" s="587"/>
      <c r="O12" s="588">
        <v>2010.0</v>
      </c>
    </row>
    <row r="13">
      <c r="A13" s="14" t="s">
        <v>44</v>
      </c>
      <c r="B13" s="31">
        <v>10.0</v>
      </c>
      <c r="C13" s="35" t="s">
        <v>325</v>
      </c>
      <c r="D13" s="35" t="s">
        <v>7596</v>
      </c>
      <c r="E13" s="51" t="s">
        <v>53</v>
      </c>
      <c r="F13" s="584"/>
      <c r="G13" s="393" t="s">
        <v>3809</v>
      </c>
      <c r="L13" s="585" t="s">
        <v>7597</v>
      </c>
      <c r="M13" s="589" t="str">
        <f t="shared" ref="M13:M14" si="2">lower(concatenate(C13,".",D13,"@house.mo.gov"))</f>
        <v>bill.falkner@house.mo.gov</v>
      </c>
      <c r="N13" s="587"/>
      <c r="O13" s="588">
        <v>2018.0</v>
      </c>
    </row>
    <row r="14">
      <c r="A14" s="14" t="s">
        <v>44</v>
      </c>
      <c r="B14" s="31">
        <v>11.0</v>
      </c>
      <c r="C14" s="35" t="s">
        <v>2755</v>
      </c>
      <c r="D14" s="35" t="s">
        <v>7602</v>
      </c>
      <c r="E14" s="51" t="s">
        <v>53</v>
      </c>
      <c r="F14" s="584"/>
      <c r="G14" s="14" t="s">
        <v>3530</v>
      </c>
      <c r="H14" s="14" t="s">
        <v>7533</v>
      </c>
      <c r="L14" s="585" t="s">
        <v>7603</v>
      </c>
      <c r="M14" s="589" t="str">
        <f t="shared" si="2"/>
        <v>brenda.shields@house.mo.gov</v>
      </c>
      <c r="N14" s="587"/>
      <c r="O14" s="588">
        <v>2018.0</v>
      </c>
    </row>
    <row r="15">
      <c r="A15" s="14" t="s">
        <v>44</v>
      </c>
      <c r="B15" s="31">
        <v>12.0</v>
      </c>
      <c r="C15" s="35" t="s">
        <v>2777</v>
      </c>
      <c r="D15" s="35" t="s">
        <v>62</v>
      </c>
      <c r="E15" s="51" t="s">
        <v>53</v>
      </c>
      <c r="F15" s="584"/>
      <c r="G15" s="14" t="s">
        <v>7612</v>
      </c>
      <c r="H15" s="14" t="s">
        <v>7589</v>
      </c>
      <c r="I15" s="14" t="s">
        <v>7591</v>
      </c>
      <c r="L15" s="585" t="s">
        <v>7613</v>
      </c>
      <c r="M15" s="586" t="s">
        <v>7614</v>
      </c>
      <c r="N15" s="587"/>
      <c r="O15" s="588">
        <v>2012.0</v>
      </c>
    </row>
    <row r="16">
      <c r="A16" s="14" t="s">
        <v>44</v>
      </c>
      <c r="B16" s="31">
        <v>13.0</v>
      </c>
      <c r="C16" s="35" t="s">
        <v>5446</v>
      </c>
      <c r="D16" s="35" t="s">
        <v>7615</v>
      </c>
      <c r="E16" s="51" t="s">
        <v>53</v>
      </c>
      <c r="F16" s="584"/>
      <c r="L16" s="585" t="s">
        <v>7616</v>
      </c>
      <c r="M16" s="589" t="str">
        <f t="shared" ref="M16:M17" si="3">lower(concatenate(C16,".",D16,"@house.mo.gov"))</f>
        <v>vic.allred@house.mo.gov</v>
      </c>
      <c r="N16" s="587"/>
      <c r="O16" s="588">
        <v>2018.0</v>
      </c>
    </row>
    <row r="17">
      <c r="A17" s="14" t="s">
        <v>44</v>
      </c>
      <c r="B17" s="31">
        <v>14.0</v>
      </c>
      <c r="C17" s="590" t="s">
        <v>163</v>
      </c>
      <c r="D17" s="590" t="s">
        <v>7622</v>
      </c>
      <c r="E17" s="100" t="s">
        <v>49</v>
      </c>
      <c r="F17" s="584"/>
      <c r="G17" s="14" t="s">
        <v>7625</v>
      </c>
      <c r="L17" s="585" t="s">
        <v>7626</v>
      </c>
      <c r="M17" s="589" t="str">
        <f t="shared" si="3"/>
        <v>matt.sain@house.mo.gov</v>
      </c>
      <c r="N17" s="587"/>
      <c r="O17" s="588">
        <v>2018.0</v>
      </c>
    </row>
    <row r="18">
      <c r="A18" s="14" t="s">
        <v>44</v>
      </c>
      <c r="B18" s="31">
        <v>15.0</v>
      </c>
      <c r="C18" s="35" t="s">
        <v>1387</v>
      </c>
      <c r="D18" s="35" t="s">
        <v>196</v>
      </c>
      <c r="E18" s="36" t="s">
        <v>49</v>
      </c>
      <c r="F18" s="584"/>
      <c r="G18" s="14" t="s">
        <v>7635</v>
      </c>
      <c r="H18" s="14" t="s">
        <v>7636</v>
      </c>
      <c r="I18" s="14" t="s">
        <v>7637</v>
      </c>
      <c r="L18" s="585" t="s">
        <v>7638</v>
      </c>
      <c r="M18" s="586" t="s">
        <v>7639</v>
      </c>
      <c r="N18" s="587"/>
      <c r="O18" s="588">
        <v>2012.0</v>
      </c>
    </row>
    <row r="19">
      <c r="A19" s="14" t="s">
        <v>44</v>
      </c>
      <c r="B19" s="31">
        <v>16.0</v>
      </c>
      <c r="C19" s="35" t="s">
        <v>529</v>
      </c>
      <c r="D19" s="35" t="s">
        <v>7642</v>
      </c>
      <c r="E19" s="51" t="s">
        <v>53</v>
      </c>
      <c r="F19" s="584"/>
      <c r="G19" s="14" t="s">
        <v>7643</v>
      </c>
      <c r="H19" s="14" t="s">
        <v>7644</v>
      </c>
      <c r="I19" s="14" t="s">
        <v>7645</v>
      </c>
      <c r="J19" s="14" t="s">
        <v>7646</v>
      </c>
      <c r="L19" s="585" t="s">
        <v>7647</v>
      </c>
      <c r="M19" s="586" t="s">
        <v>7648</v>
      </c>
      <c r="N19" s="587"/>
      <c r="O19" s="588">
        <v>2012.0</v>
      </c>
    </row>
    <row r="20">
      <c r="A20" s="14" t="s">
        <v>44</v>
      </c>
      <c r="B20" s="31">
        <v>17.0</v>
      </c>
      <c r="C20" s="35" t="s">
        <v>91</v>
      </c>
      <c r="D20" s="35" t="s">
        <v>7654</v>
      </c>
      <c r="E20" s="36" t="s">
        <v>49</v>
      </c>
      <c r="F20" s="584"/>
      <c r="G20" s="14" t="s">
        <v>781</v>
      </c>
      <c r="H20" s="14" t="s">
        <v>2667</v>
      </c>
      <c r="I20" s="14" t="s">
        <v>7655</v>
      </c>
      <c r="J20" s="14" t="s">
        <v>7656</v>
      </c>
      <c r="L20" s="585" t="s">
        <v>7657</v>
      </c>
      <c r="M20" s="586" t="s">
        <v>7658</v>
      </c>
      <c r="N20" s="587"/>
      <c r="O20" s="588">
        <v>2016.0</v>
      </c>
    </row>
    <row r="21">
      <c r="A21" s="14" t="s">
        <v>44</v>
      </c>
      <c r="B21" s="31">
        <v>18.0</v>
      </c>
      <c r="C21" s="35" t="s">
        <v>349</v>
      </c>
      <c r="D21" s="35" t="s">
        <v>494</v>
      </c>
      <c r="E21" s="36" t="s">
        <v>49</v>
      </c>
      <c r="F21" s="584"/>
      <c r="G21" s="14" t="s">
        <v>7660</v>
      </c>
      <c r="H21" s="14" t="s">
        <v>7661</v>
      </c>
      <c r="I21" s="14" t="s">
        <v>7555</v>
      </c>
      <c r="L21" s="585" t="s">
        <v>7662</v>
      </c>
      <c r="M21" s="589" t="str">
        <f>lower(concatenate(C21,".",D21,"@house.mo.gov"))</f>
        <v>wes.rogers@house.mo.gov</v>
      </c>
      <c r="N21" s="587"/>
      <c r="O21" s="588">
        <v>2018.0</v>
      </c>
    </row>
    <row r="22">
      <c r="A22" s="14" t="s">
        <v>44</v>
      </c>
      <c r="B22" s="31">
        <v>19.0</v>
      </c>
      <c r="C22" s="35" t="s">
        <v>7663</v>
      </c>
      <c r="D22" s="35" t="s">
        <v>7478</v>
      </c>
      <c r="E22" s="36" t="s">
        <v>49</v>
      </c>
      <c r="F22" s="584"/>
      <c r="G22" s="14" t="s">
        <v>7533</v>
      </c>
      <c r="H22" s="14" t="s">
        <v>7668</v>
      </c>
      <c r="L22" s="585" t="s">
        <v>7669</v>
      </c>
      <c r="M22" s="586" t="s">
        <v>7670</v>
      </c>
      <c r="N22" s="587"/>
      <c r="O22" s="588">
        <v>2016.0</v>
      </c>
    </row>
    <row r="23">
      <c r="A23" s="14" t="s">
        <v>44</v>
      </c>
      <c r="B23" s="31">
        <v>20.0</v>
      </c>
      <c r="C23" s="35" t="s">
        <v>325</v>
      </c>
      <c r="D23" s="35" t="s">
        <v>7678</v>
      </c>
      <c r="E23" s="51" t="s">
        <v>53</v>
      </c>
      <c r="F23" s="584"/>
      <c r="G23" s="14" t="s">
        <v>7679</v>
      </c>
      <c r="L23" s="585" t="s">
        <v>7680</v>
      </c>
      <c r="M23" s="586" t="s">
        <v>7681</v>
      </c>
      <c r="N23" s="587"/>
      <c r="O23" s="588">
        <v>2014.0</v>
      </c>
    </row>
    <row r="24">
      <c r="A24" s="14" t="s">
        <v>44</v>
      </c>
      <c r="B24" s="31">
        <v>21.0</v>
      </c>
      <c r="C24" s="35" t="s">
        <v>1134</v>
      </c>
      <c r="D24" s="35" t="s">
        <v>7682</v>
      </c>
      <c r="E24" s="36" t="s">
        <v>49</v>
      </c>
      <c r="F24" s="584"/>
      <c r="G24" s="14" t="s">
        <v>781</v>
      </c>
      <c r="H24" s="14" t="s">
        <v>7683</v>
      </c>
      <c r="I24" s="14" t="s">
        <v>7591</v>
      </c>
      <c r="L24" s="585" t="s">
        <v>7684</v>
      </c>
      <c r="M24" s="589" t="str">
        <f>lower(concatenate(C24,".",D24,"@house.mo.gov"))</f>
        <v>robert.sauls@house.mo.gov</v>
      </c>
      <c r="N24" s="587"/>
      <c r="O24" s="588">
        <v>2018.0</v>
      </c>
    </row>
    <row r="25">
      <c r="A25" s="14" t="s">
        <v>44</v>
      </c>
      <c r="B25" s="31">
        <v>22.0</v>
      </c>
      <c r="C25" s="35" t="s">
        <v>2500</v>
      </c>
      <c r="D25" s="35" t="s">
        <v>4753</v>
      </c>
      <c r="E25" s="36" t="s">
        <v>49</v>
      </c>
      <c r="F25" s="393" t="s">
        <v>2004</v>
      </c>
      <c r="G25" s="14" t="s">
        <v>3542</v>
      </c>
      <c r="L25" s="585" t="s">
        <v>7692</v>
      </c>
      <c r="M25" s="586" t="s">
        <v>7693</v>
      </c>
      <c r="N25" s="587"/>
      <c r="O25" s="588">
        <v>2011.0</v>
      </c>
    </row>
    <row r="26">
      <c r="A26" s="14" t="s">
        <v>44</v>
      </c>
      <c r="B26" s="31">
        <v>23.0</v>
      </c>
      <c r="C26" s="74" t="s">
        <v>384</v>
      </c>
      <c r="D26" s="74" t="s">
        <v>277</v>
      </c>
      <c r="E26" s="36" t="s">
        <v>49</v>
      </c>
      <c r="F26" s="393" t="s">
        <v>7696</v>
      </c>
      <c r="G26" s="14" t="s">
        <v>7533</v>
      </c>
      <c r="H26" s="14" t="s">
        <v>7655</v>
      </c>
      <c r="L26" s="585" t="s">
        <v>7697</v>
      </c>
      <c r="M26" s="586" t="s">
        <v>7698</v>
      </c>
      <c r="N26" s="587"/>
      <c r="O26" s="588">
        <v>2018.0</v>
      </c>
    </row>
    <row r="27">
      <c r="A27" s="14" t="s">
        <v>44</v>
      </c>
      <c r="B27" s="31">
        <v>24.0</v>
      </c>
      <c r="C27" s="35" t="s">
        <v>2320</v>
      </c>
      <c r="D27" s="35" t="s">
        <v>141</v>
      </c>
      <c r="E27" s="36" t="s">
        <v>49</v>
      </c>
      <c r="F27" s="584"/>
      <c r="G27" s="14" t="s">
        <v>7703</v>
      </c>
      <c r="H27" s="14" t="s">
        <v>7704</v>
      </c>
      <c r="I27" s="14" t="s">
        <v>7705</v>
      </c>
      <c r="J27" s="14" t="s">
        <v>7706</v>
      </c>
      <c r="L27" s="585" t="s">
        <v>7707</v>
      </c>
      <c r="M27" s="586" t="s">
        <v>7708</v>
      </c>
      <c r="N27" s="587"/>
      <c r="O27" s="588">
        <v>2011.0</v>
      </c>
    </row>
    <row r="28">
      <c r="A28" s="14" t="s">
        <v>44</v>
      </c>
      <c r="B28" s="31">
        <v>25.0</v>
      </c>
      <c r="C28" s="35" t="s">
        <v>997</v>
      </c>
      <c r="D28" s="35" t="s">
        <v>7713</v>
      </c>
      <c r="E28" s="36" t="s">
        <v>49</v>
      </c>
      <c r="F28" s="584"/>
      <c r="G28" s="393" t="s">
        <v>7714</v>
      </c>
      <c r="H28" s="14" t="s">
        <v>7552</v>
      </c>
      <c r="I28" s="14" t="s">
        <v>7715</v>
      </c>
      <c r="L28" s="585" t="s">
        <v>7716</v>
      </c>
      <c r="M28" s="586" t="s">
        <v>7717</v>
      </c>
      <c r="N28" s="587"/>
      <c r="O28" s="588">
        <v>2016.0</v>
      </c>
    </row>
    <row r="29">
      <c r="A29" s="14" t="s">
        <v>44</v>
      </c>
      <c r="B29" s="31">
        <v>26.0</v>
      </c>
      <c r="C29" s="35" t="s">
        <v>3414</v>
      </c>
      <c r="D29" s="35" t="s">
        <v>7718</v>
      </c>
      <c r="E29" s="36" t="s">
        <v>49</v>
      </c>
      <c r="F29" s="584"/>
      <c r="G29" s="14" t="s">
        <v>7533</v>
      </c>
      <c r="H29" s="14" t="s">
        <v>7719</v>
      </c>
      <c r="L29" s="585" t="s">
        <v>7720</v>
      </c>
      <c r="M29" s="589" t="str">
        <f>lower(concatenate(C29,".",D29,"@house.mo.gov"))</f>
        <v>ashley.manlove@house.mo.gov</v>
      </c>
      <c r="N29" s="587"/>
      <c r="O29" s="588">
        <v>2018.0</v>
      </c>
    </row>
    <row r="30">
      <c r="A30" s="14" t="s">
        <v>44</v>
      </c>
      <c r="B30" s="31">
        <v>27.0</v>
      </c>
      <c r="C30" s="35" t="s">
        <v>1112</v>
      </c>
      <c r="D30" s="35" t="s">
        <v>447</v>
      </c>
      <c r="E30" s="36" t="s">
        <v>49</v>
      </c>
      <c r="F30" s="584"/>
      <c r="G30" s="14" t="s">
        <v>7726</v>
      </c>
      <c r="H30" s="14" t="s">
        <v>7728</v>
      </c>
      <c r="L30" s="585" t="s">
        <v>7720</v>
      </c>
      <c r="M30" s="586" t="s">
        <v>7729</v>
      </c>
      <c r="N30" s="587"/>
      <c r="O30" s="588">
        <v>2016.0</v>
      </c>
    </row>
    <row r="31">
      <c r="A31" s="14" t="s">
        <v>44</v>
      </c>
      <c r="B31" s="31">
        <v>28.0</v>
      </c>
      <c r="C31" s="35" t="s">
        <v>3900</v>
      </c>
      <c r="D31" s="35" t="s">
        <v>6297</v>
      </c>
      <c r="E31" s="36" t="s">
        <v>49</v>
      </c>
      <c r="F31" s="584"/>
      <c r="L31" s="585" t="s">
        <v>7733</v>
      </c>
      <c r="M31" s="586" t="s">
        <v>7734</v>
      </c>
      <c r="N31" s="587"/>
      <c r="O31" s="588">
        <v>2016.0</v>
      </c>
    </row>
    <row r="32">
      <c r="A32" s="14" t="s">
        <v>44</v>
      </c>
      <c r="B32" s="31">
        <v>29.0</v>
      </c>
      <c r="C32" s="35" t="s">
        <v>7737</v>
      </c>
      <c r="D32" s="35" t="s">
        <v>5157</v>
      </c>
      <c r="E32" s="36" t="s">
        <v>49</v>
      </c>
      <c r="F32" s="584"/>
      <c r="G32" s="14" t="s">
        <v>7660</v>
      </c>
      <c r="H32" s="14" t="s">
        <v>7742</v>
      </c>
      <c r="L32" s="585" t="s">
        <v>7743</v>
      </c>
      <c r="M32" s="586" t="s">
        <v>7745</v>
      </c>
      <c r="N32" s="587"/>
      <c r="O32" s="588">
        <v>2015.0</v>
      </c>
    </row>
    <row r="33">
      <c r="A33" s="14" t="s">
        <v>7746</v>
      </c>
      <c r="B33" s="164">
        <v>30.0</v>
      </c>
      <c r="C33" s="35" t="s">
        <v>1387</v>
      </c>
      <c r="D33" s="35" t="s">
        <v>1510</v>
      </c>
      <c r="E33" s="51" t="s">
        <v>53</v>
      </c>
      <c r="F33" s="584"/>
      <c r="G33" s="14" t="s">
        <v>7533</v>
      </c>
      <c r="H33" s="14" t="s">
        <v>7655</v>
      </c>
      <c r="I33" s="14" t="s">
        <v>7749</v>
      </c>
      <c r="L33" s="585" t="s">
        <v>7750</v>
      </c>
      <c r="M33" s="589" t="str">
        <f>lower(concatenate(C33,".",D33,"@house.mo.gov"))</f>
        <v>jon.patterson@house.mo.gov</v>
      </c>
      <c r="N33" s="587"/>
      <c r="O33" s="588">
        <v>2018.0</v>
      </c>
    </row>
    <row r="34">
      <c r="A34" s="14" t="s">
        <v>44</v>
      </c>
      <c r="B34" s="31">
        <v>31.0</v>
      </c>
      <c r="C34" s="35" t="s">
        <v>239</v>
      </c>
      <c r="D34" s="35" t="s">
        <v>7012</v>
      </c>
      <c r="E34" s="51" t="s">
        <v>53</v>
      </c>
      <c r="F34" s="584"/>
      <c r="G34" s="14" t="s">
        <v>7754</v>
      </c>
      <c r="H34" s="14" t="s">
        <v>7755</v>
      </c>
      <c r="I34" s="14" t="s">
        <v>7757</v>
      </c>
      <c r="L34" s="585" t="s">
        <v>7758</v>
      </c>
      <c r="M34" s="586" t="s">
        <v>7759</v>
      </c>
      <c r="N34" s="587"/>
      <c r="O34" s="588">
        <v>2016.0</v>
      </c>
    </row>
    <row r="35">
      <c r="A35" s="14" t="s">
        <v>44</v>
      </c>
      <c r="B35" s="31">
        <v>32.0</v>
      </c>
      <c r="C35" s="35" t="s">
        <v>683</v>
      </c>
      <c r="D35" s="35" t="s">
        <v>508</v>
      </c>
      <c r="E35" s="51" t="s">
        <v>53</v>
      </c>
      <c r="F35" s="584"/>
      <c r="G35" s="14" t="s">
        <v>7655</v>
      </c>
      <c r="H35" s="14" t="s">
        <v>7760</v>
      </c>
      <c r="I35" s="14" t="s">
        <v>7761</v>
      </c>
      <c r="L35" s="585" t="s">
        <v>7762</v>
      </c>
      <c r="M35" s="589" t="str">
        <f>lower(concatenate(C35,".",D35,"@house.mo.gov"))</f>
        <v>jeff.coleman@house.mo.gov</v>
      </c>
      <c r="N35" s="587"/>
      <c r="O35" s="588">
        <v>2018.0</v>
      </c>
    </row>
    <row r="36">
      <c r="A36" s="14" t="s">
        <v>44</v>
      </c>
      <c r="B36" s="31">
        <v>33.0</v>
      </c>
      <c r="C36" s="35" t="s">
        <v>3404</v>
      </c>
      <c r="D36" s="35" t="s">
        <v>7764</v>
      </c>
      <c r="E36" s="51" t="s">
        <v>53</v>
      </c>
      <c r="F36" s="584"/>
      <c r="G36" s="59" t="s">
        <v>7579</v>
      </c>
      <c r="H36" s="14" t="s">
        <v>7683</v>
      </c>
      <c r="I36" s="14" t="s">
        <v>7765</v>
      </c>
      <c r="L36" s="585" t="s">
        <v>7767</v>
      </c>
      <c r="M36" s="586" t="s">
        <v>7768</v>
      </c>
      <c r="N36" s="587"/>
      <c r="O36" s="588">
        <v>2012.0</v>
      </c>
    </row>
    <row r="37">
      <c r="A37" s="14" t="s">
        <v>44</v>
      </c>
      <c r="B37" s="31">
        <v>34.0</v>
      </c>
      <c r="C37" s="35" t="s">
        <v>1340</v>
      </c>
      <c r="D37" s="35" t="s">
        <v>7775</v>
      </c>
      <c r="E37" s="51" t="s">
        <v>53</v>
      </c>
      <c r="F37" s="584"/>
      <c r="G37" s="14" t="s">
        <v>3606</v>
      </c>
      <c r="H37" s="14" t="s">
        <v>7776</v>
      </c>
      <c r="I37" s="14" t="s">
        <v>7777</v>
      </c>
      <c r="J37" s="14" t="s">
        <v>780</v>
      </c>
      <c r="L37" s="585" t="s">
        <v>7778</v>
      </c>
      <c r="M37" s="586" t="s">
        <v>7779</v>
      </c>
      <c r="N37" s="587"/>
      <c r="O37" s="588">
        <v>2014.0</v>
      </c>
    </row>
    <row r="38">
      <c r="A38" s="14" t="s">
        <v>44</v>
      </c>
      <c r="B38" s="31">
        <v>35.0</v>
      </c>
      <c r="C38" s="35" t="s">
        <v>7781</v>
      </c>
      <c r="D38" s="35" t="s">
        <v>7782</v>
      </c>
      <c r="E38" s="36" t="s">
        <v>49</v>
      </c>
      <c r="F38" s="584"/>
      <c r="G38" s="59" t="s">
        <v>7783</v>
      </c>
      <c r="H38" s="14" t="s">
        <v>7784</v>
      </c>
      <c r="I38" s="14" t="s">
        <v>7785</v>
      </c>
      <c r="L38" s="585" t="s">
        <v>7786</v>
      </c>
      <c r="M38" s="589" t="str">
        <f>lower(concatenate(C38,".",D38,"@house.mo.gov"))</f>
        <v>keri.ingle@house.mo.gov</v>
      </c>
      <c r="N38" s="587"/>
      <c r="O38" s="588">
        <v>2018.0</v>
      </c>
    </row>
    <row r="39">
      <c r="A39" s="14" t="s">
        <v>44</v>
      </c>
      <c r="B39" s="31">
        <v>36.0</v>
      </c>
      <c r="C39" s="35" t="s">
        <v>7791</v>
      </c>
      <c r="D39" s="35" t="s">
        <v>1355</v>
      </c>
      <c r="E39" s="36" t="s">
        <v>49</v>
      </c>
      <c r="F39" s="393" t="s">
        <v>3443</v>
      </c>
      <c r="G39" s="14" t="s">
        <v>7785</v>
      </c>
      <c r="H39" s="14" t="s">
        <v>7728</v>
      </c>
      <c r="L39" s="585" t="s">
        <v>7793</v>
      </c>
      <c r="M39" s="586" t="s">
        <v>7794</v>
      </c>
      <c r="N39" s="587"/>
      <c r="O39" s="588">
        <v>2015.0</v>
      </c>
    </row>
    <row r="40">
      <c r="A40" s="14" t="s">
        <v>44</v>
      </c>
      <c r="B40" s="31">
        <v>37.0</v>
      </c>
      <c r="C40" s="35" t="s">
        <v>622</v>
      </c>
      <c r="D40" s="35" t="s">
        <v>7798</v>
      </c>
      <c r="E40" s="36" t="s">
        <v>49</v>
      </c>
      <c r="F40" s="584"/>
      <c r="G40" s="14" t="s">
        <v>7799</v>
      </c>
      <c r="H40" s="14" t="s">
        <v>7800</v>
      </c>
      <c r="I40" s="14" t="s">
        <v>7757</v>
      </c>
      <c r="J40" s="14" t="s">
        <v>7801</v>
      </c>
      <c r="L40" s="585" t="s">
        <v>7802</v>
      </c>
      <c r="M40" s="586" t="s">
        <v>7803</v>
      </c>
      <c r="N40" s="587"/>
      <c r="O40" s="588">
        <v>2012.0</v>
      </c>
    </row>
    <row r="41">
      <c r="A41" s="14" t="s">
        <v>44</v>
      </c>
      <c r="B41" s="31">
        <v>38.0</v>
      </c>
      <c r="C41" s="35" t="s">
        <v>1146</v>
      </c>
      <c r="D41" s="35" t="s">
        <v>1001</v>
      </c>
      <c r="E41" s="51" t="s">
        <v>53</v>
      </c>
      <c r="F41" s="584"/>
      <c r="G41" s="59" t="s">
        <v>7783</v>
      </c>
      <c r="H41" s="14" t="s">
        <v>7804</v>
      </c>
      <c r="I41" s="14" t="s">
        <v>7552</v>
      </c>
      <c r="L41" s="585" t="s">
        <v>7805</v>
      </c>
      <c r="M41" s="589" t="str">
        <f>lower(concatenate(C41,".",D41,"@house.mo.gov"))</f>
        <v>doug.richey@house.mo.gov</v>
      </c>
      <c r="N41" s="587"/>
      <c r="O41" s="588">
        <v>2018.0</v>
      </c>
    </row>
    <row r="42">
      <c r="A42" s="14" t="s">
        <v>44</v>
      </c>
      <c r="B42" s="31">
        <v>39.0</v>
      </c>
      <c r="C42" s="35" t="s">
        <v>4750</v>
      </c>
      <c r="D42" s="35" t="s">
        <v>7818</v>
      </c>
      <c r="E42" s="51" t="s">
        <v>53</v>
      </c>
      <c r="F42" s="584"/>
      <c r="G42" s="14" t="s">
        <v>7819</v>
      </c>
      <c r="H42" s="14" t="s">
        <v>7552</v>
      </c>
      <c r="I42" s="14" t="s">
        <v>7821</v>
      </c>
      <c r="L42" s="585" t="s">
        <v>7822</v>
      </c>
      <c r="M42" s="586" t="s">
        <v>7823</v>
      </c>
      <c r="N42" s="587"/>
      <c r="O42" s="588">
        <v>2018.0</v>
      </c>
    </row>
    <row r="43">
      <c r="A43" s="14" t="s">
        <v>44</v>
      </c>
      <c r="B43" s="31">
        <v>40.0</v>
      </c>
      <c r="C43" s="35" t="s">
        <v>476</v>
      </c>
      <c r="D43" s="35" t="s">
        <v>1653</v>
      </c>
      <c r="E43" s="51" t="s">
        <v>53</v>
      </c>
      <c r="F43" s="584"/>
      <c r="G43" s="14" t="s">
        <v>7749</v>
      </c>
      <c r="H43" s="14" t="s">
        <v>7824</v>
      </c>
      <c r="L43" s="585" t="s">
        <v>7825</v>
      </c>
      <c r="M43" s="586" t="s">
        <v>7826</v>
      </c>
      <c r="N43" s="587"/>
      <c r="O43" s="588">
        <v>2012.0</v>
      </c>
    </row>
    <row r="44">
      <c r="A44" s="14" t="s">
        <v>44</v>
      </c>
      <c r="B44" s="31">
        <v>41.0</v>
      </c>
      <c r="C44" s="35" t="s">
        <v>412</v>
      </c>
      <c r="D44" s="35" t="s">
        <v>7831</v>
      </c>
      <c r="E44" s="51" t="s">
        <v>53</v>
      </c>
      <c r="F44" s="584"/>
      <c r="G44" s="14" t="s">
        <v>7754</v>
      </c>
      <c r="H44" s="14" t="s">
        <v>7832</v>
      </c>
      <c r="I44" s="14" t="s">
        <v>7833</v>
      </c>
      <c r="L44" s="585" t="s">
        <v>7834</v>
      </c>
      <c r="M44" s="586" t="s">
        <v>7835</v>
      </c>
      <c r="N44" s="587"/>
      <c r="O44" s="588">
        <v>2014.0</v>
      </c>
    </row>
    <row r="45">
      <c r="A45" s="14" t="s">
        <v>44</v>
      </c>
      <c r="B45" s="31">
        <v>42.0</v>
      </c>
      <c r="C45" s="35" t="s">
        <v>683</v>
      </c>
      <c r="D45" s="35" t="s">
        <v>2653</v>
      </c>
      <c r="E45" s="51" t="s">
        <v>53</v>
      </c>
      <c r="F45" s="584"/>
      <c r="G45" s="14" t="s">
        <v>7760</v>
      </c>
      <c r="H45" s="14" t="s">
        <v>578</v>
      </c>
      <c r="I45" s="14" t="s">
        <v>7838</v>
      </c>
      <c r="L45" s="585" t="s">
        <v>7839</v>
      </c>
      <c r="M45" s="589" t="str">
        <f t="shared" ref="M45:M46" si="4">lower(concatenate(C45,".",D45,"@house.mo.gov"))</f>
        <v>jeff.porter@house.mo.gov</v>
      </c>
      <c r="N45" s="587"/>
      <c r="O45" s="588">
        <v>2018.0</v>
      </c>
    </row>
    <row r="46">
      <c r="A46" s="14" t="s">
        <v>44</v>
      </c>
      <c r="B46" s="31">
        <v>43.0</v>
      </c>
      <c r="C46" s="35" t="s">
        <v>4892</v>
      </c>
      <c r="D46" s="35" t="s">
        <v>7841</v>
      </c>
      <c r="E46" s="51" t="s">
        <v>53</v>
      </c>
      <c r="F46" s="584"/>
      <c r="G46" s="14" t="s">
        <v>7660</v>
      </c>
      <c r="H46" s="14" t="s">
        <v>7842</v>
      </c>
      <c r="I46" s="14" t="s">
        <v>7843</v>
      </c>
      <c r="L46" s="585" t="s">
        <v>7844</v>
      </c>
      <c r="M46" s="589" t="str">
        <f t="shared" si="4"/>
        <v>kent.haden@house.mo.gov</v>
      </c>
      <c r="N46" s="587"/>
      <c r="O46" s="588">
        <v>2018.0</v>
      </c>
    </row>
    <row r="47">
      <c r="A47" s="14" t="s">
        <v>44</v>
      </c>
      <c r="B47" s="31">
        <v>44.0</v>
      </c>
      <c r="C47" s="35" t="s">
        <v>4706</v>
      </c>
      <c r="D47" s="35" t="s">
        <v>7847</v>
      </c>
      <c r="E47" s="51" t="s">
        <v>53</v>
      </c>
      <c r="F47" s="584"/>
      <c r="G47" s="14" t="s">
        <v>781</v>
      </c>
      <c r="H47" s="14" t="s">
        <v>7848</v>
      </c>
      <c r="L47" s="585" t="s">
        <v>7849</v>
      </c>
      <c r="M47" s="586" t="s">
        <v>7850</v>
      </c>
      <c r="N47" s="587"/>
      <c r="O47" s="588">
        <v>2016.0</v>
      </c>
    </row>
    <row r="48">
      <c r="A48" s="14" t="s">
        <v>44</v>
      </c>
      <c r="B48" s="31">
        <v>45.0</v>
      </c>
      <c r="C48" s="35" t="s">
        <v>7852</v>
      </c>
      <c r="D48" s="35" t="s">
        <v>3662</v>
      </c>
      <c r="E48" s="36" t="s">
        <v>49</v>
      </c>
      <c r="F48" s="584"/>
      <c r="G48" s="14" t="s">
        <v>2667</v>
      </c>
      <c r="H48" s="14" t="s">
        <v>3501</v>
      </c>
      <c r="I48" s="14" t="s">
        <v>7854</v>
      </c>
      <c r="J48" s="14" t="s">
        <v>7855</v>
      </c>
      <c r="L48" s="585" t="s">
        <v>7856</v>
      </c>
      <c r="M48" s="586" t="s">
        <v>7857</v>
      </c>
      <c r="N48" s="587"/>
      <c r="O48" s="588">
        <v>2014.0</v>
      </c>
    </row>
    <row r="49">
      <c r="A49" s="14" t="s">
        <v>44</v>
      </c>
      <c r="B49" s="31">
        <v>46.0</v>
      </c>
      <c r="C49" s="35" t="s">
        <v>1132</v>
      </c>
      <c r="D49" s="35" t="s">
        <v>378</v>
      </c>
      <c r="E49" s="36" t="s">
        <v>49</v>
      </c>
      <c r="F49" s="584"/>
      <c r="G49" s="59" t="s">
        <v>7579</v>
      </c>
      <c r="H49" s="14" t="s">
        <v>2667</v>
      </c>
      <c r="I49" s="14" t="s">
        <v>7864</v>
      </c>
      <c r="L49" s="585" t="s">
        <v>7865</v>
      </c>
      <c r="M49" s="586" t="s">
        <v>7867</v>
      </c>
      <c r="N49" s="587"/>
      <c r="O49" s="588">
        <v>2016.0</v>
      </c>
    </row>
    <row r="50">
      <c r="A50" s="14" t="s">
        <v>44</v>
      </c>
      <c r="B50" s="31">
        <v>47.0</v>
      </c>
      <c r="C50" s="35" t="s">
        <v>177</v>
      </c>
      <c r="D50" s="35" t="s">
        <v>7877</v>
      </c>
      <c r="E50" s="51" t="s">
        <v>53</v>
      </c>
      <c r="F50" s="584"/>
      <c r="G50" s="14" t="s">
        <v>7878</v>
      </c>
      <c r="H50" s="14" t="s">
        <v>515</v>
      </c>
      <c r="I50" s="14" t="s">
        <v>7635</v>
      </c>
      <c r="L50" s="585" t="s">
        <v>7879</v>
      </c>
      <c r="M50" s="586" t="s">
        <v>7880</v>
      </c>
      <c r="N50" s="587"/>
      <c r="O50" s="588">
        <v>2014.0</v>
      </c>
    </row>
    <row r="51">
      <c r="A51" s="14" t="s">
        <v>44</v>
      </c>
      <c r="B51" s="31">
        <v>48.0</v>
      </c>
      <c r="C51" s="35" t="s">
        <v>76</v>
      </c>
      <c r="D51" s="35" t="s">
        <v>7886</v>
      </c>
      <c r="E51" s="51" t="s">
        <v>53</v>
      </c>
      <c r="F51" s="584"/>
      <c r="G51" s="14" t="s">
        <v>7887</v>
      </c>
      <c r="H51" s="14" t="s">
        <v>2184</v>
      </c>
      <c r="L51" s="585" t="s">
        <v>7888</v>
      </c>
      <c r="M51" s="586" t="s">
        <v>7889</v>
      </c>
      <c r="N51" s="587"/>
      <c r="O51" s="588">
        <v>2012.0</v>
      </c>
    </row>
    <row r="52">
      <c r="A52" s="14" t="s">
        <v>44</v>
      </c>
      <c r="B52" s="31">
        <v>49.0</v>
      </c>
      <c r="C52" s="35" t="s">
        <v>807</v>
      </c>
      <c r="D52" s="35" t="s">
        <v>7899</v>
      </c>
      <c r="E52" s="51" t="s">
        <v>53</v>
      </c>
      <c r="F52" s="584"/>
      <c r="G52" s="14" t="s">
        <v>2667</v>
      </c>
      <c r="H52" s="14" t="s">
        <v>7900</v>
      </c>
      <c r="I52" s="14" t="s">
        <v>7635</v>
      </c>
      <c r="L52" s="585" t="s">
        <v>7901</v>
      </c>
      <c r="M52" s="586" t="s">
        <v>7902</v>
      </c>
      <c r="N52" s="587"/>
      <c r="O52" s="588">
        <v>2014.0</v>
      </c>
    </row>
    <row r="53">
      <c r="A53" s="14" t="s">
        <v>44</v>
      </c>
      <c r="B53" s="31">
        <v>50.0</v>
      </c>
      <c r="C53" s="35" t="s">
        <v>171</v>
      </c>
      <c r="D53" s="35" t="s">
        <v>2877</v>
      </c>
      <c r="E53" s="51" t="s">
        <v>53</v>
      </c>
      <c r="F53" s="584"/>
      <c r="G53" s="59" t="s">
        <v>7783</v>
      </c>
      <c r="H53" s="14" t="s">
        <v>7533</v>
      </c>
      <c r="I53" s="14" t="s">
        <v>7668</v>
      </c>
      <c r="L53" s="585" t="s">
        <v>7907</v>
      </c>
      <c r="M53" s="586" t="s">
        <v>7908</v>
      </c>
      <c r="N53" s="587"/>
      <c r="O53" s="588">
        <v>2017.0</v>
      </c>
    </row>
    <row r="54">
      <c r="A54" s="14" t="s">
        <v>44</v>
      </c>
      <c r="B54" s="31">
        <v>51.0</v>
      </c>
      <c r="C54" s="35" t="s">
        <v>4340</v>
      </c>
      <c r="D54" s="35" t="s">
        <v>7912</v>
      </c>
      <c r="E54" s="51" t="s">
        <v>53</v>
      </c>
      <c r="F54" s="584"/>
      <c r="G54" s="14" t="s">
        <v>3501</v>
      </c>
      <c r="H54" s="14" t="s">
        <v>7913</v>
      </c>
      <c r="I54" s="14" t="s">
        <v>7914</v>
      </c>
      <c r="L54" s="585" t="s">
        <v>7915</v>
      </c>
      <c r="M54" s="586" t="s">
        <v>7916</v>
      </c>
      <c r="N54" s="587"/>
      <c r="O54" s="588">
        <v>2012.0</v>
      </c>
    </row>
    <row r="55">
      <c r="A55" s="14" t="s">
        <v>44</v>
      </c>
      <c r="B55" s="31">
        <v>52.0</v>
      </c>
      <c r="C55" s="35" t="s">
        <v>1130</v>
      </c>
      <c r="D55" s="35" t="s">
        <v>7917</v>
      </c>
      <c r="E55" s="51" t="s">
        <v>53</v>
      </c>
      <c r="F55" s="584"/>
      <c r="G55" s="59" t="s">
        <v>7579</v>
      </c>
      <c r="H55" s="14" t="s">
        <v>7918</v>
      </c>
      <c r="L55" s="585" t="s">
        <v>7919</v>
      </c>
      <c r="M55" s="589" t="str">
        <f>lower(concatenate(C55,".",D55,"@house.mo.gov"))</f>
        <v>bradley.pollitt@house.mo.gov</v>
      </c>
      <c r="N55" s="587"/>
      <c r="O55" s="588">
        <v>2018.0</v>
      </c>
    </row>
    <row r="56">
      <c r="A56" s="14" t="s">
        <v>44</v>
      </c>
      <c r="B56" s="31">
        <v>53.0</v>
      </c>
      <c r="C56" s="35" t="s">
        <v>7931</v>
      </c>
      <c r="D56" s="35" t="s">
        <v>7940</v>
      </c>
      <c r="E56" s="51" t="s">
        <v>53</v>
      </c>
      <c r="F56" s="584"/>
      <c r="G56" s="393" t="s">
        <v>781</v>
      </c>
      <c r="H56" s="14" t="s">
        <v>578</v>
      </c>
      <c r="I56" s="14" t="s">
        <v>7941</v>
      </c>
      <c r="L56" s="585" t="s">
        <v>7942</v>
      </c>
      <c r="M56" s="586" t="s">
        <v>7943</v>
      </c>
      <c r="N56" s="587"/>
      <c r="O56" s="588">
        <v>2012.0</v>
      </c>
    </row>
    <row r="57">
      <c r="A57" s="14" t="s">
        <v>44</v>
      </c>
      <c r="B57" s="31">
        <v>54.0</v>
      </c>
      <c r="C57" s="35" t="s">
        <v>239</v>
      </c>
      <c r="D57" s="35" t="s">
        <v>7944</v>
      </c>
      <c r="E57" s="51" t="s">
        <v>53</v>
      </c>
      <c r="F57" s="584"/>
      <c r="G57" s="14" t="s">
        <v>7945</v>
      </c>
      <c r="H57" s="14" t="s">
        <v>7801</v>
      </c>
      <c r="L57" s="585" t="s">
        <v>7946</v>
      </c>
      <c r="M57" s="586" t="s">
        <v>7947</v>
      </c>
      <c r="N57" s="587"/>
      <c r="O57" s="588">
        <v>2016.0</v>
      </c>
    </row>
    <row r="58">
      <c r="A58" s="14" t="s">
        <v>44</v>
      </c>
      <c r="B58" s="31">
        <v>55.0</v>
      </c>
      <c r="C58" s="35" t="s">
        <v>157</v>
      </c>
      <c r="D58" s="35" t="s">
        <v>7950</v>
      </c>
      <c r="E58" s="51" t="s">
        <v>53</v>
      </c>
      <c r="F58" s="584"/>
      <c r="G58" s="14" t="s">
        <v>7570</v>
      </c>
      <c r="H58" s="14" t="s">
        <v>7785</v>
      </c>
      <c r="L58" s="585" t="s">
        <v>7952</v>
      </c>
      <c r="M58" s="589" t="str">
        <f>lower(concatenate(C58,".",D58,"@house.mo.gov"))</f>
        <v>mike.haffner@house.mo.gov</v>
      </c>
      <c r="N58" s="587"/>
      <c r="O58" s="588">
        <v>2018.0</v>
      </c>
    </row>
    <row r="59">
      <c r="A59" s="14" t="s">
        <v>44</v>
      </c>
      <c r="B59" s="31">
        <v>56.0</v>
      </c>
      <c r="C59" s="35" t="s">
        <v>792</v>
      </c>
      <c r="D59" s="35" t="s">
        <v>7957</v>
      </c>
      <c r="E59" s="51" t="s">
        <v>53</v>
      </c>
      <c r="F59" s="584"/>
      <c r="G59" s="14" t="s">
        <v>7958</v>
      </c>
      <c r="H59" s="14" t="s">
        <v>7959</v>
      </c>
      <c r="I59" s="14" t="s">
        <v>780</v>
      </c>
      <c r="L59" s="585" t="s">
        <v>7960</v>
      </c>
      <c r="M59" s="586" t="s">
        <v>7961</v>
      </c>
      <c r="N59" s="587"/>
      <c r="O59" s="588">
        <v>2014.0</v>
      </c>
    </row>
    <row r="60">
      <c r="A60" s="14" t="s">
        <v>44</v>
      </c>
      <c r="B60" s="31">
        <v>57.0</v>
      </c>
      <c r="C60" s="35" t="s">
        <v>955</v>
      </c>
      <c r="D60" s="35" t="s">
        <v>7963</v>
      </c>
      <c r="E60" s="51" t="s">
        <v>53</v>
      </c>
      <c r="F60" s="584"/>
      <c r="G60" s="14" t="s">
        <v>7660</v>
      </c>
      <c r="H60" s="14" t="s">
        <v>7821</v>
      </c>
      <c r="L60" s="585" t="s">
        <v>7964</v>
      </c>
      <c r="M60" s="589" t="str">
        <f>lower(concatenate(C60,".",D60,"@house.mo.gov"))</f>
        <v>rodger.reedy@house.mo.gov</v>
      </c>
      <c r="N60" s="587"/>
      <c r="O60" s="588">
        <v>2018.0</v>
      </c>
    </row>
    <row r="61">
      <c r="A61" s="14" t="s">
        <v>44</v>
      </c>
      <c r="B61" s="31">
        <v>58.0</v>
      </c>
      <c r="C61" s="35" t="s">
        <v>108</v>
      </c>
      <c r="D61" s="35" t="s">
        <v>415</v>
      </c>
      <c r="E61" s="51" t="s">
        <v>53</v>
      </c>
      <c r="F61" s="584"/>
      <c r="G61" s="14" t="s">
        <v>7966</v>
      </c>
      <c r="H61" s="14" t="s">
        <v>7967</v>
      </c>
      <c r="L61" s="585" t="s">
        <v>7968</v>
      </c>
      <c r="M61" s="586" t="s">
        <v>7969</v>
      </c>
      <c r="N61" s="587"/>
      <c r="O61" s="588">
        <v>2012.0</v>
      </c>
    </row>
    <row r="62">
      <c r="A62" s="14" t="s">
        <v>44</v>
      </c>
      <c r="B62" s="31">
        <v>59.0</v>
      </c>
      <c r="C62" s="35" t="s">
        <v>1563</v>
      </c>
      <c r="D62" s="35" t="s">
        <v>7970</v>
      </c>
      <c r="E62" s="51" t="s">
        <v>53</v>
      </c>
      <c r="F62" s="584"/>
      <c r="G62" s="393" t="s">
        <v>781</v>
      </c>
      <c r="L62" s="585" t="s">
        <v>7971</v>
      </c>
      <c r="M62" s="589" t="str">
        <f t="shared" ref="M62:M64" si="5">lower(concatenate(C62,".",D62,"@house.mo.gov"))</f>
        <v>rudy.veit@house.mo.gov</v>
      </c>
      <c r="N62" s="587"/>
      <c r="O62" s="588">
        <v>2018.0</v>
      </c>
    </row>
    <row r="63">
      <c r="A63" s="14" t="s">
        <v>44</v>
      </c>
      <c r="B63" s="31">
        <v>60.0</v>
      </c>
      <c r="C63" s="35" t="s">
        <v>76</v>
      </c>
      <c r="D63" s="35" t="s">
        <v>2642</v>
      </c>
      <c r="E63" s="51" t="s">
        <v>53</v>
      </c>
      <c r="F63" s="584"/>
      <c r="G63" s="59" t="s">
        <v>7783</v>
      </c>
      <c r="H63" s="14" t="s">
        <v>7977</v>
      </c>
      <c r="I63" s="14" t="s">
        <v>7715</v>
      </c>
      <c r="L63" s="585" t="s">
        <v>7978</v>
      </c>
      <c r="M63" s="589" t="str">
        <f t="shared" si="5"/>
        <v>dave.griffith@house.mo.gov</v>
      </c>
      <c r="N63" s="587"/>
      <c r="O63" s="588">
        <v>2018.0</v>
      </c>
    </row>
    <row r="64">
      <c r="A64" s="14" t="s">
        <v>44</v>
      </c>
      <c r="B64" s="31">
        <v>61.0</v>
      </c>
      <c r="C64" s="74" t="s">
        <v>1107</v>
      </c>
      <c r="D64" s="74" t="s">
        <v>7979</v>
      </c>
      <c r="E64" s="51" t="s">
        <v>53</v>
      </c>
      <c r="F64" s="414"/>
      <c r="G64" s="14" t="s">
        <v>7533</v>
      </c>
      <c r="H64" s="14" t="s">
        <v>7719</v>
      </c>
      <c r="I64" s="14" t="s">
        <v>578</v>
      </c>
      <c r="L64" s="585" t="s">
        <v>7980</v>
      </c>
      <c r="M64" s="589" t="str">
        <f t="shared" si="5"/>
        <v>aaron.griesheimer@house.mo.gov</v>
      </c>
      <c r="N64" s="587"/>
      <c r="O64" s="588">
        <v>2018.0</v>
      </c>
    </row>
    <row r="65">
      <c r="A65" s="14" t="s">
        <v>44</v>
      </c>
      <c r="B65" s="31">
        <v>62.0</v>
      </c>
      <c r="C65" s="35" t="s">
        <v>338</v>
      </c>
      <c r="D65" s="35" t="s">
        <v>408</v>
      </c>
      <c r="E65" s="51" t="s">
        <v>53</v>
      </c>
      <c r="F65" s="584"/>
      <c r="G65" s="393" t="s">
        <v>7570</v>
      </c>
      <c r="H65" s="14" t="s">
        <v>578</v>
      </c>
      <c r="I65" s="14" t="s">
        <v>7984</v>
      </c>
      <c r="L65" s="585" t="s">
        <v>7985</v>
      </c>
      <c r="M65" s="586" t="s">
        <v>7986</v>
      </c>
      <c r="N65" s="587"/>
      <c r="O65" s="588">
        <v>2012.0</v>
      </c>
    </row>
    <row r="66">
      <c r="A66" s="14" t="s">
        <v>44</v>
      </c>
      <c r="B66" s="31">
        <v>63.0</v>
      </c>
      <c r="C66" s="35" t="s">
        <v>2775</v>
      </c>
      <c r="D66" s="35" t="s">
        <v>1532</v>
      </c>
      <c r="E66" s="51" t="s">
        <v>53</v>
      </c>
      <c r="F66" s="584"/>
      <c r="G66" s="14" t="s">
        <v>7570</v>
      </c>
      <c r="H66" s="14" t="s">
        <v>7552</v>
      </c>
      <c r="L66" s="585" t="s">
        <v>7994</v>
      </c>
      <c r="M66" s="586" t="s">
        <v>7995</v>
      </c>
      <c r="N66" s="587"/>
      <c r="O66" s="588">
        <v>2012.0</v>
      </c>
    </row>
    <row r="67">
      <c r="A67" s="14" t="s">
        <v>44</v>
      </c>
      <c r="B67" s="31">
        <v>64.0</v>
      </c>
      <c r="C67" s="35" t="s">
        <v>980</v>
      </c>
      <c r="D67" s="35" t="s">
        <v>7998</v>
      </c>
      <c r="E67" s="51" t="s">
        <v>53</v>
      </c>
      <c r="F67" s="584"/>
      <c r="G67" s="14" t="s">
        <v>3542</v>
      </c>
      <c r="H67" s="14" t="s">
        <v>7843</v>
      </c>
      <c r="L67" s="585" t="s">
        <v>7999</v>
      </c>
      <c r="M67" s="589" t="str">
        <f>lower(concatenate(C67,".",D67,"@house.mo.gov"))</f>
        <v>tony.lovasco@house.mo.gov</v>
      </c>
      <c r="N67" s="587"/>
      <c r="O67" s="588">
        <v>2018.0</v>
      </c>
    </row>
    <row r="68">
      <c r="A68" s="14" t="s">
        <v>44</v>
      </c>
      <c r="B68" s="31">
        <v>65.0</v>
      </c>
      <c r="C68" s="35" t="s">
        <v>338</v>
      </c>
      <c r="D68" s="35" t="s">
        <v>8007</v>
      </c>
      <c r="E68" s="51" t="s">
        <v>53</v>
      </c>
      <c r="F68" s="584"/>
      <c r="G68" s="14" t="s">
        <v>8008</v>
      </c>
      <c r="H68" s="14" t="s">
        <v>8009</v>
      </c>
      <c r="L68" s="585" t="s">
        <v>8010</v>
      </c>
      <c r="M68" s="586" t="s">
        <v>8011</v>
      </c>
      <c r="N68" s="587"/>
      <c r="O68" s="588">
        <v>2016.0</v>
      </c>
    </row>
    <row r="69">
      <c r="A69" s="14" t="s">
        <v>44</v>
      </c>
      <c r="B69" s="31">
        <v>66.0</v>
      </c>
      <c r="C69" s="35" t="s">
        <v>8012</v>
      </c>
      <c r="D69" s="38" t="s">
        <v>8019</v>
      </c>
      <c r="E69" s="36" t="s">
        <v>49</v>
      </c>
      <c r="F69" s="393" t="s">
        <v>2029</v>
      </c>
      <c r="G69" s="14" t="s">
        <v>7533</v>
      </c>
      <c r="H69" s="14" t="s">
        <v>2667</v>
      </c>
      <c r="I69" s="14" t="s">
        <v>7785</v>
      </c>
      <c r="L69" s="585" t="s">
        <v>8020</v>
      </c>
      <c r="M69" s="586" t="s">
        <v>8021</v>
      </c>
      <c r="N69" s="587"/>
      <c r="O69" s="588">
        <v>2016.0</v>
      </c>
    </row>
    <row r="70">
      <c r="A70" s="14" t="s">
        <v>44</v>
      </c>
      <c r="B70" s="31">
        <v>67.0</v>
      </c>
      <c r="C70" s="35" t="s">
        <v>551</v>
      </c>
      <c r="D70" s="38" t="s">
        <v>2574</v>
      </c>
      <c r="E70" s="36" t="s">
        <v>49</v>
      </c>
      <c r="F70" s="584"/>
      <c r="G70" s="14" t="s">
        <v>8030</v>
      </c>
      <c r="L70" s="585" t="s">
        <v>8031</v>
      </c>
      <c r="M70" s="586" t="s">
        <v>8033</v>
      </c>
      <c r="N70" s="587"/>
      <c r="O70" s="588">
        <v>2014.0</v>
      </c>
    </row>
    <row r="71">
      <c r="A71" s="14" t="s">
        <v>44</v>
      </c>
      <c r="B71" s="31">
        <v>68.0</v>
      </c>
      <c r="C71" s="38" t="s">
        <v>1013</v>
      </c>
      <c r="D71" s="38" t="s">
        <v>8035</v>
      </c>
      <c r="E71" s="36" t="s">
        <v>49</v>
      </c>
      <c r="F71" s="584"/>
      <c r="G71" s="14" t="s">
        <v>7660</v>
      </c>
      <c r="L71" s="585" t="s">
        <v>8036</v>
      </c>
      <c r="M71" s="586" t="s">
        <v>8037</v>
      </c>
      <c r="N71" s="587"/>
      <c r="O71" s="588">
        <v>2016.0</v>
      </c>
    </row>
    <row r="72">
      <c r="A72" s="14" t="s">
        <v>44</v>
      </c>
      <c r="B72" s="31">
        <v>69.0</v>
      </c>
      <c r="C72" s="35" t="s">
        <v>7349</v>
      </c>
      <c r="D72" s="38" t="s">
        <v>8048</v>
      </c>
      <c r="E72" s="36" t="s">
        <v>49</v>
      </c>
      <c r="F72" s="584"/>
      <c r="G72" s="14" t="s">
        <v>515</v>
      </c>
      <c r="H72" s="14" t="s">
        <v>8049</v>
      </c>
      <c r="I72" s="14" t="s">
        <v>8050</v>
      </c>
      <c r="L72" s="585" t="s">
        <v>8051</v>
      </c>
      <c r="M72" s="586" t="s">
        <v>8052</v>
      </c>
      <c r="N72" s="587"/>
      <c r="O72" s="588">
        <v>2016.0</v>
      </c>
    </row>
    <row r="73">
      <c r="A73" s="14" t="s">
        <v>44</v>
      </c>
      <c r="B73" s="31">
        <v>70.0</v>
      </c>
      <c r="C73" s="590" t="s">
        <v>6005</v>
      </c>
      <c r="D73" s="590" t="s">
        <v>447</v>
      </c>
      <c r="E73" s="36" t="s">
        <v>49</v>
      </c>
      <c r="F73" s="584"/>
      <c r="G73" s="14" t="s">
        <v>515</v>
      </c>
      <c r="H73" s="14" t="s">
        <v>7842</v>
      </c>
      <c r="L73" s="585" t="s">
        <v>8053</v>
      </c>
      <c r="M73" s="589" t="str">
        <f t="shared" ref="M73:M76" si="6">lower(concatenate(C73,".",D73,"@house.mo.gov"))</f>
        <v>paula.brown@house.mo.gov</v>
      </c>
      <c r="N73" s="587"/>
      <c r="O73" s="588">
        <v>2018.0</v>
      </c>
    </row>
    <row r="74">
      <c r="A74" s="14" t="s">
        <v>44</v>
      </c>
      <c r="B74" s="31">
        <v>71.0</v>
      </c>
      <c r="C74" s="35" t="s">
        <v>8058</v>
      </c>
      <c r="D74" s="35" t="s">
        <v>8059</v>
      </c>
      <c r="E74" s="36" t="s">
        <v>49</v>
      </c>
      <c r="F74" s="584"/>
      <c r="G74" s="59" t="s">
        <v>7579</v>
      </c>
      <c r="H74" s="14" t="s">
        <v>7959</v>
      </c>
      <c r="I74" s="14" t="s">
        <v>8060</v>
      </c>
      <c r="J74" s="14" t="s">
        <v>7760</v>
      </c>
      <c r="L74" s="585" t="s">
        <v>8061</v>
      </c>
      <c r="M74" s="589" t="str">
        <f t="shared" si="6"/>
        <v>ladonna.appelbaum@house.mo.gov</v>
      </c>
      <c r="N74" s="587"/>
      <c r="O74" s="588">
        <v>2018.0</v>
      </c>
    </row>
    <row r="75">
      <c r="A75" s="14" t="s">
        <v>44</v>
      </c>
      <c r="B75" s="31">
        <v>72.0</v>
      </c>
      <c r="C75" s="35" t="s">
        <v>1146</v>
      </c>
      <c r="D75" s="35" t="s">
        <v>8063</v>
      </c>
      <c r="E75" s="36" t="s">
        <v>49</v>
      </c>
      <c r="F75" s="584"/>
      <c r="G75" s="59" t="s">
        <v>7579</v>
      </c>
      <c r="H75" s="14" t="s">
        <v>7719</v>
      </c>
      <c r="L75" s="585" t="s">
        <v>8064</v>
      </c>
      <c r="M75" s="589" t="str">
        <f t="shared" si="6"/>
        <v>doug.clemens@house.mo.gov</v>
      </c>
      <c r="N75" s="587"/>
      <c r="O75" s="588">
        <v>2018.0</v>
      </c>
    </row>
    <row r="76">
      <c r="A76" s="14" t="s">
        <v>44</v>
      </c>
      <c r="B76" s="31">
        <v>73.0</v>
      </c>
      <c r="C76" s="35" t="s">
        <v>8065</v>
      </c>
      <c r="D76" s="35" t="s">
        <v>8067</v>
      </c>
      <c r="E76" s="36" t="s">
        <v>49</v>
      </c>
      <c r="F76" s="584"/>
      <c r="G76" s="14" t="s">
        <v>7754</v>
      </c>
      <c r="H76" s="14" t="s">
        <v>515</v>
      </c>
      <c r="I76" s="14" t="s">
        <v>3530</v>
      </c>
      <c r="L76" s="585" t="s">
        <v>8068</v>
      </c>
      <c r="M76" s="589" t="str">
        <f t="shared" si="6"/>
        <v>raychel.proudie@house.mo.gov</v>
      </c>
      <c r="N76" s="587"/>
      <c r="O76" s="588">
        <v>2018.0</v>
      </c>
    </row>
    <row r="77">
      <c r="A77" s="14" t="s">
        <v>44</v>
      </c>
      <c r="B77" s="31">
        <v>74.0</v>
      </c>
      <c r="C77" s="35" t="s">
        <v>8069</v>
      </c>
      <c r="D77" s="35" t="s">
        <v>1275</v>
      </c>
      <c r="E77" s="36" t="s">
        <v>49</v>
      </c>
      <c r="F77" s="584"/>
      <c r="G77" s="59" t="s">
        <v>8072</v>
      </c>
      <c r="H77" s="14" t="s">
        <v>7552</v>
      </c>
      <c r="L77" s="585" t="s">
        <v>8073</v>
      </c>
      <c r="M77" s="586" t="s">
        <v>8074</v>
      </c>
      <c r="N77" s="587"/>
      <c r="O77" s="588">
        <v>2016.0</v>
      </c>
    </row>
    <row r="78">
      <c r="A78" s="14" t="s">
        <v>44</v>
      </c>
      <c r="B78" s="31">
        <v>75.0</v>
      </c>
      <c r="C78" s="35" t="s">
        <v>551</v>
      </c>
      <c r="D78" s="35" t="s">
        <v>658</v>
      </c>
      <c r="E78" s="36" t="s">
        <v>49</v>
      </c>
      <c r="F78" s="584"/>
      <c r="G78" s="14" t="s">
        <v>7589</v>
      </c>
      <c r="H78" s="14" t="s">
        <v>7591</v>
      </c>
      <c r="I78" s="14" t="s">
        <v>7646</v>
      </c>
      <c r="L78" s="585" t="s">
        <v>8079</v>
      </c>
      <c r="M78" s="586" t="s">
        <v>8080</v>
      </c>
      <c r="N78" s="587"/>
      <c r="O78" s="588">
        <v>2016.0</v>
      </c>
    </row>
    <row r="79">
      <c r="A79" s="14" t="s">
        <v>44</v>
      </c>
      <c r="B79" s="31">
        <v>76.0</v>
      </c>
      <c r="C79" s="35" t="s">
        <v>173</v>
      </c>
      <c r="D79" s="35" t="s">
        <v>1256</v>
      </c>
      <c r="E79" s="36" t="s">
        <v>49</v>
      </c>
      <c r="F79" s="584"/>
      <c r="G79" s="59" t="s">
        <v>7783</v>
      </c>
      <c r="H79" s="14" t="s">
        <v>8083</v>
      </c>
      <c r="I79" s="14" t="s">
        <v>7804</v>
      </c>
      <c r="L79" s="585" t="s">
        <v>8084</v>
      </c>
      <c r="M79" s="589" t="str">
        <f>lower(concatenate(C79,".",D79,"@house.mo.gov"))</f>
        <v>chris.carter@house.mo.gov</v>
      </c>
      <c r="N79" s="587"/>
      <c r="O79" s="588">
        <v>2018.0</v>
      </c>
    </row>
    <row r="80">
      <c r="A80" s="14" t="s">
        <v>44</v>
      </c>
      <c r="B80" s="31">
        <v>77.0</v>
      </c>
      <c r="C80" s="35" t="s">
        <v>1897</v>
      </c>
      <c r="D80" s="35" t="s">
        <v>788</v>
      </c>
      <c r="E80" s="36" t="s">
        <v>49</v>
      </c>
      <c r="F80" s="584"/>
      <c r="G80" s="14" t="s">
        <v>781</v>
      </c>
      <c r="H80" s="14" t="s">
        <v>8096</v>
      </c>
      <c r="I80" s="14" t="s">
        <v>7555</v>
      </c>
      <c r="L80" s="585" t="s">
        <v>8097</v>
      </c>
      <c r="M80" s="586" t="s">
        <v>8098</v>
      </c>
      <c r="N80" s="587"/>
      <c r="O80" s="588">
        <v>2016.0</v>
      </c>
    </row>
    <row r="81">
      <c r="A81" s="14" t="s">
        <v>44</v>
      </c>
      <c r="B81" s="31">
        <v>78.0</v>
      </c>
      <c r="C81" s="35" t="s">
        <v>1193</v>
      </c>
      <c r="D81" s="38" t="s">
        <v>8101</v>
      </c>
      <c r="E81" s="36" t="s">
        <v>49</v>
      </c>
      <c r="F81" s="584"/>
      <c r="G81" s="59" t="s">
        <v>8102</v>
      </c>
      <c r="H81" s="14" t="s">
        <v>8104</v>
      </c>
      <c r="L81" s="585" t="s">
        <v>8105</v>
      </c>
      <c r="M81" s="586" t="s">
        <v>8106</v>
      </c>
      <c r="N81" s="587"/>
      <c r="O81" s="588">
        <v>2016.0</v>
      </c>
    </row>
    <row r="82">
      <c r="A82" s="14" t="s">
        <v>44</v>
      </c>
      <c r="B82" s="31">
        <v>79.0</v>
      </c>
      <c r="C82" s="35" t="s">
        <v>8109</v>
      </c>
      <c r="D82" s="38" t="s">
        <v>8110</v>
      </c>
      <c r="E82" s="36" t="s">
        <v>49</v>
      </c>
      <c r="F82" s="584"/>
      <c r="G82" s="14" t="s">
        <v>2184</v>
      </c>
      <c r="H82" s="14" t="s">
        <v>7533</v>
      </c>
      <c r="L82" s="585" t="s">
        <v>8112</v>
      </c>
      <c r="M82" s="589" t="str">
        <f>lower(concatenate(C82,".",D82,"@house.mo.gov"))</f>
        <v>lakeysha.bosley@house.mo.gov</v>
      </c>
      <c r="N82" s="587"/>
      <c r="O82" s="588">
        <v>2018.0</v>
      </c>
    </row>
    <row r="83">
      <c r="A83" s="14" t="s">
        <v>44</v>
      </c>
      <c r="B83" s="31">
        <v>80.0</v>
      </c>
      <c r="C83" s="35" t="s">
        <v>367</v>
      </c>
      <c r="D83" s="38" t="s">
        <v>8125</v>
      </c>
      <c r="E83" s="36" t="s">
        <v>49</v>
      </c>
      <c r="F83" s="584"/>
      <c r="G83" s="14" t="s">
        <v>8126</v>
      </c>
      <c r="H83" s="14" t="s">
        <v>7533</v>
      </c>
      <c r="I83" s="14" t="s">
        <v>780</v>
      </c>
      <c r="L83" s="585" t="s">
        <v>8127</v>
      </c>
      <c r="M83" s="586" t="s">
        <v>8128</v>
      </c>
      <c r="N83" s="587"/>
      <c r="O83" s="588">
        <v>2016.0</v>
      </c>
    </row>
    <row r="84">
      <c r="A84" s="14" t="s">
        <v>44</v>
      </c>
      <c r="B84" s="31">
        <v>81.0</v>
      </c>
      <c r="C84" s="35" t="s">
        <v>55</v>
      </c>
      <c r="D84" s="38" t="s">
        <v>8129</v>
      </c>
      <c r="E84" s="36" t="s">
        <v>49</v>
      </c>
      <c r="F84" s="584"/>
      <c r="G84" s="14" t="s">
        <v>7760</v>
      </c>
      <c r="H84" s="14" t="s">
        <v>578</v>
      </c>
      <c r="L84" s="585" t="s">
        <v>8133</v>
      </c>
      <c r="M84" s="589" t="str">
        <f>lower(concatenate(C84,".",D84,"@house.mo.gov"))</f>
        <v>steve.butz@house.mo.gov</v>
      </c>
      <c r="N84" s="587"/>
      <c r="O84" s="588">
        <v>2018.0</v>
      </c>
    </row>
    <row r="85">
      <c r="A85" s="14" t="s">
        <v>44</v>
      </c>
      <c r="B85" s="31">
        <v>82.0</v>
      </c>
      <c r="C85" s="35" t="s">
        <v>3404</v>
      </c>
      <c r="D85" s="38" t="s">
        <v>8145</v>
      </c>
      <c r="E85" s="36" t="s">
        <v>49</v>
      </c>
      <c r="F85" s="584"/>
      <c r="G85" s="14" t="s">
        <v>8147</v>
      </c>
      <c r="H85" s="14" t="s">
        <v>8148</v>
      </c>
      <c r="I85" s="14" t="s">
        <v>7776</v>
      </c>
      <c r="L85" s="585" t="s">
        <v>8149</v>
      </c>
      <c r="M85" s="586" t="s">
        <v>8150</v>
      </c>
      <c r="N85" s="587"/>
      <c r="O85" s="588">
        <v>2016.0</v>
      </c>
    </row>
    <row r="86">
      <c r="A86" s="14" t="s">
        <v>44</v>
      </c>
      <c r="B86" s="31">
        <v>83.0</v>
      </c>
      <c r="C86" s="35" t="s">
        <v>6130</v>
      </c>
      <c r="D86" s="38" t="s">
        <v>8156</v>
      </c>
      <c r="E86" s="36" t="s">
        <v>49</v>
      </c>
      <c r="F86" s="584"/>
      <c r="G86" s="14" t="s">
        <v>8158</v>
      </c>
      <c r="H86" s="14" t="s">
        <v>8159</v>
      </c>
      <c r="I86" s="14" t="s">
        <v>8160</v>
      </c>
      <c r="J86" s="14" t="s">
        <v>7801</v>
      </c>
      <c r="L86" s="585" t="s">
        <v>8161</v>
      </c>
      <c r="M86" s="586" t="s">
        <v>8162</v>
      </c>
      <c r="N86" s="587"/>
      <c r="O86" s="588">
        <v>2012.0</v>
      </c>
    </row>
    <row r="87">
      <c r="A87" s="14" t="s">
        <v>44</v>
      </c>
      <c r="B87" s="31">
        <v>84.0</v>
      </c>
      <c r="C87" s="35" t="s">
        <v>8163</v>
      </c>
      <c r="D87" s="38" t="s">
        <v>906</v>
      </c>
      <c r="E87" s="36" t="s">
        <v>49</v>
      </c>
      <c r="F87" s="584"/>
      <c r="G87" s="14" t="s">
        <v>7843</v>
      </c>
      <c r="L87" s="585" t="s">
        <v>8164</v>
      </c>
      <c r="M87" s="589" t="str">
        <f t="shared" ref="M87:M88" si="7">lower(concatenate(C87,".",D87,"@house.mo.gov"))</f>
        <v>wiley.price@house.mo.gov</v>
      </c>
      <c r="N87" s="587"/>
      <c r="O87" s="588">
        <v>2018.0</v>
      </c>
    </row>
    <row r="88">
      <c r="A88" s="14" t="s">
        <v>44</v>
      </c>
      <c r="B88" s="31">
        <v>85.0</v>
      </c>
      <c r="C88" s="35" t="s">
        <v>971</v>
      </c>
      <c r="D88" s="38" t="s">
        <v>8168</v>
      </c>
      <c r="E88" s="36" t="s">
        <v>49</v>
      </c>
      <c r="F88" s="393" t="s">
        <v>8169</v>
      </c>
      <c r="G88" s="14" t="s">
        <v>8170</v>
      </c>
      <c r="H88" s="14" t="s">
        <v>7589</v>
      </c>
      <c r="I88" s="14" t="s">
        <v>578</v>
      </c>
      <c r="L88" s="585" t="s">
        <v>8172</v>
      </c>
      <c r="M88" s="589" t="str">
        <f t="shared" si="7"/>
        <v>kevin.windham jr.@house.mo.gov</v>
      </c>
      <c r="N88" s="587"/>
      <c r="O88" s="588">
        <v>2018.0</v>
      </c>
    </row>
    <row r="89">
      <c r="A89" s="14" t="s">
        <v>44</v>
      </c>
      <c r="B89" s="31">
        <v>86.0</v>
      </c>
      <c r="C89" s="35" t="s">
        <v>2174</v>
      </c>
      <c r="D89" s="38" t="s">
        <v>8173</v>
      </c>
      <c r="E89" s="36" t="s">
        <v>49</v>
      </c>
      <c r="F89" s="584"/>
      <c r="G89" s="59" t="s">
        <v>7579</v>
      </c>
      <c r="H89" s="14" t="s">
        <v>3542</v>
      </c>
      <c r="I89" s="14" t="s">
        <v>8175</v>
      </c>
      <c r="L89" s="585" t="s">
        <v>8176</v>
      </c>
      <c r="M89" s="586" t="s">
        <v>8177</v>
      </c>
      <c r="N89" s="587"/>
      <c r="O89" s="588">
        <v>2004.0</v>
      </c>
    </row>
    <row r="90">
      <c r="A90" s="14" t="s">
        <v>44</v>
      </c>
      <c r="B90" s="31">
        <v>87.0</v>
      </c>
      <c r="C90" s="35" t="s">
        <v>1783</v>
      </c>
      <c r="D90" s="38" t="s">
        <v>8178</v>
      </c>
      <c r="E90" s="36" t="s">
        <v>49</v>
      </c>
      <c r="F90" s="584"/>
      <c r="G90" s="14" t="s">
        <v>781</v>
      </c>
      <c r="H90" s="14" t="s">
        <v>8179</v>
      </c>
      <c r="I90" s="14" t="s">
        <v>8180</v>
      </c>
      <c r="L90" s="585" t="s">
        <v>8181</v>
      </c>
      <c r="M90" s="589" t="str">
        <f>lower(concatenate(C90,".",D90,"@house.mo.gov"))</f>
        <v>ian.mackey@house.mo.gov</v>
      </c>
      <c r="N90" s="587"/>
      <c r="O90" s="588">
        <v>2018.0</v>
      </c>
    </row>
    <row r="91">
      <c r="A91" s="14" t="s">
        <v>44</v>
      </c>
      <c r="B91" s="31">
        <v>88.0</v>
      </c>
      <c r="C91" s="35" t="s">
        <v>273</v>
      </c>
      <c r="D91" s="35" t="s">
        <v>8190</v>
      </c>
      <c r="E91" s="36" t="s">
        <v>49</v>
      </c>
      <c r="F91" s="584"/>
      <c r="G91" s="14" t="s">
        <v>7635</v>
      </c>
      <c r="H91" s="14" t="s">
        <v>8193</v>
      </c>
      <c r="I91" s="14" t="s">
        <v>8194</v>
      </c>
      <c r="J91" s="14" t="s">
        <v>8195</v>
      </c>
      <c r="L91" s="585" t="s">
        <v>8197</v>
      </c>
      <c r="M91" s="586" t="s">
        <v>8198</v>
      </c>
      <c r="N91" s="587"/>
      <c r="O91" s="588">
        <v>2011.0</v>
      </c>
    </row>
    <row r="92">
      <c r="A92" s="14" t="s">
        <v>44</v>
      </c>
      <c r="B92" s="31">
        <v>89.0</v>
      </c>
      <c r="C92" s="35" t="s">
        <v>4340</v>
      </c>
      <c r="D92" s="35" t="s">
        <v>8203</v>
      </c>
      <c r="E92" s="51" t="s">
        <v>53</v>
      </c>
      <c r="F92" s="584"/>
      <c r="G92" s="14" t="s">
        <v>8204</v>
      </c>
      <c r="L92" s="585" t="s">
        <v>8205</v>
      </c>
      <c r="M92" s="586" t="s">
        <v>8206</v>
      </c>
      <c r="N92" s="587"/>
      <c r="O92" s="588">
        <v>2015.0</v>
      </c>
    </row>
    <row r="93">
      <c r="A93" s="14" t="s">
        <v>44</v>
      </c>
      <c r="B93" s="31">
        <v>90.0</v>
      </c>
      <c r="C93" s="35" t="s">
        <v>7370</v>
      </c>
      <c r="D93" s="35" t="s">
        <v>8207</v>
      </c>
      <c r="E93" s="36" t="s">
        <v>49</v>
      </c>
      <c r="F93" s="584"/>
      <c r="G93" s="14" t="s">
        <v>7533</v>
      </c>
      <c r="H93" s="14" t="s">
        <v>7570</v>
      </c>
      <c r="L93" s="585" t="s">
        <v>8211</v>
      </c>
      <c r="M93" s="586" t="s">
        <v>8212</v>
      </c>
      <c r="N93" s="587"/>
      <c r="O93" s="588">
        <v>2014.0</v>
      </c>
    </row>
    <row r="94">
      <c r="A94" s="14" t="s">
        <v>44</v>
      </c>
      <c r="B94" s="31">
        <v>91.0</v>
      </c>
      <c r="C94" s="35" t="s">
        <v>210</v>
      </c>
      <c r="D94" s="35" t="s">
        <v>8217</v>
      </c>
      <c r="E94" s="36" t="s">
        <v>49</v>
      </c>
      <c r="F94" s="393" t="s">
        <v>8218</v>
      </c>
      <c r="G94" s="59" t="s">
        <v>7579</v>
      </c>
      <c r="H94" s="14" t="s">
        <v>8219</v>
      </c>
      <c r="I94" s="14" t="s">
        <v>8220</v>
      </c>
      <c r="L94" s="585" t="s">
        <v>8221</v>
      </c>
      <c r="M94" s="586" t="s">
        <v>8222</v>
      </c>
      <c r="N94" s="587"/>
      <c r="O94" s="588">
        <v>2016.0</v>
      </c>
    </row>
    <row r="95">
      <c r="A95" s="14" t="s">
        <v>44</v>
      </c>
      <c r="B95" s="31">
        <v>92.0</v>
      </c>
      <c r="C95" s="35" t="s">
        <v>1146</v>
      </c>
      <c r="D95" s="35" t="s">
        <v>1494</v>
      </c>
      <c r="E95" s="36" t="s">
        <v>49</v>
      </c>
      <c r="F95" s="584"/>
      <c r="G95" s="14" t="s">
        <v>8224</v>
      </c>
      <c r="H95" s="14" t="s">
        <v>8225</v>
      </c>
      <c r="I95" s="14" t="s">
        <v>7913</v>
      </c>
      <c r="L95" s="585" t="s">
        <v>8226</v>
      </c>
      <c r="M95" s="586" t="s">
        <v>8227</v>
      </c>
      <c r="N95" s="587"/>
      <c r="O95" s="588">
        <v>2016.0</v>
      </c>
    </row>
    <row r="96">
      <c r="A96" s="14" t="s">
        <v>44</v>
      </c>
      <c r="B96" s="31">
        <v>93.0</v>
      </c>
      <c r="C96" s="35" t="s">
        <v>419</v>
      </c>
      <c r="D96" s="35" t="s">
        <v>4107</v>
      </c>
      <c r="E96" s="36" t="s">
        <v>49</v>
      </c>
      <c r="F96" s="584"/>
      <c r="L96" s="585" t="s">
        <v>8230</v>
      </c>
      <c r="M96" s="586" t="s">
        <v>8231</v>
      </c>
      <c r="N96" s="587"/>
      <c r="O96" s="588">
        <v>2012.0</v>
      </c>
    </row>
    <row r="97">
      <c r="A97" s="14" t="s">
        <v>44</v>
      </c>
      <c r="B97" s="31">
        <v>94.0</v>
      </c>
      <c r="C97" s="74" t="s">
        <v>476</v>
      </c>
      <c r="D97" s="74" t="s">
        <v>3019</v>
      </c>
      <c r="E97" s="51" t="s">
        <v>53</v>
      </c>
      <c r="F97" s="414"/>
      <c r="G97" s="14" t="s">
        <v>7749</v>
      </c>
      <c r="L97" s="585" t="s">
        <v>8232</v>
      </c>
      <c r="M97" s="589" t="str">
        <f t="shared" ref="M97:M98" si="8">lower(concatenate(C97,".",D97,"@house.mo.gov"))</f>
        <v>jim.murphy@house.mo.gov</v>
      </c>
      <c r="N97" s="587"/>
      <c r="O97" s="588">
        <v>2018.0</v>
      </c>
    </row>
    <row r="98">
      <c r="A98" s="14" t="s">
        <v>44</v>
      </c>
      <c r="B98" s="31">
        <v>95.0</v>
      </c>
      <c r="C98" s="35" t="s">
        <v>2490</v>
      </c>
      <c r="D98" s="35" t="s">
        <v>1919</v>
      </c>
      <c r="E98" s="51" t="s">
        <v>53</v>
      </c>
      <c r="F98" s="584"/>
      <c r="G98" s="14" t="s">
        <v>7533</v>
      </c>
      <c r="H98" s="14" t="s">
        <v>7719</v>
      </c>
      <c r="I98" s="14" t="s">
        <v>7854</v>
      </c>
      <c r="L98" s="585" t="s">
        <v>8234</v>
      </c>
      <c r="M98" s="597" t="str">
        <f t="shared" si="8"/>
        <v>michael.o'donnell@house.mo.gov</v>
      </c>
      <c r="N98" s="587"/>
      <c r="O98" s="588">
        <v>2018.0</v>
      </c>
    </row>
    <row r="99">
      <c r="A99" s="14" t="s">
        <v>44</v>
      </c>
      <c r="B99" s="31">
        <v>96.0</v>
      </c>
      <c r="C99" s="35" t="s">
        <v>108</v>
      </c>
      <c r="D99" s="35" t="s">
        <v>823</v>
      </c>
      <c r="E99" s="51" t="s">
        <v>53</v>
      </c>
      <c r="F99" s="584"/>
      <c r="G99" s="14" t="s">
        <v>4146</v>
      </c>
      <c r="H99" s="14" t="s">
        <v>8237</v>
      </c>
      <c r="I99" s="14" t="s">
        <v>7533</v>
      </c>
      <c r="J99" s="14" t="s">
        <v>780</v>
      </c>
      <c r="L99" s="585" t="s">
        <v>8238</v>
      </c>
      <c r="M99" s="586" t="s">
        <v>8239</v>
      </c>
      <c r="N99" s="587"/>
      <c r="O99" s="588">
        <v>2016.0</v>
      </c>
    </row>
    <row r="100">
      <c r="A100" s="14" t="s">
        <v>44</v>
      </c>
      <c r="B100" s="31">
        <v>97.0</v>
      </c>
      <c r="C100" s="35" t="s">
        <v>514</v>
      </c>
      <c r="D100" s="35" t="s">
        <v>508</v>
      </c>
      <c r="E100" s="51" t="s">
        <v>53</v>
      </c>
      <c r="F100" s="584"/>
      <c r="G100" s="14" t="s">
        <v>781</v>
      </c>
      <c r="H100" s="14" t="s">
        <v>515</v>
      </c>
      <c r="I100" s="14" t="s">
        <v>7635</v>
      </c>
      <c r="L100" s="585" t="s">
        <v>8240</v>
      </c>
      <c r="M100" s="598" t="s">
        <v>8241</v>
      </c>
      <c r="N100" s="587"/>
      <c r="O100" s="588">
        <v>2018.0</v>
      </c>
    </row>
    <row r="101">
      <c r="A101" s="14" t="s">
        <v>44</v>
      </c>
      <c r="B101" s="31">
        <v>98.0</v>
      </c>
      <c r="C101" s="393" t="s">
        <v>8245</v>
      </c>
      <c r="D101" s="393" t="s">
        <v>8246</v>
      </c>
      <c r="E101" s="51" t="s">
        <v>53</v>
      </c>
      <c r="G101" s="14" t="s">
        <v>515</v>
      </c>
      <c r="H101" s="14" t="s">
        <v>780</v>
      </c>
      <c r="L101" s="585" t="s">
        <v>8247</v>
      </c>
      <c r="M101" s="586" t="s">
        <v>8248</v>
      </c>
      <c r="N101" s="587"/>
      <c r="O101" s="588">
        <v>2014.0</v>
      </c>
    </row>
    <row r="102">
      <c r="A102" s="14" t="s">
        <v>44</v>
      </c>
      <c r="B102" s="31">
        <v>99.0</v>
      </c>
      <c r="C102" s="35" t="s">
        <v>837</v>
      </c>
      <c r="D102" s="35" t="s">
        <v>1332</v>
      </c>
      <c r="E102" s="51" t="s">
        <v>53</v>
      </c>
      <c r="F102" s="584"/>
      <c r="G102" s="14" t="s">
        <v>8254</v>
      </c>
      <c r="H102" s="14" t="s">
        <v>7635</v>
      </c>
      <c r="L102" s="585" t="s">
        <v>8255</v>
      </c>
      <c r="M102" s="586" t="s">
        <v>8256</v>
      </c>
      <c r="N102" s="587"/>
      <c r="O102" s="588">
        <v>2016.0</v>
      </c>
    </row>
    <row r="103">
      <c r="A103" s="14" t="s">
        <v>44</v>
      </c>
      <c r="B103" s="31">
        <v>100.0</v>
      </c>
      <c r="C103" s="35" t="s">
        <v>2525</v>
      </c>
      <c r="D103" s="35" t="s">
        <v>67</v>
      </c>
      <c r="E103" s="51" t="s">
        <v>53</v>
      </c>
      <c r="F103" s="584"/>
      <c r="G103" s="14" t="s">
        <v>8258</v>
      </c>
      <c r="H103" s="14" t="s">
        <v>7728</v>
      </c>
      <c r="L103" s="585" t="s">
        <v>8259</v>
      </c>
      <c r="M103" s="586" t="s">
        <v>8260</v>
      </c>
      <c r="N103" s="587"/>
      <c r="O103" s="588">
        <v>2016.0</v>
      </c>
    </row>
    <row r="104">
      <c r="A104" s="14" t="s">
        <v>44</v>
      </c>
      <c r="B104" s="31">
        <v>101.0</v>
      </c>
      <c r="C104" s="35" t="s">
        <v>1193</v>
      </c>
      <c r="D104" s="35" t="s">
        <v>8263</v>
      </c>
      <c r="E104" s="51" t="s">
        <v>53</v>
      </c>
      <c r="F104" s="584"/>
      <c r="G104" s="14" t="s">
        <v>3130</v>
      </c>
      <c r="H104" s="14" t="s">
        <v>8264</v>
      </c>
      <c r="I104" s="14" t="s">
        <v>8265</v>
      </c>
      <c r="L104" s="585" t="s">
        <v>8266</v>
      </c>
      <c r="M104" s="586" t="s">
        <v>8267</v>
      </c>
      <c r="N104" s="587"/>
      <c r="O104" s="588">
        <v>2016.0</v>
      </c>
    </row>
    <row r="105">
      <c r="A105" s="14" t="s">
        <v>44</v>
      </c>
      <c r="B105" s="31">
        <v>102.0</v>
      </c>
      <c r="C105" s="35" t="s">
        <v>1813</v>
      </c>
      <c r="D105" s="35" t="s">
        <v>8268</v>
      </c>
      <c r="E105" s="51" t="s">
        <v>53</v>
      </c>
      <c r="F105" s="584"/>
      <c r="G105" s="14" t="s">
        <v>8269</v>
      </c>
      <c r="H105" s="14" t="s">
        <v>7635</v>
      </c>
      <c r="I105" s="14" t="s">
        <v>7785</v>
      </c>
      <c r="J105" s="14" t="s">
        <v>7635</v>
      </c>
      <c r="L105" s="585" t="s">
        <v>8270</v>
      </c>
      <c r="M105" s="586" t="s">
        <v>8271</v>
      </c>
      <c r="N105" s="587"/>
      <c r="O105" s="588">
        <v>2012.0</v>
      </c>
    </row>
    <row r="106">
      <c r="A106" s="14" t="s">
        <v>44</v>
      </c>
      <c r="B106" s="31">
        <v>103.0</v>
      </c>
      <c r="C106" s="35" t="s">
        <v>278</v>
      </c>
      <c r="D106" s="35" t="s">
        <v>8272</v>
      </c>
      <c r="E106" s="51" t="s">
        <v>53</v>
      </c>
      <c r="F106" s="393" t="s">
        <v>8273</v>
      </c>
      <c r="G106" s="14" t="s">
        <v>7776</v>
      </c>
      <c r="L106" s="585" t="s">
        <v>8274</v>
      </c>
      <c r="M106" s="586" t="s">
        <v>8275</v>
      </c>
      <c r="N106" s="587"/>
      <c r="O106" s="588">
        <v>2014.0</v>
      </c>
    </row>
    <row r="107">
      <c r="A107" s="14" t="s">
        <v>44</v>
      </c>
      <c r="B107" s="31">
        <v>104.0</v>
      </c>
      <c r="C107" s="35" t="s">
        <v>69</v>
      </c>
      <c r="D107" s="35" t="s">
        <v>8278</v>
      </c>
      <c r="E107" s="51" t="s">
        <v>53</v>
      </c>
      <c r="F107" s="584"/>
      <c r="G107" s="14" t="s">
        <v>7591</v>
      </c>
      <c r="L107" s="585" t="s">
        <v>8279</v>
      </c>
      <c r="M107" s="586" t="s">
        <v>8280</v>
      </c>
      <c r="N107" s="587"/>
      <c r="O107" s="588">
        <v>2018.0</v>
      </c>
    </row>
    <row r="108">
      <c r="A108" s="14" t="s">
        <v>44</v>
      </c>
      <c r="B108" s="31">
        <v>105.0</v>
      </c>
      <c r="C108" s="35" t="s">
        <v>1483</v>
      </c>
      <c r="D108" s="35" t="s">
        <v>8282</v>
      </c>
      <c r="E108" s="51" t="s">
        <v>53</v>
      </c>
      <c r="F108" s="584"/>
      <c r="G108" s="14" t="s">
        <v>7590</v>
      </c>
      <c r="H108" s="14" t="s">
        <v>8283</v>
      </c>
      <c r="I108" s="14" t="s">
        <v>3820</v>
      </c>
      <c r="L108" s="585" t="s">
        <v>8284</v>
      </c>
      <c r="M108" s="586" t="s">
        <v>8285</v>
      </c>
      <c r="N108" s="587"/>
      <c r="O108" s="588">
        <v>2016.0</v>
      </c>
    </row>
    <row r="109">
      <c r="A109" s="14" t="s">
        <v>44</v>
      </c>
      <c r="B109" s="31">
        <v>106.0</v>
      </c>
      <c r="C109" s="35" t="s">
        <v>8286</v>
      </c>
      <c r="D109" s="35" t="s">
        <v>4390</v>
      </c>
      <c r="E109" s="51" t="s">
        <v>53</v>
      </c>
      <c r="F109" s="584"/>
      <c r="G109" s="14" t="s">
        <v>8289</v>
      </c>
      <c r="H109" s="14" t="s">
        <v>7801</v>
      </c>
      <c r="I109" s="14" t="s">
        <v>8290</v>
      </c>
      <c r="L109" s="585" t="s">
        <v>8291</v>
      </c>
      <c r="M109" s="586" t="s">
        <v>8292</v>
      </c>
      <c r="N109" s="587"/>
      <c r="O109" s="588">
        <v>2012.0</v>
      </c>
    </row>
    <row r="110">
      <c r="A110" s="14" t="s">
        <v>44</v>
      </c>
      <c r="B110" s="31">
        <v>107.0</v>
      </c>
      <c r="C110" s="35" t="s">
        <v>3030</v>
      </c>
      <c r="D110" s="35" t="s">
        <v>8293</v>
      </c>
      <c r="E110" s="51" t="s">
        <v>53</v>
      </c>
      <c r="F110" s="584"/>
      <c r="G110" s="14" t="s">
        <v>781</v>
      </c>
      <c r="H110" s="59" t="s">
        <v>7579</v>
      </c>
      <c r="I110" s="14" t="s">
        <v>7635</v>
      </c>
      <c r="J110" s="14" t="s">
        <v>8294</v>
      </c>
      <c r="L110" s="585" t="s">
        <v>8270</v>
      </c>
      <c r="M110" s="586" t="s">
        <v>8295</v>
      </c>
      <c r="N110" s="587"/>
      <c r="O110" s="588">
        <v>2016.0</v>
      </c>
    </row>
    <row r="111">
      <c r="A111" s="14" t="s">
        <v>44</v>
      </c>
      <c r="B111" s="31">
        <v>108.0</v>
      </c>
      <c r="C111" s="35" t="s">
        <v>786</v>
      </c>
      <c r="D111" s="35" t="s">
        <v>485</v>
      </c>
      <c r="E111" s="51" t="s">
        <v>53</v>
      </c>
      <c r="F111" s="584"/>
      <c r="G111" s="14" t="s">
        <v>781</v>
      </c>
      <c r="H111" s="59" t="s">
        <v>7783</v>
      </c>
      <c r="I111" s="59" t="s">
        <v>7579</v>
      </c>
      <c r="J111" s="14" t="s">
        <v>7683</v>
      </c>
      <c r="L111" s="585" t="s">
        <v>8299</v>
      </c>
      <c r="M111" s="586" t="s">
        <v>8300</v>
      </c>
      <c r="N111" s="587"/>
      <c r="O111" s="588">
        <v>2014.0</v>
      </c>
    </row>
    <row r="112">
      <c r="A112" s="14" t="s">
        <v>44</v>
      </c>
      <c r="B112" s="31">
        <v>109.0</v>
      </c>
      <c r="C112" s="35" t="s">
        <v>278</v>
      </c>
      <c r="D112" s="35" t="s">
        <v>2800</v>
      </c>
      <c r="E112" s="51" t="s">
        <v>53</v>
      </c>
      <c r="F112" s="584"/>
      <c r="G112" s="14" t="s">
        <v>8096</v>
      </c>
      <c r="H112" s="14" t="s">
        <v>7848</v>
      </c>
      <c r="I112" s="14" t="s">
        <v>8301</v>
      </c>
      <c r="L112" s="585" t="s">
        <v>8302</v>
      </c>
      <c r="M112" s="589" t="str">
        <f t="shared" ref="M112:M113" si="9">lower(concatenate(C112,".",D112,"@house.mo.gov"))</f>
        <v>john.simmons@house.mo.gov</v>
      </c>
      <c r="N112" s="587"/>
      <c r="O112" s="588">
        <v>2018.0</v>
      </c>
    </row>
    <row r="113">
      <c r="A113" s="14" t="s">
        <v>44</v>
      </c>
      <c r="B113" s="31">
        <v>110.0</v>
      </c>
      <c r="C113" s="35" t="s">
        <v>8304</v>
      </c>
      <c r="D113" s="35" t="s">
        <v>4464</v>
      </c>
      <c r="E113" s="51" t="s">
        <v>53</v>
      </c>
      <c r="F113" s="584"/>
      <c r="G113" s="14" t="s">
        <v>7754</v>
      </c>
      <c r="H113" s="14" t="s">
        <v>515</v>
      </c>
      <c r="I113" s="14" t="s">
        <v>8305</v>
      </c>
      <c r="L113" s="585" t="s">
        <v>8306</v>
      </c>
      <c r="M113" s="589" t="str">
        <f t="shared" si="9"/>
        <v>dottie.bailey@house.mo.gov</v>
      </c>
      <c r="N113" s="587"/>
      <c r="O113" s="588">
        <v>2018.0</v>
      </c>
    </row>
    <row r="114">
      <c r="A114" s="14" t="s">
        <v>44</v>
      </c>
      <c r="B114" s="31">
        <v>111.0</v>
      </c>
      <c r="C114" s="35" t="s">
        <v>756</v>
      </c>
      <c r="D114" s="35" t="s">
        <v>8310</v>
      </c>
      <c r="E114" s="51" t="s">
        <v>53</v>
      </c>
      <c r="F114" s="584"/>
      <c r="G114" s="14" t="s">
        <v>8311</v>
      </c>
      <c r="H114" s="14" t="s">
        <v>8312</v>
      </c>
      <c r="L114" s="585" t="s">
        <v>8313</v>
      </c>
      <c r="M114" s="586" t="s">
        <v>8314</v>
      </c>
      <c r="N114" s="587"/>
      <c r="O114" s="588">
        <v>2014.0</v>
      </c>
    </row>
    <row r="115">
      <c r="A115" s="14" t="s">
        <v>44</v>
      </c>
      <c r="B115" s="31">
        <v>112.0</v>
      </c>
      <c r="C115" s="35" t="s">
        <v>1476</v>
      </c>
      <c r="D115" s="35" t="s">
        <v>8316</v>
      </c>
      <c r="E115" s="51" t="s">
        <v>53</v>
      </c>
      <c r="F115" s="393" t="s">
        <v>3235</v>
      </c>
      <c r="L115" s="585" t="s">
        <v>8317</v>
      </c>
      <c r="M115" s="586" t="s">
        <v>8318</v>
      </c>
      <c r="N115" s="587"/>
      <c r="O115" s="588">
        <v>2014.0</v>
      </c>
    </row>
    <row r="116">
      <c r="A116" s="14" t="s">
        <v>44</v>
      </c>
      <c r="B116" s="31">
        <v>113.0</v>
      </c>
      <c r="C116" s="35" t="s">
        <v>239</v>
      </c>
      <c r="D116" s="35" t="s">
        <v>8322</v>
      </c>
      <c r="E116" s="51" t="s">
        <v>53</v>
      </c>
      <c r="F116" s="584"/>
      <c r="G116" s="14" t="s">
        <v>8323</v>
      </c>
      <c r="H116" s="14" t="s">
        <v>7625</v>
      </c>
      <c r="I116" s="14" t="s">
        <v>8324</v>
      </c>
      <c r="L116" s="585" t="s">
        <v>8325</v>
      </c>
      <c r="M116" s="586" t="s">
        <v>8326</v>
      </c>
      <c r="N116" s="587"/>
      <c r="O116" s="588">
        <v>2014.0</v>
      </c>
    </row>
    <row r="117">
      <c r="A117" s="14" t="s">
        <v>44</v>
      </c>
      <c r="B117" s="31">
        <v>114.0</v>
      </c>
      <c r="C117" s="35" t="s">
        <v>364</v>
      </c>
      <c r="D117" s="35" t="s">
        <v>2779</v>
      </c>
      <c r="E117" s="51" t="s">
        <v>53</v>
      </c>
      <c r="F117" s="584"/>
      <c r="G117" s="59" t="s">
        <v>7579</v>
      </c>
      <c r="H117" s="14" t="s">
        <v>7854</v>
      </c>
      <c r="I117" s="14" t="s">
        <v>3429</v>
      </c>
      <c r="L117" s="585" t="s">
        <v>8328</v>
      </c>
      <c r="M117" s="586" t="s">
        <v>8329</v>
      </c>
      <c r="N117" s="587"/>
      <c r="O117" s="588">
        <v>2014.0</v>
      </c>
    </row>
    <row r="118">
      <c r="A118" s="14" t="s">
        <v>44</v>
      </c>
      <c r="B118" s="31">
        <v>115.0</v>
      </c>
      <c r="C118" s="35" t="s">
        <v>3948</v>
      </c>
      <c r="D118" s="35" t="s">
        <v>3838</v>
      </c>
      <c r="E118" s="51" t="s">
        <v>53</v>
      </c>
      <c r="F118" s="584"/>
      <c r="G118" s="14" t="s">
        <v>3607</v>
      </c>
      <c r="H118" s="14" t="s">
        <v>7562</v>
      </c>
      <c r="L118" s="585" t="s">
        <v>8336</v>
      </c>
      <c r="M118" s="586" t="s">
        <v>8337</v>
      </c>
      <c r="N118" s="587"/>
      <c r="O118" s="588">
        <v>2012.0</v>
      </c>
    </row>
    <row r="119">
      <c r="A119" s="14" t="s">
        <v>44</v>
      </c>
      <c r="B119" s="31">
        <v>116.0</v>
      </c>
      <c r="C119" s="35" t="s">
        <v>3296</v>
      </c>
      <c r="D119" s="35" t="s">
        <v>3221</v>
      </c>
      <c r="E119" s="51" t="s">
        <v>53</v>
      </c>
      <c r="F119" s="584"/>
      <c r="G119" s="59" t="s">
        <v>7579</v>
      </c>
      <c r="H119" s="14" t="s">
        <v>7683</v>
      </c>
      <c r="L119" s="585" t="s">
        <v>8339</v>
      </c>
      <c r="M119" s="589" t="str">
        <f>lower(concatenate(C119,".",D119,"@house.mo.gov"))</f>
        <v>dale.wright@house.mo.gov</v>
      </c>
      <c r="N119" s="587"/>
      <c r="O119" s="588">
        <v>2018.0</v>
      </c>
    </row>
    <row r="120">
      <c r="A120" s="14" t="s">
        <v>44</v>
      </c>
      <c r="B120" s="31">
        <v>117.0</v>
      </c>
      <c r="C120" s="35" t="s">
        <v>157</v>
      </c>
      <c r="D120" s="35" t="s">
        <v>2092</v>
      </c>
      <c r="E120" s="51" t="s">
        <v>53</v>
      </c>
      <c r="F120" s="584"/>
      <c r="G120" s="14" t="s">
        <v>8345</v>
      </c>
      <c r="H120" s="14" t="s">
        <v>7563</v>
      </c>
      <c r="I120" s="14" t="s">
        <v>8160</v>
      </c>
      <c r="L120" s="585" t="s">
        <v>8346</v>
      </c>
      <c r="M120" s="586" t="s">
        <v>8347</v>
      </c>
      <c r="N120" s="587"/>
      <c r="O120" s="588">
        <v>2016.0</v>
      </c>
    </row>
    <row r="121">
      <c r="A121" s="14" t="s">
        <v>44</v>
      </c>
      <c r="B121" s="31">
        <v>118.0</v>
      </c>
      <c r="C121" s="35" t="s">
        <v>157</v>
      </c>
      <c r="D121" s="35" t="s">
        <v>8348</v>
      </c>
      <c r="E121" s="51" t="s">
        <v>53</v>
      </c>
      <c r="F121" s="584"/>
      <c r="G121" s="14" t="s">
        <v>2239</v>
      </c>
      <c r="H121" s="14" t="s">
        <v>8324</v>
      </c>
      <c r="I121" s="14" t="s">
        <v>7854</v>
      </c>
      <c r="L121" s="585" t="s">
        <v>8349</v>
      </c>
      <c r="M121" s="589" t="str">
        <f>lower(concatenate(C121,".",D121,"@house.mo.gov"))</f>
        <v>mike.mcgirl@house.mo.gov</v>
      </c>
      <c r="N121" s="587"/>
      <c r="O121" s="588">
        <v>2018.0</v>
      </c>
    </row>
    <row r="122">
      <c r="A122" s="14" t="s">
        <v>44</v>
      </c>
      <c r="B122" s="31">
        <v>119.0</v>
      </c>
      <c r="C122" s="35" t="s">
        <v>5573</v>
      </c>
      <c r="D122" s="35" t="s">
        <v>2435</v>
      </c>
      <c r="E122" s="51" t="s">
        <v>53</v>
      </c>
      <c r="F122" s="584"/>
      <c r="G122" s="14" t="s">
        <v>7683</v>
      </c>
      <c r="H122" s="14" t="s">
        <v>3166</v>
      </c>
      <c r="L122" s="585" t="s">
        <v>8352</v>
      </c>
      <c r="M122" s="586" t="s">
        <v>8353</v>
      </c>
      <c r="N122" s="587"/>
      <c r="O122" s="588">
        <v>2016.0</v>
      </c>
    </row>
    <row r="123">
      <c r="A123" s="14" t="s">
        <v>44</v>
      </c>
      <c r="B123" s="31">
        <v>120.0</v>
      </c>
      <c r="C123" s="35" t="s">
        <v>1231</v>
      </c>
      <c r="D123" s="35" t="s">
        <v>7146</v>
      </c>
      <c r="E123" s="51" t="s">
        <v>53</v>
      </c>
      <c r="F123" s="584"/>
      <c r="G123" s="14" t="s">
        <v>8356</v>
      </c>
      <c r="H123" s="14" t="s">
        <v>7801</v>
      </c>
      <c r="L123" s="585" t="s">
        <v>8357</v>
      </c>
      <c r="M123" s="586" t="s">
        <v>8358</v>
      </c>
      <c r="N123" s="587"/>
      <c r="O123" s="588">
        <v>2014.0</v>
      </c>
    </row>
    <row r="124">
      <c r="A124" s="14" t="s">
        <v>44</v>
      </c>
      <c r="B124" s="31">
        <v>121.0</v>
      </c>
      <c r="C124" s="35" t="s">
        <v>428</v>
      </c>
      <c r="D124" s="35" t="s">
        <v>8359</v>
      </c>
      <c r="E124" s="51" t="s">
        <v>53</v>
      </c>
      <c r="F124" s="584"/>
      <c r="G124" s="14" t="s">
        <v>7533</v>
      </c>
      <c r="H124" s="14" t="s">
        <v>8360</v>
      </c>
      <c r="L124" s="585" t="s">
        <v>8361</v>
      </c>
      <c r="M124" s="589" t="str">
        <f>lower(concatenate(C124,".",D124,"@house.mo.gov"))</f>
        <v>don.mayhew@house.mo.gov</v>
      </c>
      <c r="N124" s="587"/>
      <c r="O124" s="588">
        <v>2018.0</v>
      </c>
    </row>
    <row r="125">
      <c r="A125" s="14" t="s">
        <v>44</v>
      </c>
      <c r="B125" s="31">
        <v>122.0</v>
      </c>
      <c r="C125" s="74" t="s">
        <v>55</v>
      </c>
      <c r="D125" s="74" t="s">
        <v>1043</v>
      </c>
      <c r="E125" s="51" t="s">
        <v>53</v>
      </c>
      <c r="F125" s="393" t="s">
        <v>1188</v>
      </c>
      <c r="G125" s="14" t="s">
        <v>2667</v>
      </c>
      <c r="H125" s="14" t="s">
        <v>7913</v>
      </c>
      <c r="L125" s="585" t="s">
        <v>8364</v>
      </c>
      <c r="M125" s="586" t="s">
        <v>8365</v>
      </c>
      <c r="N125" s="587"/>
      <c r="O125" s="588">
        <v>2012.0</v>
      </c>
    </row>
    <row r="126">
      <c r="A126" s="14" t="s">
        <v>44</v>
      </c>
      <c r="B126" s="31">
        <v>123.0</v>
      </c>
      <c r="C126" s="35" t="s">
        <v>8367</v>
      </c>
      <c r="D126" s="35" t="s">
        <v>8368</v>
      </c>
      <c r="E126" s="51" t="s">
        <v>53</v>
      </c>
      <c r="F126" s="584"/>
      <c r="G126" s="59" t="s">
        <v>7579</v>
      </c>
      <c r="L126" s="585" t="s">
        <v>8369</v>
      </c>
      <c r="M126" s="589" t="str">
        <f>lower(concatenate(C126,".",D126,"@house.mo.gov"))</f>
        <v>suzie.pollock@house.mo.gov</v>
      </c>
      <c r="N126" s="587"/>
      <c r="O126" s="588">
        <v>2018.0</v>
      </c>
    </row>
    <row r="127">
      <c r="A127" s="14" t="s">
        <v>44</v>
      </c>
      <c r="B127" s="31">
        <v>124.0</v>
      </c>
      <c r="C127" s="35" t="s">
        <v>5301</v>
      </c>
      <c r="D127" s="35" t="s">
        <v>1501</v>
      </c>
      <c r="E127" s="51" t="s">
        <v>53</v>
      </c>
      <c r="F127" s="584"/>
      <c r="G127" s="14" t="s">
        <v>7785</v>
      </c>
      <c r="H127" s="14" t="s">
        <v>8371</v>
      </c>
      <c r="L127" s="585" t="s">
        <v>8372</v>
      </c>
      <c r="M127" s="586" t="s">
        <v>8373</v>
      </c>
      <c r="N127" s="587"/>
      <c r="O127" s="588">
        <v>2012.0</v>
      </c>
    </row>
    <row r="128">
      <c r="A128" s="14" t="s">
        <v>44</v>
      </c>
      <c r="B128" s="31">
        <v>125.0</v>
      </c>
      <c r="C128" s="35" t="s">
        <v>646</v>
      </c>
      <c r="D128" s="35" t="s">
        <v>1235</v>
      </c>
      <c r="E128" s="51" t="s">
        <v>53</v>
      </c>
      <c r="F128" s="584"/>
      <c r="G128" s="14" t="s">
        <v>2184</v>
      </c>
      <c r="H128" s="14" t="s">
        <v>7959</v>
      </c>
      <c r="I128" s="14" t="s">
        <v>7842</v>
      </c>
      <c r="L128" s="585" t="s">
        <v>8377</v>
      </c>
      <c r="M128" s="586" t="s">
        <v>8378</v>
      </c>
      <c r="N128" s="587"/>
      <c r="O128" s="588">
        <v>2012.0</v>
      </c>
    </row>
    <row r="129">
      <c r="A129" s="14" t="s">
        <v>44</v>
      </c>
      <c r="B129" s="31">
        <v>126.0</v>
      </c>
      <c r="C129" s="35" t="s">
        <v>8380</v>
      </c>
      <c r="D129" s="35" t="s">
        <v>8384</v>
      </c>
      <c r="E129" s="51" t="s">
        <v>53</v>
      </c>
      <c r="F129" s="584"/>
      <c r="G129" s="14" t="s">
        <v>8385</v>
      </c>
      <c r="H129" s="14" t="s">
        <v>7959</v>
      </c>
      <c r="I129" s="14" t="s">
        <v>7913</v>
      </c>
      <c r="L129" s="585" t="s">
        <v>8386</v>
      </c>
      <c r="M129" s="586" t="s">
        <v>8387</v>
      </c>
      <c r="N129" s="587"/>
      <c r="O129" s="588">
        <v>2014.0</v>
      </c>
    </row>
    <row r="130">
      <c r="A130" s="14" t="s">
        <v>44</v>
      </c>
      <c r="B130" s="31">
        <v>127.0</v>
      </c>
      <c r="C130" s="35" t="s">
        <v>1375</v>
      </c>
      <c r="D130" s="35" t="s">
        <v>3146</v>
      </c>
      <c r="E130" s="51" t="s">
        <v>53</v>
      </c>
      <c r="F130" s="584"/>
      <c r="G130" s="59" t="s">
        <v>7579</v>
      </c>
      <c r="H130" s="14" t="s">
        <v>3530</v>
      </c>
      <c r="L130" s="585" t="s">
        <v>8388</v>
      </c>
      <c r="M130" s="589" t="str">
        <f>lower(concatenate(C130,".",D130,"@house.mo.gov"))</f>
        <v>ann.kelley@house.mo.gov</v>
      </c>
      <c r="N130" s="587"/>
      <c r="O130" s="588">
        <v>2018.0</v>
      </c>
    </row>
    <row r="131">
      <c r="A131" s="14" t="s">
        <v>44</v>
      </c>
      <c r="B131" s="31">
        <v>128.0</v>
      </c>
      <c r="C131" s="35" t="s">
        <v>157</v>
      </c>
      <c r="D131" s="35" t="s">
        <v>4151</v>
      </c>
      <c r="E131" s="51" t="s">
        <v>53</v>
      </c>
      <c r="F131" s="584"/>
      <c r="G131" s="14" t="s">
        <v>8393</v>
      </c>
      <c r="H131" s="14" t="s">
        <v>7959</v>
      </c>
      <c r="I131" s="14" t="s">
        <v>8394</v>
      </c>
      <c r="L131" s="585" t="s">
        <v>8395</v>
      </c>
      <c r="M131" s="586" t="s">
        <v>8396</v>
      </c>
      <c r="N131" s="587"/>
      <c r="O131" s="588">
        <v>2016.0</v>
      </c>
    </row>
    <row r="132">
      <c r="A132" s="14" t="s">
        <v>44</v>
      </c>
      <c r="B132" s="31">
        <v>129.0</v>
      </c>
      <c r="C132" s="35" t="s">
        <v>683</v>
      </c>
      <c r="D132" s="35" t="s">
        <v>3865</v>
      </c>
      <c r="E132" s="51" t="s">
        <v>53</v>
      </c>
      <c r="F132" s="584"/>
      <c r="G132" s="14" t="s">
        <v>7660</v>
      </c>
      <c r="H132" s="14" t="s">
        <v>7842</v>
      </c>
      <c r="I132" s="14" t="s">
        <v>8009</v>
      </c>
      <c r="L132" s="585" t="s">
        <v>8400</v>
      </c>
      <c r="M132" s="586" t="s">
        <v>8401</v>
      </c>
      <c r="N132" s="587"/>
      <c r="O132" s="588">
        <v>2018.0</v>
      </c>
    </row>
    <row r="133">
      <c r="A133" s="14" t="s">
        <v>44</v>
      </c>
      <c r="B133" s="31">
        <v>130.0</v>
      </c>
      <c r="C133" s="35" t="s">
        <v>2512</v>
      </c>
      <c r="D133" s="35" t="s">
        <v>8404</v>
      </c>
      <c r="E133" s="51" t="s">
        <v>53</v>
      </c>
      <c r="F133" s="393" t="s">
        <v>8405</v>
      </c>
      <c r="G133" s="59" t="s">
        <v>7579</v>
      </c>
      <c r="H133" s="14" t="s">
        <v>7683</v>
      </c>
      <c r="L133" s="585" t="s">
        <v>8406</v>
      </c>
      <c r="M133" s="586" t="s">
        <v>8407</v>
      </c>
      <c r="N133" s="587"/>
      <c r="O133" s="588">
        <v>2012.0</v>
      </c>
    </row>
    <row r="134">
      <c r="A134" s="14" t="s">
        <v>44</v>
      </c>
      <c r="B134" s="31">
        <v>131.0</v>
      </c>
      <c r="C134" s="35" t="s">
        <v>1706</v>
      </c>
      <c r="D134" s="35" t="s">
        <v>3961</v>
      </c>
      <c r="E134" s="51" t="s">
        <v>53</v>
      </c>
      <c r="F134" s="393" t="s">
        <v>1684</v>
      </c>
      <c r="G134" s="14" t="s">
        <v>2667</v>
      </c>
      <c r="H134" s="14" t="s">
        <v>7842</v>
      </c>
      <c r="I134" s="14" t="s">
        <v>7776</v>
      </c>
      <c r="L134" s="585" t="s">
        <v>8409</v>
      </c>
      <c r="M134" s="586" t="s">
        <v>8410</v>
      </c>
      <c r="N134" s="587"/>
      <c r="O134" s="588">
        <v>2012.0</v>
      </c>
    </row>
    <row r="135">
      <c r="A135" s="14" t="s">
        <v>44</v>
      </c>
      <c r="B135" s="31">
        <v>132.0</v>
      </c>
      <c r="C135" s="35" t="s">
        <v>8411</v>
      </c>
      <c r="D135" s="35" t="s">
        <v>8412</v>
      </c>
      <c r="E135" s="36" t="s">
        <v>49</v>
      </c>
      <c r="F135" s="393" t="s">
        <v>3469</v>
      </c>
      <c r="L135" s="585" t="s">
        <v>8414</v>
      </c>
      <c r="M135" s="586" t="s">
        <v>8415</v>
      </c>
      <c r="N135" s="587"/>
      <c r="O135" s="588">
        <v>2016.0</v>
      </c>
    </row>
    <row r="136">
      <c r="A136" s="14" t="s">
        <v>44</v>
      </c>
      <c r="B136" s="31">
        <v>133.0</v>
      </c>
      <c r="C136" s="35" t="s">
        <v>4099</v>
      </c>
      <c r="D136" s="35" t="s">
        <v>2298</v>
      </c>
      <c r="E136" s="51" t="s">
        <v>53</v>
      </c>
      <c r="F136" s="584"/>
      <c r="G136" s="14" t="s">
        <v>781</v>
      </c>
      <c r="H136" s="14" t="s">
        <v>8420</v>
      </c>
      <c r="I136" s="14" t="s">
        <v>7552</v>
      </c>
      <c r="L136" s="585" t="s">
        <v>8421</v>
      </c>
      <c r="M136" s="586" t="s">
        <v>8422</v>
      </c>
      <c r="N136" s="587"/>
      <c r="O136" s="588">
        <v>2016.0</v>
      </c>
    </row>
    <row r="137">
      <c r="A137" s="14" t="s">
        <v>44</v>
      </c>
      <c r="B137" s="31">
        <v>134.0</v>
      </c>
      <c r="C137" s="35" t="s">
        <v>6582</v>
      </c>
      <c r="D137" s="35" t="s">
        <v>8425</v>
      </c>
      <c r="E137" s="51" t="s">
        <v>53</v>
      </c>
      <c r="F137" s="393" t="s">
        <v>254</v>
      </c>
      <c r="L137" s="585" t="s">
        <v>8426</v>
      </c>
      <c r="M137" s="586" t="s">
        <v>8427</v>
      </c>
      <c r="N137" s="587"/>
      <c r="O137" s="588">
        <v>2012.0</v>
      </c>
    </row>
    <row r="138">
      <c r="A138" s="14" t="s">
        <v>44</v>
      </c>
      <c r="B138" s="31">
        <v>135.0</v>
      </c>
      <c r="C138" s="74" t="s">
        <v>55</v>
      </c>
      <c r="D138" s="74" t="s">
        <v>8429</v>
      </c>
      <c r="E138" s="51" t="s">
        <v>53</v>
      </c>
      <c r="F138" s="584"/>
      <c r="G138" s="59" t="s">
        <v>7579</v>
      </c>
      <c r="H138" s="14" t="s">
        <v>7683</v>
      </c>
      <c r="I138" s="14" t="s">
        <v>8430</v>
      </c>
      <c r="L138" s="585" t="s">
        <v>8431</v>
      </c>
      <c r="M138" s="586" t="s">
        <v>8432</v>
      </c>
      <c r="N138" s="587"/>
      <c r="O138" s="588">
        <v>2016.0</v>
      </c>
    </row>
    <row r="139">
      <c r="A139" s="14" t="s">
        <v>44</v>
      </c>
      <c r="B139" s="31">
        <v>136.0</v>
      </c>
      <c r="C139" s="78" t="s">
        <v>373</v>
      </c>
      <c r="D139" s="74" t="s">
        <v>8434</v>
      </c>
      <c r="E139" s="51" t="s">
        <v>53</v>
      </c>
      <c r="F139" s="584"/>
      <c r="G139" s="14" t="s">
        <v>8435</v>
      </c>
      <c r="H139" s="14" t="s">
        <v>7749</v>
      </c>
      <c r="I139" s="14" t="s">
        <v>7655</v>
      </c>
      <c r="L139" s="585" t="s">
        <v>8436</v>
      </c>
      <c r="M139" s="589" t="str">
        <f t="shared" ref="M139:M141" si="10">lower(concatenate(C139,".",D139,"@house.mo.gov"))</f>
        <v>craig.fishel@house.mo.gov</v>
      </c>
      <c r="N139" s="587"/>
      <c r="O139" s="588">
        <v>2018.0</v>
      </c>
    </row>
    <row r="140">
      <c r="A140" s="14" t="s">
        <v>44</v>
      </c>
      <c r="B140" s="31">
        <v>137.0</v>
      </c>
      <c r="C140" s="35" t="s">
        <v>278</v>
      </c>
      <c r="D140" s="35" t="s">
        <v>4384</v>
      </c>
      <c r="E140" s="51" t="s">
        <v>53</v>
      </c>
      <c r="F140" s="584"/>
      <c r="G140" s="14" t="s">
        <v>7533</v>
      </c>
      <c r="H140" s="14" t="s">
        <v>3501</v>
      </c>
      <c r="I140" s="14" t="s">
        <v>7785</v>
      </c>
      <c r="L140" s="585" t="s">
        <v>8437</v>
      </c>
      <c r="M140" s="589" t="str">
        <f t="shared" si="10"/>
        <v>john.black@house.mo.gov</v>
      </c>
      <c r="N140" s="587"/>
      <c r="O140" s="588">
        <v>2018.0</v>
      </c>
    </row>
    <row r="141">
      <c r="A141" s="14" t="s">
        <v>44</v>
      </c>
      <c r="B141" s="31">
        <v>138.0</v>
      </c>
      <c r="C141" s="35" t="s">
        <v>2323</v>
      </c>
      <c r="D141" s="35" t="s">
        <v>6808</v>
      </c>
      <c r="E141" s="51" t="s">
        <v>53</v>
      </c>
      <c r="F141" s="584"/>
      <c r="G141" s="14" t="s">
        <v>7533</v>
      </c>
      <c r="H141" s="14" t="s">
        <v>7821</v>
      </c>
      <c r="L141" s="585" t="s">
        <v>8440</v>
      </c>
      <c r="M141" s="589" t="str">
        <f t="shared" si="10"/>
        <v>brad.hudson@house.mo.gov</v>
      </c>
      <c r="N141" s="587"/>
      <c r="O141" s="588">
        <v>2018.0</v>
      </c>
    </row>
    <row r="142">
      <c r="A142" s="14" t="s">
        <v>44</v>
      </c>
      <c r="B142" s="31">
        <v>139.0</v>
      </c>
      <c r="C142" s="35" t="s">
        <v>8442</v>
      </c>
      <c r="D142" s="35" t="s">
        <v>4255</v>
      </c>
      <c r="E142" s="51" t="s">
        <v>53</v>
      </c>
      <c r="F142" s="584"/>
      <c r="G142" s="14" t="s">
        <v>8009</v>
      </c>
      <c r="H142" s="14" t="s">
        <v>8444</v>
      </c>
      <c r="I142" s="14" t="s">
        <v>8445</v>
      </c>
      <c r="L142" s="585" t="s">
        <v>8446</v>
      </c>
      <c r="M142" s="586" t="s">
        <v>8447</v>
      </c>
      <c r="N142" s="587"/>
      <c r="O142" s="588">
        <v>2014.0</v>
      </c>
    </row>
    <row r="143">
      <c r="A143" s="14" t="s">
        <v>44</v>
      </c>
      <c r="B143" s="31">
        <v>140.0</v>
      </c>
      <c r="C143" s="35" t="s">
        <v>66</v>
      </c>
      <c r="D143" s="35" t="s">
        <v>617</v>
      </c>
      <c r="E143" s="51" t="s">
        <v>53</v>
      </c>
      <c r="F143" s="584"/>
      <c r="G143" s="59" t="s">
        <v>8448</v>
      </c>
      <c r="H143" s="14" t="s">
        <v>7683</v>
      </c>
      <c r="L143" s="585" t="s">
        <v>8449</v>
      </c>
      <c r="M143" s="586" t="s">
        <v>8450</v>
      </c>
      <c r="N143" s="587"/>
      <c r="O143" s="588">
        <v>2012.0</v>
      </c>
    </row>
    <row r="144">
      <c r="A144" s="14" t="s">
        <v>44</v>
      </c>
      <c r="B144" s="31">
        <v>141.0</v>
      </c>
      <c r="C144" s="35" t="s">
        <v>7065</v>
      </c>
      <c r="D144" s="35" t="s">
        <v>130</v>
      </c>
      <c r="E144" s="51" t="s">
        <v>53</v>
      </c>
      <c r="F144" s="584"/>
      <c r="G144" s="14" t="s">
        <v>7570</v>
      </c>
      <c r="H144" s="14" t="s">
        <v>7533</v>
      </c>
      <c r="I144" s="14" t="s">
        <v>780</v>
      </c>
      <c r="L144" s="585" t="s">
        <v>8454</v>
      </c>
      <c r="M144" s="586" t="s">
        <v>8455</v>
      </c>
      <c r="N144" s="587"/>
      <c r="O144" s="588">
        <v>2016.0</v>
      </c>
    </row>
    <row r="145">
      <c r="A145" s="14" t="s">
        <v>44</v>
      </c>
      <c r="B145" s="31">
        <v>142.0</v>
      </c>
      <c r="C145" s="35" t="s">
        <v>1134</v>
      </c>
      <c r="D145" s="35" t="s">
        <v>5489</v>
      </c>
      <c r="E145" s="51" t="s">
        <v>53</v>
      </c>
      <c r="F145" s="584"/>
      <c r="G145" s="14" t="s">
        <v>7533</v>
      </c>
      <c r="H145" s="14" t="s">
        <v>8459</v>
      </c>
      <c r="L145" s="585" t="s">
        <v>8460</v>
      </c>
      <c r="M145" s="586" t="s">
        <v>8461</v>
      </c>
      <c r="N145" s="587"/>
      <c r="O145" s="588">
        <v>2012.0</v>
      </c>
    </row>
    <row r="146">
      <c r="A146" s="14" t="s">
        <v>44</v>
      </c>
      <c r="B146" s="31">
        <v>143.0</v>
      </c>
      <c r="C146" s="35" t="s">
        <v>683</v>
      </c>
      <c r="D146" s="35" t="s">
        <v>8464</v>
      </c>
      <c r="E146" s="51" t="s">
        <v>53</v>
      </c>
      <c r="F146" s="584"/>
      <c r="G146" s="14" t="s">
        <v>7854</v>
      </c>
      <c r="H146" s="14" t="s">
        <v>7843</v>
      </c>
      <c r="L146" s="585" t="s">
        <v>8465</v>
      </c>
      <c r="M146" s="586" t="s">
        <v>8466</v>
      </c>
      <c r="N146" s="587"/>
      <c r="O146" s="588">
        <v>2012.0</v>
      </c>
    </row>
    <row r="147">
      <c r="A147" s="14" t="s">
        <v>44</v>
      </c>
      <c r="B147" s="31">
        <v>144.0</v>
      </c>
      <c r="C147" s="35" t="s">
        <v>173</v>
      </c>
      <c r="D147" s="35" t="s">
        <v>8470</v>
      </c>
      <c r="E147" s="51" t="s">
        <v>53</v>
      </c>
      <c r="F147" s="393" t="s">
        <v>8471</v>
      </c>
      <c r="G147" s="14" t="s">
        <v>7581</v>
      </c>
      <c r="L147" s="585" t="s">
        <v>8472</v>
      </c>
      <c r="M147" s="586" t="s">
        <v>8473</v>
      </c>
      <c r="N147" s="587"/>
      <c r="O147" s="588">
        <v>2018.0</v>
      </c>
    </row>
    <row r="148">
      <c r="A148" s="14" t="s">
        <v>44</v>
      </c>
      <c r="B148" s="31">
        <v>145.0</v>
      </c>
      <c r="C148" s="35" t="s">
        <v>1291</v>
      </c>
      <c r="D148" s="35" t="s">
        <v>3391</v>
      </c>
      <c r="E148" s="51" t="s">
        <v>53</v>
      </c>
      <c r="F148" s="584"/>
      <c r="G148" s="14" t="s">
        <v>8477</v>
      </c>
      <c r="H148" s="14" t="s">
        <v>7785</v>
      </c>
      <c r="I148" s="14" t="s">
        <v>8478</v>
      </c>
      <c r="L148" s="585" t="s">
        <v>8479</v>
      </c>
      <c r="M148" s="586" t="s">
        <v>8480</v>
      </c>
      <c r="N148" s="587"/>
      <c r="O148" s="588">
        <v>2016.0</v>
      </c>
    </row>
    <row r="149">
      <c r="A149" s="14" t="s">
        <v>44</v>
      </c>
      <c r="B149" s="31">
        <v>146.0</v>
      </c>
      <c r="C149" s="35" t="s">
        <v>3785</v>
      </c>
      <c r="D149" s="35" t="s">
        <v>8481</v>
      </c>
      <c r="E149" s="51" t="s">
        <v>53</v>
      </c>
      <c r="F149" s="584"/>
      <c r="G149" s="59" t="s">
        <v>7783</v>
      </c>
      <c r="H149" s="14" t="s">
        <v>7660</v>
      </c>
      <c r="I149" s="14" t="s">
        <v>7706</v>
      </c>
      <c r="L149" s="585" t="s">
        <v>8482</v>
      </c>
      <c r="M149" s="589" t="str">
        <f>lower(concatenate(C149,".",D149,"@house.mo.gov"))</f>
        <v>barry.hovis@house.mo.gov</v>
      </c>
      <c r="N149" s="587"/>
      <c r="O149" s="588">
        <v>2018.0</v>
      </c>
    </row>
    <row r="150">
      <c r="A150" s="14" t="s">
        <v>44</v>
      </c>
      <c r="B150" s="31">
        <v>147.0</v>
      </c>
      <c r="C150" s="35" t="s">
        <v>8485</v>
      </c>
      <c r="D150" s="35" t="s">
        <v>8487</v>
      </c>
      <c r="E150" s="51" t="s">
        <v>53</v>
      </c>
      <c r="F150" s="584"/>
      <c r="G150" s="14" t="s">
        <v>8488</v>
      </c>
      <c r="H150" s="14" t="s">
        <v>7552</v>
      </c>
      <c r="I150" s="14" t="s">
        <v>3820</v>
      </c>
      <c r="L150" s="585" t="s">
        <v>8490</v>
      </c>
      <c r="M150" s="586" t="s">
        <v>8491</v>
      </c>
      <c r="N150" s="587"/>
      <c r="O150" s="588">
        <v>2012.0</v>
      </c>
    </row>
    <row r="151">
      <c r="A151" s="14" t="s">
        <v>44</v>
      </c>
      <c r="B151" s="31">
        <v>148.0</v>
      </c>
      <c r="C151" s="35" t="s">
        <v>2202</v>
      </c>
      <c r="D151" s="35" t="s">
        <v>8494</v>
      </c>
      <c r="E151" s="51" t="s">
        <v>53</v>
      </c>
      <c r="F151" s="584"/>
      <c r="G151" s="14" t="s">
        <v>780</v>
      </c>
      <c r="H151" s="14" t="s">
        <v>7754</v>
      </c>
      <c r="I151" s="14" t="s">
        <v>7625</v>
      </c>
      <c r="L151" s="585" t="s">
        <v>8495</v>
      </c>
      <c r="M151" s="586" t="s">
        <v>8496</v>
      </c>
      <c r="N151" s="587"/>
      <c r="O151" s="588">
        <v>2012.0</v>
      </c>
    </row>
    <row r="152">
      <c r="A152" s="14" t="s">
        <v>44</v>
      </c>
      <c r="B152" s="31">
        <v>149.0</v>
      </c>
      <c r="C152" s="35" t="s">
        <v>428</v>
      </c>
      <c r="D152" s="35" t="s">
        <v>8499</v>
      </c>
      <c r="E152" s="51" t="s">
        <v>53</v>
      </c>
      <c r="F152" s="584"/>
      <c r="G152" s="14" t="s">
        <v>7660</v>
      </c>
      <c r="L152" s="585" t="s">
        <v>8500</v>
      </c>
      <c r="M152" s="586" t="s">
        <v>8501</v>
      </c>
      <c r="N152" s="587"/>
      <c r="O152" s="588">
        <v>2014.0</v>
      </c>
    </row>
    <row r="153">
      <c r="A153" s="14" t="s">
        <v>44</v>
      </c>
      <c r="B153" s="31">
        <v>150.0</v>
      </c>
      <c r="C153" s="35" t="s">
        <v>80</v>
      </c>
      <c r="D153" s="35" t="s">
        <v>5349</v>
      </c>
      <c r="E153" s="51" t="s">
        <v>53</v>
      </c>
      <c r="F153" s="584"/>
      <c r="G153" s="59" t="s">
        <v>8504</v>
      </c>
      <c r="H153" s="14" t="s">
        <v>8030</v>
      </c>
      <c r="I153" s="14" t="s">
        <v>8265</v>
      </c>
      <c r="L153" s="585" t="s">
        <v>8505</v>
      </c>
      <c r="M153" s="586" t="s">
        <v>8507</v>
      </c>
      <c r="N153" s="587"/>
      <c r="O153" s="588">
        <v>2014.0</v>
      </c>
    </row>
    <row r="154">
      <c r="A154" s="14" t="s">
        <v>44</v>
      </c>
      <c r="B154" s="31">
        <v>151.0</v>
      </c>
      <c r="C154" s="35" t="s">
        <v>5620</v>
      </c>
      <c r="D154" s="35" t="s">
        <v>8509</v>
      </c>
      <c r="E154" s="51" t="s">
        <v>53</v>
      </c>
      <c r="F154" s="584"/>
      <c r="G154" s="14" t="s">
        <v>8104</v>
      </c>
      <c r="H154" s="14" t="s">
        <v>7660</v>
      </c>
      <c r="L154" s="585" t="s">
        <v>8511</v>
      </c>
      <c r="M154" s="586" t="s">
        <v>8512</v>
      </c>
      <c r="N154" s="587"/>
      <c r="O154" s="588">
        <v>2018.0</v>
      </c>
    </row>
    <row r="155">
      <c r="A155" s="14" t="s">
        <v>44</v>
      </c>
      <c r="B155" s="31">
        <v>152.0</v>
      </c>
      <c r="C155" s="35" t="s">
        <v>5470</v>
      </c>
      <c r="D155" s="35" t="s">
        <v>8514</v>
      </c>
      <c r="E155" s="51" t="s">
        <v>53</v>
      </c>
      <c r="F155" s="584"/>
      <c r="G155" s="14" t="s">
        <v>7719</v>
      </c>
      <c r="H155" s="14" t="s">
        <v>7913</v>
      </c>
      <c r="L155" s="585" t="s">
        <v>8515</v>
      </c>
      <c r="M155" s="589" t="str">
        <f t="shared" ref="M155:M158" si="11">lower(concatenate(C155,".",D155,"@house.mo.gov"))</f>
        <v>hardy.billington@house.mo.gov</v>
      </c>
      <c r="N155" s="587"/>
      <c r="O155" s="588">
        <v>2018.0</v>
      </c>
    </row>
    <row r="156">
      <c r="A156" s="14" t="s">
        <v>44</v>
      </c>
      <c r="B156" s="31">
        <v>153.0</v>
      </c>
      <c r="C156" s="35" t="s">
        <v>683</v>
      </c>
      <c r="D156" s="35" t="s">
        <v>8517</v>
      </c>
      <c r="E156" s="51" t="s">
        <v>53</v>
      </c>
      <c r="F156" s="584"/>
      <c r="G156" s="14" t="s">
        <v>7655</v>
      </c>
      <c r="H156" s="14" t="s">
        <v>8420</v>
      </c>
      <c r="I156" s="14" t="s">
        <v>8518</v>
      </c>
      <c r="L156" s="585" t="s">
        <v>8519</v>
      </c>
      <c r="M156" s="589" t="str">
        <f t="shared" si="11"/>
        <v>jeff.shawan@house.mo.gov</v>
      </c>
      <c r="N156" s="587"/>
      <c r="O156" s="588">
        <v>2018.0</v>
      </c>
    </row>
    <row r="157">
      <c r="A157" s="14" t="s">
        <v>44</v>
      </c>
      <c r="B157" s="31">
        <v>154.0</v>
      </c>
      <c r="C157" s="35" t="s">
        <v>108</v>
      </c>
      <c r="D157" s="35" t="s">
        <v>1332</v>
      </c>
      <c r="E157" s="51" t="s">
        <v>53</v>
      </c>
      <c r="F157" s="584"/>
      <c r="G157" s="14" t="s">
        <v>781</v>
      </c>
      <c r="H157" s="14" t="s">
        <v>7533</v>
      </c>
      <c r="L157" s="585" t="s">
        <v>8520</v>
      </c>
      <c r="M157" s="589" t="str">
        <f t="shared" si="11"/>
        <v>david.evans@house.mo.gov</v>
      </c>
      <c r="N157" s="587"/>
      <c r="O157" s="588">
        <v>2018.0</v>
      </c>
    </row>
    <row r="158">
      <c r="A158" s="14" t="s">
        <v>44</v>
      </c>
      <c r="B158" s="31">
        <v>155.0</v>
      </c>
      <c r="C158" s="35" t="s">
        <v>3636</v>
      </c>
      <c r="D158" s="35" t="s">
        <v>8521</v>
      </c>
      <c r="E158" s="51" t="s">
        <v>53</v>
      </c>
      <c r="F158" s="584"/>
      <c r="G158" s="14" t="s">
        <v>515</v>
      </c>
      <c r="H158" s="14" t="s">
        <v>7749</v>
      </c>
      <c r="L158" s="585" t="s">
        <v>8523</v>
      </c>
      <c r="M158" s="589" t="str">
        <f t="shared" si="11"/>
        <v>karla.eslinger@house.mo.gov</v>
      </c>
      <c r="N158" s="587"/>
      <c r="O158" s="588">
        <v>2018.0</v>
      </c>
    </row>
    <row r="159">
      <c r="A159" s="14" t="s">
        <v>44</v>
      </c>
      <c r="B159" s="31">
        <v>156.0</v>
      </c>
      <c r="C159" s="35" t="s">
        <v>5184</v>
      </c>
      <c r="D159" s="35" t="s">
        <v>8527</v>
      </c>
      <c r="E159" s="51" t="s">
        <v>53</v>
      </c>
      <c r="F159" s="584"/>
      <c r="G159" s="14" t="s">
        <v>3542</v>
      </c>
      <c r="H159" s="14" t="s">
        <v>7749</v>
      </c>
      <c r="L159" s="585" t="s">
        <v>8528</v>
      </c>
      <c r="M159" s="586" t="s">
        <v>8529</v>
      </c>
      <c r="N159" s="587"/>
      <c r="O159" s="588">
        <v>2012.0</v>
      </c>
    </row>
    <row r="160">
      <c r="A160" s="14" t="s">
        <v>44</v>
      </c>
      <c r="B160" s="31">
        <v>157.0</v>
      </c>
      <c r="C160" s="35" t="s">
        <v>157</v>
      </c>
      <c r="D160" s="35" t="s">
        <v>3756</v>
      </c>
      <c r="E160" s="51" t="s">
        <v>53</v>
      </c>
      <c r="F160" s="584"/>
      <c r="G160" s="14" t="s">
        <v>8534</v>
      </c>
      <c r="H160" s="14" t="s">
        <v>7563</v>
      </c>
      <c r="L160" s="585" t="s">
        <v>8535</v>
      </c>
      <c r="M160" s="586" t="s">
        <v>8537</v>
      </c>
      <c r="N160" s="587"/>
      <c r="O160" s="588">
        <v>2013.0</v>
      </c>
    </row>
    <row r="161">
      <c r="A161" s="14" t="s">
        <v>44</v>
      </c>
      <c r="B161" s="31">
        <v>158.0</v>
      </c>
      <c r="C161" s="38" t="s">
        <v>6821</v>
      </c>
      <c r="D161" s="35"/>
      <c r="E161" s="51" t="s">
        <v>53</v>
      </c>
      <c r="F161" s="584"/>
      <c r="L161" s="585"/>
      <c r="M161" s="586"/>
      <c r="N161" s="587"/>
      <c r="O161" s="588">
        <v>2012.0</v>
      </c>
    </row>
    <row r="162">
      <c r="A162" s="14" t="s">
        <v>44</v>
      </c>
      <c r="B162" s="31">
        <v>159.0</v>
      </c>
      <c r="C162" s="35" t="s">
        <v>8538</v>
      </c>
      <c r="D162" s="35" t="s">
        <v>8539</v>
      </c>
      <c r="E162" s="51" t="s">
        <v>53</v>
      </c>
      <c r="F162" s="584"/>
      <c r="G162" s="14" t="s">
        <v>7804</v>
      </c>
      <c r="H162" s="14" t="s">
        <v>7552</v>
      </c>
      <c r="L162" s="585" t="s">
        <v>8540</v>
      </c>
      <c r="M162" s="589" t="str">
        <f t="shared" ref="M162:M165" si="12">lower(concatenate(C162,".",D162,"@house.mo.gov"))</f>
        <v>dirk.deaton@house.mo.gov</v>
      </c>
      <c r="N162" s="587"/>
      <c r="O162" s="588">
        <v>2018.0</v>
      </c>
    </row>
    <row r="163">
      <c r="A163" s="14" t="s">
        <v>44</v>
      </c>
      <c r="B163" s="31">
        <v>160.0</v>
      </c>
      <c r="C163" s="35" t="s">
        <v>195</v>
      </c>
      <c r="D163" s="35" t="s">
        <v>553</v>
      </c>
      <c r="E163" s="51" t="s">
        <v>53</v>
      </c>
      <c r="F163" s="584"/>
      <c r="G163" s="14" t="s">
        <v>515</v>
      </c>
      <c r="H163" s="14" t="s">
        <v>8543</v>
      </c>
      <c r="I163" s="14" t="s">
        <v>8049</v>
      </c>
      <c r="L163" s="585" t="s">
        <v>8544</v>
      </c>
      <c r="M163" s="589" t="str">
        <f t="shared" si="12"/>
        <v>ben.baker@house.mo.gov</v>
      </c>
      <c r="N163" s="587"/>
      <c r="O163" s="588">
        <v>2018.0</v>
      </c>
    </row>
    <row r="164">
      <c r="A164" s="14" t="s">
        <v>44</v>
      </c>
      <c r="B164" s="31">
        <v>161.0</v>
      </c>
      <c r="C164" s="35" t="s">
        <v>831</v>
      </c>
      <c r="D164" s="35" t="s">
        <v>788</v>
      </c>
      <c r="E164" s="51" t="s">
        <v>53</v>
      </c>
      <c r="F164" s="584"/>
      <c r="G164" s="14" t="s">
        <v>7533</v>
      </c>
      <c r="H164" s="14" t="s">
        <v>7728</v>
      </c>
      <c r="L164" s="585" t="s">
        <v>8546</v>
      </c>
      <c r="M164" s="589" t="str">
        <f t="shared" si="12"/>
        <v>lane.roberts@house.mo.gov</v>
      </c>
      <c r="N164" s="587"/>
      <c r="O164" s="588">
        <v>2018.0</v>
      </c>
    </row>
    <row r="165">
      <c r="A165" s="14" t="s">
        <v>44</v>
      </c>
      <c r="B165" s="31">
        <v>162.0</v>
      </c>
      <c r="C165" s="35" t="s">
        <v>1134</v>
      </c>
      <c r="D165" s="35" t="s">
        <v>8548</v>
      </c>
      <c r="E165" s="51" t="s">
        <v>53</v>
      </c>
      <c r="F165" s="584"/>
      <c r="G165" s="14" t="s">
        <v>578</v>
      </c>
      <c r="H165" s="14" t="s">
        <v>7785</v>
      </c>
      <c r="L165" s="585" t="s">
        <v>8550</v>
      </c>
      <c r="M165" s="589" t="str">
        <f t="shared" si="12"/>
        <v>robert.bromley@house.mo.gov</v>
      </c>
      <c r="N165" s="587"/>
      <c r="O165" s="588">
        <v>2018.0</v>
      </c>
    </row>
    <row r="166">
      <c r="A166" s="14" t="s">
        <v>44</v>
      </c>
      <c r="B166" s="31">
        <v>163.0</v>
      </c>
      <c r="C166" s="35" t="s">
        <v>8551</v>
      </c>
      <c r="D166" s="35" t="s">
        <v>1451</v>
      </c>
      <c r="E166" s="51" t="s">
        <v>53</v>
      </c>
      <c r="F166" s="584"/>
      <c r="G166" s="14" t="s">
        <v>8558</v>
      </c>
      <c r="L166" s="585" t="s">
        <v>8559</v>
      </c>
      <c r="M166" s="586" t="s">
        <v>8560</v>
      </c>
      <c r="N166" s="587"/>
      <c r="O166" s="588">
        <v>2016.0</v>
      </c>
    </row>
    <row r="167">
      <c r="A167" s="70"/>
      <c r="B167" s="70"/>
      <c r="C167" s="71"/>
      <c r="D167" s="71"/>
      <c r="E167" s="70"/>
      <c r="F167" s="70"/>
      <c r="G167" s="70"/>
      <c r="H167" s="70"/>
      <c r="I167" s="70"/>
      <c r="J167" s="70"/>
      <c r="K167" s="70"/>
      <c r="L167" s="604"/>
      <c r="M167" s="604"/>
      <c r="N167" s="604"/>
      <c r="O167" s="604"/>
      <c r="P167" s="70"/>
      <c r="Q167" s="70"/>
      <c r="R167" s="70"/>
      <c r="S167" s="70"/>
      <c r="T167" s="70"/>
      <c r="U167" s="70"/>
      <c r="V167" s="70"/>
      <c r="W167" s="70"/>
      <c r="X167" s="70"/>
      <c r="Y167" s="70"/>
      <c r="Z167" s="70"/>
      <c r="AA167" s="70"/>
      <c r="AB167" s="70"/>
      <c r="AC167" s="70"/>
      <c r="AD167" s="70"/>
    </row>
    <row r="168">
      <c r="A168" s="14" t="s">
        <v>286</v>
      </c>
      <c r="B168" s="31">
        <v>1.0</v>
      </c>
      <c r="C168" s="35" t="s">
        <v>45</v>
      </c>
      <c r="D168" s="35" t="s">
        <v>8568</v>
      </c>
      <c r="E168" s="36" t="s">
        <v>49</v>
      </c>
      <c r="G168" s="14" t="s">
        <v>8569</v>
      </c>
      <c r="H168" s="14" t="s">
        <v>8570</v>
      </c>
      <c r="I168" s="14" t="s">
        <v>8571</v>
      </c>
      <c r="L168" s="606" t="s">
        <v>8572</v>
      </c>
      <c r="M168" s="589" t="str">
        <f>lower(concatenate(C168,".",D168,"@senate.mo.gov"))</f>
        <v>scott.sifton@senate.mo.gov</v>
      </c>
      <c r="N168" s="587"/>
      <c r="O168" s="587"/>
    </row>
    <row r="169">
      <c r="A169" s="14" t="s">
        <v>286</v>
      </c>
      <c r="B169" s="31">
        <v>2.0</v>
      </c>
      <c r="C169" s="35" t="s">
        <v>419</v>
      </c>
      <c r="D169" s="35" t="s">
        <v>8580</v>
      </c>
      <c r="E169" s="51" t="s">
        <v>53</v>
      </c>
      <c r="G169" s="14" t="s">
        <v>8581</v>
      </c>
      <c r="H169" s="14" t="s">
        <v>8582</v>
      </c>
      <c r="I169" s="14" t="s">
        <v>515</v>
      </c>
      <c r="J169" s="14" t="s">
        <v>8584</v>
      </c>
      <c r="L169" s="606" t="s">
        <v>8585</v>
      </c>
      <c r="M169" s="608" t="s">
        <v>8586</v>
      </c>
      <c r="N169" s="587"/>
      <c r="O169" s="587"/>
    </row>
    <row r="170">
      <c r="A170" s="14" t="s">
        <v>286</v>
      </c>
      <c r="B170" s="31">
        <v>3.0</v>
      </c>
      <c r="C170" s="35" t="s">
        <v>199</v>
      </c>
      <c r="D170" s="35" t="s">
        <v>8588</v>
      </c>
      <c r="E170" s="51" t="s">
        <v>53</v>
      </c>
      <c r="G170" s="14" t="s">
        <v>3606</v>
      </c>
      <c r="H170" s="14" t="s">
        <v>8589</v>
      </c>
      <c r="I170" s="14" t="s">
        <v>8590</v>
      </c>
      <c r="L170" s="606" t="s">
        <v>8591</v>
      </c>
      <c r="M170" s="589" t="str">
        <f t="shared" ref="M170:M171" si="13">lower(concatenate(C170,".",D170,"@senate.mo.gov"))</f>
        <v>gary.romine@senate.mo.gov</v>
      </c>
      <c r="N170" s="587"/>
      <c r="O170" s="587"/>
    </row>
    <row r="171">
      <c r="A171" s="14" t="s">
        <v>286</v>
      </c>
      <c r="B171" s="31">
        <v>4.0</v>
      </c>
      <c r="C171" s="35" t="s">
        <v>3636</v>
      </c>
      <c r="D171" s="35" t="s">
        <v>4758</v>
      </c>
      <c r="E171" s="36" t="s">
        <v>49</v>
      </c>
      <c r="F171" s="14" t="s">
        <v>2029</v>
      </c>
      <c r="G171" s="14" t="s">
        <v>781</v>
      </c>
      <c r="H171" s="14" t="s">
        <v>8589</v>
      </c>
      <c r="I171" s="14" t="s">
        <v>780</v>
      </c>
      <c r="J171" s="14" t="s">
        <v>8593</v>
      </c>
      <c r="L171" s="609" t="s">
        <v>8594</v>
      </c>
      <c r="M171" s="589" t="str">
        <f t="shared" si="13"/>
        <v>karla.may@senate.mo.gov</v>
      </c>
      <c r="N171" s="587"/>
      <c r="O171" s="587"/>
    </row>
    <row r="172">
      <c r="A172" s="14" t="s">
        <v>286</v>
      </c>
      <c r="B172" s="31">
        <v>5.0</v>
      </c>
      <c r="C172" s="35" t="s">
        <v>8595</v>
      </c>
      <c r="D172" s="35" t="s">
        <v>8598</v>
      </c>
      <c r="E172" s="36" t="s">
        <v>49</v>
      </c>
      <c r="F172" s="14" t="s">
        <v>8599</v>
      </c>
      <c r="G172" s="14" t="s">
        <v>626</v>
      </c>
      <c r="H172" s="14" t="s">
        <v>3542</v>
      </c>
      <c r="I172" s="14" t="s">
        <v>8600</v>
      </c>
      <c r="J172" s="14" t="s">
        <v>8601</v>
      </c>
      <c r="L172" s="606" t="s">
        <v>8602</v>
      </c>
      <c r="M172" s="608" t="s">
        <v>8603</v>
      </c>
      <c r="N172" s="587"/>
      <c r="O172" s="587"/>
    </row>
    <row r="173">
      <c r="A173" s="14" t="s">
        <v>286</v>
      </c>
      <c r="B173" s="31">
        <v>6.0</v>
      </c>
      <c r="C173" s="35" t="s">
        <v>157</v>
      </c>
      <c r="D173" s="35" t="s">
        <v>8605</v>
      </c>
      <c r="E173" s="51" t="s">
        <v>53</v>
      </c>
      <c r="G173" s="14" t="s">
        <v>780</v>
      </c>
      <c r="H173" s="14" t="s">
        <v>8606</v>
      </c>
      <c r="I173" s="14" t="s">
        <v>7913</v>
      </c>
      <c r="J173" s="14" t="s">
        <v>7655</v>
      </c>
      <c r="L173" s="606" t="s">
        <v>8607</v>
      </c>
      <c r="M173" s="589" t="str">
        <f t="shared" ref="M173:M174" si="14">lower(concatenate(C173,".",D173,"@senate.mo.gov"))</f>
        <v>mike.bernskoetter@senate.mo.gov</v>
      </c>
      <c r="N173" s="587"/>
      <c r="O173" s="587"/>
    </row>
    <row r="174">
      <c r="A174" s="14" t="s">
        <v>286</v>
      </c>
      <c r="B174" s="31">
        <v>7.0</v>
      </c>
      <c r="C174" s="35" t="s">
        <v>1231</v>
      </c>
      <c r="D174" s="35" t="s">
        <v>8609</v>
      </c>
      <c r="E174" s="36" t="s">
        <v>49</v>
      </c>
      <c r="G174" s="14" t="s">
        <v>515</v>
      </c>
      <c r="H174" s="14" t="s">
        <v>2184</v>
      </c>
      <c r="I174" s="14" t="s">
        <v>780</v>
      </c>
      <c r="J174" s="14" t="s">
        <v>8610</v>
      </c>
      <c r="L174" s="606" t="s">
        <v>8611</v>
      </c>
      <c r="M174" s="589" t="str">
        <f t="shared" si="14"/>
        <v>jason.holsman@senate.mo.gov</v>
      </c>
      <c r="N174" s="587"/>
      <c r="O174" s="587"/>
    </row>
    <row r="175">
      <c r="A175" s="14" t="s">
        <v>286</v>
      </c>
      <c r="B175" s="31">
        <v>8.0</v>
      </c>
      <c r="C175" s="35" t="s">
        <v>157</v>
      </c>
      <c r="D175" s="35" t="s">
        <v>8614</v>
      </c>
      <c r="E175" s="51" t="s">
        <v>53</v>
      </c>
      <c r="G175" s="14" t="s">
        <v>8606</v>
      </c>
      <c r="H175" s="14" t="s">
        <v>3542</v>
      </c>
      <c r="I175" s="14" t="s">
        <v>8254</v>
      </c>
      <c r="L175" s="606" t="s">
        <v>8615</v>
      </c>
      <c r="M175" s="610" t="s">
        <v>8616</v>
      </c>
      <c r="N175" s="587"/>
      <c r="O175" s="587"/>
    </row>
    <row r="176">
      <c r="A176" s="14" t="s">
        <v>286</v>
      </c>
      <c r="B176" s="31">
        <v>9.0</v>
      </c>
      <c r="C176" s="35" t="s">
        <v>8618</v>
      </c>
      <c r="D176" s="35" t="s">
        <v>8621</v>
      </c>
      <c r="E176" s="36" t="s">
        <v>49</v>
      </c>
      <c r="F176" s="14" t="s">
        <v>8622</v>
      </c>
      <c r="G176" s="14" t="s">
        <v>8050</v>
      </c>
      <c r="H176" s="14" t="s">
        <v>8623</v>
      </c>
      <c r="I176" s="14" t="s">
        <v>578</v>
      </c>
      <c r="J176" s="14" t="s">
        <v>2184</v>
      </c>
      <c r="L176" s="606" t="s">
        <v>8624</v>
      </c>
      <c r="M176" s="611" t="s">
        <v>8625</v>
      </c>
      <c r="N176" s="587"/>
      <c r="O176" s="587"/>
    </row>
    <row r="177">
      <c r="A177" s="14" t="s">
        <v>286</v>
      </c>
      <c r="B177" s="31">
        <v>10.0</v>
      </c>
      <c r="C177" s="35" t="s">
        <v>8629</v>
      </c>
      <c r="D177" s="35" t="s">
        <v>8630</v>
      </c>
      <c r="E177" s="51" t="s">
        <v>53</v>
      </c>
      <c r="F177" s="14" t="s">
        <v>8631</v>
      </c>
      <c r="G177" s="14" t="s">
        <v>8632</v>
      </c>
      <c r="H177" s="14" t="s">
        <v>626</v>
      </c>
      <c r="I177" s="14" t="s">
        <v>8050</v>
      </c>
      <c r="J177" s="14" t="s">
        <v>8634</v>
      </c>
      <c r="L177" s="606" t="s">
        <v>8635</v>
      </c>
      <c r="M177" s="611" t="s">
        <v>8637</v>
      </c>
      <c r="N177" s="587"/>
      <c r="O177" s="587"/>
    </row>
    <row r="178">
      <c r="A178" s="14" t="s">
        <v>286</v>
      </c>
      <c r="B178" s="31">
        <v>11.0</v>
      </c>
      <c r="C178" s="35" t="s">
        <v>278</v>
      </c>
      <c r="D178" s="35" t="s">
        <v>8640</v>
      </c>
      <c r="E178" s="36" t="s">
        <v>49</v>
      </c>
      <c r="G178" s="14" t="s">
        <v>7635</v>
      </c>
      <c r="H178" s="14" t="s">
        <v>3809</v>
      </c>
      <c r="I178" s="14" t="s">
        <v>2184</v>
      </c>
      <c r="J178" s="14" t="s">
        <v>626</v>
      </c>
      <c r="L178" s="606" t="s">
        <v>8641</v>
      </c>
      <c r="M178" s="610" t="s">
        <v>8642</v>
      </c>
      <c r="N178" s="587"/>
      <c r="O178" s="587"/>
    </row>
    <row r="179">
      <c r="A179" s="14" t="s">
        <v>286</v>
      </c>
      <c r="B179" s="31">
        <v>12.0</v>
      </c>
      <c r="C179" s="35" t="s">
        <v>239</v>
      </c>
      <c r="D179" s="35" t="s">
        <v>8645</v>
      </c>
      <c r="E179" s="51" t="s">
        <v>53</v>
      </c>
      <c r="F179" s="14" t="s">
        <v>1684</v>
      </c>
      <c r="G179" s="14" t="s">
        <v>3775</v>
      </c>
      <c r="H179" s="14" t="s">
        <v>3802</v>
      </c>
      <c r="I179" s="14" t="s">
        <v>8301</v>
      </c>
      <c r="J179" s="14" t="s">
        <v>3775</v>
      </c>
      <c r="L179" s="606" t="s">
        <v>8646</v>
      </c>
      <c r="M179" s="611" t="s">
        <v>8647</v>
      </c>
      <c r="N179" s="587"/>
      <c r="O179" s="587"/>
    </row>
    <row r="180">
      <c r="A180" s="14" t="s">
        <v>286</v>
      </c>
      <c r="B180" s="31">
        <v>13.0</v>
      </c>
      <c r="C180" s="35" t="s">
        <v>6130</v>
      </c>
      <c r="D180" s="35" t="s">
        <v>2877</v>
      </c>
      <c r="E180" s="36" t="s">
        <v>49</v>
      </c>
      <c r="F180" s="14" t="s">
        <v>8649</v>
      </c>
      <c r="G180" s="14" t="s">
        <v>780</v>
      </c>
      <c r="H180" s="14" t="s">
        <v>8623</v>
      </c>
      <c r="I180" s="14" t="s">
        <v>8650</v>
      </c>
      <c r="J180" s="14" t="s">
        <v>8651</v>
      </c>
      <c r="L180" s="606" t="s">
        <v>8652</v>
      </c>
      <c r="M180" s="611" t="s">
        <v>8653</v>
      </c>
      <c r="N180" s="587"/>
      <c r="O180" s="587"/>
    </row>
    <row r="181">
      <c r="A181" s="14" t="s">
        <v>286</v>
      </c>
      <c r="B181" s="31">
        <v>14.0</v>
      </c>
      <c r="C181" s="38" t="s">
        <v>1331</v>
      </c>
      <c r="D181" s="38" t="s">
        <v>793</v>
      </c>
      <c r="E181" s="36" t="s">
        <v>49</v>
      </c>
      <c r="G181" s="14" t="s">
        <v>652</v>
      </c>
      <c r="H181" s="14" t="s">
        <v>8656</v>
      </c>
      <c r="I181" s="14" t="s">
        <v>578</v>
      </c>
      <c r="J181" s="14" t="s">
        <v>8657</v>
      </c>
      <c r="L181" s="587"/>
      <c r="M181" s="589" t="str">
        <f>lower(concatenate(C181,".",D181,"@senate.mo.gov"))</f>
        <v>brian.williams@senate.mo.gov</v>
      </c>
      <c r="N181" s="587"/>
      <c r="O181" s="587"/>
    </row>
    <row r="182">
      <c r="A182" s="14" t="s">
        <v>286</v>
      </c>
      <c r="B182" s="31">
        <v>15.0</v>
      </c>
      <c r="C182" s="35" t="s">
        <v>80</v>
      </c>
      <c r="D182" s="35" t="s">
        <v>5246</v>
      </c>
      <c r="E182" s="51" t="s">
        <v>53</v>
      </c>
      <c r="G182" s="14" t="s">
        <v>8569</v>
      </c>
      <c r="H182" s="14" t="s">
        <v>8662</v>
      </c>
      <c r="I182" s="14" t="s">
        <v>8632</v>
      </c>
      <c r="J182" s="14" t="s">
        <v>8606</v>
      </c>
      <c r="L182" s="606" t="s">
        <v>8663</v>
      </c>
      <c r="M182" s="611" t="s">
        <v>8664</v>
      </c>
      <c r="N182" s="587"/>
      <c r="O182" s="587"/>
    </row>
    <row r="183">
      <c r="A183" s="14" t="s">
        <v>286</v>
      </c>
      <c r="B183" s="31">
        <v>16.0</v>
      </c>
      <c r="C183" s="35" t="s">
        <v>786</v>
      </c>
      <c r="D183" s="35" t="s">
        <v>447</v>
      </c>
      <c r="E183" s="51" t="s">
        <v>53</v>
      </c>
      <c r="G183" s="14" t="s">
        <v>578</v>
      </c>
      <c r="H183" s="14" t="s">
        <v>8667</v>
      </c>
      <c r="I183" s="14" t="s">
        <v>2184</v>
      </c>
      <c r="J183" s="14" t="s">
        <v>7913</v>
      </c>
      <c r="L183" s="606" t="s">
        <v>8668</v>
      </c>
      <c r="M183" s="610" t="s">
        <v>8669</v>
      </c>
      <c r="N183" s="587"/>
      <c r="O183" s="587"/>
    </row>
    <row r="184">
      <c r="A184" s="14" t="s">
        <v>286</v>
      </c>
      <c r="B184" s="31">
        <v>17.0</v>
      </c>
      <c r="C184" s="35" t="s">
        <v>3317</v>
      </c>
      <c r="D184" s="35" t="s">
        <v>802</v>
      </c>
      <c r="E184" s="36" t="s">
        <v>49</v>
      </c>
      <c r="G184" s="14" t="s">
        <v>515</v>
      </c>
      <c r="H184" s="14" t="s">
        <v>3542</v>
      </c>
      <c r="I184" s="14" t="s">
        <v>7635</v>
      </c>
      <c r="J184" s="14" t="s">
        <v>8606</v>
      </c>
      <c r="L184" s="606" t="s">
        <v>8674</v>
      </c>
      <c r="M184" s="610" t="s">
        <v>8675</v>
      </c>
      <c r="N184" s="587"/>
      <c r="O184" s="587"/>
    </row>
    <row r="185">
      <c r="A185" s="14" t="s">
        <v>286</v>
      </c>
      <c r="B185" s="31">
        <v>18.0</v>
      </c>
      <c r="C185" s="35" t="s">
        <v>1561</v>
      </c>
      <c r="D185" s="35" t="s">
        <v>8676</v>
      </c>
      <c r="E185" s="51" t="s">
        <v>53</v>
      </c>
      <c r="G185" s="14" t="s">
        <v>515</v>
      </c>
      <c r="H185" s="14" t="s">
        <v>8677</v>
      </c>
      <c r="I185" s="14" t="s">
        <v>3775</v>
      </c>
      <c r="J185" s="14" t="s">
        <v>8678</v>
      </c>
      <c r="L185" s="587"/>
      <c r="M185" s="589" t="str">
        <f>lower(concatenate(C185,".",D185,"@senate.mo.gov"))</f>
        <v>cindy.o'laughlin@senate.mo.gov</v>
      </c>
      <c r="N185" s="587"/>
      <c r="O185" s="587"/>
    </row>
    <row r="186">
      <c r="A186" s="14" t="s">
        <v>286</v>
      </c>
      <c r="B186" s="31">
        <v>19.0</v>
      </c>
      <c r="C186" s="35" t="s">
        <v>8680</v>
      </c>
      <c r="D186" s="35" t="s">
        <v>8681</v>
      </c>
      <c r="E186" s="51" t="s">
        <v>53</v>
      </c>
      <c r="F186" s="14" t="s">
        <v>3500</v>
      </c>
      <c r="G186" s="14" t="s">
        <v>8682</v>
      </c>
      <c r="H186" s="14" t="s">
        <v>8683</v>
      </c>
      <c r="I186" s="14" t="s">
        <v>8684</v>
      </c>
      <c r="L186" s="606" t="s">
        <v>8685</v>
      </c>
      <c r="M186" s="611" t="s">
        <v>8686</v>
      </c>
      <c r="N186" s="587"/>
      <c r="O186" s="587"/>
    </row>
    <row r="187">
      <c r="A187" s="14" t="s">
        <v>286</v>
      </c>
      <c r="B187" s="31">
        <v>20.0</v>
      </c>
      <c r="C187" s="35" t="s">
        <v>2302</v>
      </c>
      <c r="D187" s="35" t="s">
        <v>8687</v>
      </c>
      <c r="E187" s="51" t="s">
        <v>53</v>
      </c>
      <c r="G187" s="14" t="s">
        <v>7635</v>
      </c>
      <c r="H187" s="14" t="s">
        <v>8688</v>
      </c>
      <c r="I187" s="14" t="s">
        <v>8689</v>
      </c>
      <c r="L187" s="587"/>
      <c r="M187" s="589" t="str">
        <f>lower(concatenate(C187,".",D187,"@senate.mo.gov"))</f>
        <v>eric.burlison@senate.mo.gov</v>
      </c>
      <c r="N187" s="587"/>
      <c r="O187" s="587"/>
    </row>
    <row r="188">
      <c r="A188" s="14" t="s">
        <v>286</v>
      </c>
      <c r="B188" s="31">
        <v>21.0</v>
      </c>
      <c r="C188" s="35" t="s">
        <v>7853</v>
      </c>
      <c r="D188" s="35" t="s">
        <v>8690</v>
      </c>
      <c r="E188" s="51" t="s">
        <v>53</v>
      </c>
      <c r="G188" s="14" t="s">
        <v>7913</v>
      </c>
      <c r="H188" s="14" t="s">
        <v>8689</v>
      </c>
      <c r="I188" s="14" t="s">
        <v>7655</v>
      </c>
      <c r="J188" s="14" t="s">
        <v>626</v>
      </c>
      <c r="L188" s="606" t="s">
        <v>8691</v>
      </c>
      <c r="M188" s="611" t="s">
        <v>8692</v>
      </c>
      <c r="N188" s="587"/>
      <c r="O188" s="587"/>
    </row>
    <row r="189">
      <c r="A189" s="14" t="s">
        <v>286</v>
      </c>
      <c r="B189" s="31">
        <v>22.0</v>
      </c>
      <c r="C189" s="35" t="s">
        <v>679</v>
      </c>
      <c r="D189" s="35" t="s">
        <v>8693</v>
      </c>
      <c r="E189" s="51" t="s">
        <v>53</v>
      </c>
      <c r="G189" s="14" t="s">
        <v>8694</v>
      </c>
      <c r="H189" s="14" t="s">
        <v>8695</v>
      </c>
      <c r="I189" s="14" t="s">
        <v>7655</v>
      </c>
      <c r="L189" s="606" t="s">
        <v>8696</v>
      </c>
      <c r="M189" s="608" t="s">
        <v>8697</v>
      </c>
      <c r="N189" s="587"/>
      <c r="O189" s="587"/>
    </row>
    <row r="190">
      <c r="A190" s="14" t="s">
        <v>286</v>
      </c>
      <c r="B190" s="31">
        <v>23.0</v>
      </c>
      <c r="C190" s="35" t="s">
        <v>325</v>
      </c>
      <c r="D190" s="35" t="s">
        <v>8698</v>
      </c>
      <c r="E190" s="51" t="s">
        <v>53</v>
      </c>
      <c r="G190" s="14" t="s">
        <v>8699</v>
      </c>
      <c r="H190" s="14" t="s">
        <v>626</v>
      </c>
      <c r="I190" s="14" t="s">
        <v>3531</v>
      </c>
      <c r="J190" s="14" t="s">
        <v>8700</v>
      </c>
      <c r="L190" s="606" t="s">
        <v>8701</v>
      </c>
      <c r="M190" s="589" t="str">
        <f>lower(concatenate(C190,".",D190,"@senate.mo.gov"))</f>
        <v>bill.eigel@senate.mo.gov</v>
      </c>
      <c r="N190" s="587"/>
      <c r="O190" s="587"/>
    </row>
    <row r="191">
      <c r="A191" s="14" t="s">
        <v>286</v>
      </c>
      <c r="B191" s="31">
        <v>24.0</v>
      </c>
      <c r="C191" s="35" t="s">
        <v>6555</v>
      </c>
      <c r="D191" s="35" t="s">
        <v>8702</v>
      </c>
      <c r="E191" s="36" t="s">
        <v>49</v>
      </c>
      <c r="G191" s="14" t="s">
        <v>8703</v>
      </c>
      <c r="H191" s="14" t="s">
        <v>515</v>
      </c>
      <c r="I191" s="14" t="s">
        <v>8700</v>
      </c>
      <c r="J191" s="14" t="s">
        <v>7655</v>
      </c>
      <c r="L191" s="606" t="s">
        <v>8704</v>
      </c>
      <c r="M191" s="610" t="s">
        <v>8705</v>
      </c>
      <c r="N191" s="587"/>
      <c r="O191" s="587"/>
    </row>
    <row r="192">
      <c r="A192" s="14" t="s">
        <v>286</v>
      </c>
      <c r="B192" s="45">
        <v>25.0</v>
      </c>
      <c r="C192" s="35" t="s">
        <v>1146</v>
      </c>
      <c r="D192" s="35" t="s">
        <v>8706</v>
      </c>
      <c r="E192" s="51" t="s">
        <v>53</v>
      </c>
      <c r="G192" s="14" t="s">
        <v>8707</v>
      </c>
      <c r="H192" s="14" t="s">
        <v>3820</v>
      </c>
      <c r="I192" s="14" t="s">
        <v>8708</v>
      </c>
      <c r="J192" s="14" t="s">
        <v>8709</v>
      </c>
      <c r="L192" s="606" t="s">
        <v>8710</v>
      </c>
      <c r="M192" s="611" t="s">
        <v>8711</v>
      </c>
      <c r="N192" s="587"/>
      <c r="O192" s="587"/>
    </row>
    <row r="193">
      <c r="A193" s="14" t="s">
        <v>286</v>
      </c>
      <c r="B193" s="31">
        <v>26.0</v>
      </c>
      <c r="C193" s="35" t="s">
        <v>76</v>
      </c>
      <c r="D193" s="35" t="s">
        <v>8712</v>
      </c>
      <c r="E193" s="51" t="s">
        <v>53</v>
      </c>
      <c r="F193" s="14" t="s">
        <v>8713</v>
      </c>
      <c r="G193" s="14" t="s">
        <v>8714</v>
      </c>
      <c r="H193" s="14" t="s">
        <v>8715</v>
      </c>
      <c r="I193" s="14" t="s">
        <v>8716</v>
      </c>
      <c r="L193" s="606" t="s">
        <v>8717</v>
      </c>
      <c r="M193" s="611" t="s">
        <v>8718</v>
      </c>
      <c r="N193" s="587"/>
      <c r="O193" s="587"/>
    </row>
    <row r="194">
      <c r="A194" s="14" t="s">
        <v>286</v>
      </c>
      <c r="B194" s="31">
        <v>27.0</v>
      </c>
      <c r="C194" s="35" t="s">
        <v>6418</v>
      </c>
      <c r="D194" s="35" t="s">
        <v>8719</v>
      </c>
      <c r="E194" s="51" t="s">
        <v>53</v>
      </c>
      <c r="F194" s="14" t="s">
        <v>8720</v>
      </c>
      <c r="G194" s="14" t="s">
        <v>3584</v>
      </c>
      <c r="H194" s="14" t="s">
        <v>8721</v>
      </c>
      <c r="I194" s="14" t="s">
        <v>626</v>
      </c>
      <c r="J194" s="14" t="s">
        <v>7646</v>
      </c>
      <c r="L194" s="606" t="s">
        <v>8722</v>
      </c>
      <c r="M194" s="611" t="s">
        <v>8723</v>
      </c>
      <c r="N194" s="587"/>
      <c r="O194" s="587"/>
    </row>
    <row r="195">
      <c r="A195" s="14" t="s">
        <v>286</v>
      </c>
      <c r="B195" s="31">
        <v>28.0</v>
      </c>
      <c r="C195" s="35" t="s">
        <v>5229</v>
      </c>
      <c r="D195" s="35" t="s">
        <v>103</v>
      </c>
      <c r="E195" s="51" t="s">
        <v>53</v>
      </c>
      <c r="F195" s="14" t="s">
        <v>8724</v>
      </c>
      <c r="G195" s="14" t="s">
        <v>3809</v>
      </c>
      <c r="H195" s="14" t="s">
        <v>2184</v>
      </c>
      <c r="I195" s="14" t="s">
        <v>8689</v>
      </c>
      <c r="J195" s="14" t="s">
        <v>8725</v>
      </c>
      <c r="L195" s="606" t="s">
        <v>8726</v>
      </c>
      <c r="M195" s="610" t="s">
        <v>8727</v>
      </c>
      <c r="N195" s="587"/>
      <c r="O195" s="587"/>
    </row>
    <row r="196">
      <c r="A196" s="14" t="s">
        <v>286</v>
      </c>
      <c r="B196" s="31">
        <v>29.0</v>
      </c>
      <c r="C196" s="35" t="s">
        <v>108</v>
      </c>
      <c r="D196" s="35" t="s">
        <v>8728</v>
      </c>
      <c r="E196" s="51" t="s">
        <v>53</v>
      </c>
      <c r="G196" s="14" t="s">
        <v>8700</v>
      </c>
      <c r="H196" s="14" t="s">
        <v>8729</v>
      </c>
      <c r="I196" s="14" t="s">
        <v>626</v>
      </c>
      <c r="L196" s="606" t="s">
        <v>8730</v>
      </c>
      <c r="M196" s="611" t="s">
        <v>8731</v>
      </c>
      <c r="N196" s="587"/>
      <c r="O196" s="587"/>
    </row>
    <row r="197">
      <c r="A197" s="14" t="s">
        <v>286</v>
      </c>
      <c r="B197" s="31">
        <v>30.0</v>
      </c>
      <c r="C197" s="35" t="s">
        <v>279</v>
      </c>
      <c r="D197" s="35" t="s">
        <v>6485</v>
      </c>
      <c r="E197" s="51" t="s">
        <v>53</v>
      </c>
      <c r="G197" s="14" t="s">
        <v>8732</v>
      </c>
      <c r="H197" s="14" t="s">
        <v>3775</v>
      </c>
      <c r="I197" s="14" t="s">
        <v>3542</v>
      </c>
      <c r="J197" s="14" t="s">
        <v>8009</v>
      </c>
      <c r="L197" s="587"/>
      <c r="M197" s="589" t="str">
        <f>lower(concatenate(C197,".",D197,"@senate.mo.gov"))</f>
        <v>lincoln.hough@senate.mo.gov</v>
      </c>
      <c r="N197" s="587"/>
      <c r="O197" s="587"/>
    </row>
    <row r="198">
      <c r="A198" s="14" t="s">
        <v>286</v>
      </c>
      <c r="B198" s="31">
        <v>31.0</v>
      </c>
      <c r="C198" s="35" t="s">
        <v>636</v>
      </c>
      <c r="D198" s="35" t="s">
        <v>8733</v>
      </c>
      <c r="E198" s="51" t="s">
        <v>53</v>
      </c>
      <c r="G198" s="14" t="s">
        <v>8734</v>
      </c>
      <c r="H198" s="14" t="s">
        <v>8735</v>
      </c>
      <c r="I198" s="14" t="s">
        <v>515</v>
      </c>
      <c r="J198" s="14" t="s">
        <v>652</v>
      </c>
      <c r="L198" s="606" t="s">
        <v>8736</v>
      </c>
      <c r="M198" s="611" t="s">
        <v>8737</v>
      </c>
      <c r="N198" s="587"/>
      <c r="O198" s="587"/>
    </row>
    <row r="199">
      <c r="A199" s="14" t="s">
        <v>286</v>
      </c>
      <c r="B199" s="31">
        <v>32.0</v>
      </c>
      <c r="C199" s="35" t="s">
        <v>325</v>
      </c>
      <c r="D199" s="35" t="s">
        <v>6034</v>
      </c>
      <c r="E199" s="51" t="s">
        <v>53</v>
      </c>
      <c r="G199" s="14" t="s">
        <v>7635</v>
      </c>
      <c r="H199" s="14" t="s">
        <v>8700</v>
      </c>
      <c r="I199" s="14" t="s">
        <v>8569</v>
      </c>
      <c r="L199" s="587"/>
      <c r="M199" s="589" t="str">
        <f>lower(concatenate(C199,".",D199,"@senate.mo.gov"))</f>
        <v>bill.white@senate.mo.gov</v>
      </c>
      <c r="N199" s="587"/>
      <c r="O199" s="587"/>
    </row>
    <row r="200">
      <c r="A200" s="14" t="s">
        <v>286</v>
      </c>
      <c r="B200" s="31">
        <v>33.0</v>
      </c>
      <c r="C200" s="35" t="s">
        <v>157</v>
      </c>
      <c r="D200" s="35" t="s">
        <v>1583</v>
      </c>
      <c r="E200" s="51" t="s">
        <v>53</v>
      </c>
      <c r="G200" s="14" t="s">
        <v>8766</v>
      </c>
      <c r="H200" s="14" t="s">
        <v>8767</v>
      </c>
      <c r="I200" s="14" t="s">
        <v>8768</v>
      </c>
      <c r="J200" s="14" t="s">
        <v>652</v>
      </c>
      <c r="L200" s="606" t="s">
        <v>8769</v>
      </c>
      <c r="M200" s="610" t="s">
        <v>8771</v>
      </c>
      <c r="N200" s="587"/>
      <c r="O200" s="587"/>
    </row>
    <row r="201">
      <c r="A201" s="14" t="s">
        <v>286</v>
      </c>
      <c r="B201" s="31">
        <v>34.0</v>
      </c>
      <c r="C201" s="35" t="s">
        <v>980</v>
      </c>
      <c r="D201" s="35" t="s">
        <v>8773</v>
      </c>
      <c r="E201" s="51" t="s">
        <v>53</v>
      </c>
      <c r="G201" s="14" t="s">
        <v>7635</v>
      </c>
      <c r="H201" s="14" t="s">
        <v>8688</v>
      </c>
      <c r="I201" s="14" t="s">
        <v>8695</v>
      </c>
      <c r="L201" s="587"/>
      <c r="M201" s="589" t="str">
        <f>lower(concatenate(C201,".",D201,"@senate.mo.gov"))</f>
        <v>tony.luetkemeyer@senate.mo.gov</v>
      </c>
      <c r="N201" s="587"/>
      <c r="O201" s="587"/>
    </row>
    <row r="202">
      <c r="A202" s="70"/>
      <c r="B202" s="70"/>
      <c r="C202" s="71"/>
      <c r="D202" s="71"/>
      <c r="E202" s="70"/>
      <c r="F202" s="70"/>
      <c r="G202" s="70"/>
      <c r="H202" s="70"/>
      <c r="I202" s="70"/>
      <c r="J202" s="70"/>
      <c r="K202" s="70"/>
      <c r="L202" s="604"/>
      <c r="M202" s="604"/>
      <c r="N202" s="604"/>
      <c r="O202" s="604"/>
      <c r="P202" s="70"/>
      <c r="Q202" s="70"/>
      <c r="R202" s="70"/>
      <c r="S202" s="70"/>
      <c r="T202" s="70"/>
      <c r="U202" s="70"/>
      <c r="V202" s="70"/>
      <c r="W202" s="70"/>
      <c r="X202" s="70"/>
      <c r="Y202" s="70"/>
      <c r="Z202" s="70"/>
      <c r="AA202" s="70"/>
      <c r="AB202" s="70"/>
      <c r="AC202" s="70"/>
      <c r="AD202" s="70"/>
    </row>
    <row r="203">
      <c r="A203" s="14" t="s">
        <v>421</v>
      </c>
      <c r="C203" s="77" t="s">
        <v>157</v>
      </c>
      <c r="D203" s="77" t="s">
        <v>8782</v>
      </c>
      <c r="E203" s="51" t="s">
        <v>53</v>
      </c>
      <c r="L203" s="614" t="s">
        <v>8784</v>
      </c>
      <c r="M203" s="611" t="s">
        <v>8785</v>
      </c>
      <c r="N203" s="587"/>
      <c r="O203" s="587"/>
    </row>
    <row r="204">
      <c r="A204" s="70"/>
      <c r="B204" s="70"/>
      <c r="C204" s="71"/>
      <c r="D204" s="71"/>
      <c r="E204" s="70"/>
      <c r="F204" s="70"/>
      <c r="G204" s="70"/>
      <c r="H204" s="70"/>
      <c r="I204" s="70"/>
      <c r="J204" s="70"/>
      <c r="K204" s="70"/>
      <c r="L204" s="604"/>
      <c r="M204" s="604"/>
      <c r="N204" s="604"/>
      <c r="O204" s="604"/>
      <c r="P204" s="70"/>
      <c r="Q204" s="70"/>
      <c r="R204" s="70"/>
      <c r="S204" s="70"/>
      <c r="T204" s="70"/>
      <c r="U204" s="70"/>
      <c r="V204" s="70"/>
      <c r="W204" s="70"/>
      <c r="X204" s="70"/>
      <c r="Y204" s="70"/>
      <c r="Z204" s="70"/>
      <c r="AA204" s="70"/>
      <c r="AB204" s="70"/>
      <c r="AC204" s="70"/>
      <c r="AD204" s="70"/>
    </row>
    <row r="205">
      <c r="A205" s="14" t="s">
        <v>427</v>
      </c>
      <c r="B205" s="14">
        <v>1.0</v>
      </c>
      <c r="C205" s="77" t="s">
        <v>8797</v>
      </c>
      <c r="D205" s="77" t="s">
        <v>868</v>
      </c>
      <c r="E205" s="36" t="s">
        <v>49</v>
      </c>
      <c r="L205" s="587"/>
      <c r="M205" s="587"/>
      <c r="N205" s="587"/>
      <c r="O205" s="587"/>
    </row>
    <row r="206">
      <c r="A206" s="14" t="s">
        <v>427</v>
      </c>
      <c r="B206" s="14">
        <v>2.0</v>
      </c>
      <c r="C206" s="77" t="s">
        <v>1375</v>
      </c>
      <c r="D206" s="77" t="s">
        <v>6832</v>
      </c>
      <c r="E206" s="51" t="s">
        <v>53</v>
      </c>
      <c r="L206" s="587"/>
      <c r="M206" s="587"/>
      <c r="N206" s="587"/>
      <c r="O206" s="587"/>
    </row>
    <row r="207">
      <c r="A207" s="14" t="s">
        <v>427</v>
      </c>
      <c r="B207" s="14">
        <v>3.0</v>
      </c>
      <c r="C207" s="77" t="s">
        <v>4458</v>
      </c>
      <c r="D207" s="77" t="s">
        <v>8773</v>
      </c>
      <c r="E207" s="51" t="s">
        <v>53</v>
      </c>
      <c r="L207" s="587"/>
      <c r="M207" s="587"/>
      <c r="N207" s="587"/>
      <c r="O207" s="587"/>
    </row>
    <row r="208">
      <c r="A208" s="14" t="s">
        <v>427</v>
      </c>
      <c r="B208" s="14">
        <v>4.0</v>
      </c>
      <c r="C208" s="77" t="s">
        <v>8805</v>
      </c>
      <c r="D208" s="77" t="s">
        <v>8806</v>
      </c>
      <c r="E208" s="51" t="s">
        <v>53</v>
      </c>
      <c r="L208" s="587"/>
      <c r="M208" s="587"/>
      <c r="N208" s="587"/>
      <c r="O208" s="587"/>
    </row>
    <row r="209">
      <c r="A209" s="14" t="s">
        <v>427</v>
      </c>
      <c r="B209" s="14">
        <v>5.0</v>
      </c>
      <c r="C209" s="77" t="s">
        <v>4012</v>
      </c>
      <c r="D209" s="77" t="s">
        <v>8809</v>
      </c>
      <c r="E209" s="36" t="s">
        <v>49</v>
      </c>
      <c r="L209" s="587"/>
      <c r="M209" s="587"/>
      <c r="N209" s="587"/>
      <c r="O209" s="587"/>
    </row>
    <row r="210">
      <c r="A210" s="14" t="s">
        <v>427</v>
      </c>
      <c r="B210" s="14">
        <v>6.0</v>
      </c>
      <c r="C210" s="77" t="s">
        <v>224</v>
      </c>
      <c r="D210" s="77" t="s">
        <v>4769</v>
      </c>
      <c r="E210" s="51" t="s">
        <v>53</v>
      </c>
      <c r="L210" s="587"/>
      <c r="M210" s="587"/>
      <c r="N210" s="587"/>
      <c r="O210" s="587"/>
    </row>
    <row r="211">
      <c r="A211" s="14" t="s">
        <v>427</v>
      </c>
      <c r="B211" s="14">
        <v>7.0</v>
      </c>
      <c r="C211" s="77" t="s">
        <v>3651</v>
      </c>
      <c r="D211" s="77" t="s">
        <v>4836</v>
      </c>
      <c r="E211" s="51" t="s">
        <v>53</v>
      </c>
      <c r="L211" s="587"/>
      <c r="M211" s="587"/>
      <c r="N211" s="587"/>
      <c r="O211" s="587"/>
    </row>
    <row r="212">
      <c r="A212" s="14" t="s">
        <v>427</v>
      </c>
      <c r="B212" s="14">
        <v>8.0</v>
      </c>
      <c r="C212" s="77" t="s">
        <v>1231</v>
      </c>
      <c r="D212" s="77" t="s">
        <v>1451</v>
      </c>
      <c r="E212" s="51" t="s">
        <v>53</v>
      </c>
      <c r="L212" s="587"/>
      <c r="M212" s="587"/>
      <c r="N212" s="587"/>
      <c r="O212" s="587"/>
    </row>
    <row r="213">
      <c r="A213" s="70"/>
      <c r="B213" s="70"/>
      <c r="C213" s="71"/>
      <c r="D213" s="71"/>
      <c r="E213" s="70"/>
      <c r="F213" s="70"/>
      <c r="G213" s="70"/>
      <c r="H213" s="70"/>
      <c r="I213" s="70"/>
      <c r="J213" s="70"/>
      <c r="K213" s="70"/>
      <c r="L213" s="604"/>
      <c r="M213" s="604"/>
      <c r="N213" s="604"/>
      <c r="O213" s="604"/>
      <c r="P213" s="70"/>
      <c r="Q213" s="70"/>
      <c r="R213" s="70"/>
      <c r="S213" s="70"/>
      <c r="T213" s="70"/>
      <c r="U213" s="70"/>
      <c r="V213" s="70"/>
      <c r="W213" s="70"/>
      <c r="X213" s="70"/>
      <c r="Y213" s="70"/>
      <c r="Z213" s="70"/>
      <c r="AA213" s="70"/>
      <c r="AB213" s="70"/>
      <c r="AC213" s="70"/>
      <c r="AD213" s="70"/>
    </row>
    <row r="214">
      <c r="A214" s="14" t="s">
        <v>430</v>
      </c>
      <c r="C214" s="77" t="s">
        <v>180</v>
      </c>
      <c r="D214" s="77" t="s">
        <v>8818</v>
      </c>
      <c r="E214" s="51" t="s">
        <v>53</v>
      </c>
      <c r="L214" s="587"/>
      <c r="M214" s="587"/>
      <c r="N214" s="587"/>
      <c r="O214" s="587"/>
    </row>
    <row r="215">
      <c r="A215" s="14" t="s">
        <v>430</v>
      </c>
      <c r="C215" s="77" t="s">
        <v>3411</v>
      </c>
      <c r="D215" s="77" t="s">
        <v>8820</v>
      </c>
      <c r="E215" s="51" t="s">
        <v>53</v>
      </c>
      <c r="L215" s="587"/>
      <c r="M215" s="587"/>
      <c r="N215" s="587"/>
      <c r="O215" s="587"/>
    </row>
    <row r="216">
      <c r="A216" s="70"/>
      <c r="B216" s="70"/>
      <c r="C216" s="71"/>
      <c r="D216" s="71"/>
      <c r="E216" s="70"/>
      <c r="F216" s="70"/>
      <c r="G216" s="70"/>
      <c r="H216" s="70"/>
      <c r="I216" s="70"/>
      <c r="J216" s="70"/>
      <c r="K216" s="70"/>
      <c r="L216" s="604"/>
      <c r="M216" s="604"/>
      <c r="N216" s="604"/>
      <c r="O216" s="604"/>
      <c r="P216" s="70"/>
      <c r="Q216" s="70"/>
      <c r="R216" s="70"/>
      <c r="S216" s="70"/>
      <c r="T216" s="70"/>
      <c r="U216" s="70"/>
      <c r="V216" s="70"/>
      <c r="W216" s="70"/>
      <c r="X216" s="70"/>
      <c r="Y216" s="70"/>
      <c r="Z216" s="70"/>
      <c r="AA216" s="70"/>
      <c r="AB216" s="70"/>
      <c r="AC216" s="70"/>
      <c r="AD216" s="70"/>
    </row>
    <row r="217">
      <c r="A217" s="14" t="s">
        <v>438</v>
      </c>
      <c r="C217" s="77" t="s">
        <v>180</v>
      </c>
      <c r="D217" s="77" t="s">
        <v>8818</v>
      </c>
      <c r="E217" s="51" t="s">
        <v>53</v>
      </c>
      <c r="L217" s="587"/>
      <c r="M217" s="587"/>
      <c r="N217" s="587"/>
      <c r="O217" s="587"/>
    </row>
    <row r="218">
      <c r="A218" s="70"/>
      <c r="B218" s="70"/>
      <c r="C218" s="71"/>
      <c r="D218" s="71"/>
      <c r="E218" s="70"/>
      <c r="F218" s="70"/>
      <c r="G218" s="70"/>
      <c r="H218" s="70"/>
      <c r="I218" s="70"/>
      <c r="J218" s="70"/>
      <c r="K218" s="70"/>
      <c r="L218" s="604"/>
      <c r="M218" s="604"/>
      <c r="N218" s="604"/>
      <c r="O218" s="604"/>
      <c r="P218" s="70"/>
      <c r="Q218" s="70"/>
      <c r="R218" s="70"/>
      <c r="S218" s="70"/>
      <c r="T218" s="70"/>
      <c r="U218" s="70"/>
      <c r="V218" s="70"/>
      <c r="W218" s="70"/>
      <c r="X218" s="70"/>
      <c r="Y218" s="70"/>
      <c r="Z218" s="70"/>
      <c r="AA218" s="70"/>
      <c r="AB218" s="70"/>
      <c r="AC218" s="70"/>
      <c r="AD218" s="70"/>
    </row>
    <row r="219">
      <c r="C219" s="139"/>
      <c r="D219" s="139"/>
      <c r="L219" s="587"/>
      <c r="M219" s="587"/>
      <c r="N219" s="587"/>
      <c r="O219" s="587"/>
    </row>
    <row r="220">
      <c r="C220" s="139"/>
      <c r="D220" s="139"/>
      <c r="L220" s="587"/>
      <c r="M220" s="587"/>
      <c r="N220" s="587"/>
      <c r="O220" s="587"/>
    </row>
    <row r="221">
      <c r="C221" s="139"/>
      <c r="D221" s="139"/>
      <c r="L221" s="587"/>
      <c r="M221" s="587"/>
      <c r="N221" s="587"/>
      <c r="O221" s="587"/>
    </row>
    <row r="222">
      <c r="C222" s="139"/>
      <c r="D222" s="139"/>
      <c r="L222" s="587"/>
      <c r="M222" s="587"/>
      <c r="N222" s="587"/>
      <c r="O222" s="587"/>
    </row>
    <row r="223">
      <c r="C223" s="139"/>
      <c r="D223" s="139"/>
      <c r="L223" s="587"/>
      <c r="M223" s="587"/>
      <c r="N223" s="587"/>
      <c r="O223" s="587"/>
    </row>
    <row r="224">
      <c r="C224" s="139"/>
      <c r="D224" s="139"/>
      <c r="L224" s="587"/>
      <c r="M224" s="587"/>
      <c r="N224" s="587"/>
      <c r="O224" s="587"/>
    </row>
    <row r="225">
      <c r="C225" s="139"/>
      <c r="D225" s="139"/>
      <c r="L225" s="587"/>
      <c r="M225" s="587"/>
      <c r="N225" s="587"/>
      <c r="O225" s="587"/>
    </row>
    <row r="226">
      <c r="C226" s="139"/>
      <c r="D226" s="139"/>
      <c r="L226" s="587"/>
      <c r="M226" s="587"/>
      <c r="N226" s="587"/>
      <c r="O226" s="587"/>
    </row>
    <row r="227">
      <c r="C227" s="139"/>
      <c r="D227" s="139"/>
      <c r="L227" s="587"/>
      <c r="M227" s="587"/>
      <c r="N227" s="587"/>
      <c r="O227" s="587"/>
    </row>
    <row r="228">
      <c r="C228" s="139"/>
      <c r="D228" s="139"/>
      <c r="L228" s="587"/>
      <c r="M228" s="587"/>
      <c r="N228" s="587"/>
      <c r="O228" s="587"/>
    </row>
    <row r="229">
      <c r="C229" s="139"/>
      <c r="D229" s="139"/>
      <c r="L229" s="587"/>
      <c r="M229" s="587"/>
      <c r="N229" s="587"/>
      <c r="O229" s="587"/>
    </row>
    <row r="230">
      <c r="C230" s="139"/>
      <c r="D230" s="139"/>
      <c r="L230" s="587"/>
      <c r="M230" s="587"/>
      <c r="N230" s="587"/>
      <c r="O230" s="587"/>
    </row>
    <row r="231">
      <c r="C231" s="139"/>
      <c r="D231" s="139"/>
      <c r="L231" s="587"/>
      <c r="M231" s="587"/>
      <c r="N231" s="587"/>
      <c r="O231" s="587"/>
    </row>
    <row r="232">
      <c r="C232" s="139"/>
      <c r="D232" s="139"/>
      <c r="L232" s="587"/>
      <c r="M232" s="587"/>
      <c r="N232" s="587"/>
      <c r="O232" s="587"/>
    </row>
    <row r="233">
      <c r="C233" s="139"/>
      <c r="D233" s="139"/>
      <c r="L233" s="587"/>
      <c r="M233" s="587"/>
      <c r="N233" s="587"/>
      <c r="O233" s="587"/>
    </row>
    <row r="234">
      <c r="C234" s="139"/>
      <c r="D234" s="139"/>
      <c r="L234" s="587"/>
      <c r="M234" s="587"/>
      <c r="N234" s="587"/>
      <c r="O234" s="587"/>
    </row>
    <row r="235">
      <c r="C235" s="139"/>
      <c r="D235" s="139"/>
      <c r="L235" s="587"/>
      <c r="M235" s="587"/>
      <c r="N235" s="587"/>
      <c r="O235" s="587"/>
    </row>
    <row r="236">
      <c r="C236" s="139"/>
      <c r="D236" s="139"/>
      <c r="L236" s="587"/>
      <c r="M236" s="587"/>
      <c r="N236" s="587"/>
      <c r="O236" s="587"/>
    </row>
    <row r="237">
      <c r="C237" s="139"/>
      <c r="D237" s="139"/>
      <c r="L237" s="587"/>
      <c r="M237" s="587"/>
      <c r="N237" s="587"/>
      <c r="O237" s="587"/>
    </row>
    <row r="238">
      <c r="C238" s="139"/>
      <c r="D238" s="139"/>
      <c r="L238" s="587"/>
      <c r="M238" s="587"/>
      <c r="N238" s="587"/>
      <c r="O238" s="587"/>
    </row>
    <row r="239">
      <c r="C239" s="139"/>
      <c r="D239" s="139"/>
      <c r="L239" s="587"/>
      <c r="M239" s="587"/>
      <c r="N239" s="587"/>
      <c r="O239" s="587"/>
    </row>
    <row r="240">
      <c r="C240" s="139"/>
      <c r="D240" s="139"/>
      <c r="L240" s="587"/>
      <c r="M240" s="587"/>
      <c r="N240" s="587"/>
      <c r="O240" s="587"/>
    </row>
    <row r="241">
      <c r="C241" s="139"/>
      <c r="D241" s="139"/>
      <c r="L241" s="587"/>
      <c r="M241" s="587"/>
      <c r="N241" s="587"/>
      <c r="O241" s="587"/>
    </row>
    <row r="242">
      <c r="C242" s="139"/>
      <c r="D242" s="139"/>
      <c r="L242" s="587"/>
      <c r="M242" s="587"/>
      <c r="N242" s="587"/>
      <c r="O242" s="587"/>
    </row>
    <row r="243">
      <c r="C243" s="139"/>
      <c r="D243" s="139"/>
      <c r="L243" s="587"/>
      <c r="M243" s="587"/>
      <c r="N243" s="587"/>
      <c r="O243" s="587"/>
    </row>
    <row r="244">
      <c r="C244" s="139"/>
      <c r="D244" s="139"/>
      <c r="L244" s="587"/>
      <c r="M244" s="587"/>
      <c r="N244" s="587"/>
      <c r="O244" s="587"/>
    </row>
    <row r="245">
      <c r="C245" s="139"/>
      <c r="D245" s="139"/>
      <c r="L245" s="587"/>
      <c r="M245" s="587"/>
      <c r="N245" s="587"/>
      <c r="O245" s="587"/>
    </row>
    <row r="246">
      <c r="C246" s="139"/>
      <c r="D246" s="139"/>
      <c r="L246" s="587"/>
      <c r="M246" s="587"/>
      <c r="N246" s="587"/>
      <c r="O246" s="587"/>
    </row>
    <row r="247">
      <c r="C247" s="139"/>
      <c r="D247" s="139"/>
      <c r="L247" s="587"/>
      <c r="M247" s="587"/>
      <c r="N247" s="587"/>
      <c r="O247" s="587"/>
    </row>
    <row r="248">
      <c r="C248" s="139"/>
      <c r="D248" s="139"/>
      <c r="L248" s="587"/>
      <c r="M248" s="587"/>
      <c r="N248" s="587"/>
      <c r="O248" s="587"/>
    </row>
    <row r="249">
      <c r="C249" s="139"/>
      <c r="D249" s="139"/>
      <c r="L249" s="587"/>
      <c r="M249" s="587"/>
      <c r="N249" s="587"/>
      <c r="O249" s="587"/>
    </row>
    <row r="250">
      <c r="C250" s="139"/>
      <c r="D250" s="139"/>
      <c r="L250" s="587"/>
      <c r="M250" s="587"/>
      <c r="N250" s="587"/>
      <c r="O250" s="587"/>
    </row>
    <row r="251">
      <c r="C251" s="139"/>
      <c r="D251" s="139"/>
      <c r="L251" s="587"/>
      <c r="M251" s="587"/>
      <c r="N251" s="587"/>
      <c r="O251" s="587"/>
    </row>
    <row r="252">
      <c r="C252" s="139"/>
      <c r="D252" s="139"/>
      <c r="L252" s="587"/>
      <c r="M252" s="587"/>
      <c r="N252" s="587"/>
      <c r="O252" s="587"/>
    </row>
    <row r="253">
      <c r="C253" s="139"/>
      <c r="D253" s="139"/>
      <c r="L253" s="587"/>
      <c r="M253" s="587"/>
      <c r="N253" s="587"/>
      <c r="O253" s="587"/>
    </row>
    <row r="254">
      <c r="C254" s="139"/>
      <c r="D254" s="139"/>
      <c r="L254" s="587"/>
      <c r="M254" s="587"/>
      <c r="N254" s="587"/>
      <c r="O254" s="587"/>
    </row>
    <row r="255">
      <c r="C255" s="139"/>
      <c r="D255" s="139"/>
      <c r="L255" s="587"/>
      <c r="M255" s="587"/>
      <c r="N255" s="587"/>
      <c r="O255" s="587"/>
    </row>
    <row r="256">
      <c r="C256" s="139"/>
      <c r="D256" s="139"/>
      <c r="L256" s="587"/>
      <c r="M256" s="587"/>
      <c r="N256" s="587"/>
      <c r="O256" s="587"/>
    </row>
    <row r="257">
      <c r="C257" s="139"/>
      <c r="D257" s="139"/>
      <c r="L257" s="587"/>
      <c r="M257" s="587"/>
      <c r="N257" s="587"/>
      <c r="O257" s="587"/>
    </row>
    <row r="258">
      <c r="C258" s="139"/>
      <c r="D258" s="139"/>
      <c r="L258" s="587"/>
      <c r="M258" s="587"/>
      <c r="N258" s="587"/>
      <c r="O258" s="587"/>
    </row>
    <row r="259">
      <c r="C259" s="139"/>
      <c r="D259" s="139"/>
      <c r="L259" s="587"/>
      <c r="M259" s="587"/>
      <c r="N259" s="587"/>
      <c r="O259" s="587"/>
    </row>
    <row r="260">
      <c r="C260" s="139"/>
      <c r="D260" s="139"/>
      <c r="L260" s="587"/>
      <c r="M260" s="587"/>
      <c r="N260" s="587"/>
      <c r="O260" s="587"/>
    </row>
    <row r="261">
      <c r="C261" s="139"/>
      <c r="D261" s="139"/>
      <c r="L261" s="587"/>
      <c r="M261" s="587"/>
      <c r="N261" s="587"/>
      <c r="O261" s="587"/>
    </row>
    <row r="262">
      <c r="C262" s="139"/>
      <c r="D262" s="139"/>
      <c r="L262" s="587"/>
      <c r="M262" s="587"/>
      <c r="N262" s="587"/>
      <c r="O262" s="587"/>
    </row>
    <row r="263">
      <c r="C263" s="139"/>
      <c r="D263" s="139"/>
      <c r="L263" s="587"/>
      <c r="M263" s="587"/>
      <c r="N263" s="587"/>
      <c r="O263" s="587"/>
    </row>
    <row r="264">
      <c r="C264" s="139"/>
      <c r="D264" s="139"/>
      <c r="L264" s="587"/>
      <c r="M264" s="587"/>
      <c r="N264" s="587"/>
      <c r="O264" s="587"/>
    </row>
    <row r="265">
      <c r="C265" s="139"/>
      <c r="D265" s="139"/>
      <c r="L265" s="587"/>
      <c r="M265" s="587"/>
      <c r="N265" s="587"/>
      <c r="O265" s="587"/>
    </row>
    <row r="266">
      <c r="C266" s="139"/>
      <c r="D266" s="139"/>
      <c r="L266" s="587"/>
      <c r="M266" s="587"/>
      <c r="N266" s="587"/>
      <c r="O266" s="587"/>
    </row>
    <row r="267">
      <c r="C267" s="139"/>
      <c r="D267" s="139"/>
      <c r="L267" s="587"/>
      <c r="M267" s="587"/>
      <c r="N267" s="587"/>
      <c r="O267" s="587"/>
    </row>
    <row r="268">
      <c r="C268" s="139"/>
      <c r="D268" s="139"/>
      <c r="L268" s="587"/>
      <c r="M268" s="587"/>
      <c r="N268" s="587"/>
      <c r="O268" s="587"/>
    </row>
    <row r="269">
      <c r="C269" s="139"/>
      <c r="D269" s="139"/>
      <c r="L269" s="587"/>
      <c r="M269" s="587"/>
      <c r="N269" s="587"/>
      <c r="O269" s="587"/>
    </row>
    <row r="270">
      <c r="C270" s="139"/>
      <c r="D270" s="139"/>
      <c r="L270" s="587"/>
      <c r="M270" s="587"/>
      <c r="N270" s="587"/>
      <c r="O270" s="587"/>
    </row>
    <row r="271">
      <c r="C271" s="139"/>
      <c r="D271" s="139"/>
      <c r="L271" s="587"/>
      <c r="M271" s="587"/>
      <c r="N271" s="587"/>
      <c r="O271" s="587"/>
    </row>
    <row r="272">
      <c r="C272" s="139"/>
      <c r="D272" s="139"/>
      <c r="L272" s="587"/>
      <c r="M272" s="587"/>
      <c r="N272" s="587"/>
      <c r="O272" s="587"/>
    </row>
    <row r="273">
      <c r="C273" s="139"/>
      <c r="D273" s="139"/>
      <c r="L273" s="587"/>
      <c r="M273" s="587"/>
      <c r="N273" s="587"/>
      <c r="O273" s="587"/>
    </row>
    <row r="274">
      <c r="C274" s="139"/>
      <c r="D274" s="139"/>
      <c r="L274" s="587"/>
      <c r="M274" s="587"/>
      <c r="N274" s="587"/>
      <c r="O274" s="587"/>
    </row>
    <row r="275">
      <c r="C275" s="139"/>
      <c r="D275" s="139"/>
      <c r="L275" s="587"/>
      <c r="M275" s="587"/>
      <c r="N275" s="587"/>
      <c r="O275" s="587"/>
    </row>
    <row r="276">
      <c r="C276" s="139"/>
      <c r="D276" s="139"/>
      <c r="L276" s="587"/>
      <c r="M276" s="587"/>
      <c r="N276" s="587"/>
      <c r="O276" s="587"/>
    </row>
    <row r="277">
      <c r="C277" s="139"/>
      <c r="D277" s="139"/>
      <c r="L277" s="587"/>
      <c r="M277" s="587"/>
      <c r="N277" s="587"/>
      <c r="O277" s="587"/>
    </row>
    <row r="278">
      <c r="C278" s="139"/>
      <c r="D278" s="139"/>
      <c r="L278" s="587"/>
      <c r="M278" s="587"/>
      <c r="N278" s="587"/>
      <c r="O278" s="587"/>
    </row>
    <row r="279">
      <c r="C279" s="139"/>
      <c r="D279" s="139"/>
      <c r="L279" s="587"/>
      <c r="M279" s="587"/>
      <c r="N279" s="587"/>
      <c r="O279" s="587"/>
    </row>
    <row r="280">
      <c r="C280" s="139"/>
      <c r="D280" s="139"/>
      <c r="L280" s="587"/>
      <c r="M280" s="587"/>
      <c r="N280" s="587"/>
      <c r="O280" s="587"/>
    </row>
    <row r="281">
      <c r="C281" s="139"/>
      <c r="D281" s="139"/>
      <c r="L281" s="587"/>
      <c r="M281" s="587"/>
      <c r="N281" s="587"/>
      <c r="O281" s="587"/>
    </row>
    <row r="282">
      <c r="C282" s="139"/>
      <c r="D282" s="139"/>
      <c r="L282" s="587"/>
      <c r="M282" s="587"/>
      <c r="N282" s="587"/>
      <c r="O282" s="587"/>
    </row>
    <row r="283">
      <c r="C283" s="139"/>
      <c r="D283" s="139"/>
      <c r="L283" s="587"/>
      <c r="M283" s="587"/>
      <c r="N283" s="587"/>
      <c r="O283" s="587"/>
    </row>
    <row r="284">
      <c r="C284" s="139"/>
      <c r="D284" s="139"/>
      <c r="L284" s="587"/>
      <c r="M284" s="587"/>
      <c r="N284" s="587"/>
      <c r="O284" s="587"/>
    </row>
    <row r="285">
      <c r="C285" s="139"/>
      <c r="D285" s="139"/>
      <c r="L285" s="587"/>
      <c r="M285" s="587"/>
      <c r="N285" s="587"/>
      <c r="O285" s="587"/>
    </row>
    <row r="286">
      <c r="C286" s="139"/>
      <c r="D286" s="139"/>
      <c r="L286" s="587"/>
      <c r="M286" s="587"/>
      <c r="N286" s="587"/>
      <c r="O286" s="587"/>
    </row>
    <row r="287">
      <c r="C287" s="139"/>
      <c r="D287" s="139"/>
      <c r="L287" s="587"/>
      <c r="M287" s="587"/>
      <c r="N287" s="587"/>
      <c r="O287" s="587"/>
    </row>
    <row r="288">
      <c r="C288" s="139"/>
      <c r="D288" s="139"/>
      <c r="L288" s="587"/>
      <c r="M288" s="587"/>
      <c r="N288" s="587"/>
      <c r="O288" s="587"/>
    </row>
    <row r="289">
      <c r="C289" s="139"/>
      <c r="D289" s="139"/>
      <c r="L289" s="587"/>
      <c r="M289" s="587"/>
      <c r="N289" s="587"/>
      <c r="O289" s="587"/>
    </row>
    <row r="290">
      <c r="C290" s="139"/>
      <c r="D290" s="139"/>
      <c r="L290" s="587"/>
      <c r="M290" s="587"/>
      <c r="N290" s="587"/>
      <c r="O290" s="587"/>
    </row>
    <row r="291">
      <c r="C291" s="139"/>
      <c r="D291" s="139"/>
      <c r="L291" s="587"/>
      <c r="M291" s="587"/>
      <c r="N291" s="587"/>
      <c r="O291" s="587"/>
    </row>
    <row r="292">
      <c r="C292" s="139"/>
      <c r="D292" s="139"/>
      <c r="L292" s="587"/>
      <c r="M292" s="587"/>
      <c r="N292" s="587"/>
      <c r="O292" s="587"/>
    </row>
    <row r="293">
      <c r="C293" s="139"/>
      <c r="D293" s="139"/>
      <c r="L293" s="587"/>
      <c r="M293" s="587"/>
      <c r="N293" s="587"/>
      <c r="O293" s="587"/>
    </row>
    <row r="294">
      <c r="C294" s="139"/>
      <c r="D294" s="139"/>
      <c r="L294" s="587"/>
      <c r="M294" s="587"/>
      <c r="N294" s="587"/>
      <c r="O294" s="587"/>
    </row>
    <row r="295">
      <c r="C295" s="139"/>
      <c r="D295" s="139"/>
      <c r="L295" s="587"/>
      <c r="M295" s="587"/>
      <c r="N295" s="587"/>
      <c r="O295" s="587"/>
    </row>
    <row r="296">
      <c r="C296" s="139"/>
      <c r="D296" s="139"/>
      <c r="L296" s="587"/>
      <c r="M296" s="587"/>
      <c r="N296" s="587"/>
      <c r="O296" s="587"/>
    </row>
    <row r="297">
      <c r="C297" s="139"/>
      <c r="D297" s="139"/>
      <c r="L297" s="587"/>
      <c r="M297" s="587"/>
      <c r="N297" s="587"/>
      <c r="O297" s="587"/>
    </row>
    <row r="298">
      <c r="C298" s="139"/>
      <c r="D298" s="139"/>
      <c r="L298" s="587"/>
      <c r="M298" s="587"/>
      <c r="N298" s="587"/>
      <c r="O298" s="587"/>
    </row>
    <row r="299">
      <c r="C299" s="139"/>
      <c r="D299" s="139"/>
      <c r="L299" s="587"/>
      <c r="M299" s="587"/>
      <c r="N299" s="587"/>
      <c r="O299" s="587"/>
    </row>
    <row r="300">
      <c r="C300" s="139"/>
      <c r="D300" s="139"/>
      <c r="L300" s="587"/>
      <c r="M300" s="587"/>
      <c r="N300" s="587"/>
      <c r="O300" s="587"/>
    </row>
    <row r="301">
      <c r="C301" s="139"/>
      <c r="D301" s="139"/>
      <c r="L301" s="587"/>
      <c r="M301" s="587"/>
      <c r="N301" s="587"/>
      <c r="O301" s="587"/>
    </row>
    <row r="302">
      <c r="C302" s="139"/>
      <c r="D302" s="139"/>
      <c r="L302" s="587"/>
      <c r="M302" s="587"/>
      <c r="N302" s="587"/>
      <c r="O302" s="587"/>
    </row>
    <row r="303">
      <c r="C303" s="139"/>
      <c r="D303" s="139"/>
      <c r="L303" s="587"/>
      <c r="M303" s="587"/>
      <c r="N303" s="587"/>
      <c r="O303" s="587"/>
    </row>
    <row r="304">
      <c r="C304" s="139"/>
      <c r="D304" s="139"/>
      <c r="L304" s="587"/>
      <c r="M304" s="587"/>
      <c r="N304" s="587"/>
      <c r="O304" s="587"/>
    </row>
    <row r="305">
      <c r="C305" s="139"/>
      <c r="D305" s="139"/>
      <c r="L305" s="587"/>
      <c r="M305" s="587"/>
      <c r="N305" s="587"/>
      <c r="O305" s="587"/>
    </row>
    <row r="306">
      <c r="C306" s="139"/>
      <c r="D306" s="139"/>
      <c r="L306" s="587"/>
      <c r="M306" s="587"/>
      <c r="N306" s="587"/>
      <c r="O306" s="587"/>
    </row>
    <row r="307">
      <c r="C307" s="139"/>
      <c r="D307" s="139"/>
      <c r="L307" s="587"/>
      <c r="M307" s="587"/>
      <c r="N307" s="587"/>
      <c r="O307" s="587"/>
    </row>
    <row r="308">
      <c r="C308" s="139"/>
      <c r="D308" s="139"/>
      <c r="L308" s="587"/>
      <c r="M308" s="587"/>
      <c r="N308" s="587"/>
      <c r="O308" s="587"/>
    </row>
    <row r="309">
      <c r="C309" s="139"/>
      <c r="D309" s="139"/>
      <c r="L309" s="587"/>
      <c r="M309" s="587"/>
      <c r="N309" s="587"/>
      <c r="O309" s="587"/>
    </row>
    <row r="310">
      <c r="C310" s="139"/>
      <c r="D310" s="139"/>
      <c r="L310" s="587"/>
      <c r="M310" s="587"/>
      <c r="N310" s="587"/>
      <c r="O310" s="587"/>
    </row>
    <row r="311">
      <c r="C311" s="139"/>
      <c r="D311" s="139"/>
      <c r="L311" s="587"/>
      <c r="M311" s="587"/>
      <c r="N311" s="587"/>
      <c r="O311" s="587"/>
    </row>
    <row r="312">
      <c r="C312" s="139"/>
      <c r="D312" s="139"/>
      <c r="L312" s="587"/>
      <c r="M312" s="587"/>
      <c r="N312" s="587"/>
      <c r="O312" s="587"/>
    </row>
    <row r="313">
      <c r="C313" s="139"/>
      <c r="D313" s="139"/>
      <c r="L313" s="587"/>
      <c r="M313" s="587"/>
      <c r="N313" s="587"/>
      <c r="O313" s="587"/>
    </row>
    <row r="314">
      <c r="C314" s="139"/>
      <c r="D314" s="139"/>
      <c r="L314" s="587"/>
      <c r="M314" s="587"/>
      <c r="N314" s="587"/>
      <c r="O314" s="587"/>
    </row>
    <row r="315">
      <c r="C315" s="139"/>
      <c r="D315" s="139"/>
      <c r="L315" s="587"/>
      <c r="M315" s="587"/>
      <c r="N315" s="587"/>
      <c r="O315" s="587"/>
    </row>
    <row r="316">
      <c r="C316" s="139"/>
      <c r="D316" s="139"/>
      <c r="L316" s="587"/>
      <c r="M316" s="587"/>
      <c r="N316" s="587"/>
      <c r="O316" s="587"/>
    </row>
    <row r="317">
      <c r="C317" s="139"/>
      <c r="D317" s="139"/>
      <c r="L317" s="587"/>
      <c r="M317" s="587"/>
      <c r="N317" s="587"/>
      <c r="O317" s="587"/>
    </row>
    <row r="318">
      <c r="C318" s="139"/>
      <c r="D318" s="139"/>
      <c r="L318" s="587"/>
      <c r="M318" s="587"/>
      <c r="N318" s="587"/>
      <c r="O318" s="587"/>
    </row>
    <row r="319">
      <c r="C319" s="139"/>
      <c r="D319" s="139"/>
      <c r="L319" s="587"/>
      <c r="M319" s="587"/>
      <c r="N319" s="587"/>
      <c r="O319" s="587"/>
    </row>
    <row r="320">
      <c r="C320" s="139"/>
      <c r="D320" s="139"/>
      <c r="L320" s="587"/>
      <c r="M320" s="587"/>
      <c r="N320" s="587"/>
      <c r="O320" s="587"/>
    </row>
    <row r="321">
      <c r="C321" s="139"/>
      <c r="D321" s="139"/>
      <c r="L321" s="587"/>
      <c r="M321" s="587"/>
      <c r="N321" s="587"/>
      <c r="O321" s="587"/>
    </row>
    <row r="322">
      <c r="C322" s="139"/>
      <c r="D322" s="139"/>
      <c r="L322" s="587"/>
      <c r="M322" s="587"/>
      <c r="N322" s="587"/>
      <c r="O322" s="587"/>
    </row>
    <row r="323">
      <c r="C323" s="139"/>
      <c r="D323" s="139"/>
      <c r="L323" s="587"/>
      <c r="M323" s="587"/>
      <c r="N323" s="587"/>
      <c r="O323" s="587"/>
    </row>
    <row r="324">
      <c r="C324" s="139"/>
      <c r="D324" s="139"/>
      <c r="L324" s="587"/>
      <c r="M324" s="587"/>
      <c r="N324" s="587"/>
      <c r="O324" s="587"/>
    </row>
    <row r="325">
      <c r="C325" s="139"/>
      <c r="D325" s="139"/>
      <c r="L325" s="587"/>
      <c r="M325" s="587"/>
      <c r="N325" s="587"/>
      <c r="O325" s="587"/>
    </row>
    <row r="326">
      <c r="C326" s="139"/>
      <c r="D326" s="139"/>
      <c r="L326" s="587"/>
      <c r="M326" s="587"/>
      <c r="N326" s="587"/>
      <c r="O326" s="587"/>
    </row>
    <row r="327">
      <c r="C327" s="139"/>
      <c r="D327" s="139"/>
      <c r="L327" s="587"/>
      <c r="M327" s="587"/>
      <c r="N327" s="587"/>
      <c r="O327" s="587"/>
    </row>
    <row r="328">
      <c r="C328" s="139"/>
      <c r="D328" s="139"/>
      <c r="L328" s="587"/>
      <c r="M328" s="587"/>
      <c r="N328" s="587"/>
      <c r="O328" s="587"/>
    </row>
    <row r="329">
      <c r="C329" s="139"/>
      <c r="D329" s="139"/>
      <c r="L329" s="587"/>
      <c r="M329" s="587"/>
      <c r="N329" s="587"/>
      <c r="O329" s="587"/>
    </row>
    <row r="330">
      <c r="C330" s="139"/>
      <c r="D330" s="139"/>
      <c r="L330" s="587"/>
      <c r="M330" s="587"/>
      <c r="N330" s="587"/>
      <c r="O330" s="587"/>
    </row>
    <row r="331">
      <c r="C331" s="139"/>
      <c r="D331" s="139"/>
      <c r="L331" s="587"/>
      <c r="M331" s="587"/>
      <c r="N331" s="587"/>
      <c r="O331" s="587"/>
    </row>
    <row r="332">
      <c r="C332" s="139"/>
      <c r="D332" s="139"/>
      <c r="L332" s="587"/>
      <c r="M332" s="587"/>
      <c r="N332" s="587"/>
      <c r="O332" s="587"/>
    </row>
    <row r="333">
      <c r="C333" s="139"/>
      <c r="D333" s="139"/>
      <c r="L333" s="587"/>
      <c r="M333" s="587"/>
      <c r="N333" s="587"/>
      <c r="O333" s="587"/>
    </row>
    <row r="334">
      <c r="C334" s="139"/>
      <c r="D334" s="139"/>
      <c r="L334" s="587"/>
      <c r="M334" s="587"/>
      <c r="N334" s="587"/>
      <c r="O334" s="587"/>
    </row>
    <row r="335">
      <c r="C335" s="139"/>
      <c r="D335" s="139"/>
      <c r="L335" s="587"/>
      <c r="M335" s="587"/>
      <c r="N335" s="587"/>
      <c r="O335" s="587"/>
    </row>
    <row r="336">
      <c r="C336" s="139"/>
      <c r="D336" s="139"/>
      <c r="L336" s="587"/>
      <c r="M336" s="587"/>
      <c r="N336" s="587"/>
      <c r="O336" s="587"/>
    </row>
    <row r="337">
      <c r="C337" s="139"/>
      <c r="D337" s="139"/>
      <c r="L337" s="587"/>
      <c r="M337" s="587"/>
      <c r="N337" s="587"/>
      <c r="O337" s="587"/>
    </row>
    <row r="338">
      <c r="C338" s="139"/>
      <c r="D338" s="139"/>
      <c r="L338" s="587"/>
      <c r="M338" s="587"/>
      <c r="N338" s="587"/>
      <c r="O338" s="587"/>
    </row>
    <row r="339">
      <c r="C339" s="139"/>
      <c r="D339" s="139"/>
      <c r="L339" s="587"/>
      <c r="M339" s="587"/>
      <c r="N339" s="587"/>
      <c r="O339" s="587"/>
    </row>
    <row r="340">
      <c r="C340" s="139"/>
      <c r="D340" s="139"/>
      <c r="L340" s="587"/>
      <c r="M340" s="587"/>
      <c r="N340" s="587"/>
      <c r="O340" s="587"/>
    </row>
    <row r="341">
      <c r="C341" s="139"/>
      <c r="D341" s="139"/>
      <c r="L341" s="587"/>
      <c r="M341" s="587"/>
      <c r="N341" s="587"/>
      <c r="O341" s="587"/>
    </row>
    <row r="342">
      <c r="C342" s="139"/>
      <c r="D342" s="139"/>
      <c r="L342" s="587"/>
      <c r="M342" s="587"/>
      <c r="N342" s="587"/>
      <c r="O342" s="587"/>
    </row>
    <row r="343">
      <c r="C343" s="139"/>
      <c r="D343" s="139"/>
      <c r="L343" s="587"/>
      <c r="M343" s="587"/>
      <c r="N343" s="587"/>
      <c r="O343" s="587"/>
    </row>
    <row r="344">
      <c r="C344" s="139"/>
      <c r="D344" s="139"/>
      <c r="L344" s="587"/>
      <c r="M344" s="587"/>
      <c r="N344" s="587"/>
      <c r="O344" s="587"/>
    </row>
    <row r="345">
      <c r="C345" s="139"/>
      <c r="D345" s="139"/>
      <c r="L345" s="587"/>
      <c r="M345" s="587"/>
      <c r="N345" s="587"/>
      <c r="O345" s="587"/>
    </row>
    <row r="346">
      <c r="C346" s="139"/>
      <c r="D346" s="139"/>
      <c r="L346" s="587"/>
      <c r="M346" s="587"/>
      <c r="N346" s="587"/>
      <c r="O346" s="587"/>
    </row>
    <row r="347">
      <c r="C347" s="139"/>
      <c r="D347" s="139"/>
      <c r="L347" s="587"/>
      <c r="M347" s="587"/>
      <c r="N347" s="587"/>
      <c r="O347" s="587"/>
    </row>
    <row r="348">
      <c r="C348" s="139"/>
      <c r="D348" s="139"/>
      <c r="L348" s="587"/>
      <c r="M348" s="587"/>
      <c r="N348" s="587"/>
      <c r="O348" s="587"/>
    </row>
    <row r="349">
      <c r="C349" s="139"/>
      <c r="D349" s="139"/>
      <c r="L349" s="587"/>
      <c r="M349" s="587"/>
      <c r="N349" s="587"/>
      <c r="O349" s="587"/>
    </row>
    <row r="350">
      <c r="C350" s="139"/>
      <c r="D350" s="139"/>
      <c r="L350" s="587"/>
      <c r="M350" s="587"/>
      <c r="N350" s="587"/>
      <c r="O350" s="587"/>
    </row>
    <row r="351">
      <c r="C351" s="139"/>
      <c r="D351" s="139"/>
      <c r="L351" s="587"/>
      <c r="M351" s="587"/>
      <c r="N351" s="587"/>
      <c r="O351" s="587"/>
    </row>
    <row r="352">
      <c r="C352" s="139"/>
      <c r="D352" s="139"/>
      <c r="L352" s="587"/>
      <c r="M352" s="587"/>
      <c r="N352" s="587"/>
      <c r="O352" s="587"/>
    </row>
    <row r="353">
      <c r="C353" s="139"/>
      <c r="D353" s="139"/>
      <c r="L353" s="587"/>
      <c r="M353" s="587"/>
      <c r="N353" s="587"/>
      <c r="O353" s="587"/>
    </row>
    <row r="354">
      <c r="C354" s="139"/>
      <c r="D354" s="139"/>
      <c r="L354" s="587"/>
      <c r="M354" s="587"/>
      <c r="N354" s="587"/>
      <c r="O354" s="587"/>
    </row>
    <row r="355">
      <c r="C355" s="139"/>
      <c r="D355" s="139"/>
      <c r="L355" s="587"/>
      <c r="M355" s="587"/>
      <c r="N355" s="587"/>
      <c r="O355" s="587"/>
    </row>
    <row r="356">
      <c r="C356" s="139"/>
      <c r="D356" s="139"/>
      <c r="L356" s="587"/>
      <c r="M356" s="587"/>
      <c r="N356" s="587"/>
      <c r="O356" s="587"/>
    </row>
    <row r="357">
      <c r="C357" s="139"/>
      <c r="D357" s="139"/>
      <c r="L357" s="587"/>
      <c r="M357" s="587"/>
      <c r="N357" s="587"/>
      <c r="O357" s="587"/>
    </row>
    <row r="358">
      <c r="C358" s="139"/>
      <c r="D358" s="139"/>
      <c r="L358" s="587"/>
      <c r="M358" s="587"/>
      <c r="N358" s="587"/>
      <c r="O358" s="587"/>
    </row>
    <row r="359">
      <c r="C359" s="139"/>
      <c r="D359" s="139"/>
      <c r="L359" s="587"/>
      <c r="M359" s="587"/>
      <c r="N359" s="587"/>
      <c r="O359" s="587"/>
    </row>
    <row r="360">
      <c r="C360" s="139"/>
      <c r="D360" s="139"/>
      <c r="L360" s="587"/>
      <c r="M360" s="587"/>
      <c r="N360" s="587"/>
      <c r="O360" s="587"/>
    </row>
    <row r="361">
      <c r="C361" s="139"/>
      <c r="D361" s="139"/>
      <c r="L361" s="587"/>
      <c r="M361" s="587"/>
      <c r="N361" s="587"/>
      <c r="O361" s="587"/>
    </row>
    <row r="362">
      <c r="C362" s="139"/>
      <c r="D362" s="139"/>
      <c r="L362" s="587"/>
      <c r="M362" s="587"/>
      <c r="N362" s="587"/>
      <c r="O362" s="587"/>
    </row>
    <row r="363">
      <c r="C363" s="139"/>
      <c r="D363" s="139"/>
      <c r="L363" s="587"/>
      <c r="M363" s="587"/>
      <c r="N363" s="587"/>
      <c r="O363" s="587"/>
    </row>
    <row r="364">
      <c r="C364" s="139"/>
      <c r="D364" s="139"/>
      <c r="L364" s="587"/>
      <c r="M364" s="587"/>
      <c r="N364" s="587"/>
      <c r="O364" s="587"/>
    </row>
    <row r="365">
      <c r="C365" s="139"/>
      <c r="D365" s="139"/>
      <c r="L365" s="587"/>
      <c r="M365" s="587"/>
      <c r="N365" s="587"/>
      <c r="O365" s="587"/>
    </row>
    <row r="366">
      <c r="C366" s="139"/>
      <c r="D366" s="139"/>
      <c r="L366" s="587"/>
      <c r="M366" s="587"/>
      <c r="N366" s="587"/>
      <c r="O366" s="587"/>
    </row>
    <row r="367">
      <c r="C367" s="139"/>
      <c r="D367" s="139"/>
      <c r="L367" s="587"/>
      <c r="M367" s="587"/>
      <c r="N367" s="587"/>
      <c r="O367" s="587"/>
    </row>
    <row r="368">
      <c r="C368" s="139"/>
      <c r="D368" s="139"/>
      <c r="L368" s="587"/>
      <c r="M368" s="587"/>
      <c r="N368" s="587"/>
      <c r="O368" s="587"/>
    </row>
    <row r="369">
      <c r="C369" s="139"/>
      <c r="D369" s="139"/>
      <c r="L369" s="587"/>
      <c r="M369" s="587"/>
      <c r="N369" s="587"/>
      <c r="O369" s="587"/>
    </row>
    <row r="370">
      <c r="C370" s="139"/>
      <c r="D370" s="139"/>
      <c r="L370" s="587"/>
      <c r="M370" s="587"/>
      <c r="N370" s="587"/>
      <c r="O370" s="587"/>
    </row>
    <row r="371">
      <c r="C371" s="139"/>
      <c r="D371" s="139"/>
      <c r="L371" s="587"/>
      <c r="M371" s="587"/>
      <c r="N371" s="587"/>
      <c r="O371" s="587"/>
    </row>
    <row r="372">
      <c r="C372" s="139"/>
      <c r="D372" s="139"/>
      <c r="L372" s="587"/>
      <c r="M372" s="587"/>
      <c r="N372" s="587"/>
      <c r="O372" s="587"/>
    </row>
    <row r="373">
      <c r="C373" s="139"/>
      <c r="D373" s="139"/>
      <c r="L373" s="587"/>
      <c r="M373" s="587"/>
      <c r="N373" s="587"/>
      <c r="O373" s="587"/>
    </row>
    <row r="374">
      <c r="C374" s="139"/>
      <c r="D374" s="139"/>
      <c r="L374" s="587"/>
      <c r="M374" s="587"/>
      <c r="N374" s="587"/>
      <c r="O374" s="587"/>
    </row>
    <row r="375">
      <c r="C375" s="139"/>
      <c r="D375" s="139"/>
      <c r="L375" s="587"/>
      <c r="M375" s="587"/>
      <c r="N375" s="587"/>
      <c r="O375" s="587"/>
    </row>
    <row r="376">
      <c r="C376" s="139"/>
      <c r="D376" s="139"/>
      <c r="L376" s="587"/>
      <c r="M376" s="587"/>
      <c r="N376" s="587"/>
      <c r="O376" s="587"/>
    </row>
    <row r="377">
      <c r="C377" s="139"/>
      <c r="D377" s="139"/>
      <c r="L377" s="587"/>
      <c r="M377" s="587"/>
      <c r="N377" s="587"/>
      <c r="O377" s="587"/>
    </row>
    <row r="378">
      <c r="C378" s="139"/>
      <c r="D378" s="139"/>
      <c r="L378" s="587"/>
      <c r="M378" s="587"/>
      <c r="N378" s="587"/>
      <c r="O378" s="587"/>
    </row>
    <row r="379">
      <c r="C379" s="139"/>
      <c r="D379" s="139"/>
      <c r="L379" s="587"/>
      <c r="M379" s="587"/>
      <c r="N379" s="587"/>
      <c r="O379" s="587"/>
    </row>
    <row r="380">
      <c r="C380" s="139"/>
      <c r="D380" s="139"/>
      <c r="L380" s="587"/>
      <c r="M380" s="587"/>
      <c r="N380" s="587"/>
      <c r="O380" s="587"/>
    </row>
    <row r="381">
      <c r="C381" s="139"/>
      <c r="D381" s="139"/>
      <c r="L381" s="587"/>
      <c r="M381" s="587"/>
      <c r="N381" s="587"/>
      <c r="O381" s="587"/>
    </row>
    <row r="382">
      <c r="C382" s="139"/>
      <c r="D382" s="139"/>
      <c r="L382" s="587"/>
      <c r="M382" s="587"/>
      <c r="N382" s="587"/>
      <c r="O382" s="587"/>
    </row>
    <row r="383">
      <c r="C383" s="139"/>
      <c r="D383" s="139"/>
      <c r="L383" s="587"/>
      <c r="M383" s="587"/>
      <c r="N383" s="587"/>
      <c r="O383" s="587"/>
    </row>
    <row r="384">
      <c r="C384" s="139"/>
      <c r="D384" s="139"/>
      <c r="L384" s="587"/>
      <c r="M384" s="587"/>
      <c r="N384" s="587"/>
      <c r="O384" s="587"/>
    </row>
    <row r="385">
      <c r="C385" s="139"/>
      <c r="D385" s="139"/>
      <c r="L385" s="587"/>
      <c r="M385" s="587"/>
      <c r="N385" s="587"/>
      <c r="O385" s="587"/>
    </row>
    <row r="386">
      <c r="C386" s="139"/>
      <c r="D386" s="139"/>
      <c r="L386" s="587"/>
      <c r="M386" s="587"/>
      <c r="N386" s="587"/>
      <c r="O386" s="587"/>
    </row>
    <row r="387">
      <c r="C387" s="139"/>
      <c r="D387" s="139"/>
      <c r="L387" s="587"/>
      <c r="M387" s="587"/>
      <c r="N387" s="587"/>
      <c r="O387" s="587"/>
    </row>
    <row r="388">
      <c r="C388" s="139"/>
      <c r="D388" s="139"/>
      <c r="L388" s="587"/>
      <c r="M388" s="587"/>
      <c r="N388" s="587"/>
      <c r="O388" s="587"/>
    </row>
    <row r="389">
      <c r="C389" s="139"/>
      <c r="D389" s="139"/>
      <c r="L389" s="587"/>
      <c r="M389" s="587"/>
      <c r="N389" s="587"/>
      <c r="O389" s="587"/>
    </row>
    <row r="390">
      <c r="C390" s="139"/>
      <c r="D390" s="139"/>
      <c r="L390" s="587"/>
      <c r="M390" s="587"/>
      <c r="N390" s="587"/>
      <c r="O390" s="587"/>
    </row>
    <row r="391">
      <c r="C391" s="139"/>
      <c r="D391" s="139"/>
      <c r="L391" s="587"/>
      <c r="M391" s="587"/>
      <c r="N391" s="587"/>
      <c r="O391" s="587"/>
    </row>
    <row r="392">
      <c r="C392" s="139"/>
      <c r="D392" s="139"/>
      <c r="L392" s="587"/>
      <c r="M392" s="587"/>
      <c r="N392" s="587"/>
      <c r="O392" s="587"/>
    </row>
    <row r="393">
      <c r="C393" s="139"/>
      <c r="D393" s="139"/>
      <c r="L393" s="587"/>
      <c r="M393" s="587"/>
      <c r="N393" s="587"/>
      <c r="O393" s="587"/>
    </row>
    <row r="394">
      <c r="C394" s="139"/>
      <c r="D394" s="139"/>
      <c r="L394" s="587"/>
      <c r="M394" s="587"/>
      <c r="N394" s="587"/>
      <c r="O394" s="587"/>
    </row>
    <row r="395">
      <c r="C395" s="139"/>
      <c r="D395" s="139"/>
      <c r="L395" s="587"/>
      <c r="M395" s="587"/>
      <c r="N395" s="587"/>
      <c r="O395" s="587"/>
    </row>
    <row r="396">
      <c r="C396" s="139"/>
      <c r="D396" s="139"/>
      <c r="L396" s="587"/>
      <c r="M396" s="587"/>
      <c r="N396" s="587"/>
      <c r="O396" s="587"/>
    </row>
    <row r="397">
      <c r="C397" s="139"/>
      <c r="D397" s="139"/>
      <c r="L397" s="587"/>
      <c r="M397" s="587"/>
      <c r="N397" s="587"/>
      <c r="O397" s="587"/>
    </row>
    <row r="398">
      <c r="C398" s="139"/>
      <c r="D398" s="139"/>
      <c r="L398" s="587"/>
      <c r="M398" s="587"/>
      <c r="N398" s="587"/>
      <c r="O398" s="587"/>
    </row>
    <row r="399">
      <c r="C399" s="139"/>
      <c r="D399" s="139"/>
      <c r="L399" s="587"/>
      <c r="M399" s="587"/>
      <c r="N399" s="587"/>
      <c r="O399" s="587"/>
    </row>
    <row r="400">
      <c r="C400" s="139"/>
      <c r="D400" s="139"/>
      <c r="L400" s="587"/>
      <c r="M400" s="587"/>
      <c r="N400" s="587"/>
      <c r="O400" s="587"/>
    </row>
    <row r="401">
      <c r="C401" s="139"/>
      <c r="D401" s="139"/>
      <c r="L401" s="587"/>
      <c r="M401" s="587"/>
      <c r="N401" s="587"/>
      <c r="O401" s="587"/>
    </row>
    <row r="402">
      <c r="C402" s="139"/>
      <c r="D402" s="139"/>
      <c r="L402" s="587"/>
      <c r="M402" s="587"/>
      <c r="N402" s="587"/>
      <c r="O402" s="587"/>
    </row>
    <row r="403">
      <c r="C403" s="139"/>
      <c r="D403" s="139"/>
      <c r="L403" s="587"/>
      <c r="M403" s="587"/>
      <c r="N403" s="587"/>
      <c r="O403" s="587"/>
    </row>
    <row r="404">
      <c r="C404" s="139"/>
      <c r="D404" s="139"/>
      <c r="L404" s="587"/>
      <c r="M404" s="587"/>
      <c r="N404" s="587"/>
      <c r="O404" s="587"/>
    </row>
    <row r="405">
      <c r="C405" s="139"/>
      <c r="D405" s="139"/>
      <c r="L405" s="587"/>
      <c r="M405" s="587"/>
      <c r="N405" s="587"/>
      <c r="O405" s="587"/>
    </row>
    <row r="406">
      <c r="C406" s="139"/>
      <c r="D406" s="139"/>
      <c r="L406" s="587"/>
      <c r="M406" s="587"/>
      <c r="N406" s="587"/>
      <c r="O406" s="587"/>
    </row>
    <row r="407">
      <c r="C407" s="139"/>
      <c r="D407" s="139"/>
      <c r="L407" s="587"/>
      <c r="M407" s="587"/>
      <c r="N407" s="587"/>
      <c r="O407" s="587"/>
    </row>
    <row r="408">
      <c r="C408" s="139"/>
      <c r="D408" s="139"/>
      <c r="L408" s="587"/>
      <c r="M408" s="587"/>
      <c r="N408" s="587"/>
      <c r="O408" s="587"/>
    </row>
    <row r="409">
      <c r="C409" s="139"/>
      <c r="D409" s="139"/>
      <c r="L409" s="587"/>
      <c r="M409" s="587"/>
      <c r="N409" s="587"/>
      <c r="O409" s="587"/>
    </row>
    <row r="410">
      <c r="C410" s="139"/>
      <c r="D410" s="139"/>
      <c r="L410" s="587"/>
      <c r="M410" s="587"/>
      <c r="N410" s="587"/>
      <c r="O410" s="587"/>
    </row>
    <row r="411">
      <c r="C411" s="139"/>
      <c r="D411" s="139"/>
      <c r="L411" s="587"/>
      <c r="M411" s="587"/>
      <c r="N411" s="587"/>
      <c r="O411" s="587"/>
    </row>
    <row r="412">
      <c r="C412" s="139"/>
      <c r="D412" s="139"/>
      <c r="L412" s="587"/>
      <c r="M412" s="587"/>
      <c r="N412" s="587"/>
      <c r="O412" s="587"/>
    </row>
    <row r="413">
      <c r="C413" s="139"/>
      <c r="D413" s="139"/>
      <c r="L413" s="587"/>
      <c r="M413" s="587"/>
      <c r="N413" s="587"/>
      <c r="O413" s="587"/>
    </row>
    <row r="414">
      <c r="C414" s="139"/>
      <c r="D414" s="139"/>
      <c r="L414" s="587"/>
      <c r="M414" s="587"/>
      <c r="N414" s="587"/>
      <c r="O414" s="587"/>
    </row>
    <row r="415">
      <c r="C415" s="139"/>
      <c r="D415" s="139"/>
      <c r="L415" s="587"/>
      <c r="M415" s="587"/>
      <c r="N415" s="587"/>
      <c r="O415" s="587"/>
    </row>
    <row r="416">
      <c r="C416" s="139"/>
      <c r="D416" s="139"/>
      <c r="L416" s="587"/>
      <c r="M416" s="587"/>
      <c r="N416" s="587"/>
      <c r="O416" s="587"/>
    </row>
    <row r="417">
      <c r="C417" s="139"/>
      <c r="D417" s="139"/>
      <c r="L417" s="587"/>
      <c r="M417" s="587"/>
      <c r="N417" s="587"/>
      <c r="O417" s="587"/>
    </row>
    <row r="418">
      <c r="C418" s="139"/>
      <c r="D418" s="139"/>
      <c r="L418" s="587"/>
      <c r="M418" s="587"/>
      <c r="N418" s="587"/>
      <c r="O418" s="587"/>
    </row>
    <row r="419">
      <c r="C419" s="139"/>
      <c r="D419" s="139"/>
      <c r="L419" s="587"/>
      <c r="M419" s="587"/>
      <c r="N419" s="587"/>
      <c r="O419" s="587"/>
    </row>
    <row r="420">
      <c r="C420" s="139"/>
      <c r="D420" s="139"/>
      <c r="L420" s="587"/>
      <c r="M420" s="587"/>
      <c r="N420" s="587"/>
      <c r="O420" s="587"/>
    </row>
    <row r="421">
      <c r="C421" s="139"/>
      <c r="D421" s="139"/>
      <c r="L421" s="587"/>
      <c r="M421" s="587"/>
      <c r="N421" s="587"/>
      <c r="O421" s="587"/>
    </row>
    <row r="422">
      <c r="C422" s="139"/>
      <c r="D422" s="139"/>
      <c r="L422" s="587"/>
      <c r="M422" s="587"/>
      <c r="N422" s="587"/>
      <c r="O422" s="587"/>
    </row>
    <row r="423">
      <c r="C423" s="139"/>
      <c r="D423" s="139"/>
      <c r="L423" s="587"/>
      <c r="M423" s="587"/>
      <c r="N423" s="587"/>
      <c r="O423" s="587"/>
    </row>
    <row r="424">
      <c r="C424" s="139"/>
      <c r="D424" s="139"/>
      <c r="L424" s="587"/>
      <c r="M424" s="587"/>
      <c r="N424" s="587"/>
      <c r="O424" s="587"/>
    </row>
    <row r="425">
      <c r="C425" s="139"/>
      <c r="D425" s="139"/>
      <c r="L425" s="587"/>
      <c r="M425" s="587"/>
      <c r="N425" s="587"/>
      <c r="O425" s="587"/>
    </row>
    <row r="426">
      <c r="C426" s="139"/>
      <c r="D426" s="139"/>
      <c r="L426" s="587"/>
      <c r="M426" s="587"/>
      <c r="N426" s="587"/>
      <c r="O426" s="587"/>
    </row>
    <row r="427">
      <c r="C427" s="139"/>
      <c r="D427" s="139"/>
      <c r="L427" s="587"/>
      <c r="M427" s="587"/>
      <c r="N427" s="587"/>
      <c r="O427" s="587"/>
    </row>
    <row r="428">
      <c r="C428" s="139"/>
      <c r="D428" s="139"/>
      <c r="L428" s="587"/>
      <c r="M428" s="587"/>
      <c r="N428" s="587"/>
      <c r="O428" s="587"/>
    </row>
    <row r="429">
      <c r="C429" s="139"/>
      <c r="D429" s="139"/>
      <c r="L429" s="587"/>
      <c r="M429" s="587"/>
      <c r="N429" s="587"/>
      <c r="O429" s="587"/>
    </row>
    <row r="430">
      <c r="C430" s="139"/>
      <c r="D430" s="139"/>
      <c r="L430" s="587"/>
      <c r="M430" s="587"/>
      <c r="N430" s="587"/>
      <c r="O430" s="587"/>
    </row>
    <row r="431">
      <c r="C431" s="139"/>
      <c r="D431" s="139"/>
      <c r="L431" s="587"/>
      <c r="M431" s="587"/>
      <c r="N431" s="587"/>
      <c r="O431" s="587"/>
    </row>
    <row r="432">
      <c r="C432" s="139"/>
      <c r="D432" s="139"/>
      <c r="L432" s="587"/>
      <c r="M432" s="587"/>
      <c r="N432" s="587"/>
      <c r="O432" s="587"/>
    </row>
    <row r="433">
      <c r="C433" s="139"/>
      <c r="D433" s="139"/>
      <c r="L433" s="587"/>
      <c r="M433" s="587"/>
      <c r="N433" s="587"/>
      <c r="O433" s="587"/>
    </row>
    <row r="434">
      <c r="C434" s="139"/>
      <c r="D434" s="139"/>
      <c r="L434" s="587"/>
      <c r="M434" s="587"/>
      <c r="N434" s="587"/>
      <c r="O434" s="587"/>
    </row>
    <row r="435">
      <c r="C435" s="139"/>
      <c r="D435" s="139"/>
      <c r="L435" s="587"/>
      <c r="M435" s="587"/>
      <c r="N435" s="587"/>
      <c r="O435" s="587"/>
    </row>
    <row r="436">
      <c r="C436" s="139"/>
      <c r="D436" s="139"/>
      <c r="L436" s="587"/>
      <c r="M436" s="587"/>
      <c r="N436" s="587"/>
      <c r="O436" s="587"/>
    </row>
    <row r="437">
      <c r="C437" s="139"/>
      <c r="D437" s="139"/>
      <c r="L437" s="587"/>
      <c r="M437" s="587"/>
      <c r="N437" s="587"/>
      <c r="O437" s="587"/>
    </row>
    <row r="438">
      <c r="C438" s="139"/>
      <c r="D438" s="139"/>
      <c r="L438" s="587"/>
      <c r="M438" s="587"/>
      <c r="N438" s="587"/>
      <c r="O438" s="587"/>
    </row>
    <row r="439">
      <c r="C439" s="139"/>
      <c r="D439" s="139"/>
      <c r="L439" s="587"/>
      <c r="M439" s="587"/>
      <c r="N439" s="587"/>
      <c r="O439" s="587"/>
    </row>
    <row r="440">
      <c r="C440" s="139"/>
      <c r="D440" s="139"/>
      <c r="L440" s="587"/>
      <c r="M440" s="587"/>
      <c r="N440" s="587"/>
      <c r="O440" s="587"/>
    </row>
    <row r="441">
      <c r="C441" s="139"/>
      <c r="D441" s="139"/>
      <c r="L441" s="587"/>
      <c r="M441" s="587"/>
      <c r="N441" s="587"/>
      <c r="O441" s="587"/>
    </row>
    <row r="442">
      <c r="C442" s="139"/>
      <c r="D442" s="139"/>
      <c r="L442" s="587"/>
      <c r="M442" s="587"/>
      <c r="N442" s="587"/>
      <c r="O442" s="587"/>
    </row>
    <row r="443">
      <c r="C443" s="139"/>
      <c r="D443" s="139"/>
      <c r="L443" s="587"/>
      <c r="M443" s="587"/>
      <c r="N443" s="587"/>
      <c r="O443" s="587"/>
    </row>
    <row r="444">
      <c r="C444" s="139"/>
      <c r="D444" s="139"/>
      <c r="L444" s="587"/>
      <c r="M444" s="587"/>
      <c r="N444" s="587"/>
      <c r="O444" s="587"/>
    </row>
    <row r="445">
      <c r="C445" s="139"/>
      <c r="D445" s="139"/>
      <c r="L445" s="587"/>
      <c r="M445" s="587"/>
      <c r="N445" s="587"/>
      <c r="O445" s="587"/>
    </row>
    <row r="446">
      <c r="C446" s="139"/>
      <c r="D446" s="139"/>
      <c r="L446" s="587"/>
      <c r="M446" s="587"/>
      <c r="N446" s="587"/>
      <c r="O446" s="587"/>
    </row>
    <row r="447">
      <c r="C447" s="139"/>
      <c r="D447" s="139"/>
      <c r="L447" s="587"/>
      <c r="M447" s="587"/>
      <c r="N447" s="587"/>
      <c r="O447" s="587"/>
    </row>
    <row r="448">
      <c r="C448" s="139"/>
      <c r="D448" s="139"/>
      <c r="L448" s="587"/>
      <c r="M448" s="587"/>
      <c r="N448" s="587"/>
      <c r="O448" s="587"/>
    </row>
    <row r="449">
      <c r="C449" s="139"/>
      <c r="D449" s="139"/>
      <c r="L449" s="587"/>
      <c r="M449" s="587"/>
      <c r="N449" s="587"/>
      <c r="O449" s="587"/>
    </row>
    <row r="450">
      <c r="C450" s="139"/>
      <c r="D450" s="139"/>
      <c r="L450" s="587"/>
      <c r="M450" s="587"/>
      <c r="N450" s="587"/>
      <c r="O450" s="587"/>
    </row>
    <row r="451">
      <c r="C451" s="139"/>
      <c r="D451" s="139"/>
      <c r="L451" s="587"/>
      <c r="M451" s="587"/>
      <c r="N451" s="587"/>
      <c r="O451" s="587"/>
    </row>
    <row r="452">
      <c r="C452" s="139"/>
      <c r="D452" s="139"/>
      <c r="L452" s="587"/>
      <c r="M452" s="587"/>
      <c r="N452" s="587"/>
      <c r="O452" s="587"/>
    </row>
    <row r="453">
      <c r="C453" s="139"/>
      <c r="D453" s="139"/>
      <c r="L453" s="587"/>
      <c r="M453" s="587"/>
      <c r="N453" s="587"/>
      <c r="O453" s="587"/>
    </row>
    <row r="454">
      <c r="C454" s="139"/>
      <c r="D454" s="139"/>
      <c r="L454" s="587"/>
      <c r="M454" s="587"/>
      <c r="N454" s="587"/>
      <c r="O454" s="587"/>
    </row>
    <row r="455">
      <c r="C455" s="139"/>
      <c r="D455" s="139"/>
      <c r="L455" s="587"/>
      <c r="M455" s="587"/>
      <c r="N455" s="587"/>
      <c r="O455" s="587"/>
    </row>
    <row r="456">
      <c r="C456" s="139"/>
      <c r="D456" s="139"/>
      <c r="L456" s="587"/>
      <c r="M456" s="587"/>
      <c r="N456" s="587"/>
      <c r="O456" s="587"/>
    </row>
    <row r="457">
      <c r="C457" s="139"/>
      <c r="D457" s="139"/>
      <c r="L457" s="587"/>
      <c r="M457" s="587"/>
      <c r="N457" s="587"/>
      <c r="O457" s="587"/>
    </row>
    <row r="458">
      <c r="C458" s="139"/>
      <c r="D458" s="139"/>
      <c r="L458" s="587"/>
      <c r="M458" s="587"/>
      <c r="N458" s="587"/>
      <c r="O458" s="587"/>
    </row>
    <row r="459">
      <c r="C459" s="139"/>
      <c r="D459" s="139"/>
      <c r="L459" s="587"/>
      <c r="M459" s="587"/>
      <c r="N459" s="587"/>
      <c r="O459" s="587"/>
    </row>
    <row r="460">
      <c r="C460" s="139"/>
      <c r="D460" s="139"/>
      <c r="L460" s="587"/>
      <c r="M460" s="587"/>
      <c r="N460" s="587"/>
      <c r="O460" s="587"/>
    </row>
    <row r="461">
      <c r="C461" s="139"/>
      <c r="D461" s="139"/>
      <c r="L461" s="587"/>
      <c r="M461" s="587"/>
      <c r="N461" s="587"/>
      <c r="O461" s="587"/>
    </row>
    <row r="462">
      <c r="C462" s="139"/>
      <c r="D462" s="139"/>
      <c r="L462" s="587"/>
      <c r="M462" s="587"/>
      <c r="N462" s="587"/>
      <c r="O462" s="587"/>
    </row>
    <row r="463">
      <c r="C463" s="139"/>
      <c r="D463" s="139"/>
      <c r="L463" s="587"/>
      <c r="M463" s="587"/>
      <c r="N463" s="587"/>
      <c r="O463" s="587"/>
    </row>
    <row r="464">
      <c r="C464" s="139"/>
      <c r="D464" s="139"/>
      <c r="L464" s="587"/>
      <c r="M464" s="587"/>
      <c r="N464" s="587"/>
      <c r="O464" s="587"/>
    </row>
    <row r="465">
      <c r="C465" s="139"/>
      <c r="D465" s="139"/>
      <c r="L465" s="587"/>
      <c r="M465" s="587"/>
      <c r="N465" s="587"/>
      <c r="O465" s="587"/>
    </row>
    <row r="466">
      <c r="C466" s="139"/>
      <c r="D466" s="139"/>
      <c r="L466" s="587"/>
      <c r="M466" s="587"/>
      <c r="N466" s="587"/>
      <c r="O466" s="587"/>
    </row>
    <row r="467">
      <c r="C467" s="139"/>
      <c r="D467" s="139"/>
      <c r="L467" s="587"/>
      <c r="M467" s="587"/>
      <c r="N467" s="587"/>
      <c r="O467" s="587"/>
    </row>
    <row r="468">
      <c r="C468" s="139"/>
      <c r="D468" s="139"/>
      <c r="L468" s="587"/>
      <c r="M468" s="587"/>
      <c r="N468" s="587"/>
      <c r="O468" s="587"/>
    </row>
    <row r="469">
      <c r="C469" s="139"/>
      <c r="D469" s="139"/>
      <c r="L469" s="587"/>
      <c r="M469" s="587"/>
      <c r="N469" s="587"/>
      <c r="O469" s="587"/>
    </row>
    <row r="470">
      <c r="C470" s="139"/>
      <c r="D470" s="139"/>
      <c r="L470" s="587"/>
      <c r="M470" s="587"/>
      <c r="N470" s="587"/>
      <c r="O470" s="587"/>
    </row>
    <row r="471">
      <c r="C471" s="139"/>
      <c r="D471" s="139"/>
      <c r="L471" s="587"/>
      <c r="M471" s="587"/>
      <c r="N471" s="587"/>
      <c r="O471" s="587"/>
    </row>
    <row r="472">
      <c r="C472" s="139"/>
      <c r="D472" s="139"/>
      <c r="L472" s="587"/>
      <c r="M472" s="587"/>
      <c r="N472" s="587"/>
      <c r="O472" s="587"/>
    </row>
    <row r="473">
      <c r="C473" s="139"/>
      <c r="D473" s="139"/>
      <c r="L473" s="587"/>
      <c r="M473" s="587"/>
      <c r="N473" s="587"/>
      <c r="O473" s="587"/>
    </row>
    <row r="474">
      <c r="C474" s="139"/>
      <c r="D474" s="139"/>
      <c r="L474" s="587"/>
      <c r="M474" s="587"/>
      <c r="N474" s="587"/>
      <c r="O474" s="587"/>
    </row>
    <row r="475">
      <c r="C475" s="139"/>
      <c r="D475" s="139"/>
      <c r="L475" s="587"/>
      <c r="M475" s="587"/>
      <c r="N475" s="587"/>
      <c r="O475" s="587"/>
    </row>
    <row r="476">
      <c r="C476" s="139"/>
      <c r="D476" s="139"/>
      <c r="L476" s="587"/>
      <c r="M476" s="587"/>
      <c r="N476" s="587"/>
      <c r="O476" s="587"/>
    </row>
    <row r="477">
      <c r="C477" s="139"/>
      <c r="D477" s="139"/>
      <c r="L477" s="587"/>
      <c r="M477" s="587"/>
      <c r="N477" s="587"/>
      <c r="O477" s="587"/>
    </row>
    <row r="478">
      <c r="C478" s="139"/>
      <c r="D478" s="139"/>
      <c r="L478" s="587"/>
      <c r="M478" s="587"/>
      <c r="N478" s="587"/>
      <c r="O478" s="587"/>
    </row>
    <row r="479">
      <c r="C479" s="139"/>
      <c r="D479" s="139"/>
      <c r="L479" s="587"/>
      <c r="M479" s="587"/>
      <c r="N479" s="587"/>
      <c r="O479" s="587"/>
    </row>
    <row r="480">
      <c r="C480" s="139"/>
      <c r="D480" s="139"/>
      <c r="L480" s="587"/>
      <c r="M480" s="587"/>
      <c r="N480" s="587"/>
      <c r="O480" s="587"/>
    </row>
    <row r="481">
      <c r="C481" s="139"/>
      <c r="D481" s="139"/>
      <c r="L481" s="587"/>
      <c r="M481" s="587"/>
      <c r="N481" s="587"/>
      <c r="O481" s="587"/>
    </row>
    <row r="482">
      <c r="C482" s="139"/>
      <c r="D482" s="139"/>
      <c r="L482" s="587"/>
      <c r="M482" s="587"/>
      <c r="N482" s="587"/>
      <c r="O482" s="587"/>
    </row>
    <row r="483">
      <c r="C483" s="139"/>
      <c r="D483" s="139"/>
      <c r="L483" s="587"/>
      <c r="M483" s="587"/>
      <c r="N483" s="587"/>
      <c r="O483" s="587"/>
    </row>
    <row r="484">
      <c r="C484" s="139"/>
      <c r="D484" s="139"/>
      <c r="L484" s="587"/>
      <c r="M484" s="587"/>
      <c r="N484" s="587"/>
      <c r="O484" s="587"/>
    </row>
    <row r="485">
      <c r="C485" s="139"/>
      <c r="D485" s="139"/>
      <c r="L485" s="587"/>
      <c r="M485" s="587"/>
      <c r="N485" s="587"/>
      <c r="O485" s="587"/>
    </row>
    <row r="486">
      <c r="C486" s="139"/>
      <c r="D486" s="139"/>
      <c r="L486" s="587"/>
      <c r="M486" s="587"/>
      <c r="N486" s="587"/>
      <c r="O486" s="587"/>
    </row>
    <row r="487">
      <c r="C487" s="139"/>
      <c r="D487" s="139"/>
      <c r="L487" s="587"/>
      <c r="M487" s="587"/>
      <c r="N487" s="587"/>
      <c r="O487" s="587"/>
    </row>
    <row r="488">
      <c r="C488" s="139"/>
      <c r="D488" s="139"/>
      <c r="L488" s="587"/>
      <c r="M488" s="587"/>
      <c r="N488" s="587"/>
      <c r="O488" s="587"/>
    </row>
    <row r="489">
      <c r="C489" s="139"/>
      <c r="D489" s="139"/>
      <c r="L489" s="587"/>
      <c r="M489" s="587"/>
      <c r="N489" s="587"/>
      <c r="O489" s="587"/>
    </row>
    <row r="490">
      <c r="C490" s="139"/>
      <c r="D490" s="139"/>
      <c r="L490" s="587"/>
      <c r="M490" s="587"/>
      <c r="N490" s="587"/>
      <c r="O490" s="587"/>
    </row>
    <row r="491">
      <c r="C491" s="139"/>
      <c r="D491" s="139"/>
      <c r="L491" s="587"/>
      <c r="M491" s="587"/>
      <c r="N491" s="587"/>
      <c r="O491" s="587"/>
    </row>
    <row r="492">
      <c r="C492" s="139"/>
      <c r="D492" s="139"/>
      <c r="L492" s="587"/>
      <c r="M492" s="587"/>
      <c r="N492" s="587"/>
      <c r="O492" s="587"/>
    </row>
    <row r="493">
      <c r="C493" s="139"/>
      <c r="D493" s="139"/>
      <c r="L493" s="587"/>
      <c r="M493" s="587"/>
      <c r="N493" s="587"/>
      <c r="O493" s="587"/>
    </row>
    <row r="494">
      <c r="C494" s="139"/>
      <c r="D494" s="139"/>
      <c r="L494" s="587"/>
      <c r="M494" s="587"/>
      <c r="N494" s="587"/>
      <c r="O494" s="587"/>
    </row>
    <row r="495">
      <c r="C495" s="139"/>
      <c r="D495" s="139"/>
      <c r="L495" s="587"/>
      <c r="M495" s="587"/>
      <c r="N495" s="587"/>
      <c r="O495" s="587"/>
    </row>
    <row r="496">
      <c r="C496" s="139"/>
      <c r="D496" s="139"/>
      <c r="L496" s="587"/>
      <c r="M496" s="587"/>
      <c r="N496" s="587"/>
      <c r="O496" s="587"/>
    </row>
    <row r="497">
      <c r="C497" s="139"/>
      <c r="D497" s="139"/>
      <c r="L497" s="587"/>
      <c r="M497" s="587"/>
      <c r="N497" s="587"/>
      <c r="O497" s="587"/>
    </row>
    <row r="498">
      <c r="C498" s="139"/>
      <c r="D498" s="139"/>
      <c r="L498" s="587"/>
      <c r="M498" s="587"/>
      <c r="N498" s="587"/>
      <c r="O498" s="587"/>
    </row>
    <row r="499">
      <c r="C499" s="139"/>
      <c r="D499" s="139"/>
      <c r="L499" s="587"/>
      <c r="M499" s="587"/>
      <c r="N499" s="587"/>
      <c r="O499" s="587"/>
    </row>
    <row r="500">
      <c r="C500" s="139"/>
      <c r="D500" s="139"/>
      <c r="L500" s="587"/>
      <c r="M500" s="587"/>
      <c r="N500" s="587"/>
      <c r="O500" s="587"/>
    </row>
    <row r="501">
      <c r="C501" s="139"/>
      <c r="D501" s="139"/>
      <c r="L501" s="587"/>
      <c r="M501" s="587"/>
      <c r="N501" s="587"/>
      <c r="O501" s="587"/>
    </row>
    <row r="502">
      <c r="C502" s="139"/>
      <c r="D502" s="139"/>
      <c r="L502" s="587"/>
      <c r="M502" s="587"/>
      <c r="N502" s="587"/>
      <c r="O502" s="587"/>
    </row>
    <row r="503">
      <c r="C503" s="139"/>
      <c r="D503" s="139"/>
      <c r="L503" s="587"/>
      <c r="M503" s="587"/>
      <c r="N503" s="587"/>
      <c r="O503" s="587"/>
    </row>
    <row r="504">
      <c r="C504" s="139"/>
      <c r="D504" s="139"/>
      <c r="L504" s="587"/>
      <c r="M504" s="587"/>
      <c r="N504" s="587"/>
      <c r="O504" s="587"/>
    </row>
    <row r="505">
      <c r="C505" s="139"/>
      <c r="D505" s="139"/>
      <c r="L505" s="587"/>
      <c r="M505" s="587"/>
      <c r="N505" s="587"/>
      <c r="O505" s="587"/>
    </row>
    <row r="506">
      <c r="C506" s="139"/>
      <c r="D506" s="139"/>
      <c r="L506" s="587"/>
      <c r="M506" s="587"/>
      <c r="N506" s="587"/>
      <c r="O506" s="587"/>
    </row>
    <row r="507">
      <c r="C507" s="139"/>
      <c r="D507" s="139"/>
      <c r="L507" s="587"/>
      <c r="M507" s="587"/>
      <c r="N507" s="587"/>
      <c r="O507" s="587"/>
    </row>
    <row r="508">
      <c r="C508" s="139"/>
      <c r="D508" s="139"/>
      <c r="L508" s="587"/>
      <c r="M508" s="587"/>
      <c r="N508" s="587"/>
      <c r="O508" s="587"/>
    </row>
    <row r="509">
      <c r="C509" s="139"/>
      <c r="D509" s="139"/>
      <c r="L509" s="587"/>
      <c r="M509" s="587"/>
      <c r="N509" s="587"/>
      <c r="O509" s="587"/>
    </row>
    <row r="510">
      <c r="C510" s="139"/>
      <c r="D510" s="139"/>
      <c r="L510" s="587"/>
      <c r="M510" s="587"/>
      <c r="N510" s="587"/>
      <c r="O510" s="587"/>
    </row>
    <row r="511">
      <c r="C511" s="139"/>
      <c r="D511" s="139"/>
      <c r="L511" s="587"/>
      <c r="M511" s="587"/>
      <c r="N511" s="587"/>
      <c r="O511" s="587"/>
    </row>
    <row r="512">
      <c r="C512" s="139"/>
      <c r="D512" s="139"/>
      <c r="L512" s="587"/>
      <c r="M512" s="587"/>
      <c r="N512" s="587"/>
      <c r="O512" s="587"/>
    </row>
    <row r="513">
      <c r="C513" s="139"/>
      <c r="D513" s="139"/>
      <c r="L513" s="587"/>
      <c r="M513" s="587"/>
      <c r="N513" s="587"/>
      <c r="O513" s="587"/>
    </row>
    <row r="514">
      <c r="C514" s="139"/>
      <c r="D514" s="139"/>
      <c r="L514" s="587"/>
      <c r="M514" s="587"/>
      <c r="N514" s="587"/>
      <c r="O514" s="587"/>
    </row>
    <row r="515">
      <c r="C515" s="139"/>
      <c r="D515" s="139"/>
      <c r="L515" s="587"/>
      <c r="M515" s="587"/>
      <c r="N515" s="587"/>
      <c r="O515" s="587"/>
    </row>
    <row r="516">
      <c r="C516" s="139"/>
      <c r="D516" s="139"/>
      <c r="L516" s="587"/>
      <c r="M516" s="587"/>
      <c r="N516" s="587"/>
      <c r="O516" s="587"/>
    </row>
    <row r="517">
      <c r="C517" s="139"/>
      <c r="D517" s="139"/>
      <c r="L517" s="587"/>
      <c r="M517" s="587"/>
      <c r="N517" s="587"/>
      <c r="O517" s="587"/>
    </row>
    <row r="518">
      <c r="C518" s="139"/>
      <c r="D518" s="139"/>
      <c r="L518" s="587"/>
      <c r="M518" s="587"/>
      <c r="N518" s="587"/>
      <c r="O518" s="587"/>
    </row>
    <row r="519">
      <c r="C519" s="139"/>
      <c r="D519" s="139"/>
      <c r="L519" s="587"/>
      <c r="M519" s="587"/>
      <c r="N519" s="587"/>
      <c r="O519" s="587"/>
    </row>
    <row r="520">
      <c r="C520" s="139"/>
      <c r="D520" s="139"/>
      <c r="L520" s="587"/>
      <c r="M520" s="587"/>
      <c r="N520" s="587"/>
      <c r="O520" s="587"/>
    </row>
    <row r="521">
      <c r="C521" s="139"/>
      <c r="D521" s="139"/>
      <c r="L521" s="587"/>
      <c r="M521" s="587"/>
      <c r="N521" s="587"/>
      <c r="O521" s="587"/>
    </row>
    <row r="522">
      <c r="C522" s="139"/>
      <c r="D522" s="139"/>
      <c r="L522" s="587"/>
      <c r="M522" s="587"/>
      <c r="N522" s="587"/>
      <c r="O522" s="587"/>
    </row>
    <row r="523">
      <c r="C523" s="139"/>
      <c r="D523" s="139"/>
      <c r="L523" s="587"/>
      <c r="M523" s="587"/>
      <c r="N523" s="587"/>
      <c r="O523" s="587"/>
    </row>
    <row r="524">
      <c r="C524" s="139"/>
      <c r="D524" s="139"/>
      <c r="L524" s="587"/>
      <c r="M524" s="587"/>
      <c r="N524" s="587"/>
      <c r="O524" s="587"/>
    </row>
    <row r="525">
      <c r="C525" s="139"/>
      <c r="D525" s="139"/>
      <c r="L525" s="587"/>
      <c r="M525" s="587"/>
      <c r="N525" s="587"/>
      <c r="O525" s="587"/>
    </row>
    <row r="526">
      <c r="C526" s="139"/>
      <c r="D526" s="139"/>
      <c r="L526" s="587"/>
      <c r="M526" s="587"/>
      <c r="N526" s="587"/>
      <c r="O526" s="587"/>
    </row>
    <row r="527">
      <c r="C527" s="139"/>
      <c r="D527" s="139"/>
      <c r="L527" s="587"/>
      <c r="M527" s="587"/>
      <c r="N527" s="587"/>
      <c r="O527" s="587"/>
    </row>
    <row r="528">
      <c r="C528" s="139"/>
      <c r="D528" s="139"/>
      <c r="L528" s="587"/>
      <c r="M528" s="587"/>
      <c r="N528" s="587"/>
      <c r="O528" s="587"/>
    </row>
    <row r="529">
      <c r="C529" s="139"/>
      <c r="D529" s="139"/>
      <c r="L529" s="587"/>
      <c r="M529" s="587"/>
      <c r="N529" s="587"/>
      <c r="O529" s="587"/>
    </row>
    <row r="530">
      <c r="C530" s="139"/>
      <c r="D530" s="139"/>
      <c r="L530" s="587"/>
      <c r="M530" s="587"/>
      <c r="N530" s="587"/>
      <c r="O530" s="587"/>
    </row>
    <row r="531">
      <c r="C531" s="139"/>
      <c r="D531" s="139"/>
      <c r="L531" s="587"/>
      <c r="M531" s="587"/>
      <c r="N531" s="587"/>
      <c r="O531" s="587"/>
    </row>
    <row r="532">
      <c r="C532" s="139"/>
      <c r="D532" s="139"/>
      <c r="L532" s="587"/>
      <c r="M532" s="587"/>
      <c r="N532" s="587"/>
      <c r="O532" s="587"/>
    </row>
    <row r="533">
      <c r="C533" s="139"/>
      <c r="D533" s="139"/>
      <c r="L533" s="587"/>
      <c r="M533" s="587"/>
      <c r="N533" s="587"/>
      <c r="O533" s="587"/>
    </row>
    <row r="534">
      <c r="C534" s="139"/>
      <c r="D534" s="139"/>
      <c r="L534" s="587"/>
      <c r="M534" s="587"/>
      <c r="N534" s="587"/>
      <c r="O534" s="587"/>
    </row>
    <row r="535">
      <c r="C535" s="139"/>
      <c r="D535" s="139"/>
      <c r="L535" s="587"/>
      <c r="M535" s="587"/>
      <c r="N535" s="587"/>
      <c r="O535" s="587"/>
    </row>
    <row r="536">
      <c r="C536" s="139"/>
      <c r="D536" s="139"/>
      <c r="L536" s="587"/>
      <c r="M536" s="587"/>
      <c r="N536" s="587"/>
      <c r="O536" s="587"/>
    </row>
    <row r="537">
      <c r="C537" s="139"/>
      <c r="D537" s="139"/>
      <c r="L537" s="587"/>
      <c r="M537" s="587"/>
      <c r="N537" s="587"/>
      <c r="O537" s="587"/>
    </row>
    <row r="538">
      <c r="C538" s="139"/>
      <c r="D538" s="139"/>
      <c r="L538" s="587"/>
      <c r="M538" s="587"/>
      <c r="N538" s="587"/>
      <c r="O538" s="587"/>
    </row>
    <row r="539">
      <c r="C539" s="139"/>
      <c r="D539" s="139"/>
      <c r="L539" s="587"/>
      <c r="M539" s="587"/>
      <c r="N539" s="587"/>
      <c r="O539" s="587"/>
    </row>
    <row r="540">
      <c r="C540" s="139"/>
      <c r="D540" s="139"/>
      <c r="L540" s="587"/>
      <c r="M540" s="587"/>
      <c r="N540" s="587"/>
      <c r="O540" s="587"/>
    </row>
    <row r="541">
      <c r="C541" s="139"/>
      <c r="D541" s="139"/>
      <c r="L541" s="587"/>
      <c r="M541" s="587"/>
      <c r="N541" s="587"/>
      <c r="O541" s="587"/>
    </row>
    <row r="542">
      <c r="C542" s="139"/>
      <c r="D542" s="139"/>
      <c r="L542" s="587"/>
      <c r="M542" s="587"/>
      <c r="N542" s="587"/>
      <c r="O542" s="587"/>
    </row>
    <row r="543">
      <c r="C543" s="139"/>
      <c r="D543" s="139"/>
      <c r="L543" s="587"/>
      <c r="M543" s="587"/>
      <c r="N543" s="587"/>
      <c r="O543" s="587"/>
    </row>
    <row r="544">
      <c r="C544" s="139"/>
      <c r="D544" s="139"/>
      <c r="L544" s="587"/>
      <c r="M544" s="587"/>
      <c r="N544" s="587"/>
      <c r="O544" s="587"/>
    </row>
    <row r="545">
      <c r="C545" s="139"/>
      <c r="D545" s="139"/>
      <c r="L545" s="587"/>
      <c r="M545" s="587"/>
      <c r="N545" s="587"/>
      <c r="O545" s="587"/>
    </row>
    <row r="546">
      <c r="C546" s="139"/>
      <c r="D546" s="139"/>
      <c r="L546" s="587"/>
      <c r="M546" s="587"/>
      <c r="N546" s="587"/>
      <c r="O546" s="587"/>
    </row>
    <row r="547">
      <c r="C547" s="139"/>
      <c r="D547" s="139"/>
      <c r="L547" s="587"/>
      <c r="M547" s="587"/>
      <c r="N547" s="587"/>
      <c r="O547" s="587"/>
    </row>
    <row r="548">
      <c r="C548" s="139"/>
      <c r="D548" s="139"/>
      <c r="L548" s="587"/>
      <c r="M548" s="587"/>
      <c r="N548" s="587"/>
      <c r="O548" s="587"/>
    </row>
    <row r="549">
      <c r="C549" s="139"/>
      <c r="D549" s="139"/>
      <c r="L549" s="587"/>
      <c r="M549" s="587"/>
      <c r="N549" s="587"/>
      <c r="O549" s="587"/>
    </row>
    <row r="550">
      <c r="C550" s="139"/>
      <c r="D550" s="139"/>
      <c r="L550" s="587"/>
      <c r="M550" s="587"/>
      <c r="N550" s="587"/>
      <c r="O550" s="587"/>
    </row>
    <row r="551">
      <c r="C551" s="139"/>
      <c r="D551" s="139"/>
      <c r="L551" s="587"/>
      <c r="M551" s="587"/>
      <c r="N551" s="587"/>
      <c r="O551" s="587"/>
    </row>
    <row r="552">
      <c r="C552" s="139"/>
      <c r="D552" s="139"/>
      <c r="L552" s="587"/>
      <c r="M552" s="587"/>
      <c r="N552" s="587"/>
      <c r="O552" s="587"/>
    </row>
    <row r="553">
      <c r="C553" s="139"/>
      <c r="D553" s="139"/>
      <c r="L553" s="587"/>
      <c r="M553" s="587"/>
      <c r="N553" s="587"/>
      <c r="O553" s="587"/>
    </row>
    <row r="554">
      <c r="C554" s="139"/>
      <c r="D554" s="139"/>
      <c r="L554" s="587"/>
      <c r="M554" s="587"/>
      <c r="N554" s="587"/>
      <c r="O554" s="587"/>
    </row>
    <row r="555">
      <c r="C555" s="139"/>
      <c r="D555" s="139"/>
      <c r="L555" s="587"/>
      <c r="M555" s="587"/>
      <c r="N555" s="587"/>
      <c r="O555" s="587"/>
    </row>
    <row r="556">
      <c r="C556" s="139"/>
      <c r="D556" s="139"/>
      <c r="L556" s="587"/>
      <c r="M556" s="587"/>
      <c r="N556" s="587"/>
      <c r="O556" s="587"/>
    </row>
    <row r="557">
      <c r="C557" s="139"/>
      <c r="D557" s="139"/>
      <c r="L557" s="587"/>
      <c r="M557" s="587"/>
      <c r="N557" s="587"/>
      <c r="O557" s="587"/>
    </row>
    <row r="558">
      <c r="C558" s="139"/>
      <c r="D558" s="139"/>
      <c r="L558" s="587"/>
      <c r="M558" s="587"/>
      <c r="N558" s="587"/>
      <c r="O558" s="587"/>
    </row>
    <row r="559">
      <c r="C559" s="139"/>
      <c r="D559" s="139"/>
      <c r="L559" s="587"/>
      <c r="M559" s="587"/>
      <c r="N559" s="587"/>
      <c r="O559" s="587"/>
    </row>
    <row r="560">
      <c r="C560" s="139"/>
      <c r="D560" s="139"/>
      <c r="L560" s="587"/>
      <c r="M560" s="587"/>
      <c r="N560" s="587"/>
      <c r="O560" s="587"/>
    </row>
    <row r="561">
      <c r="C561" s="139"/>
      <c r="D561" s="139"/>
      <c r="L561" s="587"/>
      <c r="M561" s="587"/>
      <c r="N561" s="587"/>
      <c r="O561" s="587"/>
    </row>
    <row r="562">
      <c r="C562" s="139"/>
      <c r="D562" s="139"/>
      <c r="L562" s="587"/>
      <c r="M562" s="587"/>
      <c r="N562" s="587"/>
      <c r="O562" s="587"/>
    </row>
    <row r="563">
      <c r="C563" s="139"/>
      <c r="D563" s="139"/>
      <c r="L563" s="587"/>
      <c r="M563" s="587"/>
      <c r="N563" s="587"/>
      <c r="O563" s="587"/>
    </row>
    <row r="564">
      <c r="C564" s="139"/>
      <c r="D564" s="139"/>
      <c r="L564" s="587"/>
      <c r="M564" s="587"/>
      <c r="N564" s="587"/>
      <c r="O564" s="587"/>
    </row>
    <row r="565">
      <c r="C565" s="139"/>
      <c r="D565" s="139"/>
      <c r="L565" s="587"/>
      <c r="M565" s="587"/>
      <c r="N565" s="587"/>
      <c r="O565" s="587"/>
    </row>
    <row r="566">
      <c r="C566" s="139"/>
      <c r="D566" s="139"/>
      <c r="L566" s="587"/>
      <c r="M566" s="587"/>
      <c r="N566" s="587"/>
      <c r="O566" s="587"/>
    </row>
    <row r="567">
      <c r="C567" s="139"/>
      <c r="D567" s="139"/>
      <c r="L567" s="587"/>
      <c r="M567" s="587"/>
      <c r="N567" s="587"/>
      <c r="O567" s="587"/>
    </row>
    <row r="568">
      <c r="C568" s="139"/>
      <c r="D568" s="139"/>
      <c r="L568" s="587"/>
      <c r="M568" s="587"/>
      <c r="N568" s="587"/>
      <c r="O568" s="587"/>
    </row>
    <row r="569">
      <c r="C569" s="139"/>
      <c r="D569" s="139"/>
      <c r="L569" s="587"/>
      <c r="M569" s="587"/>
      <c r="N569" s="587"/>
      <c r="O569" s="587"/>
    </row>
    <row r="570">
      <c r="C570" s="139"/>
      <c r="D570" s="139"/>
      <c r="L570" s="587"/>
      <c r="M570" s="587"/>
      <c r="N570" s="587"/>
      <c r="O570" s="587"/>
    </row>
    <row r="571">
      <c r="C571" s="139"/>
      <c r="D571" s="139"/>
      <c r="L571" s="587"/>
      <c r="M571" s="587"/>
      <c r="N571" s="587"/>
      <c r="O571" s="587"/>
    </row>
    <row r="572">
      <c r="C572" s="139"/>
      <c r="D572" s="139"/>
      <c r="L572" s="587"/>
      <c r="M572" s="587"/>
      <c r="N572" s="587"/>
      <c r="O572" s="587"/>
    </row>
    <row r="573">
      <c r="C573" s="139"/>
      <c r="D573" s="139"/>
      <c r="L573" s="587"/>
      <c r="M573" s="587"/>
      <c r="N573" s="587"/>
      <c r="O573" s="587"/>
    </row>
    <row r="574">
      <c r="C574" s="139"/>
      <c r="D574" s="139"/>
      <c r="L574" s="587"/>
      <c r="M574" s="587"/>
      <c r="N574" s="587"/>
      <c r="O574" s="587"/>
    </row>
    <row r="575">
      <c r="C575" s="139"/>
      <c r="D575" s="139"/>
      <c r="L575" s="587"/>
      <c r="M575" s="587"/>
      <c r="N575" s="587"/>
      <c r="O575" s="587"/>
    </row>
    <row r="576">
      <c r="C576" s="139"/>
      <c r="D576" s="139"/>
      <c r="L576" s="587"/>
      <c r="M576" s="587"/>
      <c r="N576" s="587"/>
      <c r="O576" s="587"/>
    </row>
    <row r="577">
      <c r="C577" s="139"/>
      <c r="D577" s="139"/>
      <c r="L577" s="587"/>
      <c r="M577" s="587"/>
      <c r="N577" s="587"/>
      <c r="O577" s="587"/>
    </row>
    <row r="578">
      <c r="C578" s="139"/>
      <c r="D578" s="139"/>
      <c r="L578" s="587"/>
      <c r="M578" s="587"/>
      <c r="N578" s="587"/>
      <c r="O578" s="587"/>
    </row>
    <row r="579">
      <c r="C579" s="139"/>
      <c r="D579" s="139"/>
      <c r="L579" s="587"/>
      <c r="M579" s="587"/>
      <c r="N579" s="587"/>
      <c r="O579" s="587"/>
    </row>
    <row r="580">
      <c r="C580" s="139"/>
      <c r="D580" s="139"/>
      <c r="L580" s="587"/>
      <c r="M580" s="587"/>
      <c r="N580" s="587"/>
      <c r="O580" s="587"/>
    </row>
    <row r="581">
      <c r="C581" s="139"/>
      <c r="D581" s="139"/>
      <c r="L581" s="587"/>
      <c r="M581" s="587"/>
      <c r="N581" s="587"/>
      <c r="O581" s="587"/>
    </row>
    <row r="582">
      <c r="C582" s="139"/>
      <c r="D582" s="139"/>
      <c r="L582" s="587"/>
      <c r="M582" s="587"/>
      <c r="N582" s="587"/>
      <c r="O582" s="587"/>
    </row>
    <row r="583">
      <c r="C583" s="139"/>
      <c r="D583" s="139"/>
      <c r="L583" s="587"/>
      <c r="M583" s="587"/>
      <c r="N583" s="587"/>
      <c r="O583" s="587"/>
    </row>
    <row r="584">
      <c r="C584" s="139"/>
      <c r="D584" s="139"/>
      <c r="L584" s="587"/>
      <c r="M584" s="587"/>
      <c r="N584" s="587"/>
      <c r="O584" s="587"/>
    </row>
    <row r="585">
      <c r="C585" s="139"/>
      <c r="D585" s="139"/>
      <c r="L585" s="587"/>
      <c r="M585" s="587"/>
      <c r="N585" s="587"/>
      <c r="O585" s="587"/>
    </row>
    <row r="586">
      <c r="C586" s="139"/>
      <c r="D586" s="139"/>
      <c r="L586" s="587"/>
      <c r="M586" s="587"/>
      <c r="N586" s="587"/>
      <c r="O586" s="587"/>
    </row>
    <row r="587">
      <c r="C587" s="139"/>
      <c r="D587" s="139"/>
      <c r="L587" s="587"/>
      <c r="M587" s="587"/>
      <c r="N587" s="587"/>
      <c r="O587" s="587"/>
    </row>
    <row r="588">
      <c r="C588" s="139"/>
      <c r="D588" s="139"/>
      <c r="L588" s="587"/>
      <c r="M588" s="587"/>
      <c r="N588" s="587"/>
      <c r="O588" s="587"/>
    </row>
    <row r="589">
      <c r="C589" s="139"/>
      <c r="D589" s="139"/>
      <c r="L589" s="587"/>
      <c r="M589" s="587"/>
      <c r="N589" s="587"/>
      <c r="O589" s="587"/>
    </row>
    <row r="590">
      <c r="C590" s="139"/>
      <c r="D590" s="139"/>
      <c r="L590" s="587"/>
      <c r="M590" s="587"/>
      <c r="N590" s="587"/>
      <c r="O590" s="587"/>
    </row>
    <row r="591">
      <c r="C591" s="139"/>
      <c r="D591" s="139"/>
      <c r="L591" s="587"/>
      <c r="M591" s="587"/>
      <c r="N591" s="587"/>
      <c r="O591" s="587"/>
    </row>
    <row r="592">
      <c r="C592" s="139"/>
      <c r="D592" s="139"/>
      <c r="L592" s="587"/>
      <c r="M592" s="587"/>
      <c r="N592" s="587"/>
      <c r="O592" s="587"/>
    </row>
    <row r="593">
      <c r="C593" s="139"/>
      <c r="D593" s="139"/>
      <c r="L593" s="587"/>
      <c r="M593" s="587"/>
      <c r="N593" s="587"/>
      <c r="O593" s="587"/>
    </row>
    <row r="594">
      <c r="C594" s="139"/>
      <c r="D594" s="139"/>
      <c r="L594" s="587"/>
      <c r="M594" s="587"/>
      <c r="N594" s="587"/>
      <c r="O594" s="587"/>
    </row>
    <row r="595">
      <c r="C595" s="139"/>
      <c r="D595" s="139"/>
      <c r="L595" s="587"/>
      <c r="M595" s="587"/>
      <c r="N595" s="587"/>
      <c r="O595" s="587"/>
    </row>
    <row r="596">
      <c r="C596" s="139"/>
      <c r="D596" s="139"/>
      <c r="L596" s="587"/>
      <c r="M596" s="587"/>
      <c r="N596" s="587"/>
      <c r="O596" s="587"/>
    </row>
    <row r="597">
      <c r="C597" s="139"/>
      <c r="D597" s="139"/>
      <c r="L597" s="587"/>
      <c r="M597" s="587"/>
      <c r="N597" s="587"/>
      <c r="O597" s="587"/>
    </row>
    <row r="598">
      <c r="C598" s="139"/>
      <c r="D598" s="139"/>
      <c r="L598" s="587"/>
      <c r="M598" s="587"/>
      <c r="N598" s="587"/>
      <c r="O598" s="587"/>
    </row>
    <row r="599">
      <c r="C599" s="139"/>
      <c r="D599" s="139"/>
      <c r="L599" s="587"/>
      <c r="M599" s="587"/>
      <c r="N599" s="587"/>
      <c r="O599" s="587"/>
    </row>
    <row r="600">
      <c r="C600" s="139"/>
      <c r="D600" s="139"/>
      <c r="L600" s="587"/>
      <c r="M600" s="587"/>
      <c r="N600" s="587"/>
      <c r="O600" s="587"/>
    </row>
    <row r="601">
      <c r="C601" s="139"/>
      <c r="D601" s="139"/>
      <c r="L601" s="587"/>
      <c r="M601" s="587"/>
      <c r="N601" s="587"/>
      <c r="O601" s="587"/>
    </row>
    <row r="602">
      <c r="C602" s="139"/>
      <c r="D602" s="139"/>
      <c r="L602" s="587"/>
      <c r="M602" s="587"/>
      <c r="N602" s="587"/>
      <c r="O602" s="587"/>
    </row>
    <row r="603">
      <c r="C603" s="139"/>
      <c r="D603" s="139"/>
      <c r="L603" s="587"/>
      <c r="M603" s="587"/>
      <c r="N603" s="587"/>
      <c r="O603" s="587"/>
    </row>
    <row r="604">
      <c r="C604" s="139"/>
      <c r="D604" s="139"/>
      <c r="L604" s="587"/>
      <c r="M604" s="587"/>
      <c r="N604" s="587"/>
      <c r="O604" s="587"/>
    </row>
    <row r="605">
      <c r="C605" s="139"/>
      <c r="D605" s="139"/>
      <c r="L605" s="587"/>
      <c r="M605" s="587"/>
      <c r="N605" s="587"/>
      <c r="O605" s="587"/>
    </row>
    <row r="606">
      <c r="C606" s="139"/>
      <c r="D606" s="139"/>
      <c r="L606" s="587"/>
      <c r="M606" s="587"/>
      <c r="N606" s="587"/>
      <c r="O606" s="587"/>
    </row>
    <row r="607">
      <c r="C607" s="139"/>
      <c r="D607" s="139"/>
      <c r="L607" s="587"/>
      <c r="M607" s="587"/>
      <c r="N607" s="587"/>
      <c r="O607" s="587"/>
    </row>
    <row r="608">
      <c r="C608" s="139"/>
      <c r="D608" s="139"/>
      <c r="L608" s="587"/>
      <c r="M608" s="587"/>
      <c r="N608" s="587"/>
      <c r="O608" s="587"/>
    </row>
    <row r="609">
      <c r="C609" s="139"/>
      <c r="D609" s="139"/>
      <c r="L609" s="587"/>
      <c r="M609" s="587"/>
      <c r="N609" s="587"/>
      <c r="O609" s="587"/>
    </row>
    <row r="610">
      <c r="C610" s="139"/>
      <c r="D610" s="139"/>
      <c r="L610" s="587"/>
      <c r="M610" s="587"/>
      <c r="N610" s="587"/>
      <c r="O610" s="587"/>
    </row>
    <row r="611">
      <c r="C611" s="139"/>
      <c r="D611" s="139"/>
      <c r="L611" s="587"/>
      <c r="M611" s="587"/>
      <c r="N611" s="587"/>
      <c r="O611" s="587"/>
    </row>
    <row r="612">
      <c r="C612" s="139"/>
      <c r="D612" s="139"/>
      <c r="L612" s="587"/>
      <c r="M612" s="587"/>
      <c r="N612" s="587"/>
      <c r="O612" s="587"/>
    </row>
    <row r="613">
      <c r="C613" s="139"/>
      <c r="D613" s="139"/>
      <c r="L613" s="587"/>
      <c r="M613" s="587"/>
      <c r="N613" s="587"/>
      <c r="O613" s="587"/>
    </row>
    <row r="614">
      <c r="C614" s="139"/>
      <c r="D614" s="139"/>
      <c r="L614" s="587"/>
      <c r="M614" s="587"/>
      <c r="N614" s="587"/>
      <c r="O614" s="587"/>
    </row>
    <row r="615">
      <c r="C615" s="139"/>
      <c r="D615" s="139"/>
      <c r="L615" s="587"/>
      <c r="M615" s="587"/>
      <c r="N615" s="587"/>
      <c r="O615" s="587"/>
    </row>
    <row r="616">
      <c r="C616" s="139"/>
      <c r="D616" s="139"/>
      <c r="L616" s="587"/>
      <c r="M616" s="587"/>
      <c r="N616" s="587"/>
      <c r="O616" s="587"/>
    </row>
    <row r="617">
      <c r="C617" s="139"/>
      <c r="D617" s="139"/>
      <c r="L617" s="587"/>
      <c r="M617" s="587"/>
      <c r="N617" s="587"/>
      <c r="O617" s="587"/>
    </row>
    <row r="618">
      <c r="C618" s="139"/>
      <c r="D618" s="139"/>
      <c r="L618" s="587"/>
      <c r="M618" s="587"/>
      <c r="N618" s="587"/>
      <c r="O618" s="587"/>
    </row>
    <row r="619">
      <c r="C619" s="139"/>
      <c r="D619" s="139"/>
      <c r="L619" s="587"/>
      <c r="M619" s="587"/>
      <c r="N619" s="587"/>
      <c r="O619" s="587"/>
    </row>
    <row r="620">
      <c r="C620" s="139"/>
      <c r="D620" s="139"/>
      <c r="L620" s="587"/>
      <c r="M620" s="587"/>
      <c r="N620" s="587"/>
      <c r="O620" s="587"/>
    </row>
    <row r="621">
      <c r="C621" s="139"/>
      <c r="D621" s="139"/>
      <c r="L621" s="587"/>
      <c r="M621" s="587"/>
      <c r="N621" s="587"/>
      <c r="O621" s="587"/>
    </row>
    <row r="622">
      <c r="C622" s="139"/>
      <c r="D622" s="139"/>
      <c r="L622" s="587"/>
      <c r="M622" s="587"/>
      <c r="N622" s="587"/>
      <c r="O622" s="587"/>
    </row>
    <row r="623">
      <c r="C623" s="139"/>
      <c r="D623" s="139"/>
      <c r="L623" s="587"/>
      <c r="M623" s="587"/>
      <c r="N623" s="587"/>
      <c r="O623" s="587"/>
    </row>
    <row r="624">
      <c r="C624" s="139"/>
      <c r="D624" s="139"/>
      <c r="L624" s="587"/>
      <c r="M624" s="587"/>
      <c r="N624" s="587"/>
      <c r="O624" s="587"/>
    </row>
    <row r="625">
      <c r="C625" s="139"/>
      <c r="D625" s="139"/>
      <c r="L625" s="587"/>
      <c r="M625" s="587"/>
      <c r="N625" s="587"/>
      <c r="O625" s="587"/>
    </row>
    <row r="626">
      <c r="C626" s="139"/>
      <c r="D626" s="139"/>
      <c r="L626" s="587"/>
      <c r="M626" s="587"/>
      <c r="N626" s="587"/>
      <c r="O626" s="587"/>
    </row>
    <row r="627">
      <c r="C627" s="139"/>
      <c r="D627" s="139"/>
      <c r="L627" s="587"/>
      <c r="M627" s="587"/>
      <c r="N627" s="587"/>
      <c r="O627" s="587"/>
    </row>
    <row r="628">
      <c r="C628" s="139"/>
      <c r="D628" s="139"/>
      <c r="L628" s="587"/>
      <c r="M628" s="587"/>
      <c r="N628" s="587"/>
      <c r="O628" s="587"/>
    </row>
    <row r="629">
      <c r="C629" s="139"/>
      <c r="D629" s="139"/>
      <c r="L629" s="587"/>
      <c r="M629" s="587"/>
      <c r="N629" s="587"/>
      <c r="O629" s="587"/>
    </row>
    <row r="630">
      <c r="C630" s="139"/>
      <c r="D630" s="139"/>
      <c r="L630" s="587"/>
      <c r="M630" s="587"/>
      <c r="N630" s="587"/>
      <c r="O630" s="587"/>
    </row>
    <row r="631">
      <c r="C631" s="139"/>
      <c r="D631" s="139"/>
      <c r="L631" s="587"/>
      <c r="M631" s="587"/>
      <c r="N631" s="587"/>
      <c r="O631" s="587"/>
    </row>
    <row r="632">
      <c r="C632" s="139"/>
      <c r="D632" s="139"/>
      <c r="L632" s="587"/>
      <c r="M632" s="587"/>
      <c r="N632" s="587"/>
      <c r="O632" s="587"/>
    </row>
    <row r="633">
      <c r="C633" s="139"/>
      <c r="D633" s="139"/>
      <c r="L633" s="587"/>
      <c r="M633" s="587"/>
      <c r="N633" s="587"/>
      <c r="O633" s="587"/>
    </row>
    <row r="634">
      <c r="C634" s="139"/>
      <c r="D634" s="139"/>
      <c r="L634" s="587"/>
      <c r="M634" s="587"/>
      <c r="N634" s="587"/>
      <c r="O634" s="587"/>
    </row>
    <row r="635">
      <c r="C635" s="139"/>
      <c r="D635" s="139"/>
      <c r="L635" s="587"/>
      <c r="M635" s="587"/>
      <c r="N635" s="587"/>
      <c r="O635" s="587"/>
    </row>
    <row r="636">
      <c r="C636" s="139"/>
      <c r="D636" s="139"/>
      <c r="L636" s="587"/>
      <c r="M636" s="587"/>
      <c r="N636" s="587"/>
      <c r="O636" s="587"/>
    </row>
    <row r="637">
      <c r="C637" s="139"/>
      <c r="D637" s="139"/>
      <c r="L637" s="587"/>
      <c r="M637" s="587"/>
      <c r="N637" s="587"/>
      <c r="O637" s="587"/>
    </row>
    <row r="638">
      <c r="C638" s="139"/>
      <c r="D638" s="139"/>
      <c r="L638" s="587"/>
      <c r="M638" s="587"/>
      <c r="N638" s="587"/>
      <c r="O638" s="587"/>
    </row>
    <row r="639">
      <c r="C639" s="139"/>
      <c r="D639" s="139"/>
      <c r="L639" s="587"/>
      <c r="M639" s="587"/>
      <c r="N639" s="587"/>
      <c r="O639" s="587"/>
    </row>
    <row r="640">
      <c r="C640" s="139"/>
      <c r="D640" s="139"/>
      <c r="L640" s="587"/>
      <c r="M640" s="587"/>
      <c r="N640" s="587"/>
      <c r="O640" s="587"/>
    </row>
    <row r="641">
      <c r="C641" s="139"/>
      <c r="D641" s="139"/>
      <c r="L641" s="587"/>
      <c r="M641" s="587"/>
      <c r="N641" s="587"/>
      <c r="O641" s="587"/>
    </row>
    <row r="642">
      <c r="C642" s="139"/>
      <c r="D642" s="139"/>
      <c r="L642" s="587"/>
      <c r="M642" s="587"/>
      <c r="N642" s="587"/>
      <c r="O642" s="587"/>
    </row>
    <row r="643">
      <c r="C643" s="139"/>
      <c r="D643" s="139"/>
      <c r="L643" s="587"/>
      <c r="M643" s="587"/>
      <c r="N643" s="587"/>
      <c r="O643" s="587"/>
    </row>
    <row r="644">
      <c r="C644" s="139"/>
      <c r="D644" s="139"/>
      <c r="L644" s="587"/>
      <c r="M644" s="587"/>
      <c r="N644" s="587"/>
      <c r="O644" s="587"/>
    </row>
    <row r="645">
      <c r="C645" s="139"/>
      <c r="D645" s="139"/>
      <c r="L645" s="587"/>
      <c r="M645" s="587"/>
      <c r="N645" s="587"/>
      <c r="O645" s="587"/>
    </row>
    <row r="646">
      <c r="C646" s="139"/>
      <c r="D646" s="139"/>
      <c r="L646" s="587"/>
      <c r="M646" s="587"/>
      <c r="N646" s="587"/>
      <c r="O646" s="587"/>
    </row>
    <row r="647">
      <c r="C647" s="139"/>
      <c r="D647" s="139"/>
      <c r="L647" s="587"/>
      <c r="M647" s="587"/>
      <c r="N647" s="587"/>
      <c r="O647" s="587"/>
    </row>
    <row r="648">
      <c r="C648" s="139"/>
      <c r="D648" s="139"/>
      <c r="L648" s="587"/>
      <c r="M648" s="587"/>
      <c r="N648" s="587"/>
      <c r="O648" s="587"/>
    </row>
    <row r="649">
      <c r="C649" s="139"/>
      <c r="D649" s="139"/>
      <c r="L649" s="587"/>
      <c r="M649" s="587"/>
      <c r="N649" s="587"/>
      <c r="O649" s="587"/>
    </row>
    <row r="650">
      <c r="C650" s="139"/>
      <c r="D650" s="139"/>
      <c r="L650" s="587"/>
      <c r="M650" s="587"/>
      <c r="N650" s="587"/>
      <c r="O650" s="587"/>
    </row>
    <row r="651">
      <c r="C651" s="139"/>
      <c r="D651" s="139"/>
      <c r="L651" s="587"/>
      <c r="M651" s="587"/>
      <c r="N651" s="587"/>
      <c r="O651" s="587"/>
    </row>
    <row r="652">
      <c r="C652" s="139"/>
      <c r="D652" s="139"/>
      <c r="L652" s="587"/>
      <c r="M652" s="587"/>
      <c r="N652" s="587"/>
      <c r="O652" s="587"/>
    </row>
    <row r="653">
      <c r="C653" s="139"/>
      <c r="D653" s="139"/>
      <c r="L653" s="587"/>
      <c r="M653" s="587"/>
      <c r="N653" s="587"/>
      <c r="O653" s="587"/>
    </row>
    <row r="654">
      <c r="C654" s="139"/>
      <c r="D654" s="139"/>
      <c r="L654" s="587"/>
      <c r="M654" s="587"/>
      <c r="N654" s="587"/>
      <c r="O654" s="587"/>
    </row>
    <row r="655">
      <c r="C655" s="139"/>
      <c r="D655" s="139"/>
      <c r="L655" s="587"/>
      <c r="M655" s="587"/>
      <c r="N655" s="587"/>
      <c r="O655" s="587"/>
    </row>
    <row r="656">
      <c r="C656" s="139"/>
      <c r="D656" s="139"/>
      <c r="L656" s="587"/>
      <c r="M656" s="587"/>
      <c r="N656" s="587"/>
      <c r="O656" s="587"/>
    </row>
    <row r="657">
      <c r="C657" s="139"/>
      <c r="D657" s="139"/>
      <c r="L657" s="587"/>
      <c r="M657" s="587"/>
      <c r="N657" s="587"/>
      <c r="O657" s="587"/>
    </row>
    <row r="658">
      <c r="C658" s="139"/>
      <c r="D658" s="139"/>
      <c r="L658" s="587"/>
      <c r="M658" s="587"/>
      <c r="N658" s="587"/>
      <c r="O658" s="587"/>
    </row>
    <row r="659">
      <c r="C659" s="139"/>
      <c r="D659" s="139"/>
      <c r="L659" s="587"/>
      <c r="M659" s="587"/>
      <c r="N659" s="587"/>
      <c r="O659" s="587"/>
    </row>
    <row r="660">
      <c r="C660" s="139"/>
      <c r="D660" s="139"/>
      <c r="L660" s="587"/>
      <c r="M660" s="587"/>
      <c r="N660" s="587"/>
      <c r="O660" s="587"/>
    </row>
    <row r="661">
      <c r="C661" s="139"/>
      <c r="D661" s="139"/>
      <c r="L661" s="587"/>
      <c r="M661" s="587"/>
      <c r="N661" s="587"/>
      <c r="O661" s="587"/>
    </row>
    <row r="662">
      <c r="C662" s="139"/>
      <c r="D662" s="139"/>
      <c r="L662" s="587"/>
      <c r="M662" s="587"/>
      <c r="N662" s="587"/>
      <c r="O662" s="587"/>
    </row>
    <row r="663">
      <c r="C663" s="139"/>
      <c r="D663" s="139"/>
      <c r="L663" s="587"/>
      <c r="M663" s="587"/>
      <c r="N663" s="587"/>
      <c r="O663" s="587"/>
    </row>
    <row r="664">
      <c r="C664" s="139"/>
      <c r="D664" s="139"/>
      <c r="L664" s="587"/>
      <c r="M664" s="587"/>
      <c r="N664" s="587"/>
      <c r="O664" s="587"/>
    </row>
    <row r="665">
      <c r="C665" s="139"/>
      <c r="D665" s="139"/>
      <c r="L665" s="587"/>
      <c r="M665" s="587"/>
      <c r="N665" s="587"/>
      <c r="O665" s="587"/>
    </row>
    <row r="666">
      <c r="C666" s="139"/>
      <c r="D666" s="139"/>
      <c r="L666" s="587"/>
      <c r="M666" s="587"/>
      <c r="N666" s="587"/>
      <c r="O666" s="587"/>
    </row>
    <row r="667">
      <c r="C667" s="139"/>
      <c r="D667" s="139"/>
      <c r="L667" s="587"/>
      <c r="M667" s="587"/>
      <c r="N667" s="587"/>
      <c r="O667" s="587"/>
    </row>
    <row r="668">
      <c r="C668" s="139"/>
      <c r="D668" s="139"/>
      <c r="L668" s="587"/>
      <c r="M668" s="587"/>
      <c r="N668" s="587"/>
      <c r="O668" s="587"/>
    </row>
    <row r="669">
      <c r="C669" s="139"/>
      <c r="D669" s="139"/>
      <c r="L669" s="587"/>
      <c r="M669" s="587"/>
      <c r="N669" s="587"/>
      <c r="O669" s="587"/>
    </row>
    <row r="670">
      <c r="C670" s="139"/>
      <c r="D670" s="139"/>
      <c r="L670" s="587"/>
      <c r="M670" s="587"/>
      <c r="N670" s="587"/>
      <c r="O670" s="587"/>
    </row>
    <row r="671">
      <c r="C671" s="139"/>
      <c r="D671" s="139"/>
      <c r="L671" s="587"/>
      <c r="M671" s="587"/>
      <c r="N671" s="587"/>
      <c r="O671" s="587"/>
    </row>
    <row r="672">
      <c r="C672" s="139"/>
      <c r="D672" s="139"/>
      <c r="L672" s="587"/>
      <c r="M672" s="587"/>
      <c r="N672" s="587"/>
      <c r="O672" s="587"/>
    </row>
    <row r="673">
      <c r="C673" s="139"/>
      <c r="D673" s="139"/>
      <c r="L673" s="587"/>
      <c r="M673" s="587"/>
      <c r="N673" s="587"/>
      <c r="O673" s="587"/>
    </row>
    <row r="674">
      <c r="C674" s="139"/>
      <c r="D674" s="139"/>
      <c r="L674" s="587"/>
      <c r="M674" s="587"/>
      <c r="N674" s="587"/>
      <c r="O674" s="587"/>
    </row>
    <row r="675">
      <c r="C675" s="139"/>
      <c r="D675" s="139"/>
      <c r="L675" s="587"/>
      <c r="M675" s="587"/>
      <c r="N675" s="587"/>
      <c r="O675" s="587"/>
    </row>
    <row r="676">
      <c r="C676" s="139"/>
      <c r="D676" s="139"/>
      <c r="L676" s="587"/>
      <c r="M676" s="587"/>
      <c r="N676" s="587"/>
      <c r="O676" s="587"/>
    </row>
    <row r="677">
      <c r="C677" s="139"/>
      <c r="D677" s="139"/>
      <c r="L677" s="587"/>
      <c r="M677" s="587"/>
      <c r="N677" s="587"/>
      <c r="O677" s="587"/>
    </row>
    <row r="678">
      <c r="C678" s="139"/>
      <c r="D678" s="139"/>
      <c r="L678" s="587"/>
      <c r="M678" s="587"/>
      <c r="N678" s="587"/>
      <c r="O678" s="587"/>
    </row>
    <row r="679">
      <c r="C679" s="139"/>
      <c r="D679" s="139"/>
      <c r="L679" s="587"/>
      <c r="M679" s="587"/>
      <c r="N679" s="587"/>
      <c r="O679" s="587"/>
    </row>
    <row r="680">
      <c r="C680" s="139"/>
      <c r="D680" s="139"/>
      <c r="L680" s="587"/>
      <c r="M680" s="587"/>
      <c r="N680" s="587"/>
      <c r="O680" s="587"/>
    </row>
    <row r="681">
      <c r="C681" s="139"/>
      <c r="D681" s="139"/>
      <c r="L681" s="587"/>
      <c r="M681" s="587"/>
      <c r="N681" s="587"/>
      <c r="O681" s="587"/>
    </row>
    <row r="682">
      <c r="C682" s="139"/>
      <c r="D682" s="139"/>
      <c r="L682" s="587"/>
      <c r="M682" s="587"/>
      <c r="N682" s="587"/>
      <c r="O682" s="587"/>
    </row>
    <row r="683">
      <c r="C683" s="139"/>
      <c r="D683" s="139"/>
      <c r="L683" s="587"/>
      <c r="M683" s="587"/>
      <c r="N683" s="587"/>
      <c r="O683" s="587"/>
    </row>
    <row r="684">
      <c r="C684" s="139"/>
      <c r="D684" s="139"/>
      <c r="L684" s="587"/>
      <c r="M684" s="587"/>
      <c r="N684" s="587"/>
      <c r="O684" s="587"/>
    </row>
    <row r="685">
      <c r="C685" s="139"/>
      <c r="D685" s="139"/>
      <c r="L685" s="587"/>
      <c r="M685" s="587"/>
      <c r="N685" s="587"/>
      <c r="O685" s="587"/>
    </row>
    <row r="686">
      <c r="C686" s="139"/>
      <c r="D686" s="139"/>
      <c r="L686" s="587"/>
      <c r="M686" s="587"/>
      <c r="N686" s="587"/>
      <c r="O686" s="587"/>
    </row>
    <row r="687">
      <c r="C687" s="139"/>
      <c r="D687" s="139"/>
      <c r="L687" s="587"/>
      <c r="M687" s="587"/>
      <c r="N687" s="587"/>
      <c r="O687" s="587"/>
    </row>
    <row r="688">
      <c r="C688" s="139"/>
      <c r="D688" s="139"/>
      <c r="L688" s="587"/>
      <c r="M688" s="587"/>
      <c r="N688" s="587"/>
      <c r="O688" s="587"/>
    </row>
    <row r="689">
      <c r="C689" s="139"/>
      <c r="D689" s="139"/>
      <c r="L689" s="587"/>
      <c r="M689" s="587"/>
      <c r="N689" s="587"/>
      <c r="O689" s="587"/>
    </row>
    <row r="690">
      <c r="C690" s="139"/>
      <c r="D690" s="139"/>
      <c r="L690" s="587"/>
      <c r="M690" s="587"/>
      <c r="N690" s="587"/>
      <c r="O690" s="587"/>
    </row>
    <row r="691">
      <c r="C691" s="139"/>
      <c r="D691" s="139"/>
      <c r="L691" s="587"/>
      <c r="M691" s="587"/>
      <c r="N691" s="587"/>
      <c r="O691" s="587"/>
    </row>
    <row r="692">
      <c r="C692" s="139"/>
      <c r="D692" s="139"/>
      <c r="L692" s="587"/>
      <c r="M692" s="587"/>
      <c r="N692" s="587"/>
      <c r="O692" s="587"/>
    </row>
    <row r="693">
      <c r="C693" s="139"/>
      <c r="D693" s="139"/>
      <c r="L693" s="587"/>
      <c r="M693" s="587"/>
      <c r="N693" s="587"/>
      <c r="O693" s="587"/>
    </row>
    <row r="694">
      <c r="C694" s="139"/>
      <c r="D694" s="139"/>
      <c r="L694" s="587"/>
      <c r="M694" s="587"/>
      <c r="N694" s="587"/>
      <c r="O694" s="587"/>
    </row>
    <row r="695">
      <c r="C695" s="139"/>
      <c r="D695" s="139"/>
      <c r="L695" s="587"/>
      <c r="M695" s="587"/>
      <c r="N695" s="587"/>
      <c r="O695" s="587"/>
    </row>
    <row r="696">
      <c r="C696" s="139"/>
      <c r="D696" s="139"/>
      <c r="L696" s="587"/>
      <c r="M696" s="587"/>
      <c r="N696" s="587"/>
      <c r="O696" s="587"/>
    </row>
    <row r="697">
      <c r="C697" s="139"/>
      <c r="D697" s="139"/>
      <c r="L697" s="587"/>
      <c r="M697" s="587"/>
      <c r="N697" s="587"/>
      <c r="O697" s="587"/>
    </row>
    <row r="698">
      <c r="C698" s="139"/>
      <c r="D698" s="139"/>
      <c r="L698" s="587"/>
      <c r="M698" s="587"/>
      <c r="N698" s="587"/>
      <c r="O698" s="587"/>
    </row>
    <row r="699">
      <c r="C699" s="139"/>
      <c r="D699" s="139"/>
      <c r="L699" s="587"/>
      <c r="M699" s="587"/>
      <c r="N699" s="587"/>
      <c r="O699" s="587"/>
    </row>
    <row r="700">
      <c r="C700" s="139"/>
      <c r="D700" s="139"/>
      <c r="L700" s="587"/>
      <c r="M700" s="587"/>
      <c r="N700" s="587"/>
      <c r="O700" s="587"/>
    </row>
    <row r="701">
      <c r="C701" s="139"/>
      <c r="D701" s="139"/>
      <c r="L701" s="587"/>
      <c r="M701" s="587"/>
      <c r="N701" s="587"/>
      <c r="O701" s="587"/>
    </row>
    <row r="702">
      <c r="C702" s="139"/>
      <c r="D702" s="139"/>
      <c r="L702" s="587"/>
      <c r="M702" s="587"/>
      <c r="N702" s="587"/>
      <c r="O702" s="587"/>
    </row>
    <row r="703">
      <c r="C703" s="139"/>
      <c r="D703" s="139"/>
      <c r="L703" s="587"/>
      <c r="M703" s="587"/>
      <c r="N703" s="587"/>
      <c r="O703" s="587"/>
    </row>
    <row r="704">
      <c r="C704" s="139"/>
      <c r="D704" s="139"/>
      <c r="L704" s="587"/>
      <c r="M704" s="587"/>
      <c r="N704" s="587"/>
      <c r="O704" s="587"/>
    </row>
    <row r="705">
      <c r="C705" s="139"/>
      <c r="D705" s="139"/>
      <c r="L705" s="587"/>
      <c r="M705" s="587"/>
      <c r="N705" s="587"/>
      <c r="O705" s="587"/>
    </row>
    <row r="706">
      <c r="C706" s="139"/>
      <c r="D706" s="139"/>
      <c r="L706" s="587"/>
      <c r="M706" s="587"/>
      <c r="N706" s="587"/>
      <c r="O706" s="587"/>
    </row>
    <row r="707">
      <c r="C707" s="139"/>
      <c r="D707" s="139"/>
      <c r="L707" s="587"/>
      <c r="M707" s="587"/>
      <c r="N707" s="587"/>
      <c r="O707" s="587"/>
    </row>
    <row r="708">
      <c r="C708" s="139"/>
      <c r="D708" s="139"/>
      <c r="L708" s="587"/>
      <c r="M708" s="587"/>
      <c r="N708" s="587"/>
      <c r="O708" s="587"/>
    </row>
    <row r="709">
      <c r="C709" s="139"/>
      <c r="D709" s="139"/>
      <c r="L709" s="587"/>
      <c r="M709" s="587"/>
      <c r="N709" s="587"/>
      <c r="O709" s="587"/>
    </row>
    <row r="710">
      <c r="C710" s="139"/>
      <c r="D710" s="139"/>
      <c r="L710" s="587"/>
      <c r="M710" s="587"/>
      <c r="N710" s="587"/>
      <c r="O710" s="587"/>
    </row>
    <row r="711">
      <c r="C711" s="139"/>
      <c r="D711" s="139"/>
      <c r="L711" s="587"/>
      <c r="M711" s="587"/>
      <c r="N711" s="587"/>
      <c r="O711" s="587"/>
    </row>
    <row r="712">
      <c r="C712" s="139"/>
      <c r="D712" s="139"/>
      <c r="L712" s="587"/>
      <c r="M712" s="587"/>
      <c r="N712" s="587"/>
      <c r="O712" s="587"/>
    </row>
    <row r="713">
      <c r="C713" s="139"/>
      <c r="D713" s="139"/>
      <c r="L713" s="587"/>
      <c r="M713" s="587"/>
      <c r="N713" s="587"/>
      <c r="O713" s="587"/>
    </row>
    <row r="714">
      <c r="C714" s="139"/>
      <c r="D714" s="139"/>
      <c r="L714" s="587"/>
      <c r="M714" s="587"/>
      <c r="N714" s="587"/>
      <c r="O714" s="587"/>
    </row>
    <row r="715">
      <c r="C715" s="139"/>
      <c r="D715" s="139"/>
      <c r="L715" s="587"/>
      <c r="M715" s="587"/>
      <c r="N715" s="587"/>
      <c r="O715" s="587"/>
    </row>
    <row r="716">
      <c r="C716" s="139"/>
      <c r="D716" s="139"/>
      <c r="L716" s="587"/>
      <c r="M716" s="587"/>
      <c r="N716" s="587"/>
      <c r="O716" s="587"/>
    </row>
    <row r="717">
      <c r="C717" s="139"/>
      <c r="D717" s="139"/>
      <c r="L717" s="587"/>
      <c r="M717" s="587"/>
      <c r="N717" s="587"/>
      <c r="O717" s="587"/>
    </row>
    <row r="718">
      <c r="C718" s="139"/>
      <c r="D718" s="139"/>
      <c r="L718" s="587"/>
      <c r="M718" s="587"/>
      <c r="N718" s="587"/>
      <c r="O718" s="587"/>
    </row>
    <row r="719">
      <c r="C719" s="139"/>
      <c r="D719" s="139"/>
      <c r="L719" s="587"/>
      <c r="M719" s="587"/>
      <c r="N719" s="587"/>
      <c r="O719" s="587"/>
    </row>
    <row r="720">
      <c r="C720" s="139"/>
      <c r="D720" s="139"/>
      <c r="L720" s="587"/>
      <c r="M720" s="587"/>
      <c r="N720" s="587"/>
      <c r="O720" s="587"/>
    </row>
    <row r="721">
      <c r="C721" s="139"/>
      <c r="D721" s="139"/>
      <c r="L721" s="587"/>
      <c r="M721" s="587"/>
      <c r="N721" s="587"/>
      <c r="O721" s="587"/>
    </row>
    <row r="722">
      <c r="C722" s="139"/>
      <c r="D722" s="139"/>
      <c r="L722" s="587"/>
      <c r="M722" s="587"/>
      <c r="N722" s="587"/>
      <c r="O722" s="587"/>
    </row>
    <row r="723">
      <c r="C723" s="139"/>
      <c r="D723" s="139"/>
      <c r="L723" s="587"/>
      <c r="M723" s="587"/>
      <c r="N723" s="587"/>
      <c r="O723" s="587"/>
    </row>
    <row r="724">
      <c r="C724" s="139"/>
      <c r="D724" s="139"/>
      <c r="L724" s="587"/>
      <c r="M724" s="587"/>
      <c r="N724" s="587"/>
      <c r="O724" s="587"/>
    </row>
    <row r="725">
      <c r="C725" s="139"/>
      <c r="D725" s="139"/>
      <c r="L725" s="587"/>
      <c r="M725" s="587"/>
      <c r="N725" s="587"/>
      <c r="O725" s="587"/>
    </row>
    <row r="726">
      <c r="C726" s="139"/>
      <c r="D726" s="139"/>
      <c r="L726" s="587"/>
      <c r="M726" s="587"/>
      <c r="N726" s="587"/>
      <c r="O726" s="587"/>
    </row>
    <row r="727">
      <c r="C727" s="139"/>
      <c r="D727" s="139"/>
      <c r="L727" s="587"/>
      <c r="M727" s="587"/>
      <c r="N727" s="587"/>
      <c r="O727" s="587"/>
    </row>
    <row r="728">
      <c r="C728" s="139"/>
      <c r="D728" s="139"/>
      <c r="L728" s="587"/>
      <c r="M728" s="587"/>
      <c r="N728" s="587"/>
      <c r="O728" s="587"/>
    </row>
    <row r="729">
      <c r="C729" s="139"/>
      <c r="D729" s="139"/>
      <c r="L729" s="587"/>
      <c r="M729" s="587"/>
      <c r="N729" s="587"/>
      <c r="O729" s="587"/>
    </row>
    <row r="730">
      <c r="C730" s="139"/>
      <c r="D730" s="139"/>
      <c r="L730" s="587"/>
      <c r="M730" s="587"/>
      <c r="N730" s="587"/>
      <c r="O730" s="587"/>
    </row>
    <row r="731">
      <c r="C731" s="139"/>
      <c r="D731" s="139"/>
      <c r="L731" s="587"/>
      <c r="M731" s="587"/>
      <c r="N731" s="587"/>
      <c r="O731" s="587"/>
    </row>
    <row r="732">
      <c r="C732" s="139"/>
      <c r="D732" s="139"/>
      <c r="L732" s="587"/>
      <c r="M732" s="587"/>
      <c r="N732" s="587"/>
      <c r="O732" s="587"/>
    </row>
    <row r="733">
      <c r="C733" s="139"/>
      <c r="D733" s="139"/>
      <c r="L733" s="587"/>
      <c r="M733" s="587"/>
      <c r="N733" s="587"/>
      <c r="O733" s="587"/>
    </row>
    <row r="734">
      <c r="C734" s="139"/>
      <c r="D734" s="139"/>
      <c r="L734" s="587"/>
      <c r="M734" s="587"/>
      <c r="N734" s="587"/>
      <c r="O734" s="587"/>
    </row>
    <row r="735">
      <c r="C735" s="139"/>
      <c r="D735" s="139"/>
      <c r="L735" s="587"/>
      <c r="M735" s="587"/>
      <c r="N735" s="587"/>
      <c r="O735" s="587"/>
    </row>
    <row r="736">
      <c r="C736" s="139"/>
      <c r="D736" s="139"/>
      <c r="L736" s="587"/>
      <c r="M736" s="587"/>
      <c r="N736" s="587"/>
      <c r="O736" s="587"/>
    </row>
    <row r="737">
      <c r="C737" s="139"/>
      <c r="D737" s="139"/>
      <c r="L737" s="587"/>
      <c r="M737" s="587"/>
      <c r="N737" s="587"/>
      <c r="O737" s="587"/>
    </row>
    <row r="738">
      <c r="C738" s="139"/>
      <c r="D738" s="139"/>
      <c r="L738" s="587"/>
      <c r="M738" s="587"/>
      <c r="N738" s="587"/>
      <c r="O738" s="587"/>
    </row>
    <row r="739">
      <c r="C739" s="139"/>
      <c r="D739" s="139"/>
      <c r="L739" s="587"/>
      <c r="M739" s="587"/>
      <c r="N739" s="587"/>
      <c r="O739" s="587"/>
    </row>
    <row r="740">
      <c r="C740" s="139"/>
      <c r="D740" s="139"/>
      <c r="L740" s="587"/>
      <c r="M740" s="587"/>
      <c r="N740" s="587"/>
      <c r="O740" s="587"/>
    </row>
    <row r="741">
      <c r="C741" s="139"/>
      <c r="D741" s="139"/>
      <c r="L741" s="587"/>
      <c r="M741" s="587"/>
      <c r="N741" s="587"/>
      <c r="O741" s="587"/>
    </row>
    <row r="742">
      <c r="C742" s="139"/>
      <c r="D742" s="139"/>
      <c r="L742" s="587"/>
      <c r="M742" s="587"/>
      <c r="N742" s="587"/>
      <c r="O742" s="587"/>
    </row>
    <row r="743">
      <c r="C743" s="139"/>
      <c r="D743" s="139"/>
      <c r="L743" s="587"/>
      <c r="M743" s="587"/>
      <c r="N743" s="587"/>
      <c r="O743" s="587"/>
    </row>
    <row r="744">
      <c r="C744" s="139"/>
      <c r="D744" s="139"/>
      <c r="L744" s="587"/>
      <c r="M744" s="587"/>
      <c r="N744" s="587"/>
      <c r="O744" s="587"/>
    </row>
    <row r="745">
      <c r="C745" s="139"/>
      <c r="D745" s="139"/>
      <c r="L745" s="587"/>
      <c r="M745" s="587"/>
      <c r="N745" s="587"/>
      <c r="O745" s="587"/>
    </row>
    <row r="746">
      <c r="C746" s="139"/>
      <c r="D746" s="139"/>
      <c r="L746" s="587"/>
      <c r="M746" s="587"/>
      <c r="N746" s="587"/>
      <c r="O746" s="587"/>
    </row>
    <row r="747">
      <c r="C747" s="139"/>
      <c r="D747" s="139"/>
      <c r="L747" s="587"/>
      <c r="M747" s="587"/>
      <c r="N747" s="587"/>
      <c r="O747" s="587"/>
    </row>
    <row r="748">
      <c r="C748" s="139"/>
      <c r="D748" s="139"/>
      <c r="L748" s="587"/>
      <c r="M748" s="587"/>
      <c r="N748" s="587"/>
      <c r="O748" s="587"/>
    </row>
    <row r="749">
      <c r="C749" s="139"/>
      <c r="D749" s="139"/>
      <c r="L749" s="587"/>
      <c r="M749" s="587"/>
      <c r="N749" s="587"/>
      <c r="O749" s="587"/>
    </row>
    <row r="750">
      <c r="C750" s="139"/>
      <c r="D750" s="139"/>
      <c r="L750" s="587"/>
      <c r="M750" s="587"/>
      <c r="N750" s="587"/>
      <c r="O750" s="587"/>
    </row>
    <row r="751">
      <c r="C751" s="139"/>
      <c r="D751" s="139"/>
      <c r="L751" s="587"/>
      <c r="M751" s="587"/>
      <c r="N751" s="587"/>
      <c r="O751" s="587"/>
    </row>
    <row r="752">
      <c r="C752" s="139"/>
      <c r="D752" s="139"/>
      <c r="L752" s="587"/>
      <c r="M752" s="587"/>
      <c r="N752" s="587"/>
      <c r="O752" s="587"/>
    </row>
    <row r="753">
      <c r="C753" s="139"/>
      <c r="D753" s="139"/>
      <c r="L753" s="587"/>
      <c r="M753" s="587"/>
      <c r="N753" s="587"/>
      <c r="O753" s="587"/>
    </row>
    <row r="754">
      <c r="C754" s="139"/>
      <c r="D754" s="139"/>
      <c r="L754" s="587"/>
      <c r="M754" s="587"/>
      <c r="N754" s="587"/>
      <c r="O754" s="587"/>
    </row>
    <row r="755">
      <c r="C755" s="139"/>
      <c r="D755" s="139"/>
      <c r="L755" s="587"/>
      <c r="M755" s="587"/>
      <c r="N755" s="587"/>
      <c r="O755" s="587"/>
    </row>
    <row r="756">
      <c r="C756" s="139"/>
      <c r="D756" s="139"/>
      <c r="L756" s="587"/>
      <c r="M756" s="587"/>
      <c r="N756" s="587"/>
      <c r="O756" s="587"/>
    </row>
    <row r="757">
      <c r="C757" s="139"/>
      <c r="D757" s="139"/>
      <c r="L757" s="587"/>
      <c r="M757" s="587"/>
      <c r="N757" s="587"/>
      <c r="O757" s="587"/>
    </row>
    <row r="758">
      <c r="C758" s="139"/>
      <c r="D758" s="139"/>
      <c r="L758" s="587"/>
      <c r="M758" s="587"/>
      <c r="N758" s="587"/>
      <c r="O758" s="587"/>
    </row>
    <row r="759">
      <c r="C759" s="139"/>
      <c r="D759" s="139"/>
      <c r="L759" s="587"/>
      <c r="M759" s="587"/>
      <c r="N759" s="587"/>
      <c r="O759" s="587"/>
    </row>
    <row r="760">
      <c r="C760" s="139"/>
      <c r="D760" s="139"/>
      <c r="L760" s="587"/>
      <c r="M760" s="587"/>
      <c r="N760" s="587"/>
      <c r="O760" s="587"/>
    </row>
    <row r="761">
      <c r="C761" s="139"/>
      <c r="D761" s="139"/>
      <c r="L761" s="587"/>
      <c r="M761" s="587"/>
      <c r="N761" s="587"/>
      <c r="O761" s="587"/>
    </row>
    <row r="762">
      <c r="C762" s="139"/>
      <c r="D762" s="139"/>
      <c r="L762" s="587"/>
      <c r="M762" s="587"/>
      <c r="N762" s="587"/>
      <c r="O762" s="587"/>
    </row>
    <row r="763">
      <c r="C763" s="139"/>
      <c r="D763" s="139"/>
      <c r="L763" s="587"/>
      <c r="M763" s="587"/>
      <c r="N763" s="587"/>
      <c r="O763" s="587"/>
    </row>
    <row r="764">
      <c r="C764" s="139"/>
      <c r="D764" s="139"/>
      <c r="L764" s="587"/>
      <c r="M764" s="587"/>
      <c r="N764" s="587"/>
      <c r="O764" s="587"/>
    </row>
    <row r="765">
      <c r="C765" s="139"/>
      <c r="D765" s="139"/>
      <c r="L765" s="587"/>
      <c r="M765" s="587"/>
      <c r="N765" s="587"/>
      <c r="O765" s="587"/>
    </row>
    <row r="766">
      <c r="C766" s="139"/>
      <c r="D766" s="139"/>
      <c r="L766" s="587"/>
      <c r="M766" s="587"/>
      <c r="N766" s="587"/>
      <c r="O766" s="587"/>
    </row>
    <row r="767">
      <c r="C767" s="139"/>
      <c r="D767" s="139"/>
      <c r="L767" s="587"/>
      <c r="M767" s="587"/>
      <c r="N767" s="587"/>
      <c r="O767" s="587"/>
    </row>
    <row r="768">
      <c r="C768" s="139"/>
      <c r="D768" s="139"/>
      <c r="L768" s="587"/>
      <c r="M768" s="587"/>
      <c r="N768" s="587"/>
      <c r="O768" s="587"/>
    </row>
    <row r="769">
      <c r="C769" s="139"/>
      <c r="D769" s="139"/>
      <c r="L769" s="587"/>
      <c r="M769" s="587"/>
      <c r="N769" s="587"/>
      <c r="O769" s="587"/>
    </row>
    <row r="770">
      <c r="C770" s="139"/>
      <c r="D770" s="139"/>
      <c r="L770" s="587"/>
      <c r="M770" s="587"/>
      <c r="N770" s="587"/>
      <c r="O770" s="587"/>
    </row>
    <row r="771">
      <c r="C771" s="139"/>
      <c r="D771" s="139"/>
      <c r="L771" s="587"/>
      <c r="M771" s="587"/>
      <c r="N771" s="587"/>
      <c r="O771" s="587"/>
    </row>
    <row r="772">
      <c r="C772" s="139"/>
      <c r="D772" s="139"/>
      <c r="L772" s="587"/>
      <c r="M772" s="587"/>
      <c r="N772" s="587"/>
      <c r="O772" s="587"/>
    </row>
    <row r="773">
      <c r="C773" s="139"/>
      <c r="D773" s="139"/>
      <c r="L773" s="587"/>
      <c r="M773" s="587"/>
      <c r="N773" s="587"/>
      <c r="O773" s="587"/>
    </row>
    <row r="774">
      <c r="C774" s="139"/>
      <c r="D774" s="139"/>
      <c r="L774" s="587"/>
      <c r="M774" s="587"/>
      <c r="N774" s="587"/>
      <c r="O774" s="587"/>
    </row>
    <row r="775">
      <c r="C775" s="139"/>
      <c r="D775" s="139"/>
      <c r="L775" s="587"/>
      <c r="M775" s="587"/>
      <c r="N775" s="587"/>
      <c r="O775" s="587"/>
    </row>
    <row r="776">
      <c r="C776" s="139"/>
      <c r="D776" s="139"/>
      <c r="L776" s="587"/>
      <c r="M776" s="587"/>
      <c r="N776" s="587"/>
      <c r="O776" s="587"/>
    </row>
    <row r="777">
      <c r="C777" s="139"/>
      <c r="D777" s="139"/>
      <c r="L777" s="587"/>
      <c r="M777" s="587"/>
      <c r="N777" s="587"/>
      <c r="O777" s="587"/>
    </row>
    <row r="778">
      <c r="C778" s="139"/>
      <c r="D778" s="139"/>
      <c r="L778" s="587"/>
      <c r="M778" s="587"/>
      <c r="N778" s="587"/>
      <c r="O778" s="587"/>
    </row>
    <row r="779">
      <c r="C779" s="139"/>
      <c r="D779" s="139"/>
      <c r="L779" s="587"/>
      <c r="M779" s="587"/>
      <c r="N779" s="587"/>
      <c r="O779" s="587"/>
    </row>
    <row r="780">
      <c r="C780" s="139"/>
      <c r="D780" s="139"/>
      <c r="L780" s="587"/>
      <c r="M780" s="587"/>
      <c r="N780" s="587"/>
      <c r="O780" s="587"/>
    </row>
    <row r="781">
      <c r="C781" s="139"/>
      <c r="D781" s="139"/>
      <c r="L781" s="587"/>
      <c r="M781" s="587"/>
      <c r="N781" s="587"/>
      <c r="O781" s="587"/>
    </row>
    <row r="782">
      <c r="C782" s="139"/>
      <c r="D782" s="139"/>
      <c r="L782" s="587"/>
      <c r="M782" s="587"/>
      <c r="N782" s="587"/>
      <c r="O782" s="587"/>
    </row>
    <row r="783">
      <c r="C783" s="139"/>
      <c r="D783" s="139"/>
      <c r="L783" s="587"/>
      <c r="M783" s="587"/>
      <c r="N783" s="587"/>
      <c r="O783" s="587"/>
    </row>
    <row r="784">
      <c r="C784" s="139"/>
      <c r="D784" s="139"/>
      <c r="L784" s="587"/>
      <c r="M784" s="587"/>
      <c r="N784" s="587"/>
      <c r="O784" s="587"/>
    </row>
    <row r="785">
      <c r="C785" s="139"/>
      <c r="D785" s="139"/>
      <c r="L785" s="587"/>
      <c r="M785" s="587"/>
      <c r="N785" s="587"/>
      <c r="O785" s="587"/>
    </row>
    <row r="786">
      <c r="C786" s="139"/>
      <c r="D786" s="139"/>
      <c r="L786" s="587"/>
      <c r="M786" s="587"/>
      <c r="N786" s="587"/>
      <c r="O786" s="587"/>
    </row>
    <row r="787">
      <c r="C787" s="139"/>
      <c r="D787" s="139"/>
      <c r="L787" s="587"/>
      <c r="M787" s="587"/>
      <c r="N787" s="587"/>
      <c r="O787" s="587"/>
    </row>
    <row r="788">
      <c r="C788" s="139"/>
      <c r="D788" s="139"/>
      <c r="L788" s="587"/>
      <c r="M788" s="587"/>
      <c r="N788" s="587"/>
      <c r="O788" s="587"/>
    </row>
    <row r="789">
      <c r="C789" s="139"/>
      <c r="D789" s="139"/>
      <c r="L789" s="587"/>
      <c r="M789" s="587"/>
      <c r="N789" s="587"/>
      <c r="O789" s="587"/>
    </row>
    <row r="790">
      <c r="C790" s="139"/>
      <c r="D790" s="139"/>
      <c r="L790" s="587"/>
      <c r="M790" s="587"/>
      <c r="N790" s="587"/>
      <c r="O790" s="587"/>
    </row>
    <row r="791">
      <c r="C791" s="139"/>
      <c r="D791" s="139"/>
      <c r="L791" s="587"/>
      <c r="M791" s="587"/>
      <c r="N791" s="587"/>
      <c r="O791" s="587"/>
    </row>
    <row r="792">
      <c r="C792" s="139"/>
      <c r="D792" s="139"/>
      <c r="L792" s="587"/>
      <c r="M792" s="587"/>
      <c r="N792" s="587"/>
      <c r="O792" s="587"/>
    </row>
    <row r="793">
      <c r="C793" s="139"/>
      <c r="D793" s="139"/>
      <c r="L793" s="587"/>
      <c r="M793" s="587"/>
      <c r="N793" s="587"/>
      <c r="O793" s="587"/>
    </row>
    <row r="794">
      <c r="C794" s="139"/>
      <c r="D794" s="139"/>
      <c r="L794" s="587"/>
      <c r="M794" s="587"/>
      <c r="N794" s="587"/>
      <c r="O794" s="587"/>
    </row>
    <row r="795">
      <c r="C795" s="139"/>
      <c r="D795" s="139"/>
      <c r="L795" s="587"/>
      <c r="M795" s="587"/>
      <c r="N795" s="587"/>
      <c r="O795" s="587"/>
    </row>
    <row r="796">
      <c r="C796" s="139"/>
      <c r="D796" s="139"/>
      <c r="L796" s="587"/>
      <c r="M796" s="587"/>
      <c r="N796" s="587"/>
      <c r="O796" s="587"/>
    </row>
    <row r="797">
      <c r="C797" s="139"/>
      <c r="D797" s="139"/>
      <c r="L797" s="587"/>
      <c r="M797" s="587"/>
      <c r="N797" s="587"/>
      <c r="O797" s="587"/>
    </row>
    <row r="798">
      <c r="C798" s="139"/>
      <c r="D798" s="139"/>
      <c r="L798" s="587"/>
      <c r="M798" s="587"/>
      <c r="N798" s="587"/>
      <c r="O798" s="587"/>
    </row>
    <row r="799">
      <c r="C799" s="139"/>
      <c r="D799" s="139"/>
      <c r="L799" s="587"/>
      <c r="M799" s="587"/>
      <c r="N799" s="587"/>
      <c r="O799" s="587"/>
    </row>
    <row r="800">
      <c r="C800" s="139"/>
      <c r="D800" s="139"/>
      <c r="L800" s="587"/>
      <c r="M800" s="587"/>
      <c r="N800" s="587"/>
      <c r="O800" s="587"/>
    </row>
    <row r="801">
      <c r="C801" s="139"/>
      <c r="D801" s="139"/>
      <c r="L801" s="587"/>
      <c r="M801" s="587"/>
      <c r="N801" s="587"/>
      <c r="O801" s="587"/>
    </row>
    <row r="802">
      <c r="C802" s="139"/>
      <c r="D802" s="139"/>
      <c r="L802" s="587"/>
      <c r="M802" s="587"/>
      <c r="N802" s="587"/>
      <c r="O802" s="587"/>
    </row>
    <row r="803">
      <c r="C803" s="139"/>
      <c r="D803" s="139"/>
      <c r="L803" s="587"/>
      <c r="M803" s="587"/>
      <c r="N803" s="587"/>
      <c r="O803" s="587"/>
    </row>
    <row r="804">
      <c r="C804" s="139"/>
      <c r="D804" s="139"/>
      <c r="L804" s="587"/>
      <c r="M804" s="587"/>
      <c r="N804" s="587"/>
      <c r="O804" s="587"/>
    </row>
    <row r="805">
      <c r="C805" s="139"/>
      <c r="D805" s="139"/>
      <c r="L805" s="587"/>
      <c r="M805" s="587"/>
      <c r="N805" s="587"/>
      <c r="O805" s="587"/>
    </row>
    <row r="806">
      <c r="C806" s="139"/>
      <c r="D806" s="139"/>
      <c r="L806" s="587"/>
      <c r="M806" s="587"/>
      <c r="N806" s="587"/>
      <c r="O806" s="587"/>
    </row>
    <row r="807">
      <c r="C807" s="139"/>
      <c r="D807" s="139"/>
      <c r="L807" s="587"/>
      <c r="M807" s="587"/>
      <c r="N807" s="587"/>
      <c r="O807" s="587"/>
    </row>
    <row r="808">
      <c r="C808" s="139"/>
      <c r="D808" s="139"/>
      <c r="L808" s="587"/>
      <c r="M808" s="587"/>
      <c r="N808" s="587"/>
      <c r="O808" s="587"/>
    </row>
    <row r="809">
      <c r="C809" s="139"/>
      <c r="D809" s="139"/>
      <c r="L809" s="587"/>
      <c r="M809" s="587"/>
      <c r="N809" s="587"/>
      <c r="O809" s="587"/>
    </row>
    <row r="810">
      <c r="C810" s="139"/>
      <c r="D810" s="139"/>
      <c r="L810" s="587"/>
      <c r="M810" s="587"/>
      <c r="N810" s="587"/>
      <c r="O810" s="587"/>
    </row>
    <row r="811">
      <c r="C811" s="139"/>
      <c r="D811" s="139"/>
      <c r="L811" s="587"/>
      <c r="M811" s="587"/>
      <c r="N811" s="587"/>
      <c r="O811" s="587"/>
    </row>
    <row r="812">
      <c r="C812" s="139"/>
      <c r="D812" s="139"/>
      <c r="L812" s="587"/>
      <c r="M812" s="587"/>
      <c r="N812" s="587"/>
      <c r="O812" s="587"/>
    </row>
    <row r="813">
      <c r="C813" s="139"/>
      <c r="D813" s="139"/>
      <c r="L813" s="587"/>
      <c r="M813" s="587"/>
      <c r="N813" s="587"/>
      <c r="O813" s="587"/>
    </row>
    <row r="814">
      <c r="C814" s="139"/>
      <c r="D814" s="139"/>
      <c r="L814" s="587"/>
      <c r="M814" s="587"/>
      <c r="N814" s="587"/>
      <c r="O814" s="587"/>
    </row>
    <row r="815">
      <c r="C815" s="139"/>
      <c r="D815" s="139"/>
      <c r="L815" s="587"/>
      <c r="M815" s="587"/>
      <c r="N815" s="587"/>
      <c r="O815" s="587"/>
    </row>
    <row r="816">
      <c r="C816" s="139"/>
      <c r="D816" s="139"/>
      <c r="L816" s="587"/>
      <c r="M816" s="587"/>
      <c r="N816" s="587"/>
      <c r="O816" s="587"/>
    </row>
    <row r="817">
      <c r="C817" s="139"/>
      <c r="D817" s="139"/>
      <c r="L817" s="587"/>
      <c r="M817" s="587"/>
      <c r="N817" s="587"/>
      <c r="O817" s="587"/>
    </row>
    <row r="818">
      <c r="C818" s="139"/>
      <c r="D818" s="139"/>
      <c r="L818" s="587"/>
      <c r="M818" s="587"/>
      <c r="N818" s="587"/>
      <c r="O818" s="587"/>
    </row>
    <row r="819">
      <c r="C819" s="139"/>
      <c r="D819" s="139"/>
      <c r="L819" s="587"/>
      <c r="M819" s="587"/>
      <c r="N819" s="587"/>
      <c r="O819" s="587"/>
    </row>
    <row r="820">
      <c r="C820" s="139"/>
      <c r="D820" s="139"/>
      <c r="L820" s="587"/>
      <c r="M820" s="587"/>
      <c r="N820" s="587"/>
      <c r="O820" s="587"/>
    </row>
    <row r="821">
      <c r="C821" s="139"/>
      <c r="D821" s="139"/>
      <c r="L821" s="587"/>
      <c r="M821" s="587"/>
      <c r="N821" s="587"/>
      <c r="O821" s="587"/>
    </row>
    <row r="822">
      <c r="C822" s="139"/>
      <c r="D822" s="139"/>
      <c r="L822" s="587"/>
      <c r="M822" s="587"/>
      <c r="N822" s="587"/>
      <c r="O822" s="587"/>
    </row>
    <row r="823">
      <c r="C823" s="139"/>
      <c r="D823" s="139"/>
      <c r="L823" s="587"/>
      <c r="M823" s="587"/>
      <c r="N823" s="587"/>
      <c r="O823" s="587"/>
    </row>
    <row r="824">
      <c r="C824" s="139"/>
      <c r="D824" s="139"/>
      <c r="L824" s="587"/>
      <c r="M824" s="587"/>
      <c r="N824" s="587"/>
      <c r="O824" s="587"/>
    </row>
    <row r="825">
      <c r="C825" s="139"/>
      <c r="D825" s="139"/>
      <c r="L825" s="587"/>
      <c r="M825" s="587"/>
      <c r="N825" s="587"/>
      <c r="O825" s="587"/>
    </row>
    <row r="826">
      <c r="C826" s="139"/>
      <c r="D826" s="139"/>
      <c r="L826" s="587"/>
      <c r="M826" s="587"/>
      <c r="N826" s="587"/>
      <c r="O826" s="587"/>
    </row>
    <row r="827">
      <c r="C827" s="139"/>
      <c r="D827" s="139"/>
      <c r="L827" s="587"/>
      <c r="M827" s="587"/>
      <c r="N827" s="587"/>
      <c r="O827" s="587"/>
    </row>
    <row r="828">
      <c r="C828" s="139"/>
      <c r="D828" s="139"/>
      <c r="L828" s="587"/>
      <c r="M828" s="587"/>
      <c r="N828" s="587"/>
      <c r="O828" s="587"/>
    </row>
    <row r="829">
      <c r="C829" s="139"/>
      <c r="D829" s="139"/>
      <c r="L829" s="587"/>
      <c r="M829" s="587"/>
      <c r="N829" s="587"/>
      <c r="O829" s="587"/>
    </row>
    <row r="830">
      <c r="C830" s="139"/>
      <c r="D830" s="139"/>
      <c r="L830" s="587"/>
      <c r="M830" s="587"/>
      <c r="N830" s="587"/>
      <c r="O830" s="587"/>
    </row>
    <row r="831">
      <c r="C831" s="139"/>
      <c r="D831" s="139"/>
      <c r="L831" s="587"/>
      <c r="M831" s="587"/>
      <c r="N831" s="587"/>
      <c r="O831" s="587"/>
    </row>
    <row r="832">
      <c r="C832" s="139"/>
      <c r="D832" s="139"/>
      <c r="L832" s="587"/>
      <c r="M832" s="587"/>
      <c r="N832" s="587"/>
      <c r="O832" s="587"/>
    </row>
    <row r="833">
      <c r="C833" s="139"/>
      <c r="D833" s="139"/>
      <c r="L833" s="587"/>
      <c r="M833" s="587"/>
      <c r="N833" s="587"/>
      <c r="O833" s="587"/>
    </row>
    <row r="834">
      <c r="C834" s="139"/>
      <c r="D834" s="139"/>
      <c r="L834" s="587"/>
      <c r="M834" s="587"/>
      <c r="N834" s="587"/>
      <c r="O834" s="587"/>
    </row>
    <row r="835">
      <c r="C835" s="139"/>
      <c r="D835" s="139"/>
      <c r="L835" s="587"/>
      <c r="M835" s="587"/>
      <c r="N835" s="587"/>
      <c r="O835" s="587"/>
    </row>
    <row r="836">
      <c r="C836" s="139"/>
      <c r="D836" s="139"/>
      <c r="L836" s="587"/>
      <c r="M836" s="587"/>
      <c r="N836" s="587"/>
      <c r="O836" s="587"/>
    </row>
    <row r="837">
      <c r="C837" s="139"/>
      <c r="D837" s="139"/>
      <c r="L837" s="587"/>
      <c r="M837" s="587"/>
      <c r="N837" s="587"/>
      <c r="O837" s="587"/>
    </row>
    <row r="838">
      <c r="C838" s="139"/>
      <c r="D838" s="139"/>
      <c r="L838" s="587"/>
      <c r="M838" s="587"/>
      <c r="N838" s="587"/>
      <c r="O838" s="587"/>
    </row>
    <row r="839">
      <c r="C839" s="139"/>
      <c r="D839" s="139"/>
      <c r="L839" s="587"/>
      <c r="M839" s="587"/>
      <c r="N839" s="587"/>
      <c r="O839" s="587"/>
    </row>
    <row r="840">
      <c r="C840" s="139"/>
      <c r="D840" s="139"/>
      <c r="L840" s="587"/>
      <c r="M840" s="587"/>
      <c r="N840" s="587"/>
      <c r="O840" s="587"/>
    </row>
    <row r="841">
      <c r="C841" s="139"/>
      <c r="D841" s="139"/>
      <c r="L841" s="587"/>
      <c r="M841" s="587"/>
      <c r="N841" s="587"/>
      <c r="O841" s="587"/>
    </row>
    <row r="842">
      <c r="C842" s="139"/>
      <c r="D842" s="139"/>
      <c r="L842" s="587"/>
      <c r="M842" s="587"/>
      <c r="N842" s="587"/>
      <c r="O842" s="587"/>
    </row>
    <row r="843">
      <c r="C843" s="139"/>
      <c r="D843" s="139"/>
      <c r="L843" s="587"/>
      <c r="M843" s="587"/>
      <c r="N843" s="587"/>
      <c r="O843" s="587"/>
    </row>
    <row r="844">
      <c r="C844" s="139"/>
      <c r="D844" s="139"/>
      <c r="L844" s="587"/>
      <c r="M844" s="587"/>
      <c r="N844" s="587"/>
      <c r="O844" s="587"/>
    </row>
    <row r="845">
      <c r="C845" s="139"/>
      <c r="D845" s="139"/>
      <c r="L845" s="587"/>
      <c r="M845" s="587"/>
      <c r="N845" s="587"/>
      <c r="O845" s="587"/>
    </row>
    <row r="846">
      <c r="C846" s="139"/>
      <c r="D846" s="139"/>
      <c r="L846" s="587"/>
      <c r="M846" s="587"/>
      <c r="N846" s="587"/>
      <c r="O846" s="587"/>
    </row>
    <row r="847">
      <c r="C847" s="139"/>
      <c r="D847" s="139"/>
      <c r="L847" s="587"/>
      <c r="M847" s="587"/>
      <c r="N847" s="587"/>
      <c r="O847" s="587"/>
    </row>
    <row r="848">
      <c r="C848" s="139"/>
      <c r="D848" s="139"/>
      <c r="L848" s="587"/>
      <c r="M848" s="587"/>
      <c r="N848" s="587"/>
      <c r="O848" s="587"/>
    </row>
    <row r="849">
      <c r="C849" s="139"/>
      <c r="D849" s="139"/>
      <c r="L849" s="587"/>
      <c r="M849" s="587"/>
      <c r="N849" s="587"/>
      <c r="O849" s="587"/>
    </row>
    <row r="850">
      <c r="C850" s="139"/>
      <c r="D850" s="139"/>
      <c r="L850" s="587"/>
      <c r="M850" s="587"/>
      <c r="N850" s="587"/>
      <c r="O850" s="587"/>
    </row>
    <row r="851">
      <c r="C851" s="139"/>
      <c r="D851" s="139"/>
      <c r="L851" s="587"/>
      <c r="M851" s="587"/>
      <c r="N851" s="587"/>
      <c r="O851" s="587"/>
    </row>
    <row r="852">
      <c r="C852" s="139"/>
      <c r="D852" s="139"/>
      <c r="L852" s="587"/>
      <c r="M852" s="587"/>
      <c r="N852" s="587"/>
      <c r="O852" s="587"/>
    </row>
    <row r="853">
      <c r="C853" s="139"/>
      <c r="D853" s="139"/>
      <c r="L853" s="587"/>
      <c r="M853" s="587"/>
      <c r="N853" s="587"/>
      <c r="O853" s="587"/>
    </row>
    <row r="854">
      <c r="C854" s="139"/>
      <c r="D854" s="139"/>
      <c r="L854" s="587"/>
      <c r="M854" s="587"/>
      <c r="N854" s="587"/>
      <c r="O854" s="587"/>
    </row>
    <row r="855">
      <c r="C855" s="139"/>
      <c r="D855" s="139"/>
      <c r="L855" s="587"/>
      <c r="M855" s="587"/>
      <c r="N855" s="587"/>
      <c r="O855" s="587"/>
    </row>
    <row r="856">
      <c r="C856" s="139"/>
      <c r="D856" s="139"/>
      <c r="L856" s="587"/>
      <c r="M856" s="587"/>
      <c r="N856" s="587"/>
      <c r="O856" s="587"/>
    </row>
    <row r="857">
      <c r="C857" s="139"/>
      <c r="D857" s="139"/>
      <c r="L857" s="587"/>
      <c r="M857" s="587"/>
      <c r="N857" s="587"/>
      <c r="O857" s="587"/>
    </row>
    <row r="858">
      <c r="C858" s="139"/>
      <c r="D858" s="139"/>
      <c r="L858" s="587"/>
      <c r="M858" s="587"/>
      <c r="N858" s="587"/>
      <c r="O858" s="587"/>
    </row>
    <row r="859">
      <c r="C859" s="139"/>
      <c r="D859" s="139"/>
      <c r="L859" s="587"/>
      <c r="M859" s="587"/>
      <c r="N859" s="587"/>
      <c r="O859" s="587"/>
    </row>
    <row r="860">
      <c r="C860" s="139"/>
      <c r="D860" s="139"/>
      <c r="L860" s="587"/>
      <c r="M860" s="587"/>
      <c r="N860" s="587"/>
      <c r="O860" s="587"/>
    </row>
    <row r="861">
      <c r="C861" s="139"/>
      <c r="D861" s="139"/>
      <c r="L861" s="587"/>
      <c r="M861" s="587"/>
      <c r="N861" s="587"/>
      <c r="O861" s="587"/>
    </row>
    <row r="862">
      <c r="C862" s="139"/>
      <c r="D862" s="139"/>
      <c r="L862" s="587"/>
      <c r="M862" s="587"/>
      <c r="N862" s="587"/>
      <c r="O862" s="587"/>
    </row>
    <row r="863">
      <c r="C863" s="139"/>
      <c r="D863" s="139"/>
      <c r="L863" s="587"/>
      <c r="M863" s="587"/>
      <c r="N863" s="587"/>
      <c r="O863" s="587"/>
    </row>
    <row r="864">
      <c r="C864" s="139"/>
      <c r="D864" s="139"/>
      <c r="L864" s="587"/>
      <c r="M864" s="587"/>
      <c r="N864" s="587"/>
      <c r="O864" s="587"/>
    </row>
    <row r="865">
      <c r="C865" s="139"/>
      <c r="D865" s="139"/>
      <c r="L865" s="587"/>
      <c r="M865" s="587"/>
      <c r="N865" s="587"/>
      <c r="O865" s="587"/>
    </row>
    <row r="866">
      <c r="C866" s="139"/>
      <c r="D866" s="139"/>
      <c r="L866" s="587"/>
      <c r="M866" s="587"/>
      <c r="N866" s="587"/>
      <c r="O866" s="587"/>
    </row>
    <row r="867">
      <c r="C867" s="139"/>
      <c r="D867" s="139"/>
      <c r="L867" s="587"/>
      <c r="M867" s="587"/>
      <c r="N867" s="587"/>
      <c r="O867" s="587"/>
    </row>
    <row r="868">
      <c r="C868" s="139"/>
      <c r="D868" s="139"/>
      <c r="L868" s="587"/>
      <c r="M868" s="587"/>
      <c r="N868" s="587"/>
      <c r="O868" s="587"/>
    </row>
    <row r="869">
      <c r="C869" s="139"/>
      <c r="D869" s="139"/>
      <c r="L869" s="587"/>
      <c r="M869" s="587"/>
      <c r="N869" s="587"/>
      <c r="O869" s="587"/>
    </row>
    <row r="870">
      <c r="C870" s="139"/>
      <c r="D870" s="139"/>
      <c r="L870" s="587"/>
      <c r="M870" s="587"/>
      <c r="N870" s="587"/>
      <c r="O870" s="587"/>
    </row>
    <row r="871">
      <c r="C871" s="139"/>
      <c r="D871" s="139"/>
      <c r="L871" s="587"/>
      <c r="M871" s="587"/>
      <c r="N871" s="587"/>
      <c r="O871" s="587"/>
    </row>
    <row r="872">
      <c r="C872" s="139"/>
      <c r="D872" s="139"/>
      <c r="L872" s="587"/>
      <c r="M872" s="587"/>
      <c r="N872" s="587"/>
      <c r="O872" s="587"/>
    </row>
    <row r="873">
      <c r="C873" s="139"/>
      <c r="D873" s="139"/>
      <c r="L873" s="587"/>
      <c r="M873" s="587"/>
      <c r="N873" s="587"/>
      <c r="O873" s="587"/>
    </row>
    <row r="874">
      <c r="C874" s="139"/>
      <c r="D874" s="139"/>
      <c r="L874" s="587"/>
      <c r="M874" s="587"/>
      <c r="N874" s="587"/>
      <c r="O874" s="587"/>
    </row>
    <row r="875">
      <c r="C875" s="139"/>
      <c r="D875" s="139"/>
      <c r="L875" s="587"/>
      <c r="M875" s="587"/>
      <c r="N875" s="587"/>
      <c r="O875" s="587"/>
    </row>
    <row r="876">
      <c r="C876" s="139"/>
      <c r="D876" s="139"/>
      <c r="L876" s="587"/>
      <c r="M876" s="587"/>
      <c r="N876" s="587"/>
      <c r="O876" s="587"/>
    </row>
    <row r="877">
      <c r="C877" s="139"/>
      <c r="D877" s="139"/>
      <c r="L877" s="587"/>
      <c r="M877" s="587"/>
      <c r="N877" s="587"/>
      <c r="O877" s="587"/>
    </row>
    <row r="878">
      <c r="C878" s="139"/>
      <c r="D878" s="139"/>
      <c r="L878" s="587"/>
      <c r="M878" s="587"/>
      <c r="N878" s="587"/>
      <c r="O878" s="587"/>
    </row>
    <row r="879">
      <c r="C879" s="139"/>
      <c r="D879" s="139"/>
      <c r="L879" s="587"/>
      <c r="M879" s="587"/>
      <c r="N879" s="587"/>
      <c r="O879" s="587"/>
    </row>
    <row r="880">
      <c r="C880" s="139"/>
      <c r="D880" s="139"/>
      <c r="L880" s="587"/>
      <c r="M880" s="587"/>
      <c r="N880" s="587"/>
      <c r="O880" s="587"/>
    </row>
    <row r="881">
      <c r="C881" s="139"/>
      <c r="D881" s="139"/>
      <c r="L881" s="587"/>
      <c r="M881" s="587"/>
      <c r="N881" s="587"/>
      <c r="O881" s="587"/>
    </row>
    <row r="882">
      <c r="C882" s="139"/>
      <c r="D882" s="139"/>
      <c r="L882" s="587"/>
      <c r="M882" s="587"/>
      <c r="N882" s="587"/>
      <c r="O882" s="587"/>
    </row>
    <row r="883">
      <c r="C883" s="139"/>
      <c r="D883" s="139"/>
      <c r="L883" s="587"/>
      <c r="M883" s="587"/>
      <c r="N883" s="587"/>
      <c r="O883" s="587"/>
    </row>
    <row r="884">
      <c r="C884" s="139"/>
      <c r="D884" s="139"/>
      <c r="L884" s="587"/>
      <c r="M884" s="587"/>
      <c r="N884" s="587"/>
      <c r="O884" s="587"/>
    </row>
    <row r="885">
      <c r="C885" s="139"/>
      <c r="D885" s="139"/>
      <c r="L885" s="587"/>
      <c r="M885" s="587"/>
      <c r="N885" s="587"/>
      <c r="O885" s="587"/>
    </row>
    <row r="886">
      <c r="C886" s="139"/>
      <c r="D886" s="139"/>
      <c r="L886" s="587"/>
      <c r="M886" s="587"/>
      <c r="N886" s="587"/>
      <c r="O886" s="587"/>
    </row>
    <row r="887">
      <c r="C887" s="139"/>
      <c r="D887" s="139"/>
      <c r="L887" s="587"/>
      <c r="M887" s="587"/>
      <c r="N887" s="587"/>
      <c r="O887" s="587"/>
    </row>
    <row r="888">
      <c r="C888" s="139"/>
      <c r="D888" s="139"/>
      <c r="L888" s="587"/>
      <c r="M888" s="587"/>
      <c r="N888" s="587"/>
      <c r="O888" s="587"/>
    </row>
    <row r="889">
      <c r="C889" s="139"/>
      <c r="D889" s="139"/>
      <c r="L889" s="587"/>
      <c r="M889" s="587"/>
      <c r="N889" s="587"/>
      <c r="O889" s="587"/>
    </row>
    <row r="890">
      <c r="C890" s="139"/>
      <c r="D890" s="139"/>
      <c r="L890" s="587"/>
      <c r="M890" s="587"/>
      <c r="N890" s="587"/>
      <c r="O890" s="587"/>
    </row>
    <row r="891">
      <c r="C891" s="139"/>
      <c r="D891" s="139"/>
      <c r="L891" s="587"/>
      <c r="M891" s="587"/>
      <c r="N891" s="587"/>
      <c r="O891" s="587"/>
    </row>
    <row r="892">
      <c r="C892" s="139"/>
      <c r="D892" s="139"/>
      <c r="L892" s="587"/>
      <c r="M892" s="587"/>
      <c r="N892" s="587"/>
      <c r="O892" s="587"/>
    </row>
    <row r="893">
      <c r="C893" s="139"/>
      <c r="D893" s="139"/>
      <c r="L893" s="587"/>
      <c r="M893" s="587"/>
      <c r="N893" s="587"/>
      <c r="O893" s="587"/>
    </row>
    <row r="894">
      <c r="C894" s="139"/>
      <c r="D894" s="139"/>
      <c r="L894" s="587"/>
      <c r="M894" s="587"/>
      <c r="N894" s="587"/>
      <c r="O894" s="587"/>
    </row>
    <row r="895">
      <c r="C895" s="139"/>
      <c r="D895" s="139"/>
      <c r="L895" s="587"/>
      <c r="M895" s="587"/>
      <c r="N895" s="587"/>
      <c r="O895" s="587"/>
    </row>
    <row r="896">
      <c r="C896" s="139"/>
      <c r="D896" s="139"/>
      <c r="L896" s="587"/>
      <c r="M896" s="587"/>
      <c r="N896" s="587"/>
      <c r="O896" s="587"/>
    </row>
    <row r="897">
      <c r="C897" s="139"/>
      <c r="D897" s="139"/>
      <c r="L897" s="587"/>
      <c r="M897" s="587"/>
      <c r="N897" s="587"/>
      <c r="O897" s="587"/>
    </row>
    <row r="898">
      <c r="C898" s="139"/>
      <c r="D898" s="139"/>
      <c r="L898" s="587"/>
      <c r="M898" s="587"/>
      <c r="N898" s="587"/>
      <c r="O898" s="587"/>
    </row>
    <row r="899">
      <c r="C899" s="139"/>
      <c r="D899" s="139"/>
      <c r="L899" s="587"/>
      <c r="M899" s="587"/>
      <c r="N899" s="587"/>
      <c r="O899" s="587"/>
    </row>
    <row r="900">
      <c r="C900" s="139"/>
      <c r="D900" s="139"/>
      <c r="L900" s="587"/>
      <c r="M900" s="587"/>
      <c r="N900" s="587"/>
      <c r="O900" s="587"/>
    </row>
    <row r="901">
      <c r="C901" s="139"/>
      <c r="D901" s="139"/>
      <c r="L901" s="587"/>
      <c r="M901" s="587"/>
      <c r="N901" s="587"/>
      <c r="O901" s="587"/>
    </row>
    <row r="902">
      <c r="C902" s="139"/>
      <c r="D902" s="139"/>
      <c r="L902" s="587"/>
      <c r="M902" s="587"/>
      <c r="N902" s="587"/>
      <c r="O902" s="587"/>
    </row>
    <row r="903">
      <c r="C903" s="139"/>
      <c r="D903" s="139"/>
      <c r="L903" s="587"/>
      <c r="M903" s="587"/>
      <c r="N903" s="587"/>
      <c r="O903" s="587"/>
    </row>
    <row r="904">
      <c r="C904" s="139"/>
      <c r="D904" s="139"/>
      <c r="L904" s="587"/>
      <c r="M904" s="587"/>
      <c r="N904" s="587"/>
      <c r="O904" s="587"/>
    </row>
    <row r="905">
      <c r="C905" s="139"/>
      <c r="D905" s="139"/>
      <c r="L905" s="587"/>
      <c r="M905" s="587"/>
      <c r="N905" s="587"/>
      <c r="O905" s="587"/>
    </row>
    <row r="906">
      <c r="C906" s="139"/>
      <c r="D906" s="139"/>
      <c r="L906" s="587"/>
      <c r="M906" s="587"/>
      <c r="N906" s="587"/>
      <c r="O906" s="587"/>
    </row>
    <row r="907">
      <c r="C907" s="139"/>
      <c r="D907" s="139"/>
      <c r="L907" s="587"/>
      <c r="M907" s="587"/>
      <c r="N907" s="587"/>
      <c r="O907" s="587"/>
    </row>
    <row r="908">
      <c r="C908" s="139"/>
      <c r="D908" s="139"/>
      <c r="L908" s="587"/>
      <c r="M908" s="587"/>
      <c r="N908" s="587"/>
      <c r="O908" s="587"/>
    </row>
    <row r="909">
      <c r="C909" s="139"/>
      <c r="D909" s="139"/>
      <c r="L909" s="587"/>
      <c r="M909" s="587"/>
      <c r="N909" s="587"/>
      <c r="O909" s="587"/>
    </row>
    <row r="910">
      <c r="C910" s="139"/>
      <c r="D910" s="139"/>
      <c r="L910" s="587"/>
      <c r="M910" s="587"/>
      <c r="N910" s="587"/>
      <c r="O910" s="587"/>
    </row>
    <row r="911">
      <c r="C911" s="139"/>
      <c r="D911" s="139"/>
      <c r="L911" s="587"/>
      <c r="M911" s="587"/>
      <c r="N911" s="587"/>
      <c r="O911" s="587"/>
    </row>
    <row r="912">
      <c r="C912" s="139"/>
      <c r="D912" s="139"/>
      <c r="L912" s="587"/>
      <c r="M912" s="587"/>
      <c r="N912" s="587"/>
      <c r="O912" s="587"/>
    </row>
    <row r="913">
      <c r="C913" s="139"/>
      <c r="D913" s="139"/>
      <c r="L913" s="587"/>
      <c r="M913" s="587"/>
      <c r="N913" s="587"/>
      <c r="O913" s="587"/>
    </row>
    <row r="914">
      <c r="C914" s="139"/>
      <c r="D914" s="139"/>
      <c r="L914" s="587"/>
      <c r="M914" s="587"/>
      <c r="N914" s="587"/>
      <c r="O914" s="587"/>
    </row>
    <row r="915">
      <c r="C915" s="139"/>
      <c r="D915" s="139"/>
      <c r="L915" s="587"/>
      <c r="M915" s="587"/>
      <c r="N915" s="587"/>
      <c r="O915" s="587"/>
    </row>
    <row r="916">
      <c r="C916" s="139"/>
      <c r="D916" s="139"/>
      <c r="L916" s="587"/>
      <c r="M916" s="587"/>
      <c r="N916" s="587"/>
      <c r="O916" s="587"/>
    </row>
    <row r="917">
      <c r="C917" s="139"/>
      <c r="D917" s="139"/>
      <c r="L917" s="587"/>
      <c r="M917" s="587"/>
      <c r="N917" s="587"/>
      <c r="O917" s="587"/>
    </row>
    <row r="918">
      <c r="C918" s="139"/>
      <c r="D918" s="139"/>
      <c r="L918" s="587"/>
      <c r="M918" s="587"/>
      <c r="N918" s="587"/>
      <c r="O918" s="587"/>
    </row>
    <row r="919">
      <c r="C919" s="139"/>
      <c r="D919" s="139"/>
      <c r="L919" s="587"/>
      <c r="M919" s="587"/>
      <c r="N919" s="587"/>
      <c r="O919" s="587"/>
    </row>
    <row r="920">
      <c r="C920" s="139"/>
      <c r="D920" s="139"/>
      <c r="L920" s="587"/>
      <c r="M920" s="587"/>
      <c r="N920" s="587"/>
      <c r="O920" s="587"/>
    </row>
    <row r="921">
      <c r="C921" s="139"/>
      <c r="D921" s="139"/>
      <c r="L921" s="587"/>
      <c r="M921" s="587"/>
      <c r="N921" s="587"/>
      <c r="O921" s="587"/>
    </row>
    <row r="922">
      <c r="C922" s="139"/>
      <c r="D922" s="139"/>
      <c r="L922" s="587"/>
      <c r="M922" s="587"/>
      <c r="N922" s="587"/>
      <c r="O922" s="587"/>
    </row>
    <row r="923">
      <c r="C923" s="139"/>
      <c r="D923" s="139"/>
      <c r="L923" s="587"/>
      <c r="M923" s="587"/>
      <c r="N923" s="587"/>
      <c r="O923" s="587"/>
    </row>
    <row r="924">
      <c r="C924" s="139"/>
      <c r="D924" s="139"/>
      <c r="L924" s="587"/>
      <c r="M924" s="587"/>
      <c r="N924" s="587"/>
      <c r="O924" s="587"/>
    </row>
    <row r="925">
      <c r="C925" s="139"/>
      <c r="D925" s="139"/>
      <c r="L925" s="587"/>
      <c r="M925" s="587"/>
      <c r="N925" s="587"/>
      <c r="O925" s="587"/>
    </row>
    <row r="926">
      <c r="C926" s="139"/>
      <c r="D926" s="139"/>
      <c r="L926" s="587"/>
      <c r="M926" s="587"/>
      <c r="N926" s="587"/>
      <c r="O926" s="587"/>
    </row>
    <row r="927">
      <c r="C927" s="139"/>
      <c r="D927" s="139"/>
      <c r="L927" s="587"/>
      <c r="M927" s="587"/>
      <c r="N927" s="587"/>
      <c r="O927" s="587"/>
    </row>
    <row r="928">
      <c r="C928" s="139"/>
      <c r="D928" s="139"/>
      <c r="L928" s="587"/>
      <c r="M928" s="587"/>
      <c r="N928" s="587"/>
      <c r="O928" s="587"/>
    </row>
    <row r="929">
      <c r="C929" s="139"/>
      <c r="D929" s="139"/>
      <c r="L929" s="587"/>
      <c r="M929" s="587"/>
      <c r="N929" s="587"/>
      <c r="O929" s="587"/>
    </row>
    <row r="930">
      <c r="C930" s="139"/>
      <c r="D930" s="139"/>
      <c r="L930" s="587"/>
      <c r="M930" s="587"/>
      <c r="N930" s="587"/>
      <c r="O930" s="587"/>
    </row>
    <row r="931">
      <c r="C931" s="139"/>
      <c r="D931" s="139"/>
      <c r="L931" s="587"/>
      <c r="M931" s="587"/>
      <c r="N931" s="587"/>
      <c r="O931" s="587"/>
    </row>
    <row r="932">
      <c r="C932" s="139"/>
      <c r="D932" s="139"/>
      <c r="L932" s="587"/>
      <c r="M932" s="587"/>
      <c r="N932" s="587"/>
      <c r="O932" s="587"/>
    </row>
    <row r="933">
      <c r="C933" s="139"/>
      <c r="D933" s="139"/>
      <c r="L933" s="587"/>
      <c r="M933" s="587"/>
      <c r="N933" s="587"/>
      <c r="O933" s="587"/>
    </row>
    <row r="934">
      <c r="C934" s="139"/>
      <c r="D934" s="139"/>
      <c r="L934" s="587"/>
      <c r="M934" s="587"/>
      <c r="N934" s="587"/>
      <c r="O934" s="587"/>
    </row>
    <row r="935">
      <c r="C935" s="139"/>
      <c r="D935" s="139"/>
      <c r="L935" s="587"/>
      <c r="M935" s="587"/>
      <c r="N935" s="587"/>
      <c r="O935" s="587"/>
    </row>
    <row r="936">
      <c r="C936" s="139"/>
      <c r="D936" s="139"/>
      <c r="L936" s="587"/>
      <c r="M936" s="587"/>
      <c r="N936" s="587"/>
      <c r="O936" s="587"/>
    </row>
    <row r="937">
      <c r="C937" s="139"/>
      <c r="D937" s="139"/>
      <c r="L937" s="587"/>
      <c r="M937" s="587"/>
      <c r="N937" s="587"/>
      <c r="O937" s="587"/>
    </row>
    <row r="938">
      <c r="C938" s="139"/>
      <c r="D938" s="139"/>
      <c r="L938" s="587"/>
      <c r="M938" s="587"/>
      <c r="N938" s="587"/>
      <c r="O938" s="587"/>
    </row>
    <row r="939">
      <c r="C939" s="139"/>
      <c r="D939" s="139"/>
      <c r="L939" s="587"/>
      <c r="M939" s="587"/>
      <c r="N939" s="587"/>
      <c r="O939" s="587"/>
    </row>
    <row r="940">
      <c r="C940" s="139"/>
      <c r="D940" s="139"/>
      <c r="L940" s="587"/>
      <c r="M940" s="587"/>
      <c r="N940" s="587"/>
      <c r="O940" s="587"/>
    </row>
    <row r="941">
      <c r="C941" s="139"/>
      <c r="D941" s="139"/>
      <c r="L941" s="587"/>
      <c r="M941" s="587"/>
      <c r="N941" s="587"/>
      <c r="O941" s="587"/>
    </row>
    <row r="942">
      <c r="C942" s="139"/>
      <c r="D942" s="139"/>
      <c r="L942" s="587"/>
      <c r="M942" s="587"/>
      <c r="N942" s="587"/>
      <c r="O942" s="587"/>
    </row>
    <row r="943">
      <c r="C943" s="139"/>
      <c r="D943" s="139"/>
      <c r="L943" s="587"/>
      <c r="M943" s="587"/>
      <c r="N943" s="587"/>
      <c r="O943" s="587"/>
    </row>
    <row r="944">
      <c r="C944" s="139"/>
      <c r="D944" s="139"/>
      <c r="L944" s="587"/>
      <c r="M944" s="587"/>
      <c r="N944" s="587"/>
      <c r="O944" s="587"/>
    </row>
    <row r="945">
      <c r="C945" s="139"/>
      <c r="D945" s="139"/>
      <c r="L945" s="587"/>
      <c r="M945" s="587"/>
      <c r="N945" s="587"/>
      <c r="O945" s="587"/>
    </row>
    <row r="946">
      <c r="C946" s="139"/>
      <c r="D946" s="139"/>
      <c r="L946" s="587"/>
      <c r="M946" s="587"/>
      <c r="N946" s="587"/>
      <c r="O946" s="587"/>
    </row>
    <row r="947">
      <c r="C947" s="139"/>
      <c r="D947" s="139"/>
      <c r="L947" s="587"/>
      <c r="M947" s="587"/>
      <c r="N947" s="587"/>
      <c r="O947" s="587"/>
    </row>
    <row r="948">
      <c r="C948" s="139"/>
      <c r="D948" s="139"/>
      <c r="L948" s="587"/>
      <c r="M948" s="587"/>
      <c r="N948" s="587"/>
      <c r="O948" s="587"/>
    </row>
    <row r="949">
      <c r="C949" s="139"/>
      <c r="D949" s="139"/>
      <c r="L949" s="587"/>
      <c r="M949" s="587"/>
      <c r="N949" s="587"/>
      <c r="O949" s="587"/>
    </row>
    <row r="950">
      <c r="C950" s="139"/>
      <c r="D950" s="139"/>
      <c r="L950" s="587"/>
      <c r="M950" s="587"/>
      <c r="N950" s="587"/>
      <c r="O950" s="587"/>
    </row>
    <row r="951">
      <c r="C951" s="139"/>
      <c r="D951" s="139"/>
      <c r="L951" s="587"/>
      <c r="M951" s="587"/>
      <c r="N951" s="587"/>
      <c r="O951" s="587"/>
    </row>
    <row r="952">
      <c r="C952" s="139"/>
      <c r="D952" s="139"/>
      <c r="L952" s="587"/>
      <c r="M952" s="587"/>
      <c r="N952" s="587"/>
      <c r="O952" s="587"/>
    </row>
    <row r="953">
      <c r="C953" s="139"/>
      <c r="D953" s="139"/>
      <c r="L953" s="587"/>
      <c r="M953" s="587"/>
      <c r="N953" s="587"/>
      <c r="O953" s="587"/>
    </row>
    <row r="954">
      <c r="C954" s="139"/>
      <c r="D954" s="139"/>
      <c r="L954" s="587"/>
      <c r="M954" s="587"/>
      <c r="N954" s="587"/>
      <c r="O954" s="587"/>
    </row>
    <row r="955">
      <c r="C955" s="139"/>
      <c r="D955" s="139"/>
      <c r="L955" s="587"/>
      <c r="M955" s="587"/>
      <c r="N955" s="587"/>
      <c r="O955" s="587"/>
    </row>
    <row r="956">
      <c r="C956" s="139"/>
      <c r="D956" s="139"/>
      <c r="L956" s="587"/>
      <c r="M956" s="587"/>
      <c r="N956" s="587"/>
      <c r="O956" s="587"/>
    </row>
    <row r="957">
      <c r="C957" s="139"/>
      <c r="D957" s="139"/>
      <c r="L957" s="587"/>
      <c r="M957" s="587"/>
      <c r="N957" s="587"/>
      <c r="O957" s="587"/>
    </row>
    <row r="958">
      <c r="C958" s="139"/>
      <c r="D958" s="139"/>
      <c r="L958" s="587"/>
      <c r="M958" s="587"/>
      <c r="N958" s="587"/>
      <c r="O958" s="587"/>
    </row>
    <row r="959">
      <c r="C959" s="139"/>
      <c r="D959" s="139"/>
      <c r="L959" s="587"/>
      <c r="M959" s="587"/>
      <c r="N959" s="587"/>
      <c r="O959" s="587"/>
    </row>
    <row r="960">
      <c r="C960" s="139"/>
      <c r="D960" s="139"/>
      <c r="L960" s="587"/>
      <c r="M960" s="587"/>
      <c r="N960" s="587"/>
      <c r="O960" s="587"/>
    </row>
    <row r="961">
      <c r="C961" s="139"/>
      <c r="D961" s="139"/>
      <c r="L961" s="587"/>
      <c r="M961" s="587"/>
      <c r="N961" s="587"/>
      <c r="O961" s="587"/>
    </row>
    <row r="962">
      <c r="C962" s="139"/>
      <c r="D962" s="139"/>
      <c r="L962" s="587"/>
      <c r="M962" s="587"/>
      <c r="N962" s="587"/>
      <c r="O962" s="587"/>
    </row>
    <row r="963">
      <c r="C963" s="139"/>
      <c r="D963" s="139"/>
      <c r="L963" s="587"/>
      <c r="M963" s="587"/>
      <c r="N963" s="587"/>
      <c r="O963" s="587"/>
    </row>
    <row r="964">
      <c r="C964" s="139"/>
      <c r="D964" s="139"/>
      <c r="L964" s="587"/>
      <c r="M964" s="587"/>
      <c r="N964" s="587"/>
      <c r="O964" s="587"/>
    </row>
    <row r="965">
      <c r="C965" s="139"/>
      <c r="D965" s="139"/>
      <c r="L965" s="587"/>
      <c r="M965" s="587"/>
      <c r="N965" s="587"/>
      <c r="O965" s="587"/>
    </row>
    <row r="966">
      <c r="C966" s="139"/>
      <c r="D966" s="139"/>
      <c r="L966" s="587"/>
      <c r="M966" s="587"/>
      <c r="N966" s="587"/>
      <c r="O966" s="587"/>
    </row>
    <row r="967">
      <c r="C967" s="139"/>
      <c r="D967" s="139"/>
      <c r="L967" s="587"/>
      <c r="M967" s="587"/>
      <c r="N967" s="587"/>
      <c r="O967" s="587"/>
    </row>
    <row r="968">
      <c r="C968" s="139"/>
      <c r="D968" s="139"/>
      <c r="L968" s="587"/>
      <c r="M968" s="587"/>
      <c r="N968" s="587"/>
      <c r="O968" s="587"/>
    </row>
    <row r="969">
      <c r="C969" s="139"/>
      <c r="D969" s="139"/>
      <c r="L969" s="587"/>
      <c r="M969" s="587"/>
      <c r="N969" s="587"/>
      <c r="O969" s="587"/>
    </row>
    <row r="970">
      <c r="C970" s="139"/>
      <c r="D970" s="139"/>
      <c r="L970" s="587"/>
      <c r="M970" s="587"/>
      <c r="N970" s="587"/>
      <c r="O970" s="587"/>
    </row>
    <row r="971">
      <c r="C971" s="139"/>
      <c r="D971" s="139"/>
      <c r="L971" s="587"/>
      <c r="M971" s="587"/>
      <c r="N971" s="587"/>
      <c r="O971" s="587"/>
    </row>
    <row r="972">
      <c r="C972" s="139"/>
      <c r="D972" s="139"/>
      <c r="L972" s="587"/>
      <c r="M972" s="587"/>
      <c r="N972" s="587"/>
      <c r="O972" s="587"/>
    </row>
    <row r="973">
      <c r="C973" s="139"/>
      <c r="D973" s="139"/>
      <c r="L973" s="587"/>
      <c r="M973" s="587"/>
      <c r="N973" s="587"/>
      <c r="O973" s="587"/>
    </row>
    <row r="974">
      <c r="C974" s="139"/>
      <c r="D974" s="139"/>
      <c r="L974" s="587"/>
      <c r="M974" s="587"/>
      <c r="N974" s="587"/>
      <c r="O974" s="587"/>
    </row>
    <row r="975">
      <c r="C975" s="139"/>
      <c r="D975" s="139"/>
      <c r="L975" s="587"/>
      <c r="M975" s="587"/>
      <c r="N975" s="587"/>
      <c r="O975" s="587"/>
    </row>
    <row r="976">
      <c r="C976" s="139"/>
      <c r="D976" s="139"/>
      <c r="L976" s="587"/>
      <c r="M976" s="587"/>
      <c r="N976" s="587"/>
      <c r="O976" s="587"/>
    </row>
    <row r="977">
      <c r="C977" s="139"/>
      <c r="D977" s="139"/>
      <c r="L977" s="587"/>
      <c r="M977" s="587"/>
      <c r="N977" s="587"/>
      <c r="O977" s="587"/>
    </row>
    <row r="978">
      <c r="C978" s="139"/>
      <c r="D978" s="139"/>
      <c r="L978" s="587"/>
      <c r="M978" s="587"/>
      <c r="N978" s="587"/>
      <c r="O978" s="587"/>
    </row>
    <row r="979">
      <c r="C979" s="139"/>
      <c r="D979" s="139"/>
      <c r="L979" s="587"/>
      <c r="M979" s="587"/>
      <c r="N979" s="587"/>
      <c r="O979" s="587"/>
    </row>
    <row r="980">
      <c r="C980" s="139"/>
      <c r="D980" s="139"/>
      <c r="L980" s="587"/>
      <c r="M980" s="587"/>
      <c r="N980" s="587"/>
      <c r="O980" s="587"/>
    </row>
    <row r="981">
      <c r="C981" s="139"/>
      <c r="D981" s="139"/>
      <c r="L981" s="587"/>
      <c r="M981" s="587"/>
      <c r="N981" s="587"/>
      <c r="O981" s="587"/>
    </row>
    <row r="982">
      <c r="C982" s="139"/>
      <c r="D982" s="139"/>
      <c r="L982" s="587"/>
      <c r="M982" s="587"/>
      <c r="N982" s="587"/>
      <c r="O982" s="587"/>
    </row>
    <row r="983">
      <c r="C983" s="139"/>
      <c r="D983" s="139"/>
      <c r="L983" s="587"/>
      <c r="M983" s="587"/>
      <c r="N983" s="587"/>
      <c r="O983" s="587"/>
    </row>
    <row r="984">
      <c r="C984" s="139"/>
      <c r="D984" s="139"/>
      <c r="L984" s="587"/>
      <c r="M984" s="587"/>
      <c r="N984" s="587"/>
      <c r="O984" s="587"/>
    </row>
    <row r="985">
      <c r="C985" s="139"/>
      <c r="D985" s="139"/>
      <c r="L985" s="587"/>
      <c r="M985" s="587"/>
      <c r="N985" s="587"/>
      <c r="O985" s="587"/>
    </row>
    <row r="986">
      <c r="C986" s="139"/>
      <c r="D986" s="139"/>
      <c r="L986" s="587"/>
      <c r="M986" s="587"/>
      <c r="N986" s="587"/>
      <c r="O986" s="587"/>
    </row>
    <row r="987">
      <c r="C987" s="139"/>
      <c r="D987" s="139"/>
      <c r="L987" s="587"/>
      <c r="M987" s="587"/>
      <c r="N987" s="587"/>
      <c r="O987" s="587"/>
    </row>
    <row r="988">
      <c r="C988" s="139"/>
      <c r="D988" s="139"/>
      <c r="L988" s="587"/>
      <c r="M988" s="587"/>
      <c r="N988" s="587"/>
      <c r="O988" s="587"/>
    </row>
    <row r="989">
      <c r="C989" s="139"/>
      <c r="D989" s="139"/>
      <c r="L989" s="587"/>
      <c r="M989" s="587"/>
      <c r="N989" s="587"/>
      <c r="O989" s="587"/>
    </row>
    <row r="990">
      <c r="C990" s="139"/>
      <c r="D990" s="139"/>
      <c r="L990" s="587"/>
      <c r="M990" s="587"/>
      <c r="N990" s="587"/>
      <c r="O990" s="587"/>
    </row>
    <row r="991">
      <c r="C991" s="139"/>
      <c r="D991" s="139"/>
      <c r="L991" s="587"/>
      <c r="M991" s="587"/>
      <c r="N991" s="587"/>
      <c r="O991" s="587"/>
    </row>
    <row r="992">
      <c r="C992" s="139"/>
      <c r="D992" s="139"/>
      <c r="L992" s="587"/>
      <c r="M992" s="587"/>
      <c r="N992" s="587"/>
      <c r="O992" s="587"/>
    </row>
    <row r="993">
      <c r="C993" s="139"/>
      <c r="D993" s="139"/>
      <c r="L993" s="587"/>
      <c r="M993" s="587"/>
      <c r="N993" s="587"/>
      <c r="O993" s="587"/>
    </row>
    <row r="994">
      <c r="C994" s="139"/>
      <c r="D994" s="139"/>
      <c r="L994" s="587"/>
      <c r="M994" s="587"/>
      <c r="N994" s="587"/>
      <c r="O994" s="587"/>
    </row>
    <row r="995">
      <c r="C995" s="139"/>
      <c r="D995" s="139"/>
      <c r="L995" s="587"/>
      <c r="M995" s="587"/>
      <c r="N995" s="587"/>
      <c r="O995" s="587"/>
    </row>
    <row r="996">
      <c r="C996" s="139"/>
      <c r="D996" s="139"/>
      <c r="L996" s="587"/>
      <c r="M996" s="587"/>
      <c r="N996" s="587"/>
      <c r="O996" s="587"/>
    </row>
    <row r="997">
      <c r="C997" s="139"/>
      <c r="D997" s="139"/>
      <c r="L997" s="587"/>
      <c r="M997" s="587"/>
      <c r="N997" s="587"/>
      <c r="O997" s="587"/>
    </row>
    <row r="998">
      <c r="C998" s="139"/>
      <c r="D998" s="139"/>
      <c r="L998" s="587"/>
      <c r="M998" s="587"/>
      <c r="N998" s="587"/>
      <c r="O998" s="587"/>
    </row>
    <row r="999">
      <c r="C999" s="139"/>
      <c r="D999" s="139"/>
      <c r="L999" s="587"/>
      <c r="M999" s="587"/>
      <c r="N999" s="587"/>
      <c r="O999" s="587"/>
    </row>
    <row r="1000">
      <c r="C1000" s="139"/>
      <c r="D1000" s="139"/>
      <c r="L1000" s="587"/>
      <c r="M1000" s="587"/>
      <c r="N1000" s="587"/>
      <c r="O1000" s="587"/>
    </row>
    <row r="1001">
      <c r="C1001" s="139"/>
      <c r="D1001" s="139"/>
      <c r="L1001" s="587"/>
      <c r="M1001" s="587"/>
      <c r="N1001" s="587"/>
      <c r="O1001" s="587"/>
    </row>
    <row r="1002">
      <c r="C1002" s="139"/>
      <c r="D1002" s="139"/>
      <c r="L1002" s="587"/>
      <c r="M1002" s="587"/>
      <c r="N1002" s="587"/>
      <c r="O1002" s="587"/>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C4"/>
    <hyperlink r:id="rId2" ref="C5"/>
    <hyperlink r:id="rId3" ref="C9"/>
    <hyperlink r:id="rId4" ref="C10"/>
    <hyperlink r:id="rId5" ref="C11"/>
    <hyperlink r:id="rId6" ref="C15"/>
    <hyperlink r:id="rId7" ref="C18"/>
    <hyperlink r:id="rId8" ref="C19"/>
    <hyperlink r:id="rId9" ref="C20"/>
    <hyperlink r:id="rId10" ref="C22"/>
    <hyperlink r:id="rId11" ref="C23"/>
    <hyperlink r:id="rId12" ref="C25"/>
    <hyperlink r:id="rId13" ref="C27"/>
    <hyperlink r:id="rId14" ref="C28"/>
    <hyperlink r:id="rId15" ref="C30"/>
    <hyperlink r:id="rId16" ref="C31"/>
    <hyperlink r:id="rId17" ref="C32"/>
    <hyperlink r:id="rId18" ref="C34"/>
    <hyperlink r:id="rId19" ref="C36"/>
    <hyperlink r:id="rId20" ref="C37"/>
    <hyperlink r:id="rId21" ref="C39"/>
    <hyperlink r:id="rId22" ref="C40"/>
    <hyperlink r:id="rId23" ref="C42"/>
    <hyperlink r:id="rId24" ref="C43"/>
    <hyperlink r:id="rId25" ref="C44"/>
    <hyperlink r:id="rId26" ref="C47"/>
    <hyperlink r:id="rId27" ref="C48"/>
    <hyperlink r:id="rId28" ref="C49"/>
    <hyperlink r:id="rId29" ref="C50"/>
    <hyperlink r:id="rId30" ref="C51"/>
    <hyperlink r:id="rId31" ref="C52"/>
    <hyperlink r:id="rId32" ref="C53"/>
    <hyperlink r:id="rId33" ref="C54"/>
    <hyperlink r:id="rId34" ref="C56"/>
    <hyperlink r:id="rId35" ref="C57"/>
    <hyperlink r:id="rId36" ref="C59"/>
    <hyperlink r:id="rId37" ref="C61"/>
    <hyperlink r:id="rId38" ref="C65"/>
    <hyperlink r:id="rId39" ref="C66"/>
    <hyperlink r:id="rId40" ref="C68"/>
    <hyperlink r:id="rId41" ref="C69"/>
    <hyperlink r:id="rId42" ref="C70"/>
    <hyperlink r:id="rId43" ref="C72"/>
    <hyperlink r:id="rId44" ref="C77"/>
    <hyperlink r:id="rId45" ref="C78"/>
    <hyperlink r:id="rId46" ref="C80"/>
    <hyperlink r:id="rId47" ref="C81"/>
    <hyperlink r:id="rId48" ref="C83"/>
    <hyperlink r:id="rId49" ref="C85"/>
    <hyperlink r:id="rId50" ref="C86"/>
    <hyperlink r:id="rId51" ref="C91"/>
    <hyperlink r:id="rId52" ref="C92"/>
    <hyperlink r:id="rId53" ref="C93"/>
    <hyperlink r:id="rId54" ref="C94"/>
    <hyperlink r:id="rId55" ref="C95"/>
    <hyperlink r:id="rId56" ref="C96"/>
    <hyperlink r:id="rId57" ref="C99"/>
    <hyperlink r:id="rId58" ref="M100"/>
    <hyperlink r:id="rId59" ref="C102"/>
    <hyperlink r:id="rId60" ref="C103"/>
    <hyperlink r:id="rId61" ref="C104"/>
    <hyperlink r:id="rId62" ref="C106"/>
    <hyperlink r:id="rId63" ref="C108"/>
    <hyperlink r:id="rId64" ref="C109"/>
    <hyperlink r:id="rId65" ref="C110"/>
    <hyperlink r:id="rId66" ref="C111"/>
    <hyperlink r:id="rId67" ref="C114"/>
    <hyperlink r:id="rId68" ref="C115"/>
    <hyperlink r:id="rId69" ref="C116"/>
    <hyperlink r:id="rId70" ref="C117"/>
    <hyperlink r:id="rId71" ref="C118"/>
    <hyperlink r:id="rId72" ref="C120"/>
    <hyperlink r:id="rId73" ref="C122"/>
    <hyperlink r:id="rId74" ref="C123"/>
    <hyperlink r:id="rId75" ref="C127"/>
    <hyperlink r:id="rId76" ref="C128"/>
    <hyperlink r:id="rId77" ref="C129"/>
    <hyperlink r:id="rId78" ref="C131"/>
    <hyperlink r:id="rId79" ref="C132"/>
    <hyperlink r:id="rId80" ref="C133"/>
    <hyperlink r:id="rId81" ref="C134"/>
    <hyperlink r:id="rId82" ref="C135"/>
    <hyperlink r:id="rId83" ref="C136"/>
    <hyperlink r:id="rId84" ref="C137"/>
    <hyperlink r:id="rId85" ref="C142"/>
    <hyperlink r:id="rId86" ref="C143"/>
    <hyperlink r:id="rId87" ref="C144"/>
    <hyperlink r:id="rId88" ref="C145"/>
    <hyperlink r:id="rId89" ref="C146"/>
    <hyperlink r:id="rId90" ref="C147"/>
    <hyperlink r:id="rId91" ref="C148"/>
    <hyperlink r:id="rId92" ref="C150"/>
    <hyperlink r:id="rId93" ref="C151"/>
    <hyperlink r:id="rId94" ref="C152"/>
    <hyperlink r:id="rId95" ref="C153"/>
    <hyperlink r:id="rId96" ref="C154"/>
    <hyperlink r:id="rId97" ref="C159"/>
    <hyperlink r:id="rId98" ref="C160"/>
    <hyperlink r:id="rId99" ref="C166"/>
    <hyperlink r:id="rId100" ref="C168"/>
    <hyperlink r:id="rId101" ref="C169"/>
    <hyperlink r:id="rId102" ref="C170"/>
    <hyperlink r:id="rId103" ref="C172"/>
    <hyperlink r:id="rId104" ref="C174"/>
    <hyperlink r:id="rId105" ref="C175"/>
    <hyperlink r:id="rId106" ref="C176"/>
    <hyperlink r:id="rId107" ref="M176"/>
    <hyperlink r:id="rId108" ref="C177"/>
    <hyperlink r:id="rId109" ref="M177"/>
    <hyperlink r:id="rId110" ref="C178"/>
    <hyperlink r:id="rId111" ref="C179"/>
    <hyperlink r:id="rId112" ref="M179"/>
    <hyperlink r:id="rId113" ref="C180"/>
    <hyperlink r:id="rId114" ref="M180"/>
    <hyperlink r:id="rId115" ref="C182"/>
    <hyperlink r:id="rId116" ref="M182"/>
    <hyperlink r:id="rId117" ref="C184"/>
    <hyperlink r:id="rId118" ref="C186"/>
    <hyperlink r:id="rId119" ref="M186"/>
    <hyperlink r:id="rId120" ref="C188"/>
    <hyperlink r:id="rId121" ref="M188"/>
    <hyperlink r:id="rId122" ref="C189"/>
    <hyperlink r:id="rId123" ref="C190"/>
    <hyperlink r:id="rId124" ref="C191"/>
    <hyperlink r:id="rId125" ref="B192"/>
    <hyperlink r:id="rId126" ref="C192"/>
    <hyperlink r:id="rId127" ref="M192"/>
    <hyperlink r:id="rId128" ref="C193"/>
    <hyperlink r:id="rId129" ref="M193"/>
    <hyperlink r:id="rId130" ref="C194"/>
    <hyperlink r:id="rId131" ref="M194"/>
    <hyperlink r:id="rId132" ref="C195"/>
    <hyperlink r:id="rId133" ref="C196"/>
    <hyperlink r:id="rId134" ref="M196"/>
    <hyperlink r:id="rId135" ref="C198"/>
    <hyperlink r:id="rId136" ref="M198"/>
    <hyperlink r:id="rId137" ref="C200"/>
    <hyperlink r:id="rId138" ref="M203"/>
  </hyperlinks>
  <drawing r:id="rId139"/>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2" max="2" width="11.43"/>
    <col customWidth="1" min="3" max="3" width="16.57"/>
    <col customWidth="1" min="4" max="4" width="17.43"/>
  </cols>
  <sheetData>
    <row r="1">
      <c r="A1" s="1" t="s">
        <v>0</v>
      </c>
      <c r="B1" s="2" t="s">
        <v>1</v>
      </c>
      <c r="C1" s="2" t="s">
        <v>2</v>
      </c>
      <c r="D1" s="2" t="s">
        <v>2</v>
      </c>
      <c r="E1" s="2"/>
      <c r="F1" s="30" t="s">
        <v>1577</v>
      </c>
      <c r="G1" s="30" t="s">
        <v>4</v>
      </c>
      <c r="H1" s="30" t="s">
        <v>5</v>
      </c>
      <c r="I1" s="30" t="s">
        <v>6</v>
      </c>
      <c r="J1" s="30" t="s">
        <v>7</v>
      </c>
      <c r="K1" s="1" t="s">
        <v>8</v>
      </c>
      <c r="L1" s="7" t="s">
        <v>9</v>
      </c>
      <c r="N1" s="10" t="s">
        <v>14</v>
      </c>
      <c r="P1" s="167"/>
      <c r="Q1" s="167"/>
      <c r="R1" s="30"/>
      <c r="S1" s="20"/>
      <c r="T1" s="20"/>
      <c r="U1" s="20"/>
      <c r="V1" s="20"/>
      <c r="W1" s="20"/>
      <c r="X1" s="20"/>
      <c r="Y1" s="20"/>
      <c r="Z1" s="20"/>
      <c r="AA1" s="20"/>
      <c r="AB1" s="20"/>
      <c r="AC1" s="20"/>
      <c r="AD1" s="20"/>
    </row>
    <row r="2">
      <c r="A2" s="23"/>
      <c r="B2" s="23"/>
      <c r="C2" s="175"/>
      <c r="D2" s="175"/>
      <c r="E2" s="2"/>
      <c r="F2" s="168">
        <v>43472.0</v>
      </c>
      <c r="G2" s="168">
        <v>43521.0</v>
      </c>
      <c r="H2" s="21">
        <f>G2-TODAY()</f>
        <v>-214</v>
      </c>
      <c r="I2" s="168">
        <v>43472.0</v>
      </c>
      <c r="J2" s="168">
        <v>43586.0</v>
      </c>
      <c r="K2" s="23"/>
      <c r="L2" s="26">
        <f>CountIFS($E:$E,"=Dem",$A:$A,"=House")</f>
        <v>42</v>
      </c>
      <c r="M2" s="28">
        <f>CountIFS($E:$E,"=Rep",$A:$A,"=House")</f>
        <v>56</v>
      </c>
      <c r="N2" s="26">
        <f>CountIFS($E:$E,"=Dem",$A:$A,"=Senate")</f>
        <v>20</v>
      </c>
      <c r="O2" s="28">
        <f>CountIFS($E:$E,"=Rep",$A:$A,"=Senate")</f>
        <v>30</v>
      </c>
      <c r="P2" s="167"/>
      <c r="Q2" s="167"/>
      <c r="R2" s="30"/>
      <c r="S2" s="20"/>
      <c r="T2" s="20"/>
      <c r="U2" s="20"/>
      <c r="V2" s="20"/>
      <c r="W2" s="20"/>
      <c r="X2" s="20"/>
      <c r="Y2" s="20"/>
      <c r="Z2" s="20"/>
      <c r="AA2" s="20"/>
      <c r="AB2" s="20"/>
      <c r="AC2" s="20"/>
      <c r="AD2" s="20"/>
    </row>
    <row r="3">
      <c r="A3" s="30" t="s">
        <v>29</v>
      </c>
      <c r="B3" s="30" t="s">
        <v>30</v>
      </c>
      <c r="C3" s="2" t="s">
        <v>31</v>
      </c>
      <c r="D3" s="2" t="s">
        <v>32</v>
      </c>
      <c r="E3" s="2" t="s">
        <v>33</v>
      </c>
      <c r="F3" s="1" t="s">
        <v>10</v>
      </c>
      <c r="G3" s="1" t="s">
        <v>34</v>
      </c>
      <c r="H3" s="1" t="s">
        <v>34</v>
      </c>
      <c r="I3" s="1" t="s">
        <v>34</v>
      </c>
      <c r="J3" s="1" t="s">
        <v>34</v>
      </c>
      <c r="K3" s="1" t="s">
        <v>35</v>
      </c>
      <c r="L3" s="19" t="s">
        <v>36</v>
      </c>
      <c r="M3" s="329" t="s">
        <v>37</v>
      </c>
      <c r="N3" s="19" t="s">
        <v>38</v>
      </c>
      <c r="O3" s="17" t="s">
        <v>39</v>
      </c>
      <c r="P3" s="11" t="s">
        <v>40</v>
      </c>
      <c r="Q3" s="11" t="s">
        <v>41</v>
      </c>
      <c r="R3" s="17" t="s">
        <v>42</v>
      </c>
      <c r="S3" s="20"/>
      <c r="T3" s="20"/>
      <c r="U3" s="20"/>
      <c r="V3" s="20"/>
      <c r="W3" s="20"/>
      <c r="X3" s="20"/>
      <c r="Y3" s="20"/>
      <c r="Z3" s="20"/>
      <c r="AA3" s="20"/>
      <c r="AB3" s="20"/>
      <c r="AC3" s="20"/>
      <c r="AD3" s="20"/>
    </row>
    <row r="4">
      <c r="A4" s="14" t="s">
        <v>44</v>
      </c>
      <c r="B4" s="31">
        <v>1.0</v>
      </c>
      <c r="C4" s="612" t="s">
        <v>55</v>
      </c>
      <c r="D4" s="612" t="s">
        <v>8738</v>
      </c>
      <c r="E4" s="51" t="s">
        <v>53</v>
      </c>
      <c r="F4" s="31"/>
      <c r="M4" s="585" t="s">
        <v>8739</v>
      </c>
    </row>
    <row r="5">
      <c r="A5" s="14" t="s">
        <v>44</v>
      </c>
      <c r="B5" s="31">
        <v>2.0</v>
      </c>
      <c r="C5" s="613" t="s">
        <v>500</v>
      </c>
      <c r="D5" s="613" t="s">
        <v>8740</v>
      </c>
      <c r="E5" s="51" t="s">
        <v>53</v>
      </c>
      <c r="F5" s="31"/>
      <c r="M5" s="585" t="s">
        <v>8741</v>
      </c>
    </row>
    <row r="6">
      <c r="A6" s="14" t="s">
        <v>44</v>
      </c>
      <c r="B6" s="31">
        <v>3.0</v>
      </c>
      <c r="C6" s="612" t="s">
        <v>8742</v>
      </c>
      <c r="D6" s="612" t="s">
        <v>1329</v>
      </c>
      <c r="E6" s="36" t="s">
        <v>49</v>
      </c>
      <c r="F6" s="31"/>
      <c r="M6" s="585" t="s">
        <v>8743</v>
      </c>
    </row>
    <row r="7">
      <c r="A7" s="14" t="s">
        <v>44</v>
      </c>
      <c r="B7" s="31">
        <v>4.0</v>
      </c>
      <c r="C7" s="612" t="s">
        <v>163</v>
      </c>
      <c r="D7" s="612" t="s">
        <v>8744</v>
      </c>
      <c r="E7" s="51" t="s">
        <v>53</v>
      </c>
      <c r="F7" s="31"/>
      <c r="M7" s="585" t="s">
        <v>8745</v>
      </c>
    </row>
    <row r="8">
      <c r="A8" s="14" t="s">
        <v>44</v>
      </c>
      <c r="B8" s="31">
        <v>5.0</v>
      </c>
      <c r="C8" s="612" t="s">
        <v>76</v>
      </c>
      <c r="D8" s="612" t="s">
        <v>8746</v>
      </c>
      <c r="E8" s="36" t="s">
        <v>49</v>
      </c>
      <c r="F8" s="31"/>
      <c r="M8" s="585" t="s">
        <v>8747</v>
      </c>
    </row>
    <row r="9">
      <c r="A9" s="14" t="s">
        <v>44</v>
      </c>
      <c r="B9" s="31">
        <v>6.0</v>
      </c>
      <c r="C9" s="612" t="s">
        <v>4087</v>
      </c>
      <c r="D9" s="612" t="s">
        <v>8748</v>
      </c>
      <c r="E9" s="51" t="s">
        <v>53</v>
      </c>
      <c r="F9" s="31"/>
      <c r="M9" s="585" t="s">
        <v>8749</v>
      </c>
    </row>
    <row r="10">
      <c r="A10" s="14" t="s">
        <v>44</v>
      </c>
      <c r="B10" s="31">
        <v>7.0</v>
      </c>
      <c r="C10" s="612" t="s">
        <v>1000</v>
      </c>
      <c r="D10" s="612" t="s">
        <v>1620</v>
      </c>
      <c r="E10" s="51" t="s">
        <v>53</v>
      </c>
      <c r="F10" s="31"/>
      <c r="M10" s="585" t="s">
        <v>8750</v>
      </c>
    </row>
    <row r="11">
      <c r="A11" s="14" t="s">
        <v>44</v>
      </c>
      <c r="B11" s="31">
        <v>8.0</v>
      </c>
      <c r="C11" s="613" t="s">
        <v>278</v>
      </c>
      <c r="D11" s="613" t="s">
        <v>8751</v>
      </c>
      <c r="E11" s="51" t="s">
        <v>53</v>
      </c>
      <c r="F11" s="31"/>
      <c r="M11" s="585" t="s">
        <v>8752</v>
      </c>
    </row>
    <row r="12">
      <c r="A12" s="14" t="s">
        <v>44</v>
      </c>
      <c r="B12" s="31">
        <v>9.0</v>
      </c>
      <c r="C12" s="613" t="s">
        <v>108</v>
      </c>
      <c r="D12" s="613" t="s">
        <v>825</v>
      </c>
      <c r="E12" s="51" t="s">
        <v>53</v>
      </c>
      <c r="F12" s="31"/>
      <c r="M12" s="585" t="s">
        <v>8753</v>
      </c>
    </row>
    <row r="13">
      <c r="A13" s="14" t="s">
        <v>44</v>
      </c>
      <c r="B13" s="31">
        <v>10.0</v>
      </c>
      <c r="C13" s="612" t="s">
        <v>91</v>
      </c>
      <c r="D13" s="612" t="s">
        <v>8754</v>
      </c>
      <c r="E13" s="51" t="s">
        <v>53</v>
      </c>
      <c r="F13" s="31"/>
      <c r="M13" s="585" t="s">
        <v>8755</v>
      </c>
    </row>
    <row r="14">
      <c r="A14" s="14" t="s">
        <v>44</v>
      </c>
      <c r="B14" s="31">
        <v>11.0</v>
      </c>
      <c r="C14" s="612" t="s">
        <v>2525</v>
      </c>
      <c r="D14" s="612" t="s">
        <v>8756</v>
      </c>
      <c r="E14" s="51" t="s">
        <v>53</v>
      </c>
      <c r="F14" s="164" t="s">
        <v>1188</v>
      </c>
      <c r="M14" s="585" t="s">
        <v>8757</v>
      </c>
    </row>
    <row r="15">
      <c r="A15" s="14" t="s">
        <v>44</v>
      </c>
      <c r="B15" s="31">
        <v>12.0</v>
      </c>
      <c r="C15" s="612" t="s">
        <v>997</v>
      </c>
      <c r="D15" s="612" t="s">
        <v>8758</v>
      </c>
      <c r="E15" s="51" t="s">
        <v>53</v>
      </c>
      <c r="F15" s="164" t="s">
        <v>1056</v>
      </c>
      <c r="M15" s="585" t="s">
        <v>8759</v>
      </c>
    </row>
    <row r="16">
      <c r="A16" s="14" t="s">
        <v>44</v>
      </c>
      <c r="B16" s="31">
        <v>13.0</v>
      </c>
      <c r="C16" s="612" t="s">
        <v>419</v>
      </c>
      <c r="D16" s="612" t="s">
        <v>447</v>
      </c>
      <c r="E16" s="51" t="s">
        <v>53</v>
      </c>
      <c r="F16" s="31"/>
      <c r="M16" s="585" t="s">
        <v>8760</v>
      </c>
    </row>
    <row r="17">
      <c r="A17" s="14" t="s">
        <v>44</v>
      </c>
      <c r="B17" s="31">
        <v>14.0</v>
      </c>
      <c r="C17" s="612" t="s">
        <v>8761</v>
      </c>
      <c r="D17" s="612" t="s">
        <v>8762</v>
      </c>
      <c r="E17" s="51" t="s">
        <v>53</v>
      </c>
      <c r="F17" s="31"/>
      <c r="M17" s="585" t="s">
        <v>8763</v>
      </c>
    </row>
    <row r="18">
      <c r="A18" s="14" t="s">
        <v>44</v>
      </c>
      <c r="B18" s="31">
        <v>15.0</v>
      </c>
      <c r="C18" s="612" t="s">
        <v>6310</v>
      </c>
      <c r="D18" s="612" t="s">
        <v>8764</v>
      </c>
      <c r="E18" s="36" t="s">
        <v>49</v>
      </c>
      <c r="F18" s="31"/>
      <c r="M18" s="585" t="s">
        <v>8765</v>
      </c>
    </row>
    <row r="19">
      <c r="A19" s="14" t="s">
        <v>44</v>
      </c>
      <c r="B19" s="31">
        <v>16.0</v>
      </c>
      <c r="C19" s="612" t="s">
        <v>5425</v>
      </c>
      <c r="D19" s="612" t="s">
        <v>8770</v>
      </c>
      <c r="E19" s="36" t="s">
        <v>49</v>
      </c>
      <c r="F19" s="31"/>
      <c r="M19" s="585" t="s">
        <v>8772</v>
      </c>
    </row>
    <row r="20">
      <c r="A20" s="14" t="s">
        <v>44</v>
      </c>
      <c r="B20" s="31">
        <v>17.0</v>
      </c>
      <c r="C20" s="612" t="s">
        <v>5489</v>
      </c>
      <c r="D20" s="612" t="s">
        <v>5399</v>
      </c>
      <c r="E20" s="51" t="s">
        <v>53</v>
      </c>
      <c r="F20" s="31"/>
      <c r="M20" s="585" t="s">
        <v>8774</v>
      </c>
    </row>
    <row r="21">
      <c r="A21" s="14" t="s">
        <v>44</v>
      </c>
      <c r="B21" s="31">
        <v>18.0</v>
      </c>
      <c r="C21" s="612" t="s">
        <v>8775</v>
      </c>
      <c r="D21" s="612" t="s">
        <v>706</v>
      </c>
      <c r="E21" s="51" t="s">
        <v>53</v>
      </c>
      <c r="F21" s="31"/>
      <c r="M21" s="585" t="s">
        <v>8776</v>
      </c>
    </row>
    <row r="22">
      <c r="A22" s="14" t="s">
        <v>44</v>
      </c>
      <c r="B22" s="31">
        <v>19.0</v>
      </c>
      <c r="C22" s="612" t="s">
        <v>1725</v>
      </c>
      <c r="D22" s="612" t="s">
        <v>8777</v>
      </c>
      <c r="E22" s="51" t="s">
        <v>53</v>
      </c>
      <c r="F22" s="31"/>
      <c r="M22" s="585" t="s">
        <v>8778</v>
      </c>
    </row>
    <row r="23">
      <c r="A23" s="14" t="s">
        <v>44</v>
      </c>
      <c r="B23" s="31">
        <v>20.0</v>
      </c>
      <c r="C23" s="612" t="s">
        <v>1242</v>
      </c>
      <c r="D23" s="612" t="s">
        <v>3961</v>
      </c>
      <c r="E23" s="51" t="s">
        <v>53</v>
      </c>
      <c r="F23" s="31"/>
      <c r="M23" s="585" t="s">
        <v>8779</v>
      </c>
    </row>
    <row r="24">
      <c r="A24" s="14" t="s">
        <v>44</v>
      </c>
      <c r="B24" s="31">
        <v>21.0</v>
      </c>
      <c r="C24" s="612" t="s">
        <v>636</v>
      </c>
      <c r="D24" s="612" t="s">
        <v>8780</v>
      </c>
      <c r="E24" s="36" t="s">
        <v>49</v>
      </c>
      <c r="F24" s="31"/>
      <c r="M24" s="585" t="s">
        <v>8781</v>
      </c>
    </row>
    <row r="25">
      <c r="A25" s="14" t="s">
        <v>44</v>
      </c>
      <c r="B25" s="31">
        <v>22.0</v>
      </c>
      <c r="C25" s="612" t="s">
        <v>519</v>
      </c>
      <c r="D25" s="612" t="s">
        <v>519</v>
      </c>
      <c r="E25" s="51"/>
      <c r="F25" s="31"/>
      <c r="M25" s="585" t="s">
        <v>8783</v>
      </c>
    </row>
    <row r="26">
      <c r="A26" s="14" t="s">
        <v>44</v>
      </c>
      <c r="B26" s="31">
        <v>23.0</v>
      </c>
      <c r="C26" s="615" t="s">
        <v>1130</v>
      </c>
      <c r="D26" s="615" t="s">
        <v>8786</v>
      </c>
      <c r="E26" s="36" t="s">
        <v>49</v>
      </c>
      <c r="F26" s="31"/>
      <c r="M26" s="585" t="s">
        <v>8787</v>
      </c>
    </row>
    <row r="27">
      <c r="A27" s="14" t="s">
        <v>44</v>
      </c>
      <c r="B27" s="31">
        <v>24.0</v>
      </c>
      <c r="C27" s="612" t="s">
        <v>384</v>
      </c>
      <c r="D27" s="612" t="s">
        <v>8788</v>
      </c>
      <c r="E27" s="36" t="s">
        <v>49</v>
      </c>
      <c r="F27" s="31"/>
      <c r="M27" s="585" t="s">
        <v>8789</v>
      </c>
    </row>
    <row r="28">
      <c r="A28" s="14" t="s">
        <v>44</v>
      </c>
      <c r="B28" s="31">
        <v>25.0</v>
      </c>
      <c r="C28" s="612" t="s">
        <v>8790</v>
      </c>
      <c r="D28" s="612" t="s">
        <v>8791</v>
      </c>
      <c r="E28" s="36" t="s">
        <v>49</v>
      </c>
      <c r="F28" s="31"/>
      <c r="M28" s="585" t="s">
        <v>8792</v>
      </c>
    </row>
    <row r="29">
      <c r="A29" s="14" t="s">
        <v>44</v>
      </c>
      <c r="B29" s="31">
        <v>26.0</v>
      </c>
      <c r="C29" s="612" t="s">
        <v>8242</v>
      </c>
      <c r="D29" s="612" t="s">
        <v>8793</v>
      </c>
      <c r="E29" s="36" t="s">
        <v>49</v>
      </c>
      <c r="F29" s="164" t="s">
        <v>498</v>
      </c>
      <c r="M29" s="585" t="s">
        <v>8794</v>
      </c>
    </row>
    <row r="30">
      <c r="A30" s="14" t="s">
        <v>44</v>
      </c>
      <c r="B30" s="31">
        <v>27.0</v>
      </c>
      <c r="C30" s="612" t="s">
        <v>2506</v>
      </c>
      <c r="D30" s="612" t="s">
        <v>8795</v>
      </c>
      <c r="E30" s="51" t="s">
        <v>53</v>
      </c>
      <c r="F30" s="31"/>
      <c r="M30" s="585" t="s">
        <v>8796</v>
      </c>
    </row>
    <row r="31">
      <c r="A31" s="14" t="s">
        <v>44</v>
      </c>
      <c r="B31" s="31">
        <v>28.0</v>
      </c>
      <c r="C31" s="612" t="s">
        <v>4829</v>
      </c>
      <c r="D31" s="612" t="s">
        <v>8798</v>
      </c>
      <c r="E31" s="36" t="s">
        <v>49</v>
      </c>
      <c r="F31" s="31"/>
      <c r="M31" s="585" t="s">
        <v>8799</v>
      </c>
    </row>
    <row r="32">
      <c r="A32" s="14" t="s">
        <v>44</v>
      </c>
      <c r="B32" s="31">
        <v>29.0</v>
      </c>
      <c r="C32" s="612" t="s">
        <v>239</v>
      </c>
      <c r="D32" s="612" t="s">
        <v>8800</v>
      </c>
      <c r="E32" s="51" t="s">
        <v>53</v>
      </c>
      <c r="F32" s="31"/>
      <c r="M32" s="585" t="s">
        <v>8801</v>
      </c>
    </row>
    <row r="33">
      <c r="A33" s="14" t="s">
        <v>44</v>
      </c>
      <c r="B33" s="31">
        <v>30.0</v>
      </c>
      <c r="C33" s="612" t="s">
        <v>8802</v>
      </c>
      <c r="D33" s="612" t="s">
        <v>8803</v>
      </c>
      <c r="E33" s="51" t="s">
        <v>53</v>
      </c>
      <c r="F33" s="164" t="s">
        <v>751</v>
      </c>
      <c r="M33" s="585" t="s">
        <v>8804</v>
      </c>
    </row>
    <row r="34">
      <c r="A34" s="14" t="s">
        <v>44</v>
      </c>
      <c r="B34" s="31">
        <v>31.0</v>
      </c>
      <c r="C34" s="612" t="s">
        <v>8807</v>
      </c>
      <c r="D34" s="612" t="s">
        <v>1451</v>
      </c>
      <c r="E34" s="36" t="s">
        <v>49</v>
      </c>
      <c r="F34" s="31"/>
      <c r="M34" s="585" t="s">
        <v>8808</v>
      </c>
    </row>
    <row r="35">
      <c r="A35" s="14" t="s">
        <v>44</v>
      </c>
      <c r="B35" s="31">
        <v>32.0</v>
      </c>
      <c r="C35" s="615" t="s">
        <v>235</v>
      </c>
      <c r="D35" s="615" t="s">
        <v>4620</v>
      </c>
      <c r="E35" s="36" t="s">
        <v>49</v>
      </c>
      <c r="F35" s="31"/>
      <c r="M35" s="585" t="s">
        <v>8810</v>
      </c>
    </row>
    <row r="36">
      <c r="A36" s="14" t="s">
        <v>44</v>
      </c>
      <c r="B36" s="31">
        <v>33.0</v>
      </c>
      <c r="C36" s="612" t="s">
        <v>8242</v>
      </c>
      <c r="D36" s="612" t="s">
        <v>8811</v>
      </c>
      <c r="E36" s="51" t="s">
        <v>53</v>
      </c>
      <c r="F36" s="31"/>
      <c r="M36" s="585" t="s">
        <v>8812</v>
      </c>
    </row>
    <row r="37">
      <c r="A37" s="14" t="s">
        <v>44</v>
      </c>
      <c r="B37" s="31">
        <v>34.0</v>
      </c>
      <c r="C37" s="612" t="s">
        <v>2444</v>
      </c>
      <c r="D37" s="612" t="s">
        <v>8811</v>
      </c>
      <c r="E37" s="51" t="s">
        <v>53</v>
      </c>
      <c r="F37" s="31"/>
      <c r="M37" s="585" t="s">
        <v>8813</v>
      </c>
    </row>
    <row r="38">
      <c r="A38" s="14" t="s">
        <v>44</v>
      </c>
      <c r="B38" s="31">
        <v>35.0</v>
      </c>
      <c r="C38" s="612" t="s">
        <v>28</v>
      </c>
      <c r="D38" s="612" t="s">
        <v>8814</v>
      </c>
      <c r="E38" s="51" t="s">
        <v>53</v>
      </c>
      <c r="F38" s="31"/>
      <c r="M38" s="585" t="s">
        <v>8815</v>
      </c>
    </row>
    <row r="39">
      <c r="A39" s="14" t="s">
        <v>44</v>
      </c>
      <c r="B39" s="31">
        <v>36.0</v>
      </c>
      <c r="C39" s="612" t="s">
        <v>551</v>
      </c>
      <c r="D39" s="612" t="s">
        <v>8816</v>
      </c>
      <c r="E39" s="51" t="s">
        <v>53</v>
      </c>
      <c r="F39" s="31"/>
      <c r="M39" s="585" t="s">
        <v>8817</v>
      </c>
    </row>
    <row r="40">
      <c r="A40" s="14" t="s">
        <v>44</v>
      </c>
      <c r="B40" s="31">
        <v>37.0</v>
      </c>
      <c r="C40" s="612" t="s">
        <v>7248</v>
      </c>
      <c r="D40" s="612" t="s">
        <v>89</v>
      </c>
      <c r="E40" s="51" t="s">
        <v>53</v>
      </c>
      <c r="F40" s="31"/>
      <c r="M40" s="585" t="s">
        <v>8819</v>
      </c>
    </row>
    <row r="41">
      <c r="A41" s="14" t="s">
        <v>44</v>
      </c>
      <c r="B41" s="31">
        <v>38.0</v>
      </c>
      <c r="C41" s="612" t="s">
        <v>2777</v>
      </c>
      <c r="D41" s="612" t="s">
        <v>8821</v>
      </c>
      <c r="E41" s="51" t="s">
        <v>53</v>
      </c>
      <c r="F41" s="31"/>
      <c r="M41" s="585" t="s">
        <v>8822</v>
      </c>
    </row>
    <row r="42">
      <c r="A42" s="14" t="s">
        <v>44</v>
      </c>
      <c r="B42" s="31">
        <v>39.0</v>
      </c>
      <c r="C42" s="612" t="s">
        <v>635</v>
      </c>
      <c r="D42" s="612" t="s">
        <v>8823</v>
      </c>
      <c r="E42" s="51" t="s">
        <v>53</v>
      </c>
      <c r="F42" s="31"/>
      <c r="M42" s="585" t="s">
        <v>8824</v>
      </c>
    </row>
    <row r="43">
      <c r="A43" s="14" t="s">
        <v>44</v>
      </c>
      <c r="B43" s="31">
        <v>40.0</v>
      </c>
      <c r="C43" s="612" t="s">
        <v>3785</v>
      </c>
      <c r="D43" s="612" t="s">
        <v>8825</v>
      </c>
      <c r="E43" s="51" t="s">
        <v>53</v>
      </c>
      <c r="F43" s="31"/>
      <c r="M43" s="585" t="s">
        <v>8826</v>
      </c>
    </row>
    <row r="44">
      <c r="A44" s="14" t="s">
        <v>44</v>
      </c>
      <c r="B44" s="31">
        <v>41.0</v>
      </c>
      <c r="C44" s="612" t="s">
        <v>8827</v>
      </c>
      <c r="D44" s="612" t="s">
        <v>8828</v>
      </c>
      <c r="E44" s="36" t="s">
        <v>49</v>
      </c>
      <c r="F44" s="31"/>
      <c r="M44" s="585" t="s">
        <v>8829</v>
      </c>
    </row>
    <row r="45">
      <c r="A45" s="14" t="s">
        <v>44</v>
      </c>
      <c r="B45" s="31">
        <v>42.0</v>
      </c>
      <c r="C45" s="612" t="s">
        <v>1863</v>
      </c>
      <c r="D45" s="612" t="s">
        <v>8830</v>
      </c>
      <c r="E45" s="36" t="s">
        <v>49</v>
      </c>
      <c r="F45" s="31"/>
      <c r="M45" s="585" t="s">
        <v>8831</v>
      </c>
    </row>
    <row r="46">
      <c r="A46" s="14" t="s">
        <v>44</v>
      </c>
      <c r="B46" s="31">
        <v>43.0</v>
      </c>
      <c r="C46" s="612" t="s">
        <v>4750</v>
      </c>
      <c r="D46" s="612" t="s">
        <v>3036</v>
      </c>
      <c r="E46" s="51" t="s">
        <v>53</v>
      </c>
      <c r="F46" s="31"/>
      <c r="M46" s="585" t="s">
        <v>8832</v>
      </c>
    </row>
    <row r="47">
      <c r="A47" s="14" t="s">
        <v>44</v>
      </c>
      <c r="B47" s="31">
        <v>44.0</v>
      </c>
      <c r="C47" s="612" t="s">
        <v>3296</v>
      </c>
      <c r="D47" s="612" t="s">
        <v>8833</v>
      </c>
      <c r="E47" s="51" t="s">
        <v>53</v>
      </c>
      <c r="F47" s="31"/>
      <c r="M47" s="585" t="s">
        <v>8834</v>
      </c>
    </row>
    <row r="48">
      <c r="A48" s="14" t="s">
        <v>44</v>
      </c>
      <c r="B48" s="31">
        <v>45.0</v>
      </c>
      <c r="C48" s="612" t="s">
        <v>552</v>
      </c>
      <c r="D48" s="612" t="s">
        <v>8835</v>
      </c>
      <c r="E48" s="51" t="s">
        <v>53</v>
      </c>
      <c r="F48" s="31"/>
      <c r="M48" s="585" t="s">
        <v>8836</v>
      </c>
    </row>
    <row r="49">
      <c r="A49" s="14" t="s">
        <v>44</v>
      </c>
      <c r="B49" s="31">
        <v>46.0</v>
      </c>
      <c r="C49" s="612" t="s">
        <v>325</v>
      </c>
      <c r="D49" s="612" t="s">
        <v>8837</v>
      </c>
      <c r="E49" s="51" t="s">
        <v>53</v>
      </c>
      <c r="F49" s="31"/>
      <c r="M49" s="585" t="s">
        <v>8838</v>
      </c>
    </row>
    <row r="50">
      <c r="A50" s="14" t="s">
        <v>44</v>
      </c>
      <c r="B50" s="31">
        <v>47.0</v>
      </c>
      <c r="C50" s="612" t="s">
        <v>2724</v>
      </c>
      <c r="D50" s="612" t="s">
        <v>8839</v>
      </c>
      <c r="E50" s="36" t="s">
        <v>49</v>
      </c>
      <c r="F50" s="31"/>
      <c r="M50" s="585" t="s">
        <v>8840</v>
      </c>
    </row>
    <row r="51">
      <c r="A51" s="14" t="s">
        <v>44</v>
      </c>
      <c r="B51" s="31">
        <v>48.0</v>
      </c>
      <c r="C51" s="612" t="s">
        <v>6166</v>
      </c>
      <c r="D51" s="612" t="s">
        <v>8841</v>
      </c>
      <c r="E51" s="36" t="s">
        <v>49</v>
      </c>
      <c r="F51" s="31"/>
      <c r="M51" s="585" t="s">
        <v>8842</v>
      </c>
    </row>
    <row r="52">
      <c r="A52" s="14" t="s">
        <v>44</v>
      </c>
      <c r="B52" s="31">
        <v>49.0</v>
      </c>
      <c r="C52" s="612" t="s">
        <v>8843</v>
      </c>
      <c r="D52" s="612" t="s">
        <v>8844</v>
      </c>
      <c r="E52" s="36" t="s">
        <v>49</v>
      </c>
      <c r="F52" s="31"/>
      <c r="M52" s="585" t="s">
        <v>8845</v>
      </c>
    </row>
    <row r="53">
      <c r="A53" s="14" t="s">
        <v>44</v>
      </c>
      <c r="B53" s="31">
        <v>50.0</v>
      </c>
      <c r="C53" s="612" t="s">
        <v>8846</v>
      </c>
      <c r="D53" s="612" t="s">
        <v>7685</v>
      </c>
      <c r="E53" s="36" t="s">
        <v>49</v>
      </c>
      <c r="F53" s="31"/>
      <c r="M53" s="585" t="s">
        <v>8847</v>
      </c>
    </row>
    <row r="54">
      <c r="A54" s="14" t="s">
        <v>44</v>
      </c>
      <c r="B54" s="31">
        <v>51.0</v>
      </c>
      <c r="C54" s="612" t="s">
        <v>1000</v>
      </c>
      <c r="D54" s="612" t="s">
        <v>3789</v>
      </c>
      <c r="E54" s="51" t="s">
        <v>53</v>
      </c>
      <c r="F54" s="31"/>
      <c r="M54" s="585" t="s">
        <v>8848</v>
      </c>
    </row>
    <row r="55">
      <c r="A55" s="14" t="s">
        <v>44</v>
      </c>
      <c r="B55" s="31">
        <v>52.0</v>
      </c>
      <c r="C55" s="612" t="s">
        <v>526</v>
      </c>
      <c r="D55" s="612" t="s">
        <v>1772</v>
      </c>
      <c r="E55" s="51" t="s">
        <v>53</v>
      </c>
      <c r="F55" s="31"/>
      <c r="M55" s="585" t="s">
        <v>8849</v>
      </c>
    </row>
    <row r="56">
      <c r="A56" s="14" t="s">
        <v>44</v>
      </c>
      <c r="B56" s="31">
        <v>53.0</v>
      </c>
      <c r="C56" s="612" t="s">
        <v>2194</v>
      </c>
      <c r="D56" s="612" t="s">
        <v>8850</v>
      </c>
      <c r="E56" s="51" t="s">
        <v>53</v>
      </c>
      <c r="F56" s="164" t="s">
        <v>1188</v>
      </c>
      <c r="M56" s="585" t="s">
        <v>8851</v>
      </c>
    </row>
    <row r="57">
      <c r="A57" s="14" t="s">
        <v>44</v>
      </c>
      <c r="B57" s="31">
        <v>54.0</v>
      </c>
      <c r="C57" s="612" t="s">
        <v>1990</v>
      </c>
      <c r="D57" s="612" t="s">
        <v>89</v>
      </c>
      <c r="E57" s="51" t="s">
        <v>53</v>
      </c>
      <c r="F57" s="31"/>
      <c r="M57" s="585" t="s">
        <v>8852</v>
      </c>
    </row>
    <row r="58">
      <c r="A58" s="14" t="s">
        <v>44</v>
      </c>
      <c r="B58" s="31">
        <v>55.0</v>
      </c>
      <c r="C58" s="612" t="s">
        <v>1576</v>
      </c>
      <c r="D58" s="612" t="s">
        <v>8853</v>
      </c>
      <c r="E58" s="51" t="s">
        <v>53</v>
      </c>
      <c r="F58" s="31"/>
      <c r="M58" s="585" t="s">
        <v>8854</v>
      </c>
    </row>
    <row r="59">
      <c r="A59" s="14" t="s">
        <v>44</v>
      </c>
      <c r="B59" s="31">
        <v>56.0</v>
      </c>
      <c r="C59" s="612" t="s">
        <v>4426</v>
      </c>
      <c r="D59" s="612" t="s">
        <v>8855</v>
      </c>
      <c r="E59" s="51" t="s">
        <v>53</v>
      </c>
      <c r="F59" s="31"/>
      <c r="M59" s="585" t="s">
        <v>8856</v>
      </c>
    </row>
    <row r="60">
      <c r="A60" s="14" t="s">
        <v>44</v>
      </c>
      <c r="B60" s="31">
        <v>57.0</v>
      </c>
      <c r="C60" s="612" t="s">
        <v>8857</v>
      </c>
      <c r="D60" s="612" t="s">
        <v>6633</v>
      </c>
      <c r="E60" s="51" t="s">
        <v>53</v>
      </c>
      <c r="F60" s="31"/>
      <c r="M60" s="585" t="s">
        <v>8858</v>
      </c>
    </row>
    <row r="61">
      <c r="A61" s="14" t="s">
        <v>44</v>
      </c>
      <c r="B61" s="31">
        <v>58.0</v>
      </c>
      <c r="C61" s="612" t="s">
        <v>6075</v>
      </c>
      <c r="D61" s="612" t="s">
        <v>8859</v>
      </c>
      <c r="E61" s="51" t="s">
        <v>53</v>
      </c>
      <c r="F61" s="164" t="s">
        <v>1188</v>
      </c>
      <c r="M61" s="585" t="s">
        <v>8860</v>
      </c>
    </row>
    <row r="62">
      <c r="A62" s="14" t="s">
        <v>44</v>
      </c>
      <c r="B62" s="31">
        <v>59.0</v>
      </c>
      <c r="C62" s="612" t="s">
        <v>551</v>
      </c>
      <c r="D62" s="612" t="s">
        <v>8861</v>
      </c>
      <c r="E62" s="51" t="s">
        <v>53</v>
      </c>
      <c r="F62" s="31"/>
      <c r="M62" s="585" t="s">
        <v>8862</v>
      </c>
    </row>
    <row r="63">
      <c r="A63" s="14" t="s">
        <v>44</v>
      </c>
      <c r="B63" s="31">
        <v>60.0</v>
      </c>
      <c r="C63" s="612" t="s">
        <v>1213</v>
      </c>
      <c r="D63" s="612" t="s">
        <v>302</v>
      </c>
      <c r="E63" s="36" t="s">
        <v>49</v>
      </c>
      <c r="F63" s="31"/>
      <c r="M63" s="585" t="s">
        <v>8863</v>
      </c>
    </row>
    <row r="64">
      <c r="A64" s="14" t="s">
        <v>44</v>
      </c>
      <c r="B64" s="31">
        <v>61.0</v>
      </c>
      <c r="C64" s="612" t="s">
        <v>476</v>
      </c>
      <c r="D64" s="612" t="s">
        <v>4789</v>
      </c>
      <c r="E64" s="36" t="s">
        <v>49</v>
      </c>
      <c r="F64" s="31"/>
      <c r="M64" s="585" t="s">
        <v>8864</v>
      </c>
    </row>
    <row r="65">
      <c r="A65" s="14" t="s">
        <v>44</v>
      </c>
      <c r="B65" s="31">
        <v>62.0</v>
      </c>
      <c r="C65" s="612" t="s">
        <v>338</v>
      </c>
      <c r="D65" s="612" t="s">
        <v>8865</v>
      </c>
      <c r="E65" s="36" t="s">
        <v>49</v>
      </c>
      <c r="F65" s="31"/>
      <c r="M65" s="585" t="s">
        <v>8866</v>
      </c>
    </row>
    <row r="66">
      <c r="A66" s="14" t="s">
        <v>44</v>
      </c>
      <c r="B66" s="31">
        <v>63.0</v>
      </c>
      <c r="C66" s="612" t="s">
        <v>5547</v>
      </c>
      <c r="D66" s="612" t="s">
        <v>447</v>
      </c>
      <c r="E66" s="36" t="s">
        <v>49</v>
      </c>
      <c r="F66" s="31"/>
      <c r="M66" s="585" t="s">
        <v>8867</v>
      </c>
    </row>
    <row r="67">
      <c r="A67" s="14" t="s">
        <v>44</v>
      </c>
      <c r="B67" s="31">
        <v>64.0</v>
      </c>
      <c r="C67" s="612" t="s">
        <v>341</v>
      </c>
      <c r="D67" s="612" t="s">
        <v>6034</v>
      </c>
      <c r="E67" s="51" t="s">
        <v>53</v>
      </c>
      <c r="F67" s="31"/>
      <c r="M67" s="585" t="s">
        <v>8868</v>
      </c>
    </row>
    <row r="68">
      <c r="A68" s="14" t="s">
        <v>44</v>
      </c>
      <c r="B68" s="31">
        <v>65.0</v>
      </c>
      <c r="C68" s="612" t="s">
        <v>575</v>
      </c>
      <c r="D68" s="612" t="s">
        <v>6013</v>
      </c>
      <c r="E68" s="36" t="s">
        <v>49</v>
      </c>
      <c r="F68" s="31"/>
      <c r="M68" s="585" t="s">
        <v>8869</v>
      </c>
    </row>
    <row r="69">
      <c r="A69" s="14" t="s">
        <v>44</v>
      </c>
      <c r="B69" s="31">
        <v>66.0</v>
      </c>
      <c r="C69" s="612" t="s">
        <v>932</v>
      </c>
      <c r="D69" s="612" t="s">
        <v>8870</v>
      </c>
      <c r="E69" s="36" t="s">
        <v>49</v>
      </c>
      <c r="F69" s="164" t="s">
        <v>2004</v>
      </c>
      <c r="M69" s="585" t="s">
        <v>8871</v>
      </c>
    </row>
    <row r="70">
      <c r="A70" s="14" t="s">
        <v>44</v>
      </c>
      <c r="B70" s="31">
        <v>67.0</v>
      </c>
      <c r="C70" s="612" t="s">
        <v>338</v>
      </c>
      <c r="D70" s="612" t="s">
        <v>7478</v>
      </c>
      <c r="E70" s="51" t="s">
        <v>53</v>
      </c>
      <c r="F70" s="31"/>
      <c r="M70" s="585" t="s">
        <v>8872</v>
      </c>
    </row>
    <row r="71">
      <c r="A71" s="14" t="s">
        <v>44</v>
      </c>
      <c r="B71" s="31">
        <v>68.0</v>
      </c>
      <c r="C71" s="612" t="s">
        <v>1193</v>
      </c>
      <c r="D71" s="612" t="s">
        <v>8873</v>
      </c>
      <c r="E71" s="51" t="s">
        <v>53</v>
      </c>
      <c r="F71" s="31"/>
      <c r="M71" s="585" t="s">
        <v>8874</v>
      </c>
    </row>
    <row r="72">
      <c r="A72" s="14" t="s">
        <v>44</v>
      </c>
      <c r="B72" s="31">
        <v>69.0</v>
      </c>
      <c r="C72" s="612" t="s">
        <v>6101</v>
      </c>
      <c r="D72" s="612" t="s">
        <v>8875</v>
      </c>
      <c r="E72" s="51" t="s">
        <v>53</v>
      </c>
      <c r="F72" s="31"/>
      <c r="M72" s="585" t="s">
        <v>8876</v>
      </c>
    </row>
    <row r="73">
      <c r="A73" s="14" t="s">
        <v>44</v>
      </c>
      <c r="B73" s="31">
        <v>70.0</v>
      </c>
      <c r="C73" s="612" t="s">
        <v>2133</v>
      </c>
      <c r="D73" s="612" t="s">
        <v>8877</v>
      </c>
      <c r="E73" s="51" t="s">
        <v>53</v>
      </c>
      <c r="F73" s="31"/>
      <c r="M73" s="585" t="s">
        <v>8878</v>
      </c>
    </row>
    <row r="74">
      <c r="A74" s="14" t="s">
        <v>44</v>
      </c>
      <c r="B74" s="31">
        <v>71.0</v>
      </c>
      <c r="C74" s="612" t="s">
        <v>2250</v>
      </c>
      <c r="D74" s="612" t="s">
        <v>183</v>
      </c>
      <c r="E74" s="51" t="s">
        <v>53</v>
      </c>
      <c r="F74" s="31"/>
      <c r="M74" s="585" t="s">
        <v>8879</v>
      </c>
    </row>
    <row r="75">
      <c r="A75" s="14" t="s">
        <v>44</v>
      </c>
      <c r="B75" s="31">
        <v>72.0</v>
      </c>
      <c r="C75" s="612" t="s">
        <v>338</v>
      </c>
      <c r="D75" s="612" t="s">
        <v>3731</v>
      </c>
      <c r="E75" s="51" t="s">
        <v>53</v>
      </c>
      <c r="F75" s="31"/>
      <c r="M75" s="585" t="s">
        <v>8880</v>
      </c>
    </row>
    <row r="76">
      <c r="A76" s="14" t="s">
        <v>44</v>
      </c>
      <c r="B76" s="31">
        <v>73.0</v>
      </c>
      <c r="C76" s="612" t="s">
        <v>476</v>
      </c>
      <c r="D76" s="612" t="s">
        <v>8881</v>
      </c>
      <c r="E76" s="36" t="s">
        <v>49</v>
      </c>
      <c r="F76" s="31"/>
      <c r="M76" s="585" t="s">
        <v>8882</v>
      </c>
    </row>
    <row r="77">
      <c r="A77" s="14" t="s">
        <v>44</v>
      </c>
      <c r="B77" s="31">
        <v>74.0</v>
      </c>
      <c r="C77" s="612" t="s">
        <v>2525</v>
      </c>
      <c r="D77" s="612" t="s">
        <v>5101</v>
      </c>
      <c r="E77" s="36" t="s">
        <v>49</v>
      </c>
      <c r="F77" s="31"/>
      <c r="M77" s="585" t="s">
        <v>8883</v>
      </c>
    </row>
    <row r="78">
      <c r="A78" s="14" t="s">
        <v>44</v>
      </c>
      <c r="B78" s="31">
        <v>75.0</v>
      </c>
      <c r="C78" s="612" t="s">
        <v>997</v>
      </c>
      <c r="D78" s="612" t="s">
        <v>8884</v>
      </c>
      <c r="E78" s="51" t="s">
        <v>53</v>
      </c>
      <c r="F78" s="31"/>
      <c r="M78" s="585" t="s">
        <v>8885</v>
      </c>
    </row>
    <row r="79">
      <c r="A79" s="14" t="s">
        <v>44</v>
      </c>
      <c r="B79" s="31">
        <v>76.0</v>
      </c>
      <c r="C79" s="612" t="s">
        <v>2780</v>
      </c>
      <c r="D79" s="612" t="s">
        <v>1043</v>
      </c>
      <c r="E79" s="36" t="s">
        <v>49</v>
      </c>
      <c r="F79" s="31"/>
      <c r="M79" s="585" t="s">
        <v>8886</v>
      </c>
    </row>
    <row r="80">
      <c r="A80" s="14" t="s">
        <v>44</v>
      </c>
      <c r="B80" s="31">
        <v>77.0</v>
      </c>
      <c r="C80" s="612" t="s">
        <v>91</v>
      </c>
      <c r="D80" s="612" t="s">
        <v>5661</v>
      </c>
      <c r="E80" s="36" t="s">
        <v>49</v>
      </c>
      <c r="F80" s="31"/>
      <c r="M80" s="585" t="s">
        <v>8887</v>
      </c>
    </row>
    <row r="81">
      <c r="A81" s="14" t="s">
        <v>44</v>
      </c>
      <c r="B81" s="31">
        <v>78.0</v>
      </c>
      <c r="C81" s="612" t="s">
        <v>4142</v>
      </c>
      <c r="D81" s="612" t="s">
        <v>7609</v>
      </c>
      <c r="E81" s="36" t="s">
        <v>49</v>
      </c>
      <c r="F81" s="31"/>
      <c r="M81" s="585" t="s">
        <v>8888</v>
      </c>
    </row>
    <row r="82">
      <c r="A82" s="14" t="s">
        <v>44</v>
      </c>
      <c r="B82" s="31">
        <v>79.0</v>
      </c>
      <c r="C82" s="612" t="s">
        <v>1134</v>
      </c>
      <c r="D82" s="612" t="s">
        <v>8889</v>
      </c>
      <c r="E82" s="36" t="s">
        <v>49</v>
      </c>
      <c r="F82" s="31"/>
      <c r="M82" s="585" t="s">
        <v>8890</v>
      </c>
    </row>
    <row r="83">
      <c r="A83" s="14" t="s">
        <v>44</v>
      </c>
      <c r="B83" s="31">
        <v>80.0</v>
      </c>
      <c r="C83" s="612" t="s">
        <v>364</v>
      </c>
      <c r="D83" s="612" t="s">
        <v>8891</v>
      </c>
      <c r="E83" s="51" t="s">
        <v>53</v>
      </c>
      <c r="F83" s="164" t="s">
        <v>1188</v>
      </c>
      <c r="M83" s="585" t="s">
        <v>8892</v>
      </c>
    </row>
    <row r="84">
      <c r="A84" s="14" t="s">
        <v>44</v>
      </c>
      <c r="B84" s="31">
        <v>81.0</v>
      </c>
      <c r="C84" s="612" t="s">
        <v>514</v>
      </c>
      <c r="D84" s="612" t="s">
        <v>8893</v>
      </c>
      <c r="E84" s="36" t="s">
        <v>49</v>
      </c>
      <c r="F84" s="31"/>
      <c r="M84" s="585" t="s">
        <v>8894</v>
      </c>
    </row>
    <row r="85">
      <c r="A85" s="14" t="s">
        <v>44</v>
      </c>
      <c r="B85" s="31">
        <v>82.0</v>
      </c>
      <c r="C85" s="612" t="s">
        <v>8895</v>
      </c>
      <c r="D85" s="612" t="s">
        <v>8896</v>
      </c>
      <c r="E85" s="36" t="s">
        <v>49</v>
      </c>
      <c r="F85" s="31"/>
      <c r="M85" s="585" t="s">
        <v>8897</v>
      </c>
    </row>
    <row r="86">
      <c r="A86" s="14" t="s">
        <v>44</v>
      </c>
      <c r="B86" s="31">
        <v>83.0</v>
      </c>
      <c r="C86" s="612" t="s">
        <v>1973</v>
      </c>
      <c r="D86" s="612" t="s">
        <v>4785</v>
      </c>
      <c r="E86" s="36" t="s">
        <v>49</v>
      </c>
      <c r="F86" s="164" t="s">
        <v>2004</v>
      </c>
      <c r="M86" s="585" t="s">
        <v>8898</v>
      </c>
    </row>
    <row r="87">
      <c r="A87" s="14" t="s">
        <v>44</v>
      </c>
      <c r="B87" s="31">
        <v>84.0</v>
      </c>
      <c r="C87" s="616" t="s">
        <v>8899</v>
      </c>
      <c r="D87" s="615" t="s">
        <v>8900</v>
      </c>
      <c r="E87" s="36" t="s">
        <v>49</v>
      </c>
      <c r="F87" s="31"/>
      <c r="M87" s="585" t="s">
        <v>8901</v>
      </c>
    </row>
    <row r="88">
      <c r="A88" s="14" t="s">
        <v>44</v>
      </c>
      <c r="B88" s="31">
        <v>85.0</v>
      </c>
      <c r="C88" s="612" t="s">
        <v>2846</v>
      </c>
      <c r="D88" s="612" t="s">
        <v>8902</v>
      </c>
      <c r="E88" s="51" t="s">
        <v>53</v>
      </c>
      <c r="F88" s="31"/>
      <c r="M88" s="585" t="s">
        <v>8903</v>
      </c>
    </row>
    <row r="89">
      <c r="A89" s="14" t="s">
        <v>44</v>
      </c>
      <c r="B89" s="31">
        <v>86.0</v>
      </c>
      <c r="C89" s="612" t="s">
        <v>108</v>
      </c>
      <c r="D89" s="612" t="s">
        <v>8904</v>
      </c>
      <c r="E89" s="51" t="s">
        <v>53</v>
      </c>
      <c r="F89" s="31"/>
      <c r="M89" s="585" t="s">
        <v>8905</v>
      </c>
    </row>
    <row r="90">
      <c r="A90" s="14" t="s">
        <v>44</v>
      </c>
      <c r="B90" s="31">
        <v>87.0</v>
      </c>
      <c r="C90" s="612" t="s">
        <v>123</v>
      </c>
      <c r="D90" s="612" t="s">
        <v>8906</v>
      </c>
      <c r="E90" s="51" t="s">
        <v>53</v>
      </c>
      <c r="F90" s="31"/>
      <c r="M90" s="585" t="s">
        <v>8907</v>
      </c>
    </row>
    <row r="91">
      <c r="A91" s="14" t="s">
        <v>44</v>
      </c>
      <c r="B91" s="31">
        <v>88.0</v>
      </c>
      <c r="C91" s="612" t="s">
        <v>1863</v>
      </c>
      <c r="D91" s="612" t="s">
        <v>8908</v>
      </c>
      <c r="E91" s="51" t="s">
        <v>53</v>
      </c>
      <c r="F91" s="31"/>
      <c r="M91" s="585" t="s">
        <v>8909</v>
      </c>
    </row>
    <row r="92">
      <c r="A92" s="14" t="s">
        <v>44</v>
      </c>
      <c r="B92" s="31">
        <v>89.0</v>
      </c>
      <c r="C92" s="612" t="s">
        <v>5573</v>
      </c>
      <c r="D92" s="612" t="s">
        <v>8910</v>
      </c>
      <c r="E92" s="36" t="s">
        <v>49</v>
      </c>
      <c r="F92" s="31"/>
      <c r="M92" s="585" t="s">
        <v>8911</v>
      </c>
    </row>
    <row r="93">
      <c r="A93" s="14" t="s">
        <v>44</v>
      </c>
      <c r="B93" s="31">
        <v>90.0</v>
      </c>
      <c r="C93" s="612" t="s">
        <v>2912</v>
      </c>
      <c r="D93" s="612" t="s">
        <v>8912</v>
      </c>
      <c r="E93" s="36" t="s">
        <v>49</v>
      </c>
      <c r="F93" s="31"/>
      <c r="M93" s="585" t="s">
        <v>8913</v>
      </c>
    </row>
    <row r="94">
      <c r="A94" s="14" t="s">
        <v>44</v>
      </c>
      <c r="B94" s="31">
        <v>91.0</v>
      </c>
      <c r="C94" s="612" t="s">
        <v>27</v>
      </c>
      <c r="D94" s="612" t="s">
        <v>8914</v>
      </c>
      <c r="E94" s="36" t="s">
        <v>49</v>
      </c>
      <c r="F94" s="31"/>
      <c r="M94" s="585" t="s">
        <v>8915</v>
      </c>
    </row>
    <row r="95">
      <c r="A95" s="14" t="s">
        <v>44</v>
      </c>
      <c r="B95" s="31">
        <v>92.0</v>
      </c>
      <c r="C95" s="612" t="s">
        <v>157</v>
      </c>
      <c r="D95" s="612" t="s">
        <v>68</v>
      </c>
      <c r="E95" s="51" t="s">
        <v>53</v>
      </c>
      <c r="F95" s="31"/>
      <c r="M95" s="585" t="s">
        <v>8916</v>
      </c>
    </row>
    <row r="96">
      <c r="A96" s="14" t="s">
        <v>44</v>
      </c>
      <c r="B96" s="31">
        <v>93.0</v>
      </c>
      <c r="C96" s="612" t="s">
        <v>622</v>
      </c>
      <c r="D96" s="612" t="s">
        <v>8233</v>
      </c>
      <c r="E96" s="51" t="s">
        <v>53</v>
      </c>
      <c r="F96" s="31"/>
      <c r="M96" s="585" t="s">
        <v>8917</v>
      </c>
    </row>
    <row r="97">
      <c r="A97" s="14" t="s">
        <v>44</v>
      </c>
      <c r="B97" s="31">
        <v>94.0</v>
      </c>
      <c r="C97" s="612" t="s">
        <v>2689</v>
      </c>
      <c r="D97" s="612" t="s">
        <v>8918</v>
      </c>
      <c r="E97" s="36" t="s">
        <v>49</v>
      </c>
      <c r="F97" s="31"/>
      <c r="M97" s="585" t="s">
        <v>8919</v>
      </c>
    </row>
    <row r="98">
      <c r="A98" s="14" t="s">
        <v>44</v>
      </c>
      <c r="B98" s="31">
        <v>95.0</v>
      </c>
      <c r="C98" s="612" t="s">
        <v>756</v>
      </c>
      <c r="D98" s="612" t="s">
        <v>8920</v>
      </c>
      <c r="E98" s="36" t="s">
        <v>49</v>
      </c>
      <c r="F98" s="164" t="s">
        <v>2004</v>
      </c>
      <c r="M98" s="585" t="s">
        <v>8921</v>
      </c>
    </row>
    <row r="99">
      <c r="A99" s="14" t="s">
        <v>44</v>
      </c>
      <c r="B99" s="31">
        <v>96.0</v>
      </c>
      <c r="C99" s="388" t="s">
        <v>338</v>
      </c>
      <c r="D99" s="388" t="s">
        <v>2415</v>
      </c>
      <c r="E99" s="51"/>
      <c r="F99" s="31"/>
      <c r="M99" s="585" t="s">
        <v>8922</v>
      </c>
    </row>
    <row r="100">
      <c r="A100" s="14" t="s">
        <v>44</v>
      </c>
      <c r="B100" s="31">
        <v>97.0</v>
      </c>
      <c r="C100" s="612" t="s">
        <v>2323</v>
      </c>
      <c r="D100" s="612" t="s">
        <v>8923</v>
      </c>
      <c r="E100" s="51" t="s">
        <v>53</v>
      </c>
      <c r="F100" s="164" t="s">
        <v>176</v>
      </c>
      <c r="M100" s="585" t="s">
        <v>8924</v>
      </c>
    </row>
    <row r="101">
      <c r="A101" s="14" t="s">
        <v>44</v>
      </c>
      <c r="B101" s="31">
        <v>98.0</v>
      </c>
      <c r="C101" s="612" t="s">
        <v>4330</v>
      </c>
      <c r="D101" s="612" t="s">
        <v>8925</v>
      </c>
      <c r="E101" s="36" t="s">
        <v>49</v>
      </c>
      <c r="F101" s="31"/>
      <c r="M101" s="585" t="s">
        <v>8926</v>
      </c>
    </row>
    <row r="102">
      <c r="A102" s="14" t="s">
        <v>44</v>
      </c>
      <c r="B102" s="31">
        <v>99.0</v>
      </c>
      <c r="C102" s="612" t="s">
        <v>2912</v>
      </c>
      <c r="D102" s="612" t="s">
        <v>2780</v>
      </c>
      <c r="E102" s="36" t="s">
        <v>49</v>
      </c>
      <c r="F102" s="31"/>
      <c r="M102" s="585" t="s">
        <v>8927</v>
      </c>
    </row>
    <row r="103">
      <c r="A103" s="14" t="s">
        <v>44</v>
      </c>
      <c r="B103" s="31">
        <v>100.0</v>
      </c>
      <c r="C103" s="612" t="s">
        <v>1162</v>
      </c>
      <c r="D103" s="612" t="s">
        <v>4352</v>
      </c>
      <c r="E103" s="36" t="s">
        <v>49</v>
      </c>
      <c r="F103" s="31"/>
      <c r="M103" s="585" t="s">
        <v>8928</v>
      </c>
    </row>
    <row r="104">
      <c r="A104" s="70"/>
      <c r="B104" s="70"/>
      <c r="C104" s="345"/>
      <c r="D104" s="345"/>
      <c r="E104" s="70"/>
      <c r="F104" s="70"/>
      <c r="G104" s="70"/>
      <c r="H104" s="70"/>
      <c r="I104" s="70"/>
      <c r="J104" s="70"/>
      <c r="K104" s="70"/>
      <c r="L104" s="70"/>
      <c r="M104" s="192"/>
      <c r="N104" s="70"/>
      <c r="O104" s="70"/>
      <c r="P104" s="70"/>
      <c r="Q104" s="70"/>
      <c r="R104" s="70"/>
      <c r="S104" s="70"/>
      <c r="T104" s="70"/>
      <c r="U104" s="70"/>
      <c r="V104" s="70"/>
      <c r="W104" s="70"/>
      <c r="X104" s="70"/>
      <c r="Y104" s="70"/>
      <c r="Z104" s="70"/>
      <c r="AA104" s="70"/>
      <c r="AB104" s="70"/>
      <c r="AC104" s="70"/>
      <c r="AD104" s="70"/>
    </row>
    <row r="105">
      <c r="A105" s="14" t="s">
        <v>286</v>
      </c>
      <c r="B105" s="31">
        <v>1.0</v>
      </c>
      <c r="C105" s="612" t="s">
        <v>157</v>
      </c>
      <c r="D105" s="612" t="s">
        <v>8929</v>
      </c>
      <c r="E105" s="51" t="s">
        <v>53</v>
      </c>
      <c r="F105" s="31"/>
      <c r="M105" s="585" t="s">
        <v>8930</v>
      </c>
    </row>
    <row r="106">
      <c r="A106" s="14" t="s">
        <v>286</v>
      </c>
      <c r="B106" s="31">
        <v>2.0</v>
      </c>
      <c r="C106" s="612" t="s">
        <v>3230</v>
      </c>
      <c r="D106" s="612" t="s">
        <v>447</v>
      </c>
      <c r="E106" s="51" t="s">
        <v>53</v>
      </c>
      <c r="F106" s="31"/>
      <c r="G106" s="14" t="s">
        <v>8931</v>
      </c>
      <c r="M106" s="585" t="s">
        <v>8932</v>
      </c>
    </row>
    <row r="107">
      <c r="A107" s="14" t="s">
        <v>286</v>
      </c>
      <c r="B107" s="31">
        <v>3.0</v>
      </c>
      <c r="C107" s="612" t="s">
        <v>1617</v>
      </c>
      <c r="D107" s="612" t="s">
        <v>8744</v>
      </c>
      <c r="E107" s="51" t="s">
        <v>53</v>
      </c>
      <c r="F107" s="31"/>
      <c r="M107" s="585" t="s">
        <v>8933</v>
      </c>
    </row>
    <row r="108">
      <c r="A108" s="14" t="s">
        <v>286</v>
      </c>
      <c r="B108" s="31">
        <v>4.0</v>
      </c>
      <c r="C108" s="612" t="s">
        <v>91</v>
      </c>
      <c r="D108" s="612" t="s">
        <v>8934</v>
      </c>
      <c r="E108" s="51" t="s">
        <v>53</v>
      </c>
      <c r="F108" s="164" t="s">
        <v>903</v>
      </c>
      <c r="M108" s="585" t="s">
        <v>8935</v>
      </c>
    </row>
    <row r="109">
      <c r="A109" s="14" t="s">
        <v>286</v>
      </c>
      <c r="B109" s="31">
        <v>5.0</v>
      </c>
      <c r="C109" s="612" t="s">
        <v>419</v>
      </c>
      <c r="D109" s="612" t="s">
        <v>7256</v>
      </c>
      <c r="E109" s="51" t="s">
        <v>53</v>
      </c>
      <c r="F109" s="31"/>
      <c r="M109" s="585" t="s">
        <v>8936</v>
      </c>
    </row>
    <row r="110">
      <c r="A110" s="14" t="s">
        <v>286</v>
      </c>
      <c r="B110" s="31">
        <v>6.0</v>
      </c>
      <c r="C110" s="612" t="s">
        <v>5347</v>
      </c>
      <c r="D110" s="612" t="s">
        <v>8937</v>
      </c>
      <c r="E110" s="51" t="s">
        <v>53</v>
      </c>
      <c r="F110" s="31"/>
      <c r="M110" s="585" t="s">
        <v>8938</v>
      </c>
    </row>
    <row r="111">
      <c r="A111" s="14" t="s">
        <v>286</v>
      </c>
      <c r="B111" s="31">
        <v>7.0</v>
      </c>
      <c r="C111" s="612" t="s">
        <v>191</v>
      </c>
      <c r="D111" s="612" t="s">
        <v>8939</v>
      </c>
      <c r="E111" s="51" t="s">
        <v>53</v>
      </c>
      <c r="F111" s="31"/>
      <c r="M111" s="585" t="s">
        <v>8940</v>
      </c>
    </row>
    <row r="112">
      <c r="A112" s="14" t="s">
        <v>286</v>
      </c>
      <c r="B112" s="31">
        <v>8.0</v>
      </c>
      <c r="C112" s="612" t="s">
        <v>1446</v>
      </c>
      <c r="D112" s="612" t="s">
        <v>5166</v>
      </c>
      <c r="E112" s="36" t="s">
        <v>49</v>
      </c>
      <c r="F112" s="31"/>
      <c r="M112" s="585" t="s">
        <v>8941</v>
      </c>
    </row>
    <row r="113">
      <c r="A113" s="14" t="s">
        <v>286</v>
      </c>
      <c r="B113" s="31">
        <v>9.0</v>
      </c>
      <c r="C113" s="612" t="s">
        <v>1193</v>
      </c>
      <c r="D113" s="612" t="s">
        <v>4569</v>
      </c>
      <c r="E113" s="51" t="s">
        <v>53</v>
      </c>
      <c r="F113" s="31"/>
      <c r="M113" s="585" t="s">
        <v>8942</v>
      </c>
    </row>
    <row r="114">
      <c r="A114" s="14" t="s">
        <v>286</v>
      </c>
      <c r="B114" s="31">
        <v>10.0</v>
      </c>
      <c r="C114" s="612" t="s">
        <v>55</v>
      </c>
      <c r="D114" s="612" t="s">
        <v>8943</v>
      </c>
      <c r="E114" s="51" t="s">
        <v>53</v>
      </c>
      <c r="F114" s="164" t="s">
        <v>1188</v>
      </c>
      <c r="M114" s="585" t="s">
        <v>8944</v>
      </c>
    </row>
    <row r="115">
      <c r="A115" s="14" t="s">
        <v>286</v>
      </c>
      <c r="B115" s="31">
        <v>11.0</v>
      </c>
      <c r="C115" s="612" t="s">
        <v>338</v>
      </c>
      <c r="D115" s="612" t="s">
        <v>8945</v>
      </c>
      <c r="E115" s="36" t="s">
        <v>49</v>
      </c>
      <c r="F115" s="31"/>
      <c r="M115" s="585" t="s">
        <v>8946</v>
      </c>
    </row>
    <row r="116">
      <c r="A116" s="14" t="s">
        <v>286</v>
      </c>
      <c r="B116" s="31">
        <v>12.0</v>
      </c>
      <c r="C116" s="612" t="s">
        <v>7926</v>
      </c>
      <c r="D116" s="612" t="s">
        <v>8947</v>
      </c>
      <c r="E116" s="36" t="s">
        <v>49</v>
      </c>
      <c r="F116" s="31"/>
      <c r="M116" s="585" t="s">
        <v>8948</v>
      </c>
    </row>
    <row r="117">
      <c r="A117" s="14" t="s">
        <v>286</v>
      </c>
      <c r="B117" s="31">
        <v>13.0</v>
      </c>
      <c r="C117" s="612" t="s">
        <v>1331</v>
      </c>
      <c r="D117" s="612" t="s">
        <v>8949</v>
      </c>
      <c r="E117" s="51" t="s">
        <v>53</v>
      </c>
      <c r="F117" s="31"/>
      <c r="M117" s="585" t="s">
        <v>8950</v>
      </c>
    </row>
    <row r="118">
      <c r="A118" s="14" t="s">
        <v>286</v>
      </c>
      <c r="B118" s="31">
        <v>14.0</v>
      </c>
      <c r="C118" s="612" t="s">
        <v>8951</v>
      </c>
      <c r="D118" s="612" t="s">
        <v>8952</v>
      </c>
      <c r="E118" s="51" t="s">
        <v>53</v>
      </c>
      <c r="F118" s="31"/>
      <c r="M118" s="585" t="s">
        <v>8953</v>
      </c>
    </row>
    <row r="119">
      <c r="A119" s="14" t="s">
        <v>286</v>
      </c>
      <c r="B119" s="31">
        <v>15.0</v>
      </c>
      <c r="C119" s="612" t="s">
        <v>2780</v>
      </c>
      <c r="D119" s="612" t="s">
        <v>5163</v>
      </c>
      <c r="E119" s="51" t="s">
        <v>53</v>
      </c>
      <c r="F119" s="31"/>
      <c r="G119" s="14" t="s">
        <v>8931</v>
      </c>
      <c r="M119" s="585" t="s">
        <v>8954</v>
      </c>
    </row>
    <row r="120">
      <c r="A120" s="14" t="s">
        <v>286</v>
      </c>
      <c r="B120" s="31">
        <v>16.0</v>
      </c>
      <c r="C120" s="612" t="s">
        <v>1000</v>
      </c>
      <c r="D120" s="612" t="s">
        <v>1451</v>
      </c>
      <c r="E120" s="36" t="s">
        <v>49</v>
      </c>
      <c r="F120" s="31"/>
      <c r="M120" s="585" t="s">
        <v>8955</v>
      </c>
    </row>
    <row r="121">
      <c r="A121" s="14" t="s">
        <v>286</v>
      </c>
      <c r="B121" s="31">
        <v>17.0</v>
      </c>
      <c r="C121" s="612" t="s">
        <v>157</v>
      </c>
      <c r="D121" s="612" t="s">
        <v>4054</v>
      </c>
      <c r="E121" s="51" t="s">
        <v>53</v>
      </c>
      <c r="F121" s="31"/>
      <c r="M121" s="585" t="s">
        <v>8956</v>
      </c>
    </row>
    <row r="122">
      <c r="A122" s="14" t="s">
        <v>286</v>
      </c>
      <c r="B122" s="31">
        <v>18.0</v>
      </c>
      <c r="C122" s="612" t="s">
        <v>55</v>
      </c>
      <c r="D122" s="612" t="s">
        <v>8957</v>
      </c>
      <c r="E122" s="51" t="s">
        <v>53</v>
      </c>
      <c r="F122" s="31"/>
      <c r="M122" s="585" t="s">
        <v>8958</v>
      </c>
    </row>
    <row r="123">
      <c r="A123" s="14" t="s">
        <v>286</v>
      </c>
      <c r="B123" s="31">
        <v>19.0</v>
      </c>
      <c r="C123" s="612" t="s">
        <v>2777</v>
      </c>
      <c r="D123" s="612" t="s">
        <v>8959</v>
      </c>
      <c r="E123" s="51" t="s">
        <v>53</v>
      </c>
      <c r="F123" s="31"/>
      <c r="M123" s="585" t="s">
        <v>8960</v>
      </c>
    </row>
    <row r="124">
      <c r="A124" s="14" t="s">
        <v>286</v>
      </c>
      <c r="B124" s="31">
        <v>20.0</v>
      </c>
      <c r="C124" s="612" t="s">
        <v>7576</v>
      </c>
      <c r="D124" s="612" t="s">
        <v>8961</v>
      </c>
      <c r="E124" s="51" t="s">
        <v>53</v>
      </c>
      <c r="F124" s="31"/>
      <c r="M124" s="585" t="s">
        <v>8962</v>
      </c>
    </row>
    <row r="125">
      <c r="A125" s="14" t="s">
        <v>286</v>
      </c>
      <c r="B125" s="31">
        <v>21.0</v>
      </c>
      <c r="C125" s="612" t="s">
        <v>1231</v>
      </c>
      <c r="D125" s="612" t="s">
        <v>8963</v>
      </c>
      <c r="E125" s="51" t="s">
        <v>53</v>
      </c>
      <c r="F125" s="31"/>
      <c r="M125" s="585" t="s">
        <v>8964</v>
      </c>
    </row>
    <row r="126">
      <c r="A126" s="14" t="s">
        <v>286</v>
      </c>
      <c r="B126" s="31">
        <v>22.0</v>
      </c>
      <c r="C126" s="612" t="s">
        <v>1312</v>
      </c>
      <c r="D126" s="612" t="s">
        <v>8965</v>
      </c>
      <c r="E126" s="51" t="s">
        <v>53</v>
      </c>
      <c r="F126" s="164" t="s">
        <v>1188</v>
      </c>
      <c r="M126" s="585" t="s">
        <v>8966</v>
      </c>
    </row>
    <row r="127">
      <c r="A127" s="14" t="s">
        <v>286</v>
      </c>
      <c r="B127" s="31">
        <v>23.0</v>
      </c>
      <c r="C127" s="612" t="s">
        <v>1040</v>
      </c>
      <c r="D127" s="612" t="s">
        <v>3036</v>
      </c>
      <c r="E127" s="51" t="s">
        <v>53</v>
      </c>
      <c r="F127" s="31"/>
      <c r="M127" s="585" t="s">
        <v>8967</v>
      </c>
    </row>
    <row r="128">
      <c r="A128" s="14" t="s">
        <v>286</v>
      </c>
      <c r="B128" s="31">
        <v>24.0</v>
      </c>
      <c r="C128" s="612" t="s">
        <v>514</v>
      </c>
      <c r="D128" s="612" t="s">
        <v>8968</v>
      </c>
      <c r="E128" s="36" t="s">
        <v>49</v>
      </c>
      <c r="F128" s="31"/>
      <c r="M128" s="585" t="s">
        <v>8969</v>
      </c>
    </row>
    <row r="129">
      <c r="A129" s="14" t="s">
        <v>286</v>
      </c>
      <c r="B129" s="31">
        <v>25.0</v>
      </c>
      <c r="C129" s="612" t="s">
        <v>4364</v>
      </c>
      <c r="D129" s="612" t="s">
        <v>8970</v>
      </c>
      <c r="E129" s="36" t="s">
        <v>49</v>
      </c>
      <c r="F129" s="31"/>
      <c r="M129" s="585" t="s">
        <v>8971</v>
      </c>
    </row>
    <row r="130">
      <c r="A130" s="14" t="s">
        <v>286</v>
      </c>
      <c r="B130" s="31">
        <v>26.0</v>
      </c>
      <c r="C130" s="612" t="s">
        <v>3040</v>
      </c>
      <c r="D130" s="612" t="s">
        <v>8972</v>
      </c>
      <c r="E130" s="36" t="s">
        <v>49</v>
      </c>
      <c r="F130" s="164" t="s">
        <v>2004</v>
      </c>
      <c r="M130" s="585" t="s">
        <v>8973</v>
      </c>
    </row>
    <row r="131">
      <c r="A131" s="14" t="s">
        <v>286</v>
      </c>
      <c r="B131" s="31">
        <v>27.0</v>
      </c>
      <c r="C131" s="612" t="s">
        <v>3000</v>
      </c>
      <c r="D131" s="612" t="s">
        <v>1451</v>
      </c>
      <c r="E131" s="51" t="s">
        <v>53</v>
      </c>
      <c r="F131" s="164" t="s">
        <v>1188</v>
      </c>
      <c r="M131" s="585" t="s">
        <v>8974</v>
      </c>
    </row>
    <row r="132">
      <c r="A132" s="14" t="s">
        <v>286</v>
      </c>
      <c r="B132" s="31">
        <v>28.0</v>
      </c>
      <c r="C132" s="612" t="s">
        <v>338</v>
      </c>
      <c r="D132" s="612" t="s">
        <v>1163</v>
      </c>
      <c r="E132" s="51" t="s">
        <v>53</v>
      </c>
      <c r="F132" s="31"/>
      <c r="M132" s="585" t="s">
        <v>8975</v>
      </c>
    </row>
    <row r="133">
      <c r="A133" s="14" t="s">
        <v>286</v>
      </c>
      <c r="B133" s="31">
        <v>29.0</v>
      </c>
      <c r="C133" s="612" t="s">
        <v>108</v>
      </c>
      <c r="D133" s="612" t="s">
        <v>297</v>
      </c>
      <c r="E133" s="51" t="s">
        <v>53</v>
      </c>
      <c r="F133" s="31"/>
      <c r="G133" s="14" t="s">
        <v>8931</v>
      </c>
      <c r="M133" s="585" t="s">
        <v>8976</v>
      </c>
    </row>
    <row r="134">
      <c r="A134" s="14" t="s">
        <v>286</v>
      </c>
      <c r="B134" s="31">
        <v>30.0</v>
      </c>
      <c r="C134" s="612" t="s">
        <v>278</v>
      </c>
      <c r="D134" s="612" t="s">
        <v>8977</v>
      </c>
      <c r="E134" s="51" t="s">
        <v>53</v>
      </c>
      <c r="F134" s="31"/>
      <c r="M134" s="585" t="s">
        <v>8978</v>
      </c>
    </row>
    <row r="135">
      <c r="A135" s="14" t="s">
        <v>286</v>
      </c>
      <c r="B135" s="31">
        <v>31.0</v>
      </c>
      <c r="C135" s="612" t="s">
        <v>157</v>
      </c>
      <c r="D135" s="612" t="s">
        <v>5085</v>
      </c>
      <c r="E135" s="36" t="s">
        <v>49</v>
      </c>
      <c r="F135" s="31"/>
      <c r="M135" s="585" t="s">
        <v>8979</v>
      </c>
    </row>
    <row r="136">
      <c r="A136" s="14" t="s">
        <v>286</v>
      </c>
      <c r="B136" s="31">
        <v>32.0</v>
      </c>
      <c r="C136" s="612" t="s">
        <v>2570</v>
      </c>
      <c r="D136" s="612" t="s">
        <v>1096</v>
      </c>
      <c r="E136" s="36" t="s">
        <v>49</v>
      </c>
      <c r="F136" s="31"/>
      <c r="M136" s="585" t="s">
        <v>8980</v>
      </c>
    </row>
    <row r="137">
      <c r="A137" s="14" t="s">
        <v>286</v>
      </c>
      <c r="B137" s="31">
        <v>33.0</v>
      </c>
      <c r="C137" s="612" t="s">
        <v>191</v>
      </c>
      <c r="D137" s="612" t="s">
        <v>8981</v>
      </c>
      <c r="E137" s="36" t="s">
        <v>49</v>
      </c>
      <c r="F137" s="164" t="s">
        <v>2004</v>
      </c>
      <c r="M137" s="585" t="s">
        <v>8982</v>
      </c>
    </row>
    <row r="138">
      <c r="A138" s="14" t="s">
        <v>286</v>
      </c>
      <c r="B138" s="31">
        <v>34.0</v>
      </c>
      <c r="C138" s="612" t="s">
        <v>4142</v>
      </c>
      <c r="D138" s="612" t="s">
        <v>211</v>
      </c>
      <c r="E138" s="51" t="s">
        <v>53</v>
      </c>
      <c r="F138" s="31"/>
      <c r="G138" s="14" t="s">
        <v>8931</v>
      </c>
      <c r="M138" s="585" t="s">
        <v>8983</v>
      </c>
    </row>
    <row r="139">
      <c r="A139" s="14" t="s">
        <v>286</v>
      </c>
      <c r="B139" s="31">
        <v>35.0</v>
      </c>
      <c r="C139" s="612" t="s">
        <v>45</v>
      </c>
      <c r="D139" s="612" t="s">
        <v>8875</v>
      </c>
      <c r="E139" s="51" t="s">
        <v>53</v>
      </c>
      <c r="F139" s="164" t="s">
        <v>1156</v>
      </c>
      <c r="M139" s="585" t="s">
        <v>8984</v>
      </c>
    </row>
    <row r="140">
      <c r="A140" s="14" t="s">
        <v>286</v>
      </c>
      <c r="B140" s="31">
        <v>36.0</v>
      </c>
      <c r="C140" s="612" t="s">
        <v>2512</v>
      </c>
      <c r="D140" s="612" t="s">
        <v>8985</v>
      </c>
      <c r="E140" s="51" t="s">
        <v>53</v>
      </c>
      <c r="F140" s="31"/>
      <c r="G140" s="14" t="s">
        <v>8931</v>
      </c>
      <c r="M140" s="585" t="s">
        <v>8986</v>
      </c>
    </row>
    <row r="141">
      <c r="A141" s="14" t="s">
        <v>286</v>
      </c>
      <c r="B141" s="31">
        <v>37.0</v>
      </c>
      <c r="C141" s="612" t="s">
        <v>1387</v>
      </c>
      <c r="D141" s="612" t="s">
        <v>8987</v>
      </c>
      <c r="E141" s="36" t="s">
        <v>49</v>
      </c>
      <c r="F141" s="164" t="s">
        <v>498</v>
      </c>
      <c r="M141" s="585" t="s">
        <v>8988</v>
      </c>
    </row>
    <row r="142">
      <c r="A142" s="14" t="s">
        <v>286</v>
      </c>
      <c r="B142" s="31">
        <v>38.0</v>
      </c>
      <c r="C142" s="612" t="s">
        <v>6339</v>
      </c>
      <c r="D142" s="612" t="s">
        <v>8989</v>
      </c>
      <c r="E142" s="36" t="s">
        <v>49</v>
      </c>
      <c r="F142" s="31"/>
      <c r="M142" s="585" t="s">
        <v>8990</v>
      </c>
    </row>
    <row r="143">
      <c r="A143" s="14" t="s">
        <v>286</v>
      </c>
      <c r="B143" s="31">
        <v>39.0</v>
      </c>
      <c r="C143" s="612" t="s">
        <v>3242</v>
      </c>
      <c r="D143" s="612" t="s">
        <v>8991</v>
      </c>
      <c r="E143" s="36" t="s">
        <v>49</v>
      </c>
      <c r="F143" s="31"/>
      <c r="M143" s="585" t="s">
        <v>8992</v>
      </c>
    </row>
    <row r="144">
      <c r="A144" s="14" t="s">
        <v>286</v>
      </c>
      <c r="B144" s="31">
        <v>40.0</v>
      </c>
      <c r="C144" s="612" t="s">
        <v>1990</v>
      </c>
      <c r="D144" s="612" t="s">
        <v>8993</v>
      </c>
      <c r="E144" s="51" t="s">
        <v>53</v>
      </c>
      <c r="F144" s="31"/>
      <c r="M144" s="585" t="s">
        <v>8994</v>
      </c>
    </row>
    <row r="145">
      <c r="A145" s="14" t="s">
        <v>286</v>
      </c>
      <c r="B145" s="31">
        <v>41.0</v>
      </c>
      <c r="C145" s="612" t="s">
        <v>1930</v>
      </c>
      <c r="D145" s="612" t="s">
        <v>451</v>
      </c>
      <c r="E145" s="36" t="s">
        <v>49</v>
      </c>
      <c r="F145" s="31"/>
      <c r="M145" s="585" t="s">
        <v>8995</v>
      </c>
    </row>
    <row r="146">
      <c r="A146" s="14" t="s">
        <v>286</v>
      </c>
      <c r="B146" s="31">
        <v>42.0</v>
      </c>
      <c r="C146" s="612" t="s">
        <v>6555</v>
      </c>
      <c r="D146" s="612" t="s">
        <v>8996</v>
      </c>
      <c r="E146" s="36" t="s">
        <v>49</v>
      </c>
      <c r="F146" s="31"/>
      <c r="M146" s="585" t="s">
        <v>8997</v>
      </c>
    </row>
    <row r="147">
      <c r="A147" s="14" t="s">
        <v>286</v>
      </c>
      <c r="B147" s="31">
        <v>43.0</v>
      </c>
      <c r="C147" s="612" t="s">
        <v>1231</v>
      </c>
      <c r="D147" s="612" t="s">
        <v>6863</v>
      </c>
      <c r="E147" s="51" t="s">
        <v>53</v>
      </c>
      <c r="F147" s="31"/>
      <c r="M147" s="585" t="s">
        <v>8998</v>
      </c>
    </row>
    <row r="148">
      <c r="A148" s="14" t="s">
        <v>286</v>
      </c>
      <c r="B148" s="31">
        <v>44.0</v>
      </c>
      <c r="C148" s="612" t="s">
        <v>1242</v>
      </c>
      <c r="D148" s="612" t="s">
        <v>561</v>
      </c>
      <c r="E148" s="51" t="s">
        <v>53</v>
      </c>
      <c r="F148" s="164" t="s">
        <v>176</v>
      </c>
      <c r="M148" s="585" t="s">
        <v>8999</v>
      </c>
    </row>
    <row r="149">
      <c r="A149" s="14" t="s">
        <v>286</v>
      </c>
      <c r="B149" s="31">
        <v>45.0</v>
      </c>
      <c r="C149" s="612" t="s">
        <v>4711</v>
      </c>
      <c r="D149" s="612" t="s">
        <v>4745</v>
      </c>
      <c r="E149" s="36" t="s">
        <v>49</v>
      </c>
      <c r="F149" s="31"/>
      <c r="M149" s="585" t="s">
        <v>9000</v>
      </c>
    </row>
    <row r="150">
      <c r="A150" s="14" t="s">
        <v>286</v>
      </c>
      <c r="B150" s="31">
        <v>46.0</v>
      </c>
      <c r="C150" s="612" t="s">
        <v>4426</v>
      </c>
      <c r="D150" s="612" t="s">
        <v>9001</v>
      </c>
      <c r="E150" s="36" t="s">
        <v>49</v>
      </c>
      <c r="F150" s="31"/>
      <c r="M150" s="585" t="s">
        <v>9002</v>
      </c>
    </row>
    <row r="151">
      <c r="A151" s="14" t="s">
        <v>286</v>
      </c>
      <c r="B151" s="31">
        <v>47.0</v>
      </c>
      <c r="C151" s="612" t="s">
        <v>552</v>
      </c>
      <c r="D151" s="612" t="s">
        <v>9003</v>
      </c>
      <c r="E151" s="51" t="s">
        <v>53</v>
      </c>
      <c r="F151" s="31"/>
      <c r="M151" s="585" t="s">
        <v>9004</v>
      </c>
    </row>
    <row r="152">
      <c r="A152" s="14" t="s">
        <v>286</v>
      </c>
      <c r="B152" s="31">
        <v>48.0</v>
      </c>
      <c r="C152" s="612" t="s">
        <v>5573</v>
      </c>
      <c r="D152" s="612" t="s">
        <v>8910</v>
      </c>
      <c r="E152" s="36" t="s">
        <v>49</v>
      </c>
      <c r="F152" s="31"/>
      <c r="M152" s="585" t="s">
        <v>9005</v>
      </c>
    </row>
    <row r="153">
      <c r="A153" s="14" t="s">
        <v>286</v>
      </c>
      <c r="B153" s="31">
        <v>49.0</v>
      </c>
      <c r="C153" s="612" t="s">
        <v>5233</v>
      </c>
      <c r="D153" s="612" t="s">
        <v>9006</v>
      </c>
      <c r="E153" s="36" t="s">
        <v>49</v>
      </c>
      <c r="F153" s="31"/>
      <c r="M153" s="585" t="s">
        <v>9007</v>
      </c>
    </row>
    <row r="154">
      <c r="A154" s="14" t="s">
        <v>286</v>
      </c>
      <c r="B154" s="31">
        <v>50.0</v>
      </c>
      <c r="C154" s="612" t="s">
        <v>251</v>
      </c>
      <c r="D154" s="612" t="s">
        <v>2763</v>
      </c>
      <c r="E154" s="36" t="s">
        <v>49</v>
      </c>
      <c r="F154" s="31"/>
      <c r="M154" s="585" t="s">
        <v>9008</v>
      </c>
    </row>
    <row r="155">
      <c r="A155" s="70"/>
      <c r="B155" s="302"/>
      <c r="C155" s="345"/>
      <c r="D155" s="345"/>
      <c r="E155" s="70"/>
      <c r="F155" s="70"/>
      <c r="G155" s="70"/>
      <c r="H155" s="70"/>
      <c r="I155" s="70"/>
      <c r="J155" s="70"/>
      <c r="K155" s="70"/>
      <c r="L155" s="70"/>
      <c r="M155" s="192"/>
      <c r="N155" s="70"/>
      <c r="O155" s="70"/>
      <c r="P155" s="70"/>
      <c r="Q155" s="70"/>
      <c r="R155" s="70"/>
      <c r="S155" s="70"/>
      <c r="T155" s="70"/>
      <c r="U155" s="70"/>
      <c r="V155" s="70"/>
      <c r="W155" s="70"/>
      <c r="X155" s="70"/>
      <c r="Y155" s="70"/>
      <c r="Z155" s="70"/>
      <c r="AA155" s="70"/>
      <c r="AB155" s="70"/>
      <c r="AC155" s="70"/>
      <c r="AD155" s="70"/>
    </row>
    <row r="156">
      <c r="A156" s="14" t="s">
        <v>421</v>
      </c>
      <c r="C156" s="617"/>
      <c r="D156" s="617"/>
      <c r="E156" s="36" t="s">
        <v>49</v>
      </c>
      <c r="M156" s="211"/>
    </row>
    <row r="157">
      <c r="A157" s="70"/>
      <c r="B157" s="70"/>
      <c r="C157" s="345"/>
      <c r="D157" s="345"/>
      <c r="E157" s="70"/>
      <c r="F157" s="70"/>
      <c r="G157" s="70"/>
      <c r="H157" s="70"/>
      <c r="I157" s="70"/>
      <c r="J157" s="70"/>
      <c r="K157" s="70"/>
      <c r="L157" s="70"/>
      <c r="M157" s="192"/>
      <c r="N157" s="70"/>
      <c r="O157" s="70"/>
      <c r="P157" s="70"/>
      <c r="Q157" s="70"/>
      <c r="R157" s="70"/>
      <c r="S157" s="70"/>
      <c r="T157" s="70"/>
      <c r="U157" s="70"/>
      <c r="V157" s="70"/>
      <c r="W157" s="70"/>
      <c r="X157" s="70"/>
      <c r="Y157" s="70"/>
      <c r="Z157" s="70"/>
      <c r="AA157" s="70"/>
      <c r="AB157" s="70"/>
      <c r="AC157" s="70"/>
      <c r="AD157" s="70"/>
    </row>
    <row r="158">
      <c r="A158" s="14" t="s">
        <v>427</v>
      </c>
      <c r="C158" s="617"/>
      <c r="D158" s="617"/>
      <c r="E158" s="51" t="s">
        <v>53</v>
      </c>
      <c r="M158" s="211"/>
    </row>
    <row r="159">
      <c r="A159" s="70"/>
      <c r="B159" s="70"/>
      <c r="C159" s="345"/>
      <c r="D159" s="345"/>
      <c r="E159" s="70"/>
      <c r="F159" s="70"/>
      <c r="G159" s="70"/>
      <c r="H159" s="70"/>
      <c r="I159" s="70"/>
      <c r="J159" s="70"/>
      <c r="K159" s="70"/>
      <c r="L159" s="70"/>
      <c r="M159" s="192"/>
      <c r="N159" s="70"/>
      <c r="O159" s="70"/>
      <c r="P159" s="70"/>
      <c r="Q159" s="70"/>
      <c r="R159" s="70"/>
      <c r="S159" s="70"/>
      <c r="T159" s="70"/>
      <c r="U159" s="70"/>
      <c r="V159" s="70"/>
      <c r="W159" s="70"/>
      <c r="X159" s="70"/>
      <c r="Y159" s="70"/>
      <c r="Z159" s="70"/>
      <c r="AA159" s="70"/>
      <c r="AB159" s="70"/>
      <c r="AC159" s="70"/>
      <c r="AD159" s="70"/>
    </row>
    <row r="160">
      <c r="A160" s="14" t="s">
        <v>430</v>
      </c>
      <c r="B160" s="14" t="s">
        <v>431</v>
      </c>
      <c r="C160" s="617"/>
      <c r="D160" s="617"/>
      <c r="E160" s="51" t="s">
        <v>53</v>
      </c>
      <c r="M160" s="211"/>
    </row>
    <row r="161">
      <c r="A161" s="14" t="s">
        <v>430</v>
      </c>
      <c r="B161" s="14" t="s">
        <v>434</v>
      </c>
      <c r="C161" s="617"/>
      <c r="D161" s="617"/>
      <c r="E161" s="36" t="s">
        <v>49</v>
      </c>
      <c r="M161" s="211"/>
    </row>
    <row r="162">
      <c r="A162" s="70"/>
      <c r="B162" s="70"/>
      <c r="C162" s="345"/>
      <c r="D162" s="345"/>
      <c r="E162" s="70"/>
      <c r="F162" s="70"/>
      <c r="G162" s="70"/>
      <c r="H162" s="70"/>
      <c r="I162" s="70"/>
      <c r="J162" s="70"/>
      <c r="K162" s="70"/>
      <c r="L162" s="70"/>
      <c r="M162" s="192"/>
      <c r="N162" s="70"/>
      <c r="O162" s="70"/>
      <c r="P162" s="70"/>
      <c r="Q162" s="70"/>
      <c r="R162" s="70"/>
      <c r="S162" s="70"/>
      <c r="T162" s="70"/>
      <c r="U162" s="70"/>
      <c r="V162" s="70"/>
      <c r="W162" s="70"/>
      <c r="X162" s="70"/>
      <c r="Y162" s="70"/>
      <c r="Z162" s="70"/>
      <c r="AA162" s="70"/>
      <c r="AB162" s="70"/>
      <c r="AC162" s="70"/>
      <c r="AD162" s="70"/>
    </row>
    <row r="163">
      <c r="A163" s="14" t="s">
        <v>438</v>
      </c>
      <c r="C163" s="617"/>
      <c r="D163" s="617"/>
      <c r="E163" s="51" t="s">
        <v>53</v>
      </c>
      <c r="M163" s="211"/>
    </row>
    <row r="164">
      <c r="A164" s="70"/>
      <c r="B164" s="70"/>
      <c r="C164" s="345"/>
      <c r="D164" s="345"/>
      <c r="E164" s="70"/>
      <c r="F164" s="70"/>
      <c r="G164" s="70"/>
      <c r="H164" s="70"/>
      <c r="I164" s="70"/>
      <c r="J164" s="70"/>
      <c r="K164" s="70"/>
      <c r="L164" s="70"/>
      <c r="M164" s="192"/>
      <c r="N164" s="70"/>
      <c r="O164" s="70"/>
      <c r="P164" s="70"/>
      <c r="Q164" s="70"/>
      <c r="R164" s="70"/>
      <c r="S164" s="70"/>
      <c r="T164" s="70"/>
      <c r="U164" s="70"/>
      <c r="V164" s="70"/>
      <c r="W164" s="70"/>
      <c r="X164" s="70"/>
      <c r="Y164" s="70"/>
      <c r="Z164" s="70"/>
      <c r="AA164" s="70"/>
      <c r="AB164" s="70"/>
      <c r="AC164" s="70"/>
      <c r="AD164" s="70"/>
    </row>
    <row r="165">
      <c r="C165" s="303"/>
      <c r="D165" s="303"/>
      <c r="M165" s="211"/>
    </row>
    <row r="166">
      <c r="C166" s="303"/>
      <c r="D166" s="303"/>
      <c r="M166" s="211"/>
    </row>
    <row r="167">
      <c r="C167" s="303"/>
      <c r="D167" s="303"/>
      <c r="M167" s="211"/>
    </row>
    <row r="168">
      <c r="C168" s="303"/>
      <c r="D168" s="303"/>
      <c r="M168" s="211"/>
    </row>
    <row r="169">
      <c r="C169" s="303"/>
      <c r="D169" s="303"/>
      <c r="M169" s="211"/>
    </row>
    <row r="170">
      <c r="C170" s="303"/>
      <c r="D170" s="303"/>
      <c r="M170" s="211"/>
    </row>
    <row r="171">
      <c r="C171" s="303"/>
      <c r="D171" s="303"/>
      <c r="M171" s="211"/>
    </row>
    <row r="172">
      <c r="C172" s="303"/>
      <c r="D172" s="303"/>
      <c r="M172" s="211"/>
    </row>
    <row r="173">
      <c r="C173" s="303"/>
      <c r="D173" s="303"/>
      <c r="M173" s="211"/>
    </row>
    <row r="174">
      <c r="C174" s="303"/>
      <c r="D174" s="303"/>
      <c r="M174" s="211"/>
    </row>
    <row r="175">
      <c r="C175" s="303"/>
      <c r="D175" s="303"/>
      <c r="M175" s="211"/>
    </row>
    <row r="176">
      <c r="C176" s="303"/>
      <c r="D176" s="303"/>
      <c r="M176" s="211"/>
    </row>
    <row r="177">
      <c r="C177" s="303"/>
      <c r="D177" s="303"/>
      <c r="M177" s="211"/>
    </row>
    <row r="178">
      <c r="C178" s="303"/>
      <c r="D178" s="303"/>
      <c r="M178" s="211"/>
    </row>
    <row r="179">
      <c r="C179" s="303"/>
      <c r="D179" s="303"/>
      <c r="M179" s="211"/>
    </row>
    <row r="180">
      <c r="C180" s="303"/>
      <c r="D180" s="303"/>
      <c r="M180" s="211"/>
    </row>
    <row r="181">
      <c r="C181" s="303"/>
      <c r="D181" s="303"/>
      <c r="M181" s="211"/>
    </row>
    <row r="182">
      <c r="C182" s="303"/>
      <c r="D182" s="303"/>
      <c r="M182" s="211"/>
    </row>
    <row r="183">
      <c r="C183" s="303"/>
      <c r="D183" s="303"/>
      <c r="M183" s="211"/>
    </row>
    <row r="184">
      <c r="C184" s="303"/>
      <c r="D184" s="303"/>
      <c r="M184" s="211"/>
    </row>
    <row r="185">
      <c r="C185" s="303"/>
      <c r="D185" s="303"/>
      <c r="M185" s="211"/>
    </row>
    <row r="186">
      <c r="C186" s="303"/>
      <c r="D186" s="303"/>
      <c r="M186" s="211"/>
    </row>
    <row r="187">
      <c r="C187" s="303"/>
      <c r="D187" s="303"/>
      <c r="M187" s="211"/>
    </row>
    <row r="188">
      <c r="C188" s="303"/>
      <c r="D188" s="303"/>
      <c r="M188" s="211"/>
    </row>
    <row r="189">
      <c r="C189" s="303"/>
      <c r="D189" s="303"/>
      <c r="M189" s="211"/>
    </row>
    <row r="190">
      <c r="C190" s="303"/>
      <c r="D190" s="303"/>
      <c r="M190" s="211"/>
    </row>
    <row r="191">
      <c r="C191" s="303"/>
      <c r="D191" s="303"/>
      <c r="M191" s="211"/>
    </row>
    <row r="192">
      <c r="C192" s="303"/>
      <c r="D192" s="303"/>
      <c r="M192" s="211"/>
    </row>
    <row r="193">
      <c r="C193" s="303"/>
      <c r="D193" s="303"/>
      <c r="M193" s="211"/>
    </row>
    <row r="194">
      <c r="C194" s="303"/>
      <c r="D194" s="303"/>
      <c r="M194" s="211"/>
    </row>
    <row r="195">
      <c r="C195" s="303"/>
      <c r="D195" s="303"/>
      <c r="M195" s="211"/>
    </row>
    <row r="196">
      <c r="C196" s="303"/>
      <c r="D196" s="303"/>
      <c r="M196" s="211"/>
    </row>
    <row r="197">
      <c r="C197" s="303"/>
      <c r="D197" s="303"/>
      <c r="M197" s="211"/>
    </row>
    <row r="198">
      <c r="C198" s="303"/>
      <c r="D198" s="303"/>
      <c r="M198" s="211"/>
    </row>
    <row r="199">
      <c r="C199" s="303"/>
      <c r="D199" s="303"/>
      <c r="M199" s="211"/>
    </row>
    <row r="200">
      <c r="C200" s="303"/>
      <c r="D200" s="303"/>
      <c r="M200" s="211"/>
    </row>
    <row r="201">
      <c r="C201" s="303"/>
      <c r="D201" s="303"/>
      <c r="M201" s="211"/>
    </row>
    <row r="202">
      <c r="C202" s="303"/>
      <c r="D202" s="303"/>
      <c r="M202" s="211"/>
    </row>
    <row r="203">
      <c r="C203" s="303"/>
      <c r="D203" s="303"/>
      <c r="M203" s="211"/>
    </row>
    <row r="204">
      <c r="C204" s="303"/>
      <c r="D204" s="303"/>
      <c r="M204" s="211"/>
    </row>
    <row r="205">
      <c r="C205" s="303"/>
      <c r="D205" s="303"/>
      <c r="M205" s="211"/>
    </row>
    <row r="206">
      <c r="C206" s="303"/>
      <c r="D206" s="303"/>
      <c r="M206" s="211"/>
    </row>
    <row r="207">
      <c r="C207" s="303"/>
      <c r="D207" s="303"/>
      <c r="M207" s="211"/>
    </row>
    <row r="208">
      <c r="C208" s="303"/>
      <c r="D208" s="303"/>
      <c r="M208" s="211"/>
    </row>
    <row r="209">
      <c r="C209" s="303"/>
      <c r="D209" s="303"/>
      <c r="M209" s="211"/>
    </row>
    <row r="210">
      <c r="C210" s="303"/>
      <c r="D210" s="303"/>
      <c r="M210" s="211"/>
    </row>
    <row r="211">
      <c r="C211" s="303"/>
      <c r="D211" s="303"/>
      <c r="M211" s="211"/>
    </row>
    <row r="212">
      <c r="C212" s="303"/>
      <c r="D212" s="303"/>
      <c r="M212" s="211"/>
    </row>
    <row r="213">
      <c r="C213" s="303"/>
      <c r="D213" s="303"/>
      <c r="M213" s="211"/>
    </row>
    <row r="214">
      <c r="C214" s="303"/>
      <c r="D214" s="303"/>
      <c r="M214" s="211"/>
    </row>
    <row r="215">
      <c r="C215" s="303"/>
      <c r="D215" s="303"/>
      <c r="M215" s="211"/>
    </row>
    <row r="216">
      <c r="C216" s="303"/>
      <c r="D216" s="303"/>
      <c r="M216" s="211"/>
    </row>
    <row r="217">
      <c r="C217" s="303"/>
      <c r="D217" s="303"/>
      <c r="M217" s="211"/>
    </row>
    <row r="218">
      <c r="C218" s="303"/>
      <c r="D218" s="303"/>
      <c r="M218" s="211"/>
    </row>
    <row r="219">
      <c r="C219" s="303"/>
      <c r="D219" s="303"/>
      <c r="M219" s="211"/>
    </row>
    <row r="220">
      <c r="C220" s="303"/>
      <c r="D220" s="303"/>
      <c r="M220" s="211"/>
    </row>
    <row r="221">
      <c r="C221" s="303"/>
      <c r="D221" s="303"/>
      <c r="M221" s="211"/>
    </row>
    <row r="222">
      <c r="C222" s="303"/>
      <c r="D222" s="303"/>
      <c r="M222" s="211"/>
    </row>
    <row r="223">
      <c r="C223" s="303"/>
      <c r="D223" s="303"/>
      <c r="M223" s="211"/>
    </row>
    <row r="224">
      <c r="C224" s="303"/>
      <c r="D224" s="303"/>
      <c r="M224" s="211"/>
    </row>
    <row r="225">
      <c r="C225" s="303"/>
      <c r="D225" s="303"/>
      <c r="M225" s="211"/>
    </row>
    <row r="226">
      <c r="C226" s="303"/>
      <c r="D226" s="303"/>
      <c r="M226" s="211"/>
    </row>
    <row r="227">
      <c r="C227" s="303"/>
      <c r="D227" s="303"/>
      <c r="M227" s="211"/>
    </row>
    <row r="228">
      <c r="C228" s="303"/>
      <c r="D228" s="303"/>
      <c r="M228" s="211"/>
    </row>
    <row r="229">
      <c r="C229" s="303"/>
      <c r="D229" s="303"/>
      <c r="M229" s="211"/>
    </row>
    <row r="230">
      <c r="C230" s="303"/>
      <c r="D230" s="303"/>
      <c r="M230" s="211"/>
    </row>
    <row r="231">
      <c r="C231" s="303"/>
      <c r="D231" s="303"/>
      <c r="M231" s="211"/>
    </row>
    <row r="232">
      <c r="C232" s="303"/>
      <c r="D232" s="303"/>
      <c r="M232" s="211"/>
    </row>
    <row r="233">
      <c r="C233" s="303"/>
      <c r="D233" s="303"/>
      <c r="M233" s="211"/>
    </row>
    <row r="234">
      <c r="C234" s="303"/>
      <c r="D234" s="303"/>
      <c r="M234" s="211"/>
    </row>
    <row r="235">
      <c r="C235" s="303"/>
      <c r="D235" s="303"/>
      <c r="M235" s="211"/>
    </row>
    <row r="236">
      <c r="C236" s="303"/>
      <c r="D236" s="303"/>
      <c r="M236" s="211"/>
    </row>
    <row r="237">
      <c r="C237" s="303"/>
      <c r="D237" s="303"/>
      <c r="M237" s="211"/>
    </row>
    <row r="238">
      <c r="C238" s="303"/>
      <c r="D238" s="303"/>
      <c r="M238" s="211"/>
    </row>
    <row r="239">
      <c r="C239" s="303"/>
      <c r="D239" s="303"/>
      <c r="M239" s="211"/>
    </row>
    <row r="240">
      <c r="C240" s="303"/>
      <c r="D240" s="303"/>
      <c r="M240" s="211"/>
    </row>
    <row r="241">
      <c r="C241" s="303"/>
      <c r="D241" s="303"/>
      <c r="M241" s="211"/>
    </row>
    <row r="242">
      <c r="C242" s="303"/>
      <c r="D242" s="303"/>
      <c r="M242" s="211"/>
    </row>
    <row r="243">
      <c r="C243" s="303"/>
      <c r="D243" s="303"/>
      <c r="M243" s="211"/>
    </row>
    <row r="244">
      <c r="C244" s="303"/>
      <c r="D244" s="303"/>
      <c r="M244" s="211"/>
    </row>
    <row r="245">
      <c r="C245" s="303"/>
      <c r="D245" s="303"/>
      <c r="M245" s="211"/>
    </row>
    <row r="246">
      <c r="C246" s="303"/>
      <c r="D246" s="303"/>
      <c r="M246" s="211"/>
    </row>
    <row r="247">
      <c r="C247" s="303"/>
      <c r="D247" s="303"/>
      <c r="M247" s="211"/>
    </row>
    <row r="248">
      <c r="C248" s="303"/>
      <c r="D248" s="303"/>
      <c r="M248" s="211"/>
    </row>
    <row r="249">
      <c r="C249" s="303"/>
      <c r="D249" s="303"/>
      <c r="M249" s="211"/>
    </row>
    <row r="250">
      <c r="C250" s="303"/>
      <c r="D250" s="303"/>
      <c r="M250" s="211"/>
    </row>
    <row r="251">
      <c r="C251" s="303"/>
      <c r="D251" s="303"/>
      <c r="M251" s="211"/>
    </row>
    <row r="252">
      <c r="C252" s="303"/>
      <c r="D252" s="303"/>
      <c r="M252" s="211"/>
    </row>
    <row r="253">
      <c r="C253" s="303"/>
      <c r="D253" s="303"/>
      <c r="M253" s="211"/>
    </row>
    <row r="254">
      <c r="C254" s="303"/>
      <c r="D254" s="303"/>
      <c r="M254" s="211"/>
    </row>
    <row r="255">
      <c r="C255" s="303"/>
      <c r="D255" s="303"/>
      <c r="M255" s="211"/>
    </row>
    <row r="256">
      <c r="C256" s="303"/>
      <c r="D256" s="303"/>
      <c r="M256" s="211"/>
    </row>
    <row r="257">
      <c r="C257" s="303"/>
      <c r="D257" s="303"/>
      <c r="M257" s="211"/>
    </row>
    <row r="258">
      <c r="C258" s="303"/>
      <c r="D258" s="303"/>
      <c r="M258" s="211"/>
    </row>
    <row r="259">
      <c r="C259" s="303"/>
      <c r="D259" s="303"/>
      <c r="M259" s="211"/>
    </row>
    <row r="260">
      <c r="C260" s="303"/>
      <c r="D260" s="303"/>
      <c r="M260" s="211"/>
    </row>
    <row r="261">
      <c r="C261" s="303"/>
      <c r="D261" s="303"/>
      <c r="M261" s="211"/>
    </row>
    <row r="262">
      <c r="C262" s="303"/>
      <c r="D262" s="303"/>
      <c r="M262" s="211"/>
    </row>
    <row r="263">
      <c r="C263" s="303"/>
      <c r="D263" s="303"/>
      <c r="M263" s="211"/>
    </row>
    <row r="264">
      <c r="C264" s="303"/>
      <c r="D264" s="303"/>
      <c r="M264" s="211"/>
    </row>
    <row r="265">
      <c r="C265" s="303"/>
      <c r="D265" s="303"/>
      <c r="M265" s="211"/>
    </row>
    <row r="266">
      <c r="C266" s="303"/>
      <c r="D266" s="303"/>
      <c r="M266" s="211"/>
    </row>
    <row r="267">
      <c r="C267" s="303"/>
      <c r="D267" s="303"/>
      <c r="M267" s="211"/>
    </row>
    <row r="268">
      <c r="C268" s="303"/>
      <c r="D268" s="303"/>
      <c r="M268" s="211"/>
    </row>
    <row r="269">
      <c r="C269" s="303"/>
      <c r="D269" s="303"/>
      <c r="M269" s="211"/>
    </row>
    <row r="270">
      <c r="C270" s="303"/>
      <c r="D270" s="303"/>
      <c r="M270" s="211"/>
    </row>
    <row r="271">
      <c r="C271" s="303"/>
      <c r="D271" s="303"/>
      <c r="M271" s="211"/>
    </row>
    <row r="272">
      <c r="C272" s="303"/>
      <c r="D272" s="303"/>
      <c r="M272" s="211"/>
    </row>
    <row r="273">
      <c r="C273" s="303"/>
      <c r="D273" s="303"/>
      <c r="M273" s="211"/>
    </row>
    <row r="274">
      <c r="C274" s="303"/>
      <c r="D274" s="303"/>
      <c r="M274" s="211"/>
    </row>
    <row r="275">
      <c r="C275" s="303"/>
      <c r="D275" s="303"/>
      <c r="M275" s="211"/>
    </row>
    <row r="276">
      <c r="C276" s="303"/>
      <c r="D276" s="303"/>
      <c r="M276" s="211"/>
    </row>
    <row r="277">
      <c r="C277" s="303"/>
      <c r="D277" s="303"/>
      <c r="M277" s="211"/>
    </row>
    <row r="278">
      <c r="C278" s="303"/>
      <c r="D278" s="303"/>
      <c r="M278" s="211"/>
    </row>
    <row r="279">
      <c r="C279" s="303"/>
      <c r="D279" s="303"/>
      <c r="M279" s="211"/>
    </row>
    <row r="280">
      <c r="C280" s="303"/>
      <c r="D280" s="303"/>
      <c r="M280" s="211"/>
    </row>
    <row r="281">
      <c r="C281" s="303"/>
      <c r="D281" s="303"/>
      <c r="M281" s="211"/>
    </row>
    <row r="282">
      <c r="C282" s="303"/>
      <c r="D282" s="303"/>
      <c r="M282" s="211"/>
    </row>
    <row r="283">
      <c r="C283" s="303"/>
      <c r="D283" s="303"/>
      <c r="M283" s="211"/>
    </row>
    <row r="284">
      <c r="C284" s="303"/>
      <c r="D284" s="303"/>
      <c r="M284" s="211"/>
    </row>
    <row r="285">
      <c r="C285" s="303"/>
      <c r="D285" s="303"/>
      <c r="M285" s="211"/>
    </row>
    <row r="286">
      <c r="C286" s="303"/>
      <c r="D286" s="303"/>
      <c r="M286" s="211"/>
    </row>
    <row r="287">
      <c r="C287" s="303"/>
      <c r="D287" s="303"/>
      <c r="M287" s="211"/>
    </row>
    <row r="288">
      <c r="C288" s="303"/>
      <c r="D288" s="303"/>
      <c r="M288" s="211"/>
    </row>
    <row r="289">
      <c r="C289" s="303"/>
      <c r="D289" s="303"/>
      <c r="M289" s="211"/>
    </row>
    <row r="290">
      <c r="C290" s="303"/>
      <c r="D290" s="303"/>
      <c r="M290" s="211"/>
    </row>
    <row r="291">
      <c r="C291" s="303"/>
      <c r="D291" s="303"/>
      <c r="M291" s="211"/>
    </row>
    <row r="292">
      <c r="C292" s="303"/>
      <c r="D292" s="303"/>
      <c r="M292" s="211"/>
    </row>
    <row r="293">
      <c r="C293" s="303"/>
      <c r="D293" s="303"/>
      <c r="M293" s="211"/>
    </row>
    <row r="294">
      <c r="C294" s="303"/>
      <c r="D294" s="303"/>
      <c r="M294" s="211"/>
    </row>
    <row r="295">
      <c r="C295" s="303"/>
      <c r="D295" s="303"/>
      <c r="M295" s="211"/>
    </row>
    <row r="296">
      <c r="C296" s="303"/>
      <c r="D296" s="303"/>
      <c r="M296" s="211"/>
    </row>
    <row r="297">
      <c r="C297" s="303"/>
      <c r="D297" s="303"/>
      <c r="M297" s="211"/>
    </row>
    <row r="298">
      <c r="C298" s="303"/>
      <c r="D298" s="303"/>
      <c r="M298" s="211"/>
    </row>
    <row r="299">
      <c r="C299" s="303"/>
      <c r="D299" s="303"/>
      <c r="M299" s="211"/>
    </row>
    <row r="300">
      <c r="C300" s="303"/>
      <c r="D300" s="303"/>
      <c r="M300" s="211"/>
    </row>
    <row r="301">
      <c r="C301" s="303"/>
      <c r="D301" s="303"/>
      <c r="M301" s="211"/>
    </row>
    <row r="302">
      <c r="C302" s="303"/>
      <c r="D302" s="303"/>
      <c r="M302" s="211"/>
    </row>
    <row r="303">
      <c r="C303" s="303"/>
      <c r="D303" s="303"/>
      <c r="M303" s="211"/>
    </row>
    <row r="304">
      <c r="C304" s="303"/>
      <c r="D304" s="303"/>
      <c r="M304" s="211"/>
    </row>
    <row r="305">
      <c r="C305" s="303"/>
      <c r="D305" s="303"/>
      <c r="M305" s="211"/>
    </row>
    <row r="306">
      <c r="C306" s="303"/>
      <c r="D306" s="303"/>
      <c r="M306" s="211"/>
    </row>
    <row r="307">
      <c r="C307" s="303"/>
      <c r="D307" s="303"/>
      <c r="M307" s="211"/>
    </row>
    <row r="308">
      <c r="C308" s="303"/>
      <c r="D308" s="303"/>
      <c r="M308" s="211"/>
    </row>
    <row r="309">
      <c r="C309" s="303"/>
      <c r="D309" s="303"/>
      <c r="M309" s="211"/>
    </row>
    <row r="310">
      <c r="C310" s="303"/>
      <c r="D310" s="303"/>
      <c r="M310" s="211"/>
    </row>
    <row r="311">
      <c r="C311" s="303"/>
      <c r="D311" s="303"/>
      <c r="M311" s="211"/>
    </row>
    <row r="312">
      <c r="C312" s="303"/>
      <c r="D312" s="303"/>
      <c r="M312" s="211"/>
    </row>
    <row r="313">
      <c r="C313" s="303"/>
      <c r="D313" s="303"/>
      <c r="M313" s="211"/>
    </row>
    <row r="314">
      <c r="C314" s="303"/>
      <c r="D314" s="303"/>
      <c r="M314" s="211"/>
    </row>
    <row r="315">
      <c r="C315" s="303"/>
      <c r="D315" s="303"/>
      <c r="M315" s="211"/>
    </row>
    <row r="316">
      <c r="C316" s="303"/>
      <c r="D316" s="303"/>
      <c r="M316" s="211"/>
    </row>
    <row r="317">
      <c r="C317" s="303"/>
      <c r="D317" s="303"/>
      <c r="M317" s="211"/>
    </row>
    <row r="318">
      <c r="C318" s="303"/>
      <c r="D318" s="303"/>
      <c r="M318" s="211"/>
    </row>
    <row r="319">
      <c r="C319" s="303"/>
      <c r="D319" s="303"/>
      <c r="M319" s="211"/>
    </row>
    <row r="320">
      <c r="C320" s="303"/>
      <c r="D320" s="303"/>
      <c r="M320" s="211"/>
    </row>
    <row r="321">
      <c r="C321" s="303"/>
      <c r="D321" s="303"/>
      <c r="M321" s="211"/>
    </row>
    <row r="322">
      <c r="C322" s="303"/>
      <c r="D322" s="303"/>
      <c r="M322" s="211"/>
    </row>
    <row r="323">
      <c r="C323" s="303"/>
      <c r="D323" s="303"/>
      <c r="M323" s="211"/>
    </row>
    <row r="324">
      <c r="C324" s="303"/>
      <c r="D324" s="303"/>
      <c r="M324" s="211"/>
    </row>
    <row r="325">
      <c r="C325" s="303"/>
      <c r="D325" s="303"/>
      <c r="M325" s="211"/>
    </row>
    <row r="326">
      <c r="C326" s="303"/>
      <c r="D326" s="303"/>
      <c r="M326" s="211"/>
    </row>
    <row r="327">
      <c r="C327" s="303"/>
      <c r="D327" s="303"/>
      <c r="M327" s="211"/>
    </row>
    <row r="328">
      <c r="C328" s="303"/>
      <c r="D328" s="303"/>
      <c r="M328" s="211"/>
    </row>
    <row r="329">
      <c r="C329" s="303"/>
      <c r="D329" s="303"/>
      <c r="M329" s="211"/>
    </row>
    <row r="330">
      <c r="C330" s="303"/>
      <c r="D330" s="303"/>
      <c r="M330" s="211"/>
    </row>
    <row r="331">
      <c r="C331" s="303"/>
      <c r="D331" s="303"/>
      <c r="M331" s="211"/>
    </row>
    <row r="332">
      <c r="C332" s="303"/>
      <c r="D332" s="303"/>
      <c r="M332" s="211"/>
    </row>
    <row r="333">
      <c r="C333" s="303"/>
      <c r="D333" s="303"/>
      <c r="M333" s="211"/>
    </row>
    <row r="334">
      <c r="C334" s="303"/>
      <c r="D334" s="303"/>
      <c r="M334" s="211"/>
    </row>
    <row r="335">
      <c r="C335" s="303"/>
      <c r="D335" s="303"/>
      <c r="M335" s="211"/>
    </row>
    <row r="336">
      <c r="C336" s="303"/>
      <c r="D336" s="303"/>
      <c r="M336" s="211"/>
    </row>
    <row r="337">
      <c r="C337" s="303"/>
      <c r="D337" s="303"/>
      <c r="M337" s="211"/>
    </row>
    <row r="338">
      <c r="C338" s="303"/>
      <c r="D338" s="303"/>
      <c r="M338" s="211"/>
    </row>
    <row r="339">
      <c r="C339" s="303"/>
      <c r="D339" s="303"/>
      <c r="M339" s="211"/>
    </row>
    <row r="340">
      <c r="C340" s="303"/>
      <c r="D340" s="303"/>
      <c r="M340" s="211"/>
    </row>
    <row r="341">
      <c r="C341" s="303"/>
      <c r="D341" s="303"/>
      <c r="M341" s="211"/>
    </row>
    <row r="342">
      <c r="C342" s="303"/>
      <c r="D342" s="303"/>
      <c r="M342" s="211"/>
    </row>
    <row r="343">
      <c r="C343" s="303"/>
      <c r="D343" s="303"/>
      <c r="M343" s="211"/>
    </row>
    <row r="344">
      <c r="C344" s="303"/>
      <c r="D344" s="303"/>
      <c r="M344" s="211"/>
    </row>
    <row r="345">
      <c r="C345" s="303"/>
      <c r="D345" s="303"/>
      <c r="M345" s="211"/>
    </row>
    <row r="346">
      <c r="C346" s="303"/>
      <c r="D346" s="303"/>
      <c r="M346" s="211"/>
    </row>
    <row r="347">
      <c r="C347" s="303"/>
      <c r="D347" s="303"/>
      <c r="M347" s="211"/>
    </row>
    <row r="348">
      <c r="C348" s="303"/>
      <c r="D348" s="303"/>
      <c r="M348" s="211"/>
    </row>
    <row r="349">
      <c r="C349" s="303"/>
      <c r="D349" s="303"/>
      <c r="M349" s="211"/>
    </row>
    <row r="350">
      <c r="C350" s="303"/>
      <c r="D350" s="303"/>
      <c r="M350" s="211"/>
    </row>
    <row r="351">
      <c r="C351" s="303"/>
      <c r="D351" s="303"/>
      <c r="M351" s="211"/>
    </row>
    <row r="352">
      <c r="C352" s="303"/>
      <c r="D352" s="303"/>
      <c r="M352" s="211"/>
    </row>
    <row r="353">
      <c r="C353" s="303"/>
      <c r="D353" s="303"/>
      <c r="M353" s="211"/>
    </row>
    <row r="354">
      <c r="C354" s="303"/>
      <c r="D354" s="303"/>
      <c r="M354" s="211"/>
    </row>
    <row r="355">
      <c r="C355" s="303"/>
      <c r="D355" s="303"/>
      <c r="M355" s="211"/>
    </row>
    <row r="356">
      <c r="C356" s="303"/>
      <c r="D356" s="303"/>
      <c r="M356" s="211"/>
    </row>
    <row r="357">
      <c r="C357" s="303"/>
      <c r="D357" s="303"/>
      <c r="M357" s="211"/>
    </row>
    <row r="358">
      <c r="C358" s="303"/>
      <c r="D358" s="303"/>
      <c r="M358" s="211"/>
    </row>
    <row r="359">
      <c r="C359" s="303"/>
      <c r="D359" s="303"/>
      <c r="M359" s="211"/>
    </row>
    <row r="360">
      <c r="C360" s="303"/>
      <c r="D360" s="303"/>
      <c r="M360" s="211"/>
    </row>
    <row r="361">
      <c r="C361" s="303"/>
      <c r="D361" s="303"/>
      <c r="M361" s="211"/>
    </row>
    <row r="362">
      <c r="C362" s="303"/>
      <c r="D362" s="303"/>
      <c r="M362" s="211"/>
    </row>
    <row r="363">
      <c r="C363" s="303"/>
      <c r="D363" s="303"/>
      <c r="M363" s="211"/>
    </row>
    <row r="364">
      <c r="C364" s="303"/>
      <c r="D364" s="303"/>
      <c r="M364" s="211"/>
    </row>
    <row r="365">
      <c r="C365" s="303"/>
      <c r="D365" s="303"/>
      <c r="M365" s="211"/>
    </row>
    <row r="366">
      <c r="C366" s="303"/>
      <c r="D366" s="303"/>
      <c r="M366" s="211"/>
    </row>
    <row r="367">
      <c r="C367" s="303"/>
      <c r="D367" s="303"/>
      <c r="M367" s="211"/>
    </row>
    <row r="368">
      <c r="C368" s="303"/>
      <c r="D368" s="303"/>
      <c r="M368" s="211"/>
    </row>
    <row r="369">
      <c r="C369" s="303"/>
      <c r="D369" s="303"/>
      <c r="M369" s="211"/>
    </row>
    <row r="370">
      <c r="C370" s="303"/>
      <c r="D370" s="303"/>
      <c r="M370" s="211"/>
    </row>
    <row r="371">
      <c r="C371" s="303"/>
      <c r="D371" s="303"/>
      <c r="M371" s="211"/>
    </row>
    <row r="372">
      <c r="C372" s="303"/>
      <c r="D372" s="303"/>
      <c r="M372" s="211"/>
    </row>
    <row r="373">
      <c r="C373" s="303"/>
      <c r="D373" s="303"/>
      <c r="M373" s="211"/>
    </row>
    <row r="374">
      <c r="C374" s="303"/>
      <c r="D374" s="303"/>
      <c r="M374" s="211"/>
    </row>
    <row r="375">
      <c r="C375" s="303"/>
      <c r="D375" s="303"/>
      <c r="M375" s="211"/>
    </row>
    <row r="376">
      <c r="C376" s="303"/>
      <c r="D376" s="303"/>
      <c r="M376" s="211"/>
    </row>
    <row r="377">
      <c r="C377" s="303"/>
      <c r="D377" s="303"/>
      <c r="M377" s="211"/>
    </row>
    <row r="378">
      <c r="C378" s="303"/>
      <c r="D378" s="303"/>
      <c r="M378" s="211"/>
    </row>
    <row r="379">
      <c r="C379" s="303"/>
      <c r="D379" s="303"/>
      <c r="M379" s="211"/>
    </row>
    <row r="380">
      <c r="C380" s="303"/>
      <c r="D380" s="303"/>
      <c r="M380" s="211"/>
    </row>
    <row r="381">
      <c r="C381" s="303"/>
      <c r="D381" s="303"/>
      <c r="M381" s="211"/>
    </row>
    <row r="382">
      <c r="C382" s="303"/>
      <c r="D382" s="303"/>
      <c r="M382" s="211"/>
    </row>
    <row r="383">
      <c r="C383" s="303"/>
      <c r="D383" s="303"/>
      <c r="M383" s="211"/>
    </row>
    <row r="384">
      <c r="C384" s="303"/>
      <c r="D384" s="303"/>
      <c r="M384" s="211"/>
    </row>
    <row r="385">
      <c r="C385" s="303"/>
      <c r="D385" s="303"/>
      <c r="M385" s="211"/>
    </row>
    <row r="386">
      <c r="C386" s="303"/>
      <c r="D386" s="303"/>
      <c r="M386" s="211"/>
    </row>
    <row r="387">
      <c r="C387" s="303"/>
      <c r="D387" s="303"/>
      <c r="M387" s="211"/>
    </row>
    <row r="388">
      <c r="C388" s="303"/>
      <c r="D388" s="303"/>
      <c r="M388" s="211"/>
    </row>
    <row r="389">
      <c r="C389" s="303"/>
      <c r="D389" s="303"/>
      <c r="M389" s="211"/>
    </row>
    <row r="390">
      <c r="C390" s="303"/>
      <c r="D390" s="303"/>
      <c r="M390" s="211"/>
    </row>
    <row r="391">
      <c r="C391" s="303"/>
      <c r="D391" s="303"/>
      <c r="M391" s="211"/>
    </row>
    <row r="392">
      <c r="C392" s="303"/>
      <c r="D392" s="303"/>
      <c r="M392" s="211"/>
    </row>
    <row r="393">
      <c r="C393" s="303"/>
      <c r="D393" s="303"/>
      <c r="M393" s="211"/>
    </row>
    <row r="394">
      <c r="C394" s="303"/>
      <c r="D394" s="303"/>
      <c r="M394" s="211"/>
    </row>
    <row r="395">
      <c r="C395" s="303"/>
      <c r="D395" s="303"/>
      <c r="M395" s="211"/>
    </row>
    <row r="396">
      <c r="C396" s="303"/>
      <c r="D396" s="303"/>
      <c r="M396" s="211"/>
    </row>
    <row r="397">
      <c r="C397" s="303"/>
      <c r="D397" s="303"/>
      <c r="M397" s="211"/>
    </row>
    <row r="398">
      <c r="C398" s="303"/>
      <c r="D398" s="303"/>
      <c r="M398" s="211"/>
    </row>
    <row r="399">
      <c r="C399" s="303"/>
      <c r="D399" s="303"/>
      <c r="M399" s="211"/>
    </row>
    <row r="400">
      <c r="C400" s="303"/>
      <c r="D400" s="303"/>
      <c r="M400" s="211"/>
    </row>
    <row r="401">
      <c r="C401" s="303"/>
      <c r="D401" s="303"/>
      <c r="M401" s="211"/>
    </row>
    <row r="402">
      <c r="C402" s="303"/>
      <c r="D402" s="303"/>
      <c r="M402" s="211"/>
    </row>
    <row r="403">
      <c r="C403" s="303"/>
      <c r="D403" s="303"/>
      <c r="M403" s="211"/>
    </row>
    <row r="404">
      <c r="C404" s="303"/>
      <c r="D404" s="303"/>
      <c r="M404" s="211"/>
    </row>
    <row r="405">
      <c r="C405" s="303"/>
      <c r="D405" s="303"/>
      <c r="M405" s="211"/>
    </row>
    <row r="406">
      <c r="C406" s="303"/>
      <c r="D406" s="303"/>
      <c r="M406" s="211"/>
    </row>
    <row r="407">
      <c r="C407" s="303"/>
      <c r="D407" s="303"/>
      <c r="M407" s="211"/>
    </row>
    <row r="408">
      <c r="C408" s="303"/>
      <c r="D408" s="303"/>
      <c r="M408" s="211"/>
    </row>
    <row r="409">
      <c r="C409" s="303"/>
      <c r="D409" s="303"/>
      <c r="M409" s="211"/>
    </row>
    <row r="410">
      <c r="C410" s="303"/>
      <c r="D410" s="303"/>
      <c r="M410" s="211"/>
    </row>
    <row r="411">
      <c r="C411" s="303"/>
      <c r="D411" s="303"/>
      <c r="M411" s="211"/>
    </row>
    <row r="412">
      <c r="C412" s="303"/>
      <c r="D412" s="303"/>
      <c r="M412" s="211"/>
    </row>
    <row r="413">
      <c r="C413" s="303"/>
      <c r="D413" s="303"/>
      <c r="M413" s="211"/>
    </row>
    <row r="414">
      <c r="C414" s="303"/>
      <c r="D414" s="303"/>
      <c r="M414" s="211"/>
    </row>
    <row r="415">
      <c r="C415" s="303"/>
      <c r="D415" s="303"/>
      <c r="M415" s="211"/>
    </row>
    <row r="416">
      <c r="C416" s="303"/>
      <c r="D416" s="303"/>
      <c r="M416" s="211"/>
    </row>
    <row r="417">
      <c r="C417" s="303"/>
      <c r="D417" s="303"/>
      <c r="M417" s="211"/>
    </row>
    <row r="418">
      <c r="C418" s="303"/>
      <c r="D418" s="303"/>
      <c r="M418" s="211"/>
    </row>
    <row r="419">
      <c r="C419" s="303"/>
      <c r="D419" s="303"/>
      <c r="M419" s="211"/>
    </row>
    <row r="420">
      <c r="C420" s="303"/>
      <c r="D420" s="303"/>
      <c r="M420" s="211"/>
    </row>
    <row r="421">
      <c r="C421" s="303"/>
      <c r="D421" s="303"/>
      <c r="M421" s="211"/>
    </row>
    <row r="422">
      <c r="C422" s="303"/>
      <c r="D422" s="303"/>
      <c r="M422" s="211"/>
    </row>
    <row r="423">
      <c r="C423" s="303"/>
      <c r="D423" s="303"/>
      <c r="M423" s="211"/>
    </row>
    <row r="424">
      <c r="C424" s="303"/>
      <c r="D424" s="303"/>
      <c r="M424" s="211"/>
    </row>
    <row r="425">
      <c r="C425" s="303"/>
      <c r="D425" s="303"/>
      <c r="M425" s="211"/>
    </row>
    <row r="426">
      <c r="C426" s="303"/>
      <c r="D426" s="303"/>
      <c r="M426" s="211"/>
    </row>
    <row r="427">
      <c r="C427" s="303"/>
      <c r="D427" s="303"/>
      <c r="M427" s="211"/>
    </row>
    <row r="428">
      <c r="C428" s="303"/>
      <c r="D428" s="303"/>
      <c r="M428" s="211"/>
    </row>
    <row r="429">
      <c r="C429" s="303"/>
      <c r="D429" s="303"/>
      <c r="M429" s="211"/>
    </row>
    <row r="430">
      <c r="C430" s="303"/>
      <c r="D430" s="303"/>
      <c r="M430" s="211"/>
    </row>
    <row r="431">
      <c r="C431" s="303"/>
      <c r="D431" s="303"/>
      <c r="M431" s="211"/>
    </row>
    <row r="432">
      <c r="C432" s="303"/>
      <c r="D432" s="303"/>
      <c r="M432" s="211"/>
    </row>
    <row r="433">
      <c r="C433" s="303"/>
      <c r="D433" s="303"/>
      <c r="M433" s="211"/>
    </row>
    <row r="434">
      <c r="C434" s="303"/>
      <c r="D434" s="303"/>
      <c r="M434" s="211"/>
    </row>
    <row r="435">
      <c r="C435" s="303"/>
      <c r="D435" s="303"/>
      <c r="M435" s="211"/>
    </row>
    <row r="436">
      <c r="C436" s="303"/>
      <c r="D436" s="303"/>
      <c r="M436" s="211"/>
    </row>
    <row r="437">
      <c r="C437" s="303"/>
      <c r="D437" s="303"/>
      <c r="M437" s="211"/>
    </row>
    <row r="438">
      <c r="C438" s="303"/>
      <c r="D438" s="303"/>
      <c r="M438" s="211"/>
    </row>
    <row r="439">
      <c r="C439" s="303"/>
      <c r="D439" s="303"/>
      <c r="M439" s="211"/>
    </row>
    <row r="440">
      <c r="C440" s="303"/>
      <c r="D440" s="303"/>
      <c r="M440" s="211"/>
    </row>
    <row r="441">
      <c r="C441" s="303"/>
      <c r="D441" s="303"/>
      <c r="M441" s="211"/>
    </row>
    <row r="442">
      <c r="C442" s="303"/>
      <c r="D442" s="303"/>
      <c r="M442" s="211"/>
    </row>
    <row r="443">
      <c r="C443" s="303"/>
      <c r="D443" s="303"/>
      <c r="M443" s="211"/>
    </row>
    <row r="444">
      <c r="C444" s="303"/>
      <c r="D444" s="303"/>
      <c r="M444" s="211"/>
    </row>
    <row r="445">
      <c r="C445" s="303"/>
      <c r="D445" s="303"/>
      <c r="M445" s="211"/>
    </row>
    <row r="446">
      <c r="C446" s="303"/>
      <c r="D446" s="303"/>
      <c r="M446" s="211"/>
    </row>
    <row r="447">
      <c r="C447" s="303"/>
      <c r="D447" s="303"/>
      <c r="M447" s="211"/>
    </row>
    <row r="448">
      <c r="C448" s="303"/>
      <c r="D448" s="303"/>
      <c r="M448" s="211"/>
    </row>
    <row r="449">
      <c r="C449" s="303"/>
      <c r="D449" s="303"/>
      <c r="M449" s="211"/>
    </row>
    <row r="450">
      <c r="C450" s="303"/>
      <c r="D450" s="303"/>
      <c r="M450" s="211"/>
    </row>
    <row r="451">
      <c r="C451" s="303"/>
      <c r="D451" s="303"/>
      <c r="M451" s="211"/>
    </row>
    <row r="452">
      <c r="C452" s="303"/>
      <c r="D452" s="303"/>
      <c r="M452" s="211"/>
    </row>
    <row r="453">
      <c r="C453" s="303"/>
      <c r="D453" s="303"/>
      <c r="M453" s="211"/>
    </row>
    <row r="454">
      <c r="C454" s="303"/>
      <c r="D454" s="303"/>
      <c r="M454" s="211"/>
    </row>
    <row r="455">
      <c r="C455" s="303"/>
      <c r="D455" s="303"/>
      <c r="M455" s="211"/>
    </row>
    <row r="456">
      <c r="C456" s="303"/>
      <c r="D456" s="303"/>
      <c r="M456" s="211"/>
    </row>
    <row r="457">
      <c r="C457" s="303"/>
      <c r="D457" s="303"/>
      <c r="M457" s="211"/>
    </row>
    <row r="458">
      <c r="C458" s="303"/>
      <c r="D458" s="303"/>
      <c r="M458" s="211"/>
    </row>
    <row r="459">
      <c r="C459" s="303"/>
      <c r="D459" s="303"/>
      <c r="M459" s="211"/>
    </row>
    <row r="460">
      <c r="C460" s="303"/>
      <c r="D460" s="303"/>
      <c r="M460" s="211"/>
    </row>
    <row r="461">
      <c r="C461" s="303"/>
      <c r="D461" s="303"/>
      <c r="M461" s="211"/>
    </row>
    <row r="462">
      <c r="C462" s="303"/>
      <c r="D462" s="303"/>
      <c r="M462" s="211"/>
    </row>
    <row r="463">
      <c r="C463" s="303"/>
      <c r="D463" s="303"/>
      <c r="M463" s="211"/>
    </row>
    <row r="464">
      <c r="C464" s="303"/>
      <c r="D464" s="303"/>
      <c r="M464" s="211"/>
    </row>
    <row r="465">
      <c r="C465" s="303"/>
      <c r="D465" s="303"/>
      <c r="M465" s="211"/>
    </row>
    <row r="466">
      <c r="C466" s="303"/>
      <c r="D466" s="303"/>
      <c r="M466" s="211"/>
    </row>
    <row r="467">
      <c r="C467" s="303"/>
      <c r="D467" s="303"/>
      <c r="M467" s="211"/>
    </row>
    <row r="468">
      <c r="C468" s="303"/>
      <c r="D468" s="303"/>
      <c r="M468" s="211"/>
    </row>
    <row r="469">
      <c r="C469" s="303"/>
      <c r="D469" s="303"/>
      <c r="M469" s="211"/>
    </row>
    <row r="470">
      <c r="C470" s="303"/>
      <c r="D470" s="303"/>
      <c r="M470" s="211"/>
    </row>
    <row r="471">
      <c r="C471" s="303"/>
      <c r="D471" s="303"/>
      <c r="M471" s="211"/>
    </row>
    <row r="472">
      <c r="C472" s="303"/>
      <c r="D472" s="303"/>
      <c r="M472" s="211"/>
    </row>
    <row r="473">
      <c r="C473" s="303"/>
      <c r="D473" s="303"/>
      <c r="M473" s="211"/>
    </row>
    <row r="474">
      <c r="C474" s="303"/>
      <c r="D474" s="303"/>
      <c r="M474" s="211"/>
    </row>
    <row r="475">
      <c r="C475" s="303"/>
      <c r="D475" s="303"/>
      <c r="M475" s="211"/>
    </row>
    <row r="476">
      <c r="C476" s="303"/>
      <c r="D476" s="303"/>
      <c r="M476" s="211"/>
    </row>
    <row r="477">
      <c r="C477" s="303"/>
      <c r="D477" s="303"/>
      <c r="M477" s="211"/>
    </row>
    <row r="478">
      <c r="C478" s="303"/>
      <c r="D478" s="303"/>
      <c r="M478" s="211"/>
    </row>
    <row r="479">
      <c r="C479" s="303"/>
      <c r="D479" s="303"/>
      <c r="M479" s="211"/>
    </row>
    <row r="480">
      <c r="C480" s="303"/>
      <c r="D480" s="303"/>
      <c r="M480" s="211"/>
    </row>
    <row r="481">
      <c r="C481" s="303"/>
      <c r="D481" s="303"/>
      <c r="M481" s="211"/>
    </row>
    <row r="482">
      <c r="C482" s="303"/>
      <c r="D482" s="303"/>
      <c r="M482" s="211"/>
    </row>
    <row r="483">
      <c r="C483" s="303"/>
      <c r="D483" s="303"/>
      <c r="M483" s="211"/>
    </row>
    <row r="484">
      <c r="C484" s="303"/>
      <c r="D484" s="303"/>
      <c r="M484" s="211"/>
    </row>
    <row r="485">
      <c r="C485" s="303"/>
      <c r="D485" s="303"/>
      <c r="M485" s="211"/>
    </row>
    <row r="486">
      <c r="C486" s="303"/>
      <c r="D486" s="303"/>
      <c r="M486" s="211"/>
    </row>
    <row r="487">
      <c r="C487" s="303"/>
      <c r="D487" s="303"/>
      <c r="M487" s="211"/>
    </row>
    <row r="488">
      <c r="C488" s="303"/>
      <c r="D488" s="303"/>
      <c r="M488" s="211"/>
    </row>
    <row r="489">
      <c r="C489" s="303"/>
      <c r="D489" s="303"/>
      <c r="M489" s="211"/>
    </row>
    <row r="490">
      <c r="C490" s="303"/>
      <c r="D490" s="303"/>
      <c r="M490" s="211"/>
    </row>
    <row r="491">
      <c r="C491" s="303"/>
      <c r="D491" s="303"/>
      <c r="M491" s="211"/>
    </row>
    <row r="492">
      <c r="C492" s="303"/>
      <c r="D492" s="303"/>
      <c r="M492" s="211"/>
    </row>
    <row r="493">
      <c r="C493" s="303"/>
      <c r="D493" s="303"/>
      <c r="M493" s="211"/>
    </row>
    <row r="494">
      <c r="C494" s="303"/>
      <c r="D494" s="303"/>
      <c r="M494" s="211"/>
    </row>
    <row r="495">
      <c r="C495" s="303"/>
      <c r="D495" s="303"/>
      <c r="M495" s="211"/>
    </row>
    <row r="496">
      <c r="C496" s="303"/>
      <c r="D496" s="303"/>
      <c r="M496" s="211"/>
    </row>
    <row r="497">
      <c r="C497" s="303"/>
      <c r="D497" s="303"/>
      <c r="M497" s="211"/>
    </row>
    <row r="498">
      <c r="C498" s="303"/>
      <c r="D498" s="303"/>
      <c r="M498" s="211"/>
    </row>
    <row r="499">
      <c r="C499" s="303"/>
      <c r="D499" s="303"/>
      <c r="M499" s="211"/>
    </row>
    <row r="500">
      <c r="C500" s="303"/>
      <c r="D500" s="303"/>
      <c r="M500" s="211"/>
    </row>
    <row r="501">
      <c r="C501" s="303"/>
      <c r="D501" s="303"/>
      <c r="M501" s="211"/>
    </row>
    <row r="502">
      <c r="C502" s="303"/>
      <c r="D502" s="303"/>
      <c r="M502" s="211"/>
    </row>
    <row r="503">
      <c r="C503" s="303"/>
      <c r="D503" s="303"/>
      <c r="M503" s="211"/>
    </row>
    <row r="504">
      <c r="C504" s="303"/>
      <c r="D504" s="303"/>
      <c r="M504" s="211"/>
    </row>
    <row r="505">
      <c r="C505" s="303"/>
      <c r="D505" s="303"/>
      <c r="M505" s="211"/>
    </row>
    <row r="506">
      <c r="C506" s="303"/>
      <c r="D506" s="303"/>
      <c r="M506" s="211"/>
    </row>
    <row r="507">
      <c r="C507" s="303"/>
      <c r="D507" s="303"/>
      <c r="M507" s="211"/>
    </row>
    <row r="508">
      <c r="C508" s="303"/>
      <c r="D508" s="303"/>
      <c r="M508" s="211"/>
    </row>
    <row r="509">
      <c r="C509" s="303"/>
      <c r="D509" s="303"/>
      <c r="M509" s="211"/>
    </row>
    <row r="510">
      <c r="C510" s="303"/>
      <c r="D510" s="303"/>
      <c r="M510" s="211"/>
    </row>
    <row r="511">
      <c r="C511" s="303"/>
      <c r="D511" s="303"/>
      <c r="M511" s="211"/>
    </row>
    <row r="512">
      <c r="C512" s="303"/>
      <c r="D512" s="303"/>
      <c r="M512" s="211"/>
    </row>
    <row r="513">
      <c r="C513" s="303"/>
      <c r="D513" s="303"/>
      <c r="M513" s="211"/>
    </row>
    <row r="514">
      <c r="C514" s="303"/>
      <c r="D514" s="303"/>
      <c r="M514" s="211"/>
    </row>
    <row r="515">
      <c r="C515" s="303"/>
      <c r="D515" s="303"/>
      <c r="M515" s="211"/>
    </row>
    <row r="516">
      <c r="C516" s="303"/>
      <c r="D516" s="303"/>
      <c r="M516" s="211"/>
    </row>
    <row r="517">
      <c r="C517" s="303"/>
      <c r="D517" s="303"/>
      <c r="M517" s="211"/>
    </row>
    <row r="518">
      <c r="C518" s="303"/>
      <c r="D518" s="303"/>
      <c r="M518" s="211"/>
    </row>
    <row r="519">
      <c r="C519" s="303"/>
      <c r="D519" s="303"/>
      <c r="M519" s="211"/>
    </row>
    <row r="520">
      <c r="C520" s="303"/>
      <c r="D520" s="303"/>
      <c r="M520" s="211"/>
    </row>
    <row r="521">
      <c r="C521" s="303"/>
      <c r="D521" s="303"/>
      <c r="M521" s="211"/>
    </row>
    <row r="522">
      <c r="C522" s="303"/>
      <c r="D522" s="303"/>
      <c r="M522" s="211"/>
    </row>
    <row r="523">
      <c r="C523" s="303"/>
      <c r="D523" s="303"/>
      <c r="M523" s="211"/>
    </row>
    <row r="524">
      <c r="C524" s="303"/>
      <c r="D524" s="303"/>
      <c r="M524" s="211"/>
    </row>
    <row r="525">
      <c r="C525" s="303"/>
      <c r="D525" s="303"/>
      <c r="M525" s="211"/>
    </row>
    <row r="526">
      <c r="C526" s="303"/>
      <c r="D526" s="303"/>
      <c r="M526" s="211"/>
    </row>
    <row r="527">
      <c r="C527" s="303"/>
      <c r="D527" s="303"/>
      <c r="M527" s="211"/>
    </row>
    <row r="528">
      <c r="C528" s="303"/>
      <c r="D528" s="303"/>
      <c r="M528" s="211"/>
    </row>
    <row r="529">
      <c r="C529" s="303"/>
      <c r="D529" s="303"/>
      <c r="M529" s="211"/>
    </row>
    <row r="530">
      <c r="C530" s="303"/>
      <c r="D530" s="303"/>
      <c r="M530" s="211"/>
    </row>
    <row r="531">
      <c r="C531" s="303"/>
      <c r="D531" s="303"/>
      <c r="M531" s="211"/>
    </row>
    <row r="532">
      <c r="C532" s="303"/>
      <c r="D532" s="303"/>
      <c r="M532" s="211"/>
    </row>
    <row r="533">
      <c r="C533" s="303"/>
      <c r="D533" s="303"/>
      <c r="M533" s="211"/>
    </row>
    <row r="534">
      <c r="C534" s="303"/>
      <c r="D534" s="303"/>
      <c r="M534" s="211"/>
    </row>
    <row r="535">
      <c r="C535" s="303"/>
      <c r="D535" s="303"/>
      <c r="M535" s="211"/>
    </row>
    <row r="536">
      <c r="C536" s="303"/>
      <c r="D536" s="303"/>
      <c r="M536" s="211"/>
    </row>
    <row r="537">
      <c r="C537" s="303"/>
      <c r="D537" s="303"/>
      <c r="M537" s="211"/>
    </row>
    <row r="538">
      <c r="C538" s="303"/>
      <c r="D538" s="303"/>
      <c r="M538" s="211"/>
    </row>
    <row r="539">
      <c r="C539" s="303"/>
      <c r="D539" s="303"/>
      <c r="M539" s="211"/>
    </row>
    <row r="540">
      <c r="C540" s="303"/>
      <c r="D540" s="303"/>
      <c r="M540" s="211"/>
    </row>
    <row r="541">
      <c r="C541" s="303"/>
      <c r="D541" s="303"/>
      <c r="M541" s="211"/>
    </row>
    <row r="542">
      <c r="C542" s="303"/>
      <c r="D542" s="303"/>
      <c r="M542" s="211"/>
    </row>
    <row r="543">
      <c r="C543" s="303"/>
      <c r="D543" s="303"/>
      <c r="M543" s="211"/>
    </row>
    <row r="544">
      <c r="C544" s="303"/>
      <c r="D544" s="303"/>
      <c r="M544" s="211"/>
    </row>
    <row r="545">
      <c r="C545" s="303"/>
      <c r="D545" s="303"/>
      <c r="M545" s="211"/>
    </row>
    <row r="546">
      <c r="C546" s="303"/>
      <c r="D546" s="303"/>
      <c r="M546" s="211"/>
    </row>
    <row r="547">
      <c r="C547" s="303"/>
      <c r="D547" s="303"/>
      <c r="M547" s="211"/>
    </row>
    <row r="548">
      <c r="C548" s="303"/>
      <c r="D548" s="303"/>
      <c r="M548" s="211"/>
    </row>
    <row r="549">
      <c r="C549" s="303"/>
      <c r="D549" s="303"/>
      <c r="M549" s="211"/>
    </row>
    <row r="550">
      <c r="C550" s="303"/>
      <c r="D550" s="303"/>
      <c r="M550" s="211"/>
    </row>
    <row r="551">
      <c r="C551" s="303"/>
      <c r="D551" s="303"/>
      <c r="M551" s="211"/>
    </row>
    <row r="552">
      <c r="C552" s="303"/>
      <c r="D552" s="303"/>
      <c r="M552" s="211"/>
    </row>
    <row r="553">
      <c r="C553" s="303"/>
      <c r="D553" s="303"/>
      <c r="M553" s="211"/>
    </row>
    <row r="554">
      <c r="C554" s="303"/>
      <c r="D554" s="303"/>
      <c r="M554" s="211"/>
    </row>
    <row r="555">
      <c r="C555" s="303"/>
      <c r="D555" s="303"/>
      <c r="M555" s="211"/>
    </row>
    <row r="556">
      <c r="C556" s="303"/>
      <c r="D556" s="303"/>
      <c r="M556" s="211"/>
    </row>
    <row r="557">
      <c r="C557" s="303"/>
      <c r="D557" s="303"/>
      <c r="M557" s="211"/>
    </row>
    <row r="558">
      <c r="C558" s="303"/>
      <c r="D558" s="303"/>
      <c r="M558" s="211"/>
    </row>
    <row r="559">
      <c r="C559" s="303"/>
      <c r="D559" s="303"/>
      <c r="M559" s="211"/>
    </row>
    <row r="560">
      <c r="C560" s="303"/>
      <c r="D560" s="303"/>
      <c r="M560" s="211"/>
    </row>
    <row r="561">
      <c r="C561" s="303"/>
      <c r="D561" s="303"/>
      <c r="M561" s="211"/>
    </row>
    <row r="562">
      <c r="C562" s="303"/>
      <c r="D562" s="303"/>
      <c r="M562" s="211"/>
    </row>
    <row r="563">
      <c r="C563" s="303"/>
      <c r="D563" s="303"/>
      <c r="M563" s="211"/>
    </row>
    <row r="564">
      <c r="C564" s="303"/>
      <c r="D564" s="303"/>
      <c r="M564" s="211"/>
    </row>
    <row r="565">
      <c r="C565" s="303"/>
      <c r="D565" s="303"/>
      <c r="M565" s="211"/>
    </row>
    <row r="566">
      <c r="C566" s="303"/>
      <c r="D566" s="303"/>
      <c r="M566" s="211"/>
    </row>
    <row r="567">
      <c r="C567" s="303"/>
      <c r="D567" s="303"/>
      <c r="M567" s="211"/>
    </row>
    <row r="568">
      <c r="C568" s="303"/>
      <c r="D568" s="303"/>
      <c r="M568" s="211"/>
    </row>
    <row r="569">
      <c r="C569" s="303"/>
      <c r="D569" s="303"/>
      <c r="M569" s="211"/>
    </row>
    <row r="570">
      <c r="C570" s="303"/>
      <c r="D570" s="303"/>
      <c r="M570" s="211"/>
    </row>
    <row r="571">
      <c r="C571" s="303"/>
      <c r="D571" s="303"/>
      <c r="M571" s="211"/>
    </row>
    <row r="572">
      <c r="C572" s="303"/>
      <c r="D572" s="303"/>
      <c r="M572" s="211"/>
    </row>
    <row r="573">
      <c r="C573" s="303"/>
      <c r="D573" s="303"/>
      <c r="M573" s="211"/>
    </row>
    <row r="574">
      <c r="C574" s="303"/>
      <c r="D574" s="303"/>
      <c r="M574" s="211"/>
    </row>
    <row r="575">
      <c r="C575" s="303"/>
      <c r="D575" s="303"/>
      <c r="M575" s="211"/>
    </row>
    <row r="576">
      <c r="C576" s="303"/>
      <c r="D576" s="303"/>
      <c r="M576" s="211"/>
    </row>
    <row r="577">
      <c r="C577" s="303"/>
      <c r="D577" s="303"/>
      <c r="M577" s="211"/>
    </row>
    <row r="578">
      <c r="C578" s="303"/>
      <c r="D578" s="303"/>
      <c r="M578" s="211"/>
    </row>
    <row r="579">
      <c r="C579" s="303"/>
      <c r="D579" s="303"/>
      <c r="M579" s="211"/>
    </row>
    <row r="580">
      <c r="C580" s="303"/>
      <c r="D580" s="303"/>
      <c r="M580" s="211"/>
    </row>
    <row r="581">
      <c r="C581" s="303"/>
      <c r="D581" s="303"/>
      <c r="M581" s="211"/>
    </row>
    <row r="582">
      <c r="C582" s="303"/>
      <c r="D582" s="303"/>
      <c r="M582" s="211"/>
    </row>
    <row r="583">
      <c r="C583" s="303"/>
      <c r="D583" s="303"/>
      <c r="M583" s="211"/>
    </row>
    <row r="584">
      <c r="C584" s="303"/>
      <c r="D584" s="303"/>
      <c r="M584" s="211"/>
    </row>
    <row r="585">
      <c r="C585" s="303"/>
      <c r="D585" s="303"/>
      <c r="M585" s="211"/>
    </row>
    <row r="586">
      <c r="C586" s="303"/>
      <c r="D586" s="303"/>
      <c r="M586" s="211"/>
    </row>
    <row r="587">
      <c r="C587" s="303"/>
      <c r="D587" s="303"/>
      <c r="M587" s="211"/>
    </row>
    <row r="588">
      <c r="C588" s="303"/>
      <c r="D588" s="303"/>
      <c r="M588" s="211"/>
    </row>
    <row r="589">
      <c r="C589" s="303"/>
      <c r="D589" s="303"/>
      <c r="M589" s="211"/>
    </row>
    <row r="590">
      <c r="C590" s="303"/>
      <c r="D590" s="303"/>
      <c r="M590" s="211"/>
    </row>
    <row r="591">
      <c r="C591" s="303"/>
      <c r="D591" s="303"/>
      <c r="M591" s="211"/>
    </row>
    <row r="592">
      <c r="C592" s="303"/>
      <c r="D592" s="303"/>
      <c r="M592" s="211"/>
    </row>
    <row r="593">
      <c r="C593" s="303"/>
      <c r="D593" s="303"/>
      <c r="M593" s="211"/>
    </row>
    <row r="594">
      <c r="C594" s="303"/>
      <c r="D594" s="303"/>
      <c r="M594" s="211"/>
    </row>
    <row r="595">
      <c r="C595" s="303"/>
      <c r="D595" s="303"/>
      <c r="M595" s="211"/>
    </row>
    <row r="596">
      <c r="C596" s="303"/>
      <c r="D596" s="303"/>
      <c r="M596" s="211"/>
    </row>
    <row r="597">
      <c r="C597" s="303"/>
      <c r="D597" s="303"/>
      <c r="M597" s="211"/>
    </row>
    <row r="598">
      <c r="C598" s="303"/>
      <c r="D598" s="303"/>
      <c r="M598" s="211"/>
    </row>
    <row r="599">
      <c r="C599" s="303"/>
      <c r="D599" s="303"/>
      <c r="M599" s="211"/>
    </row>
    <row r="600">
      <c r="C600" s="303"/>
      <c r="D600" s="303"/>
      <c r="M600" s="211"/>
    </row>
    <row r="601">
      <c r="C601" s="303"/>
      <c r="D601" s="303"/>
      <c r="M601" s="211"/>
    </row>
    <row r="602">
      <c r="C602" s="303"/>
      <c r="D602" s="303"/>
      <c r="M602" s="211"/>
    </row>
    <row r="603">
      <c r="C603" s="303"/>
      <c r="D603" s="303"/>
      <c r="M603" s="211"/>
    </row>
    <row r="604">
      <c r="C604" s="303"/>
      <c r="D604" s="303"/>
      <c r="M604" s="211"/>
    </row>
    <row r="605">
      <c r="C605" s="303"/>
      <c r="D605" s="303"/>
      <c r="M605" s="211"/>
    </row>
    <row r="606">
      <c r="C606" s="303"/>
      <c r="D606" s="303"/>
      <c r="M606" s="211"/>
    </row>
    <row r="607">
      <c r="C607" s="303"/>
      <c r="D607" s="303"/>
      <c r="M607" s="211"/>
    </row>
    <row r="608">
      <c r="C608" s="303"/>
      <c r="D608" s="303"/>
      <c r="M608" s="211"/>
    </row>
    <row r="609">
      <c r="C609" s="303"/>
      <c r="D609" s="303"/>
      <c r="M609" s="211"/>
    </row>
    <row r="610">
      <c r="C610" s="303"/>
      <c r="D610" s="303"/>
      <c r="M610" s="211"/>
    </row>
    <row r="611">
      <c r="C611" s="303"/>
      <c r="D611" s="303"/>
      <c r="M611" s="211"/>
    </row>
    <row r="612">
      <c r="C612" s="303"/>
      <c r="D612" s="303"/>
      <c r="M612" s="211"/>
    </row>
    <row r="613">
      <c r="C613" s="303"/>
      <c r="D613" s="303"/>
      <c r="M613" s="211"/>
    </row>
    <row r="614">
      <c r="C614" s="303"/>
      <c r="D614" s="303"/>
      <c r="M614" s="211"/>
    </row>
    <row r="615">
      <c r="C615" s="303"/>
      <c r="D615" s="303"/>
      <c r="M615" s="211"/>
    </row>
    <row r="616">
      <c r="C616" s="303"/>
      <c r="D616" s="303"/>
      <c r="M616" s="211"/>
    </row>
    <row r="617">
      <c r="C617" s="303"/>
      <c r="D617" s="303"/>
      <c r="M617" s="211"/>
    </row>
    <row r="618">
      <c r="C618" s="303"/>
      <c r="D618" s="303"/>
      <c r="M618" s="211"/>
    </row>
    <row r="619">
      <c r="C619" s="303"/>
      <c r="D619" s="303"/>
      <c r="M619" s="211"/>
    </row>
    <row r="620">
      <c r="C620" s="303"/>
      <c r="D620" s="303"/>
      <c r="M620" s="211"/>
    </row>
    <row r="621">
      <c r="C621" s="303"/>
      <c r="D621" s="303"/>
      <c r="M621" s="211"/>
    </row>
    <row r="622">
      <c r="C622" s="303"/>
      <c r="D622" s="303"/>
      <c r="M622" s="211"/>
    </row>
    <row r="623">
      <c r="C623" s="303"/>
      <c r="D623" s="303"/>
      <c r="M623" s="211"/>
    </row>
    <row r="624">
      <c r="C624" s="303"/>
      <c r="D624" s="303"/>
      <c r="M624" s="211"/>
    </row>
    <row r="625">
      <c r="C625" s="303"/>
      <c r="D625" s="303"/>
      <c r="M625" s="211"/>
    </row>
    <row r="626">
      <c r="C626" s="303"/>
      <c r="D626" s="303"/>
      <c r="M626" s="211"/>
    </row>
    <row r="627">
      <c r="C627" s="303"/>
      <c r="D627" s="303"/>
      <c r="M627" s="211"/>
    </row>
    <row r="628">
      <c r="C628" s="303"/>
      <c r="D628" s="303"/>
      <c r="M628" s="211"/>
    </row>
    <row r="629">
      <c r="C629" s="303"/>
      <c r="D629" s="303"/>
      <c r="M629" s="211"/>
    </row>
    <row r="630">
      <c r="C630" s="303"/>
      <c r="D630" s="303"/>
      <c r="M630" s="211"/>
    </row>
    <row r="631">
      <c r="C631" s="303"/>
      <c r="D631" s="303"/>
      <c r="M631" s="211"/>
    </row>
    <row r="632">
      <c r="C632" s="303"/>
      <c r="D632" s="303"/>
      <c r="M632" s="211"/>
    </row>
    <row r="633">
      <c r="C633" s="303"/>
      <c r="D633" s="303"/>
      <c r="M633" s="211"/>
    </row>
    <row r="634">
      <c r="C634" s="303"/>
      <c r="D634" s="303"/>
      <c r="M634" s="211"/>
    </row>
    <row r="635">
      <c r="C635" s="303"/>
      <c r="D635" s="303"/>
      <c r="M635" s="211"/>
    </row>
    <row r="636">
      <c r="C636" s="303"/>
      <c r="D636" s="303"/>
      <c r="M636" s="211"/>
    </row>
    <row r="637">
      <c r="C637" s="303"/>
      <c r="D637" s="303"/>
      <c r="M637" s="211"/>
    </row>
    <row r="638">
      <c r="C638" s="303"/>
      <c r="D638" s="303"/>
      <c r="M638" s="211"/>
    </row>
    <row r="639">
      <c r="C639" s="303"/>
      <c r="D639" s="303"/>
      <c r="M639" s="211"/>
    </row>
    <row r="640">
      <c r="C640" s="303"/>
      <c r="D640" s="303"/>
      <c r="M640" s="211"/>
    </row>
    <row r="641">
      <c r="C641" s="303"/>
      <c r="D641" s="303"/>
      <c r="M641" s="211"/>
    </row>
    <row r="642">
      <c r="C642" s="303"/>
      <c r="D642" s="303"/>
      <c r="M642" s="211"/>
    </row>
    <row r="643">
      <c r="C643" s="303"/>
      <c r="D643" s="303"/>
      <c r="M643" s="211"/>
    </row>
    <row r="644">
      <c r="C644" s="303"/>
      <c r="D644" s="303"/>
      <c r="M644" s="211"/>
    </row>
    <row r="645">
      <c r="C645" s="303"/>
      <c r="D645" s="303"/>
      <c r="M645" s="211"/>
    </row>
    <row r="646">
      <c r="C646" s="303"/>
      <c r="D646" s="303"/>
      <c r="M646" s="211"/>
    </row>
    <row r="647">
      <c r="C647" s="303"/>
      <c r="D647" s="303"/>
      <c r="M647" s="211"/>
    </row>
    <row r="648">
      <c r="C648" s="303"/>
      <c r="D648" s="303"/>
      <c r="M648" s="211"/>
    </row>
    <row r="649">
      <c r="C649" s="303"/>
      <c r="D649" s="303"/>
      <c r="M649" s="211"/>
    </row>
    <row r="650">
      <c r="C650" s="303"/>
      <c r="D650" s="303"/>
      <c r="M650" s="211"/>
    </row>
    <row r="651">
      <c r="C651" s="303"/>
      <c r="D651" s="303"/>
      <c r="M651" s="211"/>
    </row>
    <row r="652">
      <c r="C652" s="303"/>
      <c r="D652" s="303"/>
      <c r="M652" s="211"/>
    </row>
    <row r="653">
      <c r="C653" s="303"/>
      <c r="D653" s="303"/>
      <c r="M653" s="211"/>
    </row>
    <row r="654">
      <c r="C654" s="303"/>
      <c r="D654" s="303"/>
      <c r="M654" s="211"/>
    </row>
    <row r="655">
      <c r="C655" s="303"/>
      <c r="D655" s="303"/>
      <c r="M655" s="211"/>
    </row>
    <row r="656">
      <c r="C656" s="303"/>
      <c r="D656" s="303"/>
      <c r="M656" s="211"/>
    </row>
    <row r="657">
      <c r="C657" s="303"/>
      <c r="D657" s="303"/>
      <c r="M657" s="211"/>
    </row>
    <row r="658">
      <c r="C658" s="303"/>
      <c r="D658" s="303"/>
      <c r="M658" s="211"/>
    </row>
    <row r="659">
      <c r="C659" s="303"/>
      <c r="D659" s="303"/>
      <c r="M659" s="211"/>
    </row>
    <row r="660">
      <c r="C660" s="303"/>
      <c r="D660" s="303"/>
      <c r="M660" s="211"/>
    </row>
    <row r="661">
      <c r="C661" s="303"/>
      <c r="D661" s="303"/>
      <c r="M661" s="211"/>
    </row>
    <row r="662">
      <c r="C662" s="303"/>
      <c r="D662" s="303"/>
      <c r="M662" s="211"/>
    </row>
    <row r="663">
      <c r="C663" s="303"/>
      <c r="D663" s="303"/>
      <c r="M663" s="211"/>
    </row>
    <row r="664">
      <c r="C664" s="303"/>
      <c r="D664" s="303"/>
      <c r="M664" s="211"/>
    </row>
    <row r="665">
      <c r="C665" s="303"/>
      <c r="D665" s="303"/>
      <c r="M665" s="211"/>
    </row>
    <row r="666">
      <c r="C666" s="303"/>
      <c r="D666" s="303"/>
      <c r="M666" s="211"/>
    </row>
    <row r="667">
      <c r="C667" s="303"/>
      <c r="D667" s="303"/>
      <c r="M667" s="211"/>
    </row>
    <row r="668">
      <c r="C668" s="303"/>
      <c r="D668" s="303"/>
      <c r="M668" s="211"/>
    </row>
    <row r="669">
      <c r="C669" s="303"/>
      <c r="D669" s="303"/>
      <c r="M669" s="211"/>
    </row>
    <row r="670">
      <c r="C670" s="303"/>
      <c r="D670" s="303"/>
      <c r="M670" s="211"/>
    </row>
    <row r="671">
      <c r="C671" s="303"/>
      <c r="D671" s="303"/>
      <c r="M671" s="211"/>
    </row>
    <row r="672">
      <c r="C672" s="303"/>
      <c r="D672" s="303"/>
      <c r="M672" s="211"/>
    </row>
    <row r="673">
      <c r="C673" s="303"/>
      <c r="D673" s="303"/>
      <c r="M673" s="211"/>
    </row>
    <row r="674">
      <c r="C674" s="303"/>
      <c r="D674" s="303"/>
      <c r="M674" s="211"/>
    </row>
    <row r="675">
      <c r="C675" s="303"/>
      <c r="D675" s="303"/>
      <c r="M675" s="211"/>
    </row>
    <row r="676">
      <c r="C676" s="303"/>
      <c r="D676" s="303"/>
      <c r="M676" s="211"/>
    </row>
    <row r="677">
      <c r="C677" s="303"/>
      <c r="D677" s="303"/>
      <c r="M677" s="211"/>
    </row>
    <row r="678">
      <c r="C678" s="303"/>
      <c r="D678" s="303"/>
      <c r="M678" s="211"/>
    </row>
    <row r="679">
      <c r="C679" s="303"/>
      <c r="D679" s="303"/>
      <c r="M679" s="211"/>
    </row>
    <row r="680">
      <c r="C680" s="303"/>
      <c r="D680" s="303"/>
      <c r="M680" s="211"/>
    </row>
    <row r="681">
      <c r="C681" s="303"/>
      <c r="D681" s="303"/>
      <c r="M681" s="211"/>
    </row>
    <row r="682">
      <c r="C682" s="303"/>
      <c r="D682" s="303"/>
      <c r="M682" s="211"/>
    </row>
    <row r="683">
      <c r="C683" s="303"/>
      <c r="D683" s="303"/>
      <c r="M683" s="211"/>
    </row>
    <row r="684">
      <c r="C684" s="303"/>
      <c r="D684" s="303"/>
      <c r="M684" s="211"/>
    </row>
    <row r="685">
      <c r="C685" s="303"/>
      <c r="D685" s="303"/>
      <c r="M685" s="211"/>
    </row>
    <row r="686">
      <c r="C686" s="303"/>
      <c r="D686" s="303"/>
      <c r="M686" s="211"/>
    </row>
    <row r="687">
      <c r="C687" s="303"/>
      <c r="D687" s="303"/>
      <c r="M687" s="211"/>
    </row>
    <row r="688">
      <c r="C688" s="303"/>
      <c r="D688" s="303"/>
      <c r="M688" s="211"/>
    </row>
    <row r="689">
      <c r="C689" s="303"/>
      <c r="D689" s="303"/>
      <c r="M689" s="211"/>
    </row>
    <row r="690">
      <c r="C690" s="303"/>
      <c r="D690" s="303"/>
      <c r="M690" s="211"/>
    </row>
    <row r="691">
      <c r="C691" s="303"/>
      <c r="D691" s="303"/>
      <c r="M691" s="211"/>
    </row>
    <row r="692">
      <c r="C692" s="303"/>
      <c r="D692" s="303"/>
      <c r="M692" s="211"/>
    </row>
    <row r="693">
      <c r="C693" s="303"/>
      <c r="D693" s="303"/>
      <c r="M693" s="211"/>
    </row>
    <row r="694">
      <c r="C694" s="303"/>
      <c r="D694" s="303"/>
      <c r="M694" s="211"/>
    </row>
    <row r="695">
      <c r="C695" s="303"/>
      <c r="D695" s="303"/>
      <c r="M695" s="211"/>
    </row>
    <row r="696">
      <c r="C696" s="303"/>
      <c r="D696" s="303"/>
      <c r="M696" s="211"/>
    </row>
    <row r="697">
      <c r="C697" s="303"/>
      <c r="D697" s="303"/>
      <c r="M697" s="211"/>
    </row>
    <row r="698">
      <c r="C698" s="303"/>
      <c r="D698" s="303"/>
      <c r="M698" s="211"/>
    </row>
    <row r="699">
      <c r="C699" s="303"/>
      <c r="D699" s="303"/>
      <c r="M699" s="211"/>
    </row>
    <row r="700">
      <c r="C700" s="303"/>
      <c r="D700" s="303"/>
      <c r="M700" s="211"/>
    </row>
    <row r="701">
      <c r="C701" s="303"/>
      <c r="D701" s="303"/>
      <c r="M701" s="211"/>
    </row>
    <row r="702">
      <c r="C702" s="303"/>
      <c r="D702" s="303"/>
      <c r="M702" s="211"/>
    </row>
    <row r="703">
      <c r="C703" s="303"/>
      <c r="D703" s="303"/>
      <c r="M703" s="211"/>
    </row>
    <row r="704">
      <c r="C704" s="303"/>
      <c r="D704" s="303"/>
      <c r="M704" s="211"/>
    </row>
    <row r="705">
      <c r="C705" s="303"/>
      <c r="D705" s="303"/>
      <c r="M705" s="211"/>
    </row>
    <row r="706">
      <c r="C706" s="303"/>
      <c r="D706" s="303"/>
      <c r="M706" s="211"/>
    </row>
    <row r="707">
      <c r="C707" s="303"/>
      <c r="D707" s="303"/>
      <c r="M707" s="211"/>
    </row>
    <row r="708">
      <c r="C708" s="303"/>
      <c r="D708" s="303"/>
      <c r="M708" s="211"/>
    </row>
    <row r="709">
      <c r="C709" s="303"/>
      <c r="D709" s="303"/>
      <c r="M709" s="211"/>
    </row>
    <row r="710">
      <c r="C710" s="303"/>
      <c r="D710" s="303"/>
      <c r="M710" s="211"/>
    </row>
    <row r="711">
      <c r="C711" s="303"/>
      <c r="D711" s="303"/>
      <c r="M711" s="211"/>
    </row>
    <row r="712">
      <c r="C712" s="303"/>
      <c r="D712" s="303"/>
      <c r="M712" s="211"/>
    </row>
    <row r="713">
      <c r="C713" s="303"/>
      <c r="D713" s="303"/>
      <c r="M713" s="211"/>
    </row>
    <row r="714">
      <c r="C714" s="303"/>
      <c r="D714" s="303"/>
      <c r="M714" s="211"/>
    </row>
    <row r="715">
      <c r="C715" s="303"/>
      <c r="D715" s="303"/>
      <c r="M715" s="211"/>
    </row>
    <row r="716">
      <c r="C716" s="303"/>
      <c r="D716" s="303"/>
      <c r="M716" s="211"/>
    </row>
    <row r="717">
      <c r="C717" s="303"/>
      <c r="D717" s="303"/>
      <c r="M717" s="211"/>
    </row>
    <row r="718">
      <c r="C718" s="303"/>
      <c r="D718" s="303"/>
      <c r="M718" s="211"/>
    </row>
    <row r="719">
      <c r="C719" s="303"/>
      <c r="D719" s="303"/>
      <c r="M719" s="211"/>
    </row>
    <row r="720">
      <c r="C720" s="303"/>
      <c r="D720" s="303"/>
      <c r="M720" s="211"/>
    </row>
    <row r="721">
      <c r="C721" s="303"/>
      <c r="D721" s="303"/>
      <c r="M721" s="211"/>
    </row>
    <row r="722">
      <c r="C722" s="303"/>
      <c r="D722" s="303"/>
      <c r="M722" s="211"/>
    </row>
    <row r="723">
      <c r="C723" s="303"/>
      <c r="D723" s="303"/>
      <c r="M723" s="211"/>
    </row>
    <row r="724">
      <c r="C724" s="303"/>
      <c r="D724" s="303"/>
      <c r="M724" s="211"/>
    </row>
    <row r="725">
      <c r="C725" s="303"/>
      <c r="D725" s="303"/>
      <c r="M725" s="211"/>
    </row>
    <row r="726">
      <c r="C726" s="303"/>
      <c r="D726" s="303"/>
      <c r="M726" s="211"/>
    </row>
    <row r="727">
      <c r="C727" s="303"/>
      <c r="D727" s="303"/>
      <c r="M727" s="211"/>
    </row>
    <row r="728">
      <c r="C728" s="303"/>
      <c r="D728" s="303"/>
      <c r="M728" s="211"/>
    </row>
    <row r="729">
      <c r="C729" s="303"/>
      <c r="D729" s="303"/>
      <c r="M729" s="211"/>
    </row>
    <row r="730">
      <c r="C730" s="303"/>
      <c r="D730" s="303"/>
      <c r="M730" s="211"/>
    </row>
    <row r="731">
      <c r="C731" s="303"/>
      <c r="D731" s="303"/>
      <c r="M731" s="211"/>
    </row>
    <row r="732">
      <c r="C732" s="303"/>
      <c r="D732" s="303"/>
      <c r="M732" s="211"/>
    </row>
    <row r="733">
      <c r="C733" s="303"/>
      <c r="D733" s="303"/>
      <c r="M733" s="211"/>
    </row>
    <row r="734">
      <c r="C734" s="303"/>
      <c r="D734" s="303"/>
      <c r="M734" s="211"/>
    </row>
    <row r="735">
      <c r="C735" s="303"/>
      <c r="D735" s="303"/>
      <c r="M735" s="211"/>
    </row>
    <row r="736">
      <c r="C736" s="303"/>
      <c r="D736" s="303"/>
      <c r="M736" s="211"/>
    </row>
    <row r="737">
      <c r="C737" s="303"/>
      <c r="D737" s="303"/>
      <c r="M737" s="211"/>
    </row>
    <row r="738">
      <c r="C738" s="303"/>
      <c r="D738" s="303"/>
      <c r="M738" s="211"/>
    </row>
    <row r="739">
      <c r="C739" s="303"/>
      <c r="D739" s="303"/>
      <c r="M739" s="211"/>
    </row>
    <row r="740">
      <c r="C740" s="303"/>
      <c r="D740" s="303"/>
      <c r="M740" s="211"/>
    </row>
    <row r="741">
      <c r="C741" s="303"/>
      <c r="D741" s="303"/>
      <c r="M741" s="211"/>
    </row>
    <row r="742">
      <c r="C742" s="303"/>
      <c r="D742" s="303"/>
      <c r="M742" s="211"/>
    </row>
    <row r="743">
      <c r="C743" s="303"/>
      <c r="D743" s="303"/>
      <c r="M743" s="211"/>
    </row>
    <row r="744">
      <c r="C744" s="303"/>
      <c r="D744" s="303"/>
      <c r="M744" s="211"/>
    </row>
    <row r="745">
      <c r="C745" s="303"/>
      <c r="D745" s="303"/>
      <c r="M745" s="211"/>
    </row>
    <row r="746">
      <c r="C746" s="303"/>
      <c r="D746" s="303"/>
      <c r="M746" s="211"/>
    </row>
    <row r="747">
      <c r="C747" s="303"/>
      <c r="D747" s="303"/>
      <c r="M747" s="211"/>
    </row>
    <row r="748">
      <c r="C748" s="303"/>
      <c r="D748" s="303"/>
      <c r="M748" s="211"/>
    </row>
    <row r="749">
      <c r="C749" s="303"/>
      <c r="D749" s="303"/>
      <c r="M749" s="211"/>
    </row>
    <row r="750">
      <c r="C750" s="303"/>
      <c r="D750" s="303"/>
      <c r="M750" s="211"/>
    </row>
    <row r="751">
      <c r="C751" s="303"/>
      <c r="D751" s="303"/>
      <c r="M751" s="211"/>
    </row>
    <row r="752">
      <c r="C752" s="303"/>
      <c r="D752" s="303"/>
      <c r="M752" s="211"/>
    </row>
    <row r="753">
      <c r="C753" s="303"/>
      <c r="D753" s="303"/>
      <c r="M753" s="211"/>
    </row>
    <row r="754">
      <c r="C754" s="303"/>
      <c r="D754" s="303"/>
      <c r="M754" s="211"/>
    </row>
    <row r="755">
      <c r="C755" s="303"/>
      <c r="D755" s="303"/>
      <c r="M755" s="211"/>
    </row>
    <row r="756">
      <c r="C756" s="303"/>
      <c r="D756" s="303"/>
      <c r="M756" s="211"/>
    </row>
    <row r="757">
      <c r="C757" s="303"/>
      <c r="D757" s="303"/>
      <c r="M757" s="211"/>
    </row>
    <row r="758">
      <c r="C758" s="303"/>
      <c r="D758" s="303"/>
      <c r="M758" s="211"/>
    </row>
    <row r="759">
      <c r="C759" s="303"/>
      <c r="D759" s="303"/>
      <c r="M759" s="211"/>
    </row>
    <row r="760">
      <c r="C760" s="303"/>
      <c r="D760" s="303"/>
      <c r="M760" s="211"/>
    </row>
    <row r="761">
      <c r="C761" s="303"/>
      <c r="D761" s="303"/>
      <c r="M761" s="211"/>
    </row>
    <row r="762">
      <c r="C762" s="303"/>
      <c r="D762" s="303"/>
      <c r="M762" s="211"/>
    </row>
    <row r="763">
      <c r="C763" s="303"/>
      <c r="D763" s="303"/>
      <c r="M763" s="211"/>
    </row>
    <row r="764">
      <c r="C764" s="303"/>
      <c r="D764" s="303"/>
      <c r="M764" s="211"/>
    </row>
    <row r="765">
      <c r="C765" s="303"/>
      <c r="D765" s="303"/>
      <c r="M765" s="211"/>
    </row>
    <row r="766">
      <c r="C766" s="303"/>
      <c r="D766" s="303"/>
      <c r="M766" s="211"/>
    </row>
    <row r="767">
      <c r="C767" s="303"/>
      <c r="D767" s="303"/>
      <c r="M767" s="211"/>
    </row>
    <row r="768">
      <c r="C768" s="303"/>
      <c r="D768" s="303"/>
      <c r="M768" s="211"/>
    </row>
    <row r="769">
      <c r="C769" s="303"/>
      <c r="D769" s="303"/>
      <c r="M769" s="211"/>
    </row>
    <row r="770">
      <c r="C770" s="303"/>
      <c r="D770" s="303"/>
      <c r="M770" s="211"/>
    </row>
    <row r="771">
      <c r="C771" s="303"/>
      <c r="D771" s="303"/>
      <c r="M771" s="211"/>
    </row>
    <row r="772">
      <c r="C772" s="303"/>
      <c r="D772" s="303"/>
      <c r="M772" s="211"/>
    </row>
    <row r="773">
      <c r="C773" s="303"/>
      <c r="D773" s="303"/>
      <c r="M773" s="211"/>
    </row>
    <row r="774">
      <c r="C774" s="303"/>
      <c r="D774" s="303"/>
      <c r="M774" s="211"/>
    </row>
    <row r="775">
      <c r="C775" s="303"/>
      <c r="D775" s="303"/>
      <c r="M775" s="211"/>
    </row>
    <row r="776">
      <c r="C776" s="303"/>
      <c r="D776" s="303"/>
      <c r="M776" s="211"/>
    </row>
    <row r="777">
      <c r="C777" s="303"/>
      <c r="D777" s="303"/>
      <c r="M777" s="211"/>
    </row>
    <row r="778">
      <c r="C778" s="303"/>
      <c r="D778" s="303"/>
      <c r="M778" s="211"/>
    </row>
    <row r="779">
      <c r="C779" s="303"/>
      <c r="D779" s="303"/>
      <c r="M779" s="211"/>
    </row>
    <row r="780">
      <c r="C780" s="303"/>
      <c r="D780" s="303"/>
      <c r="M780" s="211"/>
    </row>
    <row r="781">
      <c r="C781" s="303"/>
      <c r="D781" s="303"/>
      <c r="M781" s="211"/>
    </row>
    <row r="782">
      <c r="C782" s="303"/>
      <c r="D782" s="303"/>
      <c r="M782" s="211"/>
    </row>
    <row r="783">
      <c r="C783" s="303"/>
      <c r="D783" s="303"/>
      <c r="M783" s="211"/>
    </row>
    <row r="784">
      <c r="C784" s="303"/>
      <c r="D784" s="303"/>
      <c r="M784" s="211"/>
    </row>
    <row r="785">
      <c r="C785" s="303"/>
      <c r="D785" s="303"/>
      <c r="M785" s="211"/>
    </row>
    <row r="786">
      <c r="C786" s="303"/>
      <c r="D786" s="303"/>
      <c r="M786" s="211"/>
    </row>
    <row r="787">
      <c r="C787" s="303"/>
      <c r="D787" s="303"/>
      <c r="M787" s="211"/>
    </row>
    <row r="788">
      <c r="C788" s="303"/>
      <c r="D788" s="303"/>
      <c r="M788" s="211"/>
    </row>
    <row r="789">
      <c r="C789" s="303"/>
      <c r="D789" s="303"/>
      <c r="M789" s="211"/>
    </row>
    <row r="790">
      <c r="C790" s="303"/>
      <c r="D790" s="303"/>
      <c r="M790" s="211"/>
    </row>
    <row r="791">
      <c r="C791" s="303"/>
      <c r="D791" s="303"/>
      <c r="M791" s="211"/>
    </row>
    <row r="792">
      <c r="C792" s="303"/>
      <c r="D792" s="303"/>
      <c r="M792" s="211"/>
    </row>
    <row r="793">
      <c r="C793" s="303"/>
      <c r="D793" s="303"/>
      <c r="M793" s="211"/>
    </row>
    <row r="794">
      <c r="C794" s="303"/>
      <c r="D794" s="303"/>
      <c r="M794" s="211"/>
    </row>
    <row r="795">
      <c r="C795" s="303"/>
      <c r="D795" s="303"/>
      <c r="M795" s="211"/>
    </row>
    <row r="796">
      <c r="C796" s="303"/>
      <c r="D796" s="303"/>
      <c r="M796" s="211"/>
    </row>
    <row r="797">
      <c r="C797" s="303"/>
      <c r="D797" s="303"/>
      <c r="M797" s="211"/>
    </row>
    <row r="798">
      <c r="C798" s="303"/>
      <c r="D798" s="303"/>
      <c r="M798" s="211"/>
    </row>
    <row r="799">
      <c r="C799" s="303"/>
      <c r="D799" s="303"/>
      <c r="M799" s="211"/>
    </row>
    <row r="800">
      <c r="C800" s="303"/>
      <c r="D800" s="303"/>
      <c r="M800" s="211"/>
    </row>
    <row r="801">
      <c r="C801" s="303"/>
      <c r="D801" s="303"/>
      <c r="M801" s="211"/>
    </row>
    <row r="802">
      <c r="C802" s="303"/>
      <c r="D802" s="303"/>
      <c r="M802" s="211"/>
    </row>
    <row r="803">
      <c r="C803" s="303"/>
      <c r="D803" s="303"/>
      <c r="M803" s="211"/>
    </row>
    <row r="804">
      <c r="C804" s="303"/>
      <c r="D804" s="303"/>
      <c r="M804" s="211"/>
    </row>
    <row r="805">
      <c r="C805" s="303"/>
      <c r="D805" s="303"/>
      <c r="M805" s="211"/>
    </row>
    <row r="806">
      <c r="C806" s="303"/>
      <c r="D806" s="303"/>
      <c r="M806" s="211"/>
    </row>
    <row r="807">
      <c r="C807" s="303"/>
      <c r="D807" s="303"/>
      <c r="M807" s="211"/>
    </row>
    <row r="808">
      <c r="C808" s="303"/>
      <c r="D808" s="303"/>
      <c r="M808" s="211"/>
    </row>
    <row r="809">
      <c r="C809" s="303"/>
      <c r="D809" s="303"/>
      <c r="M809" s="211"/>
    </row>
    <row r="810">
      <c r="C810" s="303"/>
      <c r="D810" s="303"/>
      <c r="M810" s="211"/>
    </row>
    <row r="811">
      <c r="C811" s="303"/>
      <c r="D811" s="303"/>
      <c r="M811" s="211"/>
    </row>
    <row r="812">
      <c r="C812" s="303"/>
      <c r="D812" s="303"/>
      <c r="M812" s="211"/>
    </row>
    <row r="813">
      <c r="C813" s="303"/>
      <c r="D813" s="303"/>
      <c r="M813" s="211"/>
    </row>
    <row r="814">
      <c r="C814" s="303"/>
      <c r="D814" s="303"/>
      <c r="M814" s="211"/>
    </row>
    <row r="815">
      <c r="C815" s="303"/>
      <c r="D815" s="303"/>
      <c r="M815" s="211"/>
    </row>
    <row r="816">
      <c r="C816" s="303"/>
      <c r="D816" s="303"/>
      <c r="M816" s="211"/>
    </row>
    <row r="817">
      <c r="C817" s="303"/>
      <c r="D817" s="303"/>
      <c r="M817" s="211"/>
    </row>
    <row r="818">
      <c r="C818" s="303"/>
      <c r="D818" s="303"/>
      <c r="M818" s="211"/>
    </row>
    <row r="819">
      <c r="C819" s="303"/>
      <c r="D819" s="303"/>
      <c r="M819" s="211"/>
    </row>
    <row r="820">
      <c r="C820" s="303"/>
      <c r="D820" s="303"/>
      <c r="M820" s="211"/>
    </row>
    <row r="821">
      <c r="C821" s="303"/>
      <c r="D821" s="303"/>
      <c r="M821" s="211"/>
    </row>
    <row r="822">
      <c r="C822" s="303"/>
      <c r="D822" s="303"/>
      <c r="M822" s="211"/>
    </row>
    <row r="823">
      <c r="C823" s="303"/>
      <c r="D823" s="303"/>
      <c r="M823" s="211"/>
    </row>
    <row r="824">
      <c r="C824" s="303"/>
      <c r="D824" s="303"/>
      <c r="M824" s="211"/>
    </row>
    <row r="825">
      <c r="C825" s="303"/>
      <c r="D825" s="303"/>
      <c r="M825" s="211"/>
    </row>
    <row r="826">
      <c r="C826" s="303"/>
      <c r="D826" s="303"/>
      <c r="M826" s="211"/>
    </row>
    <row r="827">
      <c r="C827" s="303"/>
      <c r="D827" s="303"/>
      <c r="M827" s="211"/>
    </row>
    <row r="828">
      <c r="C828" s="303"/>
      <c r="D828" s="303"/>
      <c r="M828" s="211"/>
    </row>
    <row r="829">
      <c r="C829" s="303"/>
      <c r="D829" s="303"/>
      <c r="M829" s="211"/>
    </row>
    <row r="830">
      <c r="C830" s="303"/>
      <c r="D830" s="303"/>
      <c r="M830" s="211"/>
    </row>
    <row r="831">
      <c r="C831" s="303"/>
      <c r="D831" s="303"/>
      <c r="M831" s="211"/>
    </row>
    <row r="832">
      <c r="C832" s="303"/>
      <c r="D832" s="303"/>
      <c r="M832" s="211"/>
    </row>
    <row r="833">
      <c r="C833" s="303"/>
      <c r="D833" s="303"/>
      <c r="M833" s="211"/>
    </row>
    <row r="834">
      <c r="C834" s="303"/>
      <c r="D834" s="303"/>
      <c r="M834" s="211"/>
    </row>
    <row r="835">
      <c r="C835" s="303"/>
      <c r="D835" s="303"/>
      <c r="M835" s="211"/>
    </row>
    <row r="836">
      <c r="C836" s="303"/>
      <c r="D836" s="303"/>
      <c r="M836" s="211"/>
    </row>
    <row r="837">
      <c r="C837" s="303"/>
      <c r="D837" s="303"/>
      <c r="M837" s="211"/>
    </row>
    <row r="838">
      <c r="C838" s="303"/>
      <c r="D838" s="303"/>
      <c r="M838" s="211"/>
    </row>
    <row r="839">
      <c r="C839" s="303"/>
      <c r="D839" s="303"/>
      <c r="M839" s="211"/>
    </row>
    <row r="840">
      <c r="C840" s="303"/>
      <c r="D840" s="303"/>
      <c r="M840" s="211"/>
    </row>
    <row r="841">
      <c r="C841" s="303"/>
      <c r="D841" s="303"/>
      <c r="M841" s="211"/>
    </row>
    <row r="842">
      <c r="C842" s="303"/>
      <c r="D842" s="303"/>
      <c r="M842" s="211"/>
    </row>
    <row r="843">
      <c r="C843" s="303"/>
      <c r="D843" s="303"/>
      <c r="M843" s="211"/>
    </row>
    <row r="844">
      <c r="C844" s="303"/>
      <c r="D844" s="303"/>
      <c r="M844" s="211"/>
    </row>
    <row r="845">
      <c r="C845" s="303"/>
      <c r="D845" s="303"/>
      <c r="M845" s="211"/>
    </row>
    <row r="846">
      <c r="C846" s="303"/>
      <c r="D846" s="303"/>
      <c r="M846" s="211"/>
    </row>
    <row r="847">
      <c r="C847" s="303"/>
      <c r="D847" s="303"/>
      <c r="M847" s="211"/>
    </row>
    <row r="848">
      <c r="C848" s="303"/>
      <c r="D848" s="303"/>
      <c r="M848" s="211"/>
    </row>
    <row r="849">
      <c r="C849" s="303"/>
      <c r="D849" s="303"/>
      <c r="M849" s="211"/>
    </row>
    <row r="850">
      <c r="C850" s="303"/>
      <c r="D850" s="303"/>
      <c r="M850" s="211"/>
    </row>
    <row r="851">
      <c r="C851" s="303"/>
      <c r="D851" s="303"/>
      <c r="M851" s="211"/>
    </row>
    <row r="852">
      <c r="C852" s="303"/>
      <c r="D852" s="303"/>
      <c r="M852" s="211"/>
    </row>
    <row r="853">
      <c r="C853" s="303"/>
      <c r="D853" s="303"/>
      <c r="M853" s="211"/>
    </row>
    <row r="854">
      <c r="C854" s="303"/>
      <c r="D854" s="303"/>
      <c r="M854" s="211"/>
    </row>
    <row r="855">
      <c r="C855" s="303"/>
      <c r="D855" s="303"/>
      <c r="M855" s="211"/>
    </row>
    <row r="856">
      <c r="C856" s="303"/>
      <c r="D856" s="303"/>
      <c r="M856" s="211"/>
    </row>
    <row r="857">
      <c r="C857" s="303"/>
      <c r="D857" s="303"/>
      <c r="M857" s="211"/>
    </row>
    <row r="858">
      <c r="C858" s="303"/>
      <c r="D858" s="303"/>
      <c r="M858" s="211"/>
    </row>
    <row r="859">
      <c r="C859" s="303"/>
      <c r="D859" s="303"/>
      <c r="M859" s="211"/>
    </row>
    <row r="860">
      <c r="C860" s="303"/>
      <c r="D860" s="303"/>
      <c r="M860" s="211"/>
    </row>
    <row r="861">
      <c r="C861" s="303"/>
      <c r="D861" s="303"/>
      <c r="M861" s="211"/>
    </row>
    <row r="862">
      <c r="C862" s="303"/>
      <c r="D862" s="303"/>
      <c r="M862" s="211"/>
    </row>
    <row r="863">
      <c r="C863" s="303"/>
      <c r="D863" s="303"/>
      <c r="M863" s="211"/>
    </row>
    <row r="864">
      <c r="C864" s="303"/>
      <c r="D864" s="303"/>
      <c r="M864" s="211"/>
    </row>
    <row r="865">
      <c r="C865" s="303"/>
      <c r="D865" s="303"/>
      <c r="M865" s="211"/>
    </row>
    <row r="866">
      <c r="C866" s="303"/>
      <c r="D866" s="303"/>
      <c r="M866" s="211"/>
    </row>
    <row r="867">
      <c r="C867" s="303"/>
      <c r="D867" s="303"/>
      <c r="M867" s="211"/>
    </row>
    <row r="868">
      <c r="C868" s="303"/>
      <c r="D868" s="303"/>
      <c r="M868" s="211"/>
    </row>
    <row r="869">
      <c r="C869" s="303"/>
      <c r="D869" s="303"/>
      <c r="M869" s="211"/>
    </row>
    <row r="870">
      <c r="C870" s="303"/>
      <c r="D870" s="303"/>
      <c r="M870" s="211"/>
    </row>
    <row r="871">
      <c r="C871" s="303"/>
      <c r="D871" s="303"/>
      <c r="M871" s="211"/>
    </row>
    <row r="872">
      <c r="C872" s="303"/>
      <c r="D872" s="303"/>
      <c r="M872" s="211"/>
    </row>
    <row r="873">
      <c r="C873" s="303"/>
      <c r="D873" s="303"/>
      <c r="M873" s="211"/>
    </row>
    <row r="874">
      <c r="C874" s="303"/>
      <c r="D874" s="303"/>
      <c r="M874" s="211"/>
    </row>
    <row r="875">
      <c r="C875" s="303"/>
      <c r="D875" s="303"/>
      <c r="M875" s="211"/>
    </row>
    <row r="876">
      <c r="C876" s="303"/>
      <c r="D876" s="303"/>
      <c r="M876" s="211"/>
    </row>
    <row r="877">
      <c r="C877" s="303"/>
      <c r="D877" s="303"/>
      <c r="M877" s="211"/>
    </row>
    <row r="878">
      <c r="C878" s="303"/>
      <c r="D878" s="303"/>
      <c r="M878" s="211"/>
    </row>
    <row r="879">
      <c r="C879" s="303"/>
      <c r="D879" s="303"/>
      <c r="M879" s="211"/>
    </row>
    <row r="880">
      <c r="C880" s="303"/>
      <c r="D880" s="303"/>
      <c r="M880" s="211"/>
    </row>
    <row r="881">
      <c r="C881" s="303"/>
      <c r="D881" s="303"/>
      <c r="M881" s="211"/>
    </row>
    <row r="882">
      <c r="C882" s="303"/>
      <c r="D882" s="303"/>
      <c r="M882" s="211"/>
    </row>
    <row r="883">
      <c r="C883" s="303"/>
      <c r="D883" s="303"/>
      <c r="M883" s="211"/>
    </row>
    <row r="884">
      <c r="C884" s="303"/>
      <c r="D884" s="303"/>
      <c r="M884" s="211"/>
    </row>
    <row r="885">
      <c r="C885" s="303"/>
      <c r="D885" s="303"/>
      <c r="M885" s="211"/>
    </row>
    <row r="886">
      <c r="C886" s="303"/>
      <c r="D886" s="303"/>
      <c r="M886" s="211"/>
    </row>
    <row r="887">
      <c r="C887" s="303"/>
      <c r="D887" s="303"/>
      <c r="M887" s="211"/>
    </row>
    <row r="888">
      <c r="C888" s="303"/>
      <c r="D888" s="303"/>
      <c r="M888" s="211"/>
    </row>
    <row r="889">
      <c r="C889" s="303"/>
      <c r="D889" s="303"/>
      <c r="M889" s="211"/>
    </row>
    <row r="890">
      <c r="C890" s="303"/>
      <c r="D890" s="303"/>
      <c r="M890" s="211"/>
    </row>
    <row r="891">
      <c r="C891" s="303"/>
      <c r="D891" s="303"/>
      <c r="M891" s="211"/>
    </row>
    <row r="892">
      <c r="C892" s="303"/>
      <c r="D892" s="303"/>
      <c r="M892" s="211"/>
    </row>
    <row r="893">
      <c r="C893" s="303"/>
      <c r="D893" s="303"/>
      <c r="M893" s="211"/>
    </row>
    <row r="894">
      <c r="C894" s="303"/>
      <c r="D894" s="303"/>
      <c r="M894" s="211"/>
    </row>
    <row r="895">
      <c r="C895" s="303"/>
      <c r="D895" s="303"/>
      <c r="M895" s="211"/>
    </row>
    <row r="896">
      <c r="C896" s="303"/>
      <c r="D896" s="303"/>
      <c r="M896" s="211"/>
    </row>
    <row r="897">
      <c r="C897" s="303"/>
      <c r="D897" s="303"/>
      <c r="M897" s="211"/>
    </row>
    <row r="898">
      <c r="C898" s="303"/>
      <c r="D898" s="303"/>
      <c r="M898" s="211"/>
    </row>
    <row r="899">
      <c r="C899" s="303"/>
      <c r="D899" s="303"/>
      <c r="M899" s="211"/>
    </row>
    <row r="900">
      <c r="C900" s="303"/>
      <c r="D900" s="303"/>
      <c r="M900" s="211"/>
    </row>
    <row r="901">
      <c r="C901" s="303"/>
      <c r="D901" s="303"/>
      <c r="M901" s="211"/>
    </row>
    <row r="902">
      <c r="C902" s="303"/>
      <c r="D902" s="303"/>
      <c r="M902" s="211"/>
    </row>
    <row r="903">
      <c r="C903" s="303"/>
      <c r="D903" s="303"/>
      <c r="M903" s="211"/>
    </row>
    <row r="904">
      <c r="C904" s="303"/>
      <c r="D904" s="303"/>
      <c r="M904" s="211"/>
    </row>
    <row r="905">
      <c r="C905" s="303"/>
      <c r="D905" s="303"/>
      <c r="M905" s="211"/>
    </row>
    <row r="906">
      <c r="C906" s="303"/>
      <c r="D906" s="303"/>
      <c r="M906" s="211"/>
    </row>
    <row r="907">
      <c r="C907" s="303"/>
      <c r="D907" s="303"/>
      <c r="M907" s="211"/>
    </row>
    <row r="908">
      <c r="C908" s="303"/>
      <c r="D908" s="303"/>
      <c r="M908" s="211"/>
    </row>
    <row r="909">
      <c r="C909" s="303"/>
      <c r="D909" s="303"/>
      <c r="M909" s="211"/>
    </row>
    <row r="910">
      <c r="C910" s="303"/>
      <c r="D910" s="303"/>
      <c r="M910" s="211"/>
    </row>
    <row r="911">
      <c r="C911" s="303"/>
      <c r="D911" s="303"/>
      <c r="M911" s="211"/>
    </row>
    <row r="912">
      <c r="C912" s="303"/>
      <c r="D912" s="303"/>
      <c r="M912" s="211"/>
    </row>
    <row r="913">
      <c r="C913" s="303"/>
      <c r="D913" s="303"/>
      <c r="M913" s="211"/>
    </row>
    <row r="914">
      <c r="C914" s="303"/>
      <c r="D914" s="303"/>
      <c r="M914" s="211"/>
    </row>
    <row r="915">
      <c r="C915" s="303"/>
      <c r="D915" s="303"/>
      <c r="M915" s="211"/>
    </row>
    <row r="916">
      <c r="C916" s="303"/>
      <c r="D916" s="303"/>
      <c r="M916" s="211"/>
    </row>
    <row r="917">
      <c r="C917" s="303"/>
      <c r="D917" s="303"/>
      <c r="M917" s="211"/>
    </row>
    <row r="918">
      <c r="C918" s="303"/>
      <c r="D918" s="303"/>
      <c r="M918" s="211"/>
    </row>
    <row r="919">
      <c r="C919" s="303"/>
      <c r="D919" s="303"/>
      <c r="M919" s="211"/>
    </row>
    <row r="920">
      <c r="C920" s="303"/>
      <c r="D920" s="303"/>
      <c r="M920" s="211"/>
    </row>
    <row r="921">
      <c r="C921" s="303"/>
      <c r="D921" s="303"/>
      <c r="M921" s="211"/>
    </row>
    <row r="922">
      <c r="C922" s="303"/>
      <c r="D922" s="303"/>
      <c r="M922" s="211"/>
    </row>
    <row r="923">
      <c r="C923" s="303"/>
      <c r="D923" s="303"/>
      <c r="M923" s="211"/>
    </row>
    <row r="924">
      <c r="C924" s="303"/>
      <c r="D924" s="303"/>
      <c r="M924" s="211"/>
    </row>
    <row r="925">
      <c r="C925" s="303"/>
      <c r="D925" s="303"/>
      <c r="M925" s="211"/>
    </row>
    <row r="926">
      <c r="C926" s="303"/>
      <c r="D926" s="303"/>
      <c r="M926" s="211"/>
    </row>
    <row r="927">
      <c r="C927" s="303"/>
      <c r="D927" s="303"/>
      <c r="M927" s="211"/>
    </row>
    <row r="928">
      <c r="C928" s="303"/>
      <c r="D928" s="303"/>
      <c r="M928" s="211"/>
    </row>
    <row r="929">
      <c r="C929" s="303"/>
      <c r="D929" s="303"/>
      <c r="M929" s="211"/>
    </row>
    <row r="930">
      <c r="C930" s="303"/>
      <c r="D930" s="303"/>
      <c r="M930" s="211"/>
    </row>
    <row r="931">
      <c r="C931" s="303"/>
      <c r="D931" s="303"/>
      <c r="M931" s="211"/>
    </row>
    <row r="932">
      <c r="C932" s="303"/>
      <c r="D932" s="303"/>
      <c r="M932" s="211"/>
    </row>
    <row r="933">
      <c r="C933" s="303"/>
      <c r="D933" s="303"/>
      <c r="M933" s="211"/>
    </row>
    <row r="934">
      <c r="C934" s="303"/>
      <c r="D934" s="303"/>
      <c r="M934" s="211"/>
    </row>
    <row r="935">
      <c r="C935" s="303"/>
      <c r="D935" s="303"/>
      <c r="M935" s="211"/>
    </row>
    <row r="936">
      <c r="C936" s="303"/>
      <c r="D936" s="303"/>
      <c r="M936" s="211"/>
    </row>
    <row r="937">
      <c r="C937" s="303"/>
      <c r="D937" s="303"/>
      <c r="M937" s="211"/>
    </row>
    <row r="938">
      <c r="C938" s="303"/>
      <c r="D938" s="303"/>
      <c r="M938" s="211"/>
    </row>
    <row r="939">
      <c r="C939" s="303"/>
      <c r="D939" s="303"/>
      <c r="M939" s="211"/>
    </row>
    <row r="940">
      <c r="C940" s="303"/>
      <c r="D940" s="303"/>
      <c r="M940" s="211"/>
    </row>
    <row r="941">
      <c r="C941" s="303"/>
      <c r="D941" s="303"/>
      <c r="M941" s="211"/>
    </row>
    <row r="942">
      <c r="C942" s="303"/>
      <c r="D942" s="303"/>
      <c r="M942" s="211"/>
    </row>
    <row r="943">
      <c r="C943" s="303"/>
      <c r="D943" s="303"/>
      <c r="M943" s="211"/>
    </row>
    <row r="944">
      <c r="C944" s="303"/>
      <c r="D944" s="303"/>
      <c r="M944" s="211"/>
    </row>
    <row r="945">
      <c r="C945" s="303"/>
      <c r="D945" s="303"/>
      <c r="M945" s="211"/>
    </row>
    <row r="946">
      <c r="C946" s="303"/>
      <c r="D946" s="303"/>
      <c r="M946" s="211"/>
    </row>
    <row r="947">
      <c r="C947" s="303"/>
      <c r="D947" s="303"/>
      <c r="M947" s="211"/>
    </row>
    <row r="948">
      <c r="C948" s="303"/>
      <c r="D948" s="303"/>
      <c r="M948" s="211"/>
    </row>
    <row r="949">
      <c r="C949" s="303"/>
      <c r="D949" s="303"/>
      <c r="M949" s="211"/>
    </row>
    <row r="950">
      <c r="C950" s="303"/>
      <c r="D950" s="303"/>
      <c r="M950" s="211"/>
    </row>
    <row r="951">
      <c r="C951" s="303"/>
      <c r="D951" s="303"/>
      <c r="M951" s="211"/>
    </row>
    <row r="952">
      <c r="C952" s="303"/>
      <c r="D952" s="303"/>
      <c r="M952" s="211"/>
    </row>
    <row r="953">
      <c r="C953" s="303"/>
      <c r="D953" s="303"/>
      <c r="M953" s="211"/>
    </row>
    <row r="954">
      <c r="C954" s="303"/>
      <c r="D954" s="303"/>
      <c r="M954" s="211"/>
    </row>
    <row r="955">
      <c r="C955" s="303"/>
      <c r="D955" s="303"/>
      <c r="M955" s="211"/>
    </row>
    <row r="956">
      <c r="C956" s="303"/>
      <c r="D956" s="303"/>
      <c r="M956" s="211"/>
    </row>
    <row r="957">
      <c r="C957" s="303"/>
      <c r="D957" s="303"/>
      <c r="M957" s="211"/>
    </row>
    <row r="958">
      <c r="C958" s="303"/>
      <c r="D958" s="303"/>
      <c r="M958" s="211"/>
    </row>
    <row r="959">
      <c r="C959" s="303"/>
      <c r="D959" s="303"/>
      <c r="M959" s="211"/>
    </row>
    <row r="960">
      <c r="C960" s="303"/>
      <c r="D960" s="303"/>
      <c r="M960" s="211"/>
    </row>
    <row r="961">
      <c r="C961" s="303"/>
      <c r="D961" s="303"/>
      <c r="M961" s="211"/>
    </row>
    <row r="962">
      <c r="C962" s="303"/>
      <c r="D962" s="303"/>
      <c r="M962" s="211"/>
    </row>
    <row r="963">
      <c r="C963" s="303"/>
      <c r="D963" s="303"/>
      <c r="M963" s="211"/>
    </row>
    <row r="964">
      <c r="C964" s="303"/>
      <c r="D964" s="303"/>
      <c r="M964" s="211"/>
    </row>
    <row r="965">
      <c r="C965" s="303"/>
      <c r="D965" s="303"/>
      <c r="M965" s="211"/>
    </row>
    <row r="966">
      <c r="C966" s="303"/>
      <c r="D966" s="303"/>
      <c r="M966" s="211"/>
    </row>
    <row r="967">
      <c r="C967" s="303"/>
      <c r="D967" s="303"/>
      <c r="M967" s="211"/>
    </row>
    <row r="968">
      <c r="C968" s="303"/>
      <c r="D968" s="303"/>
      <c r="M968" s="211"/>
    </row>
    <row r="969">
      <c r="C969" s="303"/>
      <c r="D969" s="303"/>
      <c r="M969" s="211"/>
    </row>
    <row r="970">
      <c r="C970" s="303"/>
      <c r="D970" s="303"/>
      <c r="M970" s="211"/>
    </row>
    <row r="971">
      <c r="C971" s="303"/>
      <c r="D971" s="303"/>
      <c r="M971" s="211"/>
    </row>
    <row r="972">
      <c r="C972" s="303"/>
      <c r="D972" s="303"/>
      <c r="M972" s="211"/>
    </row>
    <row r="973">
      <c r="C973" s="303"/>
      <c r="D973" s="303"/>
      <c r="M973" s="211"/>
    </row>
    <row r="974">
      <c r="C974" s="303"/>
      <c r="D974" s="303"/>
      <c r="M974" s="211"/>
    </row>
    <row r="975">
      <c r="C975" s="303"/>
      <c r="D975" s="303"/>
      <c r="M975" s="211"/>
    </row>
    <row r="976">
      <c r="C976" s="303"/>
      <c r="D976" s="303"/>
      <c r="M976" s="211"/>
    </row>
    <row r="977">
      <c r="C977" s="303"/>
      <c r="D977" s="303"/>
      <c r="M977" s="211"/>
    </row>
    <row r="978">
      <c r="C978" s="303"/>
      <c r="D978" s="303"/>
      <c r="M978" s="211"/>
    </row>
    <row r="979">
      <c r="C979" s="303"/>
      <c r="D979" s="303"/>
      <c r="M979" s="211"/>
    </row>
    <row r="980">
      <c r="C980" s="303"/>
      <c r="D980" s="303"/>
      <c r="M980" s="211"/>
    </row>
    <row r="981">
      <c r="C981" s="303"/>
      <c r="D981" s="303"/>
      <c r="M981" s="211"/>
    </row>
    <row r="982">
      <c r="C982" s="303"/>
      <c r="D982" s="303"/>
      <c r="M982" s="211"/>
    </row>
    <row r="983">
      <c r="C983" s="303"/>
      <c r="D983" s="303"/>
      <c r="M983" s="211"/>
    </row>
    <row r="984">
      <c r="C984" s="303"/>
      <c r="D984" s="303"/>
      <c r="M984" s="211"/>
    </row>
    <row r="985">
      <c r="C985" s="303"/>
      <c r="D985" s="303"/>
      <c r="M985" s="211"/>
    </row>
    <row r="986">
      <c r="C986" s="303"/>
      <c r="D986" s="303"/>
      <c r="M986" s="211"/>
    </row>
    <row r="987">
      <c r="C987" s="303"/>
      <c r="D987" s="303"/>
      <c r="M987" s="211"/>
    </row>
    <row r="988">
      <c r="C988" s="303"/>
      <c r="D988" s="303"/>
      <c r="M988" s="211"/>
    </row>
    <row r="989">
      <c r="C989" s="303"/>
      <c r="D989" s="303"/>
      <c r="M989" s="211"/>
    </row>
    <row r="990">
      <c r="C990" s="303"/>
      <c r="D990" s="303"/>
      <c r="M990" s="211"/>
    </row>
    <row r="991">
      <c r="C991" s="303"/>
      <c r="D991" s="303"/>
      <c r="M991" s="211"/>
    </row>
    <row r="992">
      <c r="C992" s="303"/>
      <c r="D992" s="303"/>
      <c r="M992" s="211"/>
    </row>
    <row r="993">
      <c r="C993" s="303"/>
      <c r="D993" s="303"/>
      <c r="M993" s="211"/>
    </row>
    <row r="994">
      <c r="C994" s="303"/>
      <c r="D994" s="303"/>
      <c r="M994" s="211"/>
    </row>
    <row r="995">
      <c r="C995" s="303"/>
      <c r="D995" s="303"/>
      <c r="M995" s="211"/>
    </row>
    <row r="996">
      <c r="C996" s="303"/>
      <c r="D996" s="303"/>
      <c r="M996" s="211"/>
    </row>
    <row r="997">
      <c r="C997" s="303"/>
      <c r="D997" s="303"/>
      <c r="M997" s="211"/>
    </row>
    <row r="998">
      <c r="C998" s="303"/>
      <c r="D998" s="303"/>
      <c r="M998" s="211"/>
    </row>
    <row r="999">
      <c r="C999" s="303"/>
      <c r="D999" s="303"/>
      <c r="M999" s="211"/>
    </row>
    <row r="1000">
      <c r="C1000" s="303"/>
      <c r="D1000" s="303"/>
      <c r="M1000" s="211"/>
    </row>
    <row r="1001">
      <c r="C1001" s="303"/>
      <c r="D1001" s="303"/>
      <c r="M1001" s="211"/>
    </row>
    <row r="1002">
      <c r="C1002" s="303"/>
      <c r="D1002" s="303"/>
      <c r="M1002" s="211"/>
    </row>
  </sheetData>
  <mergeCells count="2">
    <mergeCell ref="L1:M1"/>
    <mergeCell ref="N1:O1"/>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3" max="3" width="20.71"/>
  </cols>
  <sheetData>
    <row r="1">
      <c r="A1" s="1" t="s">
        <v>0</v>
      </c>
      <c r="B1" s="2" t="s">
        <v>1</v>
      </c>
      <c r="C1" s="2" t="s">
        <v>2</v>
      </c>
      <c r="D1" s="2"/>
      <c r="E1" s="3"/>
      <c r="F1" s="30" t="s">
        <v>1577</v>
      </c>
      <c r="G1" s="30" t="s">
        <v>4</v>
      </c>
      <c r="H1" s="30" t="s">
        <v>5</v>
      </c>
      <c r="I1" s="30" t="s">
        <v>6</v>
      </c>
      <c r="J1" s="30" t="s">
        <v>7</v>
      </c>
      <c r="K1" s="1" t="s">
        <v>8</v>
      </c>
      <c r="L1" s="7" t="s">
        <v>9</v>
      </c>
      <c r="N1" s="10" t="s">
        <v>14</v>
      </c>
      <c r="P1" s="167"/>
      <c r="Q1" s="167"/>
      <c r="R1" s="30"/>
      <c r="S1" s="20"/>
      <c r="T1" s="20"/>
      <c r="U1" s="20"/>
      <c r="V1" s="20"/>
      <c r="W1" s="20"/>
      <c r="X1" s="20"/>
      <c r="Y1" s="20"/>
      <c r="Z1" s="20"/>
      <c r="AA1" s="20"/>
      <c r="AB1" s="20"/>
      <c r="AC1" s="20"/>
      <c r="AD1" s="20"/>
    </row>
    <row r="2">
      <c r="A2" s="21" t="s">
        <v>786</v>
      </c>
      <c r="B2" s="23"/>
      <c r="C2" s="325"/>
      <c r="D2" s="325"/>
      <c r="E2" s="3"/>
      <c r="F2" s="168">
        <v>43474.0</v>
      </c>
      <c r="G2" s="168">
        <v>43488.0</v>
      </c>
      <c r="H2" s="151">
        <f>G2-today()</f>
        <v>-247</v>
      </c>
      <c r="I2" s="168">
        <v>43474.0</v>
      </c>
      <c r="J2" s="168">
        <v>43614.0</v>
      </c>
      <c r="K2" s="23"/>
      <c r="L2" s="26">
        <f>CountIFS($E:$E,"=Dem",$A:$A,"=House")</f>
        <v>0</v>
      </c>
      <c r="M2" s="28">
        <f>CountIFS($E:$E,"=Rep",$A:$A,"=House")</f>
        <v>0</v>
      </c>
      <c r="N2" s="26">
        <f>CountIFS($E:$E,"=Dem",$A:$A,"=Senate")</f>
        <v>0</v>
      </c>
      <c r="O2" s="28">
        <f>CountIFS($E:$E,"=Rep",$A:$A,"=Senate")</f>
        <v>0</v>
      </c>
      <c r="P2" s="167"/>
      <c r="Q2" s="167"/>
      <c r="R2" s="30"/>
      <c r="S2" s="20"/>
      <c r="T2" s="20"/>
      <c r="U2" s="20"/>
      <c r="V2" s="20"/>
      <c r="W2" s="20"/>
      <c r="X2" s="20"/>
      <c r="Y2" s="20"/>
      <c r="Z2" s="20"/>
      <c r="AA2" s="20"/>
      <c r="AB2" s="20"/>
      <c r="AC2" s="20"/>
      <c r="AD2" s="20"/>
    </row>
    <row r="3">
      <c r="A3" s="30" t="s">
        <v>29</v>
      </c>
      <c r="B3" s="30" t="s">
        <v>30</v>
      </c>
      <c r="C3" s="2" t="s">
        <v>799</v>
      </c>
      <c r="D3" s="2" t="s">
        <v>800</v>
      </c>
      <c r="E3" s="3" t="s">
        <v>33</v>
      </c>
      <c r="F3" s="1" t="s">
        <v>10</v>
      </c>
      <c r="G3" s="1" t="s">
        <v>34</v>
      </c>
      <c r="H3" s="1" t="s">
        <v>34</v>
      </c>
      <c r="I3" s="1" t="s">
        <v>34</v>
      </c>
      <c r="J3" s="1" t="s">
        <v>34</v>
      </c>
      <c r="K3" s="1" t="s">
        <v>35</v>
      </c>
      <c r="L3" s="19" t="s">
        <v>36</v>
      </c>
      <c r="M3" s="19" t="s">
        <v>37</v>
      </c>
      <c r="N3" s="19" t="s">
        <v>38</v>
      </c>
      <c r="O3" s="17" t="s">
        <v>39</v>
      </c>
      <c r="P3" s="11" t="s">
        <v>40</v>
      </c>
      <c r="Q3" s="11" t="s">
        <v>41</v>
      </c>
      <c r="R3" s="17" t="s">
        <v>42</v>
      </c>
      <c r="S3" s="20"/>
      <c r="T3" s="20"/>
      <c r="U3" s="20"/>
      <c r="V3" s="20"/>
      <c r="W3" s="20"/>
      <c r="X3" s="20"/>
      <c r="Y3" s="20"/>
      <c r="Z3" s="20"/>
      <c r="AA3" s="20"/>
      <c r="AB3" s="20"/>
      <c r="AC3" s="20"/>
      <c r="AD3" s="20"/>
    </row>
    <row r="4">
      <c r="A4" s="14" t="s">
        <v>9009</v>
      </c>
      <c r="B4" s="31">
        <v>1.0</v>
      </c>
      <c r="C4" s="35" t="s">
        <v>239</v>
      </c>
      <c r="D4" s="35" t="s">
        <v>9010</v>
      </c>
      <c r="E4" s="51" t="s">
        <v>53</v>
      </c>
      <c r="G4" s="399" t="s">
        <v>9011</v>
      </c>
      <c r="L4" s="618" t="s">
        <v>9012</v>
      </c>
      <c r="M4" t="str">
        <f t="shared" ref="M4:M30" si="1">lower(CONCATENATE(left(C4,1),D4,"@leg.ne.gov"))</f>
        <v>dwatermeier@leg.ne.gov</v>
      </c>
    </row>
    <row r="5">
      <c r="A5" s="14" t="s">
        <v>9009</v>
      </c>
      <c r="B5" s="31">
        <v>2.0</v>
      </c>
      <c r="C5" s="35" t="s">
        <v>1134</v>
      </c>
      <c r="D5" s="35" t="s">
        <v>9013</v>
      </c>
      <c r="E5" s="51" t="s">
        <v>53</v>
      </c>
      <c r="G5" s="399" t="s">
        <v>9011</v>
      </c>
      <c r="L5" s="618" t="s">
        <v>9014</v>
      </c>
      <c r="M5" t="str">
        <f t="shared" si="1"/>
        <v>rclements@leg.ne.gov</v>
      </c>
    </row>
    <row r="6">
      <c r="A6" s="14" t="s">
        <v>9009</v>
      </c>
      <c r="B6" s="31">
        <v>3.0</v>
      </c>
      <c r="C6" s="35" t="s">
        <v>801</v>
      </c>
      <c r="D6" s="35" t="s">
        <v>9015</v>
      </c>
      <c r="E6" s="36" t="s">
        <v>49</v>
      </c>
      <c r="G6" s="200"/>
      <c r="L6" s="618" t="s">
        <v>9016</v>
      </c>
      <c r="M6" t="str">
        <f t="shared" si="1"/>
        <v>cblood@leg.ne.gov</v>
      </c>
    </row>
    <row r="7">
      <c r="A7" s="14" t="s">
        <v>9009</v>
      </c>
      <c r="B7" s="31">
        <v>4.0</v>
      </c>
      <c r="C7" s="35" t="s">
        <v>1134</v>
      </c>
      <c r="D7" s="35" t="s">
        <v>9017</v>
      </c>
      <c r="E7" s="51" t="s">
        <v>53</v>
      </c>
      <c r="G7" s="399" t="s">
        <v>9011</v>
      </c>
      <c r="L7" s="618" t="s">
        <v>9018</v>
      </c>
      <c r="M7" t="str">
        <f t="shared" si="1"/>
        <v>rhilkemann@leg.ne.gov</v>
      </c>
    </row>
    <row r="8">
      <c r="A8" s="14" t="s">
        <v>9009</v>
      </c>
      <c r="B8" s="31">
        <v>5.0</v>
      </c>
      <c r="C8" s="35" t="s">
        <v>157</v>
      </c>
      <c r="D8" s="35" t="s">
        <v>9019</v>
      </c>
      <c r="E8" s="36" t="s">
        <v>49</v>
      </c>
      <c r="G8" s="399" t="s">
        <v>9011</v>
      </c>
      <c r="L8" s="618" t="s">
        <v>9020</v>
      </c>
      <c r="M8" t="str">
        <f t="shared" si="1"/>
        <v>mmcdonnell@leg.ne.gov</v>
      </c>
    </row>
    <row r="9">
      <c r="A9" s="14" t="s">
        <v>9009</v>
      </c>
      <c r="B9" s="31">
        <v>6.0</v>
      </c>
      <c r="C9" s="35" t="s">
        <v>9021</v>
      </c>
      <c r="D9" s="35" t="s">
        <v>9022</v>
      </c>
      <c r="E9" s="165"/>
      <c r="G9" s="200"/>
      <c r="M9" t="str">
        <f t="shared" si="1"/>
        <v>mcavanaugh@leg.ne.gov</v>
      </c>
    </row>
    <row r="10">
      <c r="A10" s="14" t="s">
        <v>9009</v>
      </c>
      <c r="B10" s="31">
        <v>7.0</v>
      </c>
      <c r="C10" s="35" t="s">
        <v>980</v>
      </c>
      <c r="D10" s="35" t="s">
        <v>2357</v>
      </c>
      <c r="E10" s="36" t="s">
        <v>49</v>
      </c>
      <c r="G10" s="399" t="s">
        <v>9011</v>
      </c>
      <c r="L10" s="618" t="s">
        <v>9023</v>
      </c>
      <c r="M10" t="str">
        <f t="shared" si="1"/>
        <v>tvargas@leg.ne.gov</v>
      </c>
    </row>
    <row r="11">
      <c r="A11" s="14" t="s">
        <v>9009</v>
      </c>
      <c r="B11" s="31">
        <v>8.0</v>
      </c>
      <c r="C11" s="35" t="s">
        <v>1687</v>
      </c>
      <c r="D11" s="35" t="s">
        <v>6693</v>
      </c>
      <c r="E11" s="165"/>
      <c r="G11" s="200"/>
      <c r="M11" t="str">
        <f t="shared" si="1"/>
        <v>mhunt@leg.ne.gov</v>
      </c>
    </row>
    <row r="12">
      <c r="A12" s="14" t="s">
        <v>9009</v>
      </c>
      <c r="B12" s="31">
        <v>9.0</v>
      </c>
      <c r="C12" s="35" t="s">
        <v>171</v>
      </c>
      <c r="D12" s="35" t="s">
        <v>297</v>
      </c>
      <c r="E12" s="36" t="s">
        <v>49</v>
      </c>
      <c r="G12" s="200"/>
      <c r="L12" s="618" t="s">
        <v>9024</v>
      </c>
      <c r="M12" t="str">
        <f t="shared" si="1"/>
        <v>showard@leg.ne.gov</v>
      </c>
    </row>
    <row r="13">
      <c r="A13" s="14" t="s">
        <v>9009</v>
      </c>
      <c r="B13" s="31">
        <v>10.0</v>
      </c>
      <c r="C13" s="35" t="s">
        <v>1725</v>
      </c>
      <c r="D13" s="35" t="s">
        <v>9025</v>
      </c>
      <c r="E13" s="165"/>
      <c r="G13" s="399"/>
      <c r="M13" t="str">
        <f t="shared" si="1"/>
        <v>wdeboer@leg.ne.gov</v>
      </c>
    </row>
    <row r="14">
      <c r="A14" s="14" t="s">
        <v>9009</v>
      </c>
      <c r="B14" s="31">
        <v>11.0</v>
      </c>
      <c r="C14" s="35" t="s">
        <v>5360</v>
      </c>
      <c r="D14" s="35" t="s">
        <v>9026</v>
      </c>
      <c r="E14" s="65" t="s">
        <v>5529</v>
      </c>
      <c r="G14" s="399" t="s">
        <v>1411</v>
      </c>
      <c r="L14" s="618" t="s">
        <v>9027</v>
      </c>
      <c r="M14" t="str">
        <f t="shared" si="1"/>
        <v>echambers@leg.ne.gov</v>
      </c>
    </row>
    <row r="15">
      <c r="A15" s="14" t="s">
        <v>9009</v>
      </c>
      <c r="B15" s="31">
        <v>12.0</v>
      </c>
      <c r="C15" s="35" t="s">
        <v>55</v>
      </c>
      <c r="D15" s="35" t="s">
        <v>9028</v>
      </c>
      <c r="E15" s="165"/>
      <c r="G15" s="200"/>
      <c r="M15" t="str">
        <f t="shared" si="1"/>
        <v>slathrop@leg.ne.gov</v>
      </c>
    </row>
    <row r="16">
      <c r="A16" s="14" t="s">
        <v>9009</v>
      </c>
      <c r="B16" s="31">
        <v>13.0</v>
      </c>
      <c r="C16" s="35" t="s">
        <v>786</v>
      </c>
      <c r="D16" s="35" t="s">
        <v>6418</v>
      </c>
      <c r="E16" s="36" t="s">
        <v>49</v>
      </c>
      <c r="G16" s="200"/>
      <c r="L16" s="618" t="s">
        <v>9029</v>
      </c>
      <c r="M16" t="str">
        <f t="shared" si="1"/>
        <v>jwayne@leg.ne.gov</v>
      </c>
    </row>
    <row r="17">
      <c r="A17" s="14" t="s">
        <v>9009</v>
      </c>
      <c r="B17" s="31">
        <v>14.0</v>
      </c>
      <c r="C17" s="35" t="s">
        <v>278</v>
      </c>
      <c r="D17" s="35" t="s">
        <v>9030</v>
      </c>
      <c r="E17" s="165"/>
      <c r="G17" s="76"/>
      <c r="M17" t="str">
        <f t="shared" si="1"/>
        <v>jarch@leg.ne.gov</v>
      </c>
    </row>
    <row r="18">
      <c r="A18" s="14" t="s">
        <v>9009</v>
      </c>
      <c r="B18" s="31">
        <v>15.0</v>
      </c>
      <c r="C18" s="35" t="s">
        <v>9031</v>
      </c>
      <c r="D18" s="35" t="s">
        <v>8665</v>
      </c>
      <c r="E18" s="36" t="s">
        <v>49</v>
      </c>
      <c r="G18" s="200"/>
      <c r="L18" s="618" t="s">
        <v>9032</v>
      </c>
      <c r="M18" t="str">
        <f t="shared" si="1"/>
        <v>lwalz@leg.ne.gov</v>
      </c>
    </row>
    <row r="19">
      <c r="A19" s="14" t="s">
        <v>9009</v>
      </c>
      <c r="B19" s="31">
        <v>16.0</v>
      </c>
      <c r="C19" s="35" t="s">
        <v>195</v>
      </c>
      <c r="D19" s="35" t="s">
        <v>1653</v>
      </c>
      <c r="E19" s="165"/>
      <c r="G19" s="200"/>
      <c r="M19" t="str">
        <f t="shared" si="1"/>
        <v>bhansen@leg.ne.gov</v>
      </c>
    </row>
    <row r="20">
      <c r="A20" s="14" t="s">
        <v>9009</v>
      </c>
      <c r="B20" s="31">
        <v>17.0</v>
      </c>
      <c r="C20" s="35" t="s">
        <v>5197</v>
      </c>
      <c r="D20" s="35" t="s">
        <v>9033</v>
      </c>
      <c r="E20" s="51" t="s">
        <v>53</v>
      </c>
      <c r="G20" s="200"/>
      <c r="L20" s="618" t="s">
        <v>9034</v>
      </c>
      <c r="M20" t="str">
        <f t="shared" si="1"/>
        <v>jalbrecht@leg.ne.gov</v>
      </c>
    </row>
    <row r="21">
      <c r="A21" s="14" t="s">
        <v>9009</v>
      </c>
      <c r="B21" s="31">
        <v>18.0</v>
      </c>
      <c r="C21" s="35" t="s">
        <v>547</v>
      </c>
      <c r="D21" s="35" t="s">
        <v>9035</v>
      </c>
      <c r="E21" s="51" t="s">
        <v>53</v>
      </c>
      <c r="G21" s="200"/>
      <c r="L21" s="618" t="s">
        <v>9036</v>
      </c>
      <c r="M21" t="str">
        <f t="shared" si="1"/>
        <v>blindstrom@leg.ne.gov</v>
      </c>
    </row>
    <row r="22">
      <c r="A22" s="14" t="s">
        <v>9009</v>
      </c>
      <c r="B22" s="31">
        <v>19.0</v>
      </c>
      <c r="C22" s="35" t="s">
        <v>476</v>
      </c>
      <c r="D22" s="35" t="s">
        <v>9037</v>
      </c>
      <c r="E22" s="51" t="s">
        <v>53</v>
      </c>
      <c r="G22" s="200"/>
      <c r="L22" s="618" t="s">
        <v>9038</v>
      </c>
      <c r="M22" t="str">
        <f t="shared" si="1"/>
        <v>jscheer@leg.ne.gov</v>
      </c>
    </row>
    <row r="23">
      <c r="A23" s="14" t="s">
        <v>9009</v>
      </c>
      <c r="B23" s="31">
        <v>20.0</v>
      </c>
      <c r="C23" s="35" t="s">
        <v>278</v>
      </c>
      <c r="D23" s="35" t="s">
        <v>9039</v>
      </c>
      <c r="E23" s="51" t="s">
        <v>53</v>
      </c>
      <c r="G23" s="200"/>
      <c r="L23" s="618" t="s">
        <v>9040</v>
      </c>
      <c r="M23" t="str">
        <f t="shared" si="1"/>
        <v>jmccollister@leg.ne.gov</v>
      </c>
    </row>
    <row r="24">
      <c r="A24" s="14" t="s">
        <v>9009</v>
      </c>
      <c r="B24" s="31">
        <v>21.0</v>
      </c>
      <c r="C24" s="35" t="s">
        <v>157</v>
      </c>
      <c r="D24" s="35" t="s">
        <v>9041</v>
      </c>
      <c r="E24" s="51" t="s">
        <v>53</v>
      </c>
      <c r="G24" s="200"/>
      <c r="L24" s="618" t="s">
        <v>9042</v>
      </c>
      <c r="M24" t="str">
        <f t="shared" si="1"/>
        <v>mhilgers@leg.ne.gov</v>
      </c>
    </row>
    <row r="25">
      <c r="A25" s="14" t="s">
        <v>9009</v>
      </c>
      <c r="B25" s="31">
        <v>22.0</v>
      </c>
      <c r="C25" s="35" t="s">
        <v>157</v>
      </c>
      <c r="D25" s="35" t="s">
        <v>5237</v>
      </c>
      <c r="E25" s="165"/>
      <c r="G25" s="200"/>
      <c r="M25" t="str">
        <f t="shared" si="1"/>
        <v>mmoser@leg.ne.gov</v>
      </c>
    </row>
    <row r="26">
      <c r="A26" s="14" t="s">
        <v>9009</v>
      </c>
      <c r="B26" s="31">
        <v>23.0</v>
      </c>
      <c r="C26" s="35" t="s">
        <v>1193</v>
      </c>
      <c r="D26" s="35" t="s">
        <v>9043</v>
      </c>
      <c r="E26" s="51" t="s">
        <v>53</v>
      </c>
      <c r="G26" s="200"/>
      <c r="L26" s="618" t="s">
        <v>9044</v>
      </c>
      <c r="M26" t="str">
        <f t="shared" si="1"/>
        <v>bbostelman@leg.ne.gov</v>
      </c>
    </row>
    <row r="27">
      <c r="A27" s="14" t="s">
        <v>9009</v>
      </c>
      <c r="B27" s="31">
        <v>24.0</v>
      </c>
      <c r="C27" s="35" t="s">
        <v>91</v>
      </c>
      <c r="D27" s="35" t="s">
        <v>9046</v>
      </c>
      <c r="E27" s="51" t="s">
        <v>53</v>
      </c>
      <c r="G27" s="200"/>
      <c r="L27" s="618" t="s">
        <v>9047</v>
      </c>
      <c r="M27" t="str">
        <f t="shared" si="1"/>
        <v>mkolterman@leg.ne.gov</v>
      </c>
    </row>
    <row r="28">
      <c r="A28" s="14" t="s">
        <v>9009</v>
      </c>
      <c r="B28" s="31">
        <v>25.0</v>
      </c>
      <c r="C28" s="35" t="s">
        <v>5133</v>
      </c>
      <c r="D28" s="35" t="s">
        <v>9062</v>
      </c>
      <c r="E28" s="51" t="s">
        <v>53</v>
      </c>
      <c r="G28" s="200"/>
      <c r="L28" s="618" t="s">
        <v>9064</v>
      </c>
      <c r="M28" t="str">
        <f t="shared" si="1"/>
        <v>sgeist@leg.ne.gov</v>
      </c>
    </row>
    <row r="29">
      <c r="A29" s="14" t="s">
        <v>9009</v>
      </c>
      <c r="B29" s="31">
        <v>26.0</v>
      </c>
      <c r="C29" s="35" t="s">
        <v>163</v>
      </c>
      <c r="D29" s="35" t="s">
        <v>1653</v>
      </c>
      <c r="E29" s="36" t="s">
        <v>49</v>
      </c>
      <c r="G29" s="399" t="s">
        <v>1411</v>
      </c>
      <c r="L29" s="618" t="s">
        <v>9095</v>
      </c>
      <c r="M29" t="str">
        <f t="shared" si="1"/>
        <v>mhansen@leg.ne.gov</v>
      </c>
    </row>
    <row r="30">
      <c r="A30" s="14" t="s">
        <v>9009</v>
      </c>
      <c r="B30" s="31">
        <v>27.0</v>
      </c>
      <c r="C30" s="35" t="s">
        <v>2099</v>
      </c>
      <c r="D30" s="35" t="s">
        <v>9128</v>
      </c>
      <c r="E30" s="36" t="s">
        <v>49</v>
      </c>
      <c r="G30" s="399" t="s">
        <v>9011</v>
      </c>
      <c r="L30" s="618" t="s">
        <v>9130</v>
      </c>
      <c r="M30" t="str">
        <f t="shared" si="1"/>
        <v>awishart@leg.ne.gov</v>
      </c>
    </row>
    <row r="31">
      <c r="A31" s="14" t="s">
        <v>9009</v>
      </c>
      <c r="B31" s="31">
        <v>28.0</v>
      </c>
      <c r="C31" s="35" t="s">
        <v>3923</v>
      </c>
      <c r="D31" s="35" t="s">
        <v>1141</v>
      </c>
      <c r="E31" s="36" t="s">
        <v>49</v>
      </c>
      <c r="G31" s="399" t="s">
        <v>517</v>
      </c>
      <c r="L31" s="618" t="s">
        <v>9154</v>
      </c>
      <c r="M31" s="14" t="s">
        <v>9155</v>
      </c>
    </row>
    <row r="32">
      <c r="A32" s="14" t="s">
        <v>9009</v>
      </c>
      <c r="B32" s="31">
        <v>29.0</v>
      </c>
      <c r="C32" s="35" t="s">
        <v>1354</v>
      </c>
      <c r="D32" s="35" t="s">
        <v>9174</v>
      </c>
      <c r="E32" s="36" t="s">
        <v>49</v>
      </c>
      <c r="G32" s="399" t="s">
        <v>9011</v>
      </c>
      <c r="L32" s="618" t="s">
        <v>9177</v>
      </c>
      <c r="M32" t="str">
        <f t="shared" ref="M32:M52" si="2">lower(CONCATENATE(left(C32,1),D32,"@leg.ne.gov"))</f>
        <v>kbolz@leg.ne.gov</v>
      </c>
    </row>
    <row r="33">
      <c r="A33" s="14" t="s">
        <v>9009</v>
      </c>
      <c r="B33" s="31">
        <v>30.0</v>
      </c>
      <c r="C33" s="35" t="s">
        <v>710</v>
      </c>
      <c r="D33" s="35" t="s">
        <v>9199</v>
      </c>
      <c r="E33" s="165"/>
      <c r="G33" s="399"/>
      <c r="M33" t="str">
        <f t="shared" si="2"/>
        <v>mdorn@leg.ne.gov</v>
      </c>
    </row>
    <row r="34">
      <c r="A34" s="14" t="s">
        <v>9009</v>
      </c>
      <c r="B34" s="31">
        <v>31.0</v>
      </c>
      <c r="C34" s="35" t="s">
        <v>1291</v>
      </c>
      <c r="D34" s="35" t="s">
        <v>9226</v>
      </c>
      <c r="E34" s="36" t="s">
        <v>49</v>
      </c>
      <c r="G34" s="200"/>
      <c r="L34" s="618" t="s">
        <v>9228</v>
      </c>
      <c r="M34" t="str">
        <f t="shared" si="2"/>
        <v>rkolowski@leg.ne.gov</v>
      </c>
    </row>
    <row r="35">
      <c r="A35" s="14" t="s">
        <v>9009</v>
      </c>
      <c r="B35" s="31">
        <v>32.0</v>
      </c>
      <c r="C35" s="35" t="s">
        <v>338</v>
      </c>
      <c r="D35" s="35" t="s">
        <v>1450</v>
      </c>
      <c r="E35" s="165"/>
      <c r="G35" s="399"/>
      <c r="M35" t="str">
        <f t="shared" si="2"/>
        <v>tbrandt@leg.ne.gov</v>
      </c>
    </row>
    <row r="36">
      <c r="A36" s="14" t="s">
        <v>9009</v>
      </c>
      <c r="B36" s="31">
        <v>33.0</v>
      </c>
      <c r="C36" s="35" t="s">
        <v>55</v>
      </c>
      <c r="D36" s="35" t="s">
        <v>9267</v>
      </c>
      <c r="E36" s="51" t="s">
        <v>53</v>
      </c>
      <c r="G36" s="399" t="s">
        <v>1411</v>
      </c>
      <c r="L36" s="618" t="s">
        <v>9270</v>
      </c>
      <c r="M36" t="str">
        <f t="shared" si="2"/>
        <v>shalloran@leg.ne.gov</v>
      </c>
    </row>
    <row r="37">
      <c r="A37" s="14" t="s">
        <v>9009</v>
      </c>
      <c r="B37" s="31">
        <v>34.0</v>
      </c>
      <c r="C37" s="35" t="s">
        <v>4657</v>
      </c>
      <c r="D37" s="35" t="s">
        <v>9276</v>
      </c>
      <c r="E37" s="51" t="s">
        <v>53</v>
      </c>
      <c r="G37" s="200"/>
      <c r="L37" s="618" t="s">
        <v>9277</v>
      </c>
      <c r="M37" t="str">
        <f t="shared" si="2"/>
        <v>cfriesen@leg.ne.gov</v>
      </c>
    </row>
    <row r="38">
      <c r="A38" s="14" t="s">
        <v>9009</v>
      </c>
      <c r="B38" s="31">
        <v>35.0</v>
      </c>
      <c r="C38" s="35" t="s">
        <v>239</v>
      </c>
      <c r="D38" s="35" t="s">
        <v>9281</v>
      </c>
      <c r="E38" s="36" t="s">
        <v>49</v>
      </c>
      <c r="G38" s="200"/>
      <c r="L38" s="618" t="s">
        <v>9282</v>
      </c>
      <c r="M38" t="str">
        <f t="shared" si="2"/>
        <v>dquick@leg.ne.gov</v>
      </c>
    </row>
    <row r="39">
      <c r="A39" s="14" t="s">
        <v>9009</v>
      </c>
      <c r="B39" s="31">
        <v>36.0</v>
      </c>
      <c r="C39" s="35" t="s">
        <v>163</v>
      </c>
      <c r="D39" s="35" t="s">
        <v>793</v>
      </c>
      <c r="E39" s="51" t="s">
        <v>53</v>
      </c>
      <c r="G39" s="200"/>
      <c r="L39" s="618" t="s">
        <v>9284</v>
      </c>
      <c r="M39" t="str">
        <f t="shared" si="2"/>
        <v>mwilliams@leg.ne.gov</v>
      </c>
    </row>
    <row r="40">
      <c r="A40" s="14" t="s">
        <v>9009</v>
      </c>
      <c r="B40" s="31">
        <v>37.0</v>
      </c>
      <c r="C40" s="35" t="s">
        <v>278</v>
      </c>
      <c r="D40" s="35" t="s">
        <v>9285</v>
      </c>
      <c r="E40" s="51" t="s">
        <v>53</v>
      </c>
      <c r="G40" s="200"/>
      <c r="L40" s="618" t="s">
        <v>9286</v>
      </c>
      <c r="M40" t="str">
        <f t="shared" si="2"/>
        <v>jlowe@leg.ne.gov</v>
      </c>
    </row>
    <row r="41">
      <c r="A41" s="14" t="s">
        <v>9009</v>
      </c>
      <c r="B41" s="31">
        <v>38.0</v>
      </c>
      <c r="C41" s="35" t="s">
        <v>76</v>
      </c>
      <c r="D41" s="35" t="s">
        <v>9287</v>
      </c>
      <c r="E41" s="165"/>
      <c r="G41" s="399"/>
      <c r="M41" t="str">
        <f t="shared" si="2"/>
        <v>dmurman@leg.ne.gov</v>
      </c>
    </row>
    <row r="42">
      <c r="A42" s="14" t="s">
        <v>9009</v>
      </c>
      <c r="B42" s="31">
        <v>39.0</v>
      </c>
      <c r="C42" s="38" t="s">
        <v>9288</v>
      </c>
      <c r="D42" s="35" t="s">
        <v>2681</v>
      </c>
      <c r="E42" s="51" t="s">
        <v>53</v>
      </c>
      <c r="G42" s="200"/>
      <c r="L42" s="618" t="s">
        <v>9289</v>
      </c>
      <c r="M42" t="str">
        <f t="shared" si="2"/>
        <v>llinehan@leg.ne.gov</v>
      </c>
    </row>
    <row r="43">
      <c r="A43" s="14" t="s">
        <v>9009</v>
      </c>
      <c r="B43" s="31">
        <v>40.0</v>
      </c>
      <c r="C43" s="35" t="s">
        <v>225</v>
      </c>
      <c r="D43" s="35" t="s">
        <v>9290</v>
      </c>
      <c r="E43" s="165"/>
      <c r="G43" s="200"/>
      <c r="M43" t="str">
        <f t="shared" si="2"/>
        <v>tgragert@leg.ne.gov</v>
      </c>
    </row>
    <row r="44">
      <c r="A44" s="14" t="s">
        <v>9009</v>
      </c>
      <c r="B44" s="31">
        <v>41.0</v>
      </c>
      <c r="C44" s="35" t="s">
        <v>338</v>
      </c>
      <c r="D44" s="35" t="s">
        <v>9294</v>
      </c>
      <c r="E44" s="51" t="s">
        <v>53</v>
      </c>
      <c r="G44" s="200"/>
      <c r="L44" s="618" t="s">
        <v>9295</v>
      </c>
      <c r="M44" t="str">
        <f t="shared" si="2"/>
        <v>tbriese@leg.ne.gov</v>
      </c>
    </row>
    <row r="45">
      <c r="A45" s="14" t="s">
        <v>9009</v>
      </c>
      <c r="B45" s="31">
        <v>42.0</v>
      </c>
      <c r="C45" s="35" t="s">
        <v>157</v>
      </c>
      <c r="D45" s="35" t="s">
        <v>9296</v>
      </c>
      <c r="E45" s="51" t="s">
        <v>53</v>
      </c>
      <c r="G45" s="200"/>
      <c r="L45" s="618" t="s">
        <v>9297</v>
      </c>
      <c r="M45" t="str">
        <f t="shared" si="2"/>
        <v>mgroene@leg.ne.gov</v>
      </c>
    </row>
    <row r="46">
      <c r="A46" s="14" t="s">
        <v>9009</v>
      </c>
      <c r="B46" s="31">
        <v>43.0</v>
      </c>
      <c r="C46" s="35" t="s">
        <v>338</v>
      </c>
      <c r="D46" s="35" t="s">
        <v>6847</v>
      </c>
      <c r="E46" s="51" t="s">
        <v>53</v>
      </c>
      <c r="G46" s="200"/>
      <c r="L46" s="618" t="s">
        <v>9302</v>
      </c>
      <c r="M46" t="str">
        <f t="shared" si="2"/>
        <v>tbrewer@leg.ne.gov</v>
      </c>
    </row>
    <row r="47">
      <c r="A47" s="14" t="s">
        <v>9009</v>
      </c>
      <c r="B47" s="31">
        <v>44.0</v>
      </c>
      <c r="C47" s="35" t="s">
        <v>239</v>
      </c>
      <c r="D47" s="35" t="s">
        <v>316</v>
      </c>
      <c r="E47" s="51" t="s">
        <v>53</v>
      </c>
      <c r="G47" s="200"/>
      <c r="L47" s="618" t="s">
        <v>9304</v>
      </c>
      <c r="M47" t="str">
        <f t="shared" si="2"/>
        <v>dhughes@leg.ne.gov</v>
      </c>
    </row>
    <row r="48">
      <c r="A48" s="14" t="s">
        <v>9009</v>
      </c>
      <c r="B48" s="31">
        <v>45.0</v>
      </c>
      <c r="C48" s="35" t="s">
        <v>4426</v>
      </c>
      <c r="D48" s="35" t="s">
        <v>103</v>
      </c>
      <c r="E48" s="36" t="s">
        <v>49</v>
      </c>
      <c r="G48" s="200"/>
      <c r="L48" s="618" t="s">
        <v>9306</v>
      </c>
      <c r="M48" t="str">
        <f t="shared" si="2"/>
        <v>scrawford@leg.ne.gov</v>
      </c>
    </row>
    <row r="49">
      <c r="A49" s="14" t="s">
        <v>9009</v>
      </c>
      <c r="B49" s="31">
        <v>46.0</v>
      </c>
      <c r="C49" s="35" t="s">
        <v>69</v>
      </c>
      <c r="D49" s="35" t="s">
        <v>9310</v>
      </c>
      <c r="E49" s="36" t="s">
        <v>49</v>
      </c>
      <c r="G49" s="399" t="s">
        <v>1411</v>
      </c>
      <c r="L49" s="618" t="s">
        <v>9312</v>
      </c>
      <c r="M49" t="str">
        <f t="shared" si="2"/>
        <v>amorfeld@leg.ne.gov</v>
      </c>
    </row>
    <row r="50">
      <c r="A50" s="14" t="s">
        <v>9009</v>
      </c>
      <c r="B50" s="31">
        <v>47.0</v>
      </c>
      <c r="C50" s="35" t="s">
        <v>55</v>
      </c>
      <c r="D50" s="35" t="s">
        <v>9316</v>
      </c>
      <c r="E50" s="51" t="s">
        <v>53</v>
      </c>
      <c r="G50" s="200"/>
      <c r="L50" s="618" t="s">
        <v>9317</v>
      </c>
      <c r="M50" t="str">
        <f t="shared" si="2"/>
        <v>serdman@leg.ne.gov</v>
      </c>
    </row>
    <row r="51">
      <c r="A51" s="14" t="s">
        <v>9009</v>
      </c>
      <c r="B51" s="31">
        <v>48.0</v>
      </c>
      <c r="C51" s="35" t="s">
        <v>278</v>
      </c>
      <c r="D51" s="35" t="s">
        <v>9322</v>
      </c>
      <c r="E51" s="51" t="s">
        <v>53</v>
      </c>
      <c r="G51" s="399" t="s">
        <v>9323</v>
      </c>
      <c r="L51" s="618" t="s">
        <v>9324</v>
      </c>
      <c r="M51" t="str">
        <f t="shared" si="2"/>
        <v>jstinner@leg.ne.gov</v>
      </c>
    </row>
    <row r="52">
      <c r="A52" s="14" t="s">
        <v>9009</v>
      </c>
      <c r="B52" s="31">
        <v>49.0</v>
      </c>
      <c r="C52" s="35" t="s">
        <v>278</v>
      </c>
      <c r="D52" s="35" t="s">
        <v>9326</v>
      </c>
      <c r="E52" s="51" t="s">
        <v>53</v>
      </c>
      <c r="G52" s="200"/>
      <c r="L52" s="618" t="s">
        <v>9327</v>
      </c>
      <c r="M52" t="str">
        <f t="shared" si="2"/>
        <v>jmurante@leg.ne.gov</v>
      </c>
    </row>
    <row r="53">
      <c r="A53" s="70"/>
      <c r="B53" s="70"/>
      <c r="C53" s="71"/>
      <c r="D53" s="71"/>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row>
    <row r="54">
      <c r="A54" s="14" t="s">
        <v>421</v>
      </c>
      <c r="C54" s="77" t="s">
        <v>288</v>
      </c>
      <c r="D54" s="77" t="s">
        <v>9329</v>
      </c>
    </row>
    <row r="55">
      <c r="A55" s="70"/>
      <c r="B55" s="70"/>
      <c r="C55" s="71"/>
      <c r="D55" s="71"/>
      <c r="E55" s="70"/>
      <c r="F55" s="70"/>
      <c r="G55" s="70"/>
      <c r="H55" s="70"/>
      <c r="I55" s="70"/>
      <c r="J55" s="70"/>
      <c r="K55" s="70"/>
      <c r="L55" s="70"/>
      <c r="M55" s="70"/>
      <c r="N55" s="70"/>
      <c r="O55" s="70"/>
      <c r="P55" s="70"/>
      <c r="Q55" s="70"/>
      <c r="R55" s="70"/>
      <c r="S55" s="70"/>
      <c r="T55" s="70"/>
      <c r="U55" s="70"/>
      <c r="V55" s="70"/>
      <c r="W55" s="70"/>
      <c r="X55" s="70"/>
      <c r="Y55" s="70"/>
      <c r="Z55" s="70"/>
      <c r="AA55" s="70"/>
      <c r="AB55" s="70"/>
      <c r="AC55" s="70"/>
      <c r="AD55" s="70"/>
    </row>
    <row r="56">
      <c r="A56" s="14" t="s">
        <v>427</v>
      </c>
      <c r="B56" s="14">
        <v>1.0</v>
      </c>
      <c r="C56" s="77" t="s">
        <v>683</v>
      </c>
      <c r="D56" s="77" t="s">
        <v>9331</v>
      </c>
      <c r="E56" s="51" t="s">
        <v>53</v>
      </c>
    </row>
    <row r="57">
      <c r="A57" s="14" t="s">
        <v>427</v>
      </c>
      <c r="B57" s="14">
        <v>2.0</v>
      </c>
      <c r="C57" s="77" t="s">
        <v>428</v>
      </c>
      <c r="D57" s="77" t="s">
        <v>4776</v>
      </c>
      <c r="E57" s="51" t="s">
        <v>53</v>
      </c>
    </row>
    <row r="58">
      <c r="A58" s="14" t="s">
        <v>427</v>
      </c>
      <c r="B58" s="14">
        <v>3.0</v>
      </c>
      <c r="C58" s="77" t="s">
        <v>9332</v>
      </c>
      <c r="D58" s="77" t="s">
        <v>1451</v>
      </c>
      <c r="E58" s="51" t="s">
        <v>53</v>
      </c>
    </row>
    <row r="59">
      <c r="A59" s="70"/>
      <c r="B59" s="70"/>
      <c r="C59" s="71"/>
      <c r="D59" s="71"/>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row>
    <row r="60">
      <c r="A60" s="14" t="s">
        <v>430</v>
      </c>
      <c r="B60" s="14" t="s">
        <v>431</v>
      </c>
      <c r="C60" s="77" t="s">
        <v>195</v>
      </c>
      <c r="D60" s="77" t="s">
        <v>9334</v>
      </c>
      <c r="E60" s="51" t="s">
        <v>53</v>
      </c>
    </row>
    <row r="61">
      <c r="A61" s="14" t="s">
        <v>430</v>
      </c>
      <c r="B61" s="14" t="s">
        <v>434</v>
      </c>
      <c r="C61" s="77" t="s">
        <v>7370</v>
      </c>
      <c r="D61" s="77" t="s">
        <v>2861</v>
      </c>
      <c r="E61" s="51" t="s">
        <v>53</v>
      </c>
    </row>
    <row r="62">
      <c r="A62" s="70"/>
      <c r="B62" s="70"/>
      <c r="C62" s="71"/>
      <c r="D62" s="71"/>
      <c r="E62" s="70"/>
      <c r="F62" s="70"/>
      <c r="G62" s="70"/>
      <c r="H62" s="70"/>
      <c r="I62" s="70"/>
      <c r="J62" s="70"/>
      <c r="K62" s="70"/>
      <c r="L62" s="70"/>
      <c r="M62" s="70"/>
      <c r="N62" s="70"/>
      <c r="O62" s="70"/>
      <c r="P62" s="70"/>
      <c r="Q62" s="70"/>
      <c r="R62" s="70"/>
      <c r="S62" s="70"/>
      <c r="T62" s="70"/>
      <c r="U62" s="70"/>
      <c r="V62" s="70"/>
      <c r="W62" s="70"/>
      <c r="X62" s="70"/>
      <c r="Y62" s="70"/>
      <c r="Z62" s="70"/>
      <c r="AA62" s="70"/>
      <c r="AB62" s="70"/>
      <c r="AC62" s="70"/>
      <c r="AD62" s="70"/>
    </row>
    <row r="63">
      <c r="A63" s="14" t="s">
        <v>438</v>
      </c>
      <c r="C63" s="77" t="s">
        <v>1146</v>
      </c>
      <c r="D63" s="77" t="s">
        <v>6554</v>
      </c>
      <c r="E63" s="51" t="s">
        <v>53</v>
      </c>
    </row>
    <row r="64">
      <c r="A64" s="70"/>
      <c r="B64" s="70"/>
      <c r="C64" s="71"/>
      <c r="D64" s="71"/>
      <c r="E64" s="70"/>
      <c r="F64" s="70"/>
      <c r="G64" s="70"/>
      <c r="H64" s="70"/>
      <c r="I64" s="70"/>
      <c r="J64" s="70"/>
      <c r="K64" s="70"/>
      <c r="L64" s="70"/>
      <c r="M64" s="70"/>
      <c r="N64" s="70"/>
      <c r="O64" s="70"/>
      <c r="P64" s="70"/>
      <c r="Q64" s="70"/>
      <c r="R64" s="70"/>
      <c r="S64" s="70"/>
      <c r="T64" s="70"/>
      <c r="U64" s="70"/>
      <c r="V64" s="70"/>
      <c r="W64" s="70"/>
      <c r="X64" s="70"/>
      <c r="Y64" s="70"/>
      <c r="Z64" s="70"/>
      <c r="AA64" s="70"/>
      <c r="AB64" s="70"/>
      <c r="AC64" s="70"/>
      <c r="AD64" s="70"/>
    </row>
    <row r="65">
      <c r="C65" s="139"/>
      <c r="D65" s="139"/>
    </row>
    <row r="66">
      <c r="C66" s="139"/>
      <c r="D66" s="139"/>
    </row>
    <row r="67">
      <c r="C67" s="139"/>
      <c r="D67" s="139"/>
    </row>
    <row r="68">
      <c r="C68" s="139"/>
      <c r="D68" s="139"/>
    </row>
    <row r="69">
      <c r="C69" s="139"/>
      <c r="D69" s="139"/>
    </row>
    <row r="70">
      <c r="C70" s="139"/>
      <c r="D70" s="139"/>
    </row>
    <row r="71">
      <c r="C71" s="139"/>
      <c r="D71" s="139"/>
    </row>
    <row r="72">
      <c r="C72" s="139"/>
      <c r="D72" s="139"/>
    </row>
    <row r="73">
      <c r="C73" s="139"/>
      <c r="D73" s="139"/>
    </row>
    <row r="74">
      <c r="C74" s="139"/>
      <c r="D74" s="139"/>
    </row>
    <row r="75">
      <c r="C75" s="139"/>
      <c r="D75" s="139"/>
    </row>
    <row r="76">
      <c r="C76" s="139"/>
      <c r="D76" s="139"/>
    </row>
    <row r="77">
      <c r="C77" s="139"/>
      <c r="D77" s="139"/>
    </row>
    <row r="78">
      <c r="C78" s="139"/>
      <c r="D78" s="139"/>
    </row>
    <row r="79">
      <c r="C79" s="139"/>
      <c r="D79" s="139"/>
    </row>
    <row r="80">
      <c r="C80" s="139"/>
      <c r="D80" s="139"/>
    </row>
    <row r="81">
      <c r="C81" s="139"/>
      <c r="D81" s="139"/>
    </row>
    <row r="82">
      <c r="C82" s="139"/>
      <c r="D82" s="139"/>
    </row>
    <row r="83">
      <c r="C83" s="139"/>
      <c r="D83" s="139"/>
    </row>
    <row r="84">
      <c r="C84" s="139"/>
      <c r="D84" s="139"/>
    </row>
    <row r="85">
      <c r="C85" s="139"/>
      <c r="D85" s="139"/>
    </row>
    <row r="86">
      <c r="C86" s="139"/>
      <c r="D86" s="139"/>
    </row>
    <row r="87">
      <c r="C87" s="139"/>
      <c r="D87" s="139"/>
    </row>
    <row r="88">
      <c r="C88" s="139"/>
      <c r="D88" s="139"/>
    </row>
    <row r="89">
      <c r="C89" s="139"/>
      <c r="D89" s="139"/>
    </row>
    <row r="90">
      <c r="C90" s="139"/>
      <c r="D90" s="139"/>
    </row>
    <row r="91">
      <c r="C91" s="139"/>
      <c r="D91" s="139"/>
    </row>
    <row r="92">
      <c r="C92" s="139"/>
      <c r="D92" s="139"/>
    </row>
    <row r="93">
      <c r="C93" s="139"/>
      <c r="D93" s="139"/>
    </row>
    <row r="94">
      <c r="C94" s="139"/>
      <c r="D94" s="139"/>
    </row>
    <row r="95">
      <c r="C95" s="139"/>
      <c r="D95" s="139"/>
    </row>
    <row r="96">
      <c r="C96" s="139"/>
      <c r="D96" s="139"/>
    </row>
    <row r="97">
      <c r="C97" s="139"/>
      <c r="D97" s="139"/>
    </row>
    <row r="98">
      <c r="C98" s="139"/>
      <c r="D98" s="139"/>
    </row>
    <row r="99">
      <c r="C99" s="139"/>
      <c r="D99" s="139"/>
    </row>
    <row r="100">
      <c r="C100" s="139"/>
      <c r="D100" s="139"/>
    </row>
    <row r="101">
      <c r="C101" s="139"/>
      <c r="D101" s="139"/>
    </row>
    <row r="102">
      <c r="C102" s="139"/>
      <c r="D102" s="139"/>
    </row>
    <row r="103">
      <c r="C103" s="139"/>
      <c r="D103" s="139"/>
    </row>
    <row r="104">
      <c r="C104" s="139"/>
      <c r="D104" s="139"/>
    </row>
    <row r="105">
      <c r="C105" s="139"/>
      <c r="D105" s="139"/>
    </row>
    <row r="106">
      <c r="C106" s="139"/>
      <c r="D106" s="139"/>
    </row>
    <row r="107">
      <c r="C107" s="139"/>
      <c r="D107" s="139"/>
    </row>
    <row r="108">
      <c r="C108" s="139"/>
      <c r="D108" s="139"/>
    </row>
    <row r="109">
      <c r="C109" s="139"/>
      <c r="D109" s="139"/>
    </row>
    <row r="110">
      <c r="C110" s="139"/>
      <c r="D110" s="139"/>
    </row>
    <row r="111">
      <c r="C111" s="139"/>
      <c r="D111" s="139"/>
    </row>
    <row r="112">
      <c r="C112" s="139"/>
      <c r="D112" s="139"/>
    </row>
    <row r="113">
      <c r="C113" s="139"/>
      <c r="D113" s="139"/>
    </row>
    <row r="114">
      <c r="C114" s="139"/>
      <c r="D114" s="139"/>
    </row>
    <row r="115">
      <c r="C115" s="139"/>
      <c r="D115" s="139"/>
    </row>
    <row r="116">
      <c r="C116" s="139"/>
      <c r="D116" s="139"/>
    </row>
    <row r="117">
      <c r="C117" s="139"/>
      <c r="D117" s="139"/>
    </row>
    <row r="118">
      <c r="C118" s="139"/>
      <c r="D118" s="139"/>
    </row>
    <row r="119">
      <c r="C119" s="139"/>
      <c r="D119" s="139"/>
    </row>
    <row r="120">
      <c r="C120" s="139"/>
      <c r="D120" s="139"/>
    </row>
    <row r="121">
      <c r="C121" s="139"/>
      <c r="D121" s="139"/>
    </row>
    <row r="122">
      <c r="C122" s="139"/>
      <c r="D122" s="139"/>
    </row>
    <row r="123">
      <c r="C123" s="139"/>
      <c r="D123" s="139"/>
    </row>
    <row r="124">
      <c r="C124" s="139"/>
      <c r="D124" s="139"/>
    </row>
    <row r="125">
      <c r="C125" s="139"/>
      <c r="D125" s="139"/>
    </row>
    <row r="126">
      <c r="C126" s="139"/>
      <c r="D126" s="139"/>
    </row>
    <row r="127">
      <c r="C127" s="139"/>
      <c r="D127" s="139"/>
    </row>
    <row r="128">
      <c r="C128" s="139"/>
      <c r="D128" s="139"/>
    </row>
    <row r="129">
      <c r="C129" s="139"/>
      <c r="D129" s="139"/>
    </row>
    <row r="130">
      <c r="C130" s="139"/>
      <c r="D130" s="139"/>
    </row>
    <row r="131">
      <c r="C131" s="139"/>
      <c r="D131" s="139"/>
    </row>
    <row r="132">
      <c r="C132" s="139"/>
      <c r="D132" s="139"/>
    </row>
    <row r="133">
      <c r="C133" s="139"/>
      <c r="D133" s="139"/>
    </row>
    <row r="134">
      <c r="C134" s="139"/>
      <c r="D134" s="139"/>
    </row>
    <row r="135">
      <c r="C135" s="139"/>
      <c r="D135" s="139"/>
    </row>
    <row r="136">
      <c r="C136" s="139"/>
      <c r="D136" s="139"/>
    </row>
    <row r="137">
      <c r="C137" s="139"/>
      <c r="D137" s="139"/>
    </row>
    <row r="138">
      <c r="C138" s="139"/>
      <c r="D138" s="139"/>
    </row>
    <row r="139">
      <c r="C139" s="139"/>
      <c r="D139" s="139"/>
    </row>
    <row r="140">
      <c r="C140" s="139"/>
      <c r="D140" s="139"/>
    </row>
    <row r="141">
      <c r="C141" s="139"/>
      <c r="D141" s="139"/>
    </row>
    <row r="142">
      <c r="C142" s="139"/>
      <c r="D142" s="139"/>
    </row>
    <row r="143">
      <c r="C143" s="139"/>
      <c r="D143" s="139"/>
    </row>
    <row r="144">
      <c r="C144" s="139"/>
      <c r="D144" s="139"/>
    </row>
    <row r="145">
      <c r="C145" s="139"/>
      <c r="D145" s="139"/>
    </row>
    <row r="146">
      <c r="C146" s="139"/>
      <c r="D146" s="139"/>
    </row>
    <row r="147">
      <c r="C147" s="139"/>
      <c r="D147" s="139"/>
    </row>
    <row r="148">
      <c r="C148" s="139"/>
      <c r="D148" s="139"/>
    </row>
    <row r="149">
      <c r="C149" s="139"/>
      <c r="D149" s="139"/>
    </row>
    <row r="150">
      <c r="C150" s="139"/>
      <c r="D150" s="139"/>
    </row>
    <row r="151">
      <c r="C151" s="139"/>
      <c r="D151" s="139"/>
    </row>
    <row r="152">
      <c r="C152" s="139"/>
      <c r="D152" s="139"/>
    </row>
    <row r="153">
      <c r="C153" s="139"/>
      <c r="D153" s="139"/>
    </row>
    <row r="154">
      <c r="C154" s="139"/>
      <c r="D154" s="139"/>
    </row>
    <row r="155">
      <c r="C155" s="139"/>
      <c r="D155" s="139"/>
    </row>
    <row r="156">
      <c r="C156" s="139"/>
      <c r="D156" s="139"/>
    </row>
    <row r="157">
      <c r="C157" s="139"/>
      <c r="D157" s="139"/>
    </row>
    <row r="158">
      <c r="C158" s="139"/>
      <c r="D158" s="139"/>
    </row>
    <row r="159">
      <c r="C159" s="139"/>
      <c r="D159" s="139"/>
    </row>
    <row r="160">
      <c r="C160" s="139"/>
      <c r="D160" s="139"/>
    </row>
    <row r="161">
      <c r="C161" s="139"/>
      <c r="D161" s="139"/>
    </row>
    <row r="162">
      <c r="C162" s="139"/>
      <c r="D162" s="139"/>
    </row>
    <row r="163">
      <c r="C163" s="139"/>
      <c r="D163" s="139"/>
    </row>
    <row r="164">
      <c r="C164" s="139"/>
      <c r="D164" s="139"/>
    </row>
    <row r="165">
      <c r="C165" s="139"/>
      <c r="D165" s="139"/>
    </row>
    <row r="166">
      <c r="C166" s="139"/>
      <c r="D166" s="139"/>
    </row>
    <row r="167">
      <c r="C167" s="139"/>
      <c r="D167" s="139"/>
    </row>
    <row r="168">
      <c r="C168" s="139"/>
      <c r="D168" s="139"/>
    </row>
    <row r="169">
      <c r="C169" s="139"/>
      <c r="D169" s="139"/>
    </row>
    <row r="170">
      <c r="C170" s="139"/>
      <c r="D170" s="139"/>
    </row>
    <row r="171">
      <c r="C171" s="139"/>
      <c r="D171" s="139"/>
    </row>
    <row r="172">
      <c r="C172" s="139"/>
      <c r="D172" s="139"/>
    </row>
    <row r="173">
      <c r="C173" s="139"/>
      <c r="D173" s="139"/>
    </row>
    <row r="174">
      <c r="C174" s="139"/>
      <c r="D174" s="139"/>
    </row>
    <row r="175">
      <c r="C175" s="139"/>
      <c r="D175" s="139"/>
    </row>
    <row r="176">
      <c r="C176" s="139"/>
      <c r="D176" s="139"/>
    </row>
    <row r="177">
      <c r="C177" s="139"/>
      <c r="D177" s="139"/>
    </row>
    <row r="178">
      <c r="C178" s="139"/>
      <c r="D178" s="139"/>
    </row>
    <row r="179">
      <c r="C179" s="139"/>
      <c r="D179" s="139"/>
    </row>
    <row r="180">
      <c r="C180" s="139"/>
      <c r="D180" s="139"/>
    </row>
    <row r="181">
      <c r="C181" s="139"/>
      <c r="D181" s="139"/>
    </row>
    <row r="182">
      <c r="C182" s="139"/>
      <c r="D182" s="139"/>
    </row>
    <row r="183">
      <c r="C183" s="139"/>
      <c r="D183" s="139"/>
    </row>
    <row r="184">
      <c r="C184" s="139"/>
      <c r="D184" s="139"/>
    </row>
    <row r="185">
      <c r="C185" s="139"/>
      <c r="D185" s="139"/>
    </row>
    <row r="186">
      <c r="C186" s="139"/>
      <c r="D186" s="139"/>
    </row>
    <row r="187">
      <c r="C187" s="139"/>
      <c r="D187" s="139"/>
    </row>
    <row r="188">
      <c r="C188" s="139"/>
      <c r="D188" s="139"/>
    </row>
    <row r="189">
      <c r="C189" s="139"/>
      <c r="D189" s="139"/>
    </row>
    <row r="190">
      <c r="C190" s="139"/>
      <c r="D190" s="139"/>
    </row>
    <row r="191">
      <c r="C191" s="139"/>
      <c r="D191" s="139"/>
    </row>
    <row r="192">
      <c r="C192" s="139"/>
      <c r="D192" s="139"/>
    </row>
    <row r="193">
      <c r="C193" s="139"/>
      <c r="D193" s="139"/>
    </row>
    <row r="194">
      <c r="C194" s="139"/>
      <c r="D194" s="139"/>
    </row>
    <row r="195">
      <c r="C195" s="139"/>
      <c r="D195" s="139"/>
    </row>
    <row r="196">
      <c r="C196" s="139"/>
      <c r="D196" s="139"/>
    </row>
    <row r="197">
      <c r="C197" s="139"/>
      <c r="D197" s="139"/>
    </row>
    <row r="198">
      <c r="C198" s="139"/>
      <c r="D198" s="139"/>
    </row>
    <row r="199">
      <c r="C199" s="139"/>
      <c r="D199" s="139"/>
    </row>
    <row r="200">
      <c r="C200" s="139"/>
      <c r="D200" s="139"/>
    </row>
    <row r="201">
      <c r="C201" s="139"/>
      <c r="D201" s="139"/>
    </row>
    <row r="202">
      <c r="C202" s="139"/>
      <c r="D202" s="139"/>
    </row>
    <row r="203">
      <c r="C203" s="139"/>
      <c r="D203" s="139"/>
    </row>
    <row r="204">
      <c r="C204" s="139"/>
      <c r="D204" s="139"/>
    </row>
    <row r="205">
      <c r="C205" s="139"/>
      <c r="D205" s="139"/>
    </row>
    <row r="206">
      <c r="C206" s="139"/>
      <c r="D206" s="139"/>
    </row>
    <row r="207">
      <c r="C207" s="139"/>
      <c r="D207" s="139"/>
    </row>
    <row r="208">
      <c r="C208" s="139"/>
      <c r="D208" s="139"/>
    </row>
    <row r="209">
      <c r="C209" s="139"/>
      <c r="D209" s="139"/>
    </row>
    <row r="210">
      <c r="C210" s="139"/>
      <c r="D210" s="139"/>
    </row>
    <row r="211">
      <c r="C211" s="139"/>
      <c r="D211" s="139"/>
    </row>
    <row r="212">
      <c r="C212" s="139"/>
      <c r="D212" s="139"/>
    </row>
    <row r="213">
      <c r="C213" s="139"/>
      <c r="D213" s="139"/>
    </row>
    <row r="214">
      <c r="C214" s="139"/>
      <c r="D214" s="139"/>
    </row>
    <row r="215">
      <c r="C215" s="139"/>
      <c r="D215" s="139"/>
    </row>
    <row r="216">
      <c r="C216" s="139"/>
      <c r="D216" s="139"/>
    </row>
    <row r="217">
      <c r="C217" s="139"/>
      <c r="D217" s="139"/>
    </row>
    <row r="218">
      <c r="C218" s="139"/>
      <c r="D218" s="139"/>
    </row>
    <row r="219">
      <c r="C219" s="139"/>
      <c r="D219" s="139"/>
    </row>
    <row r="220">
      <c r="C220" s="139"/>
      <c r="D220" s="139"/>
    </row>
    <row r="221">
      <c r="C221" s="139"/>
      <c r="D221" s="139"/>
    </row>
    <row r="222">
      <c r="C222" s="139"/>
      <c r="D222" s="139"/>
    </row>
    <row r="223">
      <c r="C223" s="139"/>
      <c r="D223" s="139"/>
    </row>
    <row r="224">
      <c r="C224" s="139"/>
      <c r="D224" s="139"/>
    </row>
    <row r="225">
      <c r="C225" s="139"/>
      <c r="D225" s="139"/>
    </row>
    <row r="226">
      <c r="C226" s="139"/>
      <c r="D226" s="139"/>
    </row>
    <row r="227">
      <c r="C227" s="139"/>
      <c r="D227" s="139"/>
    </row>
    <row r="228">
      <c r="C228" s="139"/>
      <c r="D228" s="139"/>
    </row>
    <row r="229">
      <c r="C229" s="139"/>
      <c r="D229" s="139"/>
    </row>
    <row r="230">
      <c r="C230" s="139"/>
      <c r="D230" s="139"/>
    </row>
    <row r="231">
      <c r="C231" s="139"/>
      <c r="D231" s="139"/>
    </row>
    <row r="232">
      <c r="C232" s="139"/>
      <c r="D232" s="139"/>
    </row>
    <row r="233">
      <c r="C233" s="139"/>
      <c r="D233" s="139"/>
    </row>
    <row r="234">
      <c r="C234" s="139"/>
      <c r="D234" s="139"/>
    </row>
    <row r="235">
      <c r="C235" s="139"/>
      <c r="D235" s="139"/>
    </row>
    <row r="236">
      <c r="C236" s="139"/>
      <c r="D236" s="139"/>
    </row>
    <row r="237">
      <c r="C237" s="139"/>
      <c r="D237" s="139"/>
    </row>
    <row r="238">
      <c r="C238" s="139"/>
      <c r="D238" s="139"/>
    </row>
    <row r="239">
      <c r="C239" s="139"/>
      <c r="D239" s="139"/>
    </row>
    <row r="240">
      <c r="C240" s="139"/>
      <c r="D240" s="139"/>
    </row>
    <row r="241">
      <c r="C241" s="139"/>
      <c r="D241" s="139"/>
    </row>
    <row r="242">
      <c r="C242" s="139"/>
      <c r="D242" s="139"/>
    </row>
    <row r="243">
      <c r="C243" s="139"/>
      <c r="D243" s="139"/>
    </row>
    <row r="244">
      <c r="C244" s="139"/>
      <c r="D244" s="139"/>
    </row>
    <row r="245">
      <c r="C245" s="139"/>
      <c r="D245" s="139"/>
    </row>
    <row r="246">
      <c r="C246" s="139"/>
      <c r="D246" s="139"/>
    </row>
    <row r="247">
      <c r="C247" s="139"/>
      <c r="D247" s="139"/>
    </row>
    <row r="248">
      <c r="C248" s="139"/>
      <c r="D248" s="139"/>
    </row>
    <row r="249">
      <c r="C249" s="139"/>
      <c r="D249" s="139"/>
    </row>
    <row r="250">
      <c r="C250" s="139"/>
      <c r="D250" s="139"/>
    </row>
    <row r="251">
      <c r="C251" s="139"/>
      <c r="D251" s="139"/>
    </row>
    <row r="252">
      <c r="C252" s="139"/>
      <c r="D252" s="139"/>
    </row>
    <row r="253">
      <c r="C253" s="139"/>
      <c r="D253" s="139"/>
    </row>
    <row r="254">
      <c r="C254" s="139"/>
      <c r="D254" s="139"/>
    </row>
    <row r="255">
      <c r="C255" s="139"/>
      <c r="D255" s="139"/>
    </row>
    <row r="256">
      <c r="C256" s="139"/>
      <c r="D256" s="139"/>
    </row>
    <row r="257">
      <c r="C257" s="139"/>
      <c r="D257" s="139"/>
    </row>
    <row r="258">
      <c r="C258" s="139"/>
      <c r="D258" s="139"/>
    </row>
    <row r="259">
      <c r="C259" s="139"/>
      <c r="D259" s="139"/>
    </row>
    <row r="260">
      <c r="C260" s="139"/>
      <c r="D260" s="139"/>
    </row>
    <row r="261">
      <c r="C261" s="139"/>
      <c r="D261" s="139"/>
    </row>
    <row r="262">
      <c r="C262" s="139"/>
      <c r="D262" s="139"/>
    </row>
    <row r="263">
      <c r="C263" s="139"/>
      <c r="D263" s="139"/>
    </row>
    <row r="264">
      <c r="C264" s="139"/>
      <c r="D264" s="139"/>
    </row>
    <row r="265">
      <c r="C265" s="139"/>
      <c r="D265" s="139"/>
    </row>
    <row r="266">
      <c r="C266" s="139"/>
      <c r="D266" s="139"/>
    </row>
    <row r="267">
      <c r="C267" s="139"/>
      <c r="D267" s="139"/>
    </row>
    <row r="268">
      <c r="C268" s="139"/>
      <c r="D268" s="139"/>
    </row>
    <row r="269">
      <c r="C269" s="139"/>
      <c r="D269" s="139"/>
    </row>
    <row r="270">
      <c r="C270" s="139"/>
      <c r="D270" s="139"/>
    </row>
    <row r="271">
      <c r="C271" s="139"/>
      <c r="D271" s="139"/>
    </row>
    <row r="272">
      <c r="C272" s="139"/>
      <c r="D272" s="139"/>
    </row>
    <row r="273">
      <c r="C273" s="139"/>
      <c r="D273" s="139"/>
    </row>
    <row r="274">
      <c r="C274" s="139"/>
      <c r="D274" s="139"/>
    </row>
    <row r="275">
      <c r="C275" s="139"/>
      <c r="D275" s="139"/>
    </row>
    <row r="276">
      <c r="C276" s="139"/>
      <c r="D276" s="139"/>
    </row>
    <row r="277">
      <c r="C277" s="139"/>
      <c r="D277" s="139"/>
    </row>
    <row r="278">
      <c r="C278" s="139"/>
      <c r="D278" s="139"/>
    </row>
    <row r="279">
      <c r="C279" s="139"/>
      <c r="D279" s="139"/>
    </row>
    <row r="280">
      <c r="C280" s="139"/>
      <c r="D280" s="139"/>
    </row>
    <row r="281">
      <c r="C281" s="139"/>
      <c r="D281" s="139"/>
    </row>
    <row r="282">
      <c r="C282" s="139"/>
      <c r="D282" s="139"/>
    </row>
    <row r="283">
      <c r="C283" s="139"/>
      <c r="D283" s="139"/>
    </row>
    <row r="284">
      <c r="C284" s="139"/>
      <c r="D284" s="139"/>
    </row>
    <row r="285">
      <c r="C285" s="139"/>
      <c r="D285" s="139"/>
    </row>
    <row r="286">
      <c r="C286" s="139"/>
      <c r="D286" s="139"/>
    </row>
    <row r="287">
      <c r="C287" s="139"/>
      <c r="D287" s="139"/>
    </row>
    <row r="288">
      <c r="C288" s="139"/>
      <c r="D288" s="139"/>
    </row>
    <row r="289">
      <c r="C289" s="139"/>
      <c r="D289" s="139"/>
    </row>
    <row r="290">
      <c r="C290" s="139"/>
      <c r="D290" s="139"/>
    </row>
    <row r="291">
      <c r="C291" s="139"/>
      <c r="D291" s="139"/>
    </row>
    <row r="292">
      <c r="C292" s="139"/>
      <c r="D292" s="139"/>
    </row>
    <row r="293">
      <c r="C293" s="139"/>
      <c r="D293" s="139"/>
    </row>
    <row r="294">
      <c r="C294" s="139"/>
      <c r="D294" s="139"/>
    </row>
    <row r="295">
      <c r="C295" s="139"/>
      <c r="D295" s="139"/>
    </row>
    <row r="296">
      <c r="C296" s="139"/>
      <c r="D296" s="139"/>
    </row>
    <row r="297">
      <c r="C297" s="139"/>
      <c r="D297" s="139"/>
    </row>
    <row r="298">
      <c r="C298" s="139"/>
      <c r="D298" s="139"/>
    </row>
    <row r="299">
      <c r="C299" s="139"/>
      <c r="D299" s="139"/>
    </row>
    <row r="300">
      <c r="C300" s="139"/>
      <c r="D300" s="139"/>
    </row>
    <row r="301">
      <c r="C301" s="139"/>
      <c r="D301" s="139"/>
    </row>
    <row r="302">
      <c r="C302" s="139"/>
      <c r="D302" s="139"/>
    </row>
    <row r="303">
      <c r="C303" s="139"/>
      <c r="D303" s="139"/>
    </row>
    <row r="304">
      <c r="C304" s="139"/>
      <c r="D304" s="139"/>
    </row>
    <row r="305">
      <c r="C305" s="139"/>
      <c r="D305" s="139"/>
    </row>
    <row r="306">
      <c r="C306" s="139"/>
      <c r="D306" s="139"/>
    </row>
    <row r="307">
      <c r="C307" s="139"/>
      <c r="D307" s="139"/>
    </row>
    <row r="308">
      <c r="C308" s="139"/>
      <c r="D308" s="139"/>
    </row>
    <row r="309">
      <c r="C309" s="139"/>
      <c r="D309" s="139"/>
    </row>
    <row r="310">
      <c r="C310" s="139"/>
      <c r="D310" s="139"/>
    </row>
    <row r="311">
      <c r="C311" s="139"/>
      <c r="D311" s="139"/>
    </row>
    <row r="312">
      <c r="C312" s="139"/>
      <c r="D312" s="139"/>
    </row>
    <row r="313">
      <c r="C313" s="139"/>
      <c r="D313" s="139"/>
    </row>
    <row r="314">
      <c r="C314" s="139"/>
      <c r="D314" s="139"/>
    </row>
    <row r="315">
      <c r="C315" s="139"/>
      <c r="D315" s="139"/>
    </row>
    <row r="316">
      <c r="C316" s="139"/>
      <c r="D316" s="139"/>
    </row>
    <row r="317">
      <c r="C317" s="139"/>
      <c r="D317" s="139"/>
    </row>
    <row r="318">
      <c r="C318" s="139"/>
      <c r="D318" s="139"/>
    </row>
    <row r="319">
      <c r="C319" s="139"/>
      <c r="D319" s="139"/>
    </row>
    <row r="320">
      <c r="C320" s="139"/>
      <c r="D320" s="139"/>
    </row>
    <row r="321">
      <c r="C321" s="139"/>
      <c r="D321" s="139"/>
    </row>
    <row r="322">
      <c r="C322" s="139"/>
      <c r="D322" s="139"/>
    </row>
    <row r="323">
      <c r="C323" s="139"/>
      <c r="D323" s="139"/>
    </row>
    <row r="324">
      <c r="C324" s="139"/>
      <c r="D324" s="139"/>
    </row>
    <row r="325">
      <c r="C325" s="139"/>
      <c r="D325" s="139"/>
    </row>
    <row r="326">
      <c r="C326" s="139"/>
      <c r="D326" s="139"/>
    </row>
    <row r="327">
      <c r="C327" s="139"/>
      <c r="D327" s="139"/>
    </row>
    <row r="328">
      <c r="C328" s="139"/>
      <c r="D328" s="139"/>
    </row>
    <row r="329">
      <c r="C329" s="139"/>
      <c r="D329" s="139"/>
    </row>
    <row r="330">
      <c r="C330" s="139"/>
      <c r="D330" s="139"/>
    </row>
    <row r="331">
      <c r="C331" s="139"/>
      <c r="D331" s="139"/>
    </row>
    <row r="332">
      <c r="C332" s="139"/>
      <c r="D332" s="139"/>
    </row>
    <row r="333">
      <c r="C333" s="139"/>
      <c r="D333" s="139"/>
    </row>
    <row r="334">
      <c r="C334" s="139"/>
      <c r="D334" s="139"/>
    </row>
    <row r="335">
      <c r="C335" s="139"/>
      <c r="D335" s="139"/>
    </row>
    <row r="336">
      <c r="C336" s="139"/>
      <c r="D336" s="139"/>
    </row>
    <row r="337">
      <c r="C337" s="139"/>
      <c r="D337" s="139"/>
    </row>
    <row r="338">
      <c r="C338" s="139"/>
      <c r="D338" s="139"/>
    </row>
    <row r="339">
      <c r="C339" s="139"/>
      <c r="D339" s="139"/>
    </row>
    <row r="340">
      <c r="C340" s="139"/>
      <c r="D340" s="139"/>
    </row>
    <row r="341">
      <c r="C341" s="139"/>
      <c r="D341" s="139"/>
    </row>
    <row r="342">
      <c r="C342" s="139"/>
      <c r="D342" s="139"/>
    </row>
    <row r="343">
      <c r="C343" s="139"/>
      <c r="D343" s="139"/>
    </row>
    <row r="344">
      <c r="C344" s="139"/>
      <c r="D344" s="139"/>
    </row>
    <row r="345">
      <c r="C345" s="139"/>
      <c r="D345" s="139"/>
    </row>
    <row r="346">
      <c r="C346" s="139"/>
      <c r="D346" s="139"/>
    </row>
    <row r="347">
      <c r="C347" s="139"/>
      <c r="D347" s="139"/>
    </row>
    <row r="348">
      <c r="C348" s="139"/>
      <c r="D348" s="139"/>
    </row>
    <row r="349">
      <c r="C349" s="139"/>
      <c r="D349" s="139"/>
    </row>
    <row r="350">
      <c r="C350" s="139"/>
      <c r="D350" s="139"/>
    </row>
    <row r="351">
      <c r="C351" s="139"/>
      <c r="D351" s="139"/>
    </row>
    <row r="352">
      <c r="C352" s="139"/>
      <c r="D352" s="139"/>
    </row>
    <row r="353">
      <c r="C353" s="139"/>
      <c r="D353" s="139"/>
    </row>
    <row r="354">
      <c r="C354" s="139"/>
      <c r="D354" s="139"/>
    </row>
    <row r="355">
      <c r="C355" s="139"/>
      <c r="D355" s="139"/>
    </row>
    <row r="356">
      <c r="C356" s="139"/>
      <c r="D356" s="139"/>
    </row>
    <row r="357">
      <c r="C357" s="139"/>
      <c r="D357" s="139"/>
    </row>
    <row r="358">
      <c r="C358" s="139"/>
      <c r="D358" s="139"/>
    </row>
    <row r="359">
      <c r="C359" s="139"/>
      <c r="D359" s="139"/>
    </row>
    <row r="360">
      <c r="C360" s="139"/>
      <c r="D360" s="139"/>
    </row>
    <row r="361">
      <c r="C361" s="139"/>
      <c r="D361" s="139"/>
    </row>
    <row r="362">
      <c r="C362" s="139"/>
      <c r="D362" s="139"/>
    </row>
    <row r="363">
      <c r="C363" s="139"/>
      <c r="D363" s="139"/>
    </row>
    <row r="364">
      <c r="C364" s="139"/>
      <c r="D364" s="139"/>
    </row>
    <row r="365">
      <c r="C365" s="139"/>
      <c r="D365" s="139"/>
    </row>
    <row r="366">
      <c r="C366" s="139"/>
      <c r="D366" s="139"/>
    </row>
    <row r="367">
      <c r="C367" s="139"/>
      <c r="D367" s="139"/>
    </row>
    <row r="368">
      <c r="C368" s="139"/>
      <c r="D368" s="139"/>
    </row>
    <row r="369">
      <c r="C369" s="139"/>
      <c r="D369" s="139"/>
    </row>
    <row r="370">
      <c r="C370" s="139"/>
      <c r="D370" s="139"/>
    </row>
    <row r="371">
      <c r="C371" s="139"/>
      <c r="D371" s="139"/>
    </row>
    <row r="372">
      <c r="C372" s="139"/>
      <c r="D372" s="139"/>
    </row>
    <row r="373">
      <c r="C373" s="139"/>
      <c r="D373" s="139"/>
    </row>
    <row r="374">
      <c r="C374" s="139"/>
      <c r="D374" s="139"/>
    </row>
    <row r="375">
      <c r="C375" s="139"/>
      <c r="D375" s="139"/>
    </row>
    <row r="376">
      <c r="C376" s="139"/>
      <c r="D376" s="139"/>
    </row>
    <row r="377">
      <c r="C377" s="139"/>
      <c r="D377" s="139"/>
    </row>
    <row r="378">
      <c r="C378" s="139"/>
      <c r="D378" s="139"/>
    </row>
    <row r="379">
      <c r="C379" s="139"/>
      <c r="D379" s="139"/>
    </row>
    <row r="380">
      <c r="C380" s="139"/>
      <c r="D380" s="139"/>
    </row>
    <row r="381">
      <c r="C381" s="139"/>
      <c r="D381" s="139"/>
    </row>
    <row r="382">
      <c r="C382" s="139"/>
      <c r="D382" s="139"/>
    </row>
    <row r="383">
      <c r="C383" s="139"/>
      <c r="D383" s="139"/>
    </row>
    <row r="384">
      <c r="C384" s="139"/>
      <c r="D384" s="139"/>
    </row>
    <row r="385">
      <c r="C385" s="139"/>
      <c r="D385" s="139"/>
    </row>
    <row r="386">
      <c r="C386" s="139"/>
      <c r="D386" s="139"/>
    </row>
    <row r="387">
      <c r="C387" s="139"/>
      <c r="D387" s="139"/>
    </row>
    <row r="388">
      <c r="C388" s="139"/>
      <c r="D388" s="139"/>
    </row>
    <row r="389">
      <c r="C389" s="139"/>
      <c r="D389" s="139"/>
    </row>
    <row r="390">
      <c r="C390" s="139"/>
      <c r="D390" s="139"/>
    </row>
    <row r="391">
      <c r="C391" s="139"/>
      <c r="D391" s="139"/>
    </row>
    <row r="392">
      <c r="C392" s="139"/>
      <c r="D392" s="139"/>
    </row>
    <row r="393">
      <c r="C393" s="139"/>
      <c r="D393" s="139"/>
    </row>
    <row r="394">
      <c r="C394" s="139"/>
      <c r="D394" s="139"/>
    </row>
    <row r="395">
      <c r="C395" s="139"/>
      <c r="D395" s="139"/>
    </row>
    <row r="396">
      <c r="C396" s="139"/>
      <c r="D396" s="139"/>
    </row>
    <row r="397">
      <c r="C397" s="139"/>
      <c r="D397" s="139"/>
    </row>
    <row r="398">
      <c r="C398" s="139"/>
      <c r="D398" s="139"/>
    </row>
    <row r="399">
      <c r="C399" s="139"/>
      <c r="D399" s="139"/>
    </row>
    <row r="400">
      <c r="C400" s="139"/>
      <c r="D400" s="139"/>
    </row>
    <row r="401">
      <c r="C401" s="139"/>
      <c r="D401" s="139"/>
    </row>
    <row r="402">
      <c r="C402" s="139"/>
      <c r="D402" s="139"/>
    </row>
    <row r="403">
      <c r="C403" s="139"/>
      <c r="D403" s="139"/>
    </row>
    <row r="404">
      <c r="C404" s="139"/>
      <c r="D404" s="139"/>
    </row>
    <row r="405">
      <c r="C405" s="139"/>
      <c r="D405" s="139"/>
    </row>
    <row r="406">
      <c r="C406" s="139"/>
      <c r="D406" s="139"/>
    </row>
    <row r="407">
      <c r="C407" s="139"/>
      <c r="D407" s="139"/>
    </row>
    <row r="408">
      <c r="C408" s="139"/>
      <c r="D408" s="139"/>
    </row>
    <row r="409">
      <c r="C409" s="139"/>
      <c r="D409" s="139"/>
    </row>
    <row r="410">
      <c r="C410" s="139"/>
      <c r="D410" s="139"/>
    </row>
    <row r="411">
      <c r="C411" s="139"/>
      <c r="D411" s="139"/>
    </row>
    <row r="412">
      <c r="C412" s="139"/>
      <c r="D412" s="139"/>
    </row>
    <row r="413">
      <c r="C413" s="139"/>
      <c r="D413" s="139"/>
    </row>
    <row r="414">
      <c r="C414" s="139"/>
      <c r="D414" s="139"/>
    </row>
    <row r="415">
      <c r="C415" s="139"/>
      <c r="D415" s="139"/>
    </row>
    <row r="416">
      <c r="C416" s="139"/>
      <c r="D416" s="139"/>
    </row>
    <row r="417">
      <c r="C417" s="139"/>
      <c r="D417" s="139"/>
    </row>
    <row r="418">
      <c r="C418" s="139"/>
      <c r="D418" s="139"/>
    </row>
    <row r="419">
      <c r="C419" s="139"/>
      <c r="D419" s="139"/>
    </row>
    <row r="420">
      <c r="C420" s="139"/>
      <c r="D420" s="139"/>
    </row>
    <row r="421">
      <c r="C421" s="139"/>
      <c r="D421" s="139"/>
    </row>
    <row r="422">
      <c r="C422" s="139"/>
      <c r="D422" s="139"/>
    </row>
    <row r="423">
      <c r="C423" s="139"/>
      <c r="D423" s="139"/>
    </row>
    <row r="424">
      <c r="C424" s="139"/>
      <c r="D424" s="139"/>
    </row>
    <row r="425">
      <c r="C425" s="139"/>
      <c r="D425" s="139"/>
    </row>
    <row r="426">
      <c r="C426" s="139"/>
      <c r="D426" s="139"/>
    </row>
    <row r="427">
      <c r="C427" s="139"/>
      <c r="D427" s="139"/>
    </row>
    <row r="428">
      <c r="C428" s="139"/>
      <c r="D428" s="139"/>
    </row>
    <row r="429">
      <c r="C429" s="139"/>
      <c r="D429" s="139"/>
    </row>
    <row r="430">
      <c r="C430" s="139"/>
      <c r="D430" s="139"/>
    </row>
    <row r="431">
      <c r="C431" s="139"/>
      <c r="D431" s="139"/>
    </row>
    <row r="432">
      <c r="C432" s="139"/>
      <c r="D432" s="139"/>
    </row>
    <row r="433">
      <c r="C433" s="139"/>
      <c r="D433" s="139"/>
    </row>
    <row r="434">
      <c r="C434" s="139"/>
      <c r="D434" s="139"/>
    </row>
    <row r="435">
      <c r="C435" s="139"/>
      <c r="D435" s="139"/>
    </row>
    <row r="436">
      <c r="C436" s="139"/>
      <c r="D436" s="139"/>
    </row>
    <row r="437">
      <c r="C437" s="139"/>
      <c r="D437" s="139"/>
    </row>
    <row r="438">
      <c r="C438" s="139"/>
      <c r="D438" s="139"/>
    </row>
    <row r="439">
      <c r="C439" s="139"/>
      <c r="D439" s="139"/>
    </row>
    <row r="440">
      <c r="C440" s="139"/>
      <c r="D440" s="139"/>
    </row>
    <row r="441">
      <c r="C441" s="139"/>
      <c r="D441" s="139"/>
    </row>
    <row r="442">
      <c r="C442" s="139"/>
      <c r="D442" s="139"/>
    </row>
    <row r="443">
      <c r="C443" s="139"/>
      <c r="D443" s="139"/>
    </row>
    <row r="444">
      <c r="C444" s="139"/>
      <c r="D444" s="139"/>
    </row>
    <row r="445">
      <c r="C445" s="139"/>
      <c r="D445" s="139"/>
    </row>
    <row r="446">
      <c r="C446" s="139"/>
      <c r="D446" s="139"/>
    </row>
    <row r="447">
      <c r="C447" s="139"/>
      <c r="D447" s="139"/>
    </row>
    <row r="448">
      <c r="C448" s="139"/>
      <c r="D448" s="139"/>
    </row>
    <row r="449">
      <c r="C449" s="139"/>
      <c r="D449" s="139"/>
    </row>
    <row r="450">
      <c r="C450" s="139"/>
      <c r="D450" s="139"/>
    </row>
    <row r="451">
      <c r="C451" s="139"/>
      <c r="D451" s="139"/>
    </row>
    <row r="452">
      <c r="C452" s="139"/>
      <c r="D452" s="139"/>
    </row>
    <row r="453">
      <c r="C453" s="139"/>
      <c r="D453" s="139"/>
    </row>
    <row r="454">
      <c r="C454" s="139"/>
      <c r="D454" s="139"/>
    </row>
    <row r="455">
      <c r="C455" s="139"/>
      <c r="D455" s="139"/>
    </row>
    <row r="456">
      <c r="C456" s="139"/>
      <c r="D456" s="139"/>
    </row>
    <row r="457">
      <c r="C457" s="139"/>
      <c r="D457" s="139"/>
    </row>
    <row r="458">
      <c r="C458" s="139"/>
      <c r="D458" s="139"/>
    </row>
    <row r="459">
      <c r="C459" s="139"/>
      <c r="D459" s="139"/>
    </row>
    <row r="460">
      <c r="C460" s="139"/>
      <c r="D460" s="139"/>
    </row>
    <row r="461">
      <c r="C461" s="139"/>
      <c r="D461" s="139"/>
    </row>
    <row r="462">
      <c r="C462" s="139"/>
      <c r="D462" s="139"/>
    </row>
    <row r="463">
      <c r="C463" s="139"/>
      <c r="D463" s="139"/>
    </row>
    <row r="464">
      <c r="C464" s="139"/>
      <c r="D464" s="139"/>
    </row>
    <row r="465">
      <c r="C465" s="139"/>
      <c r="D465" s="139"/>
    </row>
    <row r="466">
      <c r="C466" s="139"/>
      <c r="D466" s="139"/>
    </row>
    <row r="467">
      <c r="C467" s="139"/>
      <c r="D467" s="139"/>
    </row>
    <row r="468">
      <c r="C468" s="139"/>
      <c r="D468" s="139"/>
    </row>
    <row r="469">
      <c r="C469" s="139"/>
      <c r="D469" s="139"/>
    </row>
    <row r="470">
      <c r="C470" s="139"/>
      <c r="D470" s="139"/>
    </row>
    <row r="471">
      <c r="C471" s="139"/>
      <c r="D471" s="139"/>
    </row>
    <row r="472">
      <c r="C472" s="139"/>
      <c r="D472" s="139"/>
    </row>
    <row r="473">
      <c r="C473" s="139"/>
      <c r="D473" s="139"/>
    </row>
    <row r="474">
      <c r="C474" s="139"/>
      <c r="D474" s="139"/>
    </row>
    <row r="475">
      <c r="C475" s="139"/>
      <c r="D475" s="139"/>
    </row>
    <row r="476">
      <c r="C476" s="139"/>
      <c r="D476" s="139"/>
    </row>
    <row r="477">
      <c r="C477" s="139"/>
      <c r="D477" s="139"/>
    </row>
    <row r="478">
      <c r="C478" s="139"/>
      <c r="D478" s="139"/>
    </row>
    <row r="479">
      <c r="C479" s="139"/>
      <c r="D479" s="139"/>
    </row>
    <row r="480">
      <c r="C480" s="139"/>
      <c r="D480" s="139"/>
    </row>
    <row r="481">
      <c r="C481" s="139"/>
      <c r="D481" s="139"/>
    </row>
    <row r="482">
      <c r="C482" s="139"/>
      <c r="D482" s="139"/>
    </row>
    <row r="483">
      <c r="C483" s="139"/>
      <c r="D483" s="139"/>
    </row>
    <row r="484">
      <c r="C484" s="139"/>
      <c r="D484" s="139"/>
    </row>
    <row r="485">
      <c r="C485" s="139"/>
      <c r="D485" s="139"/>
    </row>
    <row r="486">
      <c r="C486" s="139"/>
      <c r="D486" s="139"/>
    </row>
    <row r="487">
      <c r="C487" s="139"/>
      <c r="D487" s="139"/>
    </row>
    <row r="488">
      <c r="C488" s="139"/>
      <c r="D488" s="139"/>
    </row>
    <row r="489">
      <c r="C489" s="139"/>
      <c r="D489" s="139"/>
    </row>
    <row r="490">
      <c r="C490" s="139"/>
      <c r="D490" s="139"/>
    </row>
    <row r="491">
      <c r="C491" s="139"/>
      <c r="D491" s="139"/>
    </row>
    <row r="492">
      <c r="C492" s="139"/>
      <c r="D492" s="139"/>
    </row>
    <row r="493">
      <c r="C493" s="139"/>
      <c r="D493" s="139"/>
    </row>
    <row r="494">
      <c r="C494" s="139"/>
      <c r="D494" s="139"/>
    </row>
    <row r="495">
      <c r="C495" s="139"/>
      <c r="D495" s="139"/>
    </row>
    <row r="496">
      <c r="C496" s="139"/>
      <c r="D496" s="139"/>
    </row>
    <row r="497">
      <c r="C497" s="139"/>
      <c r="D497" s="139"/>
    </row>
    <row r="498">
      <c r="C498" s="139"/>
      <c r="D498" s="139"/>
    </row>
    <row r="499">
      <c r="C499" s="139"/>
      <c r="D499" s="139"/>
    </row>
    <row r="500">
      <c r="C500" s="139"/>
      <c r="D500" s="139"/>
    </row>
    <row r="501">
      <c r="C501" s="139"/>
      <c r="D501" s="139"/>
    </row>
    <row r="502">
      <c r="C502" s="139"/>
      <c r="D502" s="139"/>
    </row>
    <row r="503">
      <c r="C503" s="139"/>
      <c r="D503" s="139"/>
    </row>
    <row r="504">
      <c r="C504" s="139"/>
      <c r="D504" s="139"/>
    </row>
    <row r="505">
      <c r="C505" s="139"/>
      <c r="D505" s="139"/>
    </row>
    <row r="506">
      <c r="C506" s="139"/>
      <c r="D506" s="139"/>
    </row>
    <row r="507">
      <c r="C507" s="139"/>
      <c r="D507" s="139"/>
    </row>
    <row r="508">
      <c r="C508" s="139"/>
      <c r="D508" s="139"/>
    </row>
    <row r="509">
      <c r="C509" s="139"/>
      <c r="D509" s="139"/>
    </row>
    <row r="510">
      <c r="C510" s="139"/>
      <c r="D510" s="139"/>
    </row>
    <row r="511">
      <c r="C511" s="139"/>
      <c r="D511" s="139"/>
    </row>
    <row r="512">
      <c r="C512" s="139"/>
      <c r="D512" s="139"/>
    </row>
    <row r="513">
      <c r="C513" s="139"/>
      <c r="D513" s="139"/>
    </row>
    <row r="514">
      <c r="C514" s="139"/>
      <c r="D514" s="139"/>
    </row>
    <row r="515">
      <c r="C515" s="139"/>
      <c r="D515" s="139"/>
    </row>
    <row r="516">
      <c r="C516" s="139"/>
      <c r="D516" s="139"/>
    </row>
    <row r="517">
      <c r="C517" s="139"/>
      <c r="D517" s="139"/>
    </row>
    <row r="518">
      <c r="C518" s="139"/>
      <c r="D518" s="139"/>
    </row>
    <row r="519">
      <c r="C519" s="139"/>
      <c r="D519" s="139"/>
    </row>
    <row r="520">
      <c r="C520" s="139"/>
      <c r="D520" s="139"/>
    </row>
    <row r="521">
      <c r="C521" s="139"/>
      <c r="D521" s="139"/>
    </row>
    <row r="522">
      <c r="C522" s="139"/>
      <c r="D522" s="139"/>
    </row>
    <row r="523">
      <c r="C523" s="139"/>
      <c r="D523" s="139"/>
    </row>
    <row r="524">
      <c r="C524" s="139"/>
      <c r="D524" s="139"/>
    </row>
    <row r="525">
      <c r="C525" s="139"/>
      <c r="D525" s="139"/>
    </row>
    <row r="526">
      <c r="C526" s="139"/>
      <c r="D526" s="139"/>
    </row>
    <row r="527">
      <c r="C527" s="139"/>
      <c r="D527" s="139"/>
    </row>
    <row r="528">
      <c r="C528" s="139"/>
      <c r="D528" s="139"/>
    </row>
    <row r="529">
      <c r="C529" s="139"/>
      <c r="D529" s="139"/>
    </row>
    <row r="530">
      <c r="C530" s="139"/>
      <c r="D530" s="139"/>
    </row>
    <row r="531">
      <c r="C531" s="139"/>
      <c r="D531" s="139"/>
    </row>
    <row r="532">
      <c r="C532" s="139"/>
      <c r="D532" s="139"/>
    </row>
    <row r="533">
      <c r="C533" s="139"/>
      <c r="D533" s="139"/>
    </row>
    <row r="534">
      <c r="C534" s="139"/>
      <c r="D534" s="139"/>
    </row>
    <row r="535">
      <c r="C535" s="139"/>
      <c r="D535" s="139"/>
    </row>
    <row r="536">
      <c r="C536" s="139"/>
      <c r="D536" s="139"/>
    </row>
    <row r="537">
      <c r="C537" s="139"/>
      <c r="D537" s="139"/>
    </row>
    <row r="538">
      <c r="C538" s="139"/>
      <c r="D538" s="139"/>
    </row>
    <row r="539">
      <c r="C539" s="139"/>
      <c r="D539" s="139"/>
    </row>
    <row r="540">
      <c r="C540" s="139"/>
      <c r="D540" s="139"/>
    </row>
    <row r="541">
      <c r="C541" s="139"/>
      <c r="D541" s="139"/>
    </row>
    <row r="542">
      <c r="C542" s="139"/>
      <c r="D542" s="139"/>
    </row>
    <row r="543">
      <c r="C543" s="139"/>
      <c r="D543" s="139"/>
    </row>
    <row r="544">
      <c r="C544" s="139"/>
      <c r="D544" s="139"/>
    </row>
    <row r="545">
      <c r="C545" s="139"/>
      <c r="D545" s="139"/>
    </row>
    <row r="546">
      <c r="C546" s="139"/>
      <c r="D546" s="139"/>
    </row>
    <row r="547">
      <c r="C547" s="139"/>
      <c r="D547" s="139"/>
    </row>
    <row r="548">
      <c r="C548" s="139"/>
      <c r="D548" s="139"/>
    </row>
    <row r="549">
      <c r="C549" s="139"/>
      <c r="D549" s="139"/>
    </row>
    <row r="550">
      <c r="C550" s="139"/>
      <c r="D550" s="139"/>
    </row>
    <row r="551">
      <c r="C551" s="139"/>
      <c r="D551" s="139"/>
    </row>
    <row r="552">
      <c r="C552" s="139"/>
      <c r="D552" s="139"/>
    </row>
    <row r="553">
      <c r="C553" s="139"/>
      <c r="D553" s="139"/>
    </row>
    <row r="554">
      <c r="C554" s="139"/>
      <c r="D554" s="139"/>
    </row>
    <row r="555">
      <c r="C555" s="139"/>
      <c r="D555" s="139"/>
    </row>
    <row r="556">
      <c r="C556" s="139"/>
      <c r="D556" s="139"/>
    </row>
    <row r="557">
      <c r="C557" s="139"/>
      <c r="D557" s="139"/>
    </row>
    <row r="558">
      <c r="C558" s="139"/>
      <c r="D558" s="139"/>
    </row>
    <row r="559">
      <c r="C559" s="139"/>
      <c r="D559" s="139"/>
    </row>
    <row r="560">
      <c r="C560" s="139"/>
      <c r="D560" s="139"/>
    </row>
    <row r="561">
      <c r="C561" s="139"/>
      <c r="D561" s="139"/>
    </row>
    <row r="562">
      <c r="C562" s="139"/>
      <c r="D562" s="139"/>
    </row>
    <row r="563">
      <c r="C563" s="139"/>
      <c r="D563" s="139"/>
    </row>
    <row r="564">
      <c r="C564" s="139"/>
      <c r="D564" s="139"/>
    </row>
    <row r="565">
      <c r="C565" s="139"/>
      <c r="D565" s="139"/>
    </row>
    <row r="566">
      <c r="C566" s="139"/>
      <c r="D566" s="139"/>
    </row>
    <row r="567">
      <c r="C567" s="139"/>
      <c r="D567" s="139"/>
    </row>
    <row r="568">
      <c r="C568" s="139"/>
      <c r="D568" s="139"/>
    </row>
    <row r="569">
      <c r="C569" s="139"/>
      <c r="D569" s="139"/>
    </row>
    <row r="570">
      <c r="C570" s="139"/>
      <c r="D570" s="139"/>
    </row>
    <row r="571">
      <c r="C571" s="139"/>
      <c r="D571" s="139"/>
    </row>
    <row r="572">
      <c r="C572" s="139"/>
      <c r="D572" s="139"/>
    </row>
    <row r="573">
      <c r="C573" s="139"/>
      <c r="D573" s="139"/>
    </row>
    <row r="574">
      <c r="C574" s="139"/>
      <c r="D574" s="139"/>
    </row>
    <row r="575">
      <c r="C575" s="139"/>
      <c r="D575" s="139"/>
    </row>
    <row r="576">
      <c r="C576" s="139"/>
      <c r="D576" s="139"/>
    </row>
    <row r="577">
      <c r="C577" s="139"/>
      <c r="D577" s="139"/>
    </row>
    <row r="578">
      <c r="C578" s="139"/>
      <c r="D578" s="139"/>
    </row>
    <row r="579">
      <c r="C579" s="139"/>
      <c r="D579" s="139"/>
    </row>
    <row r="580">
      <c r="C580" s="139"/>
      <c r="D580" s="139"/>
    </row>
    <row r="581">
      <c r="C581" s="139"/>
      <c r="D581" s="139"/>
    </row>
    <row r="582">
      <c r="C582" s="139"/>
      <c r="D582" s="139"/>
    </row>
    <row r="583">
      <c r="C583" s="139"/>
      <c r="D583" s="139"/>
    </row>
    <row r="584">
      <c r="C584" s="139"/>
      <c r="D584" s="139"/>
    </row>
    <row r="585">
      <c r="C585" s="139"/>
      <c r="D585" s="139"/>
    </row>
    <row r="586">
      <c r="C586" s="139"/>
      <c r="D586" s="139"/>
    </row>
    <row r="587">
      <c r="C587" s="139"/>
      <c r="D587" s="139"/>
    </row>
    <row r="588">
      <c r="C588" s="139"/>
      <c r="D588" s="139"/>
    </row>
    <row r="589">
      <c r="C589" s="139"/>
      <c r="D589" s="139"/>
    </row>
    <row r="590">
      <c r="C590" s="139"/>
      <c r="D590" s="139"/>
    </row>
    <row r="591">
      <c r="C591" s="139"/>
      <c r="D591" s="139"/>
    </row>
    <row r="592">
      <c r="C592" s="139"/>
      <c r="D592" s="139"/>
    </row>
    <row r="593">
      <c r="C593" s="139"/>
      <c r="D593" s="139"/>
    </row>
    <row r="594">
      <c r="C594" s="139"/>
      <c r="D594" s="139"/>
    </row>
    <row r="595">
      <c r="C595" s="139"/>
      <c r="D595" s="139"/>
    </row>
    <row r="596">
      <c r="C596" s="139"/>
      <c r="D596" s="139"/>
    </row>
    <row r="597">
      <c r="C597" s="139"/>
      <c r="D597" s="139"/>
    </row>
    <row r="598">
      <c r="C598" s="139"/>
      <c r="D598" s="139"/>
    </row>
    <row r="599">
      <c r="C599" s="139"/>
      <c r="D599" s="139"/>
    </row>
    <row r="600">
      <c r="C600" s="139"/>
      <c r="D600" s="139"/>
    </row>
    <row r="601">
      <c r="C601" s="139"/>
      <c r="D601" s="139"/>
    </row>
    <row r="602">
      <c r="C602" s="139"/>
      <c r="D602" s="139"/>
    </row>
    <row r="603">
      <c r="C603" s="139"/>
      <c r="D603" s="139"/>
    </row>
    <row r="604">
      <c r="C604" s="139"/>
      <c r="D604" s="139"/>
    </row>
    <row r="605">
      <c r="C605" s="139"/>
      <c r="D605" s="139"/>
    </row>
    <row r="606">
      <c r="C606" s="139"/>
      <c r="D606" s="139"/>
    </row>
    <row r="607">
      <c r="C607" s="139"/>
      <c r="D607" s="139"/>
    </row>
    <row r="608">
      <c r="C608" s="139"/>
      <c r="D608" s="139"/>
    </row>
    <row r="609">
      <c r="C609" s="139"/>
      <c r="D609" s="139"/>
    </row>
    <row r="610">
      <c r="C610" s="139"/>
      <c r="D610" s="139"/>
    </row>
    <row r="611">
      <c r="C611" s="139"/>
      <c r="D611" s="139"/>
    </row>
    <row r="612">
      <c r="C612" s="139"/>
      <c r="D612" s="139"/>
    </row>
    <row r="613">
      <c r="C613" s="139"/>
      <c r="D613" s="139"/>
    </row>
    <row r="614">
      <c r="C614" s="139"/>
      <c r="D614" s="139"/>
    </row>
    <row r="615">
      <c r="C615" s="139"/>
      <c r="D615" s="139"/>
    </row>
    <row r="616">
      <c r="C616" s="139"/>
      <c r="D616" s="139"/>
    </row>
    <row r="617">
      <c r="C617" s="139"/>
      <c r="D617" s="139"/>
    </row>
    <row r="618">
      <c r="C618" s="139"/>
      <c r="D618" s="139"/>
    </row>
    <row r="619">
      <c r="C619" s="139"/>
      <c r="D619" s="139"/>
    </row>
    <row r="620">
      <c r="C620" s="139"/>
      <c r="D620" s="139"/>
    </row>
    <row r="621">
      <c r="C621" s="139"/>
      <c r="D621" s="139"/>
    </row>
    <row r="622">
      <c r="C622" s="139"/>
      <c r="D622" s="139"/>
    </row>
    <row r="623">
      <c r="C623" s="139"/>
      <c r="D623" s="139"/>
    </row>
    <row r="624">
      <c r="C624" s="139"/>
      <c r="D624" s="139"/>
    </row>
    <row r="625">
      <c r="C625" s="139"/>
      <c r="D625" s="139"/>
    </row>
    <row r="626">
      <c r="C626" s="139"/>
      <c r="D626" s="139"/>
    </row>
    <row r="627">
      <c r="C627" s="139"/>
      <c r="D627" s="139"/>
    </row>
    <row r="628">
      <c r="C628" s="139"/>
      <c r="D628" s="139"/>
    </row>
    <row r="629">
      <c r="C629" s="139"/>
      <c r="D629" s="139"/>
    </row>
    <row r="630">
      <c r="C630" s="139"/>
      <c r="D630" s="139"/>
    </row>
    <row r="631">
      <c r="C631" s="139"/>
      <c r="D631" s="139"/>
    </row>
    <row r="632">
      <c r="C632" s="139"/>
      <c r="D632" s="139"/>
    </row>
    <row r="633">
      <c r="C633" s="139"/>
      <c r="D633" s="139"/>
    </row>
    <row r="634">
      <c r="C634" s="139"/>
      <c r="D634" s="139"/>
    </row>
    <row r="635">
      <c r="C635" s="139"/>
      <c r="D635" s="139"/>
    </row>
    <row r="636">
      <c r="C636" s="139"/>
      <c r="D636" s="139"/>
    </row>
    <row r="637">
      <c r="C637" s="139"/>
      <c r="D637" s="139"/>
    </row>
    <row r="638">
      <c r="C638" s="139"/>
      <c r="D638" s="139"/>
    </row>
    <row r="639">
      <c r="C639" s="139"/>
      <c r="D639" s="139"/>
    </row>
    <row r="640">
      <c r="C640" s="139"/>
      <c r="D640" s="139"/>
    </row>
    <row r="641">
      <c r="C641" s="139"/>
      <c r="D641" s="139"/>
    </row>
    <row r="642">
      <c r="C642" s="139"/>
      <c r="D642" s="139"/>
    </row>
    <row r="643">
      <c r="C643" s="139"/>
      <c r="D643" s="139"/>
    </row>
    <row r="644">
      <c r="C644" s="139"/>
      <c r="D644" s="139"/>
    </row>
    <row r="645">
      <c r="C645" s="139"/>
      <c r="D645" s="139"/>
    </row>
    <row r="646">
      <c r="C646" s="139"/>
      <c r="D646" s="139"/>
    </row>
    <row r="647">
      <c r="C647" s="139"/>
      <c r="D647" s="139"/>
    </row>
    <row r="648">
      <c r="C648" s="139"/>
      <c r="D648" s="139"/>
    </row>
    <row r="649">
      <c r="C649" s="139"/>
      <c r="D649" s="139"/>
    </row>
    <row r="650">
      <c r="C650" s="139"/>
      <c r="D650" s="139"/>
    </row>
    <row r="651">
      <c r="C651" s="139"/>
      <c r="D651" s="139"/>
    </row>
    <row r="652">
      <c r="C652" s="139"/>
      <c r="D652" s="139"/>
    </row>
    <row r="653">
      <c r="C653" s="139"/>
      <c r="D653" s="139"/>
    </row>
    <row r="654">
      <c r="C654" s="139"/>
      <c r="D654" s="139"/>
    </row>
    <row r="655">
      <c r="C655" s="139"/>
      <c r="D655" s="139"/>
    </row>
    <row r="656">
      <c r="C656" s="139"/>
      <c r="D656" s="139"/>
    </row>
    <row r="657">
      <c r="C657" s="139"/>
      <c r="D657" s="139"/>
    </row>
    <row r="658">
      <c r="C658" s="139"/>
      <c r="D658" s="139"/>
    </row>
    <row r="659">
      <c r="C659" s="139"/>
      <c r="D659" s="139"/>
    </row>
    <row r="660">
      <c r="C660" s="139"/>
      <c r="D660" s="139"/>
    </row>
    <row r="661">
      <c r="C661" s="139"/>
      <c r="D661" s="139"/>
    </row>
    <row r="662">
      <c r="C662" s="139"/>
      <c r="D662" s="139"/>
    </row>
    <row r="663">
      <c r="C663" s="139"/>
      <c r="D663" s="139"/>
    </row>
    <row r="664">
      <c r="C664" s="139"/>
      <c r="D664" s="139"/>
    </row>
    <row r="665">
      <c r="C665" s="139"/>
      <c r="D665" s="139"/>
    </row>
    <row r="666">
      <c r="C666" s="139"/>
      <c r="D666" s="139"/>
    </row>
    <row r="667">
      <c r="C667" s="139"/>
      <c r="D667" s="139"/>
    </row>
    <row r="668">
      <c r="C668" s="139"/>
      <c r="D668" s="139"/>
    </row>
    <row r="669">
      <c r="C669" s="139"/>
      <c r="D669" s="139"/>
    </row>
    <row r="670">
      <c r="C670" s="139"/>
      <c r="D670" s="139"/>
    </row>
    <row r="671">
      <c r="C671" s="139"/>
      <c r="D671" s="139"/>
    </row>
    <row r="672">
      <c r="C672" s="139"/>
      <c r="D672" s="139"/>
    </row>
    <row r="673">
      <c r="C673" s="139"/>
      <c r="D673" s="139"/>
    </row>
    <row r="674">
      <c r="C674" s="139"/>
      <c r="D674" s="139"/>
    </row>
    <row r="675">
      <c r="C675" s="139"/>
      <c r="D675" s="139"/>
    </row>
    <row r="676">
      <c r="C676" s="139"/>
      <c r="D676" s="139"/>
    </row>
    <row r="677">
      <c r="C677" s="139"/>
      <c r="D677" s="139"/>
    </row>
    <row r="678">
      <c r="C678" s="139"/>
      <c r="D678" s="139"/>
    </row>
    <row r="679">
      <c r="C679" s="139"/>
      <c r="D679" s="139"/>
    </row>
    <row r="680">
      <c r="C680" s="139"/>
      <c r="D680" s="139"/>
    </row>
    <row r="681">
      <c r="C681" s="139"/>
      <c r="D681" s="139"/>
    </row>
    <row r="682">
      <c r="C682" s="139"/>
      <c r="D682" s="139"/>
    </row>
    <row r="683">
      <c r="C683" s="139"/>
      <c r="D683" s="139"/>
    </row>
    <row r="684">
      <c r="C684" s="139"/>
      <c r="D684" s="139"/>
    </row>
    <row r="685">
      <c r="C685" s="139"/>
      <c r="D685" s="139"/>
    </row>
    <row r="686">
      <c r="C686" s="139"/>
      <c r="D686" s="139"/>
    </row>
    <row r="687">
      <c r="C687" s="139"/>
      <c r="D687" s="139"/>
    </row>
    <row r="688">
      <c r="C688" s="139"/>
      <c r="D688" s="139"/>
    </row>
    <row r="689">
      <c r="C689" s="139"/>
      <c r="D689" s="139"/>
    </row>
    <row r="690">
      <c r="C690" s="139"/>
      <c r="D690" s="139"/>
    </row>
    <row r="691">
      <c r="C691" s="139"/>
      <c r="D691" s="139"/>
    </row>
    <row r="692">
      <c r="C692" s="139"/>
      <c r="D692" s="139"/>
    </row>
    <row r="693">
      <c r="C693" s="139"/>
      <c r="D693" s="139"/>
    </row>
    <row r="694">
      <c r="C694" s="139"/>
      <c r="D694" s="139"/>
    </row>
    <row r="695">
      <c r="C695" s="139"/>
      <c r="D695" s="139"/>
    </row>
    <row r="696">
      <c r="C696" s="139"/>
      <c r="D696" s="139"/>
    </row>
    <row r="697">
      <c r="C697" s="139"/>
      <c r="D697" s="139"/>
    </row>
    <row r="698">
      <c r="C698" s="139"/>
      <c r="D698" s="139"/>
    </row>
    <row r="699">
      <c r="C699" s="139"/>
      <c r="D699" s="139"/>
    </row>
    <row r="700">
      <c r="C700" s="139"/>
      <c r="D700" s="139"/>
    </row>
    <row r="701">
      <c r="C701" s="139"/>
      <c r="D701" s="139"/>
    </row>
    <row r="702">
      <c r="C702" s="139"/>
      <c r="D702" s="139"/>
    </row>
    <row r="703">
      <c r="C703" s="139"/>
      <c r="D703" s="139"/>
    </row>
    <row r="704">
      <c r="C704" s="139"/>
      <c r="D704" s="139"/>
    </row>
    <row r="705">
      <c r="C705" s="139"/>
      <c r="D705" s="139"/>
    </row>
    <row r="706">
      <c r="C706" s="139"/>
      <c r="D706" s="139"/>
    </row>
    <row r="707">
      <c r="C707" s="139"/>
      <c r="D707" s="139"/>
    </row>
    <row r="708">
      <c r="C708" s="139"/>
      <c r="D708" s="139"/>
    </row>
    <row r="709">
      <c r="C709" s="139"/>
      <c r="D709" s="139"/>
    </row>
    <row r="710">
      <c r="C710" s="139"/>
      <c r="D710" s="139"/>
    </row>
    <row r="711">
      <c r="C711" s="139"/>
      <c r="D711" s="139"/>
    </row>
    <row r="712">
      <c r="C712" s="139"/>
      <c r="D712" s="139"/>
    </row>
    <row r="713">
      <c r="C713" s="139"/>
      <c r="D713" s="139"/>
    </row>
    <row r="714">
      <c r="C714" s="139"/>
      <c r="D714" s="139"/>
    </row>
    <row r="715">
      <c r="C715" s="139"/>
      <c r="D715" s="139"/>
    </row>
    <row r="716">
      <c r="C716" s="139"/>
      <c r="D716" s="139"/>
    </row>
    <row r="717">
      <c r="C717" s="139"/>
      <c r="D717" s="139"/>
    </row>
    <row r="718">
      <c r="C718" s="139"/>
      <c r="D718" s="139"/>
    </row>
    <row r="719">
      <c r="C719" s="139"/>
      <c r="D719" s="139"/>
    </row>
    <row r="720">
      <c r="C720" s="139"/>
      <c r="D720" s="139"/>
    </row>
    <row r="721">
      <c r="C721" s="139"/>
      <c r="D721" s="139"/>
    </row>
    <row r="722">
      <c r="C722" s="139"/>
      <c r="D722" s="139"/>
    </row>
    <row r="723">
      <c r="C723" s="139"/>
      <c r="D723" s="139"/>
    </row>
    <row r="724">
      <c r="C724" s="139"/>
      <c r="D724" s="139"/>
    </row>
    <row r="725">
      <c r="C725" s="139"/>
      <c r="D725" s="139"/>
    </row>
    <row r="726">
      <c r="C726" s="139"/>
      <c r="D726" s="139"/>
    </row>
    <row r="727">
      <c r="C727" s="139"/>
      <c r="D727" s="139"/>
    </row>
    <row r="728">
      <c r="C728" s="139"/>
      <c r="D728" s="139"/>
    </row>
    <row r="729">
      <c r="C729" s="139"/>
      <c r="D729" s="139"/>
    </row>
    <row r="730">
      <c r="C730" s="139"/>
      <c r="D730" s="139"/>
    </row>
    <row r="731">
      <c r="C731" s="139"/>
      <c r="D731" s="139"/>
    </row>
    <row r="732">
      <c r="C732" s="139"/>
      <c r="D732" s="139"/>
    </row>
    <row r="733">
      <c r="C733" s="139"/>
      <c r="D733" s="139"/>
    </row>
    <row r="734">
      <c r="C734" s="139"/>
      <c r="D734" s="139"/>
    </row>
    <row r="735">
      <c r="C735" s="139"/>
      <c r="D735" s="139"/>
    </row>
    <row r="736">
      <c r="C736" s="139"/>
      <c r="D736" s="139"/>
    </row>
    <row r="737">
      <c r="C737" s="139"/>
      <c r="D737" s="139"/>
    </row>
    <row r="738">
      <c r="C738" s="139"/>
      <c r="D738" s="139"/>
    </row>
    <row r="739">
      <c r="C739" s="139"/>
      <c r="D739" s="139"/>
    </row>
    <row r="740">
      <c r="C740" s="139"/>
      <c r="D740" s="139"/>
    </row>
    <row r="741">
      <c r="C741" s="139"/>
      <c r="D741" s="139"/>
    </row>
    <row r="742">
      <c r="C742" s="139"/>
      <c r="D742" s="139"/>
    </row>
    <row r="743">
      <c r="C743" s="139"/>
      <c r="D743" s="139"/>
    </row>
    <row r="744">
      <c r="C744" s="139"/>
      <c r="D744" s="139"/>
    </row>
    <row r="745">
      <c r="C745" s="139"/>
      <c r="D745" s="139"/>
    </row>
    <row r="746">
      <c r="C746" s="139"/>
      <c r="D746" s="139"/>
    </row>
    <row r="747">
      <c r="C747" s="139"/>
      <c r="D747" s="139"/>
    </row>
    <row r="748">
      <c r="C748" s="139"/>
      <c r="D748" s="139"/>
    </row>
    <row r="749">
      <c r="C749" s="139"/>
      <c r="D749" s="139"/>
    </row>
    <row r="750">
      <c r="C750" s="139"/>
      <c r="D750" s="139"/>
    </row>
    <row r="751">
      <c r="C751" s="139"/>
      <c r="D751" s="139"/>
    </row>
    <row r="752">
      <c r="C752" s="139"/>
      <c r="D752" s="139"/>
    </row>
    <row r="753">
      <c r="C753" s="139"/>
      <c r="D753" s="139"/>
    </row>
    <row r="754">
      <c r="C754" s="139"/>
      <c r="D754" s="139"/>
    </row>
    <row r="755">
      <c r="C755" s="139"/>
      <c r="D755" s="139"/>
    </row>
    <row r="756">
      <c r="C756" s="139"/>
      <c r="D756" s="139"/>
    </row>
    <row r="757">
      <c r="C757" s="139"/>
      <c r="D757" s="139"/>
    </row>
    <row r="758">
      <c r="C758" s="139"/>
      <c r="D758" s="139"/>
    </row>
    <row r="759">
      <c r="C759" s="139"/>
      <c r="D759" s="139"/>
    </row>
    <row r="760">
      <c r="C760" s="139"/>
      <c r="D760" s="139"/>
    </row>
    <row r="761">
      <c r="C761" s="139"/>
      <c r="D761" s="139"/>
    </row>
    <row r="762">
      <c r="C762" s="139"/>
      <c r="D762" s="139"/>
    </row>
    <row r="763">
      <c r="C763" s="139"/>
      <c r="D763" s="139"/>
    </row>
    <row r="764">
      <c r="C764" s="139"/>
      <c r="D764" s="139"/>
    </row>
    <row r="765">
      <c r="C765" s="139"/>
      <c r="D765" s="139"/>
    </row>
    <row r="766">
      <c r="C766" s="139"/>
      <c r="D766" s="139"/>
    </row>
    <row r="767">
      <c r="C767" s="139"/>
      <c r="D767" s="139"/>
    </row>
    <row r="768">
      <c r="C768" s="139"/>
      <c r="D768" s="139"/>
    </row>
    <row r="769">
      <c r="C769" s="139"/>
      <c r="D769" s="139"/>
    </row>
    <row r="770">
      <c r="C770" s="139"/>
      <c r="D770" s="139"/>
    </row>
    <row r="771">
      <c r="C771" s="139"/>
      <c r="D771" s="139"/>
    </row>
    <row r="772">
      <c r="C772" s="139"/>
      <c r="D772" s="139"/>
    </row>
    <row r="773">
      <c r="C773" s="139"/>
      <c r="D773" s="139"/>
    </row>
    <row r="774">
      <c r="C774" s="139"/>
      <c r="D774" s="139"/>
    </row>
    <row r="775">
      <c r="C775" s="139"/>
      <c r="D775" s="139"/>
    </row>
    <row r="776">
      <c r="C776" s="139"/>
      <c r="D776" s="139"/>
    </row>
    <row r="777">
      <c r="C777" s="139"/>
      <c r="D777" s="139"/>
    </row>
    <row r="778">
      <c r="C778" s="139"/>
      <c r="D778" s="139"/>
    </row>
    <row r="779">
      <c r="C779" s="139"/>
      <c r="D779" s="139"/>
    </row>
    <row r="780">
      <c r="C780" s="139"/>
      <c r="D780" s="139"/>
    </row>
    <row r="781">
      <c r="C781" s="139"/>
      <c r="D781" s="139"/>
    </row>
    <row r="782">
      <c r="C782" s="139"/>
      <c r="D782" s="139"/>
    </row>
    <row r="783">
      <c r="C783" s="139"/>
      <c r="D783" s="139"/>
    </row>
    <row r="784">
      <c r="C784" s="139"/>
      <c r="D784" s="139"/>
    </row>
    <row r="785">
      <c r="C785" s="139"/>
      <c r="D785" s="139"/>
    </row>
    <row r="786">
      <c r="C786" s="139"/>
      <c r="D786" s="139"/>
    </row>
    <row r="787">
      <c r="C787" s="139"/>
      <c r="D787" s="139"/>
    </row>
    <row r="788">
      <c r="C788" s="139"/>
      <c r="D788" s="139"/>
    </row>
    <row r="789">
      <c r="C789" s="139"/>
      <c r="D789" s="139"/>
    </row>
    <row r="790">
      <c r="C790" s="139"/>
      <c r="D790" s="139"/>
    </row>
    <row r="791">
      <c r="C791" s="139"/>
      <c r="D791" s="139"/>
    </row>
    <row r="792">
      <c r="C792" s="139"/>
      <c r="D792" s="139"/>
    </row>
    <row r="793">
      <c r="C793" s="139"/>
      <c r="D793" s="139"/>
    </row>
    <row r="794">
      <c r="C794" s="139"/>
      <c r="D794" s="139"/>
    </row>
    <row r="795">
      <c r="C795" s="139"/>
      <c r="D795" s="139"/>
    </row>
    <row r="796">
      <c r="C796" s="139"/>
      <c r="D796" s="139"/>
    </row>
    <row r="797">
      <c r="C797" s="139"/>
      <c r="D797" s="139"/>
    </row>
    <row r="798">
      <c r="C798" s="139"/>
      <c r="D798" s="139"/>
    </row>
    <row r="799">
      <c r="C799" s="139"/>
      <c r="D799" s="139"/>
    </row>
    <row r="800">
      <c r="C800" s="139"/>
      <c r="D800" s="139"/>
    </row>
    <row r="801">
      <c r="C801" s="139"/>
      <c r="D801" s="139"/>
    </row>
    <row r="802">
      <c r="C802" s="139"/>
      <c r="D802" s="139"/>
    </row>
    <row r="803">
      <c r="C803" s="139"/>
      <c r="D803" s="139"/>
    </row>
    <row r="804">
      <c r="C804" s="139"/>
      <c r="D804" s="139"/>
    </row>
    <row r="805">
      <c r="C805" s="139"/>
      <c r="D805" s="139"/>
    </row>
    <row r="806">
      <c r="C806" s="139"/>
      <c r="D806" s="139"/>
    </row>
    <row r="807">
      <c r="C807" s="139"/>
      <c r="D807" s="139"/>
    </row>
    <row r="808">
      <c r="C808" s="139"/>
      <c r="D808" s="139"/>
    </row>
    <row r="809">
      <c r="C809" s="139"/>
      <c r="D809" s="139"/>
    </row>
    <row r="810">
      <c r="C810" s="139"/>
      <c r="D810" s="139"/>
    </row>
    <row r="811">
      <c r="C811" s="139"/>
      <c r="D811" s="139"/>
    </row>
    <row r="812">
      <c r="C812" s="139"/>
      <c r="D812" s="139"/>
    </row>
    <row r="813">
      <c r="C813" s="139"/>
      <c r="D813" s="139"/>
    </row>
    <row r="814">
      <c r="C814" s="139"/>
      <c r="D814" s="139"/>
    </row>
    <row r="815">
      <c r="C815" s="139"/>
      <c r="D815" s="139"/>
    </row>
    <row r="816">
      <c r="C816" s="139"/>
      <c r="D816" s="139"/>
    </row>
    <row r="817">
      <c r="C817" s="139"/>
      <c r="D817" s="139"/>
    </row>
    <row r="818">
      <c r="C818" s="139"/>
      <c r="D818" s="139"/>
    </row>
    <row r="819">
      <c r="C819" s="139"/>
      <c r="D819" s="139"/>
    </row>
    <row r="820">
      <c r="C820" s="139"/>
      <c r="D820" s="139"/>
    </row>
    <row r="821">
      <c r="C821" s="139"/>
      <c r="D821" s="139"/>
    </row>
    <row r="822">
      <c r="C822" s="139"/>
      <c r="D822" s="139"/>
    </row>
    <row r="823">
      <c r="C823" s="139"/>
      <c r="D823" s="139"/>
    </row>
    <row r="824">
      <c r="C824" s="139"/>
      <c r="D824" s="139"/>
    </row>
    <row r="825">
      <c r="C825" s="139"/>
      <c r="D825" s="139"/>
    </row>
    <row r="826">
      <c r="C826" s="139"/>
      <c r="D826" s="139"/>
    </row>
    <row r="827">
      <c r="C827" s="139"/>
      <c r="D827" s="139"/>
    </row>
    <row r="828">
      <c r="C828" s="139"/>
      <c r="D828" s="139"/>
    </row>
    <row r="829">
      <c r="C829" s="139"/>
      <c r="D829" s="139"/>
    </row>
    <row r="830">
      <c r="C830" s="139"/>
      <c r="D830" s="139"/>
    </row>
    <row r="831">
      <c r="C831" s="139"/>
      <c r="D831" s="139"/>
    </row>
    <row r="832">
      <c r="C832" s="139"/>
      <c r="D832" s="139"/>
    </row>
    <row r="833">
      <c r="C833" s="139"/>
      <c r="D833" s="139"/>
    </row>
    <row r="834">
      <c r="C834" s="139"/>
      <c r="D834" s="139"/>
    </row>
    <row r="835">
      <c r="C835" s="139"/>
      <c r="D835" s="139"/>
    </row>
    <row r="836">
      <c r="C836" s="139"/>
      <c r="D836" s="139"/>
    </row>
    <row r="837">
      <c r="C837" s="139"/>
      <c r="D837" s="139"/>
    </row>
    <row r="838">
      <c r="C838" s="139"/>
      <c r="D838" s="139"/>
    </row>
    <row r="839">
      <c r="C839" s="139"/>
      <c r="D839" s="139"/>
    </row>
    <row r="840">
      <c r="C840" s="139"/>
      <c r="D840" s="139"/>
    </row>
    <row r="841">
      <c r="C841" s="139"/>
      <c r="D841" s="139"/>
    </row>
    <row r="842">
      <c r="C842" s="139"/>
      <c r="D842" s="139"/>
    </row>
    <row r="843">
      <c r="C843" s="139"/>
      <c r="D843" s="139"/>
    </row>
    <row r="844">
      <c r="C844" s="139"/>
      <c r="D844" s="139"/>
    </row>
    <row r="845">
      <c r="C845" s="139"/>
      <c r="D845" s="139"/>
    </row>
    <row r="846">
      <c r="C846" s="139"/>
      <c r="D846" s="139"/>
    </row>
    <row r="847">
      <c r="C847" s="139"/>
      <c r="D847" s="139"/>
    </row>
    <row r="848">
      <c r="C848" s="139"/>
      <c r="D848" s="139"/>
    </row>
    <row r="849">
      <c r="C849" s="139"/>
      <c r="D849" s="139"/>
    </row>
    <row r="850">
      <c r="C850" s="139"/>
      <c r="D850" s="139"/>
    </row>
    <row r="851">
      <c r="C851" s="139"/>
      <c r="D851" s="139"/>
    </row>
    <row r="852">
      <c r="C852" s="139"/>
      <c r="D852" s="139"/>
    </row>
    <row r="853">
      <c r="C853" s="139"/>
      <c r="D853" s="139"/>
    </row>
    <row r="854">
      <c r="C854" s="139"/>
      <c r="D854" s="139"/>
    </row>
    <row r="855">
      <c r="C855" s="139"/>
      <c r="D855" s="139"/>
    </row>
    <row r="856">
      <c r="C856" s="139"/>
      <c r="D856" s="139"/>
    </row>
    <row r="857">
      <c r="C857" s="139"/>
      <c r="D857" s="139"/>
    </row>
    <row r="858">
      <c r="C858" s="139"/>
      <c r="D858" s="139"/>
    </row>
    <row r="859">
      <c r="C859" s="139"/>
      <c r="D859" s="139"/>
    </row>
    <row r="860">
      <c r="C860" s="139"/>
      <c r="D860" s="139"/>
    </row>
    <row r="861">
      <c r="C861" s="139"/>
      <c r="D861" s="139"/>
    </row>
    <row r="862">
      <c r="C862" s="139"/>
      <c r="D862" s="139"/>
    </row>
    <row r="863">
      <c r="C863" s="139"/>
      <c r="D863" s="139"/>
    </row>
    <row r="864">
      <c r="C864" s="139"/>
      <c r="D864" s="139"/>
    </row>
    <row r="865">
      <c r="C865" s="139"/>
      <c r="D865" s="139"/>
    </row>
    <row r="866">
      <c r="C866" s="139"/>
      <c r="D866" s="139"/>
    </row>
    <row r="867">
      <c r="C867" s="139"/>
      <c r="D867" s="139"/>
    </row>
    <row r="868">
      <c r="C868" s="139"/>
      <c r="D868" s="139"/>
    </row>
    <row r="869">
      <c r="C869" s="139"/>
      <c r="D869" s="139"/>
    </row>
    <row r="870">
      <c r="C870" s="139"/>
      <c r="D870" s="139"/>
    </row>
    <row r="871">
      <c r="C871" s="139"/>
      <c r="D871" s="139"/>
    </row>
    <row r="872">
      <c r="C872" s="139"/>
      <c r="D872" s="139"/>
    </row>
    <row r="873">
      <c r="C873" s="139"/>
      <c r="D873" s="139"/>
    </row>
    <row r="874">
      <c r="C874" s="139"/>
      <c r="D874" s="139"/>
    </row>
    <row r="875">
      <c r="C875" s="139"/>
      <c r="D875" s="139"/>
    </row>
    <row r="876">
      <c r="C876" s="139"/>
      <c r="D876" s="139"/>
    </row>
    <row r="877">
      <c r="C877" s="139"/>
      <c r="D877" s="139"/>
    </row>
    <row r="878">
      <c r="C878" s="139"/>
      <c r="D878" s="139"/>
    </row>
    <row r="879">
      <c r="C879" s="139"/>
      <c r="D879" s="139"/>
    </row>
    <row r="880">
      <c r="C880" s="139"/>
      <c r="D880" s="139"/>
    </row>
    <row r="881">
      <c r="C881" s="139"/>
      <c r="D881" s="139"/>
    </row>
    <row r="882">
      <c r="C882" s="139"/>
      <c r="D882" s="139"/>
    </row>
    <row r="883">
      <c r="C883" s="139"/>
      <c r="D883" s="139"/>
    </row>
    <row r="884">
      <c r="C884" s="139"/>
      <c r="D884" s="139"/>
    </row>
    <row r="885">
      <c r="C885" s="139"/>
      <c r="D885" s="139"/>
    </row>
    <row r="886">
      <c r="C886" s="139"/>
      <c r="D886" s="139"/>
    </row>
    <row r="887">
      <c r="C887" s="139"/>
      <c r="D887" s="139"/>
    </row>
    <row r="888">
      <c r="C888" s="139"/>
      <c r="D888" s="139"/>
    </row>
    <row r="889">
      <c r="C889" s="139"/>
      <c r="D889" s="139"/>
    </row>
    <row r="890">
      <c r="C890" s="139"/>
      <c r="D890" s="139"/>
    </row>
    <row r="891">
      <c r="C891" s="139"/>
      <c r="D891" s="139"/>
    </row>
    <row r="892">
      <c r="C892" s="139"/>
      <c r="D892" s="139"/>
    </row>
    <row r="893">
      <c r="C893" s="139"/>
      <c r="D893" s="139"/>
    </row>
    <row r="894">
      <c r="C894" s="139"/>
      <c r="D894" s="139"/>
    </row>
    <row r="895">
      <c r="C895" s="139"/>
      <c r="D895" s="139"/>
    </row>
    <row r="896">
      <c r="C896" s="139"/>
      <c r="D896" s="139"/>
    </row>
    <row r="897">
      <c r="C897" s="139"/>
      <c r="D897" s="139"/>
    </row>
    <row r="898">
      <c r="C898" s="139"/>
      <c r="D898" s="139"/>
    </row>
    <row r="899">
      <c r="C899" s="139"/>
      <c r="D899" s="139"/>
    </row>
    <row r="900">
      <c r="C900" s="139"/>
      <c r="D900" s="139"/>
    </row>
    <row r="901">
      <c r="C901" s="139"/>
      <c r="D901" s="139"/>
    </row>
    <row r="902">
      <c r="C902" s="139"/>
      <c r="D902" s="139"/>
    </row>
    <row r="903">
      <c r="C903" s="139"/>
      <c r="D903" s="139"/>
    </row>
    <row r="904">
      <c r="C904" s="139"/>
      <c r="D904" s="139"/>
    </row>
    <row r="905">
      <c r="C905" s="139"/>
      <c r="D905" s="139"/>
    </row>
    <row r="906">
      <c r="C906" s="139"/>
      <c r="D906" s="139"/>
    </row>
    <row r="907">
      <c r="C907" s="139"/>
      <c r="D907" s="139"/>
    </row>
    <row r="908">
      <c r="C908" s="139"/>
      <c r="D908" s="139"/>
    </row>
    <row r="909">
      <c r="C909" s="139"/>
      <c r="D909" s="139"/>
    </row>
    <row r="910">
      <c r="C910" s="139"/>
      <c r="D910" s="139"/>
    </row>
    <row r="911">
      <c r="C911" s="139"/>
      <c r="D911" s="139"/>
    </row>
    <row r="912">
      <c r="C912" s="139"/>
      <c r="D912" s="139"/>
    </row>
    <row r="913">
      <c r="C913" s="139"/>
      <c r="D913" s="139"/>
    </row>
    <row r="914">
      <c r="C914" s="139"/>
      <c r="D914" s="139"/>
    </row>
    <row r="915">
      <c r="C915" s="139"/>
      <c r="D915" s="139"/>
    </row>
    <row r="916">
      <c r="C916" s="139"/>
      <c r="D916" s="139"/>
    </row>
    <row r="917">
      <c r="C917" s="139"/>
      <c r="D917" s="139"/>
    </row>
    <row r="918">
      <c r="C918" s="139"/>
      <c r="D918" s="139"/>
    </row>
    <row r="919">
      <c r="C919" s="139"/>
      <c r="D919" s="139"/>
    </row>
    <row r="920">
      <c r="C920" s="139"/>
      <c r="D920" s="139"/>
    </row>
    <row r="921">
      <c r="C921" s="139"/>
      <c r="D921" s="139"/>
    </row>
    <row r="922">
      <c r="C922" s="139"/>
      <c r="D922" s="139"/>
    </row>
    <row r="923">
      <c r="C923" s="139"/>
      <c r="D923" s="139"/>
    </row>
    <row r="924">
      <c r="C924" s="139"/>
      <c r="D924" s="139"/>
    </row>
    <row r="925">
      <c r="C925" s="139"/>
      <c r="D925" s="139"/>
    </row>
    <row r="926">
      <c r="C926" s="139"/>
      <c r="D926" s="139"/>
    </row>
    <row r="927">
      <c r="C927" s="139"/>
      <c r="D927" s="139"/>
    </row>
    <row r="928">
      <c r="C928" s="139"/>
      <c r="D928" s="139"/>
    </row>
    <row r="929">
      <c r="C929" s="139"/>
      <c r="D929" s="139"/>
    </row>
    <row r="930">
      <c r="C930" s="139"/>
      <c r="D930" s="139"/>
    </row>
    <row r="931">
      <c r="C931" s="139"/>
      <c r="D931" s="139"/>
    </row>
    <row r="932">
      <c r="C932" s="139"/>
      <c r="D932" s="139"/>
    </row>
    <row r="933">
      <c r="C933" s="139"/>
      <c r="D933" s="139"/>
    </row>
    <row r="934">
      <c r="C934" s="139"/>
      <c r="D934" s="139"/>
    </row>
    <row r="935">
      <c r="C935" s="139"/>
      <c r="D935" s="139"/>
    </row>
    <row r="936">
      <c r="C936" s="139"/>
      <c r="D936" s="139"/>
    </row>
    <row r="937">
      <c r="C937" s="139"/>
      <c r="D937" s="139"/>
    </row>
    <row r="938">
      <c r="C938" s="139"/>
      <c r="D938" s="139"/>
    </row>
    <row r="939">
      <c r="C939" s="139"/>
      <c r="D939" s="139"/>
    </row>
    <row r="940">
      <c r="C940" s="139"/>
      <c r="D940" s="139"/>
    </row>
    <row r="941">
      <c r="C941" s="139"/>
      <c r="D941" s="139"/>
    </row>
    <row r="942">
      <c r="C942" s="139"/>
      <c r="D942" s="139"/>
    </row>
    <row r="943">
      <c r="C943" s="139"/>
      <c r="D943" s="139"/>
    </row>
    <row r="944">
      <c r="C944" s="139"/>
      <c r="D944" s="139"/>
    </row>
    <row r="945">
      <c r="C945" s="139"/>
      <c r="D945" s="139"/>
    </row>
    <row r="946">
      <c r="C946" s="139"/>
      <c r="D946" s="139"/>
    </row>
    <row r="947">
      <c r="C947" s="139"/>
      <c r="D947" s="139"/>
    </row>
    <row r="948">
      <c r="C948" s="139"/>
      <c r="D948" s="139"/>
    </row>
    <row r="949">
      <c r="C949" s="139"/>
      <c r="D949" s="139"/>
    </row>
    <row r="950">
      <c r="C950" s="139"/>
      <c r="D950" s="139"/>
    </row>
    <row r="951">
      <c r="C951" s="139"/>
      <c r="D951" s="139"/>
    </row>
    <row r="952">
      <c r="C952" s="139"/>
      <c r="D952" s="139"/>
    </row>
    <row r="953">
      <c r="C953" s="139"/>
      <c r="D953" s="139"/>
    </row>
    <row r="954">
      <c r="C954" s="139"/>
      <c r="D954" s="139"/>
    </row>
    <row r="955">
      <c r="C955" s="139"/>
      <c r="D955" s="139"/>
    </row>
    <row r="956">
      <c r="C956" s="139"/>
      <c r="D956" s="139"/>
    </row>
    <row r="957">
      <c r="C957" s="139"/>
      <c r="D957" s="139"/>
    </row>
    <row r="958">
      <c r="C958" s="139"/>
      <c r="D958" s="139"/>
    </row>
    <row r="959">
      <c r="C959" s="139"/>
      <c r="D959" s="139"/>
    </row>
    <row r="960">
      <c r="C960" s="139"/>
      <c r="D960" s="139"/>
    </row>
    <row r="961">
      <c r="C961" s="139"/>
      <c r="D961" s="139"/>
    </row>
    <row r="962">
      <c r="C962" s="139"/>
      <c r="D962" s="139"/>
    </row>
    <row r="963">
      <c r="C963" s="139"/>
      <c r="D963" s="139"/>
    </row>
    <row r="964">
      <c r="C964" s="139"/>
      <c r="D964" s="139"/>
    </row>
    <row r="965">
      <c r="C965" s="139"/>
      <c r="D965" s="139"/>
    </row>
    <row r="966">
      <c r="C966" s="139"/>
      <c r="D966" s="139"/>
    </row>
    <row r="967">
      <c r="C967" s="139"/>
      <c r="D967" s="139"/>
    </row>
    <row r="968">
      <c r="C968" s="139"/>
      <c r="D968" s="139"/>
    </row>
    <row r="969">
      <c r="C969" s="139"/>
      <c r="D969" s="139"/>
    </row>
    <row r="970">
      <c r="C970" s="139"/>
      <c r="D970" s="139"/>
    </row>
    <row r="971">
      <c r="C971" s="139"/>
      <c r="D971" s="139"/>
    </row>
    <row r="972">
      <c r="C972" s="139"/>
      <c r="D972" s="139"/>
    </row>
    <row r="973">
      <c r="C973" s="139"/>
      <c r="D973" s="139"/>
    </row>
    <row r="974">
      <c r="C974" s="139"/>
      <c r="D974" s="139"/>
    </row>
    <row r="975">
      <c r="C975" s="139"/>
      <c r="D975" s="139"/>
    </row>
    <row r="976">
      <c r="C976" s="139"/>
      <c r="D976" s="139"/>
    </row>
    <row r="977">
      <c r="C977" s="139"/>
      <c r="D977" s="139"/>
    </row>
    <row r="978">
      <c r="C978" s="139"/>
      <c r="D978" s="139"/>
    </row>
    <row r="979">
      <c r="C979" s="139"/>
      <c r="D979" s="139"/>
    </row>
    <row r="980">
      <c r="C980" s="139"/>
      <c r="D980" s="139"/>
    </row>
    <row r="981">
      <c r="C981" s="139"/>
      <c r="D981" s="139"/>
    </row>
    <row r="982">
      <c r="C982" s="139"/>
      <c r="D982" s="139"/>
    </row>
    <row r="983">
      <c r="C983" s="139"/>
      <c r="D983" s="139"/>
    </row>
    <row r="984">
      <c r="C984" s="139"/>
      <c r="D984" s="139"/>
    </row>
    <row r="985">
      <c r="C985" s="139"/>
      <c r="D985" s="139"/>
    </row>
    <row r="986">
      <c r="C986" s="139"/>
      <c r="D986" s="139"/>
    </row>
    <row r="987">
      <c r="C987" s="139"/>
      <c r="D987" s="139"/>
    </row>
    <row r="988">
      <c r="C988" s="139"/>
      <c r="D988" s="139"/>
    </row>
    <row r="989">
      <c r="C989" s="139"/>
      <c r="D989" s="139"/>
    </row>
    <row r="990">
      <c r="C990" s="139"/>
      <c r="D990" s="139"/>
    </row>
    <row r="991">
      <c r="C991" s="139"/>
      <c r="D991" s="139"/>
    </row>
    <row r="992">
      <c r="C992" s="139"/>
      <c r="D992" s="139"/>
    </row>
    <row r="993">
      <c r="C993" s="139"/>
      <c r="D993" s="139"/>
    </row>
    <row r="994">
      <c r="C994" s="139"/>
      <c r="D994" s="139"/>
    </row>
    <row r="995">
      <c r="C995" s="139"/>
      <c r="D995" s="139"/>
    </row>
    <row r="996">
      <c r="C996" s="139"/>
      <c r="D996" s="139"/>
    </row>
    <row r="997">
      <c r="C997" s="139"/>
      <c r="D997" s="139"/>
    </row>
    <row r="998">
      <c r="C998" s="139"/>
      <c r="D998" s="139"/>
    </row>
    <row r="999">
      <c r="C999" s="139"/>
      <c r="D999" s="139"/>
    </row>
    <row r="1000">
      <c r="C1000" s="139"/>
      <c r="D1000" s="139"/>
    </row>
    <row r="1001">
      <c r="C1001" s="139"/>
      <c r="D1001" s="139"/>
    </row>
    <row r="1002">
      <c r="C1002" s="139"/>
      <c r="D1002" s="139"/>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C4"/>
    <hyperlink r:id="rId2" ref="C5"/>
    <hyperlink r:id="rId3" ref="C6"/>
    <hyperlink r:id="rId4" ref="C7"/>
    <hyperlink r:id="rId5" ref="C8"/>
    <hyperlink r:id="rId6" ref="C10"/>
    <hyperlink r:id="rId7" ref="C12"/>
    <hyperlink r:id="rId8" ref="C14"/>
    <hyperlink r:id="rId9" ref="C16"/>
    <hyperlink r:id="rId10" ref="C18"/>
    <hyperlink r:id="rId11" ref="C20"/>
    <hyperlink r:id="rId12" ref="C21"/>
    <hyperlink r:id="rId13" ref="C22"/>
    <hyperlink r:id="rId14" ref="C23"/>
    <hyperlink r:id="rId15" ref="C24"/>
    <hyperlink r:id="rId16" ref="C26"/>
    <hyperlink r:id="rId17" ref="C27"/>
    <hyperlink r:id="rId18" ref="C28"/>
    <hyperlink r:id="rId19" ref="C29"/>
    <hyperlink r:id="rId20" ref="C30"/>
    <hyperlink r:id="rId21" ref="C31"/>
    <hyperlink r:id="rId22" ref="C32"/>
    <hyperlink r:id="rId23" ref="C34"/>
    <hyperlink r:id="rId24" ref="C36"/>
    <hyperlink r:id="rId25" ref="C37"/>
    <hyperlink r:id="rId26" ref="C38"/>
    <hyperlink r:id="rId27" ref="C39"/>
    <hyperlink r:id="rId28" ref="C40"/>
    <hyperlink r:id="rId29" ref="C44"/>
    <hyperlink r:id="rId30" ref="C45"/>
    <hyperlink r:id="rId31" ref="C46"/>
    <hyperlink r:id="rId32" ref="C47"/>
    <hyperlink r:id="rId33" ref="C48"/>
    <hyperlink r:id="rId34" ref="C49"/>
    <hyperlink r:id="rId35" ref="C50"/>
    <hyperlink r:id="rId36" ref="C51"/>
    <hyperlink r:id="rId37" ref="C52"/>
  </hyperlinks>
  <drawing r:id="rId38"/>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12.43"/>
    <col customWidth="1" min="2" max="2" width="9.57"/>
    <col customWidth="1" min="3" max="3" width="14.71"/>
    <col customWidth="1" min="4" max="4" width="17.29"/>
    <col customWidth="1" min="5" max="5" width="9.71"/>
    <col customWidth="1" min="6" max="6" width="24.29"/>
    <col customWidth="1" min="7" max="7" width="21.29"/>
    <col customWidth="1" min="8" max="8" width="19.0"/>
    <col customWidth="1" min="9" max="9" width="18.14"/>
    <col customWidth="1" min="10" max="10" width="15.86"/>
  </cols>
  <sheetData>
    <row r="1">
      <c r="A1" s="4" t="s">
        <v>0</v>
      </c>
      <c r="B1" s="201" t="s">
        <v>1</v>
      </c>
      <c r="C1" s="201" t="s">
        <v>2</v>
      </c>
      <c r="D1" s="201" t="s">
        <v>2</v>
      </c>
      <c r="E1" s="3"/>
      <c r="F1" s="4" t="s">
        <v>3</v>
      </c>
      <c r="G1" s="4" t="s">
        <v>4</v>
      </c>
      <c r="H1" s="4" t="s">
        <v>5</v>
      </c>
      <c r="I1" s="4" t="s">
        <v>6</v>
      </c>
      <c r="J1" s="4" t="s">
        <v>7</v>
      </c>
      <c r="K1" s="1" t="s">
        <v>8</v>
      </c>
      <c r="L1" s="7" t="s">
        <v>9</v>
      </c>
      <c r="N1" s="10" t="s">
        <v>14</v>
      </c>
      <c r="P1" s="19"/>
      <c r="Q1" s="19"/>
      <c r="R1" s="619"/>
      <c r="S1" s="620"/>
      <c r="T1" s="620"/>
      <c r="U1" s="620"/>
      <c r="V1" s="620"/>
      <c r="W1" s="620"/>
      <c r="X1" s="620"/>
      <c r="Y1" s="620"/>
      <c r="Z1" s="620"/>
      <c r="AA1" s="620"/>
      <c r="AB1" s="620"/>
      <c r="AC1" s="620"/>
      <c r="AD1" s="620"/>
      <c r="AE1" s="18"/>
      <c r="AF1" s="18"/>
      <c r="AG1" s="18"/>
      <c r="AH1" s="18"/>
    </row>
    <row r="2">
      <c r="A2" s="27" t="s">
        <v>27</v>
      </c>
      <c r="B2" s="27" t="s">
        <v>27</v>
      </c>
      <c r="C2" s="27" t="s">
        <v>27</v>
      </c>
      <c r="D2" s="25"/>
      <c r="E2" s="3"/>
      <c r="F2" s="25"/>
      <c r="G2" s="25">
        <v>43507.0</v>
      </c>
      <c r="H2" s="79">
        <f>G2-TODAY()</f>
        <v>-228</v>
      </c>
      <c r="I2" s="25">
        <v>43500.0</v>
      </c>
      <c r="J2" s="25">
        <v>43619.0</v>
      </c>
      <c r="K2" s="23"/>
      <c r="L2" s="26">
        <f>CountIFS($E:$E,"=Dem",$A:$A,"=Assembly")</f>
        <v>29</v>
      </c>
      <c r="M2" s="28">
        <f>CountIFS($E:$E,"=Rep",$A:$A,"=Assembly")</f>
        <v>13</v>
      </c>
      <c r="N2" s="26">
        <f>CountIFS($E:$E,"=Dem",$A:$A,"=Senate")</f>
        <v>13</v>
      </c>
      <c r="O2" s="28">
        <f>CountIFS($E:$E,"=Rep",$A:$A,"=Senate")</f>
        <v>8</v>
      </c>
      <c r="P2" s="19"/>
      <c r="Q2" s="19"/>
      <c r="R2" s="619"/>
      <c r="S2" s="620"/>
      <c r="T2" s="620"/>
      <c r="U2" s="620"/>
      <c r="V2" s="620"/>
      <c r="W2" s="620"/>
      <c r="X2" s="620"/>
      <c r="Y2" s="620"/>
      <c r="Z2" s="620"/>
      <c r="AA2" s="620"/>
      <c r="AB2" s="620"/>
      <c r="AC2" s="620"/>
      <c r="AD2" s="620"/>
      <c r="AE2" s="18"/>
      <c r="AF2" s="18"/>
      <c r="AG2" s="18"/>
      <c r="AH2" s="18"/>
    </row>
    <row r="3">
      <c r="A3" s="621" t="s">
        <v>29</v>
      </c>
      <c r="B3" s="622" t="s">
        <v>30</v>
      </c>
      <c r="C3" s="622" t="s">
        <v>31</v>
      </c>
      <c r="D3" s="622" t="s">
        <v>32</v>
      </c>
      <c r="E3" s="621" t="s">
        <v>33</v>
      </c>
      <c r="F3" s="621" t="s">
        <v>10</v>
      </c>
      <c r="G3" s="621" t="s">
        <v>34</v>
      </c>
      <c r="H3" s="621" t="s">
        <v>34</v>
      </c>
      <c r="I3" s="621" t="s">
        <v>34</v>
      </c>
      <c r="J3" s="621" t="s">
        <v>34</v>
      </c>
      <c r="K3" s="621" t="s">
        <v>35</v>
      </c>
      <c r="L3" s="19" t="s">
        <v>36</v>
      </c>
      <c r="M3" s="19" t="s">
        <v>37</v>
      </c>
      <c r="N3" s="19" t="s">
        <v>38</v>
      </c>
      <c r="O3" s="623" t="s">
        <v>39</v>
      </c>
      <c r="P3" s="19" t="s">
        <v>40</v>
      </c>
      <c r="Q3" s="19" t="s">
        <v>41</v>
      </c>
      <c r="R3" s="624" t="s">
        <v>42</v>
      </c>
      <c r="S3" s="625"/>
      <c r="T3" s="625"/>
      <c r="U3" s="30" t="s">
        <v>1590</v>
      </c>
      <c r="V3" s="2" t="s">
        <v>1591</v>
      </c>
      <c r="W3" s="30" t="s">
        <v>1592</v>
      </c>
      <c r="X3" s="30" t="s">
        <v>37</v>
      </c>
      <c r="Y3" s="30" t="s">
        <v>1593</v>
      </c>
      <c r="Z3" s="625"/>
      <c r="AA3" s="625"/>
      <c r="AB3" s="625"/>
      <c r="AC3" s="625"/>
      <c r="AD3" s="625"/>
      <c r="AE3" s="626"/>
      <c r="AF3" s="626"/>
      <c r="AG3" s="626"/>
      <c r="AH3" s="626"/>
    </row>
    <row r="4">
      <c r="A4" s="609" t="s">
        <v>1357</v>
      </c>
      <c r="B4" s="31">
        <v>1.0</v>
      </c>
      <c r="C4" s="35" t="s">
        <v>9045</v>
      </c>
      <c r="D4" s="35" t="s">
        <v>9052</v>
      </c>
      <c r="E4" s="36" t="s">
        <v>49</v>
      </c>
      <c r="F4" s="627" t="s">
        <v>7162</v>
      </c>
      <c r="G4" s="587" t="s">
        <v>592</v>
      </c>
      <c r="H4" s="609" t="s">
        <v>9060</v>
      </c>
      <c r="I4" s="587" t="s">
        <v>9061</v>
      </c>
      <c r="J4" s="587" t="s">
        <v>519</v>
      </c>
      <c r="K4" s="628"/>
      <c r="L4" s="629"/>
      <c r="M4" s="88" t="str">
        <f t="shared" ref="M4:M45" si="1">Concatenate(Lower(C4),".",Lower(D4),"@asm.state.nv.us")</f>
        <v>daniele.monroe-moreno@asm.state.nv.us</v>
      </c>
      <c r="N4" s="630" t="str">
        <f>HYPERLINK("https://docs.google.com/document/d/1IWf-o2MQWBjntV8DyvH5KWpyJcxLHQMaUxGQ2EExDSY/edit#heading=h.ukawe30im1h","ZERO")</f>
        <v>ZERO</v>
      </c>
      <c r="O4" s="629"/>
      <c r="P4" s="629"/>
      <c r="Q4" s="629"/>
      <c r="R4" s="91" t="s">
        <v>9098</v>
      </c>
      <c r="S4" s="587"/>
      <c r="T4" s="587"/>
      <c r="U4" t="str">
        <f t="shared" ref="U4:U45" si="2">if(V4="","",if(A4="House","Representative","Senator"))</f>
        <v>Senator</v>
      </c>
      <c r="V4" s="139" t="str">
        <f t="shared" ref="V4:V45" si="3">if(AND(not(isblank($F4)),not(isnumber(search("minority",$F4)))),$C4,if(or(isnumber(search("Judiciary (Chair)",$G4)),isnumber(search("Judiciary (Vice Chair)",$G4))),$C4,""))</f>
        <v>Daniele</v>
      </c>
      <c r="W4" t="str">
        <f t="shared" ref="W4:W45" si="4">if(V4="","",D4)</f>
        <v>Monroe-Moreno</v>
      </c>
      <c r="X4" t="str">
        <f t="shared" ref="X4:X45" si="5">if(W4="","",M4)</f>
        <v>daniele.monroe-moreno@asm.state.nv.us</v>
      </c>
      <c r="Y4" t="str">
        <f t="shared" ref="Y4:Y45" si="6">if(X4="","",if(isblank($F4),$G4,$F4))</f>
        <v>Assistant Majority Floor Leader</v>
      </c>
      <c r="Z4" s="587"/>
      <c r="AA4" s="587"/>
      <c r="AB4" s="587"/>
      <c r="AC4" s="587"/>
      <c r="AD4" s="587"/>
      <c r="AE4" s="587"/>
      <c r="AF4" s="587"/>
      <c r="AG4" s="587"/>
      <c r="AH4" s="587"/>
    </row>
    <row r="5">
      <c r="A5" s="609" t="s">
        <v>1357</v>
      </c>
      <c r="B5" s="31">
        <v>2.0</v>
      </c>
      <c r="C5" s="35" t="s">
        <v>278</v>
      </c>
      <c r="D5" s="35" t="s">
        <v>9182</v>
      </c>
      <c r="E5" s="51" t="s">
        <v>53</v>
      </c>
      <c r="F5" s="631"/>
      <c r="G5" s="587" t="s">
        <v>592</v>
      </c>
      <c r="H5" s="587" t="s">
        <v>601</v>
      </c>
      <c r="I5" s="587" t="s">
        <v>9061</v>
      </c>
      <c r="J5" s="587" t="s">
        <v>519</v>
      </c>
      <c r="K5" s="587"/>
      <c r="L5" s="629"/>
      <c r="M5" s="88" t="str">
        <f t="shared" si="1"/>
        <v>john.hambrick@asm.state.nv.us</v>
      </c>
      <c r="N5" s="88"/>
      <c r="O5" s="629"/>
      <c r="P5" s="629"/>
      <c r="Q5" s="629"/>
      <c r="R5" s="91" t="s">
        <v>9197</v>
      </c>
      <c r="S5" s="587"/>
      <c r="T5" s="587"/>
      <c r="U5" t="str">
        <f t="shared" si="2"/>
        <v/>
      </c>
      <c r="V5" s="139" t="str">
        <f t="shared" si="3"/>
        <v/>
      </c>
      <c r="W5" t="str">
        <f t="shared" si="4"/>
        <v/>
      </c>
      <c r="X5" t="str">
        <f t="shared" si="5"/>
        <v/>
      </c>
      <c r="Y5" t="str">
        <f t="shared" si="6"/>
        <v/>
      </c>
      <c r="Z5" s="587"/>
      <c r="AA5" s="587"/>
      <c r="AB5" s="587"/>
      <c r="AC5" s="587"/>
      <c r="AD5" s="587"/>
      <c r="AE5" s="587"/>
      <c r="AF5" s="587"/>
      <c r="AG5" s="587"/>
      <c r="AH5" s="587"/>
    </row>
    <row r="6">
      <c r="A6" s="609" t="s">
        <v>1357</v>
      </c>
      <c r="B6" s="31">
        <v>3.0</v>
      </c>
      <c r="C6" s="35" t="s">
        <v>9223</v>
      </c>
      <c r="D6" s="35" t="s">
        <v>2334</v>
      </c>
      <c r="E6" s="36" t="s">
        <v>49</v>
      </c>
      <c r="F6" s="631"/>
      <c r="G6" s="587" t="s">
        <v>781</v>
      </c>
      <c r="H6" s="587" t="s">
        <v>515</v>
      </c>
      <c r="I6" s="587" t="s">
        <v>9061</v>
      </c>
      <c r="J6" s="587" t="s">
        <v>519</v>
      </c>
      <c r="K6" s="632"/>
      <c r="L6" s="629"/>
      <c r="M6" s="88" t="str">
        <f t="shared" si="1"/>
        <v>selena.torres@asm.state.nv.us</v>
      </c>
      <c r="N6" s="88"/>
      <c r="O6" s="629"/>
      <c r="P6" s="629"/>
      <c r="Q6" s="629"/>
      <c r="R6" s="91" t="s">
        <v>9197</v>
      </c>
      <c r="S6" s="587"/>
      <c r="T6" s="587"/>
      <c r="U6" t="str">
        <f t="shared" si="2"/>
        <v/>
      </c>
      <c r="V6" s="139" t="str">
        <f t="shared" si="3"/>
        <v/>
      </c>
      <c r="W6" t="str">
        <f t="shared" si="4"/>
        <v/>
      </c>
      <c r="X6" t="str">
        <f t="shared" si="5"/>
        <v/>
      </c>
      <c r="Y6" t="str">
        <f t="shared" si="6"/>
        <v/>
      </c>
      <c r="Z6" s="587"/>
      <c r="AA6" s="587"/>
      <c r="AB6" s="587"/>
      <c r="AC6" s="587"/>
      <c r="AD6" s="587"/>
      <c r="AE6" s="587"/>
      <c r="AF6" s="587"/>
      <c r="AG6" s="587"/>
      <c r="AH6" s="587"/>
    </row>
    <row r="7">
      <c r="A7" s="609" t="s">
        <v>1357</v>
      </c>
      <c r="B7" s="31">
        <v>4.0</v>
      </c>
      <c r="C7" s="35" t="s">
        <v>27</v>
      </c>
      <c r="D7" s="35" t="s">
        <v>9264</v>
      </c>
      <c r="E7" s="36" t="s">
        <v>49</v>
      </c>
      <c r="F7" s="631"/>
      <c r="G7" s="587" t="s">
        <v>9265</v>
      </c>
      <c r="H7" s="587" t="s">
        <v>601</v>
      </c>
      <c r="I7" s="587" t="s">
        <v>515</v>
      </c>
      <c r="J7" s="587" t="s">
        <v>519</v>
      </c>
      <c r="K7" s="633"/>
      <c r="L7" s="629"/>
      <c r="M7" s="88" t="str">
        <f t="shared" si="1"/>
        <v>connie.munk@asm.state.nv.us</v>
      </c>
      <c r="N7" s="88"/>
      <c r="O7" s="629"/>
      <c r="P7" s="629"/>
      <c r="Q7" s="629"/>
      <c r="R7" s="88" t="s">
        <v>9197</v>
      </c>
      <c r="S7" s="587"/>
      <c r="T7" s="587"/>
      <c r="U7" t="str">
        <f t="shared" si="2"/>
        <v/>
      </c>
      <c r="V7" s="139" t="str">
        <f t="shared" si="3"/>
        <v/>
      </c>
      <c r="W7" t="str">
        <f t="shared" si="4"/>
        <v/>
      </c>
      <c r="X7" t="str">
        <f t="shared" si="5"/>
        <v/>
      </c>
      <c r="Y7" t="str">
        <f t="shared" si="6"/>
        <v/>
      </c>
      <c r="Z7" s="587"/>
      <c r="AA7" s="587"/>
      <c r="AB7" s="587"/>
      <c r="AC7" s="587"/>
      <c r="AD7" s="587"/>
      <c r="AE7" s="587"/>
      <c r="AF7" s="587"/>
      <c r="AG7" s="587"/>
      <c r="AH7" s="587"/>
    </row>
    <row r="8">
      <c r="A8" s="609" t="s">
        <v>1357</v>
      </c>
      <c r="B8" s="31">
        <v>5.0</v>
      </c>
      <c r="C8" s="35" t="s">
        <v>9275</v>
      </c>
      <c r="D8" s="35" t="s">
        <v>1501</v>
      </c>
      <c r="E8" s="36" t="s">
        <v>49</v>
      </c>
      <c r="F8" s="631"/>
      <c r="G8" s="587" t="s">
        <v>781</v>
      </c>
      <c r="H8" s="587" t="s">
        <v>515</v>
      </c>
      <c r="I8" s="587" t="s">
        <v>9061</v>
      </c>
      <c r="J8" s="587" t="s">
        <v>519</v>
      </c>
      <c r="K8" s="587"/>
      <c r="L8" s="629"/>
      <c r="M8" s="88" t="str">
        <f t="shared" si="1"/>
        <v>brittney.miller@asm.state.nv.us</v>
      </c>
      <c r="N8" s="88"/>
      <c r="O8" s="629"/>
      <c r="P8" s="629"/>
      <c r="Q8" s="629"/>
      <c r="R8" s="88" t="s">
        <v>9197</v>
      </c>
      <c r="S8" s="587"/>
      <c r="T8" s="587"/>
      <c r="U8" t="str">
        <f t="shared" si="2"/>
        <v/>
      </c>
      <c r="V8" s="139" t="str">
        <f t="shared" si="3"/>
        <v/>
      </c>
      <c r="W8" t="str">
        <f t="shared" si="4"/>
        <v/>
      </c>
      <c r="X8" t="str">
        <f t="shared" si="5"/>
        <v/>
      </c>
      <c r="Y8" t="str">
        <f t="shared" si="6"/>
        <v/>
      </c>
      <c r="Z8" s="587"/>
      <c r="AA8" s="587"/>
      <c r="AB8" s="587"/>
      <c r="AC8" s="587"/>
      <c r="AD8" s="587"/>
      <c r="AE8" s="587"/>
      <c r="AF8" s="587"/>
      <c r="AG8" s="587"/>
      <c r="AH8" s="587"/>
    </row>
    <row r="9">
      <c r="A9" s="609" t="s">
        <v>1357</v>
      </c>
      <c r="B9" s="31">
        <v>6.0</v>
      </c>
      <c r="C9" s="35" t="s">
        <v>1058</v>
      </c>
      <c r="D9" s="35" t="s">
        <v>9278</v>
      </c>
      <c r="E9" s="36" t="s">
        <v>49</v>
      </c>
      <c r="F9" s="627" t="s">
        <v>1693</v>
      </c>
      <c r="G9" s="609" t="s">
        <v>9279</v>
      </c>
      <c r="H9" s="587" t="s">
        <v>9280</v>
      </c>
      <c r="I9" s="587" t="s">
        <v>9061</v>
      </c>
      <c r="J9" s="587" t="s">
        <v>519</v>
      </c>
      <c r="K9" s="632"/>
      <c r="L9" s="629"/>
      <c r="M9" s="88" t="str">
        <f t="shared" si="1"/>
        <v>william.mccurdy@asm.state.nv.us</v>
      </c>
      <c r="N9" s="630" t="str">
        <f>HYPERLINK("https://docs.google.com/document/d/159fh7_IcsC-x1ZUZA2sQlaz_haHFweSenK8ijKGukok/edit","Zero")</f>
        <v>Zero</v>
      </c>
      <c r="O9" s="629"/>
      <c r="P9" s="629"/>
      <c r="Q9" s="629"/>
      <c r="R9" s="88" t="s">
        <v>9197</v>
      </c>
      <c r="S9" s="587"/>
      <c r="T9" s="587"/>
      <c r="U9" t="str">
        <f t="shared" si="2"/>
        <v>Senator</v>
      </c>
      <c r="V9" s="139" t="str">
        <f t="shared" si="3"/>
        <v>William</v>
      </c>
      <c r="W9" t="str">
        <f t="shared" si="4"/>
        <v>McCurdy</v>
      </c>
      <c r="X9" t="str">
        <f t="shared" si="5"/>
        <v>william.mccurdy@asm.state.nv.us</v>
      </c>
      <c r="Y9" t="str">
        <f t="shared" si="6"/>
        <v>Assistant Majority Whip</v>
      </c>
      <c r="Z9" s="587"/>
      <c r="AA9" s="587"/>
      <c r="AB9" s="587"/>
      <c r="AC9" s="587"/>
      <c r="AD9" s="587"/>
      <c r="AE9" s="587"/>
      <c r="AF9" s="587"/>
      <c r="AG9" s="587"/>
      <c r="AH9" s="587"/>
    </row>
    <row r="10">
      <c r="A10" s="609" t="s">
        <v>1357</v>
      </c>
      <c r="B10" s="31">
        <v>7.0</v>
      </c>
      <c r="C10" s="35" t="s">
        <v>9283</v>
      </c>
      <c r="D10" s="35" t="s">
        <v>268</v>
      </c>
      <c r="E10" s="36" t="s">
        <v>49</v>
      </c>
      <c r="F10" s="631"/>
      <c r="G10" s="587" t="s">
        <v>592</v>
      </c>
      <c r="H10" s="587" t="s">
        <v>9280</v>
      </c>
      <c r="I10" s="609" t="s">
        <v>7147</v>
      </c>
      <c r="J10" s="587"/>
      <c r="K10" s="587"/>
      <c r="L10" s="629"/>
      <c r="M10" s="88" t="str">
        <f t="shared" si="1"/>
        <v>dina.neal@asm.state.nv.us</v>
      </c>
      <c r="N10" s="88"/>
      <c r="O10" s="629"/>
      <c r="P10" s="629"/>
      <c r="Q10" s="629"/>
      <c r="R10" s="88" t="s">
        <v>9098</v>
      </c>
      <c r="S10" s="587"/>
      <c r="T10" s="587"/>
      <c r="U10" t="str">
        <f t="shared" si="2"/>
        <v/>
      </c>
      <c r="V10" s="139" t="str">
        <f t="shared" si="3"/>
        <v/>
      </c>
      <c r="W10" t="str">
        <f t="shared" si="4"/>
        <v/>
      </c>
      <c r="X10" t="str">
        <f t="shared" si="5"/>
        <v/>
      </c>
      <c r="Y10" t="str">
        <f t="shared" si="6"/>
        <v/>
      </c>
      <c r="Z10" s="587"/>
      <c r="AA10" s="587"/>
      <c r="AB10" s="587"/>
      <c r="AC10" s="587"/>
      <c r="AD10" s="587"/>
      <c r="AE10" s="587"/>
      <c r="AF10" s="587"/>
      <c r="AG10" s="587"/>
      <c r="AH10" s="587"/>
    </row>
    <row r="11">
      <c r="A11" s="609" t="s">
        <v>1357</v>
      </c>
      <c r="B11" s="31">
        <v>8.0</v>
      </c>
      <c r="C11" s="35" t="s">
        <v>1231</v>
      </c>
      <c r="D11" s="35" t="s">
        <v>9291</v>
      </c>
      <c r="E11" s="36" t="s">
        <v>49</v>
      </c>
      <c r="F11" s="627" t="s">
        <v>254</v>
      </c>
      <c r="G11" s="587" t="s">
        <v>592</v>
      </c>
      <c r="H11" s="609" t="s">
        <v>9292</v>
      </c>
      <c r="I11" s="587" t="s">
        <v>519</v>
      </c>
      <c r="J11" s="587" t="s">
        <v>519</v>
      </c>
      <c r="K11" s="587"/>
      <c r="L11" s="629"/>
      <c r="M11" s="88" t="str">
        <f t="shared" si="1"/>
        <v>jason.frierson@asm.state.nv.us</v>
      </c>
      <c r="N11" s="630" t="str">
        <f>HYPERLINK("https://docs.google.com/document/d/130c4xy10ZEkM_As6X4Utl7TNuBxM3f4FFeLA4u4QbiQ/edit","Zero")</f>
        <v>Zero</v>
      </c>
      <c r="O11" s="629"/>
      <c r="P11" s="629"/>
      <c r="Q11" s="629"/>
      <c r="R11" s="88" t="s">
        <v>9197</v>
      </c>
      <c r="S11" s="587"/>
      <c r="T11" s="587"/>
      <c r="U11" t="str">
        <f t="shared" si="2"/>
        <v>Senator</v>
      </c>
      <c r="V11" s="139" t="str">
        <f t="shared" si="3"/>
        <v>Jason</v>
      </c>
      <c r="W11" t="str">
        <f t="shared" si="4"/>
        <v>Frierson</v>
      </c>
      <c r="X11" t="str">
        <f t="shared" si="5"/>
        <v>jason.frierson@asm.state.nv.us</v>
      </c>
      <c r="Y11" t="str">
        <f t="shared" si="6"/>
        <v>Speaker of the House</v>
      </c>
      <c r="Z11" s="587"/>
      <c r="AA11" s="587"/>
      <c r="AB11" s="587"/>
      <c r="AC11" s="587"/>
      <c r="AD11" s="587"/>
      <c r="AE11" s="587"/>
      <c r="AF11" s="587"/>
      <c r="AG11" s="587"/>
      <c r="AH11" s="587"/>
    </row>
    <row r="12">
      <c r="A12" s="609" t="s">
        <v>1357</v>
      </c>
      <c r="B12" s="31">
        <v>9.0</v>
      </c>
      <c r="C12" s="35" t="s">
        <v>55</v>
      </c>
      <c r="D12" s="35" t="s">
        <v>9299</v>
      </c>
      <c r="E12" s="36" t="s">
        <v>49</v>
      </c>
      <c r="F12" s="627" t="s">
        <v>1498</v>
      </c>
      <c r="G12" s="609" t="s">
        <v>877</v>
      </c>
      <c r="H12" s="587" t="s">
        <v>9280</v>
      </c>
      <c r="I12" s="609" t="s">
        <v>9300</v>
      </c>
      <c r="J12" s="587" t="s">
        <v>519</v>
      </c>
      <c r="K12" s="587"/>
      <c r="L12" s="629"/>
      <c r="M12" s="88" t="str">
        <f t="shared" si="1"/>
        <v>steve.yeager@asm.state.nv.us</v>
      </c>
      <c r="N12" s="630" t="str">
        <f>HYPERLINK("https://docs.google.com/document/d/1qzuhIgq7G_Lyhh_ycks_nR8KG1KsxeWfb4fWX-J-M20/edit","Zero")</f>
        <v>Zero</v>
      </c>
      <c r="O12" s="629"/>
      <c r="P12" s="629"/>
      <c r="Q12" s="629"/>
      <c r="R12" s="88" t="s">
        <v>9197</v>
      </c>
      <c r="S12" s="587"/>
      <c r="T12" s="587"/>
      <c r="U12" t="str">
        <f t="shared" si="2"/>
        <v>Senator</v>
      </c>
      <c r="V12" s="139" t="str">
        <f t="shared" si="3"/>
        <v>Steve</v>
      </c>
      <c r="W12" t="str">
        <f t="shared" si="4"/>
        <v>Yeager</v>
      </c>
      <c r="X12" t="str">
        <f t="shared" si="5"/>
        <v>steve.yeager@asm.state.nv.us</v>
      </c>
      <c r="Y12" t="str">
        <f t="shared" si="6"/>
        <v>Speaker Pro Temp</v>
      </c>
      <c r="Z12" s="587"/>
      <c r="AA12" s="587"/>
      <c r="AB12" s="587"/>
      <c r="AC12" s="587"/>
      <c r="AD12" s="587"/>
      <c r="AE12" s="587"/>
      <c r="AF12" s="587"/>
      <c r="AG12" s="587"/>
      <c r="AH12" s="587"/>
    </row>
    <row r="13">
      <c r="A13" s="609" t="s">
        <v>1357</v>
      </c>
      <c r="B13" s="31">
        <v>10.0</v>
      </c>
      <c r="C13" s="38" t="s">
        <v>173</v>
      </c>
      <c r="D13" s="38" t="s">
        <v>1141</v>
      </c>
      <c r="E13" s="100" t="s">
        <v>49</v>
      </c>
      <c r="F13" s="631"/>
      <c r="G13" s="587"/>
      <c r="H13" s="587" t="s">
        <v>519</v>
      </c>
      <c r="I13" s="587" t="s">
        <v>519</v>
      </c>
      <c r="J13" s="587" t="s">
        <v>519</v>
      </c>
      <c r="K13" s="587"/>
      <c r="L13" s="629"/>
      <c r="M13" s="88" t="str">
        <f t="shared" si="1"/>
        <v>chris.brooks@asm.state.nv.us</v>
      </c>
      <c r="N13" s="88"/>
      <c r="O13" s="629"/>
      <c r="P13" s="629"/>
      <c r="Q13" s="629"/>
      <c r="R13" s="88" t="s">
        <v>9197</v>
      </c>
      <c r="S13" s="587"/>
      <c r="T13" s="587"/>
      <c r="U13" t="str">
        <f t="shared" si="2"/>
        <v/>
      </c>
      <c r="V13" s="139" t="str">
        <f t="shared" si="3"/>
        <v/>
      </c>
      <c r="W13" t="str">
        <f t="shared" si="4"/>
        <v/>
      </c>
      <c r="X13" t="str">
        <f t="shared" si="5"/>
        <v/>
      </c>
      <c r="Y13" t="str">
        <f t="shared" si="6"/>
        <v/>
      </c>
      <c r="Z13" s="587"/>
      <c r="AA13" s="587"/>
      <c r="AB13" s="587"/>
      <c r="AC13" s="587"/>
      <c r="AD13" s="587"/>
      <c r="AE13" s="587"/>
      <c r="AF13" s="587"/>
      <c r="AG13" s="587"/>
      <c r="AH13" s="587"/>
    </row>
    <row r="14">
      <c r="A14" s="609" t="s">
        <v>1357</v>
      </c>
      <c r="B14" s="31">
        <v>11.0</v>
      </c>
      <c r="C14" s="38" t="s">
        <v>9303</v>
      </c>
      <c r="D14" s="38" t="s">
        <v>3338</v>
      </c>
      <c r="E14" s="100" t="s">
        <v>49</v>
      </c>
      <c r="F14" s="631"/>
      <c r="G14" s="587"/>
      <c r="H14" s="587" t="s">
        <v>519</v>
      </c>
      <c r="I14" s="587" t="s">
        <v>519</v>
      </c>
      <c r="J14" s="587" t="s">
        <v>519</v>
      </c>
      <c r="K14" s="587"/>
      <c r="L14" s="629"/>
      <c r="M14" s="88" t="str">
        <f t="shared" si="1"/>
        <v>olivia.diaz@asm.state.nv.us</v>
      </c>
      <c r="N14" s="88"/>
      <c r="O14" s="629"/>
      <c r="P14" s="629"/>
      <c r="Q14" s="629"/>
      <c r="R14" s="91" t="s">
        <v>9098</v>
      </c>
      <c r="S14" s="587"/>
      <c r="T14" s="587"/>
      <c r="U14" t="str">
        <f t="shared" si="2"/>
        <v/>
      </c>
      <c r="V14" s="139" t="str">
        <f t="shared" si="3"/>
        <v/>
      </c>
      <c r="W14" t="str">
        <f t="shared" si="4"/>
        <v/>
      </c>
      <c r="X14" t="str">
        <f t="shared" si="5"/>
        <v/>
      </c>
      <c r="Y14" t="str">
        <f t="shared" si="6"/>
        <v/>
      </c>
      <c r="Z14" s="587"/>
      <c r="AA14" s="587"/>
      <c r="AB14" s="587"/>
      <c r="AC14" s="587"/>
      <c r="AD14" s="587"/>
      <c r="AE14" s="587"/>
      <c r="AF14" s="587"/>
      <c r="AG14" s="587"/>
      <c r="AH14" s="587"/>
    </row>
    <row r="15">
      <c r="A15" s="609" t="s">
        <v>1357</v>
      </c>
      <c r="B15" s="31">
        <v>12.0</v>
      </c>
      <c r="C15" s="35" t="s">
        <v>1446</v>
      </c>
      <c r="D15" s="35" t="s">
        <v>4546</v>
      </c>
      <c r="E15" s="36" t="s">
        <v>49</v>
      </c>
      <c r="F15" s="631"/>
      <c r="G15" s="587" t="s">
        <v>9265</v>
      </c>
      <c r="H15" s="587" t="s">
        <v>9280</v>
      </c>
      <c r="I15" s="587" t="s">
        <v>5687</v>
      </c>
      <c r="J15" s="587"/>
      <c r="K15" s="587"/>
      <c r="L15" s="629"/>
      <c r="M15" s="88" t="str">
        <f t="shared" si="1"/>
        <v>susan.martinez@asm.state.nv.us</v>
      </c>
      <c r="N15" s="88"/>
      <c r="O15" s="629"/>
      <c r="P15" s="629"/>
      <c r="Q15" s="629"/>
      <c r="R15" s="91" t="s">
        <v>9311</v>
      </c>
      <c r="S15" s="587"/>
      <c r="T15" s="587"/>
      <c r="U15" t="str">
        <f t="shared" si="2"/>
        <v/>
      </c>
      <c r="V15" s="139" t="str">
        <f t="shared" si="3"/>
        <v/>
      </c>
      <c r="W15" t="str">
        <f t="shared" si="4"/>
        <v/>
      </c>
      <c r="X15" t="str">
        <f t="shared" si="5"/>
        <v/>
      </c>
      <c r="Y15" t="str">
        <f t="shared" si="6"/>
        <v/>
      </c>
      <c r="Z15" s="587"/>
      <c r="AA15" s="587"/>
      <c r="AB15" s="587"/>
      <c r="AC15" s="587"/>
      <c r="AD15" s="587"/>
      <c r="AE15" s="587"/>
      <c r="AF15" s="587"/>
      <c r="AG15" s="587"/>
      <c r="AH15" s="587"/>
    </row>
    <row r="16">
      <c r="A16" s="609" t="s">
        <v>1357</v>
      </c>
      <c r="B16" s="31">
        <v>13.0</v>
      </c>
      <c r="C16" s="249" t="s">
        <v>338</v>
      </c>
      <c r="D16" s="249" t="s">
        <v>788</v>
      </c>
      <c r="E16" s="51" t="s">
        <v>53</v>
      </c>
      <c r="F16" s="627" t="s">
        <v>9318</v>
      </c>
      <c r="G16" s="587" t="s">
        <v>781</v>
      </c>
      <c r="H16" s="587" t="s">
        <v>9319</v>
      </c>
      <c r="I16" s="587" t="s">
        <v>9061</v>
      </c>
      <c r="J16" s="587" t="s">
        <v>519</v>
      </c>
      <c r="K16" s="587"/>
      <c r="L16" s="629"/>
      <c r="M16" s="88" t="str">
        <f t="shared" si="1"/>
        <v>tom.roberts@asm.state.nv.us</v>
      </c>
      <c r="N16" s="634" t="str">
        <f>HYPERLINK("https://docs.google.com/document/d/1dyRys7_rPN03Sk42Fd2kcBc7kRRqnZfnRGt0pgHTkf8/edit","Zero")</f>
        <v>Zero</v>
      </c>
      <c r="O16" s="629"/>
      <c r="P16" s="629"/>
      <c r="Q16" s="629"/>
      <c r="R16" s="629"/>
      <c r="S16" s="587"/>
      <c r="T16" s="587"/>
      <c r="U16" t="str">
        <f t="shared" si="2"/>
        <v/>
      </c>
      <c r="V16" s="139" t="str">
        <f t="shared" si="3"/>
        <v/>
      </c>
      <c r="W16" t="str">
        <f t="shared" si="4"/>
        <v/>
      </c>
      <c r="X16" t="str">
        <f t="shared" si="5"/>
        <v/>
      </c>
      <c r="Y16" t="str">
        <f t="shared" si="6"/>
        <v/>
      </c>
      <c r="Z16" s="587"/>
      <c r="AA16" s="587"/>
      <c r="AB16" s="587"/>
      <c r="AC16" s="587"/>
      <c r="AD16" s="587"/>
      <c r="AE16" s="587"/>
      <c r="AF16" s="587"/>
      <c r="AG16" s="587"/>
      <c r="AH16" s="587"/>
    </row>
    <row r="17">
      <c r="A17" s="609" t="s">
        <v>1357</v>
      </c>
      <c r="B17" s="31">
        <v>14.0</v>
      </c>
      <c r="C17" s="35" t="s">
        <v>6443</v>
      </c>
      <c r="D17" s="35" t="s">
        <v>1296</v>
      </c>
      <c r="E17" s="36" t="s">
        <v>49</v>
      </c>
      <c r="F17" s="631"/>
      <c r="G17" s="609" t="s">
        <v>994</v>
      </c>
      <c r="H17" s="587" t="s">
        <v>9280</v>
      </c>
      <c r="I17" s="587" t="s">
        <v>9330</v>
      </c>
      <c r="J17" s="587" t="s">
        <v>519</v>
      </c>
      <c r="K17" s="587"/>
      <c r="L17" s="629"/>
      <c r="M17" s="88" t="str">
        <f t="shared" si="1"/>
        <v>maggie.carlton@asm.state.nv.us</v>
      </c>
      <c r="N17" s="88"/>
      <c r="O17" s="629"/>
      <c r="P17" s="629"/>
      <c r="Q17" s="629"/>
      <c r="R17" s="91" t="s">
        <v>9311</v>
      </c>
      <c r="S17" s="587"/>
      <c r="T17" s="587"/>
      <c r="U17" t="str">
        <f t="shared" si="2"/>
        <v/>
      </c>
      <c r="V17" s="139" t="str">
        <f t="shared" si="3"/>
        <v/>
      </c>
      <c r="W17" t="str">
        <f t="shared" si="4"/>
        <v/>
      </c>
      <c r="X17" t="str">
        <f t="shared" si="5"/>
        <v/>
      </c>
      <c r="Y17" t="str">
        <f t="shared" si="6"/>
        <v/>
      </c>
      <c r="Z17" s="587"/>
      <c r="AA17" s="587"/>
      <c r="AB17" s="587"/>
      <c r="AC17" s="587"/>
      <c r="AD17" s="587"/>
      <c r="AE17" s="587"/>
      <c r="AF17" s="587"/>
      <c r="AG17" s="587"/>
      <c r="AH17" s="587"/>
    </row>
    <row r="18">
      <c r="A18" s="609" t="s">
        <v>1357</v>
      </c>
      <c r="B18" s="31">
        <v>15.0</v>
      </c>
      <c r="C18" s="35" t="s">
        <v>297</v>
      </c>
      <c r="D18" s="35" t="s">
        <v>9335</v>
      </c>
      <c r="E18" s="36" t="s">
        <v>49</v>
      </c>
      <c r="F18" s="631"/>
      <c r="G18" s="587" t="s">
        <v>781</v>
      </c>
      <c r="H18" s="587" t="s">
        <v>9319</v>
      </c>
      <c r="I18" s="587" t="s">
        <v>9330</v>
      </c>
      <c r="J18" s="587" t="s">
        <v>519</v>
      </c>
      <c r="K18" s="587"/>
      <c r="L18" s="629"/>
      <c r="M18" s="88" t="str">
        <f t="shared" si="1"/>
        <v>howard.watts@asm.state.nv.us</v>
      </c>
      <c r="N18" s="88"/>
      <c r="O18" s="629"/>
      <c r="P18" s="629"/>
      <c r="Q18" s="629"/>
      <c r="R18" s="91" t="s">
        <v>9339</v>
      </c>
      <c r="S18" s="587"/>
      <c r="T18" s="587"/>
      <c r="U18" t="str">
        <f t="shared" si="2"/>
        <v/>
      </c>
      <c r="V18" s="139" t="str">
        <f t="shared" si="3"/>
        <v/>
      </c>
      <c r="W18" t="str">
        <f t="shared" si="4"/>
        <v/>
      </c>
      <c r="X18" t="str">
        <f t="shared" si="5"/>
        <v/>
      </c>
      <c r="Y18" t="str">
        <f t="shared" si="6"/>
        <v/>
      </c>
      <c r="Z18" s="587"/>
      <c r="AA18" s="587"/>
      <c r="AB18" s="587"/>
      <c r="AC18" s="587"/>
      <c r="AD18" s="587"/>
      <c r="AE18" s="587"/>
      <c r="AF18" s="587"/>
      <c r="AG18" s="587"/>
      <c r="AH18" s="587"/>
    </row>
    <row r="19">
      <c r="A19" s="609" t="s">
        <v>1357</v>
      </c>
      <c r="B19" s="31">
        <v>16.0</v>
      </c>
      <c r="C19" s="35" t="s">
        <v>5777</v>
      </c>
      <c r="D19" s="35" t="s">
        <v>9343</v>
      </c>
      <c r="E19" s="36" t="s">
        <v>49</v>
      </c>
      <c r="F19" s="627" t="s">
        <v>1693</v>
      </c>
      <c r="G19" s="587" t="s">
        <v>592</v>
      </c>
      <c r="H19" s="609" t="s">
        <v>9344</v>
      </c>
      <c r="I19" s="587" t="s">
        <v>519</v>
      </c>
      <c r="J19" s="587" t="s">
        <v>5687</v>
      </c>
      <c r="K19" s="587"/>
      <c r="L19" s="629"/>
      <c r="M19" s="88" t="str">
        <f t="shared" si="1"/>
        <v>heidi.swank@asm.state.nv.us</v>
      </c>
      <c r="N19" s="630" t="str">
        <f>HYPERLINK("https://docs.google.com/document/d/1yxBoDplNY-9ZOgR76gdZTCo8XyUmm9-cX1S8TPjp4x0/edit","Zero")</f>
        <v>Zero</v>
      </c>
      <c r="O19" s="629"/>
      <c r="P19" s="629"/>
      <c r="Q19" s="629"/>
      <c r="R19" s="91" t="s">
        <v>9197</v>
      </c>
      <c r="S19" s="587"/>
      <c r="T19" s="587"/>
      <c r="U19" t="str">
        <f t="shared" si="2"/>
        <v>Senator</v>
      </c>
      <c r="V19" s="139" t="str">
        <f t="shared" si="3"/>
        <v>Heidi</v>
      </c>
      <c r="W19" t="str">
        <f t="shared" si="4"/>
        <v>Swank</v>
      </c>
      <c r="X19" t="str">
        <f t="shared" si="5"/>
        <v>heidi.swank@asm.state.nv.us</v>
      </c>
      <c r="Y19" t="str">
        <f t="shared" si="6"/>
        <v>Assistant Majority Whip</v>
      </c>
      <c r="Z19" s="587"/>
      <c r="AA19" s="587"/>
      <c r="AB19" s="587"/>
      <c r="AC19" s="587"/>
      <c r="AD19" s="587"/>
      <c r="AE19" s="587"/>
      <c r="AF19" s="587"/>
      <c r="AG19" s="587"/>
      <c r="AH19" s="587"/>
    </row>
    <row r="20">
      <c r="A20" s="609" t="s">
        <v>1357</v>
      </c>
      <c r="B20" s="31">
        <v>17.0</v>
      </c>
      <c r="C20" s="35" t="s">
        <v>7052</v>
      </c>
      <c r="D20" s="35" t="s">
        <v>59</v>
      </c>
      <c r="E20" s="36" t="s">
        <v>49</v>
      </c>
      <c r="F20" s="627" t="s">
        <v>9347</v>
      </c>
      <c r="G20" s="587" t="s">
        <v>592</v>
      </c>
      <c r="H20" s="587" t="s">
        <v>601</v>
      </c>
      <c r="I20" s="609" t="s">
        <v>1047</v>
      </c>
      <c r="J20" s="587" t="s">
        <v>5687</v>
      </c>
      <c r="K20" s="587"/>
      <c r="L20" s="629"/>
      <c r="M20" s="88" t="str">
        <f t="shared" si="1"/>
        <v>tyrone.thompson@asm.state.nv.us</v>
      </c>
      <c r="N20" s="630" t="str">
        <f>HYPERLINK("https://docs.google.com/document/d/1R7eRFAWix8iZqmP2c15uAyUv0TZtLbe6D_cwwDuyXhI/edit#heading=h.ukawe30im1h","Zero")</f>
        <v>Zero</v>
      </c>
      <c r="O20" s="629"/>
      <c r="P20" s="629"/>
      <c r="Q20" s="629"/>
      <c r="R20" s="91" t="s">
        <v>9098</v>
      </c>
      <c r="S20" s="587"/>
      <c r="T20" s="587"/>
      <c r="U20" t="str">
        <f t="shared" si="2"/>
        <v>Senator</v>
      </c>
      <c r="V20" s="139" t="str">
        <f t="shared" si="3"/>
        <v>Tyrone</v>
      </c>
      <c r="W20" t="str">
        <f t="shared" si="4"/>
        <v>Thompson</v>
      </c>
      <c r="X20" t="str">
        <f t="shared" si="5"/>
        <v>tyrone.thompson@asm.state.nv.us</v>
      </c>
      <c r="Y20" t="str">
        <f t="shared" si="6"/>
        <v>Chief Deputy Majority Whip</v>
      </c>
      <c r="Z20" s="587"/>
      <c r="AA20" s="587"/>
      <c r="AB20" s="587"/>
      <c r="AC20" s="587"/>
      <c r="AD20" s="587"/>
      <c r="AE20" s="587"/>
      <c r="AF20" s="587"/>
      <c r="AG20" s="587"/>
      <c r="AH20" s="587"/>
    </row>
    <row r="21">
      <c r="A21" s="609" t="s">
        <v>1357</v>
      </c>
      <c r="B21" s="31">
        <v>18.0</v>
      </c>
      <c r="C21" s="35" t="s">
        <v>1112</v>
      </c>
      <c r="D21" s="35" t="s">
        <v>1727</v>
      </c>
      <c r="E21" s="36" t="s">
        <v>49</v>
      </c>
      <c r="F21" s="631"/>
      <c r="G21" s="587" t="s">
        <v>9265</v>
      </c>
      <c r="H21" s="609" t="s">
        <v>1016</v>
      </c>
      <c r="I21" s="587" t="s">
        <v>9319</v>
      </c>
      <c r="J21" s="587" t="s">
        <v>519</v>
      </c>
      <c r="K21" s="587"/>
      <c r="L21" s="629"/>
      <c r="M21" s="88" t="str">
        <f t="shared" si="1"/>
        <v>richard.carrillo@asm.state.nv.us</v>
      </c>
      <c r="N21" s="88"/>
      <c r="O21" s="629"/>
      <c r="P21" s="629"/>
      <c r="Q21" s="629"/>
      <c r="R21" s="91" t="s">
        <v>5312</v>
      </c>
      <c r="S21" s="587"/>
      <c r="T21" s="587"/>
      <c r="U21" t="str">
        <f t="shared" si="2"/>
        <v/>
      </c>
      <c r="V21" s="139" t="str">
        <f t="shared" si="3"/>
        <v/>
      </c>
      <c r="W21" t="str">
        <f t="shared" si="4"/>
        <v/>
      </c>
      <c r="X21" t="str">
        <f t="shared" si="5"/>
        <v/>
      </c>
      <c r="Y21" t="str">
        <f t="shared" si="6"/>
        <v/>
      </c>
      <c r="Z21" s="587"/>
      <c r="AA21" s="587"/>
      <c r="AB21" s="587"/>
      <c r="AC21" s="587"/>
      <c r="AD21" s="587"/>
      <c r="AE21" s="587"/>
      <c r="AF21" s="587"/>
      <c r="AG21" s="587"/>
      <c r="AH21" s="587"/>
    </row>
    <row r="22">
      <c r="A22" s="609" t="s">
        <v>1357</v>
      </c>
      <c r="B22" s="31">
        <v>19.0</v>
      </c>
      <c r="C22" s="35" t="s">
        <v>173</v>
      </c>
      <c r="D22" s="35" t="s">
        <v>6476</v>
      </c>
      <c r="E22" s="51" t="s">
        <v>53</v>
      </c>
      <c r="F22" s="627" t="s">
        <v>9355</v>
      </c>
      <c r="G22" s="587" t="s">
        <v>781</v>
      </c>
      <c r="H22" s="587" t="s">
        <v>9280</v>
      </c>
      <c r="I22" s="587" t="s">
        <v>5687</v>
      </c>
      <c r="J22" s="587"/>
      <c r="K22" s="587"/>
      <c r="L22" s="629"/>
      <c r="M22" s="88" t="str">
        <f t="shared" si="1"/>
        <v>chris.edwards@asm.state.nv.us</v>
      </c>
      <c r="N22" s="630" t="str">
        <f>HYPERLINK("https://docs.google.com/document/d/1BCNx--Y2gwTZIErQ8Siu0SNfUyqbu9MoxtYNgUSwQ6c/edit#heading=h.ukawe30im1h","Zero")</f>
        <v>Zero</v>
      </c>
      <c r="O22" s="629"/>
      <c r="P22" s="629"/>
      <c r="Q22" s="629"/>
      <c r="R22" s="91" t="s">
        <v>9311</v>
      </c>
      <c r="S22" s="587"/>
      <c r="T22" s="587"/>
      <c r="U22" t="str">
        <f t="shared" si="2"/>
        <v/>
      </c>
      <c r="V22" s="139" t="str">
        <f t="shared" si="3"/>
        <v/>
      </c>
      <c r="W22" t="str">
        <f t="shared" si="4"/>
        <v/>
      </c>
      <c r="X22" t="str">
        <f t="shared" si="5"/>
        <v/>
      </c>
      <c r="Y22" t="str">
        <f t="shared" si="6"/>
        <v/>
      </c>
      <c r="Z22" s="587"/>
      <c r="AA22" s="587"/>
      <c r="AB22" s="587"/>
      <c r="AC22" s="587"/>
      <c r="AD22" s="587"/>
      <c r="AE22" s="587"/>
      <c r="AF22" s="587"/>
      <c r="AG22" s="587"/>
      <c r="AH22" s="587"/>
    </row>
    <row r="23">
      <c r="A23" s="609" t="s">
        <v>1357</v>
      </c>
      <c r="B23" s="31">
        <v>20.0</v>
      </c>
      <c r="C23" s="35" t="s">
        <v>9356</v>
      </c>
      <c r="D23" s="35" t="s">
        <v>9357</v>
      </c>
      <c r="E23" s="36" t="s">
        <v>49</v>
      </c>
      <c r="F23" s="631"/>
      <c r="G23" s="587" t="s">
        <v>592</v>
      </c>
      <c r="H23" s="609" t="s">
        <v>9292</v>
      </c>
      <c r="I23" s="609" t="s">
        <v>9358</v>
      </c>
      <c r="J23" s="587" t="s">
        <v>5687</v>
      </c>
      <c r="K23" s="587"/>
      <c r="L23" s="629"/>
      <c r="M23" s="88" t="str">
        <f t="shared" si="1"/>
        <v>ellen.spiegel@asm.state.nv.us</v>
      </c>
      <c r="N23" s="88"/>
      <c r="O23" s="629"/>
      <c r="P23" s="629"/>
      <c r="Q23" s="629"/>
      <c r="R23" s="91" t="s">
        <v>2092</v>
      </c>
      <c r="S23" s="587"/>
      <c r="T23" s="587"/>
      <c r="U23" t="str">
        <f t="shared" si="2"/>
        <v/>
      </c>
      <c r="V23" s="139" t="str">
        <f t="shared" si="3"/>
        <v/>
      </c>
      <c r="W23" t="str">
        <f t="shared" si="4"/>
        <v/>
      </c>
      <c r="X23" t="str">
        <f t="shared" si="5"/>
        <v/>
      </c>
      <c r="Y23" t="str">
        <f t="shared" si="6"/>
        <v/>
      </c>
      <c r="Z23" s="587"/>
      <c r="AA23" s="587"/>
      <c r="AB23" s="587"/>
      <c r="AC23" s="587"/>
      <c r="AD23" s="587"/>
      <c r="AE23" s="587"/>
      <c r="AF23" s="587"/>
      <c r="AG23" s="587"/>
      <c r="AH23" s="587"/>
    </row>
    <row r="24">
      <c r="A24" s="609" t="s">
        <v>1357</v>
      </c>
      <c r="B24" s="31">
        <v>21.0</v>
      </c>
      <c r="C24" s="35" t="s">
        <v>9359</v>
      </c>
      <c r="D24" s="35" t="s">
        <v>9360</v>
      </c>
      <c r="E24" s="36" t="s">
        <v>49</v>
      </c>
      <c r="F24" s="631"/>
      <c r="G24" s="587" t="s">
        <v>781</v>
      </c>
      <c r="H24" s="587" t="s">
        <v>9330</v>
      </c>
      <c r="I24" s="587" t="s">
        <v>519</v>
      </c>
      <c r="J24" s="587" t="s">
        <v>519</v>
      </c>
      <c r="K24" s="587"/>
      <c r="L24" s="629"/>
      <c r="M24" s="88" t="str">
        <f t="shared" si="1"/>
        <v>ozzie.fumo@asm.state.nv.us</v>
      </c>
      <c r="N24" s="88"/>
      <c r="O24" s="629"/>
      <c r="P24" s="629"/>
      <c r="Q24" s="629"/>
      <c r="R24" s="88" t="s">
        <v>9197</v>
      </c>
      <c r="S24" s="587"/>
      <c r="T24" s="587"/>
      <c r="U24" t="str">
        <f t="shared" si="2"/>
        <v/>
      </c>
      <c r="V24" s="139" t="str">
        <f t="shared" si="3"/>
        <v/>
      </c>
      <c r="W24" t="str">
        <f t="shared" si="4"/>
        <v/>
      </c>
      <c r="X24" t="str">
        <f t="shared" si="5"/>
        <v/>
      </c>
      <c r="Y24" t="str">
        <f t="shared" si="6"/>
        <v/>
      </c>
      <c r="Z24" s="587"/>
      <c r="AA24" s="587"/>
      <c r="AB24" s="587"/>
      <c r="AC24" s="587"/>
      <c r="AD24" s="587"/>
      <c r="AE24" s="587"/>
      <c r="AF24" s="587"/>
      <c r="AG24" s="587"/>
      <c r="AH24" s="587"/>
    </row>
    <row r="25">
      <c r="A25" s="609" t="s">
        <v>1357</v>
      </c>
      <c r="B25" s="31">
        <v>22.0</v>
      </c>
      <c r="C25" s="35" t="s">
        <v>1884</v>
      </c>
      <c r="D25" s="35" t="s">
        <v>5470</v>
      </c>
      <c r="E25" s="51" t="s">
        <v>53</v>
      </c>
      <c r="F25" s="631"/>
      <c r="G25" s="587" t="s">
        <v>9265</v>
      </c>
      <c r="H25" s="587" t="s">
        <v>9280</v>
      </c>
      <c r="I25" s="587" t="s">
        <v>515</v>
      </c>
      <c r="J25" s="587" t="s">
        <v>519</v>
      </c>
      <c r="K25" s="587"/>
      <c r="L25" s="629"/>
      <c r="M25" s="88" t="str">
        <f t="shared" si="1"/>
        <v>melissa.hardy@asm.state.nv.us</v>
      </c>
      <c r="N25" s="88"/>
      <c r="O25" s="629"/>
      <c r="P25" s="629"/>
      <c r="Q25" s="629"/>
      <c r="R25" s="88" t="s">
        <v>2092</v>
      </c>
      <c r="S25" s="587"/>
      <c r="T25" s="587"/>
      <c r="U25" t="str">
        <f t="shared" si="2"/>
        <v/>
      </c>
      <c r="V25" s="139" t="str">
        <f t="shared" si="3"/>
        <v/>
      </c>
      <c r="W25" t="str">
        <f t="shared" si="4"/>
        <v/>
      </c>
      <c r="X25" t="str">
        <f t="shared" si="5"/>
        <v/>
      </c>
      <c r="Y25" t="str">
        <f t="shared" si="6"/>
        <v/>
      </c>
      <c r="Z25" s="587"/>
      <c r="AA25" s="587"/>
      <c r="AB25" s="587"/>
      <c r="AC25" s="587"/>
      <c r="AD25" s="587"/>
      <c r="AE25" s="587"/>
      <c r="AF25" s="587"/>
      <c r="AG25" s="587"/>
      <c r="AH25" s="587"/>
    </row>
    <row r="26">
      <c r="A26" s="609" t="s">
        <v>1357</v>
      </c>
      <c r="B26" s="31">
        <v>23.0</v>
      </c>
      <c r="C26" s="35" t="s">
        <v>7931</v>
      </c>
      <c r="D26" s="35" t="s">
        <v>9361</v>
      </c>
      <c r="E26" s="51" t="s">
        <v>53</v>
      </c>
      <c r="F26" s="631"/>
      <c r="G26" s="587" t="s">
        <v>9265</v>
      </c>
      <c r="H26" s="587" t="s">
        <v>9319</v>
      </c>
      <c r="I26" s="587" t="s">
        <v>9061</v>
      </c>
      <c r="J26" s="587" t="s">
        <v>519</v>
      </c>
      <c r="K26" s="587"/>
      <c r="L26" s="629"/>
      <c r="M26" s="88" t="str">
        <f t="shared" si="1"/>
        <v>glen.leavitt@asm.state.nv.us</v>
      </c>
      <c r="N26" s="88"/>
      <c r="O26" s="629"/>
      <c r="P26" s="629"/>
      <c r="Q26" s="629"/>
      <c r="R26" s="91" t="s">
        <v>2092</v>
      </c>
      <c r="S26" s="587"/>
      <c r="T26" s="587"/>
      <c r="U26" t="str">
        <f t="shared" si="2"/>
        <v/>
      </c>
      <c r="V26" s="139" t="str">
        <f t="shared" si="3"/>
        <v/>
      </c>
      <c r="W26" t="str">
        <f t="shared" si="4"/>
        <v/>
      </c>
      <c r="X26" t="str">
        <f t="shared" si="5"/>
        <v/>
      </c>
      <c r="Y26" t="str">
        <f t="shared" si="6"/>
        <v/>
      </c>
      <c r="Z26" s="587"/>
      <c r="AA26" s="587"/>
      <c r="AB26" s="587"/>
      <c r="AC26" s="587"/>
      <c r="AD26" s="587"/>
      <c r="AE26" s="587"/>
      <c r="AF26" s="587"/>
      <c r="AG26" s="587"/>
      <c r="AH26" s="587"/>
    </row>
    <row r="27">
      <c r="A27" s="609" t="s">
        <v>1357</v>
      </c>
      <c r="B27" s="31">
        <v>24.0</v>
      </c>
      <c r="C27" s="35" t="s">
        <v>210</v>
      </c>
      <c r="D27" s="35" t="s">
        <v>2358</v>
      </c>
      <c r="E27" s="36" t="s">
        <v>49</v>
      </c>
      <c r="F27" s="631"/>
      <c r="G27" s="587" t="s">
        <v>781</v>
      </c>
      <c r="H27" s="587" t="s">
        <v>515</v>
      </c>
      <c r="I27" s="587" t="s">
        <v>9330</v>
      </c>
      <c r="J27" s="587" t="s">
        <v>519</v>
      </c>
      <c r="K27" s="587"/>
      <c r="L27" s="629"/>
      <c r="M27" s="88" t="str">
        <f t="shared" si="1"/>
        <v>sarah.peters@asm.state.nv.us</v>
      </c>
      <c r="N27" s="88"/>
      <c r="O27" s="629"/>
      <c r="P27" s="629"/>
      <c r="Q27" s="629"/>
      <c r="R27" s="91" t="s">
        <v>5228</v>
      </c>
      <c r="S27" s="587"/>
      <c r="T27" s="587"/>
      <c r="U27" t="str">
        <f t="shared" si="2"/>
        <v/>
      </c>
      <c r="V27" s="139" t="str">
        <f t="shared" si="3"/>
        <v/>
      </c>
      <c r="W27" t="str">
        <f t="shared" si="4"/>
        <v/>
      </c>
      <c r="X27" t="str">
        <f t="shared" si="5"/>
        <v/>
      </c>
      <c r="Y27" t="str">
        <f t="shared" si="6"/>
        <v/>
      </c>
      <c r="Z27" s="587"/>
      <c r="AA27" s="587"/>
      <c r="AB27" s="587"/>
      <c r="AC27" s="587"/>
      <c r="AD27" s="587"/>
      <c r="AE27" s="587"/>
      <c r="AF27" s="587"/>
      <c r="AG27" s="587"/>
      <c r="AH27" s="587"/>
    </row>
    <row r="28">
      <c r="A28" s="609" t="s">
        <v>1357</v>
      </c>
      <c r="B28" s="31">
        <v>25.0</v>
      </c>
      <c r="C28" s="35" t="s">
        <v>6555</v>
      </c>
      <c r="D28" s="35" t="s">
        <v>9364</v>
      </c>
      <c r="E28" s="51" t="s">
        <v>53</v>
      </c>
      <c r="F28" s="631"/>
      <c r="G28" s="587" t="s">
        <v>781</v>
      </c>
      <c r="H28" s="587" t="s">
        <v>9280</v>
      </c>
      <c r="I28" s="587" t="s">
        <v>515</v>
      </c>
      <c r="J28" s="587" t="s">
        <v>519</v>
      </c>
      <c r="K28" s="587"/>
      <c r="L28" s="629"/>
      <c r="M28" s="88" t="str">
        <f t="shared" si="1"/>
        <v>jill.tolles@asm.state.nv.us</v>
      </c>
      <c r="N28" s="88"/>
      <c r="O28" s="629"/>
      <c r="P28" s="629"/>
      <c r="Q28" s="629"/>
      <c r="R28" s="88" t="s">
        <v>5228</v>
      </c>
      <c r="S28" s="587"/>
      <c r="T28" s="587"/>
      <c r="U28" t="str">
        <f t="shared" si="2"/>
        <v/>
      </c>
      <c r="V28" s="139" t="str">
        <f t="shared" si="3"/>
        <v/>
      </c>
      <c r="W28" t="str">
        <f t="shared" si="4"/>
        <v/>
      </c>
      <c r="X28" t="str">
        <f t="shared" si="5"/>
        <v/>
      </c>
      <c r="Y28" t="str">
        <f t="shared" si="6"/>
        <v/>
      </c>
      <c r="Z28" s="587"/>
      <c r="AA28" s="587"/>
      <c r="AB28" s="587"/>
      <c r="AC28" s="587"/>
      <c r="AD28" s="587"/>
      <c r="AE28" s="587"/>
      <c r="AF28" s="587"/>
      <c r="AG28" s="587"/>
      <c r="AH28" s="587"/>
    </row>
    <row r="29">
      <c r="A29" s="609" t="s">
        <v>1357</v>
      </c>
      <c r="B29" s="31">
        <v>26.0</v>
      </c>
      <c r="C29" s="35" t="s">
        <v>432</v>
      </c>
      <c r="D29" s="35" t="s">
        <v>9378</v>
      </c>
      <c r="E29" s="51" t="s">
        <v>53</v>
      </c>
      <c r="F29" s="627" t="s">
        <v>2004</v>
      </c>
      <c r="G29" s="587" t="s">
        <v>781</v>
      </c>
      <c r="H29" s="587" t="s">
        <v>601</v>
      </c>
      <c r="I29" s="587" t="s">
        <v>515</v>
      </c>
      <c r="J29" s="587" t="s">
        <v>519</v>
      </c>
      <c r="K29" s="587"/>
      <c r="L29" s="629"/>
      <c r="M29" s="88" t="str">
        <f t="shared" si="1"/>
        <v>lisa.krasner@asm.state.nv.us</v>
      </c>
      <c r="N29" s="630" t="str">
        <f>HYPERLINK("https://docs.google.com/document/d/1cHgFeWenzay-KlGhSBoBCiAu3dbvii2dXUDqACo6xM8/edit","Zero")</f>
        <v>Zero</v>
      </c>
      <c r="O29" s="629"/>
      <c r="P29" s="629"/>
      <c r="Q29" s="629"/>
      <c r="R29" s="88" t="s">
        <v>5228</v>
      </c>
      <c r="S29" s="587"/>
      <c r="T29" s="587"/>
      <c r="U29" t="str">
        <f t="shared" si="2"/>
        <v/>
      </c>
      <c r="V29" s="139" t="str">
        <f t="shared" si="3"/>
        <v/>
      </c>
      <c r="W29" t="str">
        <f t="shared" si="4"/>
        <v/>
      </c>
      <c r="X29" t="str">
        <f t="shared" si="5"/>
        <v/>
      </c>
      <c r="Y29" t="str">
        <f t="shared" si="6"/>
        <v/>
      </c>
      <c r="Z29" s="587"/>
      <c r="AA29" s="587"/>
      <c r="AB29" s="587"/>
      <c r="AC29" s="587"/>
      <c r="AD29" s="587"/>
      <c r="AE29" s="587"/>
      <c r="AF29" s="587"/>
      <c r="AG29" s="587"/>
      <c r="AH29" s="587"/>
    </row>
    <row r="30">
      <c r="A30" s="609" t="s">
        <v>1357</v>
      </c>
      <c r="B30" s="31">
        <v>27.0</v>
      </c>
      <c r="C30" s="35" t="s">
        <v>493</v>
      </c>
      <c r="D30" s="35" t="s">
        <v>9394</v>
      </c>
      <c r="E30" s="36" t="s">
        <v>49</v>
      </c>
      <c r="F30" s="627" t="s">
        <v>9396</v>
      </c>
      <c r="G30" s="609" t="s">
        <v>964</v>
      </c>
      <c r="H30" s="587" t="s">
        <v>519</v>
      </c>
      <c r="I30" s="587" t="s">
        <v>5687</v>
      </c>
      <c r="J30" s="587"/>
      <c r="K30" s="587"/>
      <c r="L30" s="629"/>
      <c r="M30" s="88" t="str">
        <f t="shared" si="1"/>
        <v>teresa.benitez-thompson@asm.state.nv.us</v>
      </c>
      <c r="N30" s="630" t="str">
        <f>HYPERLINK("https://docs.google.com/document/d/1yhQD5fleE-dcsrT1rxtlVEnP-nPfHAWm_ds9hhZ3DXU/edit","Zero")</f>
        <v>Zero</v>
      </c>
      <c r="O30" s="629"/>
      <c r="P30" s="629"/>
      <c r="Q30" s="629"/>
      <c r="R30" s="91" t="s">
        <v>5228</v>
      </c>
      <c r="S30" s="587"/>
      <c r="T30" s="587"/>
      <c r="U30" t="str">
        <f t="shared" si="2"/>
        <v>Senator</v>
      </c>
      <c r="V30" s="139" t="str">
        <f t="shared" si="3"/>
        <v>Teresa</v>
      </c>
      <c r="W30" t="str">
        <f t="shared" si="4"/>
        <v>Benitez-Thompson</v>
      </c>
      <c r="X30" t="str">
        <f t="shared" si="5"/>
        <v>teresa.benitez-thompson@asm.state.nv.us</v>
      </c>
      <c r="Y30" t="str">
        <f t="shared" si="6"/>
        <v>Majority Floor Leader </v>
      </c>
      <c r="Z30" s="587"/>
      <c r="AA30" s="587"/>
      <c r="AB30" s="587"/>
      <c r="AC30" s="587"/>
      <c r="AD30" s="587"/>
      <c r="AE30" s="587"/>
      <c r="AF30" s="587"/>
      <c r="AG30" s="587"/>
      <c r="AH30" s="587"/>
    </row>
    <row r="31">
      <c r="A31" s="609" t="s">
        <v>1357</v>
      </c>
      <c r="B31" s="31">
        <v>28.0</v>
      </c>
      <c r="C31" s="35" t="s">
        <v>9416</v>
      </c>
      <c r="D31" s="35" t="s">
        <v>3353</v>
      </c>
      <c r="E31" s="36" t="s">
        <v>49</v>
      </c>
      <c r="F31" s="631"/>
      <c r="G31" s="609" t="s">
        <v>9427</v>
      </c>
      <c r="H31" s="609" t="s">
        <v>888</v>
      </c>
      <c r="I31" s="587" t="s">
        <v>5687</v>
      </c>
      <c r="J31" s="587"/>
      <c r="K31" s="587"/>
      <c r="L31" s="629"/>
      <c r="M31" s="88" t="str">
        <f t="shared" si="1"/>
        <v>edgar.flores@asm.state.nv.us</v>
      </c>
      <c r="N31" s="88"/>
      <c r="O31" s="629"/>
      <c r="P31" s="629"/>
      <c r="Q31" s="629"/>
      <c r="R31" s="91" t="s">
        <v>9197</v>
      </c>
      <c r="S31" s="587"/>
      <c r="T31" s="587"/>
      <c r="U31" t="str">
        <f t="shared" si="2"/>
        <v/>
      </c>
      <c r="V31" s="139" t="str">
        <f t="shared" si="3"/>
        <v/>
      </c>
      <c r="W31" t="str">
        <f t="shared" si="4"/>
        <v/>
      </c>
      <c r="X31" t="str">
        <f t="shared" si="5"/>
        <v/>
      </c>
      <c r="Y31" t="str">
        <f t="shared" si="6"/>
        <v/>
      </c>
      <c r="Z31" s="587"/>
      <c r="AA31" s="587"/>
      <c r="AB31" s="587"/>
      <c r="AC31" s="587"/>
      <c r="AD31" s="587"/>
      <c r="AE31" s="587"/>
      <c r="AF31" s="587"/>
      <c r="AG31" s="587"/>
      <c r="AH31" s="587"/>
    </row>
    <row r="32">
      <c r="A32" s="609" t="s">
        <v>1357</v>
      </c>
      <c r="B32" s="31">
        <v>29.0</v>
      </c>
      <c r="C32" s="35" t="s">
        <v>6425</v>
      </c>
      <c r="D32" s="35" t="s">
        <v>2878</v>
      </c>
      <c r="E32" s="36" t="s">
        <v>49</v>
      </c>
      <c r="F32" s="631"/>
      <c r="G32" s="609" t="s">
        <v>517</v>
      </c>
      <c r="H32" s="587" t="s">
        <v>9330</v>
      </c>
      <c r="I32" s="609" t="s">
        <v>9446</v>
      </c>
      <c r="J32" s="587"/>
      <c r="K32" s="587"/>
      <c r="L32" s="629"/>
      <c r="M32" s="88" t="str">
        <f t="shared" si="1"/>
        <v>lesley.cohen@asm.state.nv.us</v>
      </c>
      <c r="N32" s="88"/>
      <c r="O32" s="629"/>
      <c r="P32" s="629"/>
      <c r="Q32" s="629"/>
      <c r="R32" s="88" t="s">
        <v>2092</v>
      </c>
      <c r="S32" s="587"/>
      <c r="T32" s="587"/>
      <c r="U32" t="str">
        <f t="shared" si="2"/>
        <v>Senator</v>
      </c>
      <c r="V32" s="139" t="str">
        <f t="shared" si="3"/>
        <v>Lesley</v>
      </c>
      <c r="W32" t="str">
        <f t="shared" si="4"/>
        <v>Cohen</v>
      </c>
      <c r="X32" t="str">
        <f t="shared" si="5"/>
        <v>lesley.cohen@asm.state.nv.us</v>
      </c>
      <c r="Y32" t="str">
        <f t="shared" si="6"/>
        <v>Judiciary (Vice Chair)</v>
      </c>
      <c r="Z32" s="587"/>
      <c r="AA32" s="587"/>
      <c r="AB32" s="587"/>
      <c r="AC32" s="587"/>
      <c r="AD32" s="587"/>
      <c r="AE32" s="587"/>
      <c r="AF32" s="587"/>
      <c r="AG32" s="587"/>
      <c r="AH32" s="587"/>
    </row>
    <row r="33">
      <c r="A33" s="609" t="s">
        <v>1357</v>
      </c>
      <c r="B33" s="31">
        <v>30.0</v>
      </c>
      <c r="C33" s="35" t="s">
        <v>2490</v>
      </c>
      <c r="D33" s="35" t="s">
        <v>9464</v>
      </c>
      <c r="E33" s="36" t="s">
        <v>49</v>
      </c>
      <c r="F33" s="627" t="s">
        <v>1188</v>
      </c>
      <c r="G33" s="587" t="s">
        <v>592</v>
      </c>
      <c r="H33" s="609" t="s">
        <v>863</v>
      </c>
      <c r="I33" s="587" t="s">
        <v>9319</v>
      </c>
      <c r="J33" s="587" t="s">
        <v>519</v>
      </c>
      <c r="K33" s="587"/>
      <c r="L33" s="629"/>
      <c r="M33" s="88" t="str">
        <f t="shared" si="1"/>
        <v>michael.sprinkle@asm.state.nv.us</v>
      </c>
      <c r="N33" s="630" t="str">
        <f>HYPERLINK("https://docs.google.com/document/d/1ZRtoUNoRN_WmACF3xDWPTY5td_80-FAqr5ZQlLbJgvQ/edit#heading=h.ukawe30im1h","Zero")</f>
        <v>Zero</v>
      </c>
      <c r="O33" s="629"/>
      <c r="P33" s="629"/>
      <c r="Q33" s="629"/>
      <c r="R33" s="91" t="s">
        <v>8438</v>
      </c>
      <c r="S33" s="587"/>
      <c r="T33" s="587"/>
      <c r="U33" t="str">
        <f t="shared" si="2"/>
        <v>Senator</v>
      </c>
      <c r="V33" s="139" t="str">
        <f t="shared" si="3"/>
        <v>Michael</v>
      </c>
      <c r="W33" t="str">
        <f t="shared" si="4"/>
        <v>Sprinkle</v>
      </c>
      <c r="X33" t="str">
        <f t="shared" si="5"/>
        <v>michael.sprinkle@asm.state.nv.us</v>
      </c>
      <c r="Y33" t="str">
        <f t="shared" si="6"/>
        <v>Majority Whip</v>
      </c>
      <c r="Z33" s="587"/>
      <c r="AA33" s="587"/>
      <c r="AB33" s="587"/>
      <c r="AC33" s="587"/>
      <c r="AD33" s="587"/>
      <c r="AE33" s="587"/>
      <c r="AF33" s="587"/>
      <c r="AG33" s="587"/>
      <c r="AH33" s="587"/>
    </row>
    <row r="34">
      <c r="A34" s="609" t="s">
        <v>1357</v>
      </c>
      <c r="B34" s="31">
        <v>31.0</v>
      </c>
      <c r="C34" s="35" t="s">
        <v>9488</v>
      </c>
      <c r="D34" s="35" t="s">
        <v>1909</v>
      </c>
      <c r="E34" s="36" t="s">
        <v>49</v>
      </c>
      <c r="F34" s="631"/>
      <c r="G34" s="587" t="s">
        <v>781</v>
      </c>
      <c r="H34" s="587" t="s">
        <v>9280</v>
      </c>
      <c r="I34" s="587" t="s">
        <v>9061</v>
      </c>
      <c r="J34" s="587" t="s">
        <v>519</v>
      </c>
      <c r="K34" s="587"/>
      <c r="L34" s="629"/>
      <c r="M34" s="88" t="str">
        <f t="shared" si="1"/>
        <v>skip.daly@asm.state.nv.us</v>
      </c>
      <c r="N34" s="88"/>
      <c r="O34" s="629"/>
      <c r="P34" s="629"/>
      <c r="Q34" s="629"/>
      <c r="R34" s="88" t="s">
        <v>8438</v>
      </c>
      <c r="S34" s="587"/>
      <c r="T34" s="587"/>
      <c r="U34" t="str">
        <f t="shared" si="2"/>
        <v/>
      </c>
      <c r="V34" s="139" t="str">
        <f t="shared" si="3"/>
        <v/>
      </c>
      <c r="W34" t="str">
        <f t="shared" si="4"/>
        <v/>
      </c>
      <c r="X34" t="str">
        <f t="shared" si="5"/>
        <v/>
      </c>
      <c r="Y34" t="str">
        <f t="shared" si="6"/>
        <v/>
      </c>
      <c r="Z34" s="587"/>
      <c r="AA34" s="587"/>
      <c r="AB34" s="587"/>
      <c r="AC34" s="587"/>
      <c r="AD34" s="587"/>
      <c r="AE34" s="587"/>
      <c r="AF34" s="587"/>
      <c r="AG34" s="587"/>
      <c r="AH34" s="587"/>
    </row>
    <row r="35">
      <c r="A35" s="609" t="s">
        <v>1357</v>
      </c>
      <c r="B35" s="31">
        <v>32.0</v>
      </c>
      <c r="C35" s="35" t="s">
        <v>9506</v>
      </c>
      <c r="D35" s="35" t="s">
        <v>1653</v>
      </c>
      <c r="E35" s="51" t="s">
        <v>53</v>
      </c>
      <c r="F35" s="631"/>
      <c r="G35" s="587" t="s">
        <v>781</v>
      </c>
      <c r="H35" s="587" t="s">
        <v>515</v>
      </c>
      <c r="I35" s="587" t="s">
        <v>9330</v>
      </c>
      <c r="J35" s="587" t="s">
        <v>519</v>
      </c>
      <c r="K35" s="587"/>
      <c r="L35" s="629"/>
      <c r="M35" s="88" t="str">
        <f t="shared" si="1"/>
        <v>alexis.hansen@asm.state.nv.us</v>
      </c>
      <c r="N35" s="88"/>
      <c r="O35" s="629"/>
      <c r="P35" s="629"/>
      <c r="Q35" s="629"/>
      <c r="R35" s="91" t="s">
        <v>8438</v>
      </c>
      <c r="S35" s="587"/>
      <c r="T35" s="587"/>
      <c r="U35" t="str">
        <f t="shared" si="2"/>
        <v/>
      </c>
      <c r="V35" s="139" t="str">
        <f t="shared" si="3"/>
        <v/>
      </c>
      <c r="W35" t="str">
        <f t="shared" si="4"/>
        <v/>
      </c>
      <c r="X35" t="str">
        <f t="shared" si="5"/>
        <v/>
      </c>
      <c r="Y35" t="str">
        <f t="shared" si="6"/>
        <v/>
      </c>
      <c r="Z35" s="587"/>
      <c r="AA35" s="587"/>
      <c r="AB35" s="587"/>
      <c r="AC35" s="587"/>
      <c r="AD35" s="587"/>
      <c r="AE35" s="587"/>
      <c r="AF35" s="587"/>
      <c r="AG35" s="587"/>
      <c r="AH35" s="587"/>
    </row>
    <row r="36">
      <c r="A36" s="609" t="s">
        <v>1357</v>
      </c>
      <c r="B36" s="31">
        <v>33.0</v>
      </c>
      <c r="C36" s="35" t="s">
        <v>278</v>
      </c>
      <c r="D36" s="35" t="s">
        <v>7113</v>
      </c>
      <c r="E36" s="51" t="s">
        <v>53</v>
      </c>
      <c r="F36" s="627" t="s">
        <v>9528</v>
      </c>
      <c r="G36" s="587" t="s">
        <v>9265</v>
      </c>
      <c r="H36" s="587" t="s">
        <v>9319</v>
      </c>
      <c r="I36" s="587" t="s">
        <v>9330</v>
      </c>
      <c r="J36" s="587" t="s">
        <v>519</v>
      </c>
      <c r="K36" s="587"/>
      <c r="L36" s="629"/>
      <c r="M36" s="88" t="str">
        <f t="shared" si="1"/>
        <v>john.ellison@asm.state.nv.us</v>
      </c>
      <c r="N36" s="224" t="s">
        <v>9532</v>
      </c>
      <c r="O36" s="629"/>
      <c r="P36" s="629"/>
      <c r="Q36" s="629"/>
      <c r="R36" s="91" t="s">
        <v>9533</v>
      </c>
      <c r="S36" s="587"/>
      <c r="T36" s="587"/>
      <c r="U36" t="str">
        <f t="shared" si="2"/>
        <v/>
      </c>
      <c r="V36" s="139" t="str">
        <f t="shared" si="3"/>
        <v/>
      </c>
      <c r="W36" t="str">
        <f t="shared" si="4"/>
        <v/>
      </c>
      <c r="X36" t="str">
        <f t="shared" si="5"/>
        <v/>
      </c>
      <c r="Y36" t="str">
        <f t="shared" si="6"/>
        <v/>
      </c>
      <c r="Z36" s="587"/>
      <c r="AA36" s="587"/>
      <c r="AB36" s="587"/>
      <c r="AC36" s="587"/>
      <c r="AD36" s="587"/>
      <c r="AE36" s="587"/>
      <c r="AF36" s="587"/>
      <c r="AG36" s="587"/>
      <c r="AH36" s="587"/>
    </row>
    <row r="37">
      <c r="A37" s="609" t="s">
        <v>1357</v>
      </c>
      <c r="B37" s="31">
        <v>34.0</v>
      </c>
      <c r="C37" s="35" t="s">
        <v>1891</v>
      </c>
      <c r="D37" s="35" t="s">
        <v>9564</v>
      </c>
      <c r="E37" s="36" t="s">
        <v>49</v>
      </c>
      <c r="F37" s="631"/>
      <c r="G37" s="587" t="s">
        <v>9265</v>
      </c>
      <c r="H37" s="587" t="s">
        <v>9319</v>
      </c>
      <c r="I37" s="609" t="s">
        <v>9344</v>
      </c>
      <c r="J37" s="587" t="s">
        <v>519</v>
      </c>
      <c r="K37" s="587"/>
      <c r="L37" s="629"/>
      <c r="M37" s="88" t="str">
        <f t="shared" si="1"/>
        <v>shannon.bilbray-axelrod@asm.state.nv.us</v>
      </c>
      <c r="N37" s="88"/>
      <c r="O37" s="629"/>
      <c r="P37" s="629"/>
      <c r="Q37" s="629"/>
      <c r="R37" s="88" t="s">
        <v>9197</v>
      </c>
      <c r="S37" s="587"/>
      <c r="T37" s="587"/>
      <c r="U37" t="str">
        <f t="shared" si="2"/>
        <v/>
      </c>
      <c r="V37" s="139" t="str">
        <f t="shared" si="3"/>
        <v/>
      </c>
      <c r="W37" t="str">
        <f t="shared" si="4"/>
        <v/>
      </c>
      <c r="X37" t="str">
        <f t="shared" si="5"/>
        <v/>
      </c>
      <c r="Y37" t="str">
        <f t="shared" si="6"/>
        <v/>
      </c>
      <c r="Z37" s="587"/>
      <c r="AA37" s="587"/>
      <c r="AB37" s="587"/>
      <c r="AC37" s="587"/>
      <c r="AD37" s="587"/>
      <c r="AE37" s="587"/>
      <c r="AF37" s="587"/>
      <c r="AG37" s="587"/>
      <c r="AH37" s="587"/>
    </row>
    <row r="38">
      <c r="A38" s="609" t="s">
        <v>1357</v>
      </c>
      <c r="B38" s="31">
        <v>35.0</v>
      </c>
      <c r="C38" s="35" t="s">
        <v>22</v>
      </c>
      <c r="D38" s="35" t="s">
        <v>9581</v>
      </c>
      <c r="E38" s="36" t="s">
        <v>49</v>
      </c>
      <c r="F38" s="631"/>
      <c r="G38" s="587" t="s">
        <v>9265</v>
      </c>
      <c r="H38" s="587" t="s">
        <v>601</v>
      </c>
      <c r="I38" s="587" t="s">
        <v>515</v>
      </c>
      <c r="J38" s="587" t="s">
        <v>519</v>
      </c>
      <c r="K38" s="587"/>
      <c r="L38" s="629"/>
      <c r="M38" s="88" t="str">
        <f t="shared" si="1"/>
        <v>michelle.gorelow@asm.state.nv.us</v>
      </c>
      <c r="N38" s="88"/>
      <c r="O38" s="629"/>
      <c r="P38" s="629"/>
      <c r="Q38" s="629"/>
      <c r="R38" s="88" t="s">
        <v>9197</v>
      </c>
      <c r="S38" s="587"/>
      <c r="T38" s="587"/>
      <c r="U38" t="str">
        <f t="shared" si="2"/>
        <v/>
      </c>
      <c r="V38" s="139" t="str">
        <f t="shared" si="3"/>
        <v/>
      </c>
      <c r="W38" t="str">
        <f t="shared" si="4"/>
        <v/>
      </c>
      <c r="X38" t="str">
        <f t="shared" si="5"/>
        <v/>
      </c>
      <c r="Y38" t="str">
        <f t="shared" si="6"/>
        <v/>
      </c>
      <c r="Z38" s="587"/>
      <c r="AA38" s="587"/>
      <c r="AB38" s="587"/>
      <c r="AC38" s="587"/>
      <c r="AD38" s="587"/>
      <c r="AE38" s="587"/>
      <c r="AF38" s="587"/>
      <c r="AG38" s="587"/>
      <c r="AH38" s="587"/>
    </row>
    <row r="39">
      <c r="A39" s="609" t="s">
        <v>1357</v>
      </c>
      <c r="B39" s="31">
        <v>36.0</v>
      </c>
      <c r="C39" s="38" t="s">
        <v>9585</v>
      </c>
      <c r="D39" s="38" t="s">
        <v>9586</v>
      </c>
      <c r="E39" s="98" t="s">
        <v>53</v>
      </c>
      <c r="F39" s="631"/>
      <c r="G39" s="587"/>
      <c r="H39" s="587" t="s">
        <v>519</v>
      </c>
      <c r="I39" s="587" t="s">
        <v>519</v>
      </c>
      <c r="J39" s="587" t="s">
        <v>519</v>
      </c>
      <c r="K39" s="587"/>
      <c r="L39" s="629"/>
      <c r="M39" s="88" t="str">
        <f t="shared" si="1"/>
        <v>dennis .hof@asm.state.nv.us</v>
      </c>
      <c r="N39" s="88"/>
      <c r="O39" s="629"/>
      <c r="P39" s="629"/>
      <c r="Q39" s="629"/>
      <c r="R39" s="91" t="s">
        <v>9588</v>
      </c>
      <c r="S39" s="587"/>
      <c r="T39" s="587"/>
      <c r="U39" t="str">
        <f t="shared" si="2"/>
        <v/>
      </c>
      <c r="V39" s="139" t="str">
        <f t="shared" si="3"/>
        <v/>
      </c>
      <c r="W39" t="str">
        <f t="shared" si="4"/>
        <v/>
      </c>
      <c r="X39" t="str">
        <f t="shared" si="5"/>
        <v/>
      </c>
      <c r="Y39" t="str">
        <f t="shared" si="6"/>
        <v/>
      </c>
      <c r="Z39" s="587"/>
      <c r="AA39" s="587"/>
      <c r="AB39" s="587"/>
      <c r="AC39" s="587"/>
      <c r="AD39" s="587"/>
      <c r="AE39" s="587"/>
      <c r="AF39" s="587"/>
      <c r="AG39" s="587"/>
      <c r="AH39" s="587"/>
    </row>
    <row r="40">
      <c r="A40" s="609" t="s">
        <v>1357</v>
      </c>
      <c r="B40" s="31">
        <v>37.0</v>
      </c>
      <c r="C40" s="35" t="s">
        <v>9599</v>
      </c>
      <c r="D40" s="35" t="s">
        <v>9600</v>
      </c>
      <c r="E40" s="36" t="s">
        <v>49</v>
      </c>
      <c r="F40" s="631"/>
      <c r="G40" s="587" t="s">
        <v>781</v>
      </c>
      <c r="H40" s="587" t="s">
        <v>9319</v>
      </c>
      <c r="I40" s="587" t="s">
        <v>5687</v>
      </c>
      <c r="J40" s="587"/>
      <c r="K40" s="587"/>
      <c r="L40" s="629"/>
      <c r="M40" s="88" t="str">
        <f t="shared" si="1"/>
        <v>shea.backus@asm.state.nv.us</v>
      </c>
      <c r="N40" s="88"/>
      <c r="O40" s="629"/>
      <c r="P40" s="629"/>
      <c r="Q40" s="629"/>
      <c r="R40" s="88" t="s">
        <v>9197</v>
      </c>
      <c r="S40" s="587"/>
      <c r="T40" s="587"/>
      <c r="U40" t="str">
        <f t="shared" si="2"/>
        <v/>
      </c>
      <c r="V40" s="139" t="str">
        <f t="shared" si="3"/>
        <v/>
      </c>
      <c r="W40" t="str">
        <f t="shared" si="4"/>
        <v/>
      </c>
      <c r="X40" t="str">
        <f t="shared" si="5"/>
        <v/>
      </c>
      <c r="Y40" t="str">
        <f t="shared" si="6"/>
        <v/>
      </c>
      <c r="Z40" s="587"/>
      <c r="AA40" s="587"/>
      <c r="AB40" s="587"/>
      <c r="AC40" s="587"/>
      <c r="AD40" s="587"/>
      <c r="AE40" s="587"/>
      <c r="AF40" s="587"/>
      <c r="AG40" s="587"/>
      <c r="AH40" s="587"/>
    </row>
    <row r="41">
      <c r="A41" s="609" t="s">
        <v>1357</v>
      </c>
      <c r="B41" s="31">
        <v>38.0</v>
      </c>
      <c r="C41" s="35" t="s">
        <v>1651</v>
      </c>
      <c r="D41" s="35" t="s">
        <v>9601</v>
      </c>
      <c r="E41" s="51" t="s">
        <v>53</v>
      </c>
      <c r="F41" s="627" t="s">
        <v>9602</v>
      </c>
      <c r="G41" s="587" t="s">
        <v>592</v>
      </c>
      <c r="H41" s="587" t="s">
        <v>601</v>
      </c>
      <c r="I41" s="587" t="s">
        <v>9330</v>
      </c>
      <c r="J41" s="587" t="s">
        <v>519</v>
      </c>
      <c r="K41" s="587"/>
      <c r="L41" s="629"/>
      <c r="M41" s="88" t="str">
        <f t="shared" si="1"/>
        <v>robin.titus@asm.state.nv.us</v>
      </c>
      <c r="N41" s="630" t="str">
        <f>HYPERLINK("https://docs.google.com/document/d/1bN4RB39AvskQGJci18WtZUYFnm2sv13z_zEE3rn9hII/edit","Zero")</f>
        <v>Zero</v>
      </c>
      <c r="O41" s="629"/>
      <c r="P41" s="629"/>
      <c r="Q41" s="629"/>
      <c r="R41" s="91" t="s">
        <v>9603</v>
      </c>
      <c r="S41" s="587"/>
      <c r="T41" s="587"/>
      <c r="U41" t="str">
        <f t="shared" si="2"/>
        <v/>
      </c>
      <c r="V41" s="139" t="str">
        <f t="shared" si="3"/>
        <v/>
      </c>
      <c r="W41" t="str">
        <f t="shared" si="4"/>
        <v/>
      </c>
      <c r="X41" t="str">
        <f t="shared" si="5"/>
        <v/>
      </c>
      <c r="Y41" t="str">
        <f t="shared" si="6"/>
        <v/>
      </c>
      <c r="Z41" s="587"/>
      <c r="AA41" s="587"/>
      <c r="AB41" s="587"/>
      <c r="AC41" s="587"/>
      <c r="AD41" s="587"/>
      <c r="AE41" s="587"/>
      <c r="AF41" s="587"/>
      <c r="AG41" s="587"/>
      <c r="AH41" s="587"/>
    </row>
    <row r="42">
      <c r="A42" s="609" t="s">
        <v>1357</v>
      </c>
      <c r="B42" s="31">
        <v>39.0</v>
      </c>
      <c r="C42" s="35" t="s">
        <v>476</v>
      </c>
      <c r="D42" s="35" t="s">
        <v>474</v>
      </c>
      <c r="E42" s="51" t="s">
        <v>53</v>
      </c>
      <c r="F42" s="627" t="s">
        <v>3469</v>
      </c>
      <c r="G42" s="587" t="s">
        <v>592</v>
      </c>
      <c r="H42" s="587" t="s">
        <v>9319</v>
      </c>
      <c r="I42" s="587" t="s">
        <v>9330</v>
      </c>
      <c r="J42" s="587" t="s">
        <v>519</v>
      </c>
      <c r="K42" s="587"/>
      <c r="L42" s="629"/>
      <c r="M42" s="88" t="str">
        <f t="shared" si="1"/>
        <v>jim.wheeler@asm.state.nv.us</v>
      </c>
      <c r="N42" s="630" t="str">
        <f>HYPERLINK("https://docs.google.com/document/d/1kTaX7EYnxZ-47YKgn5-eJ4yUJRcK1dUZWUfz_79QgWQ/edit","Zero")</f>
        <v>Zero</v>
      </c>
      <c r="O42" s="629"/>
      <c r="P42" s="629"/>
      <c r="Q42" s="629"/>
      <c r="R42" s="91" t="s">
        <v>9604</v>
      </c>
      <c r="S42" s="587"/>
      <c r="T42" s="587"/>
      <c r="U42" t="str">
        <f t="shared" si="2"/>
        <v/>
      </c>
      <c r="V42" s="139" t="str">
        <f t="shared" si="3"/>
        <v/>
      </c>
      <c r="W42" t="str">
        <f t="shared" si="4"/>
        <v/>
      </c>
      <c r="X42" t="str">
        <f t="shared" si="5"/>
        <v/>
      </c>
      <c r="Y42" t="str">
        <f t="shared" si="6"/>
        <v/>
      </c>
      <c r="Z42" s="587"/>
      <c r="AA42" s="587"/>
      <c r="AB42" s="587"/>
      <c r="AC42" s="587"/>
      <c r="AD42" s="587"/>
      <c r="AE42" s="587"/>
      <c r="AF42" s="587"/>
      <c r="AG42" s="587"/>
      <c r="AH42" s="587"/>
    </row>
    <row r="43">
      <c r="A43" s="609" t="s">
        <v>1357</v>
      </c>
      <c r="B43" s="31">
        <v>40.0</v>
      </c>
      <c r="C43" s="35" t="s">
        <v>1874</v>
      </c>
      <c r="D43" s="35" t="s">
        <v>6516</v>
      </c>
      <c r="E43" s="51" t="s">
        <v>53</v>
      </c>
      <c r="F43" s="631"/>
      <c r="G43" s="587" t="s">
        <v>592</v>
      </c>
      <c r="H43" s="587" t="s">
        <v>9280</v>
      </c>
      <c r="I43" s="587" t="s">
        <v>5687</v>
      </c>
      <c r="J43" s="587"/>
      <c r="K43" s="587"/>
      <c r="L43" s="629"/>
      <c r="M43" s="88" t="str">
        <f t="shared" si="1"/>
        <v>al.kramer@asm.state.nv.us</v>
      </c>
      <c r="N43" s="88"/>
      <c r="O43" s="629"/>
      <c r="P43" s="629"/>
      <c r="Q43" s="629"/>
      <c r="R43" s="91" t="s">
        <v>9606</v>
      </c>
      <c r="S43" s="587"/>
      <c r="T43" s="587"/>
      <c r="U43" t="str">
        <f t="shared" si="2"/>
        <v/>
      </c>
      <c r="V43" s="139" t="str">
        <f t="shared" si="3"/>
        <v/>
      </c>
      <c r="W43" t="str">
        <f t="shared" si="4"/>
        <v/>
      </c>
      <c r="X43" t="str">
        <f t="shared" si="5"/>
        <v/>
      </c>
      <c r="Y43" t="str">
        <f t="shared" si="6"/>
        <v/>
      </c>
      <c r="Z43" s="587"/>
      <c r="AA43" s="587"/>
      <c r="AB43" s="587"/>
      <c r="AC43" s="587"/>
      <c r="AD43" s="587"/>
      <c r="AE43" s="587"/>
      <c r="AF43" s="587"/>
      <c r="AG43" s="587"/>
      <c r="AH43" s="587"/>
    </row>
    <row r="44">
      <c r="A44" s="609" t="s">
        <v>1357</v>
      </c>
      <c r="B44" s="31">
        <v>41.0</v>
      </c>
      <c r="C44" s="35" t="s">
        <v>3576</v>
      </c>
      <c r="D44" s="35" t="s">
        <v>9607</v>
      </c>
      <c r="E44" s="36" t="s">
        <v>49</v>
      </c>
      <c r="F44" s="631"/>
      <c r="G44" s="587" t="s">
        <v>592</v>
      </c>
      <c r="H44" s="587" t="s">
        <v>9280</v>
      </c>
      <c r="I44" s="609" t="s">
        <v>9608</v>
      </c>
      <c r="J44" s="587" t="s">
        <v>519</v>
      </c>
      <c r="K44" s="587"/>
      <c r="L44" s="629"/>
      <c r="M44" s="88" t="str">
        <f t="shared" si="1"/>
        <v>sandra.jauregui@asm.state.nv.us</v>
      </c>
      <c r="N44" s="88"/>
      <c r="O44" s="629"/>
      <c r="P44" s="629"/>
      <c r="Q44" s="629"/>
      <c r="R44" s="88" t="s">
        <v>9197</v>
      </c>
      <c r="S44" s="587"/>
      <c r="T44" s="587"/>
      <c r="U44" t="str">
        <f t="shared" si="2"/>
        <v/>
      </c>
      <c r="V44" s="139" t="str">
        <f t="shared" si="3"/>
        <v/>
      </c>
      <c r="W44" t="str">
        <f t="shared" si="4"/>
        <v/>
      </c>
      <c r="X44" t="str">
        <f t="shared" si="5"/>
        <v/>
      </c>
      <c r="Y44" t="str">
        <f t="shared" si="6"/>
        <v/>
      </c>
      <c r="Z44" s="587"/>
      <c r="AA44" s="587"/>
      <c r="AB44" s="587"/>
      <c r="AC44" s="587"/>
      <c r="AD44" s="587"/>
      <c r="AE44" s="587"/>
      <c r="AF44" s="587"/>
      <c r="AG44" s="587"/>
      <c r="AH44" s="587"/>
    </row>
    <row r="45">
      <c r="A45" s="609" t="s">
        <v>1357</v>
      </c>
      <c r="B45" s="31">
        <v>42.0</v>
      </c>
      <c r="C45" s="35" t="s">
        <v>505</v>
      </c>
      <c r="D45" s="35" t="s">
        <v>9609</v>
      </c>
      <c r="E45" s="36" t="s">
        <v>49</v>
      </c>
      <c r="F45" s="631"/>
      <c r="G45" s="587" t="s">
        <v>9265</v>
      </c>
      <c r="H45" s="587" t="s">
        <v>601</v>
      </c>
      <c r="I45" s="587" t="s">
        <v>9330</v>
      </c>
      <c r="J45" s="587" t="s">
        <v>519</v>
      </c>
      <c r="K45" s="587"/>
      <c r="L45" s="629"/>
      <c r="M45" s="88" t="str">
        <f t="shared" si="1"/>
        <v>alexander.assefa@asm.state.nv.us</v>
      </c>
      <c r="N45" s="88"/>
      <c r="O45" s="629"/>
      <c r="P45" s="629"/>
      <c r="Q45" s="629"/>
      <c r="R45" s="91" t="s">
        <v>9610</v>
      </c>
      <c r="S45" s="587"/>
      <c r="T45" s="587"/>
      <c r="U45" t="str">
        <f t="shared" si="2"/>
        <v/>
      </c>
      <c r="V45" s="139" t="str">
        <f t="shared" si="3"/>
        <v/>
      </c>
      <c r="W45" t="str">
        <f t="shared" si="4"/>
        <v/>
      </c>
      <c r="X45" t="str">
        <f t="shared" si="5"/>
        <v/>
      </c>
      <c r="Y45" t="str">
        <f t="shared" si="6"/>
        <v/>
      </c>
      <c r="Z45" s="587"/>
      <c r="AA45" s="587"/>
      <c r="AB45" s="587"/>
      <c r="AC45" s="587"/>
      <c r="AD45" s="587"/>
      <c r="AE45" s="587"/>
      <c r="AF45" s="587"/>
      <c r="AG45" s="587"/>
      <c r="AH45" s="587"/>
    </row>
    <row r="46">
      <c r="A46" s="604"/>
      <c r="B46" s="604"/>
      <c r="C46" s="641"/>
      <c r="D46" s="641"/>
      <c r="E46" s="604"/>
      <c r="F46" s="642"/>
      <c r="G46" s="604"/>
      <c r="H46" s="604"/>
      <c r="I46" s="604"/>
      <c r="J46" s="604"/>
      <c r="K46" s="604"/>
      <c r="L46" s="604"/>
      <c r="M46" s="604"/>
      <c r="N46" s="604"/>
      <c r="O46" s="604"/>
      <c r="P46" s="604"/>
      <c r="Q46" s="604"/>
      <c r="R46" s="604"/>
      <c r="S46" s="604"/>
      <c r="T46" s="604"/>
      <c r="U46" s="604"/>
      <c r="V46" s="604"/>
      <c r="W46" s="604"/>
      <c r="X46" s="604"/>
      <c r="Y46" s="604"/>
      <c r="Z46" s="604"/>
      <c r="AA46" s="604"/>
      <c r="AB46" s="604"/>
      <c r="AC46" s="604"/>
      <c r="AD46" s="604"/>
      <c r="AE46" s="604"/>
      <c r="AF46" s="604"/>
      <c r="AG46" s="604"/>
      <c r="AH46" s="604"/>
    </row>
    <row r="47">
      <c r="A47" s="609" t="s">
        <v>286</v>
      </c>
      <c r="B47" s="45">
        <v>1.0</v>
      </c>
      <c r="C47" s="35" t="s">
        <v>2570</v>
      </c>
      <c r="D47" s="35" t="s">
        <v>9380</v>
      </c>
      <c r="E47" s="36" t="s">
        <v>49</v>
      </c>
      <c r="F47" s="627" t="s">
        <v>1630</v>
      </c>
      <c r="G47" s="609" t="s">
        <v>9611</v>
      </c>
      <c r="H47" s="609" t="s">
        <v>515</v>
      </c>
      <c r="I47" s="609" t="s">
        <v>3002</v>
      </c>
      <c r="J47" s="587"/>
      <c r="K47" s="587"/>
      <c r="L47" s="629"/>
      <c r="M47" s="88" t="str">
        <f t="shared" ref="M47:M67" si="7">Concatenate(Lower(C47),".",Lower(D47),"@sen.state.nv.us")</f>
        <v>pat.spearman@sen.state.nv.us</v>
      </c>
      <c r="N47" s="630" t="str">
        <f>HYPERLINK("https://docs.google.com/document/d/1mxvTUlojLy1olYBMjXHFs5ANiM5qX9l3VfyO3yee9nE/edit","Zero")</f>
        <v>Zero</v>
      </c>
      <c r="O47" s="629"/>
      <c r="P47" s="629"/>
      <c r="Q47" s="629"/>
      <c r="R47" s="91" t="s">
        <v>9098</v>
      </c>
      <c r="S47" s="587"/>
      <c r="T47" s="587"/>
      <c r="U47" t="str">
        <f t="shared" ref="U47:U67" si="8">if(V47="","",if(A47="House","Representative","Senator"))</f>
        <v>Senator</v>
      </c>
      <c r="V47" s="139" t="str">
        <f t="shared" ref="V47:V67" si="9">if(AND(not(isblank($F47)),not(isnumber(search("minority",$F47)))),$C47,if(or(isnumber(search("Judiciary (Chair)",$G47)),isnumber(search("Judiciary (Vice Chair)",$G47))),$C47,""))</f>
        <v>Pat</v>
      </c>
      <c r="W47" t="str">
        <f t="shared" ref="W47:W67" si="10">if(V47="","",D47)</f>
        <v>Spearman</v>
      </c>
      <c r="X47" t="str">
        <f t="shared" ref="X47:X67" si="11">if(W47="","",M47)</f>
        <v>pat.spearman@sen.state.nv.us</v>
      </c>
      <c r="Y47" t="str">
        <f t="shared" ref="Y47:Y67" si="12">if(X47="","",if(isblank($F47),$G47,$F47))</f>
        <v>Co-Majority Whip</v>
      </c>
      <c r="Z47" s="587"/>
      <c r="AA47" s="587"/>
      <c r="AB47" s="587"/>
      <c r="AC47" s="587"/>
      <c r="AD47" s="587"/>
      <c r="AE47" s="587"/>
      <c r="AF47" s="587"/>
      <c r="AG47" s="587"/>
      <c r="AH47" s="587"/>
    </row>
    <row r="48">
      <c r="A48" s="609" t="s">
        <v>286</v>
      </c>
      <c r="B48" s="45">
        <v>2.0</v>
      </c>
      <c r="C48" s="35" t="s">
        <v>1140</v>
      </c>
      <c r="D48" s="35" t="s">
        <v>9615</v>
      </c>
      <c r="E48" s="36" t="s">
        <v>49</v>
      </c>
      <c r="F48" s="627" t="s">
        <v>9616</v>
      </c>
      <c r="G48" s="609" t="s">
        <v>1047</v>
      </c>
      <c r="H48" s="609" t="s">
        <v>1264</v>
      </c>
      <c r="I48" s="609" t="s">
        <v>9617</v>
      </c>
      <c r="J48" s="587"/>
      <c r="K48" s="587"/>
      <c r="L48" s="629"/>
      <c r="M48" s="88" t="str">
        <f t="shared" si="7"/>
        <v>mo.denis@sen.state.nv.us</v>
      </c>
      <c r="N48" s="630" t="str">
        <f>HYPERLINK("https://docs.google.com/document/d/1uKdXBuFP-b8hyNLX0v3vE698XCzxmXWKJOjk_0Qol4w/edit","Zero")</f>
        <v>Zero</v>
      </c>
      <c r="O48" s="629"/>
      <c r="P48" s="629"/>
      <c r="Q48" s="629"/>
      <c r="R48" s="91" t="s">
        <v>9197</v>
      </c>
      <c r="S48" s="587"/>
      <c r="T48" s="587"/>
      <c r="U48" t="str">
        <f t="shared" si="8"/>
        <v>Senator</v>
      </c>
      <c r="V48" s="139" t="str">
        <f t="shared" si="9"/>
        <v>Mo</v>
      </c>
      <c r="W48" t="str">
        <f t="shared" si="10"/>
        <v>Denis</v>
      </c>
      <c r="X48" t="str">
        <f t="shared" si="11"/>
        <v>mo.denis@sen.state.nv.us</v>
      </c>
      <c r="Y48" t="str">
        <f t="shared" si="12"/>
        <v>President Pro Tempe</v>
      </c>
      <c r="Z48" s="587"/>
      <c r="AA48" s="587"/>
      <c r="AB48" s="587"/>
      <c r="AC48" s="587"/>
      <c r="AD48" s="587"/>
      <c r="AE48" s="587"/>
      <c r="AF48" s="587"/>
      <c r="AG48" s="587"/>
      <c r="AH48" s="587"/>
    </row>
    <row r="49">
      <c r="A49" s="609" t="s">
        <v>286</v>
      </c>
      <c r="B49" s="31">
        <v>3.0</v>
      </c>
      <c r="C49" s="38" t="s">
        <v>173</v>
      </c>
      <c r="D49" s="38" t="s">
        <v>1141</v>
      </c>
      <c r="E49" s="36" t="s">
        <v>49</v>
      </c>
      <c r="F49" s="631"/>
      <c r="G49" s="609" t="s">
        <v>9620</v>
      </c>
      <c r="H49" s="609" t="s">
        <v>9621</v>
      </c>
      <c r="I49" s="609" t="s">
        <v>9622</v>
      </c>
      <c r="J49" s="587"/>
      <c r="K49" s="587"/>
      <c r="L49" s="629"/>
      <c r="M49" s="88" t="str">
        <f t="shared" si="7"/>
        <v>chris.brooks@sen.state.nv.us</v>
      </c>
      <c r="N49" s="88"/>
      <c r="O49" s="629"/>
      <c r="P49" s="629"/>
      <c r="Q49" s="629"/>
      <c r="R49" s="91" t="s">
        <v>9197</v>
      </c>
      <c r="S49" s="587"/>
      <c r="T49" s="587"/>
      <c r="U49" t="str">
        <f t="shared" si="8"/>
        <v/>
      </c>
      <c r="V49" s="139" t="str">
        <f t="shared" si="9"/>
        <v/>
      </c>
      <c r="W49" t="str">
        <f t="shared" si="10"/>
        <v/>
      </c>
      <c r="X49" t="str">
        <f t="shared" si="11"/>
        <v/>
      </c>
      <c r="Y49" t="str">
        <f t="shared" si="12"/>
        <v/>
      </c>
      <c r="Z49" s="587"/>
      <c r="AA49" s="587"/>
      <c r="AB49" s="587"/>
      <c r="AC49" s="587"/>
      <c r="AD49" s="587"/>
      <c r="AE49" s="587"/>
      <c r="AF49" s="587"/>
      <c r="AG49" s="587"/>
      <c r="AH49" s="587"/>
    </row>
    <row r="50">
      <c r="A50" s="609" t="s">
        <v>286</v>
      </c>
      <c r="B50" s="31">
        <v>4.0</v>
      </c>
      <c r="C50" s="35" t="s">
        <v>571</v>
      </c>
      <c r="D50" s="35" t="s">
        <v>9626</v>
      </c>
      <c r="E50" s="36" t="s">
        <v>49</v>
      </c>
      <c r="F50" s="627" t="s">
        <v>176</v>
      </c>
      <c r="G50" s="609" t="s">
        <v>9627</v>
      </c>
      <c r="H50" s="609" t="s">
        <v>1264</v>
      </c>
      <c r="I50" s="609" t="s">
        <v>9617</v>
      </c>
      <c r="J50" s="587"/>
      <c r="K50" s="587"/>
      <c r="L50" s="629"/>
      <c r="M50" s="88" t="str">
        <f t="shared" si="7"/>
        <v>kelvin.atkinson@sen.state.nv.us</v>
      </c>
      <c r="N50" s="630" t="str">
        <f>HYPERLINK("https://docs.google.com/document/d/1cncrgACK9M6MOq6SD-ciKqZiBInRYKs77gWsfK-HGLs/edit","Zero")</f>
        <v>Zero</v>
      </c>
      <c r="O50" s="629"/>
      <c r="P50" s="629"/>
      <c r="Q50" s="629"/>
      <c r="R50" s="91" t="s">
        <v>9098</v>
      </c>
      <c r="S50" s="587"/>
      <c r="T50" s="587"/>
      <c r="U50" t="str">
        <f t="shared" si="8"/>
        <v>Senator</v>
      </c>
      <c r="V50" s="139" t="str">
        <f t="shared" si="9"/>
        <v>Kelvin</v>
      </c>
      <c r="W50" t="str">
        <f t="shared" si="10"/>
        <v>Atkinson</v>
      </c>
      <c r="X50" t="str">
        <f t="shared" si="11"/>
        <v>kelvin.atkinson@sen.state.nv.us</v>
      </c>
      <c r="Y50" t="str">
        <f t="shared" si="12"/>
        <v>Majority Leader</v>
      </c>
      <c r="Z50" s="587"/>
      <c r="AA50" s="587"/>
      <c r="AB50" s="587"/>
      <c r="AC50" s="587"/>
      <c r="AD50" s="587"/>
      <c r="AE50" s="587"/>
      <c r="AF50" s="587"/>
      <c r="AG50" s="587"/>
      <c r="AH50" s="587"/>
    </row>
    <row r="51">
      <c r="A51" s="609" t="s">
        <v>286</v>
      </c>
      <c r="B51" s="31">
        <v>5.0</v>
      </c>
      <c r="C51" s="35" t="s">
        <v>2426</v>
      </c>
      <c r="D51" s="35" t="s">
        <v>9632</v>
      </c>
      <c r="E51" s="36" t="s">
        <v>49</v>
      </c>
      <c r="F51" s="627" t="s">
        <v>9633</v>
      </c>
      <c r="G51" s="609" t="s">
        <v>888</v>
      </c>
      <c r="H51" s="609" t="s">
        <v>1272</v>
      </c>
      <c r="I51" s="609" t="s">
        <v>2796</v>
      </c>
      <c r="J51" s="587"/>
      <c r="K51" s="587"/>
      <c r="L51" s="629"/>
      <c r="M51" s="88" t="str">
        <f t="shared" si="7"/>
        <v>joyce.woodhouse@sen.state.nv.us</v>
      </c>
      <c r="N51" s="630" t="str">
        <f>HYPERLINK("https://docs.google.com/document/d/15regZxpKcrINHtyXP35pVqJOhk4fiOrA7l5qMfMBBDI/edit?usp=drive_web&amp;ouid=111300232804728282603","Zero")</f>
        <v>Zero</v>
      </c>
      <c r="O51" s="629"/>
      <c r="P51" s="629"/>
      <c r="Q51" s="629"/>
      <c r="R51" s="91" t="s">
        <v>2092</v>
      </c>
      <c r="S51" s="587"/>
      <c r="T51" s="587"/>
      <c r="U51" t="str">
        <f t="shared" si="8"/>
        <v>Senator</v>
      </c>
      <c r="V51" s="139" t="str">
        <f t="shared" si="9"/>
        <v>Joyce</v>
      </c>
      <c r="W51" t="str">
        <f t="shared" si="10"/>
        <v>Woodhouse</v>
      </c>
      <c r="X51" t="str">
        <f t="shared" si="11"/>
        <v>joyce.woodhouse@sen.state.nv.us</v>
      </c>
      <c r="Y51" t="str">
        <f t="shared" si="12"/>
        <v>Chief Majority Whip</v>
      </c>
      <c r="Z51" s="587"/>
      <c r="AA51" s="587"/>
      <c r="AB51" s="587"/>
      <c r="AC51" s="587"/>
      <c r="AD51" s="587"/>
      <c r="AE51" s="587"/>
      <c r="AF51" s="587"/>
      <c r="AG51" s="587"/>
      <c r="AH51" s="587"/>
    </row>
    <row r="52">
      <c r="A52" s="609" t="s">
        <v>286</v>
      </c>
      <c r="B52" s="31">
        <v>6.0</v>
      </c>
      <c r="C52" s="35" t="s">
        <v>1648</v>
      </c>
      <c r="D52" s="35" t="s">
        <v>9639</v>
      </c>
      <c r="E52" s="36" t="s">
        <v>49</v>
      </c>
      <c r="F52" s="627" t="s">
        <v>1479</v>
      </c>
      <c r="G52" s="609" t="s">
        <v>9620</v>
      </c>
      <c r="H52" s="609" t="s">
        <v>877</v>
      </c>
      <c r="I52" s="609" t="s">
        <v>9640</v>
      </c>
      <c r="J52" s="587"/>
      <c r="K52" s="587"/>
      <c r="L52" s="629"/>
      <c r="M52" s="88" t="str">
        <f t="shared" si="7"/>
        <v>nicole.cannizzaro@sen.state.nv.us</v>
      </c>
      <c r="N52" s="630" t="str">
        <f>HYPERLINK("https://docs.google.com/document/d/1L83uJ6sZ-H5RU2gNYMNNY0Pbzk385XU4lz4C_u3eZWE/edit","Zero")</f>
        <v>Zero</v>
      </c>
      <c r="O52" s="629"/>
      <c r="P52" s="629"/>
      <c r="Q52" s="629"/>
      <c r="R52" s="91" t="s">
        <v>9197</v>
      </c>
      <c r="S52" s="587"/>
      <c r="T52" s="587"/>
      <c r="U52" t="str">
        <f t="shared" si="8"/>
        <v>Senator</v>
      </c>
      <c r="V52" s="139" t="str">
        <f t="shared" si="9"/>
        <v>Nicole</v>
      </c>
      <c r="W52" t="str">
        <f t="shared" si="10"/>
        <v>Cannizzaro</v>
      </c>
      <c r="X52" t="str">
        <f t="shared" si="11"/>
        <v>nicole.cannizzaro@sen.state.nv.us</v>
      </c>
      <c r="Y52" t="str">
        <f t="shared" si="12"/>
        <v>Assistant Majority Leader</v>
      </c>
      <c r="Z52" s="587"/>
      <c r="AA52" s="587"/>
      <c r="AB52" s="587"/>
      <c r="AC52" s="587"/>
      <c r="AD52" s="587"/>
      <c r="AE52" s="587"/>
      <c r="AF52" s="587"/>
      <c r="AG52" s="587"/>
      <c r="AH52" s="587"/>
    </row>
    <row r="53">
      <c r="A53" s="609" t="s">
        <v>286</v>
      </c>
      <c r="B53" s="31">
        <v>7.0</v>
      </c>
      <c r="C53" s="35" t="s">
        <v>108</v>
      </c>
      <c r="D53" s="35" t="s">
        <v>8307</v>
      </c>
      <c r="E53" s="36" t="s">
        <v>49</v>
      </c>
      <c r="F53" s="631"/>
      <c r="G53" s="609" t="s">
        <v>1300</v>
      </c>
      <c r="H53" s="609" t="s">
        <v>9427</v>
      </c>
      <c r="I53" s="609" t="s">
        <v>9643</v>
      </c>
      <c r="J53" s="587"/>
      <c r="K53" s="587"/>
      <c r="L53" s="629"/>
      <c r="M53" s="88" t="str">
        <f t="shared" si="7"/>
        <v>david.parks@sen.state.nv.us</v>
      </c>
      <c r="N53" s="88"/>
      <c r="O53" s="629"/>
      <c r="P53" s="629"/>
      <c r="Q53" s="629"/>
      <c r="R53" s="91" t="s">
        <v>9197</v>
      </c>
      <c r="S53" s="587"/>
      <c r="T53" s="587"/>
      <c r="U53" t="str">
        <f t="shared" si="8"/>
        <v/>
      </c>
      <c r="V53" s="139" t="str">
        <f t="shared" si="9"/>
        <v/>
      </c>
      <c r="W53" t="str">
        <f t="shared" si="10"/>
        <v/>
      </c>
      <c r="X53" t="str">
        <f t="shared" si="11"/>
        <v/>
      </c>
      <c r="Y53" t="str">
        <f t="shared" si="12"/>
        <v/>
      </c>
      <c r="Z53" s="587"/>
      <c r="AA53" s="587"/>
      <c r="AB53" s="587"/>
      <c r="AC53" s="587"/>
      <c r="AD53" s="587"/>
      <c r="AE53" s="587"/>
      <c r="AF53" s="587"/>
      <c r="AG53" s="587"/>
      <c r="AH53" s="587"/>
    </row>
    <row r="54">
      <c r="A54" s="609" t="s">
        <v>286</v>
      </c>
      <c r="B54" s="31">
        <v>8.0</v>
      </c>
      <c r="C54" s="35" t="s">
        <v>2912</v>
      </c>
      <c r="D54" s="38" t="s">
        <v>9645</v>
      </c>
      <c r="E54" s="36" t="s">
        <v>49</v>
      </c>
      <c r="F54" s="631"/>
      <c r="G54" s="609" t="s">
        <v>515</v>
      </c>
      <c r="H54" s="609" t="s">
        <v>781</v>
      </c>
      <c r="I54" s="609" t="s">
        <v>9646</v>
      </c>
      <c r="J54" s="587"/>
      <c r="K54" s="587"/>
      <c r="L54" s="629"/>
      <c r="M54" s="88" t="str">
        <f t="shared" si="7"/>
        <v>marilyn.dondero loop@sen.state.nv.us</v>
      </c>
      <c r="N54" s="88"/>
      <c r="O54" s="629"/>
      <c r="P54" s="629"/>
      <c r="Q54" s="629"/>
      <c r="R54" s="91" t="s">
        <v>9197</v>
      </c>
      <c r="S54" s="587"/>
      <c r="T54" s="587"/>
      <c r="U54" t="str">
        <f t="shared" si="8"/>
        <v/>
      </c>
      <c r="V54" s="139" t="str">
        <f t="shared" si="9"/>
        <v/>
      </c>
      <c r="W54" t="str">
        <f t="shared" si="10"/>
        <v/>
      </c>
      <c r="X54" t="str">
        <f t="shared" si="11"/>
        <v/>
      </c>
      <c r="Y54" t="str">
        <f t="shared" si="12"/>
        <v/>
      </c>
      <c r="Z54" s="587"/>
      <c r="AA54" s="587"/>
      <c r="AB54" s="587"/>
      <c r="AC54" s="587"/>
      <c r="AD54" s="587"/>
      <c r="AE54" s="587"/>
      <c r="AF54" s="587"/>
      <c r="AG54" s="587"/>
      <c r="AH54" s="587"/>
    </row>
    <row r="55">
      <c r="A55" s="609" t="s">
        <v>286</v>
      </c>
      <c r="B55" s="31">
        <v>9.0</v>
      </c>
      <c r="C55" s="35" t="s">
        <v>4719</v>
      </c>
      <c r="D55" s="35" t="s">
        <v>9649</v>
      </c>
      <c r="E55" s="36" t="s">
        <v>49</v>
      </c>
      <c r="F55" s="631"/>
      <c r="G55" s="609" t="s">
        <v>9279</v>
      </c>
      <c r="H55" s="609" t="s">
        <v>781</v>
      </c>
      <c r="I55" s="609" t="s">
        <v>9650</v>
      </c>
      <c r="J55" s="587"/>
      <c r="K55" s="587"/>
      <c r="L55" s="629"/>
      <c r="M55" s="88" t="str">
        <f t="shared" si="7"/>
        <v>melanie.scheible@sen.state.nv.us</v>
      </c>
      <c r="N55" s="88"/>
      <c r="O55" s="629"/>
      <c r="P55" s="629"/>
      <c r="Q55" s="629"/>
      <c r="R55" s="185"/>
      <c r="S55" s="587"/>
      <c r="T55" s="587"/>
      <c r="U55" t="str">
        <f t="shared" si="8"/>
        <v/>
      </c>
      <c r="V55" s="139" t="str">
        <f t="shared" si="9"/>
        <v/>
      </c>
      <c r="W55" t="str">
        <f t="shared" si="10"/>
        <v/>
      </c>
      <c r="X55" t="str">
        <f t="shared" si="11"/>
        <v/>
      </c>
      <c r="Y55" t="str">
        <f t="shared" si="12"/>
        <v/>
      </c>
      <c r="Z55" s="587"/>
      <c r="AA55" s="587"/>
      <c r="AB55" s="587"/>
      <c r="AC55" s="587"/>
      <c r="AD55" s="587"/>
      <c r="AE55" s="587"/>
      <c r="AF55" s="587"/>
      <c r="AG55" s="587"/>
      <c r="AH55" s="587"/>
    </row>
    <row r="56">
      <c r="A56" s="609" t="s">
        <v>286</v>
      </c>
      <c r="B56" s="31">
        <v>10.0</v>
      </c>
      <c r="C56" s="35" t="s">
        <v>9651</v>
      </c>
      <c r="D56" s="35" t="s">
        <v>9654</v>
      </c>
      <c r="E56" s="36" t="s">
        <v>49</v>
      </c>
      <c r="F56" s="631"/>
      <c r="G56" s="609" t="s">
        <v>1264</v>
      </c>
      <c r="H56" s="609" t="s">
        <v>9655</v>
      </c>
      <c r="I56" s="609" t="s">
        <v>9656</v>
      </c>
      <c r="J56" s="587"/>
      <c r="K56" s="587"/>
      <c r="L56" s="629"/>
      <c r="M56" s="88" t="str">
        <f t="shared" si="7"/>
        <v>yvanna.cancela@sen.state.nv.us</v>
      </c>
      <c r="N56" s="88"/>
      <c r="O56" s="629"/>
      <c r="P56" s="629"/>
      <c r="Q56" s="629"/>
      <c r="R56" s="88" t="s">
        <v>9197</v>
      </c>
      <c r="S56" s="587"/>
      <c r="T56" s="587"/>
      <c r="U56" t="str">
        <f t="shared" si="8"/>
        <v/>
      </c>
      <c r="V56" s="139" t="str">
        <f t="shared" si="9"/>
        <v/>
      </c>
      <c r="W56" t="str">
        <f t="shared" si="10"/>
        <v/>
      </c>
      <c r="X56" t="str">
        <f t="shared" si="11"/>
        <v/>
      </c>
      <c r="Y56" t="str">
        <f t="shared" si="12"/>
        <v/>
      </c>
      <c r="Z56" s="587"/>
      <c r="AA56" s="587"/>
      <c r="AB56" s="587"/>
      <c r="AC56" s="587"/>
      <c r="AD56" s="587"/>
      <c r="AE56" s="587"/>
      <c r="AF56" s="587"/>
      <c r="AG56" s="587"/>
      <c r="AH56" s="587"/>
    </row>
    <row r="57">
      <c r="A57" s="609" t="s">
        <v>286</v>
      </c>
      <c r="B57" s="31">
        <v>11.0</v>
      </c>
      <c r="C57" s="38" t="s">
        <v>9657</v>
      </c>
      <c r="D57" s="38" t="s">
        <v>2362</v>
      </c>
      <c r="E57" s="36" t="s">
        <v>49</v>
      </c>
      <c r="F57" s="631"/>
      <c r="G57" s="609" t="s">
        <v>9617</v>
      </c>
      <c r="H57" s="609" t="s">
        <v>2605</v>
      </c>
      <c r="I57" s="587"/>
      <c r="J57" s="587"/>
      <c r="K57" s="587"/>
      <c r="L57" s="629"/>
      <c r="M57" s="88" t="str">
        <f t="shared" si="7"/>
        <v>dallas.harris@sen.state.nv.us</v>
      </c>
      <c r="N57" s="88"/>
      <c r="O57" s="629"/>
      <c r="P57" s="629"/>
      <c r="Q57" s="629"/>
      <c r="R57" s="91" t="s">
        <v>9197</v>
      </c>
      <c r="S57" s="587"/>
      <c r="T57" s="587"/>
      <c r="U57" t="str">
        <f t="shared" si="8"/>
        <v/>
      </c>
      <c r="V57" s="139" t="str">
        <f t="shared" si="9"/>
        <v/>
      </c>
      <c r="W57" t="str">
        <f t="shared" si="10"/>
        <v/>
      </c>
      <c r="X57" t="str">
        <f t="shared" si="11"/>
        <v/>
      </c>
      <c r="Y57" t="str">
        <f t="shared" si="12"/>
        <v/>
      </c>
      <c r="Z57" s="587"/>
      <c r="AA57" s="587"/>
      <c r="AB57" s="587"/>
      <c r="AC57" s="587"/>
      <c r="AD57" s="587"/>
      <c r="AE57" s="587"/>
      <c r="AF57" s="587"/>
      <c r="AG57" s="587"/>
      <c r="AH57" s="587"/>
    </row>
    <row r="58">
      <c r="A58" s="609" t="s">
        <v>286</v>
      </c>
      <c r="B58" s="31">
        <v>12.0</v>
      </c>
      <c r="C58" s="35" t="s">
        <v>622</v>
      </c>
      <c r="D58" s="35" t="s">
        <v>5470</v>
      </c>
      <c r="E58" s="51" t="s">
        <v>53</v>
      </c>
      <c r="F58" s="627" t="s">
        <v>1965</v>
      </c>
      <c r="G58" s="609" t="s">
        <v>9620</v>
      </c>
      <c r="H58" s="609" t="s">
        <v>9617</v>
      </c>
      <c r="I58" s="609" t="s">
        <v>2796</v>
      </c>
      <c r="J58" s="587"/>
      <c r="K58" s="587"/>
      <c r="L58" s="629"/>
      <c r="M58" s="88" t="str">
        <f t="shared" si="7"/>
        <v>joe.hardy@sen.state.nv.us</v>
      </c>
      <c r="N58" s="630" t="str">
        <f>HYPERLINK("https://docs.google.com/document/d/1YCdlGuT24zkUekikgbSYMkvslC4cUySGC3uUjh00B44/edit#heading=h.ukawe30im1h","Zero")</f>
        <v>Zero</v>
      </c>
      <c r="O58" s="629"/>
      <c r="P58" s="629"/>
      <c r="Q58" s="629"/>
      <c r="R58" s="91" t="s">
        <v>9661</v>
      </c>
      <c r="S58" s="587"/>
      <c r="T58" s="587"/>
      <c r="U58" t="str">
        <f t="shared" si="8"/>
        <v/>
      </c>
      <c r="V58" s="139" t="str">
        <f t="shared" si="9"/>
        <v/>
      </c>
      <c r="W58" t="str">
        <f t="shared" si="10"/>
        <v/>
      </c>
      <c r="X58" t="str">
        <f t="shared" si="11"/>
        <v/>
      </c>
      <c r="Y58" t="str">
        <f t="shared" si="12"/>
        <v/>
      </c>
      <c r="Z58" s="587"/>
      <c r="AA58" s="587"/>
      <c r="AB58" s="587"/>
      <c r="AC58" s="587"/>
      <c r="AD58" s="587"/>
      <c r="AE58" s="587"/>
      <c r="AF58" s="587"/>
      <c r="AG58" s="587"/>
      <c r="AH58" s="587"/>
    </row>
    <row r="59">
      <c r="A59" s="609" t="s">
        <v>286</v>
      </c>
      <c r="B59" s="31">
        <v>13.0</v>
      </c>
      <c r="C59" s="35" t="s">
        <v>2318</v>
      </c>
      <c r="D59" s="35" t="s">
        <v>9665</v>
      </c>
      <c r="E59" s="36" t="s">
        <v>49</v>
      </c>
      <c r="F59" s="627" t="s">
        <v>1630</v>
      </c>
      <c r="G59" s="609" t="s">
        <v>9265</v>
      </c>
      <c r="H59" s="609" t="s">
        <v>3045</v>
      </c>
      <c r="I59" s="609" t="s">
        <v>9666</v>
      </c>
      <c r="J59" s="587"/>
      <c r="K59" s="587"/>
      <c r="L59" s="629"/>
      <c r="M59" s="88" t="str">
        <f t="shared" si="7"/>
        <v>julia.ratti@sen.state.nv.us</v>
      </c>
      <c r="N59" s="630" t="str">
        <f>HYPERLINK("https://docs.google.com/document/d/12egiGLucKZ0emjMxCnfHBsoKCeaPjSnd7MklxcoiDwU/edit","Zero")</f>
        <v>Zero</v>
      </c>
      <c r="O59" s="629"/>
      <c r="P59" s="629"/>
      <c r="Q59" s="629"/>
      <c r="R59" s="91" t="s">
        <v>8438</v>
      </c>
      <c r="S59" s="587"/>
      <c r="T59" s="587"/>
      <c r="U59" t="str">
        <f t="shared" si="8"/>
        <v>Senator</v>
      </c>
      <c r="V59" s="139" t="str">
        <f t="shared" si="9"/>
        <v>Julia</v>
      </c>
      <c r="W59" t="str">
        <f t="shared" si="10"/>
        <v>Ratti</v>
      </c>
      <c r="X59" t="str">
        <f t="shared" si="11"/>
        <v>julia.ratti@sen.state.nv.us</v>
      </c>
      <c r="Y59" t="str">
        <f t="shared" si="12"/>
        <v>Co-Majority Whip</v>
      </c>
      <c r="Z59" s="587"/>
      <c r="AA59" s="587"/>
      <c r="AB59" s="587"/>
      <c r="AC59" s="587"/>
      <c r="AD59" s="587"/>
      <c r="AE59" s="587"/>
      <c r="AF59" s="587"/>
      <c r="AG59" s="587"/>
      <c r="AH59" s="587"/>
    </row>
    <row r="60">
      <c r="A60" s="609" t="s">
        <v>286</v>
      </c>
      <c r="B60" s="31">
        <v>14.0</v>
      </c>
      <c r="C60" s="35" t="s">
        <v>9668</v>
      </c>
      <c r="D60" s="35" t="s">
        <v>1653</v>
      </c>
      <c r="E60" s="51" t="s">
        <v>53</v>
      </c>
      <c r="F60" s="631"/>
      <c r="G60" s="609" t="s">
        <v>515</v>
      </c>
      <c r="H60" s="609" t="s">
        <v>781</v>
      </c>
      <c r="I60" s="609" t="s">
        <v>2605</v>
      </c>
      <c r="J60" s="587"/>
      <c r="K60" s="587"/>
      <c r="L60" s="629"/>
      <c r="M60" s="88" t="str">
        <f t="shared" si="7"/>
        <v>ira.hansen@sen.state.nv.us</v>
      </c>
      <c r="N60" s="88"/>
      <c r="O60" s="629"/>
      <c r="P60" s="629"/>
      <c r="Q60" s="629"/>
      <c r="R60" s="91" t="s">
        <v>8438</v>
      </c>
      <c r="S60" s="587"/>
      <c r="T60" s="587"/>
      <c r="U60" t="str">
        <f t="shared" si="8"/>
        <v/>
      </c>
      <c r="V60" s="139" t="str">
        <f t="shared" si="9"/>
        <v/>
      </c>
      <c r="W60" t="str">
        <f t="shared" si="10"/>
        <v/>
      </c>
      <c r="X60" t="str">
        <f t="shared" si="11"/>
        <v/>
      </c>
      <c r="Y60" t="str">
        <f t="shared" si="12"/>
        <v/>
      </c>
      <c r="Z60" s="587"/>
      <c r="AA60" s="587"/>
      <c r="AB60" s="587"/>
      <c r="AC60" s="587"/>
      <c r="AD60" s="587"/>
      <c r="AE60" s="587"/>
      <c r="AF60" s="587"/>
      <c r="AG60" s="587"/>
      <c r="AH60" s="587"/>
    </row>
    <row r="61">
      <c r="A61" s="609" t="s">
        <v>286</v>
      </c>
      <c r="B61" s="31">
        <v>15.0</v>
      </c>
      <c r="C61" s="35" t="s">
        <v>5777</v>
      </c>
      <c r="D61" s="35" t="s">
        <v>9670</v>
      </c>
      <c r="E61" s="51" t="s">
        <v>53</v>
      </c>
      <c r="F61" s="627" t="s">
        <v>9671</v>
      </c>
      <c r="G61" s="609" t="s">
        <v>9620</v>
      </c>
      <c r="H61" s="609" t="s">
        <v>9656</v>
      </c>
      <c r="I61" s="609" t="s">
        <v>9643</v>
      </c>
      <c r="J61" s="587"/>
      <c r="K61" s="587"/>
      <c r="L61" s="629"/>
      <c r="M61" s="88" t="str">
        <f t="shared" si="7"/>
        <v>heidi.gansert@sen.state.nv.us</v>
      </c>
      <c r="N61" s="630" t="str">
        <f>HYPERLINK("https://docs.google.com/document/d/1zUA2LpDKu16K2lHtvFlG7VcDM1_tQzQfAHTrb7Kb8eg/edit","Zero")</f>
        <v>Zero</v>
      </c>
      <c r="O61" s="629"/>
      <c r="P61" s="629"/>
      <c r="Q61" s="629"/>
      <c r="R61" s="91" t="s">
        <v>5228</v>
      </c>
      <c r="S61" s="587"/>
      <c r="T61" s="587"/>
      <c r="U61" t="str">
        <f t="shared" si="8"/>
        <v/>
      </c>
      <c r="V61" s="139" t="str">
        <f t="shared" si="9"/>
        <v/>
      </c>
      <c r="W61" t="str">
        <f t="shared" si="10"/>
        <v/>
      </c>
      <c r="X61" t="str">
        <f t="shared" si="11"/>
        <v/>
      </c>
      <c r="Y61" t="str">
        <f t="shared" si="12"/>
        <v/>
      </c>
      <c r="Z61" s="587"/>
      <c r="AA61" s="587"/>
      <c r="AB61" s="587"/>
      <c r="AC61" s="587"/>
      <c r="AD61" s="587"/>
      <c r="AE61" s="587"/>
      <c r="AF61" s="587"/>
      <c r="AG61" s="587"/>
      <c r="AH61" s="587"/>
    </row>
    <row r="62">
      <c r="A62" s="609" t="s">
        <v>286</v>
      </c>
      <c r="B62" s="31">
        <v>16.0</v>
      </c>
      <c r="C62" s="35" t="s">
        <v>195</v>
      </c>
      <c r="D62" s="35" t="s">
        <v>9673</v>
      </c>
      <c r="E62" s="51" t="s">
        <v>53</v>
      </c>
      <c r="F62" s="631"/>
      <c r="G62" s="609" t="s">
        <v>1264</v>
      </c>
      <c r="H62" s="609" t="s">
        <v>9265</v>
      </c>
      <c r="I62" s="609" t="s">
        <v>9643</v>
      </c>
      <c r="J62" s="587"/>
      <c r="K62" s="587"/>
      <c r="L62" s="629"/>
      <c r="M62" s="88" t="str">
        <f t="shared" si="7"/>
        <v>ben.kieckhefer@sen.state.nv.us</v>
      </c>
      <c r="N62" s="88"/>
      <c r="O62" s="629"/>
      <c r="P62" s="629"/>
      <c r="Q62" s="629"/>
      <c r="R62" s="91" t="s">
        <v>5228</v>
      </c>
      <c r="S62" s="587"/>
      <c r="T62" s="587"/>
      <c r="U62" t="str">
        <f t="shared" si="8"/>
        <v/>
      </c>
      <c r="V62" s="139" t="str">
        <f t="shared" si="9"/>
        <v/>
      </c>
      <c r="W62" t="str">
        <f t="shared" si="10"/>
        <v/>
      </c>
      <c r="X62" t="str">
        <f t="shared" si="11"/>
        <v/>
      </c>
      <c r="Y62" t="str">
        <f t="shared" si="12"/>
        <v/>
      </c>
      <c r="Z62" s="587"/>
      <c r="AA62" s="587"/>
      <c r="AB62" s="587"/>
      <c r="AC62" s="587"/>
      <c r="AD62" s="587"/>
      <c r="AE62" s="587"/>
      <c r="AF62" s="587"/>
      <c r="AG62" s="587"/>
      <c r="AH62" s="587"/>
    </row>
    <row r="63">
      <c r="A63" s="609" t="s">
        <v>286</v>
      </c>
      <c r="B63" s="31">
        <v>17.0</v>
      </c>
      <c r="C63" s="35" t="s">
        <v>930</v>
      </c>
      <c r="D63" s="35" t="s">
        <v>9678</v>
      </c>
      <c r="E63" s="51" t="s">
        <v>53</v>
      </c>
      <c r="F63" s="627" t="s">
        <v>498</v>
      </c>
      <c r="G63" s="609" t="s">
        <v>9620</v>
      </c>
      <c r="H63" s="609" t="s">
        <v>1264</v>
      </c>
      <c r="I63" s="609" t="s">
        <v>9617</v>
      </c>
      <c r="J63" s="587"/>
      <c r="K63" s="587"/>
      <c r="L63" s="629"/>
      <c r="M63" s="88" t="str">
        <f t="shared" si="7"/>
        <v>james.settelmeyer@sen.state.nv.us</v>
      </c>
      <c r="N63" s="630" t="str">
        <f>HYPERLINK("https://docs.google.com/document/d/1gOivGcO4K8JnR61_kkX-t2voIjJ9xD9sD3ueZ5rd8IM/edit","Zero")</f>
        <v>Zero</v>
      </c>
      <c r="O63" s="629"/>
      <c r="P63" s="629"/>
      <c r="Q63" s="629"/>
      <c r="R63" s="91" t="s">
        <v>9604</v>
      </c>
      <c r="S63" s="587"/>
      <c r="T63" s="587"/>
      <c r="U63" t="str">
        <f t="shared" si="8"/>
        <v/>
      </c>
      <c r="V63" s="139" t="str">
        <f t="shared" si="9"/>
        <v/>
      </c>
      <c r="W63" t="str">
        <f t="shared" si="10"/>
        <v/>
      </c>
      <c r="X63" t="str">
        <f t="shared" si="11"/>
        <v/>
      </c>
      <c r="Y63" t="str">
        <f t="shared" si="12"/>
        <v/>
      </c>
      <c r="Z63" s="587"/>
      <c r="AA63" s="587"/>
      <c r="AB63" s="587"/>
      <c r="AC63" s="587"/>
      <c r="AD63" s="587"/>
      <c r="AE63" s="587"/>
      <c r="AF63" s="587"/>
      <c r="AG63" s="587"/>
      <c r="AH63" s="587"/>
    </row>
    <row r="64">
      <c r="A64" s="609" t="s">
        <v>286</v>
      </c>
      <c r="B64" s="31">
        <v>18.0</v>
      </c>
      <c r="C64" s="35" t="s">
        <v>45</v>
      </c>
      <c r="D64" s="35" t="s">
        <v>4413</v>
      </c>
      <c r="E64" s="51" t="s">
        <v>53</v>
      </c>
      <c r="F64" s="627" t="s">
        <v>9671</v>
      </c>
      <c r="G64" s="609" t="s">
        <v>515</v>
      </c>
      <c r="H64" s="609" t="s">
        <v>9617</v>
      </c>
      <c r="I64" s="609" t="s">
        <v>2796</v>
      </c>
      <c r="J64" s="609" t="s">
        <v>781</v>
      </c>
      <c r="K64" s="587"/>
      <c r="L64" s="629"/>
      <c r="M64" s="88" t="str">
        <f t="shared" si="7"/>
        <v>scott.hammond@sen.state.nv.us</v>
      </c>
      <c r="N64" s="630" t="str">
        <f>HYPERLINK("https://docs.google.com/document/d/1AYes2XcEDXKJ8Dp9BmgaY7FGSGwBv4WX3bmrttOuk7Y/edit?usp=drive_web&amp;ouid=111300232804728282603","Zero")</f>
        <v>Zero</v>
      </c>
      <c r="O64" s="629"/>
      <c r="P64" s="629"/>
      <c r="Q64" s="629"/>
      <c r="R64" s="91" t="s">
        <v>9197</v>
      </c>
      <c r="S64" s="587"/>
      <c r="T64" s="587"/>
      <c r="U64" t="str">
        <f t="shared" si="8"/>
        <v/>
      </c>
      <c r="V64" s="139" t="str">
        <f t="shared" si="9"/>
        <v/>
      </c>
      <c r="W64" t="str">
        <f t="shared" si="10"/>
        <v/>
      </c>
      <c r="X64" t="str">
        <f t="shared" si="11"/>
        <v/>
      </c>
      <c r="Y64" t="str">
        <f t="shared" si="12"/>
        <v/>
      </c>
      <c r="Z64" s="587"/>
      <c r="AA64" s="587"/>
      <c r="AB64" s="587"/>
      <c r="AC64" s="587"/>
      <c r="AD64" s="587"/>
      <c r="AE64" s="587"/>
      <c r="AF64" s="587"/>
      <c r="AG64" s="587"/>
      <c r="AH64" s="587"/>
    </row>
    <row r="65">
      <c r="A65" s="609" t="s">
        <v>286</v>
      </c>
      <c r="B65" s="31">
        <v>19.0</v>
      </c>
      <c r="C65" s="35" t="s">
        <v>288</v>
      </c>
      <c r="D65" s="35" t="s">
        <v>9684</v>
      </c>
      <c r="E65" s="51" t="s">
        <v>53</v>
      </c>
      <c r="F65" s="631"/>
      <c r="G65" s="609" t="s">
        <v>1264</v>
      </c>
      <c r="H65" s="609" t="s">
        <v>9265</v>
      </c>
      <c r="I65" s="609" t="s">
        <v>2605</v>
      </c>
      <c r="J65" s="587"/>
      <c r="K65" s="587"/>
      <c r="L65" s="629"/>
      <c r="M65" s="88" t="str">
        <f t="shared" si="7"/>
        <v>pete.goicoechea@sen.state.nv.us</v>
      </c>
      <c r="N65" s="88"/>
      <c r="O65" s="629"/>
      <c r="P65" s="629"/>
      <c r="Q65" s="629"/>
      <c r="R65" s="91" t="s">
        <v>9685</v>
      </c>
      <c r="S65" s="587"/>
      <c r="T65" s="587"/>
      <c r="U65" t="str">
        <f t="shared" si="8"/>
        <v/>
      </c>
      <c r="V65" s="139" t="str">
        <f t="shared" si="9"/>
        <v/>
      </c>
      <c r="W65" t="str">
        <f t="shared" si="10"/>
        <v/>
      </c>
      <c r="X65" t="str">
        <f t="shared" si="11"/>
        <v/>
      </c>
      <c r="Y65" t="str">
        <f t="shared" si="12"/>
        <v/>
      </c>
      <c r="Z65" s="587"/>
      <c r="AA65" s="587"/>
      <c r="AB65" s="587"/>
      <c r="AC65" s="587"/>
      <c r="AD65" s="587"/>
      <c r="AE65" s="587"/>
      <c r="AF65" s="587"/>
      <c r="AG65" s="587"/>
      <c r="AH65" s="587"/>
    </row>
    <row r="66">
      <c r="A66" s="609" t="s">
        <v>286</v>
      </c>
      <c r="B66" s="31">
        <v>20.0</v>
      </c>
      <c r="C66" s="35" t="s">
        <v>1617</v>
      </c>
      <c r="D66" s="35" t="s">
        <v>9687</v>
      </c>
      <c r="E66" s="51" t="s">
        <v>53</v>
      </c>
      <c r="F66" s="631"/>
      <c r="G66" s="609" t="s">
        <v>515</v>
      </c>
      <c r="H66" s="609" t="s">
        <v>781</v>
      </c>
      <c r="I66" s="609" t="s">
        <v>9656</v>
      </c>
      <c r="J66" s="587"/>
      <c r="K66" s="587"/>
      <c r="L66" s="629"/>
      <c r="M66" s="88" t="str">
        <f t="shared" si="7"/>
        <v>keith.pickard@sen.state.nv.us</v>
      </c>
      <c r="N66" s="88"/>
      <c r="O66" s="629"/>
      <c r="P66" s="629"/>
      <c r="Q66" s="629"/>
      <c r="R66" s="91" t="s">
        <v>9197</v>
      </c>
      <c r="S66" s="587"/>
      <c r="T66" s="587"/>
      <c r="U66" t="str">
        <f t="shared" si="8"/>
        <v/>
      </c>
      <c r="V66" s="139" t="str">
        <f t="shared" si="9"/>
        <v/>
      </c>
      <c r="W66" t="str">
        <f t="shared" si="10"/>
        <v/>
      </c>
      <c r="X66" t="str">
        <f t="shared" si="11"/>
        <v/>
      </c>
      <c r="Y66" t="str">
        <f t="shared" si="12"/>
        <v/>
      </c>
      <c r="Z66" s="587"/>
      <c r="AA66" s="587"/>
      <c r="AB66" s="587"/>
      <c r="AC66" s="587"/>
      <c r="AD66" s="587"/>
      <c r="AE66" s="587"/>
      <c r="AF66" s="587"/>
      <c r="AG66" s="587"/>
      <c r="AH66" s="587"/>
    </row>
    <row r="67">
      <c r="A67" s="609" t="s">
        <v>286</v>
      </c>
      <c r="B67" s="31">
        <v>21.0</v>
      </c>
      <c r="C67" s="35" t="s">
        <v>930</v>
      </c>
      <c r="D67" s="35" t="s">
        <v>9689</v>
      </c>
      <c r="E67" s="36" t="s">
        <v>49</v>
      </c>
      <c r="F67" s="631"/>
      <c r="G67" s="609" t="s">
        <v>9620</v>
      </c>
      <c r="H67" s="609" t="s">
        <v>781</v>
      </c>
      <c r="I67" s="609" t="s">
        <v>9690</v>
      </c>
      <c r="J67" s="587"/>
      <c r="K67" s="587"/>
      <c r="L67" s="629"/>
      <c r="M67" s="88" t="str">
        <f t="shared" si="7"/>
        <v>james.ohrenschall@sen.state.nv.us</v>
      </c>
      <c r="N67" s="88"/>
      <c r="O67" s="629"/>
      <c r="P67" s="629"/>
      <c r="Q67" s="629"/>
      <c r="R67" s="185"/>
      <c r="S67" s="587"/>
      <c r="T67" s="587"/>
      <c r="U67" t="str">
        <f t="shared" si="8"/>
        <v/>
      </c>
      <c r="V67" s="139" t="str">
        <f t="shared" si="9"/>
        <v/>
      </c>
      <c r="W67" t="str">
        <f t="shared" si="10"/>
        <v/>
      </c>
      <c r="X67" t="str">
        <f t="shared" si="11"/>
        <v/>
      </c>
      <c r="Y67" t="str">
        <f t="shared" si="12"/>
        <v/>
      </c>
      <c r="Z67" s="587"/>
      <c r="AA67" s="587"/>
      <c r="AB67" s="587"/>
      <c r="AC67" s="587"/>
      <c r="AD67" s="587"/>
      <c r="AE67" s="587"/>
      <c r="AF67" s="587"/>
      <c r="AG67" s="587"/>
      <c r="AH67" s="587"/>
    </row>
    <row r="68">
      <c r="A68" s="604"/>
      <c r="B68" s="604"/>
      <c r="C68" s="641"/>
      <c r="D68" s="641"/>
      <c r="E68" s="604"/>
      <c r="F68" s="642"/>
      <c r="G68" s="604"/>
      <c r="H68" s="604"/>
      <c r="I68" s="604"/>
      <c r="J68" s="604"/>
      <c r="K68" s="604"/>
      <c r="L68" s="604"/>
      <c r="M68" s="604"/>
      <c r="N68" s="604"/>
      <c r="O68" s="604"/>
      <c r="P68" s="604"/>
      <c r="Q68" s="604"/>
      <c r="R68" s="604"/>
      <c r="S68" s="604"/>
      <c r="T68" s="604"/>
      <c r="U68" s="604"/>
      <c r="V68" s="604"/>
      <c r="W68" s="604"/>
      <c r="X68" s="604"/>
      <c r="Y68" s="604"/>
      <c r="Z68" s="604"/>
      <c r="AA68" s="604"/>
      <c r="AB68" s="604"/>
      <c r="AC68" s="604"/>
      <c r="AD68" s="604"/>
      <c r="AE68" s="604"/>
      <c r="AF68" s="604"/>
      <c r="AG68" s="604"/>
      <c r="AH68" s="604"/>
    </row>
    <row r="69">
      <c r="A69" s="609" t="s">
        <v>421</v>
      </c>
      <c r="B69" s="587"/>
      <c r="C69" s="650" t="s">
        <v>55</v>
      </c>
      <c r="D69" s="650" t="s">
        <v>9693</v>
      </c>
      <c r="E69" s="36" t="s">
        <v>49</v>
      </c>
      <c r="F69" s="651"/>
      <c r="G69" s="587"/>
      <c r="H69" s="587"/>
      <c r="I69" s="587"/>
      <c r="J69" s="587"/>
      <c r="K69" s="587"/>
      <c r="L69" s="629"/>
      <c r="M69" s="629"/>
      <c r="N69" s="629"/>
      <c r="O69" s="629"/>
      <c r="P69" s="629"/>
      <c r="Q69" s="629"/>
      <c r="R69" s="629"/>
      <c r="S69" s="587"/>
      <c r="T69" s="587"/>
      <c r="U69" s="587"/>
      <c r="V69" s="587"/>
      <c r="W69" s="587"/>
      <c r="X69" s="587"/>
      <c r="Y69" s="587"/>
      <c r="Z69" s="587"/>
      <c r="AA69" s="587"/>
      <c r="AB69" s="587"/>
      <c r="AC69" s="587"/>
      <c r="AD69" s="587"/>
      <c r="AE69" s="587"/>
      <c r="AF69" s="587"/>
      <c r="AG69" s="587"/>
      <c r="AH69" s="587"/>
    </row>
    <row r="70">
      <c r="A70" s="604"/>
      <c r="B70" s="604"/>
      <c r="C70" s="641"/>
      <c r="D70" s="641"/>
      <c r="E70" s="604"/>
      <c r="F70" s="642"/>
      <c r="G70" s="604"/>
      <c r="H70" s="604"/>
      <c r="I70" s="604"/>
      <c r="J70" s="604"/>
      <c r="K70" s="604"/>
      <c r="L70" s="604"/>
      <c r="M70" s="604"/>
      <c r="N70" s="604"/>
      <c r="O70" s="604"/>
      <c r="P70" s="604"/>
      <c r="Q70" s="604"/>
      <c r="R70" s="604"/>
      <c r="S70" s="604"/>
      <c r="T70" s="604"/>
      <c r="U70" s="604"/>
      <c r="V70" s="604"/>
      <c r="W70" s="604"/>
      <c r="X70" s="604"/>
      <c r="Y70" s="604"/>
      <c r="Z70" s="604"/>
      <c r="AA70" s="604"/>
      <c r="AB70" s="604"/>
      <c r="AC70" s="604"/>
      <c r="AD70" s="604"/>
      <c r="AE70" s="604"/>
      <c r="AF70" s="604"/>
      <c r="AG70" s="604"/>
      <c r="AH70" s="604"/>
    </row>
    <row r="71">
      <c r="A71" s="609" t="s">
        <v>427</v>
      </c>
      <c r="B71" s="609">
        <v>1.0</v>
      </c>
      <c r="C71" s="650" t="s">
        <v>9283</v>
      </c>
      <c r="D71" s="650" t="s">
        <v>9601</v>
      </c>
      <c r="E71" s="36" t="s">
        <v>49</v>
      </c>
      <c r="F71" s="631"/>
      <c r="G71" s="587"/>
      <c r="H71" s="587"/>
      <c r="I71" s="587"/>
      <c r="J71" s="587"/>
      <c r="K71" s="587"/>
      <c r="L71" s="629"/>
      <c r="M71" s="629"/>
      <c r="N71" s="629"/>
      <c r="O71" s="629"/>
      <c r="P71" s="629"/>
      <c r="Q71" s="629"/>
      <c r="R71" s="629"/>
      <c r="S71" s="587"/>
      <c r="T71" s="587"/>
      <c r="U71" s="587"/>
      <c r="V71" s="587"/>
      <c r="W71" s="587"/>
      <c r="X71" s="587"/>
      <c r="Y71" s="587"/>
      <c r="Z71" s="587"/>
      <c r="AA71" s="587"/>
      <c r="AB71" s="587"/>
      <c r="AC71" s="587"/>
      <c r="AD71" s="587"/>
      <c r="AE71" s="587"/>
      <c r="AF71" s="587"/>
      <c r="AG71" s="587"/>
      <c r="AH71" s="587"/>
    </row>
    <row r="72">
      <c r="A72" s="609" t="s">
        <v>427</v>
      </c>
      <c r="B72" s="609">
        <v>2.0</v>
      </c>
      <c r="C72" s="650" t="s">
        <v>91</v>
      </c>
      <c r="D72" s="650" t="s">
        <v>9695</v>
      </c>
      <c r="E72" s="51" t="s">
        <v>53</v>
      </c>
      <c r="F72" s="631"/>
      <c r="G72" s="587"/>
      <c r="H72" s="587"/>
      <c r="I72" s="587"/>
      <c r="J72" s="587"/>
      <c r="K72" s="587"/>
      <c r="L72" s="629"/>
      <c r="M72" s="629"/>
      <c r="N72" s="629"/>
      <c r="O72" s="629"/>
      <c r="P72" s="629"/>
      <c r="Q72" s="629"/>
      <c r="R72" s="629"/>
      <c r="S72" s="587"/>
      <c r="T72" s="587"/>
      <c r="U72" s="587"/>
      <c r="V72" s="587"/>
      <c r="W72" s="587"/>
      <c r="X72" s="587"/>
      <c r="Y72" s="587"/>
      <c r="Z72" s="587"/>
      <c r="AA72" s="587"/>
      <c r="AB72" s="587"/>
      <c r="AC72" s="587"/>
      <c r="AD72" s="587"/>
      <c r="AE72" s="587"/>
      <c r="AF72" s="587"/>
      <c r="AG72" s="587"/>
      <c r="AH72" s="587"/>
    </row>
    <row r="73">
      <c r="A73" s="609" t="s">
        <v>427</v>
      </c>
      <c r="B73" s="609">
        <v>3.0</v>
      </c>
      <c r="C73" s="650" t="s">
        <v>9696</v>
      </c>
      <c r="D73" s="650" t="s">
        <v>629</v>
      </c>
      <c r="E73" s="36" t="s">
        <v>49</v>
      </c>
      <c r="F73" s="631"/>
      <c r="G73" s="587"/>
      <c r="H73" s="587"/>
      <c r="I73" s="587"/>
      <c r="J73" s="587"/>
      <c r="K73" s="587"/>
      <c r="L73" s="629"/>
      <c r="M73" s="629"/>
      <c r="N73" s="629"/>
      <c r="O73" s="629"/>
      <c r="P73" s="629"/>
      <c r="Q73" s="629"/>
      <c r="R73" s="629"/>
      <c r="S73" s="587"/>
      <c r="T73" s="587"/>
      <c r="U73" s="587"/>
      <c r="V73" s="587"/>
      <c r="W73" s="587"/>
      <c r="X73" s="587"/>
      <c r="Y73" s="587"/>
      <c r="Z73" s="587"/>
      <c r="AA73" s="587"/>
      <c r="AB73" s="587"/>
      <c r="AC73" s="587"/>
      <c r="AD73" s="587"/>
      <c r="AE73" s="587"/>
      <c r="AF73" s="587"/>
      <c r="AG73" s="587"/>
      <c r="AH73" s="587"/>
    </row>
    <row r="74">
      <c r="A74" s="609" t="s">
        <v>427</v>
      </c>
      <c r="B74" s="609">
        <v>4.0</v>
      </c>
      <c r="C74" s="650" t="s">
        <v>1897</v>
      </c>
      <c r="D74" s="650" t="s">
        <v>9697</v>
      </c>
      <c r="E74" s="36" t="s">
        <v>49</v>
      </c>
      <c r="F74" s="651"/>
      <c r="G74" s="587"/>
      <c r="H74" s="587"/>
      <c r="I74" s="587"/>
      <c r="J74" s="587"/>
      <c r="K74" s="587"/>
      <c r="L74" s="629"/>
      <c r="M74" s="629"/>
      <c r="N74" s="629"/>
      <c r="O74" s="629"/>
      <c r="P74" s="629"/>
      <c r="Q74" s="629"/>
      <c r="R74" s="629"/>
      <c r="S74" s="587"/>
      <c r="T74" s="587"/>
      <c r="U74" s="587"/>
      <c r="V74" s="587"/>
      <c r="W74" s="587"/>
      <c r="X74" s="587"/>
      <c r="Y74" s="587"/>
      <c r="Z74" s="587"/>
      <c r="AA74" s="587"/>
      <c r="AB74" s="587"/>
      <c r="AC74" s="587"/>
      <c r="AD74" s="587"/>
      <c r="AE74" s="587"/>
      <c r="AF74" s="587"/>
      <c r="AG74" s="587"/>
      <c r="AH74" s="587"/>
    </row>
    <row r="75">
      <c r="A75" s="604"/>
      <c r="B75" s="604"/>
      <c r="C75" s="641"/>
      <c r="D75" s="641"/>
      <c r="E75" s="604"/>
      <c r="F75" s="642"/>
      <c r="G75" s="604"/>
      <c r="H75" s="604"/>
      <c r="I75" s="604"/>
      <c r="J75" s="604"/>
      <c r="K75" s="604"/>
      <c r="L75" s="604"/>
      <c r="M75" s="604"/>
      <c r="N75" s="604"/>
      <c r="O75" s="604"/>
      <c r="P75" s="604"/>
      <c r="Q75" s="604"/>
      <c r="R75" s="604"/>
      <c r="S75" s="604"/>
      <c r="T75" s="604"/>
      <c r="U75" s="604"/>
      <c r="V75" s="604"/>
      <c r="W75" s="604"/>
      <c r="X75" s="604"/>
      <c r="Y75" s="604"/>
      <c r="Z75" s="604"/>
      <c r="AA75" s="604"/>
      <c r="AB75" s="604"/>
      <c r="AC75" s="604"/>
      <c r="AD75" s="604"/>
      <c r="AE75" s="604"/>
      <c r="AF75" s="604"/>
      <c r="AG75" s="604"/>
      <c r="AH75" s="604"/>
    </row>
    <row r="76">
      <c r="A76" s="609" t="s">
        <v>430</v>
      </c>
      <c r="B76" s="609" t="s">
        <v>431</v>
      </c>
      <c r="C76" s="650" t="s">
        <v>2629</v>
      </c>
      <c r="D76" s="650" t="s">
        <v>9698</v>
      </c>
      <c r="E76" s="36" t="s">
        <v>49</v>
      </c>
      <c r="F76" s="651"/>
      <c r="G76" s="587"/>
      <c r="H76" s="587"/>
      <c r="I76" s="587"/>
      <c r="J76" s="587"/>
      <c r="K76" s="587"/>
      <c r="L76" s="629"/>
      <c r="M76" s="629"/>
      <c r="N76" s="629"/>
      <c r="O76" s="629"/>
      <c r="P76" s="629"/>
      <c r="Q76" s="629"/>
      <c r="R76" s="629"/>
      <c r="S76" s="587"/>
      <c r="T76" s="587"/>
      <c r="U76" s="587"/>
      <c r="V76" s="587"/>
      <c r="W76" s="587"/>
      <c r="X76" s="587"/>
      <c r="Y76" s="587"/>
      <c r="Z76" s="587"/>
      <c r="AA76" s="587"/>
      <c r="AB76" s="587"/>
      <c r="AC76" s="587"/>
      <c r="AD76" s="587"/>
      <c r="AE76" s="587"/>
      <c r="AF76" s="587"/>
      <c r="AG76" s="587"/>
      <c r="AH76" s="587"/>
    </row>
    <row r="77">
      <c r="A77" s="609" t="s">
        <v>430</v>
      </c>
      <c r="B77" s="609" t="s">
        <v>434</v>
      </c>
      <c r="C77" s="650" t="s">
        <v>2300</v>
      </c>
      <c r="D77" s="650" t="s">
        <v>7005</v>
      </c>
      <c r="E77" s="36" t="s">
        <v>49</v>
      </c>
      <c r="F77" s="651"/>
      <c r="G77" s="587"/>
      <c r="H77" s="587"/>
      <c r="I77" s="587"/>
      <c r="J77" s="587"/>
      <c r="K77" s="587"/>
      <c r="L77" s="629"/>
      <c r="M77" s="629"/>
      <c r="N77" s="629"/>
      <c r="O77" s="629"/>
      <c r="P77" s="629"/>
      <c r="Q77" s="629"/>
      <c r="R77" s="629"/>
      <c r="S77" s="587"/>
      <c r="T77" s="587"/>
      <c r="U77" s="587"/>
      <c r="V77" s="587"/>
      <c r="W77" s="587"/>
      <c r="X77" s="587"/>
      <c r="Y77" s="587"/>
      <c r="Z77" s="587"/>
      <c r="AA77" s="587"/>
      <c r="AB77" s="587"/>
      <c r="AC77" s="587"/>
      <c r="AD77" s="587"/>
      <c r="AE77" s="587"/>
      <c r="AF77" s="587"/>
      <c r="AG77" s="587"/>
      <c r="AH77" s="587"/>
    </row>
    <row r="78">
      <c r="A78" s="604"/>
      <c r="B78" s="604"/>
      <c r="C78" s="641"/>
      <c r="D78" s="641"/>
      <c r="E78" s="604"/>
      <c r="F78" s="642"/>
      <c r="G78" s="604"/>
      <c r="H78" s="604"/>
      <c r="I78" s="604"/>
      <c r="J78" s="604"/>
      <c r="K78" s="604"/>
      <c r="L78" s="604"/>
      <c r="M78" s="604"/>
      <c r="N78" s="604"/>
      <c r="O78" s="604"/>
      <c r="P78" s="604"/>
      <c r="Q78" s="604"/>
      <c r="R78" s="604"/>
      <c r="S78" s="604"/>
      <c r="T78" s="604"/>
      <c r="U78" s="604"/>
      <c r="V78" s="604"/>
      <c r="W78" s="604"/>
      <c r="X78" s="604"/>
      <c r="Y78" s="604"/>
      <c r="Z78" s="604"/>
      <c r="AA78" s="604"/>
      <c r="AB78" s="604"/>
      <c r="AC78" s="604"/>
      <c r="AD78" s="604"/>
      <c r="AE78" s="604"/>
      <c r="AF78" s="604"/>
      <c r="AG78" s="604"/>
      <c r="AH78" s="604"/>
    </row>
    <row r="79">
      <c r="A79" s="609" t="s">
        <v>438</v>
      </c>
      <c r="B79" s="587"/>
      <c r="C79" s="650" t="s">
        <v>1107</v>
      </c>
      <c r="D79" s="650" t="s">
        <v>4018</v>
      </c>
      <c r="E79" s="36" t="s">
        <v>49</v>
      </c>
      <c r="F79" s="651"/>
      <c r="G79" s="587"/>
      <c r="H79" s="587"/>
      <c r="I79" s="587"/>
      <c r="J79" s="587"/>
      <c r="K79" s="587"/>
      <c r="L79" s="629"/>
      <c r="M79" s="629"/>
      <c r="N79" s="629"/>
      <c r="O79" s="629"/>
      <c r="P79" s="629"/>
      <c r="Q79" s="629"/>
      <c r="R79" s="629"/>
      <c r="S79" s="587"/>
      <c r="T79" s="587"/>
      <c r="U79" s="587"/>
      <c r="V79" s="587"/>
      <c r="W79" s="587"/>
      <c r="X79" s="587"/>
      <c r="Y79" s="587"/>
      <c r="Z79" s="587"/>
      <c r="AA79" s="587"/>
      <c r="AB79" s="587"/>
      <c r="AC79" s="587"/>
      <c r="AD79" s="587"/>
      <c r="AE79" s="587"/>
      <c r="AF79" s="587"/>
      <c r="AG79" s="587"/>
      <c r="AH79" s="587"/>
    </row>
    <row r="80">
      <c r="A80" s="70"/>
      <c r="B80" s="70"/>
      <c r="C80" s="71"/>
      <c r="D80" s="71"/>
      <c r="E80" s="70"/>
      <c r="F80" s="184"/>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row>
    <row r="81">
      <c r="C81" s="139"/>
      <c r="D81" s="139"/>
      <c r="F81" s="15"/>
    </row>
    <row r="82">
      <c r="C82" s="139"/>
      <c r="D82" s="139"/>
      <c r="F82" s="15"/>
    </row>
    <row r="83">
      <c r="C83" s="139"/>
      <c r="D83" s="139"/>
      <c r="F83" s="15"/>
    </row>
    <row r="84">
      <c r="C84" s="139"/>
      <c r="D84" s="139"/>
      <c r="F84" s="15"/>
    </row>
    <row r="85">
      <c r="C85" s="139"/>
      <c r="D85" s="139"/>
      <c r="F85" s="15"/>
    </row>
    <row r="86">
      <c r="C86" s="139"/>
      <c r="D86" s="139"/>
      <c r="F86" s="15"/>
    </row>
    <row r="87">
      <c r="C87" s="139"/>
      <c r="D87" s="139"/>
      <c r="F87" s="15"/>
    </row>
    <row r="88">
      <c r="C88" s="139"/>
      <c r="D88" s="139"/>
      <c r="F88" s="15"/>
    </row>
    <row r="89">
      <c r="C89" s="139"/>
      <c r="D89" s="139"/>
      <c r="F89" s="15"/>
    </row>
    <row r="90">
      <c r="C90" s="139"/>
      <c r="D90" s="139"/>
      <c r="F90" s="15"/>
    </row>
    <row r="91">
      <c r="C91" s="139"/>
      <c r="D91" s="139"/>
      <c r="F91" s="15"/>
    </row>
    <row r="92">
      <c r="C92" s="139"/>
      <c r="D92" s="139"/>
      <c r="F92" s="15"/>
    </row>
    <row r="93">
      <c r="C93" s="139"/>
      <c r="D93" s="139"/>
      <c r="F93" s="15"/>
    </row>
    <row r="94">
      <c r="C94" s="139"/>
      <c r="D94" s="139"/>
      <c r="F94" s="15"/>
    </row>
    <row r="95">
      <c r="C95" s="139"/>
      <c r="D95" s="139"/>
      <c r="F95" s="15"/>
    </row>
    <row r="96">
      <c r="C96" s="139"/>
      <c r="D96" s="139"/>
      <c r="F96" s="15"/>
    </row>
    <row r="97">
      <c r="C97" s="139"/>
      <c r="D97" s="139"/>
      <c r="F97" s="15"/>
    </row>
    <row r="98">
      <c r="C98" s="139"/>
      <c r="D98" s="139"/>
      <c r="F98" s="15"/>
    </row>
    <row r="99">
      <c r="C99" s="139"/>
      <c r="D99" s="139"/>
      <c r="F99" s="15"/>
    </row>
    <row r="100">
      <c r="C100" s="139"/>
      <c r="D100" s="139"/>
      <c r="F100" s="15"/>
    </row>
    <row r="101">
      <c r="C101" s="139"/>
      <c r="D101" s="139"/>
      <c r="F101" s="15"/>
    </row>
    <row r="102">
      <c r="C102" s="139"/>
      <c r="D102" s="139"/>
      <c r="F102" s="15"/>
    </row>
    <row r="103">
      <c r="C103" s="139"/>
      <c r="D103" s="139"/>
      <c r="F103" s="15"/>
    </row>
    <row r="104">
      <c r="C104" s="139"/>
      <c r="D104" s="139"/>
      <c r="F104" s="15"/>
    </row>
    <row r="105">
      <c r="C105" s="139"/>
      <c r="D105" s="139"/>
      <c r="F105" s="15"/>
    </row>
    <row r="106">
      <c r="C106" s="139"/>
      <c r="D106" s="139"/>
      <c r="F106" s="15"/>
    </row>
    <row r="107">
      <c r="C107" s="139"/>
      <c r="D107" s="139"/>
      <c r="F107" s="15"/>
    </row>
    <row r="108">
      <c r="C108" s="139"/>
      <c r="D108" s="139"/>
      <c r="F108" s="15"/>
    </row>
    <row r="109">
      <c r="C109" s="139"/>
      <c r="D109" s="139"/>
      <c r="F109" s="15"/>
    </row>
    <row r="110">
      <c r="C110" s="139"/>
      <c r="D110" s="139"/>
      <c r="F110" s="15"/>
    </row>
    <row r="111">
      <c r="C111" s="139"/>
      <c r="D111" s="139"/>
      <c r="F111" s="15"/>
    </row>
    <row r="112">
      <c r="C112" s="139"/>
      <c r="D112" s="139"/>
      <c r="F112" s="15"/>
    </row>
    <row r="113">
      <c r="C113" s="139"/>
      <c r="D113" s="139"/>
      <c r="F113" s="15"/>
    </row>
    <row r="114">
      <c r="C114" s="139"/>
      <c r="D114" s="139"/>
      <c r="F114" s="15"/>
    </row>
    <row r="115">
      <c r="C115" s="139"/>
      <c r="D115" s="139"/>
      <c r="F115" s="15"/>
    </row>
    <row r="116">
      <c r="C116" s="139"/>
      <c r="D116" s="139"/>
      <c r="F116" s="15"/>
    </row>
    <row r="117">
      <c r="C117" s="139"/>
      <c r="D117" s="139"/>
      <c r="F117" s="15"/>
    </row>
    <row r="118">
      <c r="C118" s="139"/>
      <c r="D118" s="139"/>
      <c r="F118" s="15"/>
    </row>
    <row r="119">
      <c r="C119" s="139"/>
      <c r="D119" s="139"/>
      <c r="F119" s="15"/>
    </row>
    <row r="120">
      <c r="C120" s="139"/>
      <c r="D120" s="139"/>
      <c r="F120" s="15"/>
    </row>
    <row r="121">
      <c r="C121" s="139"/>
      <c r="D121" s="139"/>
      <c r="F121" s="15"/>
    </row>
    <row r="122">
      <c r="C122" s="139"/>
      <c r="D122" s="139"/>
      <c r="F122" s="15"/>
    </row>
    <row r="123">
      <c r="C123" s="139"/>
      <c r="D123" s="139"/>
      <c r="F123" s="15"/>
    </row>
    <row r="124">
      <c r="C124" s="139"/>
      <c r="D124" s="139"/>
      <c r="F124" s="15"/>
    </row>
    <row r="125">
      <c r="C125" s="139"/>
      <c r="D125" s="139"/>
      <c r="F125" s="15"/>
    </row>
    <row r="126">
      <c r="C126" s="139"/>
      <c r="D126" s="139"/>
      <c r="F126" s="15"/>
    </row>
    <row r="127">
      <c r="C127" s="139"/>
      <c r="D127" s="139"/>
      <c r="F127" s="15"/>
    </row>
    <row r="128">
      <c r="C128" s="139"/>
      <c r="D128" s="139"/>
      <c r="F128" s="15"/>
    </row>
    <row r="129">
      <c r="C129" s="139"/>
      <c r="D129" s="139"/>
      <c r="F129" s="15"/>
    </row>
    <row r="130">
      <c r="C130" s="139"/>
      <c r="D130" s="139"/>
      <c r="F130" s="15"/>
    </row>
    <row r="131">
      <c r="C131" s="139"/>
      <c r="D131" s="139"/>
      <c r="F131" s="15"/>
    </row>
    <row r="132">
      <c r="C132" s="139"/>
      <c r="D132" s="139"/>
      <c r="F132" s="15"/>
    </row>
    <row r="133">
      <c r="C133" s="139"/>
      <c r="D133" s="139"/>
      <c r="F133" s="15"/>
    </row>
    <row r="134">
      <c r="C134" s="139"/>
      <c r="D134" s="139"/>
      <c r="F134" s="15"/>
    </row>
    <row r="135">
      <c r="C135" s="139"/>
      <c r="D135" s="139"/>
      <c r="F135" s="15"/>
    </row>
    <row r="136">
      <c r="C136" s="139"/>
      <c r="D136" s="139"/>
      <c r="F136" s="15"/>
    </row>
    <row r="137">
      <c r="C137" s="139"/>
      <c r="D137" s="139"/>
      <c r="F137" s="15"/>
    </row>
    <row r="138">
      <c r="C138" s="139"/>
      <c r="D138" s="139"/>
      <c r="F138" s="15"/>
    </row>
    <row r="139">
      <c r="C139" s="139"/>
      <c r="D139" s="139"/>
      <c r="F139" s="15"/>
    </row>
    <row r="140">
      <c r="C140" s="139"/>
      <c r="D140" s="139"/>
      <c r="F140" s="15"/>
    </row>
    <row r="141">
      <c r="C141" s="139"/>
      <c r="D141" s="139"/>
      <c r="F141" s="15"/>
    </row>
    <row r="142">
      <c r="C142" s="139"/>
      <c r="D142" s="139"/>
      <c r="F142" s="15"/>
    </row>
    <row r="143">
      <c r="C143" s="139"/>
      <c r="D143" s="139"/>
      <c r="F143" s="15"/>
    </row>
    <row r="144">
      <c r="C144" s="139"/>
      <c r="D144" s="139"/>
      <c r="F144" s="15"/>
    </row>
    <row r="145">
      <c r="C145" s="139"/>
      <c r="D145" s="139"/>
      <c r="F145" s="15"/>
    </row>
    <row r="146">
      <c r="C146" s="139"/>
      <c r="D146" s="139"/>
      <c r="F146" s="15"/>
    </row>
    <row r="147">
      <c r="C147" s="139"/>
      <c r="D147" s="139"/>
      <c r="F147" s="15"/>
    </row>
    <row r="148">
      <c r="C148" s="139"/>
      <c r="D148" s="139"/>
      <c r="F148" s="15"/>
    </row>
    <row r="149">
      <c r="C149" s="139"/>
      <c r="D149" s="139"/>
      <c r="F149" s="15"/>
    </row>
    <row r="150">
      <c r="C150" s="139"/>
      <c r="D150" s="139"/>
      <c r="F150" s="15"/>
    </row>
    <row r="151">
      <c r="C151" s="139"/>
      <c r="D151" s="139"/>
      <c r="F151" s="15"/>
    </row>
    <row r="152">
      <c r="C152" s="139"/>
      <c r="D152" s="139"/>
      <c r="F152" s="15"/>
    </row>
    <row r="153">
      <c r="C153" s="139"/>
      <c r="D153" s="139"/>
      <c r="F153" s="15"/>
    </row>
    <row r="154">
      <c r="C154" s="139"/>
      <c r="D154" s="139"/>
      <c r="F154" s="15"/>
    </row>
    <row r="155">
      <c r="C155" s="139"/>
      <c r="D155" s="139"/>
      <c r="F155" s="15"/>
    </row>
    <row r="156">
      <c r="C156" s="139"/>
      <c r="D156" s="139"/>
      <c r="F156" s="15"/>
    </row>
    <row r="157">
      <c r="C157" s="139"/>
      <c r="D157" s="139"/>
      <c r="F157" s="15"/>
    </row>
    <row r="158">
      <c r="C158" s="139"/>
      <c r="D158" s="139"/>
      <c r="F158" s="15"/>
    </row>
    <row r="159">
      <c r="C159" s="139"/>
      <c r="D159" s="139"/>
      <c r="F159" s="15"/>
    </row>
    <row r="160">
      <c r="C160" s="139"/>
      <c r="D160" s="139"/>
      <c r="F160" s="15"/>
    </row>
    <row r="161">
      <c r="C161" s="139"/>
      <c r="D161" s="139"/>
      <c r="F161" s="15"/>
    </row>
    <row r="162">
      <c r="C162" s="139"/>
      <c r="D162" s="139"/>
      <c r="F162" s="15"/>
    </row>
    <row r="163">
      <c r="C163" s="139"/>
      <c r="D163" s="139"/>
      <c r="F163" s="15"/>
    </row>
    <row r="164">
      <c r="C164" s="139"/>
      <c r="D164" s="139"/>
      <c r="F164" s="15"/>
    </row>
    <row r="165">
      <c r="C165" s="139"/>
      <c r="D165" s="139"/>
      <c r="F165" s="15"/>
    </row>
    <row r="166">
      <c r="C166" s="139"/>
      <c r="D166" s="139"/>
      <c r="F166" s="15"/>
    </row>
    <row r="167">
      <c r="C167" s="139"/>
      <c r="D167" s="139"/>
      <c r="F167" s="15"/>
    </row>
    <row r="168">
      <c r="C168" s="139"/>
      <c r="D168" s="139"/>
      <c r="F168" s="15"/>
    </row>
    <row r="169">
      <c r="C169" s="139"/>
      <c r="D169" s="139"/>
      <c r="F169" s="15"/>
    </row>
    <row r="170">
      <c r="C170" s="139"/>
      <c r="D170" s="139"/>
      <c r="F170" s="15"/>
    </row>
    <row r="171">
      <c r="C171" s="139"/>
      <c r="D171" s="139"/>
      <c r="F171" s="15"/>
    </row>
    <row r="172">
      <c r="C172" s="139"/>
      <c r="D172" s="139"/>
      <c r="F172" s="15"/>
    </row>
    <row r="173">
      <c r="C173" s="139"/>
      <c r="D173" s="139"/>
      <c r="F173" s="15"/>
    </row>
    <row r="174">
      <c r="C174" s="139"/>
      <c r="D174" s="139"/>
      <c r="F174" s="15"/>
    </row>
    <row r="175">
      <c r="C175" s="139"/>
      <c r="D175" s="139"/>
      <c r="F175" s="15"/>
    </row>
    <row r="176">
      <c r="C176" s="139"/>
      <c r="D176" s="139"/>
      <c r="F176" s="15"/>
    </row>
    <row r="177">
      <c r="C177" s="139"/>
      <c r="D177" s="139"/>
      <c r="F177" s="15"/>
    </row>
    <row r="178">
      <c r="C178" s="139"/>
      <c r="D178" s="139"/>
      <c r="F178" s="15"/>
    </row>
    <row r="179">
      <c r="C179" s="139"/>
      <c r="D179" s="139"/>
      <c r="F179" s="15"/>
    </row>
    <row r="180">
      <c r="C180" s="139"/>
      <c r="D180" s="139"/>
      <c r="F180" s="15"/>
    </row>
    <row r="181">
      <c r="C181" s="139"/>
      <c r="D181" s="139"/>
      <c r="F181" s="15"/>
    </row>
    <row r="182">
      <c r="C182" s="139"/>
      <c r="D182" s="139"/>
      <c r="F182" s="15"/>
    </row>
    <row r="183">
      <c r="C183" s="139"/>
      <c r="D183" s="139"/>
      <c r="F183" s="15"/>
    </row>
    <row r="184">
      <c r="C184" s="139"/>
      <c r="D184" s="139"/>
      <c r="F184" s="15"/>
    </row>
    <row r="185">
      <c r="C185" s="139"/>
      <c r="D185" s="139"/>
      <c r="F185" s="15"/>
    </row>
    <row r="186">
      <c r="C186" s="139"/>
      <c r="D186" s="139"/>
      <c r="F186" s="15"/>
    </row>
    <row r="187">
      <c r="C187" s="139"/>
      <c r="D187" s="139"/>
      <c r="F187" s="15"/>
    </row>
    <row r="188">
      <c r="C188" s="139"/>
      <c r="D188" s="139"/>
      <c r="F188" s="15"/>
    </row>
    <row r="189">
      <c r="C189" s="139"/>
      <c r="D189" s="139"/>
      <c r="F189" s="15"/>
    </row>
    <row r="190">
      <c r="C190" s="139"/>
      <c r="D190" s="139"/>
      <c r="F190" s="15"/>
    </row>
    <row r="191">
      <c r="C191" s="139"/>
      <c r="D191" s="139"/>
      <c r="F191" s="15"/>
    </row>
    <row r="192">
      <c r="C192" s="139"/>
      <c r="D192" s="139"/>
      <c r="F192" s="15"/>
    </row>
    <row r="193">
      <c r="C193" s="139"/>
      <c r="D193" s="139"/>
      <c r="F193" s="15"/>
    </row>
    <row r="194">
      <c r="C194" s="139"/>
      <c r="D194" s="139"/>
      <c r="F194" s="15"/>
    </row>
    <row r="195">
      <c r="C195" s="139"/>
      <c r="D195" s="139"/>
      <c r="F195" s="15"/>
    </row>
    <row r="196">
      <c r="C196" s="139"/>
      <c r="D196" s="139"/>
      <c r="F196" s="15"/>
    </row>
    <row r="197">
      <c r="C197" s="139"/>
      <c r="D197" s="139"/>
      <c r="F197" s="15"/>
    </row>
    <row r="198">
      <c r="C198" s="139"/>
      <c r="D198" s="139"/>
      <c r="F198" s="15"/>
    </row>
    <row r="199">
      <c r="C199" s="139"/>
      <c r="D199" s="139"/>
      <c r="F199" s="15"/>
    </row>
    <row r="200">
      <c r="C200" s="139"/>
      <c r="D200" s="139"/>
      <c r="F200" s="15"/>
    </row>
    <row r="201">
      <c r="C201" s="139"/>
      <c r="D201" s="139"/>
      <c r="F201" s="15"/>
    </row>
    <row r="202">
      <c r="C202" s="139"/>
      <c r="D202" s="139"/>
      <c r="F202" s="15"/>
    </row>
    <row r="203">
      <c r="C203" s="139"/>
      <c r="D203" s="139"/>
      <c r="F203" s="15"/>
    </row>
    <row r="204">
      <c r="C204" s="139"/>
      <c r="D204" s="139"/>
      <c r="F204" s="15"/>
    </row>
    <row r="205">
      <c r="C205" s="139"/>
      <c r="D205" s="139"/>
      <c r="F205" s="15"/>
    </row>
    <row r="206">
      <c r="C206" s="139"/>
      <c r="D206" s="139"/>
      <c r="F206" s="15"/>
    </row>
    <row r="207">
      <c r="C207" s="139"/>
      <c r="D207" s="139"/>
      <c r="F207" s="15"/>
    </row>
    <row r="208">
      <c r="C208" s="139"/>
      <c r="D208" s="139"/>
      <c r="F208" s="15"/>
    </row>
    <row r="209">
      <c r="C209" s="139"/>
      <c r="D209" s="139"/>
      <c r="F209" s="15"/>
    </row>
    <row r="210">
      <c r="C210" s="139"/>
      <c r="D210" s="139"/>
      <c r="F210" s="15"/>
    </row>
    <row r="211">
      <c r="C211" s="139"/>
      <c r="D211" s="139"/>
      <c r="F211" s="15"/>
    </row>
    <row r="212">
      <c r="C212" s="139"/>
      <c r="D212" s="139"/>
      <c r="F212" s="15"/>
    </row>
    <row r="213">
      <c r="C213" s="139"/>
      <c r="D213" s="139"/>
      <c r="F213" s="15"/>
    </row>
    <row r="214">
      <c r="C214" s="139"/>
      <c r="D214" s="139"/>
      <c r="F214" s="15"/>
    </row>
    <row r="215">
      <c r="C215" s="139"/>
      <c r="D215" s="139"/>
      <c r="F215" s="15"/>
    </row>
    <row r="216">
      <c r="C216" s="139"/>
      <c r="D216" s="139"/>
      <c r="F216" s="15"/>
    </row>
    <row r="217">
      <c r="C217" s="139"/>
      <c r="D217" s="139"/>
      <c r="F217" s="15"/>
    </row>
    <row r="218">
      <c r="C218" s="139"/>
      <c r="D218" s="139"/>
      <c r="F218" s="15"/>
    </row>
    <row r="219">
      <c r="C219" s="139"/>
      <c r="D219" s="139"/>
      <c r="F219" s="15"/>
    </row>
    <row r="220">
      <c r="C220" s="139"/>
      <c r="D220" s="139"/>
      <c r="F220" s="15"/>
    </row>
    <row r="221">
      <c r="C221" s="139"/>
      <c r="D221" s="139"/>
      <c r="F221" s="15"/>
    </row>
    <row r="222">
      <c r="C222" s="139"/>
      <c r="D222" s="139"/>
      <c r="F222" s="15"/>
    </row>
    <row r="223">
      <c r="C223" s="139"/>
      <c r="D223" s="139"/>
      <c r="F223" s="15"/>
    </row>
    <row r="224">
      <c r="C224" s="139"/>
      <c r="D224" s="139"/>
      <c r="F224" s="15"/>
    </row>
    <row r="225">
      <c r="C225" s="139"/>
      <c r="D225" s="139"/>
      <c r="F225" s="15"/>
    </row>
    <row r="226">
      <c r="C226" s="139"/>
      <c r="D226" s="139"/>
      <c r="F226" s="15"/>
    </row>
    <row r="227">
      <c r="C227" s="139"/>
      <c r="D227" s="139"/>
      <c r="F227" s="15"/>
    </row>
    <row r="228">
      <c r="C228" s="139"/>
      <c r="D228" s="139"/>
      <c r="F228" s="15"/>
    </row>
    <row r="229">
      <c r="C229" s="139"/>
      <c r="D229" s="139"/>
      <c r="F229" s="15"/>
    </row>
    <row r="230">
      <c r="C230" s="139"/>
      <c r="D230" s="139"/>
      <c r="F230" s="15"/>
    </row>
    <row r="231">
      <c r="C231" s="139"/>
      <c r="D231" s="139"/>
      <c r="F231" s="15"/>
    </row>
    <row r="232">
      <c r="C232" s="139"/>
      <c r="D232" s="139"/>
      <c r="F232" s="15"/>
    </row>
    <row r="233">
      <c r="C233" s="139"/>
      <c r="D233" s="139"/>
      <c r="F233" s="15"/>
    </row>
    <row r="234">
      <c r="C234" s="139"/>
      <c r="D234" s="139"/>
      <c r="F234" s="15"/>
    </row>
    <row r="235">
      <c r="C235" s="139"/>
      <c r="D235" s="139"/>
      <c r="F235" s="15"/>
    </row>
    <row r="236">
      <c r="C236" s="139"/>
      <c r="D236" s="139"/>
      <c r="F236" s="15"/>
    </row>
    <row r="237">
      <c r="C237" s="139"/>
      <c r="D237" s="139"/>
      <c r="F237" s="15"/>
    </row>
    <row r="238">
      <c r="C238" s="139"/>
      <c r="D238" s="139"/>
      <c r="F238" s="15"/>
    </row>
    <row r="239">
      <c r="C239" s="139"/>
      <c r="D239" s="139"/>
      <c r="F239" s="15"/>
    </row>
    <row r="240">
      <c r="C240" s="139"/>
      <c r="D240" s="139"/>
      <c r="F240" s="15"/>
    </row>
    <row r="241">
      <c r="C241" s="139"/>
      <c r="D241" s="139"/>
      <c r="F241" s="15"/>
    </row>
    <row r="242">
      <c r="C242" s="139"/>
      <c r="D242" s="139"/>
      <c r="F242" s="15"/>
    </row>
    <row r="243">
      <c r="C243" s="139"/>
      <c r="D243" s="139"/>
      <c r="F243" s="15"/>
    </row>
    <row r="244">
      <c r="C244" s="139"/>
      <c r="D244" s="139"/>
      <c r="F244" s="15"/>
    </row>
    <row r="245">
      <c r="C245" s="139"/>
      <c r="D245" s="139"/>
      <c r="F245" s="15"/>
    </row>
    <row r="246">
      <c r="C246" s="139"/>
      <c r="D246" s="139"/>
      <c r="F246" s="15"/>
    </row>
    <row r="247">
      <c r="C247" s="139"/>
      <c r="D247" s="139"/>
      <c r="F247" s="15"/>
    </row>
    <row r="248">
      <c r="C248" s="139"/>
      <c r="D248" s="139"/>
      <c r="F248" s="15"/>
    </row>
    <row r="249">
      <c r="C249" s="139"/>
      <c r="D249" s="139"/>
      <c r="F249" s="15"/>
    </row>
    <row r="250">
      <c r="C250" s="139"/>
      <c r="D250" s="139"/>
      <c r="F250" s="15"/>
    </row>
    <row r="251">
      <c r="C251" s="139"/>
      <c r="D251" s="139"/>
      <c r="F251" s="15"/>
    </row>
    <row r="252">
      <c r="C252" s="139"/>
      <c r="D252" s="139"/>
      <c r="F252" s="15"/>
    </row>
    <row r="253">
      <c r="C253" s="139"/>
      <c r="D253" s="139"/>
      <c r="F253" s="15"/>
    </row>
    <row r="254">
      <c r="C254" s="139"/>
      <c r="D254" s="139"/>
      <c r="F254" s="15"/>
    </row>
    <row r="255">
      <c r="C255" s="139"/>
      <c r="D255" s="139"/>
      <c r="F255" s="15"/>
    </row>
    <row r="256">
      <c r="C256" s="139"/>
      <c r="D256" s="139"/>
      <c r="F256" s="15"/>
    </row>
    <row r="257">
      <c r="C257" s="139"/>
      <c r="D257" s="139"/>
      <c r="F257" s="15"/>
    </row>
    <row r="258">
      <c r="C258" s="139"/>
      <c r="D258" s="139"/>
      <c r="F258" s="15"/>
    </row>
    <row r="259">
      <c r="C259" s="139"/>
      <c r="D259" s="139"/>
      <c r="F259" s="15"/>
    </row>
    <row r="260">
      <c r="C260" s="139"/>
      <c r="D260" s="139"/>
      <c r="F260" s="15"/>
    </row>
    <row r="261">
      <c r="C261" s="139"/>
      <c r="D261" s="139"/>
      <c r="F261" s="15"/>
    </row>
    <row r="262">
      <c r="C262" s="139"/>
      <c r="D262" s="139"/>
      <c r="F262" s="15"/>
    </row>
    <row r="263">
      <c r="C263" s="139"/>
      <c r="D263" s="139"/>
      <c r="F263" s="15"/>
    </row>
    <row r="264">
      <c r="C264" s="139"/>
      <c r="D264" s="139"/>
      <c r="F264" s="15"/>
    </row>
    <row r="265">
      <c r="C265" s="139"/>
      <c r="D265" s="139"/>
      <c r="F265" s="15"/>
    </row>
    <row r="266">
      <c r="C266" s="139"/>
      <c r="D266" s="139"/>
      <c r="F266" s="15"/>
    </row>
    <row r="267">
      <c r="C267" s="139"/>
      <c r="D267" s="139"/>
      <c r="F267" s="15"/>
    </row>
    <row r="268">
      <c r="C268" s="139"/>
      <c r="D268" s="139"/>
      <c r="F268" s="15"/>
    </row>
    <row r="269">
      <c r="C269" s="139"/>
      <c r="D269" s="139"/>
      <c r="F269" s="15"/>
    </row>
    <row r="270">
      <c r="C270" s="139"/>
      <c r="D270" s="139"/>
      <c r="F270" s="15"/>
    </row>
    <row r="271">
      <c r="C271" s="139"/>
      <c r="D271" s="139"/>
      <c r="F271" s="15"/>
    </row>
    <row r="272">
      <c r="C272" s="139"/>
      <c r="D272" s="139"/>
      <c r="F272" s="15"/>
    </row>
    <row r="273">
      <c r="C273" s="139"/>
      <c r="D273" s="139"/>
      <c r="F273" s="15"/>
    </row>
    <row r="274">
      <c r="C274" s="139"/>
      <c r="D274" s="139"/>
      <c r="F274" s="15"/>
    </row>
    <row r="275">
      <c r="C275" s="139"/>
      <c r="D275" s="139"/>
      <c r="F275" s="15"/>
    </row>
    <row r="276">
      <c r="C276" s="139"/>
      <c r="D276" s="139"/>
      <c r="F276" s="15"/>
    </row>
    <row r="277">
      <c r="C277" s="139"/>
      <c r="D277" s="139"/>
      <c r="F277" s="15"/>
    </row>
    <row r="278">
      <c r="C278" s="139"/>
      <c r="D278" s="139"/>
      <c r="F278" s="15"/>
    </row>
    <row r="279">
      <c r="C279" s="139"/>
      <c r="D279" s="139"/>
      <c r="F279" s="15"/>
    </row>
    <row r="280">
      <c r="C280" s="139"/>
      <c r="D280" s="139"/>
      <c r="F280" s="15"/>
    </row>
    <row r="281">
      <c r="C281" s="139"/>
      <c r="D281" s="139"/>
      <c r="F281" s="15"/>
    </row>
    <row r="282">
      <c r="C282" s="139"/>
      <c r="D282" s="139"/>
      <c r="F282" s="15"/>
    </row>
    <row r="283">
      <c r="C283" s="139"/>
      <c r="D283" s="139"/>
      <c r="F283" s="15"/>
    </row>
    <row r="284">
      <c r="C284" s="139"/>
      <c r="D284" s="139"/>
      <c r="F284" s="15"/>
    </row>
    <row r="285">
      <c r="C285" s="139"/>
      <c r="D285" s="139"/>
      <c r="F285" s="15"/>
    </row>
    <row r="286">
      <c r="C286" s="139"/>
      <c r="D286" s="139"/>
      <c r="F286" s="15"/>
    </row>
    <row r="287">
      <c r="C287" s="139"/>
      <c r="D287" s="139"/>
      <c r="F287" s="15"/>
    </row>
    <row r="288">
      <c r="C288" s="139"/>
      <c r="D288" s="139"/>
      <c r="F288" s="15"/>
    </row>
    <row r="289">
      <c r="C289" s="139"/>
      <c r="D289" s="139"/>
      <c r="F289" s="15"/>
    </row>
    <row r="290">
      <c r="C290" s="139"/>
      <c r="D290" s="139"/>
      <c r="F290" s="15"/>
    </row>
    <row r="291">
      <c r="C291" s="139"/>
      <c r="D291" s="139"/>
      <c r="F291" s="15"/>
    </row>
    <row r="292">
      <c r="C292" s="139"/>
      <c r="D292" s="139"/>
      <c r="F292" s="15"/>
    </row>
    <row r="293">
      <c r="C293" s="139"/>
      <c r="D293" s="139"/>
      <c r="F293" s="15"/>
    </row>
    <row r="294">
      <c r="C294" s="139"/>
      <c r="D294" s="139"/>
      <c r="F294" s="15"/>
    </row>
    <row r="295">
      <c r="C295" s="139"/>
      <c r="D295" s="139"/>
      <c r="F295" s="15"/>
    </row>
    <row r="296">
      <c r="C296" s="139"/>
      <c r="D296" s="139"/>
      <c r="F296" s="15"/>
    </row>
    <row r="297">
      <c r="C297" s="139"/>
      <c r="D297" s="139"/>
      <c r="F297" s="15"/>
    </row>
    <row r="298">
      <c r="C298" s="139"/>
      <c r="D298" s="139"/>
      <c r="F298" s="15"/>
    </row>
    <row r="299">
      <c r="C299" s="139"/>
      <c r="D299" s="139"/>
      <c r="F299" s="15"/>
    </row>
    <row r="300">
      <c r="C300" s="139"/>
      <c r="D300" s="139"/>
      <c r="F300" s="15"/>
    </row>
    <row r="301">
      <c r="C301" s="139"/>
      <c r="D301" s="139"/>
      <c r="F301" s="15"/>
    </row>
    <row r="302">
      <c r="C302" s="139"/>
      <c r="D302" s="139"/>
      <c r="F302" s="15"/>
    </row>
    <row r="303">
      <c r="C303" s="139"/>
      <c r="D303" s="139"/>
      <c r="F303" s="15"/>
    </row>
    <row r="304">
      <c r="C304" s="139"/>
      <c r="D304" s="139"/>
      <c r="F304" s="15"/>
    </row>
    <row r="305">
      <c r="C305" s="139"/>
      <c r="D305" s="139"/>
      <c r="F305" s="15"/>
    </row>
    <row r="306">
      <c r="C306" s="139"/>
      <c r="D306" s="139"/>
      <c r="F306" s="15"/>
    </row>
    <row r="307">
      <c r="C307" s="139"/>
      <c r="D307" s="139"/>
      <c r="F307" s="15"/>
    </row>
    <row r="308">
      <c r="C308" s="139"/>
      <c r="D308" s="139"/>
      <c r="F308" s="15"/>
    </row>
    <row r="309">
      <c r="C309" s="139"/>
      <c r="D309" s="139"/>
      <c r="F309" s="15"/>
    </row>
    <row r="310">
      <c r="C310" s="139"/>
      <c r="D310" s="139"/>
      <c r="F310" s="15"/>
    </row>
    <row r="311">
      <c r="C311" s="139"/>
      <c r="D311" s="139"/>
      <c r="F311" s="15"/>
    </row>
    <row r="312">
      <c r="C312" s="139"/>
      <c r="D312" s="139"/>
      <c r="F312" s="15"/>
    </row>
    <row r="313">
      <c r="C313" s="139"/>
      <c r="D313" s="139"/>
      <c r="F313" s="15"/>
    </row>
    <row r="314">
      <c r="C314" s="139"/>
      <c r="D314" s="139"/>
      <c r="F314" s="15"/>
    </row>
    <row r="315">
      <c r="C315" s="139"/>
      <c r="D315" s="139"/>
      <c r="F315" s="15"/>
    </row>
    <row r="316">
      <c r="C316" s="139"/>
      <c r="D316" s="139"/>
      <c r="F316" s="15"/>
    </row>
    <row r="317">
      <c r="C317" s="139"/>
      <c r="D317" s="139"/>
      <c r="F317" s="15"/>
    </row>
    <row r="318">
      <c r="C318" s="139"/>
      <c r="D318" s="139"/>
      <c r="F318" s="15"/>
    </row>
    <row r="319">
      <c r="C319" s="139"/>
      <c r="D319" s="139"/>
      <c r="F319" s="15"/>
    </row>
    <row r="320">
      <c r="C320" s="139"/>
      <c r="D320" s="139"/>
      <c r="F320" s="15"/>
    </row>
    <row r="321">
      <c r="C321" s="139"/>
      <c r="D321" s="139"/>
      <c r="F321" s="15"/>
    </row>
    <row r="322">
      <c r="C322" s="139"/>
      <c r="D322" s="139"/>
      <c r="F322" s="15"/>
    </row>
    <row r="323">
      <c r="C323" s="139"/>
      <c r="D323" s="139"/>
      <c r="F323" s="15"/>
    </row>
    <row r="324">
      <c r="C324" s="139"/>
      <c r="D324" s="139"/>
      <c r="F324" s="15"/>
    </row>
    <row r="325">
      <c r="C325" s="139"/>
      <c r="D325" s="139"/>
      <c r="F325" s="15"/>
    </row>
    <row r="326">
      <c r="C326" s="139"/>
      <c r="D326" s="139"/>
      <c r="F326" s="15"/>
    </row>
    <row r="327">
      <c r="C327" s="139"/>
      <c r="D327" s="139"/>
      <c r="F327" s="15"/>
    </row>
    <row r="328">
      <c r="C328" s="139"/>
      <c r="D328" s="139"/>
      <c r="F328" s="15"/>
    </row>
    <row r="329">
      <c r="C329" s="139"/>
      <c r="D329" s="139"/>
      <c r="F329" s="15"/>
    </row>
    <row r="330">
      <c r="C330" s="139"/>
      <c r="D330" s="139"/>
      <c r="F330" s="15"/>
    </row>
    <row r="331">
      <c r="C331" s="139"/>
      <c r="D331" s="139"/>
      <c r="F331" s="15"/>
    </row>
    <row r="332">
      <c r="C332" s="139"/>
      <c r="D332" s="139"/>
      <c r="F332" s="15"/>
    </row>
    <row r="333">
      <c r="C333" s="139"/>
      <c r="D333" s="139"/>
      <c r="F333" s="15"/>
    </row>
    <row r="334">
      <c r="C334" s="139"/>
      <c r="D334" s="139"/>
      <c r="F334" s="15"/>
    </row>
    <row r="335">
      <c r="C335" s="139"/>
      <c r="D335" s="139"/>
      <c r="F335" s="15"/>
    </row>
    <row r="336">
      <c r="C336" s="139"/>
      <c r="D336" s="139"/>
      <c r="F336" s="15"/>
    </row>
    <row r="337">
      <c r="C337" s="139"/>
      <c r="D337" s="139"/>
      <c r="F337" s="15"/>
    </row>
    <row r="338">
      <c r="C338" s="139"/>
      <c r="D338" s="139"/>
      <c r="F338" s="15"/>
    </row>
    <row r="339">
      <c r="C339" s="139"/>
      <c r="D339" s="139"/>
      <c r="F339" s="15"/>
    </row>
    <row r="340">
      <c r="C340" s="139"/>
      <c r="D340" s="139"/>
      <c r="F340" s="15"/>
    </row>
    <row r="341">
      <c r="C341" s="139"/>
      <c r="D341" s="139"/>
      <c r="F341" s="15"/>
    </row>
    <row r="342">
      <c r="C342" s="139"/>
      <c r="D342" s="139"/>
      <c r="F342" s="15"/>
    </row>
    <row r="343">
      <c r="C343" s="139"/>
      <c r="D343" s="139"/>
      <c r="F343" s="15"/>
    </row>
    <row r="344">
      <c r="C344" s="139"/>
      <c r="D344" s="139"/>
      <c r="F344" s="15"/>
    </row>
    <row r="345">
      <c r="C345" s="139"/>
      <c r="D345" s="139"/>
      <c r="F345" s="15"/>
    </row>
    <row r="346">
      <c r="C346" s="139"/>
      <c r="D346" s="139"/>
      <c r="F346" s="15"/>
    </row>
    <row r="347">
      <c r="C347" s="139"/>
      <c r="D347" s="139"/>
      <c r="F347" s="15"/>
    </row>
    <row r="348">
      <c r="C348" s="139"/>
      <c r="D348" s="139"/>
      <c r="F348" s="15"/>
    </row>
    <row r="349">
      <c r="C349" s="139"/>
      <c r="D349" s="139"/>
      <c r="F349" s="15"/>
    </row>
    <row r="350">
      <c r="C350" s="139"/>
      <c r="D350" s="139"/>
      <c r="F350" s="15"/>
    </row>
    <row r="351">
      <c r="C351" s="139"/>
      <c r="D351" s="139"/>
      <c r="F351" s="15"/>
    </row>
    <row r="352">
      <c r="C352" s="139"/>
      <c r="D352" s="139"/>
      <c r="F352" s="15"/>
    </row>
    <row r="353">
      <c r="C353" s="139"/>
      <c r="D353" s="139"/>
      <c r="F353" s="15"/>
    </row>
    <row r="354">
      <c r="C354" s="139"/>
      <c r="D354" s="139"/>
      <c r="F354" s="15"/>
    </row>
    <row r="355">
      <c r="C355" s="139"/>
      <c r="D355" s="139"/>
      <c r="F355" s="15"/>
    </row>
    <row r="356">
      <c r="C356" s="139"/>
      <c r="D356" s="139"/>
      <c r="F356" s="15"/>
    </row>
    <row r="357">
      <c r="C357" s="139"/>
      <c r="D357" s="139"/>
      <c r="F357" s="15"/>
    </row>
    <row r="358">
      <c r="C358" s="139"/>
      <c r="D358" s="139"/>
      <c r="F358" s="15"/>
    </row>
    <row r="359">
      <c r="C359" s="139"/>
      <c r="D359" s="139"/>
      <c r="F359" s="15"/>
    </row>
    <row r="360">
      <c r="C360" s="139"/>
      <c r="D360" s="139"/>
      <c r="F360" s="15"/>
    </row>
    <row r="361">
      <c r="C361" s="139"/>
      <c r="D361" s="139"/>
      <c r="F361" s="15"/>
    </row>
    <row r="362">
      <c r="C362" s="139"/>
      <c r="D362" s="139"/>
      <c r="F362" s="15"/>
    </row>
    <row r="363">
      <c r="C363" s="139"/>
      <c r="D363" s="139"/>
      <c r="F363" s="15"/>
    </row>
    <row r="364">
      <c r="C364" s="139"/>
      <c r="D364" s="139"/>
      <c r="F364" s="15"/>
    </row>
    <row r="365">
      <c r="C365" s="139"/>
      <c r="D365" s="139"/>
      <c r="F365" s="15"/>
    </row>
    <row r="366">
      <c r="C366" s="139"/>
      <c r="D366" s="139"/>
      <c r="F366" s="15"/>
    </row>
    <row r="367">
      <c r="C367" s="139"/>
      <c r="D367" s="139"/>
      <c r="F367" s="15"/>
    </row>
    <row r="368">
      <c r="C368" s="139"/>
      <c r="D368" s="139"/>
      <c r="F368" s="15"/>
    </row>
    <row r="369">
      <c r="C369" s="139"/>
      <c r="D369" s="139"/>
      <c r="F369" s="15"/>
    </row>
    <row r="370">
      <c r="C370" s="139"/>
      <c r="D370" s="139"/>
      <c r="F370" s="15"/>
    </row>
    <row r="371">
      <c r="C371" s="139"/>
      <c r="D371" s="139"/>
      <c r="F371" s="15"/>
    </row>
    <row r="372">
      <c r="C372" s="139"/>
      <c r="D372" s="139"/>
      <c r="F372" s="15"/>
    </row>
    <row r="373">
      <c r="C373" s="139"/>
      <c r="D373" s="139"/>
      <c r="F373" s="15"/>
    </row>
    <row r="374">
      <c r="C374" s="139"/>
      <c r="D374" s="139"/>
      <c r="F374" s="15"/>
    </row>
    <row r="375">
      <c r="C375" s="139"/>
      <c r="D375" s="139"/>
      <c r="F375" s="15"/>
    </row>
    <row r="376">
      <c r="C376" s="139"/>
      <c r="D376" s="139"/>
      <c r="F376" s="15"/>
    </row>
    <row r="377">
      <c r="C377" s="139"/>
      <c r="D377" s="139"/>
      <c r="F377" s="15"/>
    </row>
    <row r="378">
      <c r="C378" s="139"/>
      <c r="D378" s="139"/>
      <c r="F378" s="15"/>
    </row>
    <row r="379">
      <c r="C379" s="139"/>
      <c r="D379" s="139"/>
      <c r="F379" s="15"/>
    </row>
    <row r="380">
      <c r="C380" s="139"/>
      <c r="D380" s="139"/>
      <c r="F380" s="15"/>
    </row>
    <row r="381">
      <c r="C381" s="139"/>
      <c r="D381" s="139"/>
      <c r="F381" s="15"/>
    </row>
    <row r="382">
      <c r="C382" s="139"/>
      <c r="D382" s="139"/>
      <c r="F382" s="15"/>
    </row>
    <row r="383">
      <c r="C383" s="139"/>
      <c r="D383" s="139"/>
      <c r="F383" s="15"/>
    </row>
    <row r="384">
      <c r="C384" s="139"/>
      <c r="D384" s="139"/>
      <c r="F384" s="15"/>
    </row>
    <row r="385">
      <c r="C385" s="139"/>
      <c r="D385" s="139"/>
      <c r="F385" s="15"/>
    </row>
    <row r="386">
      <c r="C386" s="139"/>
      <c r="D386" s="139"/>
      <c r="F386" s="15"/>
    </row>
    <row r="387">
      <c r="C387" s="139"/>
      <c r="D387" s="139"/>
      <c r="F387" s="15"/>
    </row>
    <row r="388">
      <c r="C388" s="139"/>
      <c r="D388" s="139"/>
      <c r="F388" s="15"/>
    </row>
    <row r="389">
      <c r="C389" s="139"/>
      <c r="D389" s="139"/>
      <c r="F389" s="15"/>
    </row>
    <row r="390">
      <c r="C390" s="139"/>
      <c r="D390" s="139"/>
      <c r="F390" s="15"/>
    </row>
    <row r="391">
      <c r="C391" s="139"/>
      <c r="D391" s="139"/>
      <c r="F391" s="15"/>
    </row>
    <row r="392">
      <c r="C392" s="139"/>
      <c r="D392" s="139"/>
      <c r="F392" s="15"/>
    </row>
    <row r="393">
      <c r="C393" s="139"/>
      <c r="D393" s="139"/>
      <c r="F393" s="15"/>
    </row>
    <row r="394">
      <c r="C394" s="139"/>
      <c r="D394" s="139"/>
      <c r="F394" s="15"/>
    </row>
    <row r="395">
      <c r="C395" s="139"/>
      <c r="D395" s="139"/>
      <c r="F395" s="15"/>
    </row>
    <row r="396">
      <c r="C396" s="139"/>
      <c r="D396" s="139"/>
      <c r="F396" s="15"/>
    </row>
    <row r="397">
      <c r="C397" s="139"/>
      <c r="D397" s="139"/>
      <c r="F397" s="15"/>
    </row>
    <row r="398">
      <c r="C398" s="139"/>
      <c r="D398" s="139"/>
      <c r="F398" s="15"/>
    </row>
    <row r="399">
      <c r="C399" s="139"/>
      <c r="D399" s="139"/>
      <c r="F399" s="15"/>
    </row>
    <row r="400">
      <c r="C400" s="139"/>
      <c r="D400" s="139"/>
      <c r="F400" s="15"/>
    </row>
    <row r="401">
      <c r="C401" s="139"/>
      <c r="D401" s="139"/>
      <c r="F401" s="15"/>
    </row>
    <row r="402">
      <c r="C402" s="139"/>
      <c r="D402" s="139"/>
      <c r="F402" s="15"/>
    </row>
    <row r="403">
      <c r="C403" s="139"/>
      <c r="D403" s="139"/>
      <c r="F403" s="15"/>
    </row>
    <row r="404">
      <c r="C404" s="139"/>
      <c r="D404" s="139"/>
      <c r="F404" s="15"/>
    </row>
    <row r="405">
      <c r="C405" s="139"/>
      <c r="D405" s="139"/>
      <c r="F405" s="15"/>
    </row>
    <row r="406">
      <c r="C406" s="139"/>
      <c r="D406" s="139"/>
      <c r="F406" s="15"/>
    </row>
    <row r="407">
      <c r="C407" s="139"/>
      <c r="D407" s="139"/>
      <c r="F407" s="15"/>
    </row>
    <row r="408">
      <c r="C408" s="139"/>
      <c r="D408" s="139"/>
      <c r="F408" s="15"/>
    </row>
    <row r="409">
      <c r="C409" s="139"/>
      <c r="D409" s="139"/>
      <c r="F409" s="15"/>
    </row>
    <row r="410">
      <c r="C410" s="139"/>
      <c r="D410" s="139"/>
      <c r="F410" s="15"/>
    </row>
    <row r="411">
      <c r="C411" s="139"/>
      <c r="D411" s="139"/>
      <c r="F411" s="15"/>
    </row>
    <row r="412">
      <c r="C412" s="139"/>
      <c r="D412" s="139"/>
      <c r="F412" s="15"/>
    </row>
    <row r="413">
      <c r="C413" s="139"/>
      <c r="D413" s="139"/>
      <c r="F413" s="15"/>
    </row>
    <row r="414">
      <c r="C414" s="139"/>
      <c r="D414" s="139"/>
      <c r="F414" s="15"/>
    </row>
    <row r="415">
      <c r="C415" s="139"/>
      <c r="D415" s="139"/>
      <c r="F415" s="15"/>
    </row>
    <row r="416">
      <c r="C416" s="139"/>
      <c r="D416" s="139"/>
      <c r="F416" s="15"/>
    </row>
    <row r="417">
      <c r="C417" s="139"/>
      <c r="D417" s="139"/>
      <c r="F417" s="15"/>
    </row>
    <row r="418">
      <c r="C418" s="139"/>
      <c r="D418" s="139"/>
      <c r="F418" s="15"/>
    </row>
    <row r="419">
      <c r="C419" s="139"/>
      <c r="D419" s="139"/>
      <c r="F419" s="15"/>
    </row>
    <row r="420">
      <c r="C420" s="139"/>
      <c r="D420" s="139"/>
      <c r="F420" s="15"/>
    </row>
    <row r="421">
      <c r="C421" s="139"/>
      <c r="D421" s="139"/>
      <c r="F421" s="15"/>
    </row>
    <row r="422">
      <c r="C422" s="139"/>
      <c r="D422" s="139"/>
      <c r="F422" s="15"/>
    </row>
    <row r="423">
      <c r="C423" s="139"/>
      <c r="D423" s="139"/>
      <c r="F423" s="15"/>
    </row>
    <row r="424">
      <c r="C424" s="139"/>
      <c r="D424" s="139"/>
      <c r="F424" s="15"/>
    </row>
    <row r="425">
      <c r="C425" s="139"/>
      <c r="D425" s="139"/>
      <c r="F425" s="15"/>
    </row>
    <row r="426">
      <c r="C426" s="139"/>
      <c r="D426" s="139"/>
      <c r="F426" s="15"/>
    </row>
    <row r="427">
      <c r="C427" s="139"/>
      <c r="D427" s="139"/>
      <c r="F427" s="15"/>
    </row>
    <row r="428">
      <c r="C428" s="139"/>
      <c r="D428" s="139"/>
      <c r="F428" s="15"/>
    </row>
    <row r="429">
      <c r="C429" s="139"/>
      <c r="D429" s="139"/>
      <c r="F429" s="15"/>
    </row>
    <row r="430">
      <c r="C430" s="139"/>
      <c r="D430" s="139"/>
      <c r="F430" s="15"/>
    </row>
    <row r="431">
      <c r="C431" s="139"/>
      <c r="D431" s="139"/>
      <c r="F431" s="15"/>
    </row>
    <row r="432">
      <c r="C432" s="139"/>
      <c r="D432" s="139"/>
      <c r="F432" s="15"/>
    </row>
    <row r="433">
      <c r="C433" s="139"/>
      <c r="D433" s="139"/>
      <c r="F433" s="15"/>
    </row>
    <row r="434">
      <c r="C434" s="139"/>
      <c r="D434" s="139"/>
      <c r="F434" s="15"/>
    </row>
    <row r="435">
      <c r="C435" s="139"/>
      <c r="D435" s="139"/>
      <c r="F435" s="15"/>
    </row>
    <row r="436">
      <c r="C436" s="139"/>
      <c r="D436" s="139"/>
      <c r="F436" s="15"/>
    </row>
    <row r="437">
      <c r="C437" s="139"/>
      <c r="D437" s="139"/>
      <c r="F437" s="15"/>
    </row>
    <row r="438">
      <c r="C438" s="139"/>
      <c r="D438" s="139"/>
      <c r="F438" s="15"/>
    </row>
    <row r="439">
      <c r="C439" s="139"/>
      <c r="D439" s="139"/>
      <c r="F439" s="15"/>
    </row>
    <row r="440">
      <c r="C440" s="139"/>
      <c r="D440" s="139"/>
      <c r="F440" s="15"/>
    </row>
    <row r="441">
      <c r="C441" s="139"/>
      <c r="D441" s="139"/>
      <c r="F441" s="15"/>
    </row>
    <row r="442">
      <c r="C442" s="139"/>
      <c r="D442" s="139"/>
      <c r="F442" s="15"/>
    </row>
    <row r="443">
      <c r="C443" s="139"/>
      <c r="D443" s="139"/>
      <c r="F443" s="15"/>
    </row>
    <row r="444">
      <c r="C444" s="139"/>
      <c r="D444" s="139"/>
      <c r="F444" s="15"/>
    </row>
    <row r="445">
      <c r="C445" s="139"/>
      <c r="D445" s="139"/>
      <c r="F445" s="15"/>
    </row>
    <row r="446">
      <c r="C446" s="139"/>
      <c r="D446" s="139"/>
      <c r="F446" s="15"/>
    </row>
    <row r="447">
      <c r="C447" s="139"/>
      <c r="D447" s="139"/>
      <c r="F447" s="15"/>
    </row>
    <row r="448">
      <c r="C448" s="139"/>
      <c r="D448" s="139"/>
      <c r="F448" s="15"/>
    </row>
    <row r="449">
      <c r="C449" s="139"/>
      <c r="D449" s="139"/>
      <c r="F449" s="15"/>
    </row>
    <row r="450">
      <c r="C450" s="139"/>
      <c r="D450" s="139"/>
      <c r="F450" s="15"/>
    </row>
    <row r="451">
      <c r="C451" s="139"/>
      <c r="D451" s="139"/>
      <c r="F451" s="15"/>
    </row>
    <row r="452">
      <c r="C452" s="139"/>
      <c r="D452" s="139"/>
      <c r="F452" s="15"/>
    </row>
    <row r="453">
      <c r="C453" s="139"/>
      <c r="D453" s="139"/>
      <c r="F453" s="15"/>
    </row>
    <row r="454">
      <c r="C454" s="139"/>
      <c r="D454" s="139"/>
      <c r="F454" s="15"/>
    </row>
    <row r="455">
      <c r="C455" s="139"/>
      <c r="D455" s="139"/>
      <c r="F455" s="15"/>
    </row>
    <row r="456">
      <c r="C456" s="139"/>
      <c r="D456" s="139"/>
      <c r="F456" s="15"/>
    </row>
    <row r="457">
      <c r="C457" s="139"/>
      <c r="D457" s="139"/>
      <c r="F457" s="15"/>
    </row>
    <row r="458">
      <c r="C458" s="139"/>
      <c r="D458" s="139"/>
      <c r="F458" s="15"/>
    </row>
    <row r="459">
      <c r="C459" s="139"/>
      <c r="D459" s="139"/>
      <c r="F459" s="15"/>
    </row>
    <row r="460">
      <c r="C460" s="139"/>
      <c r="D460" s="139"/>
      <c r="F460" s="15"/>
    </row>
    <row r="461">
      <c r="C461" s="139"/>
      <c r="D461" s="139"/>
      <c r="F461" s="15"/>
    </row>
    <row r="462">
      <c r="C462" s="139"/>
      <c r="D462" s="139"/>
      <c r="F462" s="15"/>
    </row>
    <row r="463">
      <c r="C463" s="139"/>
      <c r="D463" s="139"/>
      <c r="F463" s="15"/>
    </row>
    <row r="464">
      <c r="C464" s="139"/>
      <c r="D464" s="139"/>
      <c r="F464" s="15"/>
    </row>
    <row r="465">
      <c r="C465" s="139"/>
      <c r="D465" s="139"/>
      <c r="F465" s="15"/>
    </row>
    <row r="466">
      <c r="C466" s="139"/>
      <c r="D466" s="139"/>
      <c r="F466" s="15"/>
    </row>
    <row r="467">
      <c r="C467" s="139"/>
      <c r="D467" s="139"/>
      <c r="F467" s="15"/>
    </row>
    <row r="468">
      <c r="C468" s="139"/>
      <c r="D468" s="139"/>
      <c r="F468" s="15"/>
    </row>
    <row r="469">
      <c r="C469" s="139"/>
      <c r="D469" s="139"/>
      <c r="F469" s="15"/>
    </row>
    <row r="470">
      <c r="C470" s="139"/>
      <c r="D470" s="139"/>
      <c r="F470" s="15"/>
    </row>
    <row r="471">
      <c r="C471" s="139"/>
      <c r="D471" s="139"/>
      <c r="F471" s="15"/>
    </row>
    <row r="472">
      <c r="C472" s="139"/>
      <c r="D472" s="139"/>
      <c r="F472" s="15"/>
    </row>
    <row r="473">
      <c r="C473" s="139"/>
      <c r="D473" s="139"/>
      <c r="F473" s="15"/>
    </row>
    <row r="474">
      <c r="C474" s="139"/>
      <c r="D474" s="139"/>
      <c r="F474" s="15"/>
    </row>
    <row r="475">
      <c r="C475" s="139"/>
      <c r="D475" s="139"/>
      <c r="F475" s="15"/>
    </row>
    <row r="476">
      <c r="C476" s="139"/>
      <c r="D476" s="139"/>
      <c r="F476" s="15"/>
    </row>
    <row r="477">
      <c r="C477" s="139"/>
      <c r="D477" s="139"/>
      <c r="F477" s="15"/>
    </row>
    <row r="478">
      <c r="C478" s="139"/>
      <c r="D478" s="139"/>
      <c r="F478" s="15"/>
    </row>
    <row r="479">
      <c r="C479" s="139"/>
      <c r="D479" s="139"/>
      <c r="F479" s="15"/>
    </row>
    <row r="480">
      <c r="C480" s="139"/>
      <c r="D480" s="139"/>
      <c r="F480" s="15"/>
    </row>
    <row r="481">
      <c r="C481" s="139"/>
      <c r="D481" s="139"/>
      <c r="F481" s="15"/>
    </row>
    <row r="482">
      <c r="C482" s="139"/>
      <c r="D482" s="139"/>
      <c r="F482" s="15"/>
    </row>
    <row r="483">
      <c r="C483" s="139"/>
      <c r="D483" s="139"/>
      <c r="F483" s="15"/>
    </row>
    <row r="484">
      <c r="C484" s="139"/>
      <c r="D484" s="139"/>
      <c r="F484" s="15"/>
    </row>
    <row r="485">
      <c r="C485" s="139"/>
      <c r="D485" s="139"/>
      <c r="F485" s="15"/>
    </row>
    <row r="486">
      <c r="C486" s="139"/>
      <c r="D486" s="139"/>
      <c r="F486" s="15"/>
    </row>
    <row r="487">
      <c r="C487" s="139"/>
      <c r="D487" s="139"/>
      <c r="F487" s="15"/>
    </row>
    <row r="488">
      <c r="C488" s="139"/>
      <c r="D488" s="139"/>
      <c r="F488" s="15"/>
    </row>
    <row r="489">
      <c r="C489" s="139"/>
      <c r="D489" s="139"/>
      <c r="F489" s="15"/>
    </row>
    <row r="490">
      <c r="C490" s="139"/>
      <c r="D490" s="139"/>
      <c r="F490" s="15"/>
    </row>
    <row r="491">
      <c r="C491" s="139"/>
      <c r="D491" s="139"/>
      <c r="F491" s="15"/>
    </row>
    <row r="492">
      <c r="C492" s="139"/>
      <c r="D492" s="139"/>
      <c r="F492" s="15"/>
    </row>
    <row r="493">
      <c r="C493" s="139"/>
      <c r="D493" s="139"/>
      <c r="F493" s="15"/>
    </row>
    <row r="494">
      <c r="C494" s="139"/>
      <c r="D494" s="139"/>
      <c r="F494" s="15"/>
    </row>
    <row r="495">
      <c r="C495" s="139"/>
      <c r="D495" s="139"/>
      <c r="F495" s="15"/>
    </row>
    <row r="496">
      <c r="C496" s="139"/>
      <c r="D496" s="139"/>
      <c r="F496" s="15"/>
    </row>
    <row r="497">
      <c r="C497" s="139"/>
      <c r="D497" s="139"/>
      <c r="F497" s="15"/>
    </row>
    <row r="498">
      <c r="C498" s="139"/>
      <c r="D498" s="139"/>
      <c r="F498" s="15"/>
    </row>
    <row r="499">
      <c r="C499" s="139"/>
      <c r="D499" s="139"/>
      <c r="F499" s="15"/>
    </row>
    <row r="500">
      <c r="C500" s="139"/>
      <c r="D500" s="139"/>
      <c r="F500" s="15"/>
    </row>
    <row r="501">
      <c r="C501" s="139"/>
      <c r="D501" s="139"/>
      <c r="F501" s="15"/>
    </row>
    <row r="502">
      <c r="C502" s="139"/>
      <c r="D502" s="139"/>
      <c r="F502" s="15"/>
    </row>
    <row r="503">
      <c r="C503" s="139"/>
      <c r="D503" s="139"/>
      <c r="F503" s="15"/>
    </row>
    <row r="504">
      <c r="C504" s="139"/>
      <c r="D504" s="139"/>
      <c r="F504" s="15"/>
    </row>
    <row r="505">
      <c r="C505" s="139"/>
      <c r="D505" s="139"/>
      <c r="F505" s="15"/>
    </row>
    <row r="506">
      <c r="C506" s="139"/>
      <c r="D506" s="139"/>
      <c r="F506" s="15"/>
    </row>
    <row r="507">
      <c r="C507" s="139"/>
      <c r="D507" s="139"/>
      <c r="F507" s="15"/>
    </row>
    <row r="508">
      <c r="C508" s="139"/>
      <c r="D508" s="139"/>
      <c r="F508" s="15"/>
    </row>
    <row r="509">
      <c r="C509" s="139"/>
      <c r="D509" s="139"/>
      <c r="F509" s="15"/>
    </row>
    <row r="510">
      <c r="C510" s="139"/>
      <c r="D510" s="139"/>
      <c r="F510" s="15"/>
    </row>
    <row r="511">
      <c r="C511" s="139"/>
      <c r="D511" s="139"/>
      <c r="F511" s="15"/>
    </row>
    <row r="512">
      <c r="C512" s="139"/>
      <c r="D512" s="139"/>
      <c r="F512" s="15"/>
    </row>
    <row r="513">
      <c r="C513" s="139"/>
      <c r="D513" s="139"/>
      <c r="F513" s="15"/>
    </row>
    <row r="514">
      <c r="C514" s="139"/>
      <c r="D514" s="139"/>
      <c r="F514" s="15"/>
    </row>
    <row r="515">
      <c r="C515" s="139"/>
      <c r="D515" s="139"/>
      <c r="F515" s="15"/>
    </row>
    <row r="516">
      <c r="C516" s="139"/>
      <c r="D516" s="139"/>
      <c r="F516" s="15"/>
    </row>
    <row r="517">
      <c r="C517" s="139"/>
      <c r="D517" s="139"/>
      <c r="F517" s="15"/>
    </row>
    <row r="518">
      <c r="C518" s="139"/>
      <c r="D518" s="139"/>
      <c r="F518" s="15"/>
    </row>
    <row r="519">
      <c r="C519" s="139"/>
      <c r="D519" s="139"/>
      <c r="F519" s="15"/>
    </row>
    <row r="520">
      <c r="C520" s="139"/>
      <c r="D520" s="139"/>
      <c r="F520" s="15"/>
    </row>
    <row r="521">
      <c r="C521" s="139"/>
      <c r="D521" s="139"/>
      <c r="F521" s="15"/>
    </row>
    <row r="522">
      <c r="C522" s="139"/>
      <c r="D522" s="139"/>
      <c r="F522" s="15"/>
    </row>
    <row r="523">
      <c r="C523" s="139"/>
      <c r="D523" s="139"/>
      <c r="F523" s="15"/>
    </row>
    <row r="524">
      <c r="C524" s="139"/>
      <c r="D524" s="139"/>
      <c r="F524" s="15"/>
    </row>
    <row r="525">
      <c r="C525" s="139"/>
      <c r="D525" s="139"/>
      <c r="F525" s="15"/>
    </row>
    <row r="526">
      <c r="C526" s="139"/>
      <c r="D526" s="139"/>
      <c r="F526" s="15"/>
    </row>
    <row r="527">
      <c r="C527" s="139"/>
      <c r="D527" s="139"/>
      <c r="F527" s="15"/>
    </row>
    <row r="528">
      <c r="C528" s="139"/>
      <c r="D528" s="139"/>
      <c r="F528" s="15"/>
    </row>
    <row r="529">
      <c r="C529" s="139"/>
      <c r="D529" s="139"/>
      <c r="F529" s="15"/>
    </row>
    <row r="530">
      <c r="C530" s="139"/>
      <c r="D530" s="139"/>
      <c r="F530" s="15"/>
    </row>
    <row r="531">
      <c r="C531" s="139"/>
      <c r="D531" s="139"/>
      <c r="F531" s="15"/>
    </row>
    <row r="532">
      <c r="C532" s="139"/>
      <c r="D532" s="139"/>
      <c r="F532" s="15"/>
    </row>
    <row r="533">
      <c r="C533" s="139"/>
      <c r="D533" s="139"/>
      <c r="F533" s="15"/>
    </row>
    <row r="534">
      <c r="C534" s="139"/>
      <c r="D534" s="139"/>
      <c r="F534" s="15"/>
    </row>
    <row r="535">
      <c r="C535" s="139"/>
      <c r="D535" s="139"/>
      <c r="F535" s="15"/>
    </row>
    <row r="536">
      <c r="C536" s="139"/>
      <c r="D536" s="139"/>
      <c r="F536" s="15"/>
    </row>
    <row r="537">
      <c r="C537" s="139"/>
      <c r="D537" s="139"/>
      <c r="F537" s="15"/>
    </row>
    <row r="538">
      <c r="C538" s="139"/>
      <c r="D538" s="139"/>
      <c r="F538" s="15"/>
    </row>
    <row r="539">
      <c r="C539" s="139"/>
      <c r="D539" s="139"/>
      <c r="F539" s="15"/>
    </row>
    <row r="540">
      <c r="C540" s="139"/>
      <c r="D540" s="139"/>
      <c r="F540" s="15"/>
    </row>
    <row r="541">
      <c r="C541" s="139"/>
      <c r="D541" s="139"/>
      <c r="F541" s="15"/>
    </row>
    <row r="542">
      <c r="C542" s="139"/>
      <c r="D542" s="139"/>
      <c r="F542" s="15"/>
    </row>
    <row r="543">
      <c r="C543" s="139"/>
      <c r="D543" s="139"/>
      <c r="F543" s="15"/>
    </row>
    <row r="544">
      <c r="C544" s="139"/>
      <c r="D544" s="139"/>
      <c r="F544" s="15"/>
    </row>
    <row r="545">
      <c r="C545" s="139"/>
      <c r="D545" s="139"/>
      <c r="F545" s="15"/>
    </row>
    <row r="546">
      <c r="C546" s="139"/>
      <c r="D546" s="139"/>
      <c r="F546" s="15"/>
    </row>
    <row r="547">
      <c r="C547" s="139"/>
      <c r="D547" s="139"/>
      <c r="F547" s="15"/>
    </row>
    <row r="548">
      <c r="C548" s="139"/>
      <c r="D548" s="139"/>
      <c r="F548" s="15"/>
    </row>
    <row r="549">
      <c r="C549" s="139"/>
      <c r="D549" s="139"/>
      <c r="F549" s="15"/>
    </row>
    <row r="550">
      <c r="C550" s="139"/>
      <c r="D550" s="139"/>
      <c r="F550" s="15"/>
    </row>
    <row r="551">
      <c r="C551" s="139"/>
      <c r="D551" s="139"/>
      <c r="F551" s="15"/>
    </row>
    <row r="552">
      <c r="C552" s="139"/>
      <c r="D552" s="139"/>
      <c r="F552" s="15"/>
    </row>
    <row r="553">
      <c r="C553" s="139"/>
      <c r="D553" s="139"/>
      <c r="F553" s="15"/>
    </row>
    <row r="554">
      <c r="C554" s="139"/>
      <c r="D554" s="139"/>
      <c r="F554" s="15"/>
    </row>
    <row r="555">
      <c r="C555" s="139"/>
      <c r="D555" s="139"/>
      <c r="F555" s="15"/>
    </row>
    <row r="556">
      <c r="C556" s="139"/>
      <c r="D556" s="139"/>
      <c r="F556" s="15"/>
    </row>
    <row r="557">
      <c r="C557" s="139"/>
      <c r="D557" s="139"/>
      <c r="F557" s="15"/>
    </row>
    <row r="558">
      <c r="C558" s="139"/>
      <c r="D558" s="139"/>
      <c r="F558" s="15"/>
    </row>
    <row r="559">
      <c r="C559" s="139"/>
      <c r="D559" s="139"/>
      <c r="F559" s="15"/>
    </row>
    <row r="560">
      <c r="C560" s="139"/>
      <c r="D560" s="139"/>
      <c r="F560" s="15"/>
    </row>
    <row r="561">
      <c r="C561" s="139"/>
      <c r="D561" s="139"/>
      <c r="F561" s="15"/>
    </row>
    <row r="562">
      <c r="C562" s="139"/>
      <c r="D562" s="139"/>
      <c r="F562" s="15"/>
    </row>
    <row r="563">
      <c r="C563" s="139"/>
      <c r="D563" s="139"/>
      <c r="F563" s="15"/>
    </row>
    <row r="564">
      <c r="C564" s="139"/>
      <c r="D564" s="139"/>
      <c r="F564" s="15"/>
    </row>
    <row r="565">
      <c r="C565" s="139"/>
      <c r="D565" s="139"/>
      <c r="F565" s="15"/>
    </row>
    <row r="566">
      <c r="C566" s="139"/>
      <c r="D566" s="139"/>
      <c r="F566" s="15"/>
    </row>
    <row r="567">
      <c r="C567" s="139"/>
      <c r="D567" s="139"/>
      <c r="F567" s="15"/>
    </row>
    <row r="568">
      <c r="C568" s="139"/>
      <c r="D568" s="139"/>
      <c r="F568" s="15"/>
    </row>
    <row r="569">
      <c r="C569" s="139"/>
      <c r="D569" s="139"/>
      <c r="F569" s="15"/>
    </row>
    <row r="570">
      <c r="C570" s="139"/>
      <c r="D570" s="139"/>
      <c r="F570" s="15"/>
    </row>
    <row r="571">
      <c r="C571" s="139"/>
      <c r="D571" s="139"/>
      <c r="F571" s="15"/>
    </row>
    <row r="572">
      <c r="C572" s="139"/>
      <c r="D572" s="139"/>
      <c r="F572" s="15"/>
    </row>
    <row r="573">
      <c r="C573" s="139"/>
      <c r="D573" s="139"/>
      <c r="F573" s="15"/>
    </row>
    <row r="574">
      <c r="C574" s="139"/>
      <c r="D574" s="139"/>
      <c r="F574" s="15"/>
    </row>
    <row r="575">
      <c r="C575" s="139"/>
      <c r="D575" s="139"/>
      <c r="F575" s="15"/>
    </row>
    <row r="576">
      <c r="C576" s="139"/>
      <c r="D576" s="139"/>
      <c r="F576" s="15"/>
    </row>
    <row r="577">
      <c r="C577" s="139"/>
      <c r="D577" s="139"/>
      <c r="F577" s="15"/>
    </row>
    <row r="578">
      <c r="C578" s="139"/>
      <c r="D578" s="139"/>
      <c r="F578" s="15"/>
    </row>
    <row r="579">
      <c r="C579" s="139"/>
      <c r="D579" s="139"/>
      <c r="F579" s="15"/>
    </row>
    <row r="580">
      <c r="C580" s="139"/>
      <c r="D580" s="139"/>
      <c r="F580" s="15"/>
    </row>
    <row r="581">
      <c r="C581" s="139"/>
      <c r="D581" s="139"/>
      <c r="F581" s="15"/>
    </row>
    <row r="582">
      <c r="C582" s="139"/>
      <c r="D582" s="139"/>
      <c r="F582" s="15"/>
    </row>
    <row r="583">
      <c r="C583" s="139"/>
      <c r="D583" s="139"/>
      <c r="F583" s="15"/>
    </row>
    <row r="584">
      <c r="C584" s="139"/>
      <c r="D584" s="139"/>
      <c r="F584" s="15"/>
    </row>
    <row r="585">
      <c r="C585" s="139"/>
      <c r="D585" s="139"/>
      <c r="F585" s="15"/>
    </row>
    <row r="586">
      <c r="C586" s="139"/>
      <c r="D586" s="139"/>
      <c r="F586" s="15"/>
    </row>
    <row r="587">
      <c r="C587" s="139"/>
      <c r="D587" s="139"/>
      <c r="F587" s="15"/>
    </row>
    <row r="588">
      <c r="C588" s="139"/>
      <c r="D588" s="139"/>
      <c r="F588" s="15"/>
    </row>
    <row r="589">
      <c r="C589" s="139"/>
      <c r="D589" s="139"/>
      <c r="F589" s="15"/>
    </row>
    <row r="590">
      <c r="C590" s="139"/>
      <c r="D590" s="139"/>
      <c r="F590" s="15"/>
    </row>
    <row r="591">
      <c r="C591" s="139"/>
      <c r="D591" s="139"/>
      <c r="F591" s="15"/>
    </row>
    <row r="592">
      <c r="C592" s="139"/>
      <c r="D592" s="139"/>
      <c r="F592" s="15"/>
    </row>
    <row r="593">
      <c r="C593" s="139"/>
      <c r="D593" s="139"/>
      <c r="F593" s="15"/>
    </row>
    <row r="594">
      <c r="C594" s="139"/>
      <c r="D594" s="139"/>
      <c r="F594" s="15"/>
    </row>
    <row r="595">
      <c r="C595" s="139"/>
      <c r="D595" s="139"/>
      <c r="F595" s="15"/>
    </row>
    <row r="596">
      <c r="C596" s="139"/>
      <c r="D596" s="139"/>
      <c r="F596" s="15"/>
    </row>
    <row r="597">
      <c r="C597" s="139"/>
      <c r="D597" s="139"/>
      <c r="F597" s="15"/>
    </row>
    <row r="598">
      <c r="C598" s="139"/>
      <c r="D598" s="139"/>
      <c r="F598" s="15"/>
    </row>
    <row r="599">
      <c r="C599" s="139"/>
      <c r="D599" s="139"/>
      <c r="F599" s="15"/>
    </row>
    <row r="600">
      <c r="C600" s="139"/>
      <c r="D600" s="139"/>
      <c r="F600" s="15"/>
    </row>
    <row r="601">
      <c r="C601" s="139"/>
      <c r="D601" s="139"/>
      <c r="F601" s="15"/>
    </row>
    <row r="602">
      <c r="C602" s="139"/>
      <c r="D602" s="139"/>
      <c r="F602" s="15"/>
    </row>
    <row r="603">
      <c r="C603" s="139"/>
      <c r="D603" s="139"/>
      <c r="F603" s="15"/>
    </row>
    <row r="604">
      <c r="C604" s="139"/>
      <c r="D604" s="139"/>
      <c r="F604" s="15"/>
    </row>
    <row r="605">
      <c r="C605" s="139"/>
      <c r="D605" s="139"/>
      <c r="F605" s="15"/>
    </row>
    <row r="606">
      <c r="C606" s="139"/>
      <c r="D606" s="139"/>
      <c r="F606" s="15"/>
    </row>
    <row r="607">
      <c r="C607" s="139"/>
      <c r="D607" s="139"/>
      <c r="F607" s="15"/>
    </row>
    <row r="608">
      <c r="C608" s="139"/>
      <c r="D608" s="139"/>
      <c r="F608" s="15"/>
    </row>
    <row r="609">
      <c r="C609" s="139"/>
      <c r="D609" s="139"/>
      <c r="F609" s="15"/>
    </row>
    <row r="610">
      <c r="C610" s="139"/>
      <c r="D610" s="139"/>
      <c r="F610" s="15"/>
    </row>
    <row r="611">
      <c r="C611" s="139"/>
      <c r="D611" s="139"/>
      <c r="F611" s="15"/>
    </row>
    <row r="612">
      <c r="C612" s="139"/>
      <c r="D612" s="139"/>
      <c r="F612" s="15"/>
    </row>
    <row r="613">
      <c r="C613" s="139"/>
      <c r="D613" s="139"/>
      <c r="F613" s="15"/>
    </row>
    <row r="614">
      <c r="C614" s="139"/>
      <c r="D614" s="139"/>
      <c r="F614" s="15"/>
    </row>
    <row r="615">
      <c r="C615" s="139"/>
      <c r="D615" s="139"/>
      <c r="F615" s="15"/>
    </row>
    <row r="616">
      <c r="C616" s="139"/>
      <c r="D616" s="139"/>
      <c r="F616" s="15"/>
    </row>
    <row r="617">
      <c r="C617" s="139"/>
      <c r="D617" s="139"/>
      <c r="F617" s="15"/>
    </row>
    <row r="618">
      <c r="C618" s="139"/>
      <c r="D618" s="139"/>
      <c r="F618" s="15"/>
    </row>
    <row r="619">
      <c r="C619" s="139"/>
      <c r="D619" s="139"/>
      <c r="F619" s="15"/>
    </row>
    <row r="620">
      <c r="C620" s="139"/>
      <c r="D620" s="139"/>
      <c r="F620" s="15"/>
    </row>
    <row r="621">
      <c r="C621" s="139"/>
      <c r="D621" s="139"/>
      <c r="F621" s="15"/>
    </row>
    <row r="622">
      <c r="C622" s="139"/>
      <c r="D622" s="139"/>
      <c r="F622" s="15"/>
    </row>
    <row r="623">
      <c r="C623" s="139"/>
      <c r="D623" s="139"/>
      <c r="F623" s="15"/>
    </row>
    <row r="624">
      <c r="C624" s="139"/>
      <c r="D624" s="139"/>
      <c r="F624" s="15"/>
    </row>
    <row r="625">
      <c r="C625" s="139"/>
      <c r="D625" s="139"/>
      <c r="F625" s="15"/>
    </row>
    <row r="626">
      <c r="C626" s="139"/>
      <c r="D626" s="139"/>
      <c r="F626" s="15"/>
    </row>
    <row r="627">
      <c r="C627" s="139"/>
      <c r="D627" s="139"/>
      <c r="F627" s="15"/>
    </row>
    <row r="628">
      <c r="C628" s="139"/>
      <c r="D628" s="139"/>
      <c r="F628" s="15"/>
    </row>
    <row r="629">
      <c r="C629" s="139"/>
      <c r="D629" s="139"/>
      <c r="F629" s="15"/>
    </row>
    <row r="630">
      <c r="C630" s="139"/>
      <c r="D630" s="139"/>
      <c r="F630" s="15"/>
    </row>
    <row r="631">
      <c r="C631" s="139"/>
      <c r="D631" s="139"/>
      <c r="F631" s="15"/>
    </row>
    <row r="632">
      <c r="C632" s="139"/>
      <c r="D632" s="139"/>
      <c r="F632" s="15"/>
    </row>
    <row r="633">
      <c r="C633" s="139"/>
      <c r="D633" s="139"/>
      <c r="F633" s="15"/>
    </row>
    <row r="634">
      <c r="C634" s="139"/>
      <c r="D634" s="139"/>
      <c r="F634" s="15"/>
    </row>
    <row r="635">
      <c r="C635" s="139"/>
      <c r="D635" s="139"/>
      <c r="F635" s="15"/>
    </row>
    <row r="636">
      <c r="C636" s="139"/>
      <c r="D636" s="139"/>
      <c r="F636" s="15"/>
    </row>
    <row r="637">
      <c r="C637" s="139"/>
      <c r="D637" s="139"/>
      <c r="F637" s="15"/>
    </row>
    <row r="638">
      <c r="C638" s="139"/>
      <c r="D638" s="139"/>
      <c r="F638" s="15"/>
    </row>
    <row r="639">
      <c r="C639" s="139"/>
      <c r="D639" s="139"/>
      <c r="F639" s="15"/>
    </row>
    <row r="640">
      <c r="C640" s="139"/>
      <c r="D640" s="139"/>
      <c r="F640" s="15"/>
    </row>
    <row r="641">
      <c r="C641" s="139"/>
      <c r="D641" s="139"/>
      <c r="F641" s="15"/>
    </row>
    <row r="642">
      <c r="C642" s="139"/>
      <c r="D642" s="139"/>
      <c r="F642" s="15"/>
    </row>
    <row r="643">
      <c r="C643" s="139"/>
      <c r="D643" s="139"/>
      <c r="F643" s="15"/>
    </row>
    <row r="644">
      <c r="C644" s="139"/>
      <c r="D644" s="139"/>
      <c r="F644" s="15"/>
    </row>
    <row r="645">
      <c r="C645" s="139"/>
      <c r="D645" s="139"/>
      <c r="F645" s="15"/>
    </row>
    <row r="646">
      <c r="C646" s="139"/>
      <c r="D646" s="139"/>
      <c r="F646" s="15"/>
    </row>
    <row r="647">
      <c r="C647" s="139"/>
      <c r="D647" s="139"/>
      <c r="F647" s="15"/>
    </row>
    <row r="648">
      <c r="C648" s="139"/>
      <c r="D648" s="139"/>
      <c r="F648" s="15"/>
    </row>
    <row r="649">
      <c r="C649" s="139"/>
      <c r="D649" s="139"/>
      <c r="F649" s="15"/>
    </row>
    <row r="650">
      <c r="C650" s="139"/>
      <c r="D650" s="139"/>
      <c r="F650" s="15"/>
    </row>
    <row r="651">
      <c r="C651" s="139"/>
      <c r="D651" s="139"/>
      <c r="F651" s="15"/>
    </row>
    <row r="652">
      <c r="C652" s="139"/>
      <c r="D652" s="139"/>
      <c r="F652" s="15"/>
    </row>
    <row r="653">
      <c r="C653" s="139"/>
      <c r="D653" s="139"/>
      <c r="F653" s="15"/>
    </row>
    <row r="654">
      <c r="C654" s="139"/>
      <c r="D654" s="139"/>
      <c r="F654" s="15"/>
    </row>
    <row r="655">
      <c r="C655" s="139"/>
      <c r="D655" s="139"/>
      <c r="F655" s="15"/>
    </row>
    <row r="656">
      <c r="C656" s="139"/>
      <c r="D656" s="139"/>
      <c r="F656" s="15"/>
    </row>
    <row r="657">
      <c r="C657" s="139"/>
      <c r="D657" s="139"/>
      <c r="F657" s="15"/>
    </row>
    <row r="658">
      <c r="C658" s="139"/>
      <c r="D658" s="139"/>
      <c r="F658" s="15"/>
    </row>
    <row r="659">
      <c r="C659" s="139"/>
      <c r="D659" s="139"/>
      <c r="F659" s="15"/>
    </row>
    <row r="660">
      <c r="C660" s="139"/>
      <c r="D660" s="139"/>
      <c r="F660" s="15"/>
    </row>
    <row r="661">
      <c r="C661" s="139"/>
      <c r="D661" s="139"/>
      <c r="F661" s="15"/>
    </row>
    <row r="662">
      <c r="C662" s="139"/>
      <c r="D662" s="139"/>
      <c r="F662" s="15"/>
    </row>
    <row r="663">
      <c r="C663" s="139"/>
      <c r="D663" s="139"/>
      <c r="F663" s="15"/>
    </row>
    <row r="664">
      <c r="C664" s="139"/>
      <c r="D664" s="139"/>
      <c r="F664" s="15"/>
    </row>
    <row r="665">
      <c r="C665" s="139"/>
      <c r="D665" s="139"/>
      <c r="F665" s="15"/>
    </row>
    <row r="666">
      <c r="C666" s="139"/>
      <c r="D666" s="139"/>
      <c r="F666" s="15"/>
    </row>
    <row r="667">
      <c r="C667" s="139"/>
      <c r="D667" s="139"/>
      <c r="F667" s="15"/>
    </row>
    <row r="668">
      <c r="C668" s="139"/>
      <c r="D668" s="139"/>
      <c r="F668" s="15"/>
    </row>
    <row r="669">
      <c r="C669" s="139"/>
      <c r="D669" s="139"/>
      <c r="F669" s="15"/>
    </row>
    <row r="670">
      <c r="C670" s="139"/>
      <c r="D670" s="139"/>
      <c r="F670" s="15"/>
    </row>
    <row r="671">
      <c r="C671" s="139"/>
      <c r="D671" s="139"/>
      <c r="F671" s="15"/>
    </row>
    <row r="672">
      <c r="C672" s="139"/>
      <c r="D672" s="139"/>
      <c r="F672" s="15"/>
    </row>
    <row r="673">
      <c r="C673" s="139"/>
      <c r="D673" s="139"/>
      <c r="F673" s="15"/>
    </row>
    <row r="674">
      <c r="C674" s="139"/>
      <c r="D674" s="139"/>
      <c r="F674" s="15"/>
    </row>
    <row r="675">
      <c r="C675" s="139"/>
      <c r="D675" s="139"/>
      <c r="F675" s="15"/>
    </row>
    <row r="676">
      <c r="C676" s="139"/>
      <c r="D676" s="139"/>
      <c r="F676" s="15"/>
    </row>
    <row r="677">
      <c r="C677" s="139"/>
      <c r="D677" s="139"/>
      <c r="F677" s="15"/>
    </row>
    <row r="678">
      <c r="C678" s="139"/>
      <c r="D678" s="139"/>
      <c r="F678" s="15"/>
    </row>
    <row r="679">
      <c r="C679" s="139"/>
      <c r="D679" s="139"/>
      <c r="F679" s="15"/>
    </row>
    <row r="680">
      <c r="C680" s="139"/>
      <c r="D680" s="139"/>
      <c r="F680" s="15"/>
    </row>
    <row r="681">
      <c r="C681" s="139"/>
      <c r="D681" s="139"/>
      <c r="F681" s="15"/>
    </row>
    <row r="682">
      <c r="C682" s="139"/>
      <c r="D682" s="139"/>
      <c r="F682" s="15"/>
    </row>
    <row r="683">
      <c r="C683" s="139"/>
      <c r="D683" s="139"/>
      <c r="F683" s="15"/>
    </row>
    <row r="684">
      <c r="C684" s="139"/>
      <c r="D684" s="139"/>
      <c r="F684" s="15"/>
    </row>
    <row r="685">
      <c r="C685" s="139"/>
      <c r="D685" s="139"/>
      <c r="F685" s="15"/>
    </row>
    <row r="686">
      <c r="C686" s="139"/>
      <c r="D686" s="139"/>
      <c r="F686" s="15"/>
    </row>
    <row r="687">
      <c r="C687" s="139"/>
      <c r="D687" s="139"/>
      <c r="F687" s="15"/>
    </row>
    <row r="688">
      <c r="C688" s="139"/>
      <c r="D688" s="139"/>
      <c r="F688" s="15"/>
    </row>
    <row r="689">
      <c r="C689" s="139"/>
      <c r="D689" s="139"/>
      <c r="F689" s="15"/>
    </row>
    <row r="690">
      <c r="C690" s="139"/>
      <c r="D690" s="139"/>
      <c r="F690" s="15"/>
    </row>
    <row r="691">
      <c r="C691" s="139"/>
      <c r="D691" s="139"/>
      <c r="F691" s="15"/>
    </row>
    <row r="692">
      <c r="C692" s="139"/>
      <c r="D692" s="139"/>
      <c r="F692" s="15"/>
    </row>
    <row r="693">
      <c r="C693" s="139"/>
      <c r="D693" s="139"/>
      <c r="F693" s="15"/>
    </row>
    <row r="694">
      <c r="C694" s="139"/>
      <c r="D694" s="139"/>
      <c r="F694" s="15"/>
    </row>
    <row r="695">
      <c r="C695" s="139"/>
      <c r="D695" s="139"/>
      <c r="F695" s="15"/>
    </row>
    <row r="696">
      <c r="C696" s="139"/>
      <c r="D696" s="139"/>
      <c r="F696" s="15"/>
    </row>
    <row r="697">
      <c r="C697" s="139"/>
      <c r="D697" s="139"/>
      <c r="F697" s="15"/>
    </row>
    <row r="698">
      <c r="C698" s="139"/>
      <c r="D698" s="139"/>
      <c r="F698" s="15"/>
    </row>
    <row r="699">
      <c r="C699" s="139"/>
      <c r="D699" s="139"/>
      <c r="F699" s="15"/>
    </row>
    <row r="700">
      <c r="C700" s="139"/>
      <c r="D700" s="139"/>
      <c r="F700" s="15"/>
    </row>
    <row r="701">
      <c r="C701" s="139"/>
      <c r="D701" s="139"/>
      <c r="F701" s="15"/>
    </row>
    <row r="702">
      <c r="C702" s="139"/>
      <c r="D702" s="139"/>
      <c r="F702" s="15"/>
    </row>
    <row r="703">
      <c r="C703" s="139"/>
      <c r="D703" s="139"/>
      <c r="F703" s="15"/>
    </row>
    <row r="704">
      <c r="C704" s="139"/>
      <c r="D704" s="139"/>
      <c r="F704" s="15"/>
    </row>
    <row r="705">
      <c r="C705" s="139"/>
      <c r="D705" s="139"/>
      <c r="F705" s="15"/>
    </row>
    <row r="706">
      <c r="C706" s="139"/>
      <c r="D706" s="139"/>
      <c r="F706" s="15"/>
    </row>
    <row r="707">
      <c r="C707" s="139"/>
      <c r="D707" s="139"/>
      <c r="F707" s="15"/>
    </row>
    <row r="708">
      <c r="C708" s="139"/>
      <c r="D708" s="139"/>
      <c r="F708" s="15"/>
    </row>
    <row r="709">
      <c r="C709" s="139"/>
      <c r="D709" s="139"/>
      <c r="F709" s="15"/>
    </row>
    <row r="710">
      <c r="C710" s="139"/>
      <c r="D710" s="139"/>
      <c r="F710" s="15"/>
    </row>
    <row r="711">
      <c r="C711" s="139"/>
      <c r="D711" s="139"/>
      <c r="F711" s="15"/>
    </row>
    <row r="712">
      <c r="C712" s="139"/>
      <c r="D712" s="139"/>
      <c r="F712" s="15"/>
    </row>
    <row r="713">
      <c r="C713" s="139"/>
      <c r="D713" s="139"/>
      <c r="F713" s="15"/>
    </row>
    <row r="714">
      <c r="C714" s="139"/>
      <c r="D714" s="139"/>
      <c r="F714" s="15"/>
    </row>
    <row r="715">
      <c r="C715" s="139"/>
      <c r="D715" s="139"/>
      <c r="F715" s="15"/>
    </row>
    <row r="716">
      <c r="C716" s="139"/>
      <c r="D716" s="139"/>
      <c r="F716" s="15"/>
    </row>
    <row r="717">
      <c r="C717" s="139"/>
      <c r="D717" s="139"/>
      <c r="F717" s="15"/>
    </row>
    <row r="718">
      <c r="C718" s="139"/>
      <c r="D718" s="139"/>
      <c r="F718" s="15"/>
    </row>
    <row r="719">
      <c r="C719" s="139"/>
      <c r="D719" s="139"/>
      <c r="F719" s="15"/>
    </row>
    <row r="720">
      <c r="C720" s="139"/>
      <c r="D720" s="139"/>
      <c r="F720" s="15"/>
    </row>
    <row r="721">
      <c r="C721" s="139"/>
      <c r="D721" s="139"/>
      <c r="F721" s="15"/>
    </row>
    <row r="722">
      <c r="C722" s="139"/>
      <c r="D722" s="139"/>
      <c r="F722" s="15"/>
    </row>
    <row r="723">
      <c r="C723" s="139"/>
      <c r="D723" s="139"/>
      <c r="F723" s="15"/>
    </row>
    <row r="724">
      <c r="C724" s="139"/>
      <c r="D724" s="139"/>
      <c r="F724" s="15"/>
    </row>
    <row r="725">
      <c r="C725" s="139"/>
      <c r="D725" s="139"/>
      <c r="F725" s="15"/>
    </row>
    <row r="726">
      <c r="C726" s="139"/>
      <c r="D726" s="139"/>
      <c r="F726" s="15"/>
    </row>
    <row r="727">
      <c r="C727" s="139"/>
      <c r="D727" s="139"/>
      <c r="F727" s="15"/>
    </row>
    <row r="728">
      <c r="C728" s="139"/>
      <c r="D728" s="139"/>
      <c r="F728" s="15"/>
    </row>
    <row r="729">
      <c r="C729" s="139"/>
      <c r="D729" s="139"/>
      <c r="F729" s="15"/>
    </row>
    <row r="730">
      <c r="C730" s="139"/>
      <c r="D730" s="139"/>
      <c r="F730" s="15"/>
    </row>
    <row r="731">
      <c r="C731" s="139"/>
      <c r="D731" s="139"/>
      <c r="F731" s="15"/>
    </row>
    <row r="732">
      <c r="C732" s="139"/>
      <c r="D732" s="139"/>
      <c r="F732" s="15"/>
    </row>
    <row r="733">
      <c r="C733" s="139"/>
      <c r="D733" s="139"/>
      <c r="F733" s="15"/>
    </row>
    <row r="734">
      <c r="C734" s="139"/>
      <c r="D734" s="139"/>
      <c r="F734" s="15"/>
    </row>
    <row r="735">
      <c r="C735" s="139"/>
      <c r="D735" s="139"/>
      <c r="F735" s="15"/>
    </row>
    <row r="736">
      <c r="C736" s="139"/>
      <c r="D736" s="139"/>
      <c r="F736" s="15"/>
    </row>
    <row r="737">
      <c r="C737" s="139"/>
      <c r="D737" s="139"/>
      <c r="F737" s="15"/>
    </row>
    <row r="738">
      <c r="C738" s="139"/>
      <c r="D738" s="139"/>
      <c r="F738" s="15"/>
    </row>
    <row r="739">
      <c r="C739" s="139"/>
      <c r="D739" s="139"/>
      <c r="F739" s="15"/>
    </row>
    <row r="740">
      <c r="C740" s="139"/>
      <c r="D740" s="139"/>
      <c r="F740" s="15"/>
    </row>
    <row r="741">
      <c r="C741" s="139"/>
      <c r="D741" s="139"/>
      <c r="F741" s="15"/>
    </row>
    <row r="742">
      <c r="C742" s="139"/>
      <c r="D742" s="139"/>
      <c r="F742" s="15"/>
    </row>
    <row r="743">
      <c r="C743" s="139"/>
      <c r="D743" s="139"/>
      <c r="F743" s="15"/>
    </row>
    <row r="744">
      <c r="C744" s="139"/>
      <c r="D744" s="139"/>
      <c r="F744" s="15"/>
    </row>
    <row r="745">
      <c r="C745" s="139"/>
      <c r="D745" s="139"/>
      <c r="F745" s="15"/>
    </row>
    <row r="746">
      <c r="C746" s="139"/>
      <c r="D746" s="139"/>
      <c r="F746" s="15"/>
    </row>
    <row r="747">
      <c r="C747" s="139"/>
      <c r="D747" s="139"/>
      <c r="F747" s="15"/>
    </row>
    <row r="748">
      <c r="C748" s="139"/>
      <c r="D748" s="139"/>
      <c r="F748" s="15"/>
    </row>
    <row r="749">
      <c r="C749" s="139"/>
      <c r="D749" s="139"/>
      <c r="F749" s="15"/>
    </row>
    <row r="750">
      <c r="C750" s="139"/>
      <c r="D750" s="139"/>
      <c r="F750" s="15"/>
    </row>
    <row r="751">
      <c r="C751" s="139"/>
      <c r="D751" s="139"/>
      <c r="F751" s="15"/>
    </row>
    <row r="752">
      <c r="C752" s="139"/>
      <c r="D752" s="139"/>
      <c r="F752" s="15"/>
    </row>
    <row r="753">
      <c r="C753" s="139"/>
      <c r="D753" s="139"/>
      <c r="F753" s="15"/>
    </row>
    <row r="754">
      <c r="C754" s="139"/>
      <c r="D754" s="139"/>
      <c r="F754" s="15"/>
    </row>
    <row r="755">
      <c r="C755" s="139"/>
      <c r="D755" s="139"/>
      <c r="F755" s="15"/>
    </row>
    <row r="756">
      <c r="C756" s="139"/>
      <c r="D756" s="139"/>
      <c r="F756" s="15"/>
    </row>
    <row r="757">
      <c r="C757" s="139"/>
      <c r="D757" s="139"/>
      <c r="F757" s="15"/>
    </row>
    <row r="758">
      <c r="C758" s="139"/>
      <c r="D758" s="139"/>
      <c r="F758" s="15"/>
    </row>
    <row r="759">
      <c r="C759" s="139"/>
      <c r="D759" s="139"/>
      <c r="F759" s="15"/>
    </row>
    <row r="760">
      <c r="C760" s="139"/>
      <c r="D760" s="139"/>
      <c r="F760" s="15"/>
    </row>
    <row r="761">
      <c r="C761" s="139"/>
      <c r="D761" s="139"/>
      <c r="F761" s="15"/>
    </row>
    <row r="762">
      <c r="C762" s="139"/>
      <c r="D762" s="139"/>
      <c r="F762" s="15"/>
    </row>
    <row r="763">
      <c r="C763" s="139"/>
      <c r="D763" s="139"/>
      <c r="F763" s="15"/>
    </row>
    <row r="764">
      <c r="C764" s="139"/>
      <c r="D764" s="139"/>
      <c r="F764" s="15"/>
    </row>
    <row r="765">
      <c r="C765" s="139"/>
      <c r="D765" s="139"/>
      <c r="F765" s="15"/>
    </row>
    <row r="766">
      <c r="C766" s="139"/>
      <c r="D766" s="139"/>
      <c r="F766" s="15"/>
    </row>
    <row r="767">
      <c r="C767" s="139"/>
      <c r="D767" s="139"/>
      <c r="F767" s="15"/>
    </row>
    <row r="768">
      <c r="C768" s="139"/>
      <c r="D768" s="139"/>
      <c r="F768" s="15"/>
    </row>
    <row r="769">
      <c r="C769" s="139"/>
      <c r="D769" s="139"/>
      <c r="F769" s="15"/>
    </row>
    <row r="770">
      <c r="C770" s="139"/>
      <c r="D770" s="139"/>
      <c r="F770" s="15"/>
    </row>
    <row r="771">
      <c r="C771" s="139"/>
      <c r="D771" s="139"/>
      <c r="F771" s="15"/>
    </row>
    <row r="772">
      <c r="C772" s="139"/>
      <c r="D772" s="139"/>
      <c r="F772" s="15"/>
    </row>
    <row r="773">
      <c r="C773" s="139"/>
      <c r="D773" s="139"/>
      <c r="F773" s="15"/>
    </row>
    <row r="774">
      <c r="C774" s="139"/>
      <c r="D774" s="139"/>
      <c r="F774" s="15"/>
    </row>
    <row r="775">
      <c r="C775" s="139"/>
      <c r="D775" s="139"/>
      <c r="F775" s="15"/>
    </row>
    <row r="776">
      <c r="C776" s="139"/>
      <c r="D776" s="139"/>
      <c r="F776" s="15"/>
    </row>
    <row r="777">
      <c r="C777" s="139"/>
      <c r="D777" s="139"/>
      <c r="F777" s="15"/>
    </row>
    <row r="778">
      <c r="C778" s="139"/>
      <c r="D778" s="139"/>
      <c r="F778" s="15"/>
    </row>
    <row r="779">
      <c r="C779" s="139"/>
      <c r="D779" s="139"/>
      <c r="F779" s="15"/>
    </row>
    <row r="780">
      <c r="C780" s="139"/>
      <c r="D780" s="139"/>
      <c r="F780" s="15"/>
    </row>
    <row r="781">
      <c r="C781" s="139"/>
      <c r="D781" s="139"/>
      <c r="F781" s="15"/>
    </row>
    <row r="782">
      <c r="C782" s="139"/>
      <c r="D782" s="139"/>
      <c r="F782" s="15"/>
    </row>
    <row r="783">
      <c r="C783" s="139"/>
      <c r="D783" s="139"/>
      <c r="F783" s="15"/>
    </row>
    <row r="784">
      <c r="C784" s="139"/>
      <c r="D784" s="139"/>
      <c r="F784" s="15"/>
    </row>
    <row r="785">
      <c r="C785" s="139"/>
      <c r="D785" s="139"/>
      <c r="F785" s="15"/>
    </row>
    <row r="786">
      <c r="C786" s="139"/>
      <c r="D786" s="139"/>
      <c r="F786" s="15"/>
    </row>
    <row r="787">
      <c r="C787" s="139"/>
      <c r="D787" s="139"/>
      <c r="F787" s="15"/>
    </row>
    <row r="788">
      <c r="C788" s="139"/>
      <c r="D788" s="139"/>
      <c r="F788" s="15"/>
    </row>
    <row r="789">
      <c r="C789" s="139"/>
      <c r="D789" s="139"/>
      <c r="F789" s="15"/>
    </row>
    <row r="790">
      <c r="C790" s="139"/>
      <c r="D790" s="139"/>
      <c r="F790" s="15"/>
    </row>
    <row r="791">
      <c r="C791" s="139"/>
      <c r="D791" s="139"/>
      <c r="F791" s="15"/>
    </row>
    <row r="792">
      <c r="C792" s="139"/>
      <c r="D792" s="139"/>
      <c r="F792" s="15"/>
    </row>
    <row r="793">
      <c r="C793" s="139"/>
      <c r="D793" s="139"/>
      <c r="F793" s="15"/>
    </row>
    <row r="794">
      <c r="C794" s="139"/>
      <c r="D794" s="139"/>
      <c r="F794" s="15"/>
    </row>
    <row r="795">
      <c r="C795" s="139"/>
      <c r="D795" s="139"/>
      <c r="F795" s="15"/>
    </row>
    <row r="796">
      <c r="C796" s="139"/>
      <c r="D796" s="139"/>
      <c r="F796" s="15"/>
    </row>
    <row r="797">
      <c r="C797" s="139"/>
      <c r="D797" s="139"/>
      <c r="F797" s="15"/>
    </row>
    <row r="798">
      <c r="C798" s="139"/>
      <c r="D798" s="139"/>
      <c r="F798" s="15"/>
    </row>
    <row r="799">
      <c r="C799" s="139"/>
      <c r="D799" s="139"/>
      <c r="F799" s="15"/>
    </row>
    <row r="800">
      <c r="C800" s="139"/>
      <c r="D800" s="139"/>
      <c r="F800" s="15"/>
    </row>
    <row r="801">
      <c r="C801" s="139"/>
      <c r="D801" s="139"/>
      <c r="F801" s="15"/>
    </row>
    <row r="802">
      <c r="C802" s="139"/>
      <c r="D802" s="139"/>
      <c r="F802" s="15"/>
    </row>
    <row r="803">
      <c r="C803" s="139"/>
      <c r="D803" s="139"/>
      <c r="F803" s="15"/>
    </row>
    <row r="804">
      <c r="C804" s="139"/>
      <c r="D804" s="139"/>
      <c r="F804" s="15"/>
    </row>
    <row r="805">
      <c r="C805" s="139"/>
      <c r="D805" s="139"/>
      <c r="F805" s="15"/>
    </row>
    <row r="806">
      <c r="C806" s="139"/>
      <c r="D806" s="139"/>
      <c r="F806" s="15"/>
    </row>
    <row r="807">
      <c r="C807" s="139"/>
      <c r="D807" s="139"/>
      <c r="F807" s="15"/>
    </row>
    <row r="808">
      <c r="C808" s="139"/>
      <c r="D808" s="139"/>
      <c r="F808" s="15"/>
    </row>
    <row r="809">
      <c r="C809" s="139"/>
      <c r="D809" s="139"/>
      <c r="F809" s="15"/>
    </row>
    <row r="810">
      <c r="C810" s="139"/>
      <c r="D810" s="139"/>
      <c r="F810" s="15"/>
    </row>
    <row r="811">
      <c r="C811" s="139"/>
      <c r="D811" s="139"/>
      <c r="F811" s="15"/>
    </row>
    <row r="812">
      <c r="C812" s="139"/>
      <c r="D812" s="139"/>
      <c r="F812" s="15"/>
    </row>
    <row r="813">
      <c r="C813" s="139"/>
      <c r="D813" s="139"/>
      <c r="F813" s="15"/>
    </row>
    <row r="814">
      <c r="C814" s="139"/>
      <c r="D814" s="139"/>
      <c r="F814" s="15"/>
    </row>
    <row r="815">
      <c r="C815" s="139"/>
      <c r="D815" s="139"/>
      <c r="F815" s="15"/>
    </row>
    <row r="816">
      <c r="C816" s="139"/>
      <c r="D816" s="139"/>
      <c r="F816" s="15"/>
    </row>
    <row r="817">
      <c r="C817" s="139"/>
      <c r="D817" s="139"/>
      <c r="F817" s="15"/>
    </row>
    <row r="818">
      <c r="C818" s="139"/>
      <c r="D818" s="139"/>
      <c r="F818" s="15"/>
    </row>
    <row r="819">
      <c r="C819" s="139"/>
      <c r="D819" s="139"/>
      <c r="F819" s="15"/>
    </row>
    <row r="820">
      <c r="C820" s="139"/>
      <c r="D820" s="139"/>
      <c r="F820" s="15"/>
    </row>
    <row r="821">
      <c r="C821" s="139"/>
      <c r="D821" s="139"/>
      <c r="F821" s="15"/>
    </row>
    <row r="822">
      <c r="C822" s="139"/>
      <c r="D822" s="139"/>
      <c r="F822" s="15"/>
    </row>
    <row r="823">
      <c r="C823" s="139"/>
      <c r="D823" s="139"/>
      <c r="F823" s="15"/>
    </row>
    <row r="824">
      <c r="C824" s="139"/>
      <c r="D824" s="139"/>
      <c r="F824" s="15"/>
    </row>
    <row r="825">
      <c r="C825" s="139"/>
      <c r="D825" s="139"/>
      <c r="F825" s="15"/>
    </row>
    <row r="826">
      <c r="C826" s="139"/>
      <c r="D826" s="139"/>
      <c r="F826" s="15"/>
    </row>
    <row r="827">
      <c r="C827" s="139"/>
      <c r="D827" s="139"/>
      <c r="F827" s="15"/>
    </row>
    <row r="828">
      <c r="C828" s="139"/>
      <c r="D828" s="139"/>
      <c r="F828" s="15"/>
    </row>
    <row r="829">
      <c r="C829" s="139"/>
      <c r="D829" s="139"/>
      <c r="F829" s="15"/>
    </row>
    <row r="830">
      <c r="C830" s="139"/>
      <c r="D830" s="139"/>
      <c r="F830" s="15"/>
    </row>
    <row r="831">
      <c r="C831" s="139"/>
      <c r="D831" s="139"/>
      <c r="F831" s="15"/>
    </row>
    <row r="832">
      <c r="C832" s="139"/>
      <c r="D832" s="139"/>
      <c r="F832" s="15"/>
    </row>
    <row r="833">
      <c r="C833" s="139"/>
      <c r="D833" s="139"/>
      <c r="F833" s="15"/>
    </row>
    <row r="834">
      <c r="C834" s="139"/>
      <c r="D834" s="139"/>
      <c r="F834" s="15"/>
    </row>
    <row r="835">
      <c r="C835" s="139"/>
      <c r="D835" s="139"/>
      <c r="F835" s="15"/>
    </row>
    <row r="836">
      <c r="C836" s="139"/>
      <c r="D836" s="139"/>
      <c r="F836" s="15"/>
    </row>
    <row r="837">
      <c r="C837" s="139"/>
      <c r="D837" s="139"/>
      <c r="F837" s="15"/>
    </row>
    <row r="838">
      <c r="C838" s="139"/>
      <c r="D838" s="139"/>
      <c r="F838" s="15"/>
    </row>
    <row r="839">
      <c r="C839" s="139"/>
      <c r="D839" s="139"/>
      <c r="F839" s="15"/>
    </row>
    <row r="840">
      <c r="C840" s="139"/>
      <c r="D840" s="139"/>
      <c r="F840" s="15"/>
    </row>
    <row r="841">
      <c r="C841" s="139"/>
      <c r="D841" s="139"/>
      <c r="F841" s="15"/>
    </row>
    <row r="842">
      <c r="C842" s="139"/>
      <c r="D842" s="139"/>
      <c r="F842" s="15"/>
    </row>
    <row r="843">
      <c r="C843" s="139"/>
      <c r="D843" s="139"/>
      <c r="F843" s="15"/>
    </row>
    <row r="844">
      <c r="C844" s="139"/>
      <c r="D844" s="139"/>
      <c r="F844" s="15"/>
    </row>
    <row r="845">
      <c r="C845" s="139"/>
      <c r="D845" s="139"/>
      <c r="F845" s="15"/>
    </row>
    <row r="846">
      <c r="C846" s="139"/>
      <c r="D846" s="139"/>
      <c r="F846" s="15"/>
    </row>
    <row r="847">
      <c r="C847" s="139"/>
      <c r="D847" s="139"/>
      <c r="F847" s="15"/>
    </row>
    <row r="848">
      <c r="C848" s="139"/>
      <c r="D848" s="139"/>
      <c r="F848" s="15"/>
    </row>
    <row r="849">
      <c r="C849" s="139"/>
      <c r="D849" s="139"/>
      <c r="F849" s="15"/>
    </row>
    <row r="850">
      <c r="C850" s="139"/>
      <c r="D850" s="139"/>
      <c r="F850" s="15"/>
    </row>
    <row r="851">
      <c r="C851" s="139"/>
      <c r="D851" s="139"/>
      <c r="F851" s="15"/>
    </row>
    <row r="852">
      <c r="C852" s="139"/>
      <c r="D852" s="139"/>
      <c r="F852" s="15"/>
    </row>
    <row r="853">
      <c r="C853" s="139"/>
      <c r="D853" s="139"/>
      <c r="F853" s="15"/>
    </row>
    <row r="854">
      <c r="C854" s="139"/>
      <c r="D854" s="139"/>
      <c r="F854" s="15"/>
    </row>
    <row r="855">
      <c r="C855" s="139"/>
      <c r="D855" s="139"/>
      <c r="F855" s="15"/>
    </row>
    <row r="856">
      <c r="C856" s="139"/>
      <c r="D856" s="139"/>
      <c r="F856" s="15"/>
    </row>
    <row r="857">
      <c r="C857" s="139"/>
      <c r="D857" s="139"/>
      <c r="F857" s="15"/>
    </row>
    <row r="858">
      <c r="C858" s="139"/>
      <c r="D858" s="139"/>
      <c r="F858" s="15"/>
    </row>
    <row r="859">
      <c r="C859" s="139"/>
      <c r="D859" s="139"/>
      <c r="F859" s="15"/>
    </row>
    <row r="860">
      <c r="C860" s="139"/>
      <c r="D860" s="139"/>
      <c r="F860" s="15"/>
    </row>
    <row r="861">
      <c r="C861" s="139"/>
      <c r="D861" s="139"/>
      <c r="F861" s="15"/>
    </row>
    <row r="862">
      <c r="C862" s="139"/>
      <c r="D862" s="139"/>
      <c r="F862" s="15"/>
    </row>
    <row r="863">
      <c r="C863" s="139"/>
      <c r="D863" s="139"/>
      <c r="F863" s="15"/>
    </row>
    <row r="864">
      <c r="C864" s="139"/>
      <c r="D864" s="139"/>
      <c r="F864" s="15"/>
    </row>
    <row r="865">
      <c r="C865" s="139"/>
      <c r="D865" s="139"/>
      <c r="F865" s="15"/>
    </row>
    <row r="866">
      <c r="C866" s="139"/>
      <c r="D866" s="139"/>
      <c r="F866" s="15"/>
    </row>
    <row r="867">
      <c r="C867" s="139"/>
      <c r="D867" s="139"/>
      <c r="F867" s="15"/>
    </row>
    <row r="868">
      <c r="C868" s="139"/>
      <c r="D868" s="139"/>
      <c r="F868" s="15"/>
    </row>
    <row r="869">
      <c r="C869" s="139"/>
      <c r="D869" s="139"/>
      <c r="F869" s="15"/>
    </row>
    <row r="870">
      <c r="C870" s="139"/>
      <c r="D870" s="139"/>
      <c r="F870" s="15"/>
    </row>
    <row r="871">
      <c r="C871" s="139"/>
      <c r="D871" s="139"/>
      <c r="F871" s="15"/>
    </row>
    <row r="872">
      <c r="C872" s="139"/>
      <c r="D872" s="139"/>
      <c r="F872" s="15"/>
    </row>
    <row r="873">
      <c r="C873" s="139"/>
      <c r="D873" s="139"/>
      <c r="F873" s="15"/>
    </row>
    <row r="874">
      <c r="C874" s="139"/>
      <c r="D874" s="139"/>
      <c r="F874" s="15"/>
    </row>
    <row r="875">
      <c r="C875" s="139"/>
      <c r="D875" s="139"/>
      <c r="F875" s="15"/>
    </row>
    <row r="876">
      <c r="C876" s="139"/>
      <c r="D876" s="139"/>
      <c r="F876" s="15"/>
    </row>
    <row r="877">
      <c r="C877" s="139"/>
      <c r="D877" s="139"/>
      <c r="F877" s="15"/>
    </row>
    <row r="878">
      <c r="C878" s="139"/>
      <c r="D878" s="139"/>
      <c r="F878" s="15"/>
    </row>
    <row r="879">
      <c r="C879" s="139"/>
      <c r="D879" s="139"/>
      <c r="F879" s="15"/>
    </row>
    <row r="880">
      <c r="C880" s="139"/>
      <c r="D880" s="139"/>
      <c r="F880" s="15"/>
    </row>
    <row r="881">
      <c r="C881" s="139"/>
      <c r="D881" s="139"/>
      <c r="F881" s="15"/>
    </row>
    <row r="882">
      <c r="C882" s="139"/>
      <c r="D882" s="139"/>
      <c r="F882" s="15"/>
    </row>
    <row r="883">
      <c r="C883" s="139"/>
      <c r="D883" s="139"/>
      <c r="F883" s="15"/>
    </row>
    <row r="884">
      <c r="C884" s="139"/>
      <c r="D884" s="139"/>
      <c r="F884" s="15"/>
    </row>
    <row r="885">
      <c r="C885" s="139"/>
      <c r="D885" s="139"/>
      <c r="F885" s="15"/>
    </row>
    <row r="886">
      <c r="C886" s="139"/>
      <c r="D886" s="139"/>
      <c r="F886" s="15"/>
    </row>
    <row r="887">
      <c r="C887" s="139"/>
      <c r="D887" s="139"/>
      <c r="F887" s="15"/>
    </row>
    <row r="888">
      <c r="C888" s="139"/>
      <c r="D888" s="139"/>
      <c r="F888" s="15"/>
    </row>
    <row r="889">
      <c r="C889" s="139"/>
      <c r="D889" s="139"/>
      <c r="F889" s="15"/>
    </row>
    <row r="890">
      <c r="C890" s="139"/>
      <c r="D890" s="139"/>
      <c r="F890" s="15"/>
    </row>
    <row r="891">
      <c r="C891" s="139"/>
      <c r="D891" s="139"/>
      <c r="F891" s="15"/>
    </row>
    <row r="892">
      <c r="C892" s="139"/>
      <c r="D892" s="139"/>
      <c r="F892" s="15"/>
    </row>
    <row r="893">
      <c r="C893" s="139"/>
      <c r="D893" s="139"/>
      <c r="F893" s="15"/>
    </row>
    <row r="894">
      <c r="C894" s="139"/>
      <c r="D894" s="139"/>
      <c r="F894" s="15"/>
    </row>
    <row r="895">
      <c r="C895" s="139"/>
      <c r="D895" s="139"/>
      <c r="F895" s="15"/>
    </row>
    <row r="896">
      <c r="C896" s="139"/>
      <c r="D896" s="139"/>
      <c r="F896" s="15"/>
    </row>
    <row r="897">
      <c r="C897" s="139"/>
      <c r="D897" s="139"/>
      <c r="F897" s="15"/>
    </row>
    <row r="898">
      <c r="C898" s="139"/>
      <c r="D898" s="139"/>
      <c r="F898" s="15"/>
    </row>
    <row r="899">
      <c r="C899" s="139"/>
      <c r="D899" s="139"/>
      <c r="F899" s="15"/>
    </row>
    <row r="900">
      <c r="C900" s="139"/>
      <c r="D900" s="139"/>
      <c r="F900" s="15"/>
    </row>
    <row r="901">
      <c r="C901" s="139"/>
      <c r="D901" s="139"/>
      <c r="F901" s="15"/>
    </row>
    <row r="902">
      <c r="C902" s="139"/>
      <c r="D902" s="139"/>
      <c r="F902" s="15"/>
    </row>
    <row r="903">
      <c r="C903" s="139"/>
      <c r="D903" s="139"/>
      <c r="F903" s="15"/>
    </row>
    <row r="904">
      <c r="C904" s="139"/>
      <c r="D904" s="139"/>
      <c r="F904" s="15"/>
    </row>
    <row r="905">
      <c r="C905" s="139"/>
      <c r="D905" s="139"/>
      <c r="F905" s="15"/>
    </row>
    <row r="906">
      <c r="C906" s="139"/>
      <c r="D906" s="139"/>
      <c r="F906" s="15"/>
    </row>
    <row r="907">
      <c r="C907" s="139"/>
      <c r="D907" s="139"/>
      <c r="F907" s="15"/>
    </row>
    <row r="908">
      <c r="C908" s="139"/>
      <c r="D908" s="139"/>
      <c r="F908" s="15"/>
    </row>
    <row r="909">
      <c r="C909" s="139"/>
      <c r="D909" s="139"/>
      <c r="F909" s="15"/>
    </row>
    <row r="910">
      <c r="C910" s="139"/>
      <c r="D910" s="139"/>
      <c r="F910" s="15"/>
    </row>
    <row r="911">
      <c r="C911" s="139"/>
      <c r="D911" s="139"/>
      <c r="F911" s="15"/>
    </row>
    <row r="912">
      <c r="C912" s="139"/>
      <c r="D912" s="139"/>
      <c r="F912" s="15"/>
    </row>
    <row r="913">
      <c r="C913" s="139"/>
      <c r="D913" s="139"/>
      <c r="F913" s="15"/>
    </row>
    <row r="914">
      <c r="C914" s="139"/>
      <c r="D914" s="139"/>
      <c r="F914" s="15"/>
    </row>
    <row r="915">
      <c r="C915" s="139"/>
      <c r="D915" s="139"/>
      <c r="F915" s="15"/>
    </row>
    <row r="916">
      <c r="C916" s="139"/>
      <c r="D916" s="139"/>
      <c r="F916" s="15"/>
    </row>
    <row r="917">
      <c r="C917" s="139"/>
      <c r="D917" s="139"/>
      <c r="F917" s="15"/>
    </row>
    <row r="918">
      <c r="C918" s="139"/>
      <c r="D918" s="139"/>
      <c r="F918" s="15"/>
    </row>
    <row r="919">
      <c r="C919" s="139"/>
      <c r="D919" s="139"/>
      <c r="F919" s="15"/>
    </row>
    <row r="920">
      <c r="C920" s="139"/>
      <c r="D920" s="139"/>
      <c r="F920" s="15"/>
    </row>
    <row r="921">
      <c r="C921" s="139"/>
      <c r="D921" s="139"/>
      <c r="F921" s="15"/>
    </row>
    <row r="922">
      <c r="C922" s="139"/>
      <c r="D922" s="139"/>
      <c r="F922" s="15"/>
    </row>
    <row r="923">
      <c r="C923" s="139"/>
      <c r="D923" s="139"/>
      <c r="F923" s="15"/>
    </row>
    <row r="924">
      <c r="C924" s="139"/>
      <c r="D924" s="139"/>
      <c r="F924" s="15"/>
    </row>
    <row r="925">
      <c r="C925" s="139"/>
      <c r="D925" s="139"/>
      <c r="F925" s="15"/>
    </row>
    <row r="926">
      <c r="C926" s="139"/>
      <c r="D926" s="139"/>
      <c r="F926" s="15"/>
    </row>
    <row r="927">
      <c r="C927" s="139"/>
      <c r="D927" s="139"/>
      <c r="F927" s="15"/>
    </row>
    <row r="928">
      <c r="C928" s="139"/>
      <c r="D928" s="139"/>
      <c r="F928" s="15"/>
    </row>
    <row r="929">
      <c r="C929" s="139"/>
      <c r="D929" s="139"/>
      <c r="F929" s="15"/>
    </row>
    <row r="930">
      <c r="C930" s="139"/>
      <c r="D930" s="139"/>
      <c r="F930" s="15"/>
    </row>
    <row r="931">
      <c r="C931" s="139"/>
      <c r="D931" s="139"/>
      <c r="F931" s="15"/>
    </row>
    <row r="932">
      <c r="C932" s="139"/>
      <c r="D932" s="139"/>
      <c r="F932" s="15"/>
    </row>
    <row r="933">
      <c r="C933" s="139"/>
      <c r="D933" s="139"/>
      <c r="F933" s="15"/>
    </row>
    <row r="934">
      <c r="C934" s="139"/>
      <c r="D934" s="139"/>
      <c r="F934" s="15"/>
    </row>
    <row r="935">
      <c r="C935" s="139"/>
      <c r="D935" s="139"/>
      <c r="F935" s="15"/>
    </row>
    <row r="936">
      <c r="C936" s="139"/>
      <c r="D936" s="139"/>
      <c r="F936" s="15"/>
    </row>
    <row r="937">
      <c r="C937" s="139"/>
      <c r="D937" s="139"/>
      <c r="F937" s="15"/>
    </row>
    <row r="938">
      <c r="C938" s="139"/>
      <c r="D938" s="139"/>
      <c r="F938" s="15"/>
    </row>
    <row r="939">
      <c r="C939" s="139"/>
      <c r="D939" s="139"/>
      <c r="F939" s="15"/>
    </row>
    <row r="940">
      <c r="C940" s="139"/>
      <c r="D940" s="139"/>
      <c r="F940" s="15"/>
    </row>
    <row r="941">
      <c r="C941" s="139"/>
      <c r="D941" s="139"/>
      <c r="F941" s="15"/>
    </row>
    <row r="942">
      <c r="C942" s="139"/>
      <c r="D942" s="139"/>
      <c r="F942" s="15"/>
    </row>
    <row r="943">
      <c r="C943" s="139"/>
      <c r="D943" s="139"/>
      <c r="F943" s="15"/>
    </row>
    <row r="944">
      <c r="C944" s="139"/>
      <c r="D944" s="139"/>
      <c r="F944" s="15"/>
    </row>
    <row r="945">
      <c r="C945" s="139"/>
      <c r="D945" s="139"/>
      <c r="F945" s="15"/>
    </row>
    <row r="946">
      <c r="C946" s="139"/>
      <c r="D946" s="139"/>
      <c r="F946" s="15"/>
    </row>
    <row r="947">
      <c r="C947" s="139"/>
      <c r="D947" s="139"/>
      <c r="F947" s="15"/>
    </row>
    <row r="948">
      <c r="C948" s="139"/>
      <c r="D948" s="139"/>
      <c r="F948" s="15"/>
    </row>
    <row r="949">
      <c r="C949" s="139"/>
      <c r="D949" s="139"/>
      <c r="F949" s="15"/>
    </row>
    <row r="950">
      <c r="C950" s="139"/>
      <c r="D950" s="139"/>
      <c r="F950" s="15"/>
    </row>
    <row r="951">
      <c r="C951" s="139"/>
      <c r="D951" s="139"/>
      <c r="F951" s="15"/>
    </row>
    <row r="952">
      <c r="C952" s="139"/>
      <c r="D952" s="139"/>
      <c r="F952" s="15"/>
    </row>
    <row r="953">
      <c r="C953" s="139"/>
      <c r="D953" s="139"/>
      <c r="F953" s="15"/>
    </row>
    <row r="954">
      <c r="C954" s="139"/>
      <c r="D954" s="139"/>
      <c r="F954" s="15"/>
    </row>
    <row r="955">
      <c r="C955" s="139"/>
      <c r="D955" s="139"/>
      <c r="F955" s="15"/>
    </row>
    <row r="956">
      <c r="C956" s="139"/>
      <c r="D956" s="139"/>
      <c r="F956" s="15"/>
    </row>
    <row r="957">
      <c r="C957" s="139"/>
      <c r="D957" s="139"/>
      <c r="F957" s="15"/>
    </row>
    <row r="958">
      <c r="C958" s="139"/>
      <c r="D958" s="139"/>
      <c r="F958" s="15"/>
    </row>
    <row r="959">
      <c r="C959" s="139"/>
      <c r="D959" s="139"/>
      <c r="F959" s="15"/>
    </row>
    <row r="960">
      <c r="C960" s="139"/>
      <c r="D960" s="139"/>
      <c r="F960" s="15"/>
    </row>
    <row r="961">
      <c r="C961" s="139"/>
      <c r="D961" s="139"/>
      <c r="F961" s="15"/>
    </row>
    <row r="962">
      <c r="C962" s="139"/>
      <c r="D962" s="139"/>
      <c r="F962" s="15"/>
    </row>
    <row r="963">
      <c r="C963" s="139"/>
      <c r="D963" s="139"/>
      <c r="F963" s="15"/>
    </row>
    <row r="964">
      <c r="C964" s="139"/>
      <c r="D964" s="139"/>
      <c r="F964" s="15"/>
    </row>
    <row r="965">
      <c r="C965" s="139"/>
      <c r="D965" s="139"/>
      <c r="F965" s="15"/>
    </row>
    <row r="966">
      <c r="C966" s="139"/>
      <c r="D966" s="139"/>
      <c r="F966" s="15"/>
    </row>
    <row r="967">
      <c r="C967" s="139"/>
      <c r="D967" s="139"/>
      <c r="F967" s="15"/>
    </row>
    <row r="968">
      <c r="C968" s="139"/>
      <c r="D968" s="139"/>
      <c r="F968" s="15"/>
    </row>
    <row r="969">
      <c r="C969" s="139"/>
      <c r="D969" s="139"/>
      <c r="F969" s="15"/>
    </row>
    <row r="970">
      <c r="C970" s="139"/>
      <c r="D970" s="139"/>
      <c r="F970" s="15"/>
    </row>
    <row r="971">
      <c r="C971" s="139"/>
      <c r="D971" s="139"/>
      <c r="F971" s="15"/>
    </row>
    <row r="972">
      <c r="C972" s="139"/>
      <c r="D972" s="139"/>
      <c r="F972" s="15"/>
    </row>
    <row r="973">
      <c r="C973" s="139"/>
      <c r="D973" s="139"/>
      <c r="F973" s="15"/>
    </row>
    <row r="974">
      <c r="C974" s="139"/>
      <c r="D974" s="139"/>
      <c r="F974" s="15"/>
    </row>
    <row r="975">
      <c r="C975" s="139"/>
      <c r="D975" s="139"/>
      <c r="F975" s="15"/>
    </row>
    <row r="976">
      <c r="C976" s="139"/>
      <c r="D976" s="139"/>
      <c r="F976" s="15"/>
    </row>
    <row r="977">
      <c r="C977" s="139"/>
      <c r="D977" s="139"/>
      <c r="F977" s="15"/>
    </row>
    <row r="978">
      <c r="C978" s="139"/>
      <c r="D978" s="139"/>
      <c r="F978" s="15"/>
    </row>
    <row r="979">
      <c r="C979" s="139"/>
      <c r="D979" s="139"/>
      <c r="F979" s="15"/>
    </row>
    <row r="980">
      <c r="C980" s="139"/>
      <c r="D980" s="139"/>
      <c r="F980" s="15"/>
    </row>
    <row r="981">
      <c r="C981" s="139"/>
      <c r="D981" s="139"/>
      <c r="F981" s="15"/>
    </row>
    <row r="982">
      <c r="C982" s="139"/>
      <c r="D982" s="139"/>
      <c r="F982" s="15"/>
    </row>
    <row r="983">
      <c r="C983" s="139"/>
      <c r="D983" s="139"/>
      <c r="F983" s="15"/>
    </row>
    <row r="984">
      <c r="C984" s="139"/>
      <c r="D984" s="139"/>
      <c r="F984" s="15"/>
    </row>
    <row r="985">
      <c r="C985" s="139"/>
      <c r="D985" s="139"/>
      <c r="F985" s="15"/>
    </row>
    <row r="986">
      <c r="C986" s="139"/>
      <c r="D986" s="139"/>
      <c r="F986" s="15"/>
    </row>
    <row r="987">
      <c r="C987" s="139"/>
      <c r="D987" s="139"/>
      <c r="F987" s="15"/>
    </row>
    <row r="988">
      <c r="C988" s="139"/>
      <c r="D988" s="139"/>
      <c r="F988" s="15"/>
    </row>
    <row r="989">
      <c r="C989" s="139"/>
      <c r="D989" s="139"/>
      <c r="F989" s="15"/>
    </row>
    <row r="990">
      <c r="C990" s="139"/>
      <c r="D990" s="139"/>
      <c r="F990" s="15"/>
    </row>
    <row r="991">
      <c r="C991" s="139"/>
      <c r="D991" s="139"/>
      <c r="F991" s="15"/>
    </row>
    <row r="992">
      <c r="C992" s="139"/>
      <c r="D992" s="139"/>
      <c r="F992" s="15"/>
    </row>
    <row r="993">
      <c r="C993" s="139"/>
      <c r="D993" s="139"/>
      <c r="F993" s="15"/>
    </row>
    <row r="994">
      <c r="C994" s="139"/>
      <c r="D994" s="139"/>
      <c r="F994" s="15"/>
    </row>
    <row r="995">
      <c r="C995" s="139"/>
      <c r="D995" s="139"/>
      <c r="F995" s="15"/>
    </row>
    <row r="996">
      <c r="C996" s="139"/>
      <c r="D996" s="139"/>
      <c r="F996" s="15"/>
    </row>
    <row r="997">
      <c r="C997" s="139"/>
      <c r="D997" s="139"/>
      <c r="F997" s="15"/>
    </row>
    <row r="998">
      <c r="C998" s="139"/>
      <c r="D998" s="139"/>
      <c r="F998" s="15"/>
    </row>
    <row r="999">
      <c r="C999" s="139"/>
      <c r="D999" s="139"/>
      <c r="F999" s="15"/>
    </row>
    <row r="1000">
      <c r="C1000" s="139"/>
      <c r="D1000" s="139"/>
      <c r="F1000" s="15"/>
    </row>
    <row r="1001">
      <c r="C1001" s="139"/>
      <c r="D1001" s="139"/>
      <c r="F1001" s="15"/>
    </row>
    <row r="1002">
      <c r="C1002" s="139"/>
      <c r="D1002" s="139"/>
      <c r="F1002" s="15"/>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C4"/>
    <hyperlink r:id="rId2" ref="R4"/>
    <hyperlink r:id="rId3" ref="C5"/>
    <hyperlink r:id="rId4" ref="R5"/>
    <hyperlink r:id="rId5" ref="R6"/>
    <hyperlink r:id="rId6" ref="C8"/>
    <hyperlink r:id="rId7" ref="C9"/>
    <hyperlink r:id="rId8" ref="C10"/>
    <hyperlink r:id="rId9" ref="C11"/>
    <hyperlink r:id="rId10" ref="C12"/>
    <hyperlink r:id="rId11" ref="R14"/>
    <hyperlink r:id="rId12" ref="R15"/>
    <hyperlink r:id="rId13" ref="C17"/>
    <hyperlink r:id="rId14" ref="R17"/>
    <hyperlink r:id="rId15" ref="R18"/>
    <hyperlink r:id="rId16" ref="C19"/>
    <hyperlink r:id="rId17" ref="R19"/>
    <hyperlink r:id="rId18" ref="C20"/>
    <hyperlink r:id="rId19" ref="R20"/>
    <hyperlink r:id="rId20" ref="C21"/>
    <hyperlink r:id="rId21" ref="R21"/>
    <hyperlink r:id="rId22" ref="C22"/>
    <hyperlink r:id="rId23" ref="R22"/>
    <hyperlink r:id="rId24" ref="C23"/>
    <hyperlink r:id="rId25" ref="R23"/>
    <hyperlink r:id="rId26" ref="C24"/>
    <hyperlink r:id="rId27" ref="R26"/>
    <hyperlink r:id="rId28" ref="R27"/>
    <hyperlink r:id="rId29" ref="C28"/>
    <hyperlink r:id="rId30" ref="C29"/>
    <hyperlink r:id="rId31" ref="C30"/>
    <hyperlink r:id="rId32" ref="R30"/>
    <hyperlink r:id="rId33" ref="C31"/>
    <hyperlink r:id="rId34" ref="R31"/>
    <hyperlink r:id="rId35" ref="C32"/>
    <hyperlink r:id="rId36" ref="C33"/>
    <hyperlink r:id="rId37" ref="R33"/>
    <hyperlink r:id="rId38" ref="C34"/>
    <hyperlink r:id="rId39" ref="R35"/>
    <hyperlink r:id="rId40" ref="C36"/>
    <hyperlink r:id="rId41" ref="R36"/>
    <hyperlink r:id="rId42" ref="C37"/>
    <hyperlink r:id="rId43" ref="R39"/>
    <hyperlink r:id="rId44" ref="C41"/>
    <hyperlink r:id="rId45" ref="R41"/>
    <hyperlink r:id="rId46" ref="C42"/>
    <hyperlink r:id="rId47" ref="R42"/>
    <hyperlink r:id="rId48" ref="C43"/>
    <hyperlink r:id="rId49" ref="R43"/>
    <hyperlink r:id="rId50" ref="C44"/>
    <hyperlink r:id="rId51" ref="R45"/>
    <hyperlink r:id="rId52" ref="B47"/>
    <hyperlink r:id="rId53" ref="C47"/>
    <hyperlink r:id="rId54" ref="R47"/>
    <hyperlink r:id="rId55" ref="B48"/>
    <hyperlink r:id="rId56" ref="C48"/>
    <hyperlink r:id="rId57" ref="R48"/>
    <hyperlink r:id="rId58" ref="R49"/>
    <hyperlink r:id="rId59" ref="C50"/>
    <hyperlink r:id="rId60" ref="R50"/>
    <hyperlink r:id="rId61" ref="C51"/>
    <hyperlink r:id="rId62" ref="R51"/>
    <hyperlink r:id="rId63" ref="C52"/>
    <hyperlink r:id="rId64" ref="R52"/>
    <hyperlink r:id="rId65" ref="C53"/>
    <hyperlink r:id="rId66" ref="R53"/>
    <hyperlink r:id="rId67" ref="R54"/>
    <hyperlink r:id="rId68" ref="C56"/>
    <hyperlink r:id="rId69" ref="R57"/>
    <hyperlink r:id="rId70" ref="C58"/>
    <hyperlink r:id="rId71" ref="R58"/>
    <hyperlink r:id="rId72" ref="C59"/>
    <hyperlink r:id="rId73" ref="R59"/>
    <hyperlink r:id="rId74" ref="R60"/>
    <hyperlink r:id="rId75" ref="C61"/>
    <hyperlink r:id="rId76" ref="R61"/>
    <hyperlink r:id="rId77" ref="C62"/>
    <hyperlink r:id="rId78" ref="R62"/>
    <hyperlink r:id="rId79" ref="C63"/>
    <hyperlink r:id="rId80" ref="R63"/>
    <hyperlink r:id="rId81" ref="C64"/>
    <hyperlink r:id="rId82" ref="R64"/>
    <hyperlink r:id="rId83" ref="C65"/>
    <hyperlink r:id="rId84" ref="R65"/>
    <hyperlink r:id="rId85" ref="R66"/>
  </hyperlinks>
  <drawing r:id="rId86"/>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FC5E8"/>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sheetData>
    <row r="1" ht="15.0" customHeight="1" outlineLevel="1">
      <c r="A1" s="1" t="s">
        <v>0</v>
      </c>
      <c r="B1" s="2" t="s">
        <v>1</v>
      </c>
      <c r="C1" s="2" t="s">
        <v>2</v>
      </c>
      <c r="D1" s="2" t="s">
        <v>2</v>
      </c>
      <c r="E1" s="3"/>
      <c r="F1" s="30" t="s">
        <v>1577</v>
      </c>
      <c r="G1" s="30" t="s">
        <v>4</v>
      </c>
      <c r="H1" s="30" t="s">
        <v>5</v>
      </c>
      <c r="I1" s="30" t="s">
        <v>6</v>
      </c>
      <c r="J1" s="30" t="s">
        <v>7</v>
      </c>
      <c r="K1" s="1" t="s">
        <v>8</v>
      </c>
      <c r="L1" s="7" t="s">
        <v>9</v>
      </c>
      <c r="N1" s="10" t="s">
        <v>14</v>
      </c>
      <c r="P1" s="167"/>
      <c r="Q1" s="167"/>
      <c r="R1" s="30"/>
      <c r="S1" s="20"/>
      <c r="T1" s="20"/>
      <c r="U1" s="20"/>
      <c r="V1" s="20"/>
      <c r="W1" s="20"/>
      <c r="X1" s="20"/>
      <c r="Y1" s="20"/>
      <c r="Z1" s="20"/>
      <c r="AA1" s="20"/>
      <c r="AB1" s="20"/>
      <c r="AC1" s="20"/>
      <c r="AD1" s="20"/>
    </row>
    <row r="2" ht="16.5" customHeight="1" outlineLevel="1">
      <c r="A2" s="23"/>
      <c r="B2" s="23"/>
      <c r="C2" s="21"/>
      <c r="D2" s="23"/>
      <c r="E2" s="3"/>
      <c r="F2" s="168"/>
      <c r="G2" s="168">
        <v>43483.0</v>
      </c>
      <c r="H2" s="151"/>
      <c r="I2" s="168"/>
      <c r="J2" s="168"/>
      <c r="K2" s="23"/>
      <c r="L2" s="26">
        <f>CountIFS($E:$E,"=Dem",$A:$A,"=House")</f>
        <v>0</v>
      </c>
      <c r="M2" s="28">
        <f>CountIFS($E:$E,"=Rep",$A:$A,"=House")</f>
        <v>0</v>
      </c>
      <c r="N2" s="26">
        <f>CountIFS($E:$E,"=Dem",$A:$A,"=Senate")</f>
        <v>0</v>
      </c>
      <c r="O2" s="28">
        <f>CountIFS($E:$E,"=Rep",$A:$A,"=Senate")</f>
        <v>0</v>
      </c>
      <c r="P2" s="167"/>
      <c r="Q2" s="167"/>
      <c r="R2" s="30"/>
      <c r="S2" s="20"/>
      <c r="T2" s="20"/>
      <c r="U2" s="20"/>
      <c r="V2" s="20"/>
      <c r="W2" s="20"/>
      <c r="X2" s="20"/>
      <c r="Y2" s="20"/>
      <c r="Z2" s="20"/>
      <c r="AA2" s="20"/>
      <c r="AB2" s="20"/>
      <c r="AC2" s="20"/>
      <c r="AD2" s="20"/>
    </row>
    <row r="3">
      <c r="A3" s="30" t="s">
        <v>29</v>
      </c>
      <c r="B3" s="30" t="s">
        <v>30</v>
      </c>
      <c r="C3" s="2" t="s">
        <v>31</v>
      </c>
      <c r="D3" s="2" t="s">
        <v>32</v>
      </c>
      <c r="E3" s="3" t="s">
        <v>33</v>
      </c>
      <c r="F3" s="1" t="s">
        <v>10</v>
      </c>
      <c r="G3" s="1" t="s">
        <v>34</v>
      </c>
      <c r="H3" s="1" t="s">
        <v>34</v>
      </c>
      <c r="I3" s="1" t="s">
        <v>34</v>
      </c>
      <c r="J3" s="1" t="s">
        <v>34</v>
      </c>
      <c r="K3" s="1" t="s">
        <v>35</v>
      </c>
      <c r="L3" s="19" t="s">
        <v>36</v>
      </c>
      <c r="M3" s="19" t="s">
        <v>37</v>
      </c>
      <c r="N3" s="19" t="s">
        <v>38</v>
      </c>
      <c r="O3" s="17" t="s">
        <v>39</v>
      </c>
      <c r="P3" s="11" t="s">
        <v>40</v>
      </c>
      <c r="Q3" s="11" t="s">
        <v>41</v>
      </c>
      <c r="R3" s="17" t="s">
        <v>42</v>
      </c>
      <c r="S3" s="20"/>
      <c r="T3" s="20"/>
      <c r="U3" s="20"/>
      <c r="V3" s="20"/>
      <c r="W3" s="20"/>
      <c r="X3" s="20"/>
      <c r="Y3" s="20"/>
      <c r="Z3" s="20"/>
      <c r="AA3" s="20"/>
      <c r="AB3" s="20"/>
      <c r="AC3" s="20"/>
      <c r="AD3" s="20"/>
    </row>
    <row r="4">
      <c r="A4" s="14" t="s">
        <v>44</v>
      </c>
      <c r="B4" s="14" t="s">
        <v>9048</v>
      </c>
    </row>
    <row r="5">
      <c r="A5" s="14" t="s">
        <v>44</v>
      </c>
      <c r="B5" s="14" t="s">
        <v>9049</v>
      </c>
    </row>
    <row r="6">
      <c r="A6" s="14" t="s">
        <v>44</v>
      </c>
      <c r="B6" s="14" t="s">
        <v>9050</v>
      </c>
    </row>
    <row r="7">
      <c r="A7" s="14" t="s">
        <v>44</v>
      </c>
      <c r="B7" s="14" t="s">
        <v>9051</v>
      </c>
    </row>
    <row r="8">
      <c r="A8" s="14" t="s">
        <v>44</v>
      </c>
      <c r="B8" s="14" t="s">
        <v>9053</v>
      </c>
    </row>
    <row r="9">
      <c r="A9" s="14" t="s">
        <v>44</v>
      </c>
      <c r="B9" s="14" t="s">
        <v>9054</v>
      </c>
    </row>
    <row r="10">
      <c r="A10" s="14" t="s">
        <v>44</v>
      </c>
      <c r="B10" s="14" t="s">
        <v>9055</v>
      </c>
    </row>
    <row r="11">
      <c r="A11" s="14" t="s">
        <v>44</v>
      </c>
      <c r="B11" s="14" t="s">
        <v>9056</v>
      </c>
    </row>
    <row r="12">
      <c r="A12" s="14" t="s">
        <v>44</v>
      </c>
      <c r="B12" s="14" t="s">
        <v>9057</v>
      </c>
    </row>
    <row r="13">
      <c r="A13" s="14" t="s">
        <v>44</v>
      </c>
      <c r="B13" s="14" t="s">
        <v>9058</v>
      </c>
    </row>
    <row r="14">
      <c r="A14" s="14" t="s">
        <v>44</v>
      </c>
      <c r="B14" s="14" t="s">
        <v>9059</v>
      </c>
    </row>
    <row r="15">
      <c r="A15" s="14" t="s">
        <v>44</v>
      </c>
      <c r="B15" s="14" t="s">
        <v>9063</v>
      </c>
    </row>
    <row r="16">
      <c r="A16" s="14" t="s">
        <v>44</v>
      </c>
      <c r="B16" s="14" t="s">
        <v>9065</v>
      </c>
    </row>
    <row r="17">
      <c r="A17" s="14" t="s">
        <v>44</v>
      </c>
      <c r="B17" s="14" t="s">
        <v>9066</v>
      </c>
    </row>
    <row r="18">
      <c r="A18" s="14" t="s">
        <v>44</v>
      </c>
      <c r="B18" s="14" t="s">
        <v>9067</v>
      </c>
    </row>
    <row r="19">
      <c r="A19" s="14" t="s">
        <v>44</v>
      </c>
      <c r="B19" s="14" t="s">
        <v>9068</v>
      </c>
    </row>
    <row r="20">
      <c r="A20" s="14" t="s">
        <v>44</v>
      </c>
      <c r="B20" s="14" t="s">
        <v>9069</v>
      </c>
    </row>
    <row r="21">
      <c r="A21" s="14" t="s">
        <v>44</v>
      </c>
      <c r="B21" s="14" t="s">
        <v>9070</v>
      </c>
    </row>
    <row r="22">
      <c r="A22" s="14" t="s">
        <v>44</v>
      </c>
      <c r="B22" s="14" t="s">
        <v>9071</v>
      </c>
    </row>
    <row r="23">
      <c r="A23" s="14" t="s">
        <v>44</v>
      </c>
      <c r="B23" s="14" t="s">
        <v>9072</v>
      </c>
    </row>
    <row r="24">
      <c r="A24" s="14" t="s">
        <v>44</v>
      </c>
      <c r="B24" s="14" t="s">
        <v>9073</v>
      </c>
    </row>
    <row r="25">
      <c r="A25" s="14" t="s">
        <v>44</v>
      </c>
      <c r="B25" s="14" t="s">
        <v>9074</v>
      </c>
    </row>
    <row r="26">
      <c r="A26" s="14" t="s">
        <v>44</v>
      </c>
      <c r="B26" s="14" t="s">
        <v>9075</v>
      </c>
    </row>
    <row r="27">
      <c r="A27" s="14" t="s">
        <v>44</v>
      </c>
      <c r="B27" s="14" t="s">
        <v>9076</v>
      </c>
    </row>
    <row r="28">
      <c r="A28" s="14" t="s">
        <v>44</v>
      </c>
      <c r="B28" s="14" t="s">
        <v>9077</v>
      </c>
    </row>
    <row r="29">
      <c r="A29" s="14" t="s">
        <v>44</v>
      </c>
      <c r="B29" s="14" t="s">
        <v>9078</v>
      </c>
    </row>
    <row r="30">
      <c r="A30" s="14" t="s">
        <v>44</v>
      </c>
      <c r="B30" s="14" t="s">
        <v>9079</v>
      </c>
    </row>
    <row r="31">
      <c r="A31" s="14" t="s">
        <v>44</v>
      </c>
      <c r="B31" s="14" t="s">
        <v>9080</v>
      </c>
    </row>
    <row r="32">
      <c r="A32" s="14" t="s">
        <v>44</v>
      </c>
      <c r="B32" s="14" t="s">
        <v>9081</v>
      </c>
    </row>
    <row r="33">
      <c r="A33" s="14" t="s">
        <v>44</v>
      </c>
      <c r="B33" s="14" t="s">
        <v>9082</v>
      </c>
    </row>
    <row r="34">
      <c r="A34" s="14" t="s">
        <v>44</v>
      </c>
      <c r="B34" s="14" t="s">
        <v>9083</v>
      </c>
    </row>
    <row r="35">
      <c r="A35" s="14" t="s">
        <v>44</v>
      </c>
      <c r="B35" s="14" t="s">
        <v>9084</v>
      </c>
    </row>
    <row r="36">
      <c r="A36" s="14" t="s">
        <v>44</v>
      </c>
      <c r="B36" s="14" t="s">
        <v>9085</v>
      </c>
    </row>
    <row r="37">
      <c r="A37" s="14" t="s">
        <v>44</v>
      </c>
      <c r="B37" s="14" t="s">
        <v>9086</v>
      </c>
    </row>
    <row r="38">
      <c r="A38" s="14" t="s">
        <v>44</v>
      </c>
      <c r="B38" s="14" t="s">
        <v>9087</v>
      </c>
    </row>
    <row r="39">
      <c r="A39" s="14" t="s">
        <v>44</v>
      </c>
      <c r="B39" s="14" t="s">
        <v>9088</v>
      </c>
    </row>
    <row r="40">
      <c r="A40" s="14" t="s">
        <v>44</v>
      </c>
      <c r="B40" s="14" t="s">
        <v>9089</v>
      </c>
    </row>
    <row r="41">
      <c r="A41" s="14" t="s">
        <v>44</v>
      </c>
      <c r="B41" s="14" t="s">
        <v>9090</v>
      </c>
    </row>
    <row r="42">
      <c r="A42" s="14" t="s">
        <v>44</v>
      </c>
      <c r="B42" s="14" t="s">
        <v>9091</v>
      </c>
    </row>
    <row r="43">
      <c r="A43" s="14" t="s">
        <v>44</v>
      </c>
      <c r="B43" s="14" t="s">
        <v>9092</v>
      </c>
    </row>
    <row r="44">
      <c r="A44" s="14" t="s">
        <v>44</v>
      </c>
      <c r="B44" s="14" t="s">
        <v>9093</v>
      </c>
    </row>
    <row r="45">
      <c r="A45" s="14" t="s">
        <v>44</v>
      </c>
      <c r="B45" s="14" t="s">
        <v>9094</v>
      </c>
    </row>
    <row r="46">
      <c r="A46" s="14" t="s">
        <v>44</v>
      </c>
      <c r="B46" s="14" t="s">
        <v>9096</v>
      </c>
    </row>
    <row r="47">
      <c r="A47" s="14" t="s">
        <v>44</v>
      </c>
      <c r="B47" s="14" t="s">
        <v>9097</v>
      </c>
    </row>
    <row r="48">
      <c r="A48" s="14" t="s">
        <v>44</v>
      </c>
      <c r="B48" s="14" t="s">
        <v>9099</v>
      </c>
    </row>
    <row r="49">
      <c r="A49" s="14" t="s">
        <v>44</v>
      </c>
      <c r="B49" s="14" t="s">
        <v>9100</v>
      </c>
    </row>
    <row r="50">
      <c r="A50" s="14" t="s">
        <v>44</v>
      </c>
      <c r="B50" s="14" t="s">
        <v>9101</v>
      </c>
    </row>
    <row r="51">
      <c r="A51" s="14" t="s">
        <v>44</v>
      </c>
      <c r="B51" s="14" t="s">
        <v>9102</v>
      </c>
    </row>
    <row r="52">
      <c r="A52" s="14" t="s">
        <v>44</v>
      </c>
      <c r="B52" s="14" t="s">
        <v>9103</v>
      </c>
    </row>
    <row r="53">
      <c r="A53" s="14" t="s">
        <v>44</v>
      </c>
      <c r="B53" s="14" t="s">
        <v>9104</v>
      </c>
    </row>
    <row r="54">
      <c r="A54" s="14" t="s">
        <v>44</v>
      </c>
      <c r="B54" s="14" t="s">
        <v>9105</v>
      </c>
    </row>
    <row r="55">
      <c r="A55" s="14" t="s">
        <v>44</v>
      </c>
      <c r="B55" s="14" t="s">
        <v>9106</v>
      </c>
    </row>
    <row r="56">
      <c r="A56" s="14" t="s">
        <v>44</v>
      </c>
      <c r="B56" s="14" t="s">
        <v>9107</v>
      </c>
    </row>
    <row r="57">
      <c r="A57" s="14" t="s">
        <v>44</v>
      </c>
      <c r="B57" s="14" t="s">
        <v>9108</v>
      </c>
    </row>
    <row r="58">
      <c r="A58" s="14" t="s">
        <v>44</v>
      </c>
      <c r="B58" s="14" t="s">
        <v>9109</v>
      </c>
    </row>
    <row r="59">
      <c r="A59" s="14" t="s">
        <v>44</v>
      </c>
      <c r="B59" s="14" t="s">
        <v>9110</v>
      </c>
    </row>
    <row r="60">
      <c r="A60" s="14" t="s">
        <v>44</v>
      </c>
      <c r="B60" s="14" t="s">
        <v>9111</v>
      </c>
    </row>
    <row r="61">
      <c r="A61" s="14" t="s">
        <v>44</v>
      </c>
      <c r="B61" s="14" t="s">
        <v>9112</v>
      </c>
    </row>
    <row r="62">
      <c r="A62" s="14" t="s">
        <v>44</v>
      </c>
      <c r="B62" s="14" t="s">
        <v>9113</v>
      </c>
    </row>
    <row r="63">
      <c r="A63" s="14" t="s">
        <v>44</v>
      </c>
      <c r="B63" s="14" t="s">
        <v>9114</v>
      </c>
    </row>
    <row r="64">
      <c r="A64" s="14" t="s">
        <v>44</v>
      </c>
      <c r="B64" s="14" t="s">
        <v>9115</v>
      </c>
    </row>
    <row r="65">
      <c r="A65" s="14" t="s">
        <v>44</v>
      </c>
      <c r="B65" s="14" t="s">
        <v>9116</v>
      </c>
    </row>
    <row r="66">
      <c r="A66" s="14" t="s">
        <v>44</v>
      </c>
      <c r="B66" s="14" t="s">
        <v>9117</v>
      </c>
    </row>
    <row r="67">
      <c r="A67" s="14" t="s">
        <v>44</v>
      </c>
      <c r="B67" s="14" t="s">
        <v>9118</v>
      </c>
    </row>
    <row r="68">
      <c r="A68" s="14" t="s">
        <v>44</v>
      </c>
      <c r="B68" s="14" t="s">
        <v>9119</v>
      </c>
    </row>
    <row r="69">
      <c r="A69" s="14" t="s">
        <v>44</v>
      </c>
      <c r="B69" s="14" t="s">
        <v>9120</v>
      </c>
    </row>
    <row r="70">
      <c r="A70" s="14" t="s">
        <v>44</v>
      </c>
      <c r="B70" s="14" t="s">
        <v>9121</v>
      </c>
    </row>
    <row r="71">
      <c r="A71" s="14" t="s">
        <v>44</v>
      </c>
      <c r="B71" s="14" t="s">
        <v>9122</v>
      </c>
    </row>
    <row r="72">
      <c r="A72" s="14" t="s">
        <v>44</v>
      </c>
      <c r="B72" s="14" t="s">
        <v>9123</v>
      </c>
    </row>
    <row r="73">
      <c r="A73" s="14" t="s">
        <v>44</v>
      </c>
      <c r="B73" s="14" t="s">
        <v>9124</v>
      </c>
    </row>
    <row r="74">
      <c r="A74" s="14" t="s">
        <v>44</v>
      </c>
      <c r="B74" s="14" t="s">
        <v>9125</v>
      </c>
    </row>
    <row r="75">
      <c r="A75" s="14" t="s">
        <v>44</v>
      </c>
      <c r="B75" s="14" t="s">
        <v>9126</v>
      </c>
    </row>
    <row r="76">
      <c r="A76" s="14" t="s">
        <v>44</v>
      </c>
      <c r="B76" s="14" t="s">
        <v>9127</v>
      </c>
    </row>
    <row r="77">
      <c r="A77" s="14" t="s">
        <v>44</v>
      </c>
      <c r="B77" s="14" t="s">
        <v>9129</v>
      </c>
    </row>
    <row r="78">
      <c r="A78" s="14" t="s">
        <v>44</v>
      </c>
      <c r="B78" s="14" t="s">
        <v>9131</v>
      </c>
    </row>
    <row r="79">
      <c r="A79" s="14" t="s">
        <v>44</v>
      </c>
      <c r="B79" s="14" t="s">
        <v>9132</v>
      </c>
    </row>
    <row r="80">
      <c r="A80" s="14" t="s">
        <v>44</v>
      </c>
      <c r="B80" s="14" t="s">
        <v>9133</v>
      </c>
    </row>
    <row r="81">
      <c r="A81" s="14" t="s">
        <v>44</v>
      </c>
      <c r="B81" s="14" t="s">
        <v>9134</v>
      </c>
    </row>
    <row r="82">
      <c r="A82" s="14" t="s">
        <v>44</v>
      </c>
      <c r="B82" s="14" t="s">
        <v>9135</v>
      </c>
    </row>
    <row r="83">
      <c r="A83" s="14" t="s">
        <v>44</v>
      </c>
      <c r="B83" s="14" t="s">
        <v>9136</v>
      </c>
    </row>
    <row r="84">
      <c r="A84" s="14" t="s">
        <v>44</v>
      </c>
      <c r="B84" s="14" t="s">
        <v>9137</v>
      </c>
    </row>
    <row r="85">
      <c r="A85" s="14" t="s">
        <v>44</v>
      </c>
      <c r="B85" s="14" t="s">
        <v>9138</v>
      </c>
    </row>
    <row r="86">
      <c r="A86" s="14" t="s">
        <v>44</v>
      </c>
      <c r="B86" s="14" t="s">
        <v>9139</v>
      </c>
    </row>
    <row r="87">
      <c r="A87" s="14" t="s">
        <v>44</v>
      </c>
      <c r="B87" s="14" t="s">
        <v>9140</v>
      </c>
    </row>
    <row r="88">
      <c r="A88" s="14" t="s">
        <v>44</v>
      </c>
      <c r="B88" s="14" t="s">
        <v>9141</v>
      </c>
    </row>
    <row r="89">
      <c r="A89" s="14" t="s">
        <v>44</v>
      </c>
      <c r="B89" s="14" t="s">
        <v>9142</v>
      </c>
    </row>
    <row r="90">
      <c r="A90" s="14" t="s">
        <v>44</v>
      </c>
      <c r="B90" s="14" t="s">
        <v>9143</v>
      </c>
    </row>
    <row r="91">
      <c r="A91" s="14" t="s">
        <v>44</v>
      </c>
      <c r="B91" s="14" t="s">
        <v>9144</v>
      </c>
    </row>
    <row r="92">
      <c r="A92" s="14" t="s">
        <v>44</v>
      </c>
      <c r="B92" s="14" t="s">
        <v>9145</v>
      </c>
    </row>
    <row r="93">
      <c r="A93" s="14" t="s">
        <v>44</v>
      </c>
      <c r="B93" s="14" t="s">
        <v>9146</v>
      </c>
    </row>
    <row r="94">
      <c r="A94" s="14" t="s">
        <v>44</v>
      </c>
      <c r="B94" s="14" t="s">
        <v>9147</v>
      </c>
    </row>
    <row r="95">
      <c r="A95" s="14" t="s">
        <v>44</v>
      </c>
      <c r="B95" s="14" t="s">
        <v>9148</v>
      </c>
    </row>
    <row r="96">
      <c r="A96" s="14" t="s">
        <v>44</v>
      </c>
      <c r="B96" s="14" t="s">
        <v>9149</v>
      </c>
    </row>
    <row r="97">
      <c r="A97" s="14" t="s">
        <v>44</v>
      </c>
      <c r="B97" s="14" t="s">
        <v>9150</v>
      </c>
    </row>
    <row r="98">
      <c r="A98" s="14" t="s">
        <v>44</v>
      </c>
      <c r="B98" s="14" t="s">
        <v>9151</v>
      </c>
    </row>
    <row r="99">
      <c r="A99" s="14" t="s">
        <v>44</v>
      </c>
      <c r="B99" s="14" t="s">
        <v>9152</v>
      </c>
    </row>
    <row r="100">
      <c r="A100" s="14" t="s">
        <v>44</v>
      </c>
      <c r="B100" s="14" t="s">
        <v>9153</v>
      </c>
    </row>
    <row r="101">
      <c r="A101" s="14" t="s">
        <v>44</v>
      </c>
      <c r="B101" s="14" t="s">
        <v>9156</v>
      </c>
    </row>
    <row r="102">
      <c r="A102" s="14" t="s">
        <v>44</v>
      </c>
      <c r="B102" s="14" t="s">
        <v>9157</v>
      </c>
    </row>
    <row r="103">
      <c r="A103" s="14" t="s">
        <v>44</v>
      </c>
      <c r="B103" s="14" t="s">
        <v>9158</v>
      </c>
    </row>
    <row r="104">
      <c r="A104" s="14" t="s">
        <v>44</v>
      </c>
      <c r="B104" s="14" t="s">
        <v>9159</v>
      </c>
    </row>
    <row r="105">
      <c r="A105" s="14" t="s">
        <v>44</v>
      </c>
      <c r="B105" s="14" t="s">
        <v>9160</v>
      </c>
    </row>
    <row r="106">
      <c r="A106" s="14" t="s">
        <v>44</v>
      </c>
      <c r="B106" s="14" t="s">
        <v>9161</v>
      </c>
    </row>
    <row r="107">
      <c r="A107" s="14" t="s">
        <v>44</v>
      </c>
      <c r="B107" s="14" t="s">
        <v>9162</v>
      </c>
    </row>
    <row r="108">
      <c r="A108" s="14" t="s">
        <v>44</v>
      </c>
      <c r="B108" s="14" t="s">
        <v>9163</v>
      </c>
    </row>
    <row r="109">
      <c r="A109" s="14" t="s">
        <v>44</v>
      </c>
      <c r="B109" s="14" t="s">
        <v>9164</v>
      </c>
    </row>
    <row r="110">
      <c r="A110" s="14" t="s">
        <v>44</v>
      </c>
      <c r="B110" s="14" t="s">
        <v>9165</v>
      </c>
    </row>
    <row r="111">
      <c r="A111" s="14" t="s">
        <v>44</v>
      </c>
      <c r="B111" s="14" t="s">
        <v>9166</v>
      </c>
    </row>
    <row r="112">
      <c r="A112" s="14" t="s">
        <v>44</v>
      </c>
      <c r="B112" s="14" t="s">
        <v>9167</v>
      </c>
    </row>
    <row r="113">
      <c r="A113" s="14" t="s">
        <v>44</v>
      </c>
      <c r="B113" s="14" t="s">
        <v>9168</v>
      </c>
    </row>
    <row r="114">
      <c r="A114" s="14" t="s">
        <v>44</v>
      </c>
      <c r="B114" s="14" t="s">
        <v>9169</v>
      </c>
    </row>
    <row r="115">
      <c r="A115" s="14" t="s">
        <v>44</v>
      </c>
      <c r="B115" s="14" t="s">
        <v>9170</v>
      </c>
    </row>
    <row r="116">
      <c r="A116" s="14" t="s">
        <v>44</v>
      </c>
      <c r="B116" s="14" t="s">
        <v>9171</v>
      </c>
    </row>
    <row r="117">
      <c r="A117" s="14" t="s">
        <v>44</v>
      </c>
      <c r="B117" s="14" t="s">
        <v>9172</v>
      </c>
    </row>
    <row r="118">
      <c r="A118" s="14" t="s">
        <v>44</v>
      </c>
      <c r="B118" s="14" t="s">
        <v>9173</v>
      </c>
    </row>
    <row r="119">
      <c r="A119" s="14" t="s">
        <v>44</v>
      </c>
      <c r="B119" s="14" t="s">
        <v>9175</v>
      </c>
    </row>
    <row r="120">
      <c r="A120" s="14" t="s">
        <v>44</v>
      </c>
      <c r="B120" s="14" t="s">
        <v>9176</v>
      </c>
    </row>
    <row r="121">
      <c r="A121" s="14" t="s">
        <v>44</v>
      </c>
      <c r="B121" s="14" t="s">
        <v>9178</v>
      </c>
    </row>
    <row r="122">
      <c r="A122" s="14" t="s">
        <v>44</v>
      </c>
      <c r="B122" s="14" t="s">
        <v>9179</v>
      </c>
    </row>
    <row r="123">
      <c r="A123" s="14" t="s">
        <v>44</v>
      </c>
      <c r="B123" s="14" t="s">
        <v>9180</v>
      </c>
    </row>
    <row r="124">
      <c r="A124" s="14" t="s">
        <v>44</v>
      </c>
      <c r="B124" s="14" t="s">
        <v>9181</v>
      </c>
    </row>
    <row r="125">
      <c r="A125" s="14" t="s">
        <v>44</v>
      </c>
      <c r="B125" s="14" t="s">
        <v>9183</v>
      </c>
    </row>
    <row r="126">
      <c r="A126" s="14" t="s">
        <v>44</v>
      </c>
      <c r="B126" s="14" t="s">
        <v>9184</v>
      </c>
    </row>
    <row r="127">
      <c r="A127" s="14" t="s">
        <v>44</v>
      </c>
      <c r="B127" s="14" t="s">
        <v>9185</v>
      </c>
    </row>
    <row r="128">
      <c r="A128" s="14" t="s">
        <v>44</v>
      </c>
      <c r="B128" s="14" t="s">
        <v>9186</v>
      </c>
    </row>
    <row r="129">
      <c r="A129" s="14" t="s">
        <v>44</v>
      </c>
      <c r="B129" s="14" t="s">
        <v>9187</v>
      </c>
    </row>
    <row r="130">
      <c r="A130" s="14" t="s">
        <v>44</v>
      </c>
      <c r="B130" s="14" t="s">
        <v>9188</v>
      </c>
    </row>
    <row r="131">
      <c r="A131" s="14" t="s">
        <v>44</v>
      </c>
      <c r="B131" s="14" t="s">
        <v>9189</v>
      </c>
    </row>
    <row r="132">
      <c r="A132" s="14" t="s">
        <v>44</v>
      </c>
      <c r="B132" s="14" t="s">
        <v>9190</v>
      </c>
    </row>
    <row r="133">
      <c r="A133" s="14" t="s">
        <v>44</v>
      </c>
      <c r="B133" s="14" t="s">
        <v>9191</v>
      </c>
    </row>
    <row r="134">
      <c r="A134" s="14" t="s">
        <v>44</v>
      </c>
      <c r="B134" s="14" t="s">
        <v>9192</v>
      </c>
    </row>
    <row r="135">
      <c r="A135" s="14" t="s">
        <v>44</v>
      </c>
      <c r="B135" s="14" t="s">
        <v>9193</v>
      </c>
    </row>
    <row r="136">
      <c r="A136" s="14" t="s">
        <v>44</v>
      </c>
      <c r="B136" s="14" t="s">
        <v>9194</v>
      </c>
    </row>
    <row r="137">
      <c r="A137" s="14" t="s">
        <v>44</v>
      </c>
      <c r="B137" s="14" t="s">
        <v>9195</v>
      </c>
    </row>
    <row r="138">
      <c r="A138" s="14" t="s">
        <v>44</v>
      </c>
      <c r="B138" s="14" t="s">
        <v>9196</v>
      </c>
    </row>
    <row r="139">
      <c r="A139" s="14" t="s">
        <v>44</v>
      </c>
      <c r="B139" s="14" t="s">
        <v>9198</v>
      </c>
    </row>
    <row r="140">
      <c r="A140" s="14" t="s">
        <v>44</v>
      </c>
      <c r="B140" s="14" t="s">
        <v>9200</v>
      </c>
    </row>
    <row r="141">
      <c r="A141" s="14" t="s">
        <v>44</v>
      </c>
      <c r="B141" s="14" t="s">
        <v>9201</v>
      </c>
    </row>
    <row r="142">
      <c r="A142" s="14" t="s">
        <v>44</v>
      </c>
      <c r="B142" s="14" t="s">
        <v>9202</v>
      </c>
    </row>
    <row r="143">
      <c r="A143" s="14" t="s">
        <v>44</v>
      </c>
      <c r="B143" s="14" t="s">
        <v>9203</v>
      </c>
    </row>
    <row r="144">
      <c r="A144" s="14" t="s">
        <v>44</v>
      </c>
      <c r="B144" s="14" t="s">
        <v>9204</v>
      </c>
    </row>
    <row r="145">
      <c r="A145" s="14" t="s">
        <v>44</v>
      </c>
      <c r="B145" s="14" t="s">
        <v>9205</v>
      </c>
    </row>
    <row r="146">
      <c r="A146" s="14" t="s">
        <v>44</v>
      </c>
      <c r="B146" s="14" t="s">
        <v>9206</v>
      </c>
    </row>
    <row r="147">
      <c r="A147" s="14" t="s">
        <v>44</v>
      </c>
      <c r="B147" s="14" t="s">
        <v>9207</v>
      </c>
    </row>
    <row r="148">
      <c r="A148" s="14" t="s">
        <v>44</v>
      </c>
      <c r="B148" s="14" t="s">
        <v>9208</v>
      </c>
    </row>
    <row r="149">
      <c r="A149" s="14" t="s">
        <v>44</v>
      </c>
      <c r="B149" s="14" t="s">
        <v>9209</v>
      </c>
    </row>
    <row r="150">
      <c r="A150" s="14" t="s">
        <v>44</v>
      </c>
      <c r="B150" s="14" t="s">
        <v>9210</v>
      </c>
    </row>
    <row r="151">
      <c r="A151" s="14" t="s">
        <v>44</v>
      </c>
      <c r="B151" s="14" t="s">
        <v>9211</v>
      </c>
    </row>
    <row r="152">
      <c r="A152" s="14" t="s">
        <v>44</v>
      </c>
      <c r="B152" s="14" t="s">
        <v>9212</v>
      </c>
    </row>
    <row r="153">
      <c r="A153" s="14" t="s">
        <v>44</v>
      </c>
      <c r="B153" s="14" t="s">
        <v>9213</v>
      </c>
    </row>
    <row r="154">
      <c r="A154" s="14" t="s">
        <v>44</v>
      </c>
      <c r="B154" s="14" t="s">
        <v>9214</v>
      </c>
    </row>
    <row r="155">
      <c r="A155" s="14" t="s">
        <v>44</v>
      </c>
      <c r="B155" s="14" t="s">
        <v>9215</v>
      </c>
    </row>
    <row r="156">
      <c r="A156" s="14" t="s">
        <v>44</v>
      </c>
      <c r="B156" s="14" t="s">
        <v>9216</v>
      </c>
    </row>
    <row r="157">
      <c r="A157" s="14" t="s">
        <v>44</v>
      </c>
      <c r="B157" s="14" t="s">
        <v>9217</v>
      </c>
    </row>
    <row r="158">
      <c r="A158" s="14" t="s">
        <v>44</v>
      </c>
      <c r="B158" s="14" t="s">
        <v>9218</v>
      </c>
    </row>
    <row r="159">
      <c r="A159" s="14" t="s">
        <v>44</v>
      </c>
      <c r="B159" s="14" t="s">
        <v>9219</v>
      </c>
    </row>
    <row r="160">
      <c r="A160" s="14" t="s">
        <v>44</v>
      </c>
      <c r="B160" s="14" t="s">
        <v>9220</v>
      </c>
    </row>
    <row r="161">
      <c r="A161" s="14" t="s">
        <v>44</v>
      </c>
      <c r="B161" s="14" t="s">
        <v>9221</v>
      </c>
    </row>
    <row r="162">
      <c r="A162" s="14" t="s">
        <v>44</v>
      </c>
      <c r="B162" s="14" t="s">
        <v>9222</v>
      </c>
    </row>
    <row r="163">
      <c r="A163" s="14" t="s">
        <v>44</v>
      </c>
      <c r="B163" s="14" t="s">
        <v>9224</v>
      </c>
    </row>
    <row r="164">
      <c r="A164" s="14" t="s">
        <v>44</v>
      </c>
      <c r="B164" s="14" t="s">
        <v>9225</v>
      </c>
    </row>
    <row r="165">
      <c r="A165" s="14" t="s">
        <v>44</v>
      </c>
      <c r="B165" s="14" t="s">
        <v>9227</v>
      </c>
    </row>
    <row r="166">
      <c r="A166" s="14" t="s">
        <v>44</v>
      </c>
      <c r="B166" s="14" t="s">
        <v>9229</v>
      </c>
    </row>
    <row r="167">
      <c r="A167" s="14" t="s">
        <v>44</v>
      </c>
      <c r="B167" s="14" t="s">
        <v>9230</v>
      </c>
    </row>
    <row r="168">
      <c r="A168" s="14" t="s">
        <v>44</v>
      </c>
      <c r="B168" s="14" t="s">
        <v>9231</v>
      </c>
    </row>
    <row r="169">
      <c r="A169" s="14" t="s">
        <v>44</v>
      </c>
      <c r="B169" s="14" t="s">
        <v>9232</v>
      </c>
    </row>
    <row r="170">
      <c r="A170" s="14" t="s">
        <v>44</v>
      </c>
      <c r="B170" s="14" t="s">
        <v>9233</v>
      </c>
    </row>
    <row r="171">
      <c r="A171" s="14" t="s">
        <v>44</v>
      </c>
      <c r="B171" s="14" t="s">
        <v>9234</v>
      </c>
    </row>
    <row r="172">
      <c r="A172" s="14" t="s">
        <v>44</v>
      </c>
      <c r="B172" s="14" t="s">
        <v>9235</v>
      </c>
    </row>
    <row r="173">
      <c r="A173" s="14" t="s">
        <v>44</v>
      </c>
      <c r="B173" s="14" t="s">
        <v>9236</v>
      </c>
    </row>
    <row r="174">
      <c r="A174" s="14" t="s">
        <v>44</v>
      </c>
      <c r="B174" s="14" t="s">
        <v>9237</v>
      </c>
    </row>
    <row r="175">
      <c r="A175" s="14" t="s">
        <v>44</v>
      </c>
      <c r="B175" s="14" t="s">
        <v>9238</v>
      </c>
    </row>
    <row r="176">
      <c r="A176" s="14" t="s">
        <v>44</v>
      </c>
      <c r="B176" s="14" t="s">
        <v>9239</v>
      </c>
    </row>
    <row r="177">
      <c r="A177" s="14" t="s">
        <v>44</v>
      </c>
      <c r="B177" s="14" t="s">
        <v>9240</v>
      </c>
    </row>
    <row r="178">
      <c r="A178" s="14" t="s">
        <v>44</v>
      </c>
      <c r="B178" s="14" t="s">
        <v>9241</v>
      </c>
    </row>
    <row r="179">
      <c r="A179" s="14" t="s">
        <v>44</v>
      </c>
      <c r="B179" s="14" t="s">
        <v>9242</v>
      </c>
    </row>
    <row r="180">
      <c r="A180" s="14" t="s">
        <v>44</v>
      </c>
      <c r="B180" s="14" t="s">
        <v>9243</v>
      </c>
    </row>
    <row r="181">
      <c r="A181" s="14" t="s">
        <v>44</v>
      </c>
      <c r="B181" s="14" t="s">
        <v>9244</v>
      </c>
    </row>
    <row r="182">
      <c r="A182" s="14" t="s">
        <v>44</v>
      </c>
      <c r="B182" s="14" t="s">
        <v>9245</v>
      </c>
    </row>
    <row r="183">
      <c r="A183" s="14" t="s">
        <v>44</v>
      </c>
      <c r="B183" s="14" t="s">
        <v>9246</v>
      </c>
    </row>
    <row r="184">
      <c r="A184" s="14" t="s">
        <v>44</v>
      </c>
      <c r="B184" s="14" t="s">
        <v>9247</v>
      </c>
    </row>
    <row r="185">
      <c r="A185" s="14" t="s">
        <v>44</v>
      </c>
      <c r="B185" s="14" t="s">
        <v>9248</v>
      </c>
    </row>
    <row r="186">
      <c r="A186" s="14" t="s">
        <v>44</v>
      </c>
      <c r="B186" s="14" t="s">
        <v>9249</v>
      </c>
    </row>
    <row r="187">
      <c r="A187" s="14" t="s">
        <v>44</v>
      </c>
      <c r="B187" s="14" t="s">
        <v>9250</v>
      </c>
    </row>
    <row r="188">
      <c r="A188" s="14" t="s">
        <v>44</v>
      </c>
      <c r="B188" s="14" t="s">
        <v>9251</v>
      </c>
    </row>
    <row r="189">
      <c r="A189" s="14" t="s">
        <v>44</v>
      </c>
      <c r="B189" s="14" t="s">
        <v>9252</v>
      </c>
    </row>
    <row r="190">
      <c r="A190" s="14" t="s">
        <v>44</v>
      </c>
      <c r="B190" s="14" t="s">
        <v>9253</v>
      </c>
    </row>
    <row r="191">
      <c r="A191" s="14" t="s">
        <v>44</v>
      </c>
      <c r="B191" s="14" t="s">
        <v>9254</v>
      </c>
    </row>
    <row r="192">
      <c r="A192" s="14" t="s">
        <v>44</v>
      </c>
      <c r="B192" s="14" t="s">
        <v>9255</v>
      </c>
    </row>
    <row r="193">
      <c r="A193" s="14" t="s">
        <v>44</v>
      </c>
      <c r="B193" s="14" t="s">
        <v>9256</v>
      </c>
    </row>
    <row r="194">
      <c r="A194" s="14" t="s">
        <v>44</v>
      </c>
      <c r="B194" s="14" t="s">
        <v>9257</v>
      </c>
    </row>
    <row r="195">
      <c r="A195" s="14" t="s">
        <v>44</v>
      </c>
      <c r="B195" s="14" t="s">
        <v>9258</v>
      </c>
    </row>
    <row r="196">
      <c r="A196" s="14" t="s">
        <v>44</v>
      </c>
      <c r="B196" s="14" t="s">
        <v>9259</v>
      </c>
    </row>
    <row r="197">
      <c r="A197" s="14" t="s">
        <v>44</v>
      </c>
      <c r="B197" s="14" t="s">
        <v>9260</v>
      </c>
    </row>
    <row r="198">
      <c r="A198" s="14" t="s">
        <v>44</v>
      </c>
      <c r="B198" s="14" t="s">
        <v>9261</v>
      </c>
    </row>
    <row r="199">
      <c r="A199" s="14" t="s">
        <v>44</v>
      </c>
      <c r="B199" s="14" t="s">
        <v>9262</v>
      </c>
    </row>
    <row r="200">
      <c r="A200" s="14" t="s">
        <v>44</v>
      </c>
      <c r="B200" s="14" t="s">
        <v>9263</v>
      </c>
    </row>
    <row r="201">
      <c r="A201" s="14" t="s">
        <v>44</v>
      </c>
      <c r="B201" s="14" t="s">
        <v>9266</v>
      </c>
    </row>
    <row r="202">
      <c r="A202" s="14" t="s">
        <v>44</v>
      </c>
      <c r="B202" s="14" t="s">
        <v>9268</v>
      </c>
    </row>
    <row r="203">
      <c r="A203" s="14" t="s">
        <v>44</v>
      </c>
      <c r="B203" s="14" t="s">
        <v>9269</v>
      </c>
    </row>
    <row r="204">
      <c r="A204" s="14" t="s">
        <v>44</v>
      </c>
      <c r="B204" s="14" t="s">
        <v>9271</v>
      </c>
    </row>
    <row r="205">
      <c r="A205" s="14" t="s">
        <v>44</v>
      </c>
      <c r="B205" s="14" t="s">
        <v>9272</v>
      </c>
    </row>
    <row r="206">
      <c r="A206" s="14" t="s">
        <v>44</v>
      </c>
      <c r="B206" s="14" t="s">
        <v>9273</v>
      </c>
    </row>
    <row r="207">
      <c r="A207" s="14" t="s">
        <v>44</v>
      </c>
      <c r="B207" s="14" t="s">
        <v>9274</v>
      </c>
    </row>
    <row r="208">
      <c r="A208" s="14" t="s">
        <v>44</v>
      </c>
    </row>
    <row r="209">
      <c r="A209" s="14" t="s">
        <v>44</v>
      </c>
    </row>
    <row r="210">
      <c r="A210" s="14" t="s">
        <v>44</v>
      </c>
    </row>
    <row r="211">
      <c r="A211" s="14" t="s">
        <v>44</v>
      </c>
    </row>
    <row r="212">
      <c r="A212" s="14" t="s">
        <v>44</v>
      </c>
    </row>
    <row r="213">
      <c r="A213" s="14" t="s">
        <v>44</v>
      </c>
    </row>
    <row r="214">
      <c r="A214" s="14" t="s">
        <v>44</v>
      </c>
    </row>
    <row r="215">
      <c r="A215" s="14" t="s">
        <v>44</v>
      </c>
    </row>
    <row r="216">
      <c r="A216" s="14" t="s">
        <v>44</v>
      </c>
    </row>
    <row r="217">
      <c r="A217" s="14" t="s">
        <v>44</v>
      </c>
    </row>
    <row r="218">
      <c r="A218" s="14" t="s">
        <v>44</v>
      </c>
    </row>
    <row r="219">
      <c r="A219" s="14" t="s">
        <v>44</v>
      </c>
    </row>
    <row r="220">
      <c r="A220" s="14" t="s">
        <v>44</v>
      </c>
    </row>
    <row r="221">
      <c r="A221" s="14" t="s">
        <v>44</v>
      </c>
    </row>
    <row r="222">
      <c r="A222" s="14" t="s">
        <v>44</v>
      </c>
    </row>
    <row r="223">
      <c r="A223" s="14" t="s">
        <v>44</v>
      </c>
    </row>
    <row r="224">
      <c r="A224" s="14" t="s">
        <v>44</v>
      </c>
    </row>
    <row r="225">
      <c r="A225" s="14" t="s">
        <v>44</v>
      </c>
    </row>
    <row r="226">
      <c r="A226" s="14" t="s">
        <v>44</v>
      </c>
    </row>
    <row r="227">
      <c r="A227" s="14" t="s">
        <v>44</v>
      </c>
    </row>
    <row r="228">
      <c r="A228" s="14" t="s">
        <v>44</v>
      </c>
    </row>
    <row r="229">
      <c r="A229" s="14" t="s">
        <v>44</v>
      </c>
    </row>
    <row r="230">
      <c r="A230" s="14" t="s">
        <v>44</v>
      </c>
    </row>
    <row r="231">
      <c r="A231" s="14" t="s">
        <v>44</v>
      </c>
    </row>
    <row r="232">
      <c r="A232" s="14" t="s">
        <v>44</v>
      </c>
    </row>
    <row r="233">
      <c r="A233" s="14" t="s">
        <v>44</v>
      </c>
    </row>
    <row r="234">
      <c r="A234" s="14" t="s">
        <v>44</v>
      </c>
    </row>
    <row r="235">
      <c r="A235" s="14" t="s">
        <v>44</v>
      </c>
    </row>
    <row r="236">
      <c r="A236" s="14" t="s">
        <v>44</v>
      </c>
    </row>
    <row r="237">
      <c r="A237" s="14" t="s">
        <v>44</v>
      </c>
    </row>
    <row r="238">
      <c r="A238" s="14" t="s">
        <v>44</v>
      </c>
    </row>
    <row r="239">
      <c r="A239" s="14" t="s">
        <v>44</v>
      </c>
    </row>
    <row r="240">
      <c r="A240" s="14" t="s">
        <v>44</v>
      </c>
    </row>
    <row r="241">
      <c r="A241" s="14" t="s">
        <v>44</v>
      </c>
    </row>
    <row r="242">
      <c r="A242" s="14" t="s">
        <v>44</v>
      </c>
    </row>
    <row r="243">
      <c r="A243" s="14" t="s">
        <v>44</v>
      </c>
    </row>
    <row r="244">
      <c r="A244" s="14" t="s">
        <v>44</v>
      </c>
    </row>
    <row r="245">
      <c r="A245" s="14" t="s">
        <v>44</v>
      </c>
    </row>
    <row r="246">
      <c r="A246" s="14" t="s">
        <v>44</v>
      </c>
    </row>
    <row r="247">
      <c r="A247" s="14" t="s">
        <v>44</v>
      </c>
    </row>
    <row r="248">
      <c r="A248" s="14" t="s">
        <v>44</v>
      </c>
    </row>
    <row r="249">
      <c r="A249" s="14" t="s">
        <v>44</v>
      </c>
    </row>
    <row r="250">
      <c r="A250" s="14" t="s">
        <v>44</v>
      </c>
    </row>
    <row r="251">
      <c r="A251" s="14" t="s">
        <v>44</v>
      </c>
    </row>
    <row r="252">
      <c r="A252" s="14" t="s">
        <v>44</v>
      </c>
    </row>
    <row r="253">
      <c r="A253" s="14" t="s">
        <v>44</v>
      </c>
    </row>
    <row r="254">
      <c r="A254" s="14" t="s">
        <v>44</v>
      </c>
    </row>
    <row r="255">
      <c r="A255" s="14" t="s">
        <v>44</v>
      </c>
    </row>
    <row r="256">
      <c r="A256" s="14" t="s">
        <v>44</v>
      </c>
    </row>
    <row r="257">
      <c r="A257" s="14" t="s">
        <v>44</v>
      </c>
    </row>
    <row r="258">
      <c r="A258" s="14" t="s">
        <v>44</v>
      </c>
    </row>
    <row r="259">
      <c r="A259" s="14" t="s">
        <v>44</v>
      </c>
    </row>
    <row r="260">
      <c r="A260" s="14" t="s">
        <v>44</v>
      </c>
    </row>
    <row r="261">
      <c r="A261" s="14" t="s">
        <v>44</v>
      </c>
    </row>
    <row r="262">
      <c r="A262" s="14" t="s">
        <v>44</v>
      </c>
    </row>
    <row r="263">
      <c r="A263" s="14" t="s">
        <v>44</v>
      </c>
    </row>
    <row r="264">
      <c r="A264" s="14" t="s">
        <v>44</v>
      </c>
    </row>
    <row r="265">
      <c r="A265" s="14" t="s">
        <v>44</v>
      </c>
    </row>
    <row r="266">
      <c r="A266" s="14" t="s">
        <v>44</v>
      </c>
    </row>
    <row r="267">
      <c r="A267" s="14" t="s">
        <v>44</v>
      </c>
    </row>
    <row r="268">
      <c r="A268" s="14" t="s">
        <v>44</v>
      </c>
    </row>
    <row r="269">
      <c r="A269" s="14" t="s">
        <v>44</v>
      </c>
    </row>
    <row r="270">
      <c r="A270" s="14" t="s">
        <v>44</v>
      </c>
    </row>
    <row r="271">
      <c r="A271" s="14" t="s">
        <v>44</v>
      </c>
    </row>
    <row r="272">
      <c r="A272" s="14" t="s">
        <v>44</v>
      </c>
    </row>
    <row r="273">
      <c r="A273" s="14" t="s">
        <v>44</v>
      </c>
    </row>
    <row r="274">
      <c r="A274" s="14" t="s">
        <v>44</v>
      </c>
    </row>
    <row r="275">
      <c r="A275" s="14" t="s">
        <v>44</v>
      </c>
    </row>
    <row r="276">
      <c r="A276" s="14" t="s">
        <v>44</v>
      </c>
    </row>
    <row r="277">
      <c r="A277" s="14" t="s">
        <v>44</v>
      </c>
    </row>
    <row r="278">
      <c r="A278" s="14" t="s">
        <v>44</v>
      </c>
    </row>
    <row r="279">
      <c r="A279" s="14" t="s">
        <v>44</v>
      </c>
    </row>
    <row r="280">
      <c r="A280" s="14" t="s">
        <v>44</v>
      </c>
    </row>
    <row r="281">
      <c r="A281" s="14" t="s">
        <v>44</v>
      </c>
    </row>
    <row r="282">
      <c r="A282" s="14" t="s">
        <v>44</v>
      </c>
    </row>
    <row r="283">
      <c r="A283" s="14" t="s">
        <v>44</v>
      </c>
    </row>
    <row r="284">
      <c r="A284" s="14" t="s">
        <v>44</v>
      </c>
    </row>
    <row r="285">
      <c r="A285" s="14" t="s">
        <v>44</v>
      </c>
    </row>
    <row r="286">
      <c r="A286" s="14" t="s">
        <v>44</v>
      </c>
    </row>
    <row r="287">
      <c r="A287" s="14" t="s">
        <v>44</v>
      </c>
    </row>
    <row r="288">
      <c r="A288" s="14" t="s">
        <v>44</v>
      </c>
    </row>
    <row r="289">
      <c r="A289" s="14" t="s">
        <v>44</v>
      </c>
    </row>
    <row r="290">
      <c r="A290" s="14" t="s">
        <v>44</v>
      </c>
    </row>
    <row r="291">
      <c r="A291" s="14" t="s">
        <v>44</v>
      </c>
    </row>
    <row r="292">
      <c r="A292" s="14" t="s">
        <v>44</v>
      </c>
    </row>
    <row r="293">
      <c r="A293" s="14" t="s">
        <v>44</v>
      </c>
    </row>
    <row r="294">
      <c r="A294" s="14" t="s">
        <v>44</v>
      </c>
    </row>
    <row r="295">
      <c r="A295" s="14" t="s">
        <v>44</v>
      </c>
    </row>
    <row r="296">
      <c r="A296" s="14" t="s">
        <v>44</v>
      </c>
    </row>
    <row r="297">
      <c r="A297" s="14" t="s">
        <v>44</v>
      </c>
    </row>
    <row r="298">
      <c r="A298" s="14" t="s">
        <v>44</v>
      </c>
    </row>
    <row r="299">
      <c r="A299" s="14" t="s">
        <v>44</v>
      </c>
    </row>
    <row r="300">
      <c r="A300" s="14" t="s">
        <v>44</v>
      </c>
    </row>
    <row r="301">
      <c r="A301" s="14" t="s">
        <v>44</v>
      </c>
    </row>
    <row r="302">
      <c r="A302" s="14" t="s">
        <v>44</v>
      </c>
    </row>
    <row r="303">
      <c r="A303" s="14" t="s">
        <v>44</v>
      </c>
    </row>
    <row r="304">
      <c r="A304" s="14" t="s">
        <v>44</v>
      </c>
    </row>
    <row r="305">
      <c r="A305" s="14" t="s">
        <v>44</v>
      </c>
    </row>
    <row r="306">
      <c r="A306" s="14" t="s">
        <v>44</v>
      </c>
    </row>
    <row r="307">
      <c r="A307" s="14" t="s">
        <v>44</v>
      </c>
    </row>
    <row r="308">
      <c r="A308" s="14" t="s">
        <v>44</v>
      </c>
    </row>
    <row r="309">
      <c r="A309" s="14" t="s">
        <v>44</v>
      </c>
    </row>
    <row r="310">
      <c r="A310" s="14" t="s">
        <v>44</v>
      </c>
    </row>
    <row r="311">
      <c r="A311" s="14" t="s">
        <v>44</v>
      </c>
    </row>
    <row r="312">
      <c r="A312" s="14" t="s">
        <v>44</v>
      </c>
    </row>
    <row r="313">
      <c r="A313" s="14" t="s">
        <v>44</v>
      </c>
    </row>
    <row r="314">
      <c r="A314" s="14" t="s">
        <v>44</v>
      </c>
    </row>
    <row r="315">
      <c r="A315" s="14" t="s">
        <v>44</v>
      </c>
    </row>
    <row r="316">
      <c r="A316" s="14" t="s">
        <v>44</v>
      </c>
    </row>
    <row r="317">
      <c r="A317" s="14" t="s">
        <v>44</v>
      </c>
    </row>
    <row r="318">
      <c r="A318" s="14" t="s">
        <v>44</v>
      </c>
    </row>
    <row r="319">
      <c r="A319" s="14" t="s">
        <v>44</v>
      </c>
    </row>
    <row r="320">
      <c r="A320" s="14" t="s">
        <v>44</v>
      </c>
    </row>
    <row r="321">
      <c r="A321" s="14" t="s">
        <v>44</v>
      </c>
    </row>
    <row r="322">
      <c r="A322" s="14" t="s">
        <v>44</v>
      </c>
    </row>
    <row r="323">
      <c r="A323" s="14" t="s">
        <v>44</v>
      </c>
    </row>
    <row r="324">
      <c r="A324" s="14" t="s">
        <v>44</v>
      </c>
    </row>
    <row r="325">
      <c r="A325" s="14" t="s">
        <v>44</v>
      </c>
    </row>
    <row r="326">
      <c r="A326" s="14" t="s">
        <v>44</v>
      </c>
    </row>
    <row r="327">
      <c r="A327" s="14" t="s">
        <v>44</v>
      </c>
    </row>
    <row r="328">
      <c r="A328" s="14" t="s">
        <v>44</v>
      </c>
    </row>
    <row r="329">
      <c r="A329" s="14" t="s">
        <v>44</v>
      </c>
    </row>
    <row r="330">
      <c r="A330" s="14" t="s">
        <v>44</v>
      </c>
    </row>
    <row r="331">
      <c r="A331" s="14" t="s">
        <v>44</v>
      </c>
    </row>
    <row r="332">
      <c r="A332" s="14" t="s">
        <v>44</v>
      </c>
    </row>
    <row r="333">
      <c r="A333" s="14" t="s">
        <v>44</v>
      </c>
    </row>
    <row r="334">
      <c r="A334" s="14" t="s">
        <v>44</v>
      </c>
    </row>
    <row r="335">
      <c r="A335" s="14" t="s">
        <v>44</v>
      </c>
    </row>
    <row r="336">
      <c r="A336" s="14" t="s">
        <v>44</v>
      </c>
    </row>
    <row r="337">
      <c r="A337" s="14" t="s">
        <v>44</v>
      </c>
    </row>
    <row r="338">
      <c r="A338" s="14" t="s">
        <v>44</v>
      </c>
    </row>
    <row r="339">
      <c r="A339" s="14" t="s">
        <v>44</v>
      </c>
    </row>
    <row r="340">
      <c r="A340" s="14" t="s">
        <v>44</v>
      </c>
    </row>
    <row r="341">
      <c r="A341" s="14" t="s">
        <v>44</v>
      </c>
    </row>
    <row r="342">
      <c r="A342" s="14" t="s">
        <v>44</v>
      </c>
    </row>
    <row r="343">
      <c r="A343" s="14" t="s">
        <v>44</v>
      </c>
    </row>
    <row r="344">
      <c r="A344" s="14" t="s">
        <v>44</v>
      </c>
    </row>
    <row r="345">
      <c r="A345" s="14" t="s">
        <v>44</v>
      </c>
    </row>
    <row r="346">
      <c r="A346" s="14" t="s">
        <v>44</v>
      </c>
    </row>
    <row r="347">
      <c r="A347" s="14" t="s">
        <v>44</v>
      </c>
    </row>
    <row r="348">
      <c r="A348" s="14" t="s">
        <v>44</v>
      </c>
    </row>
    <row r="349">
      <c r="A349" s="14" t="s">
        <v>44</v>
      </c>
    </row>
    <row r="350">
      <c r="A350" s="14" t="s">
        <v>44</v>
      </c>
    </row>
    <row r="351">
      <c r="A351" s="14" t="s">
        <v>44</v>
      </c>
    </row>
    <row r="352">
      <c r="A352" s="14" t="s">
        <v>44</v>
      </c>
    </row>
    <row r="353">
      <c r="A353" s="14" t="s">
        <v>44</v>
      </c>
    </row>
    <row r="354">
      <c r="A354" s="14" t="s">
        <v>44</v>
      </c>
    </row>
    <row r="355">
      <c r="A355" s="14" t="s">
        <v>44</v>
      </c>
    </row>
    <row r="356">
      <c r="A356" s="14" t="s">
        <v>44</v>
      </c>
    </row>
    <row r="357">
      <c r="A357" s="14" t="s">
        <v>44</v>
      </c>
    </row>
    <row r="358">
      <c r="A358" s="14" t="s">
        <v>44</v>
      </c>
    </row>
    <row r="359">
      <c r="A359" s="14" t="s">
        <v>44</v>
      </c>
    </row>
    <row r="360">
      <c r="A360" s="14" t="s">
        <v>44</v>
      </c>
    </row>
    <row r="361">
      <c r="A361" s="14" t="s">
        <v>44</v>
      </c>
    </row>
    <row r="362">
      <c r="A362" s="14" t="s">
        <v>44</v>
      </c>
    </row>
    <row r="363">
      <c r="A363" s="14" t="s">
        <v>44</v>
      </c>
    </row>
    <row r="364">
      <c r="A364" s="14" t="s">
        <v>44</v>
      </c>
    </row>
    <row r="365">
      <c r="A365" s="14" t="s">
        <v>44</v>
      </c>
    </row>
    <row r="366">
      <c r="A366" s="14" t="s">
        <v>44</v>
      </c>
    </row>
    <row r="367">
      <c r="A367" s="14" t="s">
        <v>44</v>
      </c>
    </row>
    <row r="368">
      <c r="A368" s="14" t="s">
        <v>44</v>
      </c>
    </row>
    <row r="369">
      <c r="A369" s="14" t="s">
        <v>44</v>
      </c>
    </row>
    <row r="370">
      <c r="A370" s="14" t="s">
        <v>44</v>
      </c>
    </row>
    <row r="371">
      <c r="A371" s="14" t="s">
        <v>44</v>
      </c>
    </row>
    <row r="372">
      <c r="A372" s="14" t="s">
        <v>44</v>
      </c>
    </row>
    <row r="373">
      <c r="A373" s="14" t="s">
        <v>44</v>
      </c>
    </row>
    <row r="374">
      <c r="A374" s="14" t="s">
        <v>44</v>
      </c>
    </row>
    <row r="375">
      <c r="A375" s="14" t="s">
        <v>44</v>
      </c>
    </row>
    <row r="376">
      <c r="A376" s="14" t="s">
        <v>44</v>
      </c>
    </row>
    <row r="377">
      <c r="A377" s="14" t="s">
        <v>44</v>
      </c>
    </row>
    <row r="378">
      <c r="A378" s="14" t="s">
        <v>44</v>
      </c>
    </row>
    <row r="379">
      <c r="A379" s="14" t="s">
        <v>44</v>
      </c>
    </row>
    <row r="380">
      <c r="A380" s="14" t="s">
        <v>44</v>
      </c>
    </row>
    <row r="381">
      <c r="A381" s="14" t="s">
        <v>44</v>
      </c>
    </row>
    <row r="382">
      <c r="A382" s="14" t="s">
        <v>44</v>
      </c>
    </row>
    <row r="383">
      <c r="A383" s="14" t="s">
        <v>44</v>
      </c>
    </row>
    <row r="384">
      <c r="A384" s="14" t="s">
        <v>44</v>
      </c>
    </row>
    <row r="385">
      <c r="A385" s="14" t="s">
        <v>44</v>
      </c>
    </row>
    <row r="386">
      <c r="A386" s="14" t="s">
        <v>44</v>
      </c>
    </row>
    <row r="387">
      <c r="A387" s="14" t="s">
        <v>44</v>
      </c>
    </row>
    <row r="388">
      <c r="A388" s="14" t="s">
        <v>44</v>
      </c>
    </row>
    <row r="389">
      <c r="A389" s="14" t="s">
        <v>44</v>
      </c>
    </row>
    <row r="390">
      <c r="A390" s="14" t="s">
        <v>44</v>
      </c>
    </row>
    <row r="391">
      <c r="A391" s="14" t="s">
        <v>44</v>
      </c>
    </row>
    <row r="392">
      <c r="A392" s="14" t="s">
        <v>44</v>
      </c>
    </row>
    <row r="393">
      <c r="A393" s="14" t="s">
        <v>44</v>
      </c>
    </row>
    <row r="394">
      <c r="A394" s="14" t="s">
        <v>44</v>
      </c>
    </row>
    <row r="395">
      <c r="A395" s="14" t="s">
        <v>44</v>
      </c>
    </row>
    <row r="396">
      <c r="A396" s="14" t="s">
        <v>44</v>
      </c>
    </row>
    <row r="397">
      <c r="A397" s="14" t="s">
        <v>44</v>
      </c>
    </row>
    <row r="398">
      <c r="A398" s="14" t="s">
        <v>44</v>
      </c>
    </row>
    <row r="399">
      <c r="A399" s="14" t="s">
        <v>44</v>
      </c>
    </row>
    <row r="400">
      <c r="A400" s="14" t="s">
        <v>44</v>
      </c>
    </row>
    <row r="401">
      <c r="A401" s="14" t="s">
        <v>44</v>
      </c>
    </row>
    <row r="402">
      <c r="A402" s="14" t="s">
        <v>44</v>
      </c>
    </row>
    <row r="403">
      <c r="A403" s="14" t="s">
        <v>44</v>
      </c>
    </row>
    <row r="404">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c r="AA404" s="70"/>
      <c r="AB404" s="70"/>
      <c r="AC404" s="70"/>
      <c r="AD404" s="70"/>
    </row>
    <row r="405">
      <c r="A405" s="14" t="s">
        <v>286</v>
      </c>
      <c r="B405" s="31">
        <v>1.0</v>
      </c>
      <c r="C405" s="45" t="s">
        <v>9293</v>
      </c>
      <c r="D405" s="36" t="s">
        <v>49</v>
      </c>
      <c r="E405" s="200"/>
      <c r="F405" s="31"/>
    </row>
    <row r="406">
      <c r="A406" s="14" t="s">
        <v>286</v>
      </c>
      <c r="B406" s="31">
        <v>2.0</v>
      </c>
      <c r="C406" s="45" t="s">
        <v>9298</v>
      </c>
      <c r="D406" s="51" t="s">
        <v>53</v>
      </c>
      <c r="E406" s="200"/>
      <c r="F406" s="31"/>
    </row>
    <row r="407">
      <c r="A407" s="14" t="s">
        <v>286</v>
      </c>
      <c r="B407" s="31">
        <v>3.0</v>
      </c>
      <c r="C407" s="45" t="s">
        <v>9301</v>
      </c>
      <c r="D407" s="51" t="s">
        <v>53</v>
      </c>
      <c r="E407" s="200"/>
      <c r="F407" s="31"/>
    </row>
    <row r="408">
      <c r="A408" s="14" t="s">
        <v>286</v>
      </c>
      <c r="B408" s="45">
        <v>4.0</v>
      </c>
      <c r="C408" s="31" t="s">
        <v>9305</v>
      </c>
      <c r="D408" s="36" t="s">
        <v>49</v>
      </c>
      <c r="E408" s="200"/>
      <c r="F408" s="31"/>
    </row>
    <row r="409">
      <c r="A409" s="14" t="s">
        <v>286</v>
      </c>
      <c r="B409" s="45">
        <v>5.0</v>
      </c>
      <c r="C409" s="31" t="s">
        <v>9307</v>
      </c>
      <c r="D409" s="36" t="s">
        <v>49</v>
      </c>
      <c r="E409" s="200"/>
      <c r="F409" s="31"/>
    </row>
    <row r="410">
      <c r="A410" s="14" t="s">
        <v>286</v>
      </c>
      <c r="B410" s="31">
        <v>6.0</v>
      </c>
      <c r="C410" s="31" t="s">
        <v>9308</v>
      </c>
      <c r="D410" s="51" t="s">
        <v>53</v>
      </c>
      <c r="E410" s="200"/>
      <c r="F410" s="31"/>
    </row>
    <row r="411">
      <c r="A411" s="14" t="s">
        <v>286</v>
      </c>
      <c r="B411" s="31">
        <v>7.0</v>
      </c>
      <c r="C411" s="45" t="s">
        <v>9309</v>
      </c>
      <c r="D411" s="51" t="s">
        <v>53</v>
      </c>
      <c r="E411" s="200"/>
      <c r="F411" s="31"/>
    </row>
    <row r="412">
      <c r="A412" s="14" t="s">
        <v>286</v>
      </c>
      <c r="B412" s="31">
        <v>8.0</v>
      </c>
      <c r="C412" s="31" t="s">
        <v>9313</v>
      </c>
      <c r="D412" s="51" t="s">
        <v>53</v>
      </c>
      <c r="E412" s="200"/>
      <c r="F412" s="31"/>
    </row>
    <row r="413">
      <c r="A413" s="14" t="s">
        <v>286</v>
      </c>
      <c r="B413" s="31">
        <v>9.0</v>
      </c>
      <c r="C413" s="45" t="s">
        <v>9314</v>
      </c>
      <c r="D413" s="51" t="s">
        <v>53</v>
      </c>
      <c r="E413" s="200"/>
      <c r="F413" s="31"/>
    </row>
    <row r="414">
      <c r="A414" s="14" t="s">
        <v>286</v>
      </c>
      <c r="B414" s="31">
        <v>10.0</v>
      </c>
      <c r="C414" s="45" t="s">
        <v>9315</v>
      </c>
      <c r="D414" s="36" t="s">
        <v>49</v>
      </c>
      <c r="E414" s="200"/>
      <c r="F414" s="31"/>
    </row>
    <row r="415">
      <c r="A415" s="14" t="s">
        <v>286</v>
      </c>
      <c r="B415" s="31">
        <v>11.0</v>
      </c>
      <c r="C415" s="31" t="s">
        <v>9320</v>
      </c>
      <c r="D415" s="51" t="s">
        <v>53</v>
      </c>
      <c r="E415" s="200"/>
      <c r="F415" s="31"/>
    </row>
    <row r="416">
      <c r="A416" s="14" t="s">
        <v>286</v>
      </c>
      <c r="B416" s="31">
        <v>12.0</v>
      </c>
      <c r="C416" s="45" t="s">
        <v>9321</v>
      </c>
      <c r="D416" s="51" t="s">
        <v>53</v>
      </c>
      <c r="E416" s="200"/>
      <c r="F416" s="31"/>
    </row>
    <row r="417">
      <c r="A417" s="14" t="s">
        <v>286</v>
      </c>
      <c r="B417" s="31">
        <v>13.0</v>
      </c>
      <c r="C417" s="45" t="s">
        <v>9325</v>
      </c>
      <c r="D417" s="36" t="s">
        <v>49</v>
      </c>
      <c r="E417" s="200"/>
      <c r="F417" s="31"/>
    </row>
    <row r="418">
      <c r="A418" s="14" t="s">
        <v>286</v>
      </c>
      <c r="B418" s="31">
        <v>14.0</v>
      </c>
      <c r="C418" s="45" t="s">
        <v>9328</v>
      </c>
      <c r="D418" s="51" t="s">
        <v>53</v>
      </c>
      <c r="E418" s="200"/>
      <c r="F418" s="31"/>
    </row>
    <row r="419">
      <c r="A419" s="14" t="s">
        <v>286</v>
      </c>
      <c r="B419" s="31">
        <v>15.0</v>
      </c>
      <c r="C419" s="45" t="s">
        <v>9333</v>
      </c>
      <c r="D419" s="36" t="s">
        <v>49</v>
      </c>
      <c r="E419" s="200"/>
      <c r="F419" s="31"/>
    </row>
    <row r="420">
      <c r="A420" s="14" t="s">
        <v>286</v>
      </c>
      <c r="B420" s="31">
        <v>16.0</v>
      </c>
      <c r="C420" s="31" t="s">
        <v>9336</v>
      </c>
      <c r="D420" s="36" t="s">
        <v>49</v>
      </c>
      <c r="E420" s="200"/>
      <c r="F420" s="31"/>
    </row>
    <row r="421">
      <c r="A421" s="14" t="s">
        <v>286</v>
      </c>
      <c r="B421" s="31">
        <v>17.0</v>
      </c>
      <c r="C421" s="31" t="s">
        <v>9337</v>
      </c>
      <c r="D421" s="51" t="s">
        <v>53</v>
      </c>
      <c r="E421" s="200"/>
      <c r="F421" s="31"/>
    </row>
    <row r="422">
      <c r="A422" s="14" t="s">
        <v>286</v>
      </c>
      <c r="B422" s="31">
        <v>18.0</v>
      </c>
      <c r="C422" s="45" t="s">
        <v>9338</v>
      </c>
      <c r="D422" s="36" t="s">
        <v>49</v>
      </c>
      <c r="E422" s="200"/>
      <c r="F422" s="31"/>
    </row>
    <row r="423">
      <c r="A423" s="14" t="s">
        <v>286</v>
      </c>
      <c r="B423" s="31">
        <v>19.0</v>
      </c>
      <c r="C423" s="31" t="s">
        <v>9340</v>
      </c>
      <c r="D423" s="51" t="s">
        <v>53</v>
      </c>
      <c r="E423" s="200"/>
      <c r="F423" s="31"/>
    </row>
    <row r="424">
      <c r="A424" s="14" t="s">
        <v>286</v>
      </c>
      <c r="B424" s="31">
        <v>20.0</v>
      </c>
      <c r="C424" s="45" t="s">
        <v>9341</v>
      </c>
      <c r="D424" s="36" t="s">
        <v>49</v>
      </c>
      <c r="E424" s="200"/>
      <c r="F424" s="31"/>
    </row>
    <row r="425">
      <c r="A425" s="14" t="s">
        <v>286</v>
      </c>
      <c r="B425" s="31">
        <v>21.0</v>
      </c>
      <c r="C425" s="45" t="s">
        <v>9342</v>
      </c>
      <c r="D425" s="36" t="s">
        <v>49</v>
      </c>
      <c r="E425" s="200"/>
      <c r="F425" s="31"/>
    </row>
    <row r="426">
      <c r="A426" s="14" t="s">
        <v>286</v>
      </c>
      <c r="B426" s="31">
        <v>22.0</v>
      </c>
      <c r="C426" s="45" t="s">
        <v>9345</v>
      </c>
      <c r="D426" s="51" t="s">
        <v>53</v>
      </c>
      <c r="E426" s="200"/>
      <c r="F426" s="31"/>
    </row>
    <row r="427">
      <c r="A427" s="14" t="s">
        <v>286</v>
      </c>
      <c r="B427" s="45">
        <v>23.0</v>
      </c>
      <c r="C427" s="45" t="s">
        <v>9346</v>
      </c>
      <c r="D427" s="51" t="s">
        <v>53</v>
      </c>
      <c r="E427" s="200"/>
      <c r="F427" s="31"/>
    </row>
    <row r="428">
      <c r="A428" s="14" t="s">
        <v>286</v>
      </c>
      <c r="B428" s="31">
        <v>24.0</v>
      </c>
      <c r="C428" s="45" t="s">
        <v>9348</v>
      </c>
      <c r="D428" s="51" t="s">
        <v>53</v>
      </c>
      <c r="E428" s="200"/>
      <c r="F428" s="31"/>
    </row>
    <row r="429">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c r="AA429" s="70"/>
      <c r="AB429" s="70"/>
      <c r="AC429" s="70"/>
      <c r="AD429" s="70"/>
    </row>
    <row r="430">
      <c r="A430" s="14" t="s">
        <v>9349</v>
      </c>
      <c r="C430" s="14" t="s">
        <v>9350</v>
      </c>
      <c r="D430" s="14" t="s">
        <v>53</v>
      </c>
    </row>
    <row r="431">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c r="AA431" s="70"/>
      <c r="AB431" s="70"/>
      <c r="AC431" s="70"/>
      <c r="AD431" s="70"/>
    </row>
    <row r="432">
      <c r="A432" s="14" t="s">
        <v>286</v>
      </c>
      <c r="C432" s="14" t="s">
        <v>9351</v>
      </c>
      <c r="D432" s="14" t="s">
        <v>49</v>
      </c>
    </row>
    <row r="433">
      <c r="A433" s="14" t="s">
        <v>286</v>
      </c>
      <c r="C433" s="14" t="s">
        <v>9352</v>
      </c>
      <c r="D433" s="14" t="s">
        <v>49</v>
      </c>
    </row>
    <row r="434">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c r="AA434" s="70"/>
      <c r="AB434" s="70"/>
      <c r="AC434" s="70"/>
      <c r="AD434" s="70"/>
    </row>
    <row r="435">
      <c r="A435" s="14" t="s">
        <v>438</v>
      </c>
      <c r="C435" s="14" t="s">
        <v>7214</v>
      </c>
    </row>
    <row r="436">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c r="AA436" s="70"/>
      <c r="AB436" s="70"/>
      <c r="AC436" s="70"/>
      <c r="AD436" s="70"/>
    </row>
    <row r="437">
      <c r="A437" s="14" t="s">
        <v>427</v>
      </c>
      <c r="C437" s="14" t="s">
        <v>9353</v>
      </c>
      <c r="D437" s="14" t="s">
        <v>49</v>
      </c>
    </row>
    <row r="438">
      <c r="A438" s="14" t="s">
        <v>427</v>
      </c>
      <c r="C438" s="14" t="s">
        <v>9354</v>
      </c>
      <c r="D438" s="14" t="s">
        <v>49</v>
      </c>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C405"/>
    <hyperlink r:id="rId2" ref="C406"/>
    <hyperlink r:id="rId3" ref="C407"/>
    <hyperlink r:id="rId4" ref="B408"/>
    <hyperlink r:id="rId5" ref="B409"/>
    <hyperlink r:id="rId6" ref="C411"/>
    <hyperlink r:id="rId7" ref="C413"/>
    <hyperlink r:id="rId8" ref="C414"/>
    <hyperlink r:id="rId9" ref="C416"/>
    <hyperlink r:id="rId10" ref="C417"/>
    <hyperlink r:id="rId11" ref="C418"/>
    <hyperlink r:id="rId12" ref="C419"/>
    <hyperlink r:id="rId13" ref="C422"/>
    <hyperlink r:id="rId14" ref="C424"/>
    <hyperlink r:id="rId15" ref="C425"/>
    <hyperlink r:id="rId16" ref="C426"/>
    <hyperlink r:id="rId17" ref="B427"/>
    <hyperlink r:id="rId18" ref="C427"/>
    <hyperlink r:id="rId19" ref="C428"/>
  </hyperlinks>
  <drawing r:id="rId20"/>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5" max="5" width="8.86"/>
  </cols>
  <sheetData>
    <row r="1">
      <c r="A1" s="1" t="s">
        <v>0</v>
      </c>
      <c r="B1" s="2" t="s">
        <v>1</v>
      </c>
      <c r="C1" s="2" t="s">
        <v>2</v>
      </c>
      <c r="D1" s="2"/>
      <c r="E1" s="3"/>
      <c r="F1" s="30" t="s">
        <v>1577</v>
      </c>
      <c r="G1" s="30" t="s">
        <v>4</v>
      </c>
      <c r="H1" s="30" t="s">
        <v>5</v>
      </c>
      <c r="I1" s="30" t="s">
        <v>6</v>
      </c>
      <c r="J1" s="30" t="s">
        <v>7</v>
      </c>
      <c r="K1" s="1" t="s">
        <v>8</v>
      </c>
      <c r="L1" s="7" t="s">
        <v>1339</v>
      </c>
      <c r="N1" s="10" t="s">
        <v>14</v>
      </c>
      <c r="P1" s="167"/>
      <c r="Q1" s="167"/>
      <c r="R1" s="30"/>
      <c r="S1" s="20"/>
      <c r="T1" s="20"/>
      <c r="U1" s="20"/>
      <c r="V1" s="20"/>
      <c r="W1" s="20"/>
      <c r="X1" s="20"/>
      <c r="Y1" s="20"/>
      <c r="Z1" s="20"/>
      <c r="AA1" s="20"/>
      <c r="AB1" s="20"/>
      <c r="AC1" s="20"/>
      <c r="AD1" s="20"/>
    </row>
    <row r="2">
      <c r="A2" s="21"/>
      <c r="B2" s="23"/>
      <c r="C2" s="325"/>
      <c r="D2" s="325"/>
      <c r="E2" s="3"/>
      <c r="F2" s="168">
        <v>43467.0</v>
      </c>
      <c r="G2" s="635">
        <v>43844.0</v>
      </c>
      <c r="H2" s="79">
        <f>G2-TODAY()</f>
        <v>109</v>
      </c>
      <c r="I2" s="168"/>
      <c r="J2" s="168">
        <v>43844.0</v>
      </c>
      <c r="K2" s="23"/>
      <c r="L2" s="26">
        <f>CountIFS($E:$E,"=Dem",$A:$A,"=Assembly")</f>
        <v>54</v>
      </c>
      <c r="M2" s="28">
        <f>CountIFS($E:$E,"=Rep",$A:$A,"=Assembly")</f>
        <v>26</v>
      </c>
      <c r="N2" s="26">
        <f>CountIFS($E:$E,"=Dem",$A:$A,"=Senate")</f>
        <v>25</v>
      </c>
      <c r="O2" s="28">
        <f>CountIFS($E:$E,"=Rep",$A:$A,"=Senate")</f>
        <v>15</v>
      </c>
      <c r="P2" s="167"/>
      <c r="Q2" s="167"/>
      <c r="R2" s="30"/>
      <c r="S2" s="20"/>
      <c r="T2" s="20"/>
      <c r="U2" s="20"/>
      <c r="V2" s="20"/>
      <c r="W2" s="20"/>
      <c r="X2" s="20"/>
      <c r="Y2" s="20"/>
      <c r="Z2" s="20"/>
      <c r="AA2" s="20"/>
      <c r="AB2" s="20"/>
      <c r="AC2" s="20"/>
      <c r="AD2" s="20"/>
    </row>
    <row r="3">
      <c r="A3" s="30" t="s">
        <v>29</v>
      </c>
      <c r="B3" s="30" t="s">
        <v>30</v>
      </c>
      <c r="C3" s="2" t="s">
        <v>31</v>
      </c>
      <c r="D3" s="2" t="s">
        <v>32</v>
      </c>
      <c r="E3" s="3" t="s">
        <v>33</v>
      </c>
      <c r="F3" s="1" t="s">
        <v>10</v>
      </c>
      <c r="G3" s="1" t="s">
        <v>34</v>
      </c>
      <c r="H3" s="1" t="s">
        <v>34</v>
      </c>
      <c r="I3" s="1" t="s">
        <v>34</v>
      </c>
      <c r="J3" s="1" t="s">
        <v>34</v>
      </c>
      <c r="K3" s="1" t="s">
        <v>35</v>
      </c>
      <c r="L3" s="19" t="s">
        <v>36</v>
      </c>
      <c r="M3" s="19" t="s">
        <v>37</v>
      </c>
      <c r="N3" s="19" t="s">
        <v>38</v>
      </c>
      <c r="O3" s="17" t="s">
        <v>39</v>
      </c>
      <c r="P3" s="11" t="s">
        <v>40</v>
      </c>
      <c r="Q3" s="11" t="s">
        <v>41</v>
      </c>
      <c r="R3" s="17" t="s">
        <v>42</v>
      </c>
      <c r="S3" s="20"/>
      <c r="T3" s="20"/>
      <c r="U3" s="20"/>
      <c r="V3" s="20"/>
      <c r="W3" s="20"/>
      <c r="X3" s="20"/>
      <c r="Y3" s="20"/>
      <c r="Z3" s="20"/>
      <c r="AA3" s="20"/>
      <c r="AB3" s="20"/>
      <c r="AC3" s="20"/>
      <c r="AD3" s="20"/>
    </row>
    <row r="4">
      <c r="A4" s="14" t="s">
        <v>1357</v>
      </c>
      <c r="B4" s="14">
        <v>1.0</v>
      </c>
      <c r="C4" s="636" t="s">
        <v>419</v>
      </c>
      <c r="D4" s="636" t="s">
        <v>9362</v>
      </c>
      <c r="E4" t="s">
        <v>49</v>
      </c>
      <c r="L4" s="637" t="s">
        <v>9363</v>
      </c>
      <c r="M4" t="str">
        <f t="shared" ref="M4:M83" si="1">lower(concatenate("asm",D4,"@njleg.org"))</f>
        <v>asmandrzejczak@njleg.org</v>
      </c>
    </row>
    <row r="5">
      <c r="A5" s="14" t="s">
        <v>1357</v>
      </c>
      <c r="C5" s="636" t="s">
        <v>1193</v>
      </c>
      <c r="D5" s="636" t="s">
        <v>9365</v>
      </c>
      <c r="E5" t="s">
        <v>49</v>
      </c>
      <c r="L5" s="637" t="s">
        <v>9366</v>
      </c>
      <c r="M5" t="str">
        <f t="shared" si="1"/>
        <v>asmland@njleg.org</v>
      </c>
    </row>
    <row r="6">
      <c r="A6" s="14" t="s">
        <v>1357</v>
      </c>
      <c r="B6" s="14">
        <v>2.0</v>
      </c>
      <c r="C6" s="636" t="s">
        <v>278</v>
      </c>
      <c r="D6" s="636" t="s">
        <v>9367</v>
      </c>
      <c r="E6" t="s">
        <v>49</v>
      </c>
      <c r="L6" s="637" t="s">
        <v>9368</v>
      </c>
      <c r="M6" t="str">
        <f t="shared" si="1"/>
        <v>asmarmato@njleg.org</v>
      </c>
    </row>
    <row r="7">
      <c r="A7" s="14" t="s">
        <v>1357</v>
      </c>
      <c r="C7" s="636" t="s">
        <v>1576</v>
      </c>
      <c r="D7" s="636" t="s">
        <v>9369</v>
      </c>
      <c r="E7" t="s">
        <v>49</v>
      </c>
      <c r="L7" s="637" t="s">
        <v>9368</v>
      </c>
      <c r="M7" t="str">
        <f t="shared" si="1"/>
        <v>asmmazzeo@njleg.org</v>
      </c>
    </row>
    <row r="8">
      <c r="A8" s="14" t="s">
        <v>1357</v>
      </c>
      <c r="B8" s="14">
        <v>3.0</v>
      </c>
      <c r="C8" s="636" t="s">
        <v>278</v>
      </c>
      <c r="D8" s="636" t="s">
        <v>9370</v>
      </c>
      <c r="E8" t="s">
        <v>49</v>
      </c>
      <c r="L8" s="637" t="s">
        <v>9371</v>
      </c>
      <c r="M8" t="str">
        <f t="shared" si="1"/>
        <v>asmburzichelli@njleg.org</v>
      </c>
    </row>
    <row r="9">
      <c r="A9" s="14" t="s">
        <v>1357</v>
      </c>
      <c r="C9" s="636" t="s">
        <v>69</v>
      </c>
      <c r="D9" s="636" t="s">
        <v>9372</v>
      </c>
      <c r="E9" t="s">
        <v>49</v>
      </c>
      <c r="L9" s="637" t="s">
        <v>9373</v>
      </c>
      <c r="M9" t="str">
        <f t="shared" si="1"/>
        <v>asmtaliaferro@njleg.org</v>
      </c>
    </row>
    <row r="10">
      <c r="A10" s="14" t="s">
        <v>1357</v>
      </c>
      <c r="B10" s="14">
        <v>4.0</v>
      </c>
      <c r="C10" s="636" t="s">
        <v>679</v>
      </c>
      <c r="D10" s="636" t="s">
        <v>9374</v>
      </c>
      <c r="E10" t="s">
        <v>49</v>
      </c>
      <c r="L10" s="637" t="s">
        <v>9375</v>
      </c>
      <c r="M10" t="str">
        <f t="shared" si="1"/>
        <v>asmmoriarty@njleg.org</v>
      </c>
    </row>
    <row r="11">
      <c r="A11" s="14" t="s">
        <v>1357</v>
      </c>
      <c r="C11" s="636" t="s">
        <v>9376</v>
      </c>
      <c r="D11" s="636" t="s">
        <v>9377</v>
      </c>
      <c r="E11" t="s">
        <v>49</v>
      </c>
      <c r="L11" s="637" t="s">
        <v>9375</v>
      </c>
      <c r="M11" t="str">
        <f t="shared" si="1"/>
        <v>asmmosquera@njleg.org</v>
      </c>
    </row>
    <row r="12">
      <c r="A12" s="14" t="s">
        <v>1357</v>
      </c>
      <c r="B12" s="14">
        <v>5.0</v>
      </c>
      <c r="C12" s="636" t="s">
        <v>2249</v>
      </c>
      <c r="D12" s="636" t="s">
        <v>706</v>
      </c>
      <c r="E12" t="s">
        <v>49</v>
      </c>
      <c r="L12" s="637" t="s">
        <v>9379</v>
      </c>
      <c r="M12" t="str">
        <f t="shared" si="1"/>
        <v>asmjones@njleg.org</v>
      </c>
    </row>
    <row r="13">
      <c r="A13" s="14" t="s">
        <v>1357</v>
      </c>
      <c r="C13" s="636" t="s">
        <v>1058</v>
      </c>
      <c r="D13" s="636" t="s">
        <v>9380</v>
      </c>
      <c r="E13" t="s">
        <v>49</v>
      </c>
      <c r="L13" s="388" t="s">
        <v>9379</v>
      </c>
      <c r="M13" t="str">
        <f t="shared" si="1"/>
        <v>asmspearman@njleg.org</v>
      </c>
    </row>
    <row r="14">
      <c r="A14" s="14" t="s">
        <v>1357</v>
      </c>
      <c r="B14" s="14">
        <v>6.0</v>
      </c>
      <c r="C14" s="636" t="s">
        <v>4971</v>
      </c>
      <c r="D14" s="636" t="s">
        <v>9381</v>
      </c>
      <c r="E14" t="s">
        <v>49</v>
      </c>
      <c r="L14" s="637" t="s">
        <v>9382</v>
      </c>
      <c r="M14" t="str">
        <f t="shared" si="1"/>
        <v>asmgreenwald@njleg.org</v>
      </c>
    </row>
    <row r="15">
      <c r="A15" s="14" t="s">
        <v>1357</v>
      </c>
      <c r="C15" s="636" t="s">
        <v>760</v>
      </c>
      <c r="D15" s="636" t="s">
        <v>9383</v>
      </c>
      <c r="E15" t="s">
        <v>49</v>
      </c>
      <c r="L15" s="637" t="s">
        <v>9382</v>
      </c>
      <c r="M15" t="str">
        <f t="shared" si="1"/>
        <v>asmlampitt@njleg.org</v>
      </c>
    </row>
    <row r="16">
      <c r="A16" s="14" t="s">
        <v>1357</v>
      </c>
      <c r="B16" s="14">
        <v>7.0</v>
      </c>
      <c r="C16" s="636" t="s">
        <v>9384</v>
      </c>
      <c r="D16" s="636" t="s">
        <v>6426</v>
      </c>
      <c r="E16" t="s">
        <v>49</v>
      </c>
      <c r="L16" s="637" t="s">
        <v>9385</v>
      </c>
      <c r="M16" t="str">
        <f t="shared" si="1"/>
        <v>asmconaway@njleg.org</v>
      </c>
    </row>
    <row r="17">
      <c r="A17" s="14" t="s">
        <v>1357</v>
      </c>
      <c r="C17" s="636" t="s">
        <v>801</v>
      </c>
      <c r="D17" s="636" t="s">
        <v>3019</v>
      </c>
      <c r="E17" t="s">
        <v>49</v>
      </c>
      <c r="L17" s="637" t="s">
        <v>9386</v>
      </c>
      <c r="M17" t="str">
        <f t="shared" si="1"/>
        <v>asmmurphy@njleg.org</v>
      </c>
    </row>
    <row r="18">
      <c r="A18" s="14" t="s">
        <v>1357</v>
      </c>
      <c r="B18" s="14">
        <v>8.0</v>
      </c>
      <c r="C18" s="636" t="s">
        <v>622</v>
      </c>
      <c r="D18" s="636" t="s">
        <v>9387</v>
      </c>
      <c r="E18" t="s">
        <v>53</v>
      </c>
      <c r="L18" s="637" t="s">
        <v>9388</v>
      </c>
      <c r="M18" t="str">
        <f t="shared" si="1"/>
        <v>asmhowarth@njleg.org</v>
      </c>
    </row>
    <row r="19">
      <c r="A19" s="14" t="s">
        <v>1357</v>
      </c>
      <c r="C19" s="636" t="s">
        <v>2780</v>
      </c>
      <c r="D19" s="636" t="s">
        <v>2358</v>
      </c>
      <c r="E19" t="s">
        <v>53</v>
      </c>
      <c r="L19" s="637" t="s">
        <v>9388</v>
      </c>
      <c r="M19" t="str">
        <f t="shared" si="1"/>
        <v>asmpeters@njleg.org</v>
      </c>
    </row>
    <row r="20">
      <c r="A20" s="14" t="s">
        <v>1357</v>
      </c>
      <c r="B20" s="14">
        <v>9.0</v>
      </c>
      <c r="C20" s="636" t="s">
        <v>9389</v>
      </c>
      <c r="D20" s="636" t="s">
        <v>9390</v>
      </c>
      <c r="E20" t="s">
        <v>53</v>
      </c>
      <c r="L20" s="637" t="s">
        <v>9391</v>
      </c>
      <c r="M20" t="str">
        <f t="shared" si="1"/>
        <v>asmgove@njleg.org</v>
      </c>
    </row>
    <row r="21">
      <c r="A21" s="14" t="s">
        <v>1357</v>
      </c>
      <c r="C21" s="636" t="s">
        <v>1331</v>
      </c>
      <c r="D21" s="636" t="s">
        <v>9392</v>
      </c>
      <c r="E21" t="s">
        <v>53</v>
      </c>
      <c r="L21" s="637" t="s">
        <v>9391</v>
      </c>
      <c r="M21" t="str">
        <f t="shared" si="1"/>
        <v>asmrumpf@njleg.org</v>
      </c>
    </row>
    <row r="22">
      <c r="A22" s="14" t="s">
        <v>1357</v>
      </c>
      <c r="B22" s="14">
        <v>10.0</v>
      </c>
      <c r="C22" s="636" t="s">
        <v>823</v>
      </c>
      <c r="D22" s="636" t="s">
        <v>9393</v>
      </c>
      <c r="E22" t="s">
        <v>53</v>
      </c>
      <c r="L22" s="637" t="s">
        <v>9395</v>
      </c>
      <c r="M22" t="str">
        <f t="shared" si="1"/>
        <v>asmmcguckin@njleg.org</v>
      </c>
    </row>
    <row r="23">
      <c r="A23" s="14" t="s">
        <v>1357</v>
      </c>
      <c r="C23" s="636" t="s">
        <v>108</v>
      </c>
      <c r="D23" s="636" t="s">
        <v>9397</v>
      </c>
      <c r="E23" t="s">
        <v>53</v>
      </c>
      <c r="L23" s="637" t="s">
        <v>9395</v>
      </c>
      <c r="M23" t="str">
        <f t="shared" si="1"/>
        <v>asmwolfe@njleg.org</v>
      </c>
    </row>
    <row r="24">
      <c r="A24" s="14" t="s">
        <v>1357</v>
      </c>
      <c r="B24" s="14">
        <v>11.0</v>
      </c>
      <c r="C24" s="636" t="s">
        <v>2057</v>
      </c>
      <c r="D24" s="636" t="s">
        <v>9398</v>
      </c>
      <c r="E24" t="s">
        <v>49</v>
      </c>
      <c r="L24" s="637" t="s">
        <v>9399</v>
      </c>
      <c r="M24" t="str">
        <f t="shared" si="1"/>
        <v>asmdowney@njleg.org</v>
      </c>
    </row>
    <row r="25">
      <c r="A25" s="14" t="s">
        <v>1357</v>
      </c>
      <c r="C25" s="636" t="s">
        <v>2302</v>
      </c>
      <c r="D25" s="636" t="s">
        <v>9400</v>
      </c>
      <c r="E25" t="s">
        <v>49</v>
      </c>
      <c r="L25" s="637" t="s">
        <v>9399</v>
      </c>
      <c r="M25" t="str">
        <f t="shared" si="1"/>
        <v>asmhoughtaling@njleg.org</v>
      </c>
    </row>
    <row r="26">
      <c r="A26" s="14" t="s">
        <v>1357</v>
      </c>
      <c r="B26" s="14">
        <v>12.0</v>
      </c>
      <c r="C26" s="636" t="s">
        <v>1134</v>
      </c>
      <c r="D26" s="636" t="s">
        <v>9401</v>
      </c>
      <c r="E26" t="s">
        <v>53</v>
      </c>
      <c r="L26" s="637" t="s">
        <v>9402</v>
      </c>
      <c r="M26" t="str">
        <f t="shared" si="1"/>
        <v>asmclifton@njleg.org</v>
      </c>
    </row>
    <row r="27">
      <c r="A27" s="14" t="s">
        <v>1357</v>
      </c>
      <c r="C27" s="636" t="s">
        <v>393</v>
      </c>
      <c r="D27" s="636" t="s">
        <v>9403</v>
      </c>
      <c r="E27" t="s">
        <v>53</v>
      </c>
      <c r="L27" s="637" t="s">
        <v>9404</v>
      </c>
      <c r="M27" t="str">
        <f t="shared" si="1"/>
        <v>asmdancer@njleg.org</v>
      </c>
    </row>
    <row r="28">
      <c r="A28" s="14" t="s">
        <v>1357</v>
      </c>
      <c r="B28" s="14">
        <v>13.0</v>
      </c>
      <c r="C28" s="636" t="s">
        <v>1635</v>
      </c>
      <c r="D28" s="636" t="s">
        <v>9405</v>
      </c>
      <c r="E28" t="s">
        <v>53</v>
      </c>
      <c r="L28" s="637" t="s">
        <v>9406</v>
      </c>
      <c r="M28" t="str">
        <f t="shared" si="1"/>
        <v>asmdimaso@njleg.org</v>
      </c>
    </row>
    <row r="29">
      <c r="A29" s="14" t="s">
        <v>1357</v>
      </c>
      <c r="C29" s="636" t="s">
        <v>2969</v>
      </c>
      <c r="D29" s="636" t="s">
        <v>9407</v>
      </c>
      <c r="E29" t="s">
        <v>53</v>
      </c>
      <c r="L29" s="637" t="s">
        <v>9408</v>
      </c>
      <c r="M29" t="str">
        <f t="shared" si="1"/>
        <v>asmhandlin@njleg.org</v>
      </c>
    </row>
    <row r="30">
      <c r="A30" s="14" t="s">
        <v>1357</v>
      </c>
      <c r="B30" s="14">
        <v>14.0</v>
      </c>
      <c r="C30" s="636" t="s">
        <v>552</v>
      </c>
      <c r="D30" s="636" t="s">
        <v>5021</v>
      </c>
      <c r="E30" t="s">
        <v>49</v>
      </c>
      <c r="L30" s="637" t="s">
        <v>9409</v>
      </c>
      <c r="M30" t="str">
        <f t="shared" si="1"/>
        <v>asmbenson@njleg.org</v>
      </c>
    </row>
    <row r="31">
      <c r="A31" s="14" t="s">
        <v>1357</v>
      </c>
      <c r="C31" s="636" t="s">
        <v>6418</v>
      </c>
      <c r="D31" s="636" t="s">
        <v>9410</v>
      </c>
      <c r="E31" t="s">
        <v>49</v>
      </c>
      <c r="L31" s="637" t="s">
        <v>9411</v>
      </c>
      <c r="M31" t="str">
        <f t="shared" si="1"/>
        <v>asmdeangelo@njleg.org</v>
      </c>
    </row>
    <row r="32">
      <c r="A32" s="14" t="s">
        <v>1357</v>
      </c>
      <c r="B32" s="14">
        <v>15.0</v>
      </c>
      <c r="C32" s="636" t="s">
        <v>9412</v>
      </c>
      <c r="D32" s="636" t="s">
        <v>9413</v>
      </c>
      <c r="E32" t="s">
        <v>49</v>
      </c>
      <c r="L32" s="637" t="s">
        <v>9414</v>
      </c>
      <c r="M32" t="str">
        <f t="shared" si="1"/>
        <v>asmreynolds-jackson@njleg.org</v>
      </c>
    </row>
    <row r="33">
      <c r="A33" s="14" t="s">
        <v>1357</v>
      </c>
      <c r="C33" s="636" t="s">
        <v>496</v>
      </c>
      <c r="D33" s="636" t="s">
        <v>9415</v>
      </c>
      <c r="E33" t="s">
        <v>49</v>
      </c>
      <c r="L33" s="194" t="s">
        <v>9414</v>
      </c>
      <c r="M33" t="str">
        <f t="shared" si="1"/>
        <v>asmverrelli@njleg.org</v>
      </c>
    </row>
    <row r="34">
      <c r="A34" s="14" t="s">
        <v>1357</v>
      </c>
      <c r="B34" s="14">
        <v>16.0</v>
      </c>
      <c r="C34" s="636" t="s">
        <v>3411</v>
      </c>
      <c r="D34" s="636" t="s">
        <v>9417</v>
      </c>
      <c r="E34" t="s">
        <v>49</v>
      </c>
      <c r="L34" s="637" t="s">
        <v>9418</v>
      </c>
      <c r="M34" t="str">
        <f t="shared" si="1"/>
        <v>asmfreiman@njleg.org</v>
      </c>
    </row>
    <row r="35">
      <c r="A35" s="14" t="s">
        <v>1357</v>
      </c>
      <c r="C35" s="636" t="s">
        <v>80</v>
      </c>
      <c r="D35" s="636" t="s">
        <v>9419</v>
      </c>
      <c r="E35" t="s">
        <v>49</v>
      </c>
      <c r="L35" s="637" t="s">
        <v>9420</v>
      </c>
      <c r="M35" t="str">
        <f t="shared" si="1"/>
        <v>asmzwicker@njleg.org</v>
      </c>
    </row>
    <row r="36">
      <c r="A36" s="14" t="s">
        <v>1357</v>
      </c>
      <c r="B36" s="14">
        <v>17.0</v>
      </c>
      <c r="C36" s="636" t="s">
        <v>2527</v>
      </c>
      <c r="D36" s="636" t="s">
        <v>9421</v>
      </c>
      <c r="E36" t="s">
        <v>49</v>
      </c>
      <c r="L36" s="637" t="s">
        <v>9422</v>
      </c>
      <c r="M36" t="str">
        <f t="shared" si="1"/>
        <v>asmdanielsen@njleg.org</v>
      </c>
    </row>
    <row r="37">
      <c r="A37" s="14" t="s">
        <v>1357</v>
      </c>
      <c r="C37" s="636" t="s">
        <v>2527</v>
      </c>
      <c r="D37" s="636" t="s">
        <v>9423</v>
      </c>
      <c r="E37" t="s">
        <v>49</v>
      </c>
      <c r="L37" s="637" t="s">
        <v>9424</v>
      </c>
      <c r="M37" t="str">
        <f t="shared" si="1"/>
        <v>asmegan@njleg.org</v>
      </c>
    </row>
    <row r="38">
      <c r="A38" s="14" t="s">
        <v>1357</v>
      </c>
      <c r="B38" s="14">
        <v>18.0</v>
      </c>
      <c r="C38" s="636" t="s">
        <v>1134</v>
      </c>
      <c r="D38" s="636" t="s">
        <v>9425</v>
      </c>
      <c r="E38" t="s">
        <v>49</v>
      </c>
      <c r="L38" s="637" t="s">
        <v>9426</v>
      </c>
      <c r="M38" t="str">
        <f t="shared" si="1"/>
        <v>asmkarabinchak@njleg.org</v>
      </c>
    </row>
    <row r="39">
      <c r="A39" s="14" t="s">
        <v>1357</v>
      </c>
      <c r="C39" s="636" t="s">
        <v>123</v>
      </c>
      <c r="D39" s="636" t="s">
        <v>9428</v>
      </c>
      <c r="E39" t="s">
        <v>49</v>
      </c>
      <c r="L39" s="637" t="s">
        <v>9426</v>
      </c>
      <c r="M39" t="str">
        <f t="shared" si="1"/>
        <v>asmpinkin@njleg.org</v>
      </c>
    </row>
    <row r="40">
      <c r="A40" s="14" t="s">
        <v>1357</v>
      </c>
      <c r="B40" s="14">
        <v>19.0</v>
      </c>
      <c r="C40" s="636" t="s">
        <v>373</v>
      </c>
      <c r="D40" s="636" t="s">
        <v>9429</v>
      </c>
      <c r="E40" t="s">
        <v>49</v>
      </c>
      <c r="L40" s="637" t="s">
        <v>9430</v>
      </c>
      <c r="M40" t="str">
        <f t="shared" si="1"/>
        <v>asmcoughlin@njleg.org</v>
      </c>
    </row>
    <row r="41">
      <c r="A41" s="14" t="s">
        <v>1357</v>
      </c>
      <c r="C41" s="636" t="s">
        <v>6647</v>
      </c>
      <c r="D41" s="636" t="s">
        <v>2855</v>
      </c>
      <c r="E41" t="s">
        <v>49</v>
      </c>
      <c r="L41" s="637" t="s">
        <v>9430</v>
      </c>
      <c r="M41" t="str">
        <f t="shared" si="1"/>
        <v>asmlopez@njleg.org</v>
      </c>
    </row>
    <row r="42">
      <c r="A42" s="14" t="s">
        <v>1357</v>
      </c>
      <c r="B42" s="14">
        <v>20.0</v>
      </c>
      <c r="C42" s="636" t="s">
        <v>3358</v>
      </c>
      <c r="D42" s="636" t="s">
        <v>9431</v>
      </c>
      <c r="E42" t="s">
        <v>49</v>
      </c>
      <c r="L42" s="14" t="s">
        <v>9432</v>
      </c>
      <c r="M42" t="str">
        <f t="shared" si="1"/>
        <v>asmquijano@njleg.org</v>
      </c>
    </row>
    <row r="43">
      <c r="A43" s="14" t="s">
        <v>1357</v>
      </c>
      <c r="C43" s="636" t="s">
        <v>9433</v>
      </c>
      <c r="D43" s="636" t="s">
        <v>1090</v>
      </c>
      <c r="E43" t="s">
        <v>49</v>
      </c>
      <c r="L43" s="637" t="s">
        <v>9434</v>
      </c>
      <c r="M43" t="str">
        <f t="shared" si="1"/>
        <v>asmholley@njleg.org</v>
      </c>
    </row>
    <row r="44">
      <c r="A44" s="14" t="s">
        <v>1357</v>
      </c>
      <c r="B44" s="14">
        <v>21.0</v>
      </c>
      <c r="C44" s="636" t="s">
        <v>1387</v>
      </c>
      <c r="D44" s="636" t="s">
        <v>9435</v>
      </c>
      <c r="E44" t="s">
        <v>53</v>
      </c>
      <c r="L44" s="637" t="s">
        <v>9436</v>
      </c>
      <c r="M44" t="str">
        <f t="shared" si="1"/>
        <v>asmbramnick@njleg.org</v>
      </c>
    </row>
    <row r="45">
      <c r="A45" s="14" t="s">
        <v>1357</v>
      </c>
      <c r="C45" s="636" t="s">
        <v>123</v>
      </c>
      <c r="D45" s="636" t="s">
        <v>4491</v>
      </c>
      <c r="E45" t="s">
        <v>53</v>
      </c>
      <c r="L45" s="637" t="s">
        <v>9437</v>
      </c>
      <c r="M45" t="str">
        <f t="shared" si="1"/>
        <v>asmmunoz@njleg.org</v>
      </c>
    </row>
    <row r="46">
      <c r="A46" s="14" t="s">
        <v>1357</v>
      </c>
      <c r="B46" s="14">
        <v>22.0</v>
      </c>
      <c r="C46" s="636" t="s">
        <v>978</v>
      </c>
      <c r="D46" s="636" t="s">
        <v>1256</v>
      </c>
      <c r="E46" t="s">
        <v>49</v>
      </c>
      <c r="L46" s="14" t="s">
        <v>9438</v>
      </c>
      <c r="M46" t="str">
        <f t="shared" si="1"/>
        <v>asmcarter@njleg.org</v>
      </c>
    </row>
    <row r="47">
      <c r="A47" s="14" t="s">
        <v>1357</v>
      </c>
      <c r="C47" s="636" t="s">
        <v>930</v>
      </c>
      <c r="D47" s="636" t="s">
        <v>1791</v>
      </c>
      <c r="E47" t="s">
        <v>49</v>
      </c>
      <c r="L47" s="637" t="s">
        <v>9439</v>
      </c>
      <c r="M47" t="str">
        <f t="shared" si="1"/>
        <v>asmkennedy@njleg.org</v>
      </c>
    </row>
    <row r="48">
      <c r="A48" s="14" t="s">
        <v>1357</v>
      </c>
      <c r="B48" s="14">
        <v>23.0</v>
      </c>
      <c r="C48" s="636" t="s">
        <v>278</v>
      </c>
      <c r="D48" s="636" t="s">
        <v>9440</v>
      </c>
      <c r="E48" t="s">
        <v>53</v>
      </c>
      <c r="L48" s="637" t="s">
        <v>9441</v>
      </c>
      <c r="M48" t="str">
        <f t="shared" si="1"/>
        <v>asmdimaio@njleg.org</v>
      </c>
    </row>
    <row r="49">
      <c r="A49" s="14" t="s">
        <v>1357</v>
      </c>
      <c r="C49" s="636" t="s">
        <v>5947</v>
      </c>
      <c r="D49" s="636" t="s">
        <v>6554</v>
      </c>
      <c r="E49" t="s">
        <v>53</v>
      </c>
      <c r="L49" s="637" t="s">
        <v>9442</v>
      </c>
      <c r="M49" t="str">
        <f t="shared" si="1"/>
        <v>asmpeterson@njleg.org</v>
      </c>
    </row>
    <row r="50">
      <c r="A50" s="14" t="s">
        <v>1357</v>
      </c>
      <c r="B50" s="14">
        <v>24.0</v>
      </c>
      <c r="C50" s="636" t="s">
        <v>87</v>
      </c>
      <c r="D50" s="636" t="s">
        <v>9443</v>
      </c>
      <c r="E50" t="s">
        <v>53</v>
      </c>
      <c r="L50" s="637" t="s">
        <v>9444</v>
      </c>
      <c r="M50" t="str">
        <f t="shared" si="1"/>
        <v>asmspace@njleg.org</v>
      </c>
    </row>
    <row r="51">
      <c r="A51" s="14" t="s">
        <v>1357</v>
      </c>
      <c r="C51" s="636" t="s">
        <v>4516</v>
      </c>
      <c r="D51" s="636" t="s">
        <v>9445</v>
      </c>
      <c r="E51" t="s">
        <v>53</v>
      </c>
      <c r="L51" s="637" t="s">
        <v>9444</v>
      </c>
      <c r="M51" t="str">
        <f t="shared" si="1"/>
        <v>asmwirths@njleg.org</v>
      </c>
    </row>
    <row r="52">
      <c r="A52" s="14" t="s">
        <v>1357</v>
      </c>
      <c r="B52" s="14">
        <v>25.0</v>
      </c>
      <c r="C52" s="636" t="s">
        <v>980</v>
      </c>
      <c r="D52" s="636" t="s">
        <v>9447</v>
      </c>
      <c r="E52" t="s">
        <v>53</v>
      </c>
      <c r="L52" s="637" t="s">
        <v>9448</v>
      </c>
      <c r="M52" t="str">
        <f t="shared" si="1"/>
        <v>asmbucco@njleg.org</v>
      </c>
    </row>
    <row r="53">
      <c r="A53" s="14" t="s">
        <v>1357</v>
      </c>
      <c r="C53" s="636" t="s">
        <v>2490</v>
      </c>
      <c r="D53" s="636" t="s">
        <v>1002</v>
      </c>
      <c r="E53" t="s">
        <v>53</v>
      </c>
      <c r="L53" s="637" t="s">
        <v>9449</v>
      </c>
      <c r="M53" t="str">
        <f t="shared" si="1"/>
        <v>asmcarroll@njleg.org</v>
      </c>
    </row>
    <row r="54">
      <c r="A54" s="14" t="s">
        <v>1357</v>
      </c>
      <c r="B54" s="14">
        <v>26.0</v>
      </c>
      <c r="C54" s="636" t="s">
        <v>9450</v>
      </c>
      <c r="D54" s="636" t="s">
        <v>9451</v>
      </c>
      <c r="E54" t="s">
        <v>53</v>
      </c>
      <c r="L54" s="637" t="s">
        <v>9452</v>
      </c>
      <c r="M54" t="str">
        <f t="shared" si="1"/>
        <v>asmdecroce@njleg.org</v>
      </c>
    </row>
    <row r="55">
      <c r="A55" s="14" t="s">
        <v>1357</v>
      </c>
      <c r="C55" s="636" t="s">
        <v>1013</v>
      </c>
      <c r="D55" s="636" t="s">
        <v>5166</v>
      </c>
      <c r="E55" t="s">
        <v>53</v>
      </c>
      <c r="L55" s="637" t="s">
        <v>9453</v>
      </c>
      <c r="M55" t="str">
        <f t="shared" si="1"/>
        <v>asmwebber@njleg.org</v>
      </c>
    </row>
    <row r="56">
      <c r="A56" s="14" t="s">
        <v>1357</v>
      </c>
      <c r="B56" s="14">
        <v>27.0</v>
      </c>
      <c r="C56" s="636" t="s">
        <v>9454</v>
      </c>
      <c r="D56" s="636" t="s">
        <v>9455</v>
      </c>
      <c r="E56" t="s">
        <v>49</v>
      </c>
      <c r="L56" s="637" t="s">
        <v>9456</v>
      </c>
      <c r="M56" t="str">
        <f t="shared" si="1"/>
        <v>asmjasey@njleg.org</v>
      </c>
    </row>
    <row r="57">
      <c r="A57" s="14" t="s">
        <v>1357</v>
      </c>
      <c r="C57" s="636" t="s">
        <v>278</v>
      </c>
      <c r="D57" s="636" t="s">
        <v>9457</v>
      </c>
      <c r="E57" t="s">
        <v>49</v>
      </c>
      <c r="L57" s="637" t="s">
        <v>9458</v>
      </c>
      <c r="M57" t="str">
        <f t="shared" si="1"/>
        <v>asmmckeon@njleg.org</v>
      </c>
    </row>
    <row r="58">
      <c r="A58" s="14" t="s">
        <v>1357</v>
      </c>
      <c r="B58" s="14">
        <v>28.0</v>
      </c>
      <c r="C58" s="636" t="s">
        <v>588</v>
      </c>
      <c r="D58" s="636" t="s">
        <v>9459</v>
      </c>
      <c r="E58" t="s">
        <v>49</v>
      </c>
      <c r="L58" s="637" t="s">
        <v>9460</v>
      </c>
      <c r="M58" t="str">
        <f t="shared" si="1"/>
        <v>asmcaputo@njleg.org</v>
      </c>
    </row>
    <row r="59">
      <c r="A59" s="14" t="s">
        <v>1357</v>
      </c>
      <c r="C59" s="636" t="s">
        <v>9461</v>
      </c>
      <c r="D59" s="636" t="s">
        <v>6027</v>
      </c>
      <c r="E59" t="s">
        <v>49</v>
      </c>
      <c r="L59" s="637" t="s">
        <v>9462</v>
      </c>
      <c r="M59" t="str">
        <f t="shared" si="1"/>
        <v>asmtucker@njleg.org</v>
      </c>
    </row>
    <row r="60">
      <c r="A60" s="14" t="s">
        <v>1357</v>
      </c>
      <c r="B60" s="14">
        <v>29.0</v>
      </c>
      <c r="C60" s="636" t="s">
        <v>9463</v>
      </c>
      <c r="D60" s="636" t="s">
        <v>3665</v>
      </c>
      <c r="E60" t="s">
        <v>49</v>
      </c>
      <c r="L60" s="637" t="s">
        <v>9465</v>
      </c>
      <c r="M60" t="str">
        <f t="shared" si="1"/>
        <v>asmmarin@njleg.org</v>
      </c>
    </row>
    <row r="61">
      <c r="A61" s="14" t="s">
        <v>1357</v>
      </c>
      <c r="C61" s="636" t="s">
        <v>9466</v>
      </c>
      <c r="D61" s="636" t="s">
        <v>9467</v>
      </c>
      <c r="E61" t="s">
        <v>49</v>
      </c>
      <c r="L61" s="637" t="s">
        <v>9468</v>
      </c>
      <c r="M61" t="str">
        <f t="shared" si="1"/>
        <v>asmspeight@njleg.org</v>
      </c>
    </row>
    <row r="62">
      <c r="A62" s="14" t="s">
        <v>1357</v>
      </c>
      <c r="B62" s="14">
        <v>30.0</v>
      </c>
      <c r="C62" s="636" t="s">
        <v>1276</v>
      </c>
      <c r="D62" s="636" t="s">
        <v>9469</v>
      </c>
      <c r="E62" t="s">
        <v>53</v>
      </c>
      <c r="L62" s="637" t="s">
        <v>9470</v>
      </c>
      <c r="M62" t="str">
        <f t="shared" si="1"/>
        <v>asmkean@njleg.org</v>
      </c>
    </row>
    <row r="63">
      <c r="A63" s="14" t="s">
        <v>1357</v>
      </c>
      <c r="C63" s="636" t="s">
        <v>3012</v>
      </c>
      <c r="D63" s="636" t="s">
        <v>9471</v>
      </c>
      <c r="E63" t="s">
        <v>53</v>
      </c>
      <c r="L63" s="637" t="s">
        <v>9470</v>
      </c>
      <c r="M63" t="str">
        <f t="shared" si="1"/>
        <v>asmthomson@njleg.org</v>
      </c>
    </row>
    <row r="64">
      <c r="A64" s="14" t="s">
        <v>1357</v>
      </c>
      <c r="B64" s="14">
        <v>31.0</v>
      </c>
      <c r="C64" s="636" t="s">
        <v>3097</v>
      </c>
      <c r="D64" s="636" t="s">
        <v>9472</v>
      </c>
      <c r="E64" t="s">
        <v>49</v>
      </c>
      <c r="L64" s="637" t="s">
        <v>9473</v>
      </c>
      <c r="M64" t="str">
        <f t="shared" si="1"/>
        <v>asmchiaravalloti@njleg.org</v>
      </c>
    </row>
    <row r="65">
      <c r="A65" s="14" t="s">
        <v>1357</v>
      </c>
      <c r="C65" s="636" t="s">
        <v>2472</v>
      </c>
      <c r="D65" s="636" t="s">
        <v>9474</v>
      </c>
      <c r="E65" t="s">
        <v>49</v>
      </c>
      <c r="L65" s="637" t="s">
        <v>9475</v>
      </c>
      <c r="M65" t="str">
        <f t="shared" si="1"/>
        <v>asmmcknight@njleg.org</v>
      </c>
    </row>
    <row r="66">
      <c r="A66" s="14" t="s">
        <v>1357</v>
      </c>
      <c r="B66" s="14">
        <v>32.0</v>
      </c>
      <c r="C66" s="636" t="s">
        <v>9476</v>
      </c>
      <c r="D66" s="636" t="s">
        <v>9477</v>
      </c>
      <c r="E66" t="s">
        <v>49</v>
      </c>
      <c r="L66" s="637" t="s">
        <v>9478</v>
      </c>
      <c r="M66" t="str">
        <f t="shared" si="1"/>
        <v>asmjimenez@njleg.org</v>
      </c>
    </row>
    <row r="67">
      <c r="A67" s="14" t="s">
        <v>1357</v>
      </c>
      <c r="C67" s="636" t="s">
        <v>3664</v>
      </c>
      <c r="D67" s="636" t="s">
        <v>9479</v>
      </c>
      <c r="E67" t="s">
        <v>49</v>
      </c>
      <c r="L67" s="14" t="s">
        <v>9480</v>
      </c>
      <c r="M67" t="str">
        <f t="shared" si="1"/>
        <v>asmmejia@njleg.org</v>
      </c>
    </row>
    <row r="68">
      <c r="A68" s="14" t="s">
        <v>1357</v>
      </c>
      <c r="B68" s="14">
        <v>33.0</v>
      </c>
      <c r="C68" s="636" t="s">
        <v>3358</v>
      </c>
      <c r="D68" s="636" t="s">
        <v>9481</v>
      </c>
      <c r="E68" t="s">
        <v>49</v>
      </c>
      <c r="L68" s="637" t="s">
        <v>9482</v>
      </c>
      <c r="M68" t="str">
        <f t="shared" si="1"/>
        <v>asmchaparro@njleg.org</v>
      </c>
    </row>
    <row r="69">
      <c r="A69" s="14" t="s">
        <v>1357</v>
      </c>
      <c r="C69" s="636" t="s">
        <v>9483</v>
      </c>
      <c r="D69" s="636" t="s">
        <v>9484</v>
      </c>
      <c r="E69" t="s">
        <v>49</v>
      </c>
      <c r="L69" s="637" t="s">
        <v>9485</v>
      </c>
      <c r="M69" t="str">
        <f t="shared" si="1"/>
        <v>asmmukherji@njleg.org</v>
      </c>
    </row>
    <row r="70">
      <c r="A70" s="14" t="s">
        <v>1357</v>
      </c>
      <c r="B70" s="14">
        <v>34.0</v>
      </c>
      <c r="C70" s="636" t="s">
        <v>561</v>
      </c>
      <c r="D70" s="636" t="s">
        <v>9486</v>
      </c>
      <c r="E70" t="s">
        <v>49</v>
      </c>
      <c r="L70" s="637" t="s">
        <v>9487</v>
      </c>
      <c r="M70" t="str">
        <f t="shared" si="1"/>
        <v>asmgiblin@njleg.org</v>
      </c>
    </row>
    <row r="71">
      <c r="A71" s="14" t="s">
        <v>1357</v>
      </c>
      <c r="C71" s="636" t="s">
        <v>9489</v>
      </c>
      <c r="D71" s="636" t="s">
        <v>7089</v>
      </c>
      <c r="E71" t="s">
        <v>49</v>
      </c>
      <c r="L71" s="637" t="s">
        <v>9490</v>
      </c>
      <c r="M71" t="str">
        <f t="shared" si="1"/>
        <v>asmtimberlake@njleg.org</v>
      </c>
    </row>
    <row r="72">
      <c r="A72" s="14" t="s">
        <v>1357</v>
      </c>
      <c r="B72" s="14">
        <v>35.0</v>
      </c>
      <c r="C72" s="636" t="s">
        <v>9491</v>
      </c>
      <c r="D72" s="636" t="s">
        <v>9492</v>
      </c>
      <c r="E72" t="s">
        <v>49</v>
      </c>
      <c r="L72" s="637" t="s">
        <v>9493</v>
      </c>
      <c r="M72" t="str">
        <f t="shared" si="1"/>
        <v>asmsumter@njleg.org</v>
      </c>
    </row>
    <row r="73">
      <c r="A73" s="14" t="s">
        <v>1357</v>
      </c>
      <c r="C73" s="636" t="s">
        <v>9494</v>
      </c>
      <c r="D73" s="636" t="s">
        <v>9495</v>
      </c>
      <c r="E73" t="s">
        <v>49</v>
      </c>
      <c r="L73" s="637" t="s">
        <v>9493</v>
      </c>
      <c r="M73" t="str">
        <f t="shared" si="1"/>
        <v>asmwimberly@njleg.org</v>
      </c>
    </row>
    <row r="74">
      <c r="A74" s="14" t="s">
        <v>1357</v>
      </c>
      <c r="B74" s="14">
        <v>36.0</v>
      </c>
      <c r="C74" s="636" t="s">
        <v>9496</v>
      </c>
      <c r="D74" s="636" t="s">
        <v>9497</v>
      </c>
      <c r="E74" t="s">
        <v>49</v>
      </c>
      <c r="L74" s="637" t="s">
        <v>9498</v>
      </c>
      <c r="M74" t="str">
        <f t="shared" si="1"/>
        <v>asmcalabrese@njleg.org</v>
      </c>
    </row>
    <row r="75">
      <c r="A75" s="14" t="s">
        <v>1357</v>
      </c>
      <c r="C75" s="636" t="s">
        <v>199</v>
      </c>
      <c r="D75" s="636" t="s">
        <v>9499</v>
      </c>
      <c r="E75" t="s">
        <v>49</v>
      </c>
      <c r="L75" s="637" t="s">
        <v>9500</v>
      </c>
      <c r="M75" t="str">
        <f t="shared" si="1"/>
        <v>asmschaer@njleg.org</v>
      </c>
    </row>
    <row r="76">
      <c r="A76" s="14" t="s">
        <v>1357</v>
      </c>
      <c r="B76" s="14">
        <v>37.0</v>
      </c>
      <c r="C76" s="636" t="s">
        <v>2658</v>
      </c>
      <c r="D76" s="636" t="s">
        <v>9501</v>
      </c>
      <c r="E76" t="s">
        <v>49</v>
      </c>
      <c r="L76" s="637" t="s">
        <v>9502</v>
      </c>
      <c r="M76" t="str">
        <f t="shared" si="1"/>
        <v>asmhuttle@njleg.org</v>
      </c>
    </row>
    <row r="77">
      <c r="A77" s="14" t="s">
        <v>1357</v>
      </c>
      <c r="C77" s="636" t="s">
        <v>4142</v>
      </c>
      <c r="D77" s="636" t="s">
        <v>118</v>
      </c>
      <c r="E77" t="s">
        <v>49</v>
      </c>
      <c r="L77" s="637" t="s">
        <v>9503</v>
      </c>
      <c r="M77" t="str">
        <f t="shared" si="1"/>
        <v>asmjohnson@njleg.org</v>
      </c>
    </row>
    <row r="78">
      <c r="A78" s="14" t="s">
        <v>1357</v>
      </c>
      <c r="B78" s="14">
        <v>38.0</v>
      </c>
      <c r="C78" s="636" t="s">
        <v>432</v>
      </c>
      <c r="D78" s="636" t="s">
        <v>9504</v>
      </c>
      <c r="E78" t="s">
        <v>49</v>
      </c>
      <c r="L78" s="14" t="s">
        <v>9505</v>
      </c>
      <c r="M78" t="str">
        <f t="shared" si="1"/>
        <v>asmswain@njleg.org</v>
      </c>
    </row>
    <row r="79">
      <c r="A79" s="14" t="s">
        <v>1357</v>
      </c>
      <c r="C79" s="636" t="s">
        <v>173</v>
      </c>
      <c r="D79" s="636" t="s">
        <v>9507</v>
      </c>
      <c r="E79" t="s">
        <v>49</v>
      </c>
      <c r="L79" s="14" t="s">
        <v>9505</v>
      </c>
      <c r="M79" t="str">
        <f t="shared" si="1"/>
        <v>asmtully@njleg.org</v>
      </c>
    </row>
    <row r="80">
      <c r="A80" s="14" t="s">
        <v>1357</v>
      </c>
      <c r="B80" s="14">
        <v>39.0</v>
      </c>
      <c r="C80" s="636" t="s">
        <v>1134</v>
      </c>
      <c r="D80" s="636" t="s">
        <v>9508</v>
      </c>
      <c r="E80" s="14" t="s">
        <v>53</v>
      </c>
      <c r="L80" s="637" t="s">
        <v>9509</v>
      </c>
      <c r="M80" t="str">
        <f t="shared" si="1"/>
        <v>asmauth@njleg.org</v>
      </c>
    </row>
    <row r="81">
      <c r="A81" s="14" t="s">
        <v>1357</v>
      </c>
      <c r="C81" s="636" t="s">
        <v>2202</v>
      </c>
      <c r="D81" s="636" t="s">
        <v>9510</v>
      </c>
      <c r="E81" s="14" t="s">
        <v>53</v>
      </c>
      <c r="L81" s="637" t="s">
        <v>9511</v>
      </c>
      <c r="M81" t="str">
        <f t="shared" si="1"/>
        <v>asmschepisi@njleg.org</v>
      </c>
    </row>
    <row r="82">
      <c r="A82" s="14" t="s">
        <v>1357</v>
      </c>
      <c r="B82" s="14">
        <v>40.0</v>
      </c>
      <c r="C82" s="636" t="s">
        <v>575</v>
      </c>
      <c r="D82" s="636" t="s">
        <v>9512</v>
      </c>
      <c r="E82" s="14" t="s">
        <v>53</v>
      </c>
      <c r="L82" s="637" t="s">
        <v>9513</v>
      </c>
      <c r="M82" t="str">
        <f t="shared" si="1"/>
        <v>asmdephillips@njleg.org</v>
      </c>
    </row>
    <row r="83">
      <c r="A83" s="14" t="s">
        <v>1357</v>
      </c>
      <c r="C83" s="636" t="s">
        <v>971</v>
      </c>
      <c r="D83" s="636" t="s">
        <v>3392</v>
      </c>
      <c r="E83" s="14" t="s">
        <v>53</v>
      </c>
      <c r="L83" s="637" t="s">
        <v>9514</v>
      </c>
      <c r="M83" t="str">
        <f t="shared" si="1"/>
        <v>asmrooney@njleg.org</v>
      </c>
    </row>
    <row r="84">
      <c r="A84" s="70"/>
      <c r="B84" s="70"/>
      <c r="C84" s="71"/>
      <c r="D84" s="71"/>
      <c r="E84" s="70"/>
      <c r="F84" s="70"/>
      <c r="G84" s="70"/>
      <c r="H84" s="70"/>
      <c r="I84" s="70"/>
      <c r="J84" s="70"/>
      <c r="K84" s="70"/>
      <c r="L84" s="70"/>
      <c r="M84" s="70"/>
      <c r="N84" s="70"/>
      <c r="O84" s="70"/>
      <c r="P84" s="70"/>
      <c r="Q84" s="70"/>
      <c r="R84" s="70"/>
      <c r="S84" s="70"/>
      <c r="T84" s="70"/>
      <c r="U84" s="70"/>
      <c r="V84" s="70"/>
      <c r="W84" s="70"/>
      <c r="X84" s="70"/>
      <c r="Y84" s="70"/>
      <c r="Z84" s="70"/>
      <c r="AA84" s="70"/>
      <c r="AB84" s="70"/>
      <c r="AC84" s="70"/>
      <c r="AD84" s="70"/>
    </row>
    <row r="85">
      <c r="A85" s="14" t="s">
        <v>286</v>
      </c>
      <c r="B85" s="14">
        <v>1.0</v>
      </c>
      <c r="C85" s="38" t="s">
        <v>683</v>
      </c>
      <c r="D85" s="38" t="s">
        <v>9515</v>
      </c>
      <c r="E85" t="s">
        <v>49</v>
      </c>
      <c r="L85" s="637" t="s">
        <v>9363</v>
      </c>
      <c r="M85" t="str">
        <f t="shared" ref="M85:M88" si="2">lower(concatenate("sen",D85,"@njleg.org"))</f>
        <v>senvandrew@njleg.org</v>
      </c>
    </row>
    <row r="86">
      <c r="A86" s="14" t="s">
        <v>286</v>
      </c>
      <c r="B86" s="14">
        <v>2.0</v>
      </c>
      <c r="C86" s="38" t="s">
        <v>173</v>
      </c>
      <c r="D86" s="38" t="s">
        <v>447</v>
      </c>
      <c r="E86" t="s">
        <v>53</v>
      </c>
      <c r="L86" s="637" t="s">
        <v>9516</v>
      </c>
      <c r="M86" t="str">
        <f t="shared" si="2"/>
        <v>senbrown@njleg.org</v>
      </c>
    </row>
    <row r="87">
      <c r="A87" s="14" t="s">
        <v>286</v>
      </c>
      <c r="B87" s="14">
        <v>3.0</v>
      </c>
      <c r="C87" s="38" t="s">
        <v>1505</v>
      </c>
      <c r="D87" s="38" t="s">
        <v>5661</v>
      </c>
      <c r="E87" t="s">
        <v>49</v>
      </c>
      <c r="F87" s="14" t="s">
        <v>9517</v>
      </c>
      <c r="L87" s="637" t="s">
        <v>9371</v>
      </c>
      <c r="M87" t="str">
        <f t="shared" si="2"/>
        <v>sensweeney@njleg.org</v>
      </c>
    </row>
    <row r="88">
      <c r="A88" s="14" t="s">
        <v>286</v>
      </c>
      <c r="B88" s="14">
        <v>4.0</v>
      </c>
      <c r="C88" s="38" t="s">
        <v>1242</v>
      </c>
      <c r="D88" s="38" t="s">
        <v>9518</v>
      </c>
      <c r="E88" t="s">
        <v>49</v>
      </c>
      <c r="L88" s="637" t="s">
        <v>9375</v>
      </c>
      <c r="M88" t="str">
        <f t="shared" si="2"/>
        <v>senmadden@njleg.org</v>
      </c>
    </row>
    <row r="89">
      <c r="A89" s="14" t="s">
        <v>286</v>
      </c>
      <c r="B89" s="14">
        <v>5.0</v>
      </c>
      <c r="C89" s="35" t="s">
        <v>9519</v>
      </c>
      <c r="D89" s="38" t="s">
        <v>9520</v>
      </c>
      <c r="E89" t="s">
        <v>49</v>
      </c>
      <c r="L89" s="637" t="s">
        <v>9521</v>
      </c>
      <c r="M89" s="14" t="s">
        <v>9522</v>
      </c>
    </row>
    <row r="90">
      <c r="A90" s="14" t="s">
        <v>286</v>
      </c>
      <c r="B90" s="14">
        <v>6.0</v>
      </c>
      <c r="C90" s="35" t="s">
        <v>930</v>
      </c>
      <c r="D90" s="35" t="s">
        <v>4509</v>
      </c>
      <c r="E90" t="s">
        <v>49</v>
      </c>
      <c r="L90" s="637" t="s">
        <v>9523</v>
      </c>
      <c r="M90" t="str">
        <f t="shared" ref="M90:M124" si="3">lower(concatenate("sen",D90,"@njleg.org"))</f>
        <v>senbeach@njleg.org</v>
      </c>
    </row>
    <row r="91">
      <c r="A91" s="14" t="s">
        <v>286</v>
      </c>
      <c r="B91" s="14">
        <v>7.0</v>
      </c>
      <c r="C91" s="35" t="s">
        <v>3163</v>
      </c>
      <c r="D91" s="35" t="s">
        <v>1026</v>
      </c>
      <c r="E91" t="s">
        <v>49</v>
      </c>
      <c r="L91" s="637" t="s">
        <v>9524</v>
      </c>
      <c r="M91" t="str">
        <f t="shared" si="3"/>
        <v>sensingleton@njleg.org</v>
      </c>
    </row>
    <row r="92">
      <c r="A92" s="14" t="s">
        <v>286</v>
      </c>
      <c r="B92" s="14">
        <v>8.0</v>
      </c>
      <c r="C92" s="35" t="s">
        <v>9525</v>
      </c>
      <c r="D92" s="35" t="s">
        <v>9526</v>
      </c>
      <c r="E92" t="s">
        <v>53</v>
      </c>
      <c r="L92" s="637" t="s">
        <v>9388</v>
      </c>
      <c r="M92" t="str">
        <f t="shared" si="3"/>
        <v>senaddiego@njleg.org</v>
      </c>
    </row>
    <row r="93">
      <c r="A93" s="14" t="s">
        <v>286</v>
      </c>
      <c r="B93" s="14">
        <v>9.0</v>
      </c>
      <c r="C93" s="35" t="s">
        <v>575</v>
      </c>
      <c r="D93" s="35" t="s">
        <v>9527</v>
      </c>
      <c r="E93" t="s">
        <v>53</v>
      </c>
      <c r="L93" s="637" t="s">
        <v>9391</v>
      </c>
      <c r="M93" t="str">
        <f t="shared" si="3"/>
        <v>senconnors@njleg.org</v>
      </c>
    </row>
    <row r="94">
      <c r="A94" s="14" t="s">
        <v>286</v>
      </c>
      <c r="B94" s="14">
        <v>10.0</v>
      </c>
      <c r="C94" s="35" t="s">
        <v>930</v>
      </c>
      <c r="D94" s="35" t="s">
        <v>9529</v>
      </c>
      <c r="E94" t="s">
        <v>53</v>
      </c>
      <c r="L94" s="637" t="s">
        <v>9395</v>
      </c>
      <c r="M94" t="str">
        <f t="shared" si="3"/>
        <v>senholzapfel@njleg.org</v>
      </c>
    </row>
    <row r="95">
      <c r="A95" s="14" t="s">
        <v>286</v>
      </c>
      <c r="B95" s="14">
        <v>11.0</v>
      </c>
      <c r="C95" s="35" t="s">
        <v>9530</v>
      </c>
      <c r="D95" s="35" t="s">
        <v>9531</v>
      </c>
      <c r="E95" t="s">
        <v>49</v>
      </c>
      <c r="L95" s="637" t="s">
        <v>9399</v>
      </c>
      <c r="M95" t="str">
        <f t="shared" si="3"/>
        <v>sengopal@njleg.org</v>
      </c>
    </row>
    <row r="96">
      <c r="A96" s="14" t="s">
        <v>286</v>
      </c>
      <c r="B96" s="14">
        <v>12.0</v>
      </c>
      <c r="C96" s="35" t="s">
        <v>3668</v>
      </c>
      <c r="D96" s="35" t="s">
        <v>59</v>
      </c>
      <c r="E96" t="s">
        <v>53</v>
      </c>
      <c r="L96" s="637" t="s">
        <v>9534</v>
      </c>
      <c r="M96" t="str">
        <f t="shared" si="3"/>
        <v>senthompson@njleg.org</v>
      </c>
    </row>
    <row r="97">
      <c r="A97" s="14" t="s">
        <v>286</v>
      </c>
      <c r="B97" s="14">
        <v>13.0</v>
      </c>
      <c r="C97" s="35" t="s">
        <v>9535</v>
      </c>
      <c r="D97" s="35" t="s">
        <v>9536</v>
      </c>
      <c r="E97" t="s">
        <v>53</v>
      </c>
      <c r="L97" s="637" t="s">
        <v>9406</v>
      </c>
      <c r="M97" t="str">
        <f t="shared" si="3"/>
        <v>seno'scanlon@njleg.org</v>
      </c>
    </row>
    <row r="98">
      <c r="A98" s="14" t="s">
        <v>286</v>
      </c>
      <c r="B98" s="14">
        <v>14.0</v>
      </c>
      <c r="C98" s="35" t="s">
        <v>978</v>
      </c>
      <c r="D98" s="35" t="s">
        <v>9537</v>
      </c>
      <c r="E98" t="s">
        <v>49</v>
      </c>
      <c r="L98" s="637" t="s">
        <v>9538</v>
      </c>
      <c r="M98" t="str">
        <f t="shared" si="3"/>
        <v>sengreenstein@njleg.org</v>
      </c>
    </row>
    <row r="99">
      <c r="A99" s="14" t="s">
        <v>286</v>
      </c>
      <c r="B99" s="14">
        <v>15.0</v>
      </c>
      <c r="C99" s="35" t="s">
        <v>1985</v>
      </c>
      <c r="D99" s="35" t="s">
        <v>3193</v>
      </c>
      <c r="E99" t="s">
        <v>49</v>
      </c>
      <c r="L99" s="637" t="s">
        <v>9539</v>
      </c>
      <c r="M99" t="str">
        <f t="shared" si="3"/>
        <v>senturner@njleg.org</v>
      </c>
    </row>
    <row r="100">
      <c r="A100" s="14" t="s">
        <v>286</v>
      </c>
      <c r="B100" s="14">
        <v>16.0</v>
      </c>
      <c r="C100" s="35" t="s">
        <v>575</v>
      </c>
      <c r="D100" s="35" t="s">
        <v>9540</v>
      </c>
      <c r="E100" t="s">
        <v>53</v>
      </c>
      <c r="L100" s="637" t="s">
        <v>9541</v>
      </c>
      <c r="M100" t="str">
        <f t="shared" si="3"/>
        <v>senbateman@njleg.org</v>
      </c>
    </row>
    <row r="101">
      <c r="A101" s="14" t="s">
        <v>286</v>
      </c>
      <c r="B101" s="14">
        <v>17.0</v>
      </c>
      <c r="C101" s="35" t="s">
        <v>419</v>
      </c>
      <c r="D101" s="35" t="s">
        <v>1451</v>
      </c>
      <c r="E101" t="s">
        <v>49</v>
      </c>
      <c r="L101" s="637" t="s">
        <v>9542</v>
      </c>
      <c r="M101" t="str">
        <f t="shared" si="3"/>
        <v>sensmith@njleg.org</v>
      </c>
    </row>
    <row r="102">
      <c r="A102" s="14" t="s">
        <v>286</v>
      </c>
      <c r="B102" s="14">
        <v>18.0</v>
      </c>
      <c r="C102" s="35" t="s">
        <v>1914</v>
      </c>
      <c r="D102" s="35" t="s">
        <v>9543</v>
      </c>
      <c r="E102" t="s">
        <v>49</v>
      </c>
      <c r="L102" s="637" t="s">
        <v>9544</v>
      </c>
      <c r="M102" t="str">
        <f t="shared" si="3"/>
        <v>sendiegnan@njleg.org</v>
      </c>
    </row>
    <row r="103">
      <c r="A103" s="14" t="s">
        <v>286</v>
      </c>
      <c r="B103" s="14">
        <v>19.0</v>
      </c>
      <c r="C103" s="35" t="s">
        <v>2527</v>
      </c>
      <c r="D103" s="35" t="s">
        <v>9545</v>
      </c>
      <c r="E103" t="s">
        <v>49</v>
      </c>
      <c r="L103" s="637" t="s">
        <v>9430</v>
      </c>
      <c r="M103" t="str">
        <f t="shared" si="3"/>
        <v>senvitale@njleg.org</v>
      </c>
    </row>
    <row r="104">
      <c r="A104" s="14" t="s">
        <v>286</v>
      </c>
      <c r="B104" s="14">
        <v>20.0</v>
      </c>
      <c r="C104" s="35" t="s">
        <v>2527</v>
      </c>
      <c r="D104" s="35" t="s">
        <v>9546</v>
      </c>
      <c r="E104" t="s">
        <v>49</v>
      </c>
      <c r="L104" s="637" t="s">
        <v>9434</v>
      </c>
      <c r="M104" t="str">
        <f t="shared" si="3"/>
        <v>sencryan@njleg.org</v>
      </c>
    </row>
    <row r="105">
      <c r="A105" s="14" t="s">
        <v>286</v>
      </c>
      <c r="B105" s="14">
        <v>21.0</v>
      </c>
      <c r="C105" s="35" t="s">
        <v>561</v>
      </c>
      <c r="D105" s="38" t="s">
        <v>9469</v>
      </c>
      <c r="E105" t="s">
        <v>53</v>
      </c>
      <c r="L105" s="637" t="s">
        <v>9547</v>
      </c>
      <c r="M105" t="str">
        <f t="shared" si="3"/>
        <v>senkean@njleg.org</v>
      </c>
    </row>
    <row r="106">
      <c r="A106" s="14" t="s">
        <v>286</v>
      </c>
      <c r="B106" s="14">
        <v>22.0</v>
      </c>
      <c r="C106" s="35" t="s">
        <v>3097</v>
      </c>
      <c r="D106" s="35" t="s">
        <v>9548</v>
      </c>
      <c r="E106" t="s">
        <v>49</v>
      </c>
      <c r="L106" s="637" t="s">
        <v>9549</v>
      </c>
      <c r="M106" t="str">
        <f t="shared" si="3"/>
        <v>senscutari@njleg.org</v>
      </c>
    </row>
    <row r="107">
      <c r="A107" s="14" t="s">
        <v>286</v>
      </c>
      <c r="B107" s="14">
        <v>23.0</v>
      </c>
      <c r="C107" s="35" t="s">
        <v>2490</v>
      </c>
      <c r="D107" s="35" t="s">
        <v>9550</v>
      </c>
      <c r="E107" t="s">
        <v>53</v>
      </c>
      <c r="L107" s="637" t="s">
        <v>9551</v>
      </c>
      <c r="M107" t="str">
        <f t="shared" si="3"/>
        <v>sendoherty@njleg.org</v>
      </c>
    </row>
    <row r="108">
      <c r="A108" s="14" t="s">
        <v>286</v>
      </c>
      <c r="B108" s="14">
        <v>24.0</v>
      </c>
      <c r="C108" s="35" t="s">
        <v>55</v>
      </c>
      <c r="D108" s="35" t="s">
        <v>9552</v>
      </c>
      <c r="E108" t="s">
        <v>53</v>
      </c>
      <c r="L108" s="637" t="s">
        <v>9444</v>
      </c>
      <c r="M108" t="str">
        <f t="shared" si="3"/>
        <v>senoroho@njleg.org</v>
      </c>
    </row>
    <row r="109">
      <c r="A109" s="14" t="s">
        <v>286</v>
      </c>
      <c r="B109" s="14">
        <v>25.0</v>
      </c>
      <c r="C109" s="35" t="s">
        <v>496</v>
      </c>
      <c r="D109" s="35" t="s">
        <v>9447</v>
      </c>
      <c r="E109" t="s">
        <v>53</v>
      </c>
      <c r="L109" s="637" t="s">
        <v>9553</v>
      </c>
      <c r="M109" t="str">
        <f t="shared" si="3"/>
        <v>senbucco@njleg.org</v>
      </c>
    </row>
    <row r="110">
      <c r="A110" s="14" t="s">
        <v>286</v>
      </c>
      <c r="B110" s="14">
        <v>26.0</v>
      </c>
      <c r="C110" s="35" t="s">
        <v>2527</v>
      </c>
      <c r="D110" s="35" t="s">
        <v>9554</v>
      </c>
      <c r="E110" t="s">
        <v>53</v>
      </c>
      <c r="L110" s="637" t="s">
        <v>9555</v>
      </c>
      <c r="M110" t="str">
        <f t="shared" si="3"/>
        <v>senpennacchio@njleg.org</v>
      </c>
    </row>
    <row r="111">
      <c r="A111" s="14" t="s">
        <v>286</v>
      </c>
      <c r="B111" s="14">
        <v>27.0</v>
      </c>
      <c r="C111" s="35" t="s">
        <v>1112</v>
      </c>
      <c r="D111" s="35" t="s">
        <v>9556</v>
      </c>
      <c r="E111" t="s">
        <v>49</v>
      </c>
      <c r="L111" s="637" t="s">
        <v>9557</v>
      </c>
      <c r="M111" t="str">
        <f t="shared" si="3"/>
        <v>sencodey@njleg.org</v>
      </c>
    </row>
    <row r="112">
      <c r="A112" s="14" t="s">
        <v>286</v>
      </c>
      <c r="B112" s="14">
        <v>28.0</v>
      </c>
      <c r="C112" s="35" t="s">
        <v>393</v>
      </c>
      <c r="D112" s="35" t="s">
        <v>1993</v>
      </c>
      <c r="E112" t="s">
        <v>49</v>
      </c>
      <c r="L112" s="637" t="s">
        <v>9558</v>
      </c>
      <c r="M112" t="str">
        <f t="shared" si="3"/>
        <v>senrice@njleg.org</v>
      </c>
    </row>
    <row r="113">
      <c r="A113" s="14" t="s">
        <v>286</v>
      </c>
      <c r="B113" s="14">
        <v>29.0</v>
      </c>
      <c r="C113" s="35" t="s">
        <v>493</v>
      </c>
      <c r="D113" s="35" t="s">
        <v>2335</v>
      </c>
      <c r="E113" t="s">
        <v>49</v>
      </c>
      <c r="L113" s="637" t="s">
        <v>9559</v>
      </c>
      <c r="M113" t="str">
        <f t="shared" si="3"/>
        <v>senruiz@njleg.org</v>
      </c>
    </row>
    <row r="114">
      <c r="A114" s="14" t="s">
        <v>286</v>
      </c>
      <c r="B114" s="14">
        <v>30.0</v>
      </c>
      <c r="C114" s="35" t="s">
        <v>1134</v>
      </c>
      <c r="D114" s="35" t="s">
        <v>1700</v>
      </c>
      <c r="E114" t="s">
        <v>53</v>
      </c>
      <c r="L114" s="637" t="s">
        <v>9560</v>
      </c>
      <c r="M114" t="str">
        <f t="shared" si="3"/>
        <v>sensinger@njleg.org</v>
      </c>
    </row>
    <row r="115">
      <c r="A115" s="14" t="s">
        <v>286</v>
      </c>
      <c r="B115" s="14">
        <v>31.0</v>
      </c>
      <c r="C115" s="35" t="s">
        <v>3576</v>
      </c>
      <c r="D115" s="35" t="s">
        <v>1583</v>
      </c>
      <c r="E115" t="s">
        <v>49</v>
      </c>
      <c r="L115" s="637" t="s">
        <v>9561</v>
      </c>
      <c r="M115" t="str">
        <f t="shared" si="3"/>
        <v>sencunningham@njleg.org</v>
      </c>
    </row>
    <row r="116">
      <c r="A116" s="14" t="s">
        <v>286</v>
      </c>
      <c r="B116" s="14">
        <v>32.0</v>
      </c>
      <c r="C116" s="35" t="s">
        <v>3097</v>
      </c>
      <c r="D116" s="35" t="s">
        <v>9562</v>
      </c>
      <c r="E116" t="s">
        <v>49</v>
      </c>
      <c r="L116" s="637" t="s">
        <v>9563</v>
      </c>
      <c r="M116" t="str">
        <f t="shared" si="3"/>
        <v>sensacco@njleg.org</v>
      </c>
    </row>
    <row r="117">
      <c r="A117" s="14" t="s">
        <v>286</v>
      </c>
      <c r="B117" s="14">
        <v>33.0</v>
      </c>
      <c r="C117" s="35" t="s">
        <v>1331</v>
      </c>
      <c r="D117" s="35" t="s">
        <v>9565</v>
      </c>
      <c r="E117" t="s">
        <v>49</v>
      </c>
      <c r="L117" s="637" t="s">
        <v>9566</v>
      </c>
      <c r="M117" t="str">
        <f t="shared" si="3"/>
        <v>senstack@njleg.org</v>
      </c>
    </row>
    <row r="118">
      <c r="A118" s="14" t="s">
        <v>286</v>
      </c>
      <c r="B118" s="14">
        <v>34.0</v>
      </c>
      <c r="C118" s="35" t="s">
        <v>9567</v>
      </c>
      <c r="D118" s="35" t="s">
        <v>9568</v>
      </c>
      <c r="E118" t="s">
        <v>49</v>
      </c>
      <c r="L118" s="637" t="s">
        <v>9569</v>
      </c>
      <c r="M118" t="str">
        <f t="shared" si="3"/>
        <v>sengill@njleg.org</v>
      </c>
    </row>
    <row r="119">
      <c r="A119" s="14" t="s">
        <v>286</v>
      </c>
      <c r="B119" s="14">
        <v>35.0</v>
      </c>
      <c r="C119" s="35" t="s">
        <v>9570</v>
      </c>
      <c r="D119" s="35" t="s">
        <v>9571</v>
      </c>
      <c r="E119" t="s">
        <v>49</v>
      </c>
      <c r="L119" s="637" t="s">
        <v>9572</v>
      </c>
      <c r="M119" t="str">
        <f t="shared" si="3"/>
        <v>senpou@njleg.org</v>
      </c>
    </row>
    <row r="120">
      <c r="A120" s="14" t="s">
        <v>286</v>
      </c>
      <c r="B120" s="14">
        <v>36.0</v>
      </c>
      <c r="C120" s="35" t="s">
        <v>679</v>
      </c>
      <c r="D120" s="35" t="s">
        <v>9573</v>
      </c>
      <c r="E120" t="s">
        <v>49</v>
      </c>
      <c r="L120" s="637" t="s">
        <v>9574</v>
      </c>
      <c r="M120" t="str">
        <f t="shared" si="3"/>
        <v>sensarlo@njleg.org</v>
      </c>
    </row>
    <row r="121">
      <c r="A121" s="14" t="s">
        <v>286</v>
      </c>
      <c r="B121" s="14">
        <v>37.0</v>
      </c>
      <c r="C121" s="35" t="s">
        <v>9575</v>
      </c>
      <c r="D121" s="35" t="s">
        <v>9576</v>
      </c>
      <c r="E121" t="s">
        <v>49</v>
      </c>
      <c r="L121" s="637" t="s">
        <v>9577</v>
      </c>
      <c r="M121" t="str">
        <f t="shared" si="3"/>
        <v>senweinberg@njleg.org</v>
      </c>
    </row>
    <row r="122">
      <c r="A122" s="14" t="s">
        <v>286</v>
      </c>
      <c r="B122" s="14">
        <v>38.0</v>
      </c>
      <c r="C122" s="35" t="s">
        <v>2527</v>
      </c>
      <c r="D122" s="35" t="s">
        <v>9578</v>
      </c>
      <c r="E122" t="s">
        <v>49</v>
      </c>
      <c r="L122" s="14" t="s">
        <v>9505</v>
      </c>
      <c r="M122" t="str">
        <f t="shared" si="3"/>
        <v>senlagana@njleg.org</v>
      </c>
    </row>
    <row r="123">
      <c r="A123" s="14" t="s">
        <v>286</v>
      </c>
      <c r="B123" s="14">
        <v>39.0</v>
      </c>
      <c r="C123" s="35" t="s">
        <v>987</v>
      </c>
      <c r="D123" s="35" t="s">
        <v>9579</v>
      </c>
      <c r="E123" t="s">
        <v>53</v>
      </c>
      <c r="L123" s="637" t="s">
        <v>9580</v>
      </c>
      <c r="M123" t="str">
        <f t="shared" si="3"/>
        <v>sencardinale@njleg.org</v>
      </c>
    </row>
    <row r="124">
      <c r="A124" s="14" t="s">
        <v>286</v>
      </c>
      <c r="B124" s="14">
        <v>40.0</v>
      </c>
      <c r="C124" s="35" t="s">
        <v>3074</v>
      </c>
      <c r="D124" s="35" t="s">
        <v>9582</v>
      </c>
      <c r="E124" t="s">
        <v>53</v>
      </c>
      <c r="L124" s="637" t="s">
        <v>9583</v>
      </c>
      <c r="M124" t="str">
        <f t="shared" si="3"/>
        <v>sencorrado@njleg.org</v>
      </c>
    </row>
    <row r="125">
      <c r="A125" s="70"/>
      <c r="B125" s="70"/>
      <c r="C125" s="71"/>
      <c r="D125" s="71"/>
      <c r="E125" s="70"/>
      <c r="F125" s="70"/>
      <c r="G125" s="70"/>
      <c r="H125" s="70"/>
      <c r="I125" s="70"/>
      <c r="J125" s="70"/>
      <c r="K125" s="70"/>
      <c r="L125" s="70"/>
      <c r="M125" s="70"/>
      <c r="N125" s="70"/>
      <c r="O125" s="70"/>
      <c r="P125" s="70"/>
      <c r="Q125" s="70"/>
      <c r="R125" s="70"/>
      <c r="S125" s="70"/>
      <c r="T125" s="70"/>
      <c r="U125" s="70"/>
      <c r="V125" s="70"/>
      <c r="W125" s="70"/>
      <c r="X125" s="70"/>
      <c r="Y125" s="70"/>
      <c r="Z125" s="70"/>
      <c r="AA125" s="70"/>
      <c r="AB125" s="70"/>
      <c r="AC125" s="70"/>
      <c r="AD125" s="70"/>
    </row>
    <row r="126">
      <c r="A126" s="14" t="s">
        <v>421</v>
      </c>
      <c r="C126" s="77" t="s">
        <v>1483</v>
      </c>
      <c r="D126" s="77" t="s">
        <v>3019</v>
      </c>
    </row>
    <row r="127">
      <c r="A127" s="70"/>
      <c r="B127" s="70"/>
      <c r="C127" s="71"/>
      <c r="D127" s="71"/>
      <c r="E127" s="70"/>
      <c r="F127" s="70"/>
      <c r="G127" s="70"/>
      <c r="H127" s="70"/>
      <c r="I127" s="70"/>
      <c r="J127" s="70"/>
      <c r="K127" s="70"/>
      <c r="L127" s="70"/>
      <c r="M127" s="70"/>
      <c r="N127" s="70"/>
      <c r="O127" s="70"/>
      <c r="P127" s="70"/>
      <c r="Q127" s="70"/>
      <c r="R127" s="70"/>
      <c r="S127" s="70"/>
      <c r="T127" s="70"/>
      <c r="U127" s="70"/>
      <c r="V127" s="70"/>
      <c r="W127" s="70"/>
      <c r="X127" s="70"/>
      <c r="Y127" s="70"/>
      <c r="Z127" s="70"/>
      <c r="AA127" s="70"/>
      <c r="AB127" s="70"/>
      <c r="AC127" s="70"/>
      <c r="AD127" s="70"/>
    </row>
    <row r="128">
      <c r="A128" s="14" t="s">
        <v>427</v>
      </c>
      <c r="B128" s="14">
        <v>1.0</v>
      </c>
      <c r="C128" s="77" t="s">
        <v>2139</v>
      </c>
      <c r="D128" s="77" t="s">
        <v>9584</v>
      </c>
    </row>
    <row r="129">
      <c r="A129" s="14" t="s">
        <v>427</v>
      </c>
      <c r="B129" s="14">
        <v>2.0</v>
      </c>
      <c r="C129" s="77" t="s">
        <v>683</v>
      </c>
      <c r="D129" s="77" t="s">
        <v>9515</v>
      </c>
    </row>
    <row r="130">
      <c r="A130" s="14" t="s">
        <v>427</v>
      </c>
      <c r="B130" s="14">
        <v>3.0</v>
      </c>
      <c r="C130" s="77" t="s">
        <v>109</v>
      </c>
      <c r="D130" s="77" t="s">
        <v>1973</v>
      </c>
    </row>
    <row r="131">
      <c r="A131" s="14" t="s">
        <v>427</v>
      </c>
      <c r="B131" s="14">
        <v>4.0</v>
      </c>
      <c r="C131" s="77" t="s">
        <v>173</v>
      </c>
      <c r="D131" s="77" t="s">
        <v>1451</v>
      </c>
    </row>
    <row r="132">
      <c r="A132" s="14" t="s">
        <v>427</v>
      </c>
      <c r="B132" s="14">
        <v>5.0</v>
      </c>
      <c r="C132" s="77" t="s">
        <v>2506</v>
      </c>
      <c r="D132" s="77" t="s">
        <v>9587</v>
      </c>
    </row>
    <row r="133">
      <c r="A133" s="14" t="s">
        <v>427</v>
      </c>
      <c r="B133" s="14">
        <v>6.0</v>
      </c>
      <c r="C133" s="77" t="s">
        <v>1000</v>
      </c>
      <c r="D133" s="77" t="s">
        <v>9589</v>
      </c>
    </row>
    <row r="134">
      <c r="A134" s="14" t="s">
        <v>427</v>
      </c>
      <c r="B134" s="14">
        <v>7.0</v>
      </c>
      <c r="C134" s="77" t="s">
        <v>338</v>
      </c>
      <c r="D134" s="77" t="s">
        <v>9590</v>
      </c>
    </row>
    <row r="135">
      <c r="A135" s="14" t="s">
        <v>427</v>
      </c>
      <c r="B135" s="14">
        <v>8.0</v>
      </c>
      <c r="C135" s="77" t="s">
        <v>9591</v>
      </c>
      <c r="D135" s="77" t="s">
        <v>9592</v>
      </c>
    </row>
    <row r="136">
      <c r="A136" s="14" t="s">
        <v>427</v>
      </c>
      <c r="B136" s="14">
        <v>9.0</v>
      </c>
      <c r="C136" s="77" t="s">
        <v>325</v>
      </c>
      <c r="D136" s="77" t="s">
        <v>9593</v>
      </c>
    </row>
    <row r="137">
      <c r="A137" s="14" t="s">
        <v>427</v>
      </c>
      <c r="B137" s="14">
        <v>10.0</v>
      </c>
      <c r="C137" s="77" t="s">
        <v>2139</v>
      </c>
      <c r="D137" s="77" t="s">
        <v>973</v>
      </c>
    </row>
    <row r="138">
      <c r="A138" s="14" t="s">
        <v>427</v>
      </c>
      <c r="B138" s="14">
        <v>11.0</v>
      </c>
      <c r="C138" s="77" t="s">
        <v>9594</v>
      </c>
      <c r="D138" s="77" t="s">
        <v>9595</v>
      </c>
    </row>
    <row r="139">
      <c r="A139" s="14" t="s">
        <v>427</v>
      </c>
      <c r="B139" s="14">
        <v>12.0</v>
      </c>
      <c r="C139" s="77" t="s">
        <v>3666</v>
      </c>
      <c r="D139" s="77" t="s">
        <v>508</v>
      </c>
    </row>
    <row r="140">
      <c r="A140" s="70"/>
      <c r="B140" s="70"/>
      <c r="C140" s="71"/>
      <c r="D140" s="71"/>
      <c r="E140" s="70"/>
      <c r="F140" s="70"/>
      <c r="G140" s="70"/>
      <c r="H140" s="70"/>
      <c r="I140" s="70"/>
      <c r="J140" s="70"/>
      <c r="K140" s="70"/>
      <c r="L140" s="70"/>
      <c r="M140" s="70"/>
      <c r="N140" s="70"/>
      <c r="O140" s="70"/>
      <c r="P140" s="70"/>
      <c r="Q140" s="70"/>
      <c r="R140" s="70"/>
      <c r="S140" s="70"/>
      <c r="T140" s="70"/>
      <c r="U140" s="70"/>
      <c r="V140" s="70"/>
      <c r="W140" s="70"/>
      <c r="X140" s="70"/>
      <c r="Y140" s="70"/>
      <c r="Z140" s="70"/>
      <c r="AA140" s="70"/>
      <c r="AB140" s="70"/>
      <c r="AC140" s="70"/>
      <c r="AD140" s="70"/>
    </row>
    <row r="141">
      <c r="A141" s="14" t="s">
        <v>430</v>
      </c>
      <c r="B141" s="14" t="s">
        <v>431</v>
      </c>
      <c r="C141" s="77" t="s">
        <v>2493</v>
      </c>
      <c r="D141" s="77" t="s">
        <v>5196</v>
      </c>
    </row>
    <row r="142">
      <c r="A142" s="14" t="s">
        <v>430</v>
      </c>
      <c r="B142" s="14" t="s">
        <v>434</v>
      </c>
      <c r="C142" s="77" t="s">
        <v>419</v>
      </c>
      <c r="D142" s="77" t="s">
        <v>9596</v>
      </c>
    </row>
    <row r="143">
      <c r="A143" s="70"/>
      <c r="B143" s="70"/>
      <c r="C143" s="71"/>
      <c r="D143" s="71"/>
      <c r="E143" s="70"/>
      <c r="F143" s="70"/>
      <c r="G143" s="70"/>
      <c r="H143" s="70"/>
      <c r="I143" s="70"/>
      <c r="J143" s="70"/>
      <c r="K143" s="70"/>
      <c r="L143" s="70"/>
      <c r="M143" s="70"/>
      <c r="N143" s="70"/>
      <c r="O143" s="70"/>
      <c r="P143" s="70"/>
      <c r="Q143" s="70"/>
      <c r="R143" s="70"/>
      <c r="S143" s="70"/>
      <c r="T143" s="70"/>
      <c r="U143" s="70"/>
      <c r="V143" s="70"/>
      <c r="W143" s="70"/>
      <c r="X143" s="70"/>
      <c r="Y143" s="70"/>
      <c r="Z143" s="70"/>
      <c r="AA143" s="70"/>
      <c r="AB143" s="70"/>
      <c r="AC143" s="70"/>
      <c r="AD143" s="70"/>
    </row>
    <row r="144">
      <c r="A144" s="14" t="s">
        <v>438</v>
      </c>
      <c r="C144" s="77" t="s">
        <v>9597</v>
      </c>
      <c r="D144" s="77" t="s">
        <v>9598</v>
      </c>
    </row>
    <row r="145">
      <c r="A145" s="70"/>
      <c r="B145" s="70"/>
      <c r="C145" s="71"/>
      <c r="D145" s="71"/>
      <c r="E145" s="70"/>
      <c r="F145" s="70"/>
      <c r="G145" s="70"/>
      <c r="H145" s="70"/>
      <c r="I145" s="70"/>
      <c r="J145" s="70"/>
      <c r="K145" s="70"/>
      <c r="L145" s="70"/>
      <c r="M145" s="70"/>
      <c r="N145" s="70"/>
      <c r="O145" s="70"/>
      <c r="P145" s="70"/>
      <c r="Q145" s="70"/>
      <c r="R145" s="70"/>
      <c r="S145" s="70"/>
      <c r="T145" s="70"/>
      <c r="U145" s="70"/>
      <c r="V145" s="70"/>
      <c r="W145" s="70"/>
      <c r="X145" s="70"/>
      <c r="Y145" s="70"/>
      <c r="Z145" s="70"/>
      <c r="AA145" s="70"/>
      <c r="AB145" s="70"/>
      <c r="AC145" s="70"/>
      <c r="AD145" s="70"/>
    </row>
    <row r="146">
      <c r="C146" s="139"/>
      <c r="D146" s="139"/>
    </row>
    <row r="147">
      <c r="C147" s="139"/>
      <c r="D147" s="139"/>
    </row>
    <row r="148">
      <c r="C148" s="139"/>
      <c r="D148" s="139"/>
    </row>
    <row r="149">
      <c r="C149" s="139"/>
      <c r="D149" s="139"/>
    </row>
    <row r="150">
      <c r="C150" s="139"/>
      <c r="D150" s="139"/>
    </row>
    <row r="151">
      <c r="C151" s="139"/>
      <c r="D151" s="139"/>
    </row>
    <row r="152">
      <c r="C152" s="139"/>
      <c r="D152" s="139"/>
    </row>
    <row r="153">
      <c r="C153" s="139"/>
      <c r="D153" s="139"/>
    </row>
    <row r="154">
      <c r="C154" s="139"/>
      <c r="D154" s="139"/>
    </row>
    <row r="155">
      <c r="C155" s="139"/>
      <c r="D155" s="139"/>
    </row>
    <row r="156">
      <c r="C156" s="139"/>
      <c r="D156" s="139"/>
    </row>
    <row r="157">
      <c r="C157" s="139"/>
      <c r="D157" s="139"/>
    </row>
    <row r="158">
      <c r="C158" s="139"/>
      <c r="D158" s="139"/>
    </row>
    <row r="159">
      <c r="C159" s="139"/>
      <c r="D159" s="139"/>
    </row>
    <row r="160">
      <c r="C160" s="139"/>
      <c r="D160" s="139"/>
    </row>
    <row r="161">
      <c r="C161" s="139"/>
      <c r="D161" s="139"/>
    </row>
    <row r="162">
      <c r="C162" s="139"/>
      <c r="D162" s="139"/>
    </row>
    <row r="163">
      <c r="C163" s="139"/>
      <c r="D163" s="139"/>
    </row>
    <row r="164">
      <c r="C164" s="139"/>
      <c r="D164" s="139"/>
    </row>
    <row r="165">
      <c r="C165" s="139"/>
      <c r="D165" s="139"/>
    </row>
    <row r="166">
      <c r="C166" s="139"/>
      <c r="D166" s="139"/>
    </row>
    <row r="167">
      <c r="C167" s="139"/>
      <c r="D167" s="139"/>
    </row>
    <row r="168">
      <c r="C168" s="139"/>
      <c r="D168" s="139"/>
    </row>
    <row r="169">
      <c r="C169" s="139"/>
      <c r="D169" s="139"/>
    </row>
    <row r="170">
      <c r="C170" s="139"/>
      <c r="D170" s="139"/>
    </row>
    <row r="171">
      <c r="C171" s="139"/>
      <c r="D171" s="139"/>
    </row>
    <row r="172">
      <c r="C172" s="139"/>
      <c r="D172" s="139"/>
    </row>
    <row r="173">
      <c r="C173" s="139"/>
      <c r="D173" s="139"/>
    </row>
    <row r="174">
      <c r="C174" s="139"/>
      <c r="D174" s="139"/>
    </row>
    <row r="175">
      <c r="C175" s="139"/>
      <c r="D175" s="139"/>
    </row>
    <row r="176">
      <c r="C176" s="139"/>
      <c r="D176" s="139"/>
    </row>
    <row r="177">
      <c r="C177" s="139"/>
      <c r="D177" s="139"/>
    </row>
    <row r="178">
      <c r="C178" s="139"/>
      <c r="D178" s="139"/>
    </row>
    <row r="179">
      <c r="C179" s="139"/>
      <c r="D179" s="139"/>
    </row>
    <row r="180">
      <c r="C180" s="139"/>
      <c r="D180" s="139"/>
    </row>
    <row r="181">
      <c r="C181" s="139"/>
      <c r="D181" s="139"/>
    </row>
    <row r="182">
      <c r="C182" s="139"/>
      <c r="D182" s="139"/>
    </row>
    <row r="183">
      <c r="C183" s="139"/>
      <c r="D183" s="139"/>
    </row>
    <row r="184">
      <c r="C184" s="139"/>
      <c r="D184" s="139"/>
    </row>
    <row r="185">
      <c r="C185" s="139"/>
      <c r="D185" s="139"/>
    </row>
    <row r="186">
      <c r="C186" s="139"/>
      <c r="D186" s="139"/>
    </row>
    <row r="187">
      <c r="C187" s="139"/>
      <c r="D187" s="139"/>
    </row>
    <row r="188">
      <c r="C188" s="139"/>
      <c r="D188" s="139"/>
    </row>
    <row r="189">
      <c r="C189" s="139"/>
      <c r="D189" s="139"/>
    </row>
    <row r="190">
      <c r="C190" s="139"/>
      <c r="D190" s="139"/>
    </row>
    <row r="191">
      <c r="C191" s="139"/>
      <c r="D191" s="139"/>
    </row>
    <row r="192">
      <c r="C192" s="139"/>
      <c r="D192" s="139"/>
    </row>
    <row r="193">
      <c r="C193" s="139"/>
      <c r="D193" s="139"/>
    </row>
    <row r="194">
      <c r="C194" s="139"/>
      <c r="D194" s="139"/>
    </row>
    <row r="195">
      <c r="C195" s="139"/>
      <c r="D195" s="139"/>
    </row>
    <row r="196">
      <c r="C196" s="139"/>
      <c r="D196" s="139"/>
    </row>
    <row r="197">
      <c r="C197" s="139"/>
      <c r="D197" s="139"/>
    </row>
    <row r="198">
      <c r="C198" s="139"/>
      <c r="D198" s="139"/>
    </row>
    <row r="199">
      <c r="C199" s="139"/>
      <c r="D199" s="139"/>
    </row>
    <row r="200">
      <c r="C200" s="139"/>
      <c r="D200" s="139"/>
    </row>
    <row r="201">
      <c r="C201" s="139"/>
      <c r="D201" s="139"/>
    </row>
    <row r="202">
      <c r="C202" s="139"/>
      <c r="D202" s="139"/>
    </row>
    <row r="203">
      <c r="C203" s="139"/>
      <c r="D203" s="139"/>
    </row>
    <row r="204">
      <c r="C204" s="139"/>
      <c r="D204" s="139"/>
    </row>
    <row r="205">
      <c r="C205" s="139"/>
      <c r="D205" s="139"/>
    </row>
    <row r="206">
      <c r="C206" s="139"/>
      <c r="D206" s="139"/>
    </row>
    <row r="207">
      <c r="C207" s="139"/>
      <c r="D207" s="139"/>
    </row>
    <row r="208">
      <c r="C208" s="139"/>
      <c r="D208" s="139"/>
    </row>
    <row r="209">
      <c r="C209" s="139"/>
      <c r="D209" s="139"/>
    </row>
    <row r="210">
      <c r="C210" s="139"/>
      <c r="D210" s="139"/>
    </row>
    <row r="211">
      <c r="C211" s="139"/>
      <c r="D211" s="139"/>
    </row>
    <row r="212">
      <c r="C212" s="139"/>
      <c r="D212" s="139"/>
    </row>
    <row r="213">
      <c r="C213" s="139"/>
      <c r="D213" s="139"/>
    </row>
    <row r="214">
      <c r="C214" s="139"/>
      <c r="D214" s="139"/>
    </row>
    <row r="215">
      <c r="C215" s="139"/>
      <c r="D215" s="139"/>
    </row>
    <row r="216">
      <c r="C216" s="139"/>
      <c r="D216" s="139"/>
    </row>
    <row r="217">
      <c r="C217" s="139"/>
      <c r="D217" s="139"/>
    </row>
    <row r="218">
      <c r="C218" s="139"/>
      <c r="D218" s="139"/>
    </row>
    <row r="219">
      <c r="C219" s="139"/>
      <c r="D219" s="139"/>
    </row>
    <row r="220">
      <c r="C220" s="139"/>
      <c r="D220" s="139"/>
    </row>
    <row r="221">
      <c r="C221" s="139"/>
      <c r="D221" s="139"/>
    </row>
    <row r="222">
      <c r="C222" s="139"/>
      <c r="D222" s="139"/>
    </row>
    <row r="223">
      <c r="C223" s="139"/>
      <c r="D223" s="139"/>
    </row>
    <row r="224">
      <c r="C224" s="139"/>
      <c r="D224" s="139"/>
    </row>
    <row r="225">
      <c r="C225" s="139"/>
      <c r="D225" s="139"/>
    </row>
    <row r="226">
      <c r="C226" s="139"/>
      <c r="D226" s="139"/>
    </row>
    <row r="227">
      <c r="C227" s="139"/>
      <c r="D227" s="139"/>
    </row>
    <row r="228">
      <c r="C228" s="139"/>
      <c r="D228" s="139"/>
    </row>
    <row r="229">
      <c r="C229" s="139"/>
      <c r="D229" s="139"/>
    </row>
    <row r="230">
      <c r="C230" s="139"/>
      <c r="D230" s="139"/>
    </row>
    <row r="231">
      <c r="C231" s="139"/>
      <c r="D231" s="139"/>
    </row>
    <row r="232">
      <c r="C232" s="139"/>
      <c r="D232" s="139"/>
    </row>
    <row r="233">
      <c r="C233" s="139"/>
      <c r="D233" s="139"/>
    </row>
    <row r="234">
      <c r="C234" s="139"/>
      <c r="D234" s="139"/>
    </row>
    <row r="235">
      <c r="C235" s="139"/>
      <c r="D235" s="139"/>
    </row>
    <row r="236">
      <c r="C236" s="139"/>
      <c r="D236" s="139"/>
    </row>
    <row r="237">
      <c r="C237" s="139"/>
      <c r="D237" s="139"/>
    </row>
    <row r="238">
      <c r="C238" s="139"/>
      <c r="D238" s="139"/>
    </row>
    <row r="239">
      <c r="C239" s="139"/>
      <c r="D239" s="139"/>
    </row>
    <row r="240">
      <c r="C240" s="139"/>
      <c r="D240" s="139"/>
    </row>
    <row r="241">
      <c r="C241" s="139"/>
      <c r="D241" s="139"/>
    </row>
    <row r="242">
      <c r="C242" s="139"/>
      <c r="D242" s="139"/>
    </row>
    <row r="243">
      <c r="C243" s="139"/>
      <c r="D243" s="139"/>
    </row>
    <row r="244">
      <c r="C244" s="139"/>
      <c r="D244" s="139"/>
    </row>
    <row r="245">
      <c r="C245" s="139"/>
      <c r="D245" s="139"/>
    </row>
    <row r="246">
      <c r="C246" s="139"/>
      <c r="D246" s="139"/>
    </row>
    <row r="247">
      <c r="C247" s="139"/>
      <c r="D247" s="139"/>
    </row>
    <row r="248">
      <c r="C248" s="139"/>
      <c r="D248" s="139"/>
    </row>
    <row r="249">
      <c r="C249" s="139"/>
      <c r="D249" s="139"/>
    </row>
    <row r="250">
      <c r="C250" s="139"/>
      <c r="D250" s="139"/>
    </row>
    <row r="251">
      <c r="C251" s="139"/>
      <c r="D251" s="139"/>
    </row>
    <row r="252">
      <c r="C252" s="139"/>
      <c r="D252" s="139"/>
    </row>
    <row r="253">
      <c r="C253" s="139"/>
      <c r="D253" s="139"/>
    </row>
    <row r="254">
      <c r="C254" s="139"/>
      <c r="D254" s="139"/>
    </row>
    <row r="255">
      <c r="C255" s="139"/>
      <c r="D255" s="139"/>
    </row>
    <row r="256">
      <c r="C256" s="139"/>
      <c r="D256" s="139"/>
    </row>
    <row r="257">
      <c r="C257" s="139"/>
      <c r="D257" s="139"/>
    </row>
    <row r="258">
      <c r="C258" s="139"/>
      <c r="D258" s="139"/>
    </row>
    <row r="259">
      <c r="C259" s="139"/>
      <c r="D259" s="139"/>
    </row>
    <row r="260">
      <c r="C260" s="139"/>
      <c r="D260" s="139"/>
    </row>
    <row r="261">
      <c r="C261" s="139"/>
      <c r="D261" s="139"/>
    </row>
    <row r="262">
      <c r="C262" s="139"/>
      <c r="D262" s="139"/>
    </row>
    <row r="263">
      <c r="C263" s="139"/>
      <c r="D263" s="139"/>
    </row>
    <row r="264">
      <c r="C264" s="139"/>
      <c r="D264" s="139"/>
    </row>
    <row r="265">
      <c r="C265" s="139"/>
      <c r="D265" s="139"/>
    </row>
    <row r="266">
      <c r="C266" s="139"/>
      <c r="D266" s="139"/>
    </row>
    <row r="267">
      <c r="C267" s="139"/>
      <c r="D267" s="139"/>
    </row>
    <row r="268">
      <c r="C268" s="139"/>
      <c r="D268" s="139"/>
    </row>
    <row r="269">
      <c r="C269" s="139"/>
      <c r="D269" s="139"/>
    </row>
    <row r="270">
      <c r="C270" s="139"/>
      <c r="D270" s="139"/>
    </row>
    <row r="271">
      <c r="C271" s="139"/>
      <c r="D271" s="139"/>
    </row>
    <row r="272">
      <c r="C272" s="139"/>
      <c r="D272" s="139"/>
    </row>
    <row r="273">
      <c r="C273" s="139"/>
      <c r="D273" s="139"/>
    </row>
    <row r="274">
      <c r="C274" s="139"/>
      <c r="D274" s="139"/>
    </row>
    <row r="275">
      <c r="C275" s="139"/>
      <c r="D275" s="139"/>
    </row>
    <row r="276">
      <c r="C276" s="139"/>
      <c r="D276" s="139"/>
    </row>
    <row r="277">
      <c r="C277" s="139"/>
      <c r="D277" s="139"/>
    </row>
    <row r="278">
      <c r="C278" s="139"/>
      <c r="D278" s="139"/>
    </row>
    <row r="279">
      <c r="C279" s="139"/>
      <c r="D279" s="139"/>
    </row>
    <row r="280">
      <c r="C280" s="139"/>
      <c r="D280" s="139"/>
    </row>
    <row r="281">
      <c r="C281" s="139"/>
      <c r="D281" s="139"/>
    </row>
    <row r="282">
      <c r="C282" s="139"/>
      <c r="D282" s="139"/>
    </row>
    <row r="283">
      <c r="C283" s="139"/>
      <c r="D283" s="139"/>
    </row>
    <row r="284">
      <c r="C284" s="139"/>
      <c r="D284" s="139"/>
    </row>
    <row r="285">
      <c r="C285" s="139"/>
      <c r="D285" s="139"/>
    </row>
    <row r="286">
      <c r="C286" s="139"/>
      <c r="D286" s="139"/>
    </row>
    <row r="287">
      <c r="C287" s="139"/>
      <c r="D287" s="139"/>
    </row>
    <row r="288">
      <c r="C288" s="139"/>
      <c r="D288" s="139"/>
    </row>
    <row r="289">
      <c r="C289" s="139"/>
      <c r="D289" s="139"/>
    </row>
    <row r="290">
      <c r="C290" s="139"/>
      <c r="D290" s="139"/>
    </row>
    <row r="291">
      <c r="C291" s="139"/>
      <c r="D291" s="139"/>
    </row>
    <row r="292">
      <c r="C292" s="139"/>
      <c r="D292" s="139"/>
    </row>
    <row r="293">
      <c r="C293" s="139"/>
      <c r="D293" s="139"/>
    </row>
    <row r="294">
      <c r="C294" s="139"/>
      <c r="D294" s="139"/>
    </row>
    <row r="295">
      <c r="C295" s="139"/>
      <c r="D295" s="139"/>
    </row>
    <row r="296">
      <c r="C296" s="139"/>
      <c r="D296" s="139"/>
    </row>
    <row r="297">
      <c r="C297" s="139"/>
      <c r="D297" s="139"/>
    </row>
    <row r="298">
      <c r="C298" s="139"/>
      <c r="D298" s="139"/>
    </row>
    <row r="299">
      <c r="C299" s="139"/>
      <c r="D299" s="139"/>
    </row>
    <row r="300">
      <c r="C300" s="139"/>
      <c r="D300" s="139"/>
    </row>
    <row r="301">
      <c r="C301" s="139"/>
      <c r="D301" s="139"/>
    </row>
    <row r="302">
      <c r="C302" s="139"/>
      <c r="D302" s="139"/>
    </row>
    <row r="303">
      <c r="C303" s="139"/>
      <c r="D303" s="139"/>
    </row>
    <row r="304">
      <c r="C304" s="139"/>
      <c r="D304" s="139"/>
    </row>
    <row r="305">
      <c r="C305" s="139"/>
      <c r="D305" s="139"/>
    </row>
    <row r="306">
      <c r="C306" s="139"/>
      <c r="D306" s="139"/>
    </row>
    <row r="307">
      <c r="C307" s="139"/>
      <c r="D307" s="139"/>
    </row>
    <row r="308">
      <c r="C308" s="139"/>
      <c r="D308" s="139"/>
    </row>
    <row r="309">
      <c r="C309" s="139"/>
      <c r="D309" s="139"/>
    </row>
    <row r="310">
      <c r="C310" s="139"/>
      <c r="D310" s="139"/>
    </row>
    <row r="311">
      <c r="C311" s="139"/>
      <c r="D311" s="139"/>
    </row>
    <row r="312">
      <c r="C312" s="139"/>
      <c r="D312" s="139"/>
    </row>
    <row r="313">
      <c r="C313" s="139"/>
      <c r="D313" s="139"/>
    </row>
    <row r="314">
      <c r="C314" s="139"/>
      <c r="D314" s="139"/>
    </row>
    <row r="315">
      <c r="C315" s="139"/>
      <c r="D315" s="139"/>
    </row>
    <row r="316">
      <c r="C316" s="139"/>
      <c r="D316" s="139"/>
    </row>
    <row r="317">
      <c r="C317" s="139"/>
      <c r="D317" s="139"/>
    </row>
    <row r="318">
      <c r="C318" s="139"/>
      <c r="D318" s="139"/>
    </row>
    <row r="319">
      <c r="C319" s="139"/>
      <c r="D319" s="139"/>
    </row>
    <row r="320">
      <c r="C320" s="139"/>
      <c r="D320" s="139"/>
    </row>
    <row r="321">
      <c r="C321" s="139"/>
      <c r="D321" s="139"/>
    </row>
    <row r="322">
      <c r="C322" s="139"/>
      <c r="D322" s="139"/>
    </row>
    <row r="323">
      <c r="C323" s="139"/>
      <c r="D323" s="139"/>
    </row>
    <row r="324">
      <c r="C324" s="139"/>
      <c r="D324" s="139"/>
    </row>
    <row r="325">
      <c r="C325" s="139"/>
      <c r="D325" s="139"/>
    </row>
    <row r="326">
      <c r="C326" s="139"/>
      <c r="D326" s="139"/>
    </row>
    <row r="327">
      <c r="C327" s="139"/>
      <c r="D327" s="139"/>
    </row>
    <row r="328">
      <c r="C328" s="139"/>
      <c r="D328" s="139"/>
    </row>
    <row r="329">
      <c r="C329" s="139"/>
      <c r="D329" s="139"/>
    </row>
    <row r="330">
      <c r="C330" s="139"/>
      <c r="D330" s="139"/>
    </row>
    <row r="331">
      <c r="C331" s="139"/>
      <c r="D331" s="139"/>
    </row>
    <row r="332">
      <c r="C332" s="139"/>
      <c r="D332" s="139"/>
    </row>
    <row r="333">
      <c r="C333" s="139"/>
      <c r="D333" s="139"/>
    </row>
    <row r="334">
      <c r="C334" s="139"/>
      <c r="D334" s="139"/>
    </row>
    <row r="335">
      <c r="C335" s="139"/>
      <c r="D335" s="139"/>
    </row>
    <row r="336">
      <c r="C336" s="139"/>
      <c r="D336" s="139"/>
    </row>
    <row r="337">
      <c r="C337" s="139"/>
      <c r="D337" s="139"/>
    </row>
    <row r="338">
      <c r="C338" s="139"/>
      <c r="D338" s="139"/>
    </row>
    <row r="339">
      <c r="C339" s="139"/>
      <c r="D339" s="139"/>
    </row>
    <row r="340">
      <c r="C340" s="139"/>
      <c r="D340" s="139"/>
    </row>
    <row r="341">
      <c r="C341" s="139"/>
      <c r="D341" s="139"/>
    </row>
    <row r="342">
      <c r="C342" s="139"/>
      <c r="D342" s="139"/>
    </row>
    <row r="343">
      <c r="C343" s="139"/>
      <c r="D343" s="139"/>
    </row>
    <row r="344">
      <c r="C344" s="139"/>
      <c r="D344" s="139"/>
    </row>
    <row r="345">
      <c r="C345" s="139"/>
      <c r="D345" s="139"/>
    </row>
    <row r="346">
      <c r="C346" s="139"/>
      <c r="D346" s="139"/>
    </row>
    <row r="347">
      <c r="C347" s="139"/>
      <c r="D347" s="139"/>
    </row>
    <row r="348">
      <c r="C348" s="139"/>
      <c r="D348" s="139"/>
    </row>
    <row r="349">
      <c r="C349" s="139"/>
      <c r="D349" s="139"/>
    </row>
    <row r="350">
      <c r="C350" s="139"/>
      <c r="D350" s="139"/>
    </row>
    <row r="351">
      <c r="C351" s="139"/>
      <c r="D351" s="139"/>
    </row>
    <row r="352">
      <c r="C352" s="139"/>
      <c r="D352" s="139"/>
    </row>
    <row r="353">
      <c r="C353" s="139"/>
      <c r="D353" s="139"/>
    </row>
    <row r="354">
      <c r="C354" s="139"/>
      <c r="D354" s="139"/>
    </row>
    <row r="355">
      <c r="C355" s="139"/>
      <c r="D355" s="139"/>
    </row>
    <row r="356">
      <c r="C356" s="139"/>
      <c r="D356" s="139"/>
    </row>
    <row r="357">
      <c r="C357" s="139"/>
      <c r="D357" s="139"/>
    </row>
    <row r="358">
      <c r="C358" s="139"/>
      <c r="D358" s="139"/>
    </row>
    <row r="359">
      <c r="C359" s="139"/>
      <c r="D359" s="139"/>
    </row>
    <row r="360">
      <c r="C360" s="139"/>
      <c r="D360" s="139"/>
    </row>
    <row r="361">
      <c r="C361" s="139"/>
      <c r="D361" s="139"/>
    </row>
    <row r="362">
      <c r="C362" s="139"/>
      <c r="D362" s="139"/>
    </row>
    <row r="363">
      <c r="C363" s="139"/>
      <c r="D363" s="139"/>
    </row>
    <row r="364">
      <c r="C364" s="139"/>
      <c r="D364" s="139"/>
    </row>
    <row r="365">
      <c r="C365" s="139"/>
      <c r="D365" s="139"/>
    </row>
    <row r="366">
      <c r="C366" s="139"/>
      <c r="D366" s="139"/>
    </row>
    <row r="367">
      <c r="C367" s="139"/>
      <c r="D367" s="139"/>
    </row>
    <row r="368">
      <c r="C368" s="139"/>
      <c r="D368" s="139"/>
    </row>
    <row r="369">
      <c r="C369" s="139"/>
      <c r="D369" s="139"/>
    </row>
    <row r="370">
      <c r="C370" s="139"/>
      <c r="D370" s="139"/>
    </row>
    <row r="371">
      <c r="C371" s="139"/>
      <c r="D371" s="139"/>
    </row>
    <row r="372">
      <c r="C372" s="139"/>
      <c r="D372" s="139"/>
    </row>
    <row r="373">
      <c r="C373" s="139"/>
      <c r="D373" s="139"/>
    </row>
    <row r="374">
      <c r="C374" s="139"/>
      <c r="D374" s="139"/>
    </row>
    <row r="375">
      <c r="C375" s="139"/>
      <c r="D375" s="139"/>
    </row>
    <row r="376">
      <c r="C376" s="139"/>
      <c r="D376" s="139"/>
    </row>
    <row r="377">
      <c r="C377" s="139"/>
      <c r="D377" s="139"/>
    </row>
    <row r="378">
      <c r="C378" s="139"/>
      <c r="D378" s="139"/>
    </row>
    <row r="379">
      <c r="C379" s="139"/>
      <c r="D379" s="139"/>
    </row>
    <row r="380">
      <c r="C380" s="139"/>
      <c r="D380" s="139"/>
    </row>
    <row r="381">
      <c r="C381" s="139"/>
      <c r="D381" s="139"/>
    </row>
    <row r="382">
      <c r="C382" s="139"/>
      <c r="D382" s="139"/>
    </row>
    <row r="383">
      <c r="C383" s="139"/>
      <c r="D383" s="139"/>
    </row>
    <row r="384">
      <c r="C384" s="139"/>
      <c r="D384" s="139"/>
    </row>
    <row r="385">
      <c r="C385" s="139"/>
      <c r="D385" s="139"/>
    </row>
    <row r="386">
      <c r="C386" s="139"/>
      <c r="D386" s="139"/>
    </row>
    <row r="387">
      <c r="C387" s="139"/>
      <c r="D387" s="139"/>
    </row>
    <row r="388">
      <c r="C388" s="139"/>
      <c r="D388" s="139"/>
    </row>
    <row r="389">
      <c r="C389" s="139"/>
      <c r="D389" s="139"/>
    </row>
    <row r="390">
      <c r="C390" s="139"/>
      <c r="D390" s="139"/>
    </row>
    <row r="391">
      <c r="C391" s="139"/>
      <c r="D391" s="139"/>
    </row>
    <row r="392">
      <c r="C392" s="139"/>
      <c r="D392" s="139"/>
    </row>
    <row r="393">
      <c r="C393" s="139"/>
      <c r="D393" s="139"/>
    </row>
    <row r="394">
      <c r="C394" s="139"/>
      <c r="D394" s="139"/>
    </row>
    <row r="395">
      <c r="C395" s="139"/>
      <c r="D395" s="139"/>
    </row>
    <row r="396">
      <c r="C396" s="139"/>
      <c r="D396" s="139"/>
    </row>
    <row r="397">
      <c r="C397" s="139"/>
      <c r="D397" s="139"/>
    </row>
    <row r="398">
      <c r="C398" s="139"/>
      <c r="D398" s="139"/>
    </row>
    <row r="399">
      <c r="C399" s="139"/>
      <c r="D399" s="139"/>
    </row>
    <row r="400">
      <c r="C400" s="139"/>
      <c r="D400" s="139"/>
    </row>
    <row r="401">
      <c r="C401" s="139"/>
      <c r="D401" s="139"/>
    </row>
    <row r="402">
      <c r="C402" s="139"/>
      <c r="D402" s="139"/>
    </row>
    <row r="403">
      <c r="C403" s="139"/>
      <c r="D403" s="139"/>
    </row>
    <row r="404">
      <c r="C404" s="139"/>
      <c r="D404" s="139"/>
    </row>
    <row r="405">
      <c r="C405" s="139"/>
      <c r="D405" s="139"/>
    </row>
    <row r="406">
      <c r="C406" s="139"/>
      <c r="D406" s="139"/>
    </row>
    <row r="407">
      <c r="C407" s="139"/>
      <c r="D407" s="139"/>
    </row>
    <row r="408">
      <c r="C408" s="139"/>
      <c r="D408" s="139"/>
    </row>
    <row r="409">
      <c r="C409" s="139"/>
      <c r="D409" s="139"/>
    </row>
    <row r="410">
      <c r="C410" s="139"/>
      <c r="D410" s="139"/>
    </row>
    <row r="411">
      <c r="C411" s="139"/>
      <c r="D411" s="139"/>
    </row>
    <row r="412">
      <c r="C412" s="139"/>
      <c r="D412" s="139"/>
    </row>
    <row r="413">
      <c r="C413" s="139"/>
      <c r="D413" s="139"/>
    </row>
    <row r="414">
      <c r="C414" s="139"/>
      <c r="D414" s="139"/>
    </row>
    <row r="415">
      <c r="C415" s="139"/>
      <c r="D415" s="139"/>
    </row>
    <row r="416">
      <c r="C416" s="139"/>
      <c r="D416" s="139"/>
    </row>
    <row r="417">
      <c r="C417" s="139"/>
      <c r="D417" s="139"/>
    </row>
    <row r="418">
      <c r="C418" s="139"/>
      <c r="D418" s="139"/>
    </row>
    <row r="419">
      <c r="C419" s="139"/>
      <c r="D419" s="139"/>
    </row>
    <row r="420">
      <c r="C420" s="139"/>
      <c r="D420" s="139"/>
    </row>
    <row r="421">
      <c r="C421" s="139"/>
      <c r="D421" s="139"/>
    </row>
    <row r="422">
      <c r="C422" s="139"/>
      <c r="D422" s="139"/>
    </row>
    <row r="423">
      <c r="C423" s="139"/>
      <c r="D423" s="139"/>
    </row>
    <row r="424">
      <c r="C424" s="139"/>
      <c r="D424" s="139"/>
    </row>
    <row r="425">
      <c r="C425" s="139"/>
      <c r="D425" s="139"/>
    </row>
    <row r="426">
      <c r="C426" s="139"/>
      <c r="D426" s="139"/>
    </row>
    <row r="427">
      <c r="C427" s="139"/>
      <c r="D427" s="139"/>
    </row>
    <row r="428">
      <c r="C428" s="139"/>
      <c r="D428" s="139"/>
    </row>
    <row r="429">
      <c r="C429" s="139"/>
      <c r="D429" s="139"/>
    </row>
    <row r="430">
      <c r="C430" s="139"/>
      <c r="D430" s="139"/>
    </row>
    <row r="431">
      <c r="C431" s="139"/>
      <c r="D431" s="139"/>
    </row>
    <row r="432">
      <c r="C432" s="139"/>
      <c r="D432" s="139"/>
    </row>
    <row r="433">
      <c r="C433" s="139"/>
      <c r="D433" s="139"/>
    </row>
    <row r="434">
      <c r="C434" s="139"/>
      <c r="D434" s="139"/>
    </row>
    <row r="435">
      <c r="C435" s="139"/>
      <c r="D435" s="139"/>
    </row>
    <row r="436">
      <c r="C436" s="139"/>
      <c r="D436" s="139"/>
    </row>
    <row r="437">
      <c r="C437" s="139"/>
      <c r="D437" s="139"/>
    </row>
    <row r="438">
      <c r="C438" s="139"/>
      <c r="D438" s="139"/>
    </row>
    <row r="439">
      <c r="C439" s="139"/>
      <c r="D439" s="139"/>
    </row>
    <row r="440">
      <c r="C440" s="139"/>
      <c r="D440" s="139"/>
    </row>
    <row r="441">
      <c r="C441" s="139"/>
      <c r="D441" s="139"/>
    </row>
    <row r="442">
      <c r="C442" s="139"/>
      <c r="D442" s="139"/>
    </row>
    <row r="443">
      <c r="C443" s="139"/>
      <c r="D443" s="139"/>
    </row>
    <row r="444">
      <c r="C444" s="139"/>
      <c r="D444" s="139"/>
    </row>
    <row r="445">
      <c r="C445" s="139"/>
      <c r="D445" s="139"/>
    </row>
    <row r="446">
      <c r="C446" s="139"/>
      <c r="D446" s="139"/>
    </row>
    <row r="447">
      <c r="C447" s="139"/>
      <c r="D447" s="139"/>
    </row>
    <row r="448">
      <c r="C448" s="139"/>
      <c r="D448" s="139"/>
    </row>
    <row r="449">
      <c r="C449" s="139"/>
      <c r="D449" s="139"/>
    </row>
    <row r="450">
      <c r="C450" s="139"/>
      <c r="D450" s="139"/>
    </row>
    <row r="451">
      <c r="C451" s="139"/>
      <c r="D451" s="139"/>
    </row>
    <row r="452">
      <c r="C452" s="139"/>
      <c r="D452" s="139"/>
    </row>
    <row r="453">
      <c r="C453" s="139"/>
      <c r="D453" s="139"/>
    </row>
    <row r="454">
      <c r="C454" s="139"/>
      <c r="D454" s="139"/>
    </row>
    <row r="455">
      <c r="C455" s="139"/>
      <c r="D455" s="139"/>
    </row>
    <row r="456">
      <c r="C456" s="139"/>
      <c r="D456" s="139"/>
    </row>
    <row r="457">
      <c r="C457" s="139"/>
      <c r="D457" s="139"/>
    </row>
    <row r="458">
      <c r="C458" s="139"/>
      <c r="D458" s="139"/>
    </row>
    <row r="459">
      <c r="C459" s="139"/>
      <c r="D459" s="139"/>
    </row>
    <row r="460">
      <c r="C460" s="139"/>
      <c r="D460" s="139"/>
    </row>
    <row r="461">
      <c r="C461" s="139"/>
      <c r="D461" s="139"/>
    </row>
    <row r="462">
      <c r="C462" s="139"/>
      <c r="D462" s="139"/>
    </row>
    <row r="463">
      <c r="C463" s="139"/>
      <c r="D463" s="139"/>
    </row>
    <row r="464">
      <c r="C464" s="139"/>
      <c r="D464" s="139"/>
    </row>
    <row r="465">
      <c r="C465" s="139"/>
      <c r="D465" s="139"/>
    </row>
    <row r="466">
      <c r="C466" s="139"/>
      <c r="D466" s="139"/>
    </row>
    <row r="467">
      <c r="C467" s="139"/>
      <c r="D467" s="139"/>
    </row>
    <row r="468">
      <c r="C468" s="139"/>
      <c r="D468" s="139"/>
    </row>
    <row r="469">
      <c r="C469" s="139"/>
      <c r="D469" s="139"/>
    </row>
    <row r="470">
      <c r="C470" s="139"/>
      <c r="D470" s="139"/>
    </row>
    <row r="471">
      <c r="C471" s="139"/>
      <c r="D471" s="139"/>
    </row>
    <row r="472">
      <c r="C472" s="139"/>
      <c r="D472" s="139"/>
    </row>
    <row r="473">
      <c r="C473" s="139"/>
      <c r="D473" s="139"/>
    </row>
    <row r="474">
      <c r="C474" s="139"/>
      <c r="D474" s="139"/>
    </row>
    <row r="475">
      <c r="C475" s="139"/>
      <c r="D475" s="139"/>
    </row>
    <row r="476">
      <c r="C476" s="139"/>
      <c r="D476" s="139"/>
    </row>
    <row r="477">
      <c r="C477" s="139"/>
      <c r="D477" s="139"/>
    </row>
    <row r="478">
      <c r="C478" s="139"/>
      <c r="D478" s="139"/>
    </row>
    <row r="479">
      <c r="C479" s="139"/>
      <c r="D479" s="139"/>
    </row>
    <row r="480">
      <c r="C480" s="139"/>
      <c r="D480" s="139"/>
    </row>
    <row r="481">
      <c r="C481" s="139"/>
      <c r="D481" s="139"/>
    </row>
    <row r="482">
      <c r="C482" s="139"/>
      <c r="D482" s="139"/>
    </row>
    <row r="483">
      <c r="C483" s="139"/>
      <c r="D483" s="139"/>
    </row>
    <row r="484">
      <c r="C484" s="139"/>
      <c r="D484" s="139"/>
    </row>
    <row r="485">
      <c r="C485" s="139"/>
      <c r="D485" s="139"/>
    </row>
    <row r="486">
      <c r="C486" s="139"/>
      <c r="D486" s="139"/>
    </row>
    <row r="487">
      <c r="C487" s="139"/>
      <c r="D487" s="139"/>
    </row>
    <row r="488">
      <c r="C488" s="139"/>
      <c r="D488" s="139"/>
    </row>
    <row r="489">
      <c r="C489" s="139"/>
      <c r="D489" s="139"/>
    </row>
    <row r="490">
      <c r="C490" s="139"/>
      <c r="D490" s="139"/>
    </row>
    <row r="491">
      <c r="C491" s="139"/>
      <c r="D491" s="139"/>
    </row>
    <row r="492">
      <c r="C492" s="139"/>
      <c r="D492" s="139"/>
    </row>
    <row r="493">
      <c r="C493" s="139"/>
      <c r="D493" s="139"/>
    </row>
    <row r="494">
      <c r="C494" s="139"/>
      <c r="D494" s="139"/>
    </row>
    <row r="495">
      <c r="C495" s="139"/>
      <c r="D495" s="139"/>
    </row>
    <row r="496">
      <c r="C496" s="139"/>
      <c r="D496" s="139"/>
    </row>
    <row r="497">
      <c r="C497" s="139"/>
      <c r="D497" s="139"/>
    </row>
    <row r="498">
      <c r="C498" s="139"/>
      <c r="D498" s="139"/>
    </row>
    <row r="499">
      <c r="C499" s="139"/>
      <c r="D499" s="139"/>
    </row>
    <row r="500">
      <c r="C500" s="139"/>
      <c r="D500" s="139"/>
    </row>
    <row r="501">
      <c r="C501" s="139"/>
      <c r="D501" s="139"/>
    </row>
    <row r="502">
      <c r="C502" s="139"/>
      <c r="D502" s="139"/>
    </row>
    <row r="503">
      <c r="C503" s="139"/>
      <c r="D503" s="139"/>
    </row>
    <row r="504">
      <c r="C504" s="139"/>
      <c r="D504" s="139"/>
    </row>
    <row r="505">
      <c r="C505" s="139"/>
      <c r="D505" s="139"/>
    </row>
    <row r="506">
      <c r="C506" s="139"/>
      <c r="D506" s="139"/>
    </row>
    <row r="507">
      <c r="C507" s="139"/>
      <c r="D507" s="139"/>
    </row>
    <row r="508">
      <c r="C508" s="139"/>
      <c r="D508" s="139"/>
    </row>
    <row r="509">
      <c r="C509" s="139"/>
      <c r="D509" s="139"/>
    </row>
    <row r="510">
      <c r="C510" s="139"/>
      <c r="D510" s="139"/>
    </row>
    <row r="511">
      <c r="C511" s="139"/>
      <c r="D511" s="139"/>
    </row>
    <row r="512">
      <c r="C512" s="139"/>
      <c r="D512" s="139"/>
    </row>
    <row r="513">
      <c r="C513" s="139"/>
      <c r="D513" s="139"/>
    </row>
    <row r="514">
      <c r="C514" s="139"/>
      <c r="D514" s="139"/>
    </row>
    <row r="515">
      <c r="C515" s="139"/>
      <c r="D515" s="139"/>
    </row>
    <row r="516">
      <c r="C516" s="139"/>
      <c r="D516" s="139"/>
    </row>
    <row r="517">
      <c r="C517" s="139"/>
      <c r="D517" s="139"/>
    </row>
    <row r="518">
      <c r="C518" s="139"/>
      <c r="D518" s="139"/>
    </row>
    <row r="519">
      <c r="C519" s="139"/>
      <c r="D519" s="139"/>
    </row>
    <row r="520">
      <c r="C520" s="139"/>
      <c r="D520" s="139"/>
    </row>
    <row r="521">
      <c r="C521" s="139"/>
      <c r="D521" s="139"/>
    </row>
    <row r="522">
      <c r="C522" s="139"/>
      <c r="D522" s="139"/>
    </row>
    <row r="523">
      <c r="C523" s="139"/>
      <c r="D523" s="139"/>
    </row>
    <row r="524">
      <c r="C524" s="139"/>
      <c r="D524" s="139"/>
    </row>
    <row r="525">
      <c r="C525" s="139"/>
      <c r="D525" s="139"/>
    </row>
    <row r="526">
      <c r="C526" s="139"/>
      <c r="D526" s="139"/>
    </row>
    <row r="527">
      <c r="C527" s="139"/>
      <c r="D527" s="139"/>
    </row>
    <row r="528">
      <c r="C528" s="139"/>
      <c r="D528" s="139"/>
    </row>
    <row r="529">
      <c r="C529" s="139"/>
      <c r="D529" s="139"/>
    </row>
    <row r="530">
      <c r="C530" s="139"/>
      <c r="D530" s="139"/>
    </row>
    <row r="531">
      <c r="C531" s="139"/>
      <c r="D531" s="139"/>
    </row>
    <row r="532">
      <c r="C532" s="139"/>
      <c r="D532" s="139"/>
    </row>
    <row r="533">
      <c r="C533" s="139"/>
      <c r="D533" s="139"/>
    </row>
    <row r="534">
      <c r="C534" s="139"/>
      <c r="D534" s="139"/>
    </row>
    <row r="535">
      <c r="C535" s="139"/>
      <c r="D535" s="139"/>
    </row>
    <row r="536">
      <c r="C536" s="139"/>
      <c r="D536" s="139"/>
    </row>
    <row r="537">
      <c r="C537" s="139"/>
      <c r="D537" s="139"/>
    </row>
    <row r="538">
      <c r="C538" s="139"/>
      <c r="D538" s="139"/>
    </row>
    <row r="539">
      <c r="C539" s="139"/>
      <c r="D539" s="139"/>
    </row>
    <row r="540">
      <c r="C540" s="139"/>
      <c r="D540" s="139"/>
    </row>
    <row r="541">
      <c r="C541" s="139"/>
      <c r="D541" s="139"/>
    </row>
    <row r="542">
      <c r="C542" s="139"/>
      <c r="D542" s="139"/>
    </row>
    <row r="543">
      <c r="C543" s="139"/>
      <c r="D543" s="139"/>
    </row>
    <row r="544">
      <c r="C544" s="139"/>
      <c r="D544" s="139"/>
    </row>
    <row r="545">
      <c r="C545" s="139"/>
      <c r="D545" s="139"/>
    </row>
    <row r="546">
      <c r="C546" s="139"/>
      <c r="D546" s="139"/>
    </row>
    <row r="547">
      <c r="C547" s="139"/>
      <c r="D547" s="139"/>
    </row>
    <row r="548">
      <c r="C548" s="139"/>
      <c r="D548" s="139"/>
    </row>
    <row r="549">
      <c r="C549" s="139"/>
      <c r="D549" s="139"/>
    </row>
    <row r="550">
      <c r="C550" s="139"/>
      <c r="D550" s="139"/>
    </row>
    <row r="551">
      <c r="C551" s="139"/>
      <c r="D551" s="139"/>
    </row>
    <row r="552">
      <c r="C552" s="139"/>
      <c r="D552" s="139"/>
    </row>
    <row r="553">
      <c r="C553" s="139"/>
      <c r="D553" s="139"/>
    </row>
    <row r="554">
      <c r="C554" s="139"/>
      <c r="D554" s="139"/>
    </row>
    <row r="555">
      <c r="C555" s="139"/>
      <c r="D555" s="139"/>
    </row>
    <row r="556">
      <c r="C556" s="139"/>
      <c r="D556" s="139"/>
    </row>
    <row r="557">
      <c r="C557" s="139"/>
      <c r="D557" s="139"/>
    </row>
    <row r="558">
      <c r="C558" s="139"/>
      <c r="D558" s="139"/>
    </row>
    <row r="559">
      <c r="C559" s="139"/>
      <c r="D559" s="139"/>
    </row>
    <row r="560">
      <c r="C560" s="139"/>
      <c r="D560" s="139"/>
    </row>
    <row r="561">
      <c r="C561" s="139"/>
      <c r="D561" s="139"/>
    </row>
    <row r="562">
      <c r="C562" s="139"/>
      <c r="D562" s="139"/>
    </row>
    <row r="563">
      <c r="C563" s="139"/>
      <c r="D563" s="139"/>
    </row>
    <row r="564">
      <c r="C564" s="139"/>
      <c r="D564" s="139"/>
    </row>
    <row r="565">
      <c r="C565" s="139"/>
      <c r="D565" s="139"/>
    </row>
    <row r="566">
      <c r="C566" s="139"/>
      <c r="D566" s="139"/>
    </row>
    <row r="567">
      <c r="C567" s="139"/>
      <c r="D567" s="139"/>
    </row>
    <row r="568">
      <c r="C568" s="139"/>
      <c r="D568" s="139"/>
    </row>
    <row r="569">
      <c r="C569" s="139"/>
      <c r="D569" s="139"/>
    </row>
    <row r="570">
      <c r="C570" s="139"/>
      <c r="D570" s="139"/>
    </row>
    <row r="571">
      <c r="C571" s="139"/>
      <c r="D571" s="139"/>
    </row>
    <row r="572">
      <c r="C572" s="139"/>
      <c r="D572" s="139"/>
    </row>
    <row r="573">
      <c r="C573" s="139"/>
      <c r="D573" s="139"/>
    </row>
    <row r="574">
      <c r="C574" s="139"/>
      <c r="D574" s="139"/>
    </row>
    <row r="575">
      <c r="C575" s="139"/>
      <c r="D575" s="139"/>
    </row>
    <row r="576">
      <c r="C576" s="139"/>
      <c r="D576" s="139"/>
    </row>
    <row r="577">
      <c r="C577" s="139"/>
      <c r="D577" s="139"/>
    </row>
    <row r="578">
      <c r="C578" s="139"/>
      <c r="D578" s="139"/>
    </row>
    <row r="579">
      <c r="C579" s="139"/>
      <c r="D579" s="139"/>
    </row>
    <row r="580">
      <c r="C580" s="139"/>
      <c r="D580" s="139"/>
    </row>
    <row r="581">
      <c r="C581" s="139"/>
      <c r="D581" s="139"/>
    </row>
    <row r="582">
      <c r="C582" s="139"/>
      <c r="D582" s="139"/>
    </row>
    <row r="583">
      <c r="C583" s="139"/>
      <c r="D583" s="139"/>
    </row>
    <row r="584">
      <c r="C584" s="139"/>
      <c r="D584" s="139"/>
    </row>
    <row r="585">
      <c r="C585" s="139"/>
      <c r="D585" s="139"/>
    </row>
    <row r="586">
      <c r="C586" s="139"/>
      <c r="D586" s="139"/>
    </row>
    <row r="587">
      <c r="C587" s="139"/>
      <c r="D587" s="139"/>
    </row>
    <row r="588">
      <c r="C588" s="139"/>
      <c r="D588" s="139"/>
    </row>
    <row r="589">
      <c r="C589" s="139"/>
      <c r="D589" s="139"/>
    </row>
    <row r="590">
      <c r="C590" s="139"/>
      <c r="D590" s="139"/>
    </row>
    <row r="591">
      <c r="C591" s="139"/>
      <c r="D591" s="139"/>
    </row>
    <row r="592">
      <c r="C592" s="139"/>
      <c r="D592" s="139"/>
    </row>
    <row r="593">
      <c r="C593" s="139"/>
      <c r="D593" s="139"/>
    </row>
    <row r="594">
      <c r="C594" s="139"/>
      <c r="D594" s="139"/>
    </row>
    <row r="595">
      <c r="C595" s="139"/>
      <c r="D595" s="139"/>
    </row>
    <row r="596">
      <c r="C596" s="139"/>
      <c r="D596" s="139"/>
    </row>
    <row r="597">
      <c r="C597" s="139"/>
      <c r="D597" s="139"/>
    </row>
    <row r="598">
      <c r="C598" s="139"/>
      <c r="D598" s="139"/>
    </row>
    <row r="599">
      <c r="C599" s="139"/>
      <c r="D599" s="139"/>
    </row>
    <row r="600">
      <c r="C600" s="139"/>
      <c r="D600" s="139"/>
    </row>
    <row r="601">
      <c r="C601" s="139"/>
      <c r="D601" s="139"/>
    </row>
    <row r="602">
      <c r="C602" s="139"/>
      <c r="D602" s="139"/>
    </row>
    <row r="603">
      <c r="C603" s="139"/>
      <c r="D603" s="139"/>
    </row>
    <row r="604">
      <c r="C604" s="139"/>
      <c r="D604" s="139"/>
    </row>
    <row r="605">
      <c r="C605" s="139"/>
      <c r="D605" s="139"/>
    </row>
    <row r="606">
      <c r="C606" s="139"/>
      <c r="D606" s="139"/>
    </row>
    <row r="607">
      <c r="C607" s="139"/>
      <c r="D607" s="139"/>
    </row>
    <row r="608">
      <c r="C608" s="139"/>
      <c r="D608" s="139"/>
    </row>
    <row r="609">
      <c r="C609" s="139"/>
      <c r="D609" s="139"/>
    </row>
    <row r="610">
      <c r="C610" s="139"/>
      <c r="D610" s="139"/>
    </row>
    <row r="611">
      <c r="C611" s="139"/>
      <c r="D611" s="139"/>
    </row>
    <row r="612">
      <c r="C612" s="139"/>
      <c r="D612" s="139"/>
    </row>
    <row r="613">
      <c r="C613" s="139"/>
      <c r="D613" s="139"/>
    </row>
    <row r="614">
      <c r="C614" s="139"/>
      <c r="D614" s="139"/>
    </row>
    <row r="615">
      <c r="C615" s="139"/>
      <c r="D615" s="139"/>
    </row>
    <row r="616">
      <c r="C616" s="139"/>
      <c r="D616" s="139"/>
    </row>
    <row r="617">
      <c r="C617" s="139"/>
      <c r="D617" s="139"/>
    </row>
    <row r="618">
      <c r="C618" s="139"/>
      <c r="D618" s="139"/>
    </row>
    <row r="619">
      <c r="C619" s="139"/>
      <c r="D619" s="139"/>
    </row>
    <row r="620">
      <c r="C620" s="139"/>
      <c r="D620" s="139"/>
    </row>
    <row r="621">
      <c r="C621" s="139"/>
      <c r="D621" s="139"/>
    </row>
    <row r="622">
      <c r="C622" s="139"/>
      <c r="D622" s="139"/>
    </row>
    <row r="623">
      <c r="C623" s="139"/>
      <c r="D623" s="139"/>
    </row>
    <row r="624">
      <c r="C624" s="139"/>
      <c r="D624" s="139"/>
    </row>
    <row r="625">
      <c r="C625" s="139"/>
      <c r="D625" s="139"/>
    </row>
    <row r="626">
      <c r="C626" s="139"/>
      <c r="D626" s="139"/>
    </row>
    <row r="627">
      <c r="C627" s="139"/>
      <c r="D627" s="139"/>
    </row>
    <row r="628">
      <c r="C628" s="139"/>
      <c r="D628" s="139"/>
    </row>
    <row r="629">
      <c r="C629" s="139"/>
      <c r="D629" s="139"/>
    </row>
    <row r="630">
      <c r="C630" s="139"/>
      <c r="D630" s="139"/>
    </row>
    <row r="631">
      <c r="C631" s="139"/>
      <c r="D631" s="139"/>
    </row>
    <row r="632">
      <c r="C632" s="139"/>
      <c r="D632" s="139"/>
    </row>
    <row r="633">
      <c r="C633" s="139"/>
      <c r="D633" s="139"/>
    </row>
    <row r="634">
      <c r="C634" s="139"/>
      <c r="D634" s="139"/>
    </row>
    <row r="635">
      <c r="C635" s="139"/>
      <c r="D635" s="139"/>
    </row>
    <row r="636">
      <c r="C636" s="139"/>
      <c r="D636" s="139"/>
    </row>
    <row r="637">
      <c r="C637" s="139"/>
      <c r="D637" s="139"/>
    </row>
    <row r="638">
      <c r="C638" s="139"/>
      <c r="D638" s="139"/>
    </row>
    <row r="639">
      <c r="C639" s="139"/>
      <c r="D639" s="139"/>
    </row>
    <row r="640">
      <c r="C640" s="139"/>
      <c r="D640" s="139"/>
    </row>
    <row r="641">
      <c r="C641" s="139"/>
      <c r="D641" s="139"/>
    </row>
    <row r="642">
      <c r="C642" s="139"/>
      <c r="D642" s="139"/>
    </row>
    <row r="643">
      <c r="C643" s="139"/>
      <c r="D643" s="139"/>
    </row>
    <row r="644">
      <c r="C644" s="139"/>
      <c r="D644" s="139"/>
    </row>
    <row r="645">
      <c r="C645" s="139"/>
      <c r="D645" s="139"/>
    </row>
    <row r="646">
      <c r="C646" s="139"/>
      <c r="D646" s="139"/>
    </row>
    <row r="647">
      <c r="C647" s="139"/>
      <c r="D647" s="139"/>
    </row>
    <row r="648">
      <c r="C648" s="139"/>
      <c r="D648" s="139"/>
    </row>
    <row r="649">
      <c r="C649" s="139"/>
      <c r="D649" s="139"/>
    </row>
    <row r="650">
      <c r="C650" s="139"/>
      <c r="D650" s="139"/>
    </row>
    <row r="651">
      <c r="C651" s="139"/>
      <c r="D651" s="139"/>
    </row>
    <row r="652">
      <c r="C652" s="139"/>
      <c r="D652" s="139"/>
    </row>
    <row r="653">
      <c r="C653" s="139"/>
      <c r="D653" s="139"/>
    </row>
    <row r="654">
      <c r="C654" s="139"/>
      <c r="D654" s="139"/>
    </row>
    <row r="655">
      <c r="C655" s="139"/>
      <c r="D655" s="139"/>
    </row>
    <row r="656">
      <c r="C656" s="139"/>
      <c r="D656" s="139"/>
    </row>
    <row r="657">
      <c r="C657" s="139"/>
      <c r="D657" s="139"/>
    </row>
    <row r="658">
      <c r="C658" s="139"/>
      <c r="D658" s="139"/>
    </row>
    <row r="659">
      <c r="C659" s="139"/>
      <c r="D659" s="139"/>
    </row>
    <row r="660">
      <c r="C660" s="139"/>
      <c r="D660" s="139"/>
    </row>
    <row r="661">
      <c r="C661" s="139"/>
      <c r="D661" s="139"/>
    </row>
    <row r="662">
      <c r="C662" s="139"/>
      <c r="D662" s="139"/>
    </row>
    <row r="663">
      <c r="C663" s="139"/>
      <c r="D663" s="139"/>
    </row>
    <row r="664">
      <c r="C664" s="139"/>
      <c r="D664" s="139"/>
    </row>
    <row r="665">
      <c r="C665" s="139"/>
      <c r="D665" s="139"/>
    </row>
    <row r="666">
      <c r="C666" s="139"/>
      <c r="D666" s="139"/>
    </row>
    <row r="667">
      <c r="C667" s="139"/>
      <c r="D667" s="139"/>
    </row>
    <row r="668">
      <c r="C668" s="139"/>
      <c r="D668" s="139"/>
    </row>
    <row r="669">
      <c r="C669" s="139"/>
      <c r="D669" s="139"/>
    </row>
    <row r="670">
      <c r="C670" s="139"/>
      <c r="D670" s="139"/>
    </row>
    <row r="671">
      <c r="C671" s="139"/>
      <c r="D671" s="139"/>
    </row>
    <row r="672">
      <c r="C672" s="139"/>
      <c r="D672" s="139"/>
    </row>
    <row r="673">
      <c r="C673" s="139"/>
      <c r="D673" s="139"/>
    </row>
    <row r="674">
      <c r="C674" s="139"/>
      <c r="D674" s="139"/>
    </row>
    <row r="675">
      <c r="C675" s="139"/>
      <c r="D675" s="139"/>
    </row>
    <row r="676">
      <c r="C676" s="139"/>
      <c r="D676" s="139"/>
    </row>
    <row r="677">
      <c r="C677" s="139"/>
      <c r="D677" s="139"/>
    </row>
    <row r="678">
      <c r="C678" s="139"/>
      <c r="D678" s="139"/>
    </row>
    <row r="679">
      <c r="C679" s="139"/>
      <c r="D679" s="139"/>
    </row>
    <row r="680">
      <c r="C680" s="139"/>
      <c r="D680" s="139"/>
    </row>
    <row r="681">
      <c r="C681" s="139"/>
      <c r="D681" s="139"/>
    </row>
    <row r="682">
      <c r="C682" s="139"/>
      <c r="D682" s="139"/>
    </row>
    <row r="683">
      <c r="C683" s="139"/>
      <c r="D683" s="139"/>
    </row>
    <row r="684">
      <c r="C684" s="139"/>
      <c r="D684" s="139"/>
    </row>
    <row r="685">
      <c r="C685" s="139"/>
      <c r="D685" s="139"/>
    </row>
    <row r="686">
      <c r="C686" s="139"/>
      <c r="D686" s="139"/>
    </row>
    <row r="687">
      <c r="C687" s="139"/>
      <c r="D687" s="139"/>
    </row>
    <row r="688">
      <c r="C688" s="139"/>
      <c r="D688" s="139"/>
    </row>
    <row r="689">
      <c r="C689" s="139"/>
      <c r="D689" s="139"/>
    </row>
    <row r="690">
      <c r="C690" s="139"/>
      <c r="D690" s="139"/>
    </row>
    <row r="691">
      <c r="C691" s="139"/>
      <c r="D691" s="139"/>
    </row>
    <row r="692">
      <c r="C692" s="139"/>
      <c r="D692" s="139"/>
    </row>
    <row r="693">
      <c r="C693" s="139"/>
      <c r="D693" s="139"/>
    </row>
    <row r="694">
      <c r="C694" s="139"/>
      <c r="D694" s="139"/>
    </row>
    <row r="695">
      <c r="C695" s="139"/>
      <c r="D695" s="139"/>
    </row>
    <row r="696">
      <c r="C696" s="139"/>
      <c r="D696" s="139"/>
    </row>
    <row r="697">
      <c r="C697" s="139"/>
      <c r="D697" s="139"/>
    </row>
    <row r="698">
      <c r="C698" s="139"/>
      <c r="D698" s="139"/>
    </row>
    <row r="699">
      <c r="C699" s="139"/>
      <c r="D699" s="139"/>
    </row>
    <row r="700">
      <c r="C700" s="139"/>
      <c r="D700" s="139"/>
    </row>
    <row r="701">
      <c r="C701" s="139"/>
      <c r="D701" s="139"/>
    </row>
    <row r="702">
      <c r="C702" s="139"/>
      <c r="D702" s="139"/>
    </row>
    <row r="703">
      <c r="C703" s="139"/>
      <c r="D703" s="139"/>
    </row>
    <row r="704">
      <c r="C704" s="139"/>
      <c r="D704" s="139"/>
    </row>
    <row r="705">
      <c r="C705" s="139"/>
      <c r="D705" s="139"/>
    </row>
    <row r="706">
      <c r="C706" s="139"/>
      <c r="D706" s="139"/>
    </row>
    <row r="707">
      <c r="C707" s="139"/>
      <c r="D707" s="139"/>
    </row>
    <row r="708">
      <c r="C708" s="139"/>
      <c r="D708" s="139"/>
    </row>
    <row r="709">
      <c r="C709" s="139"/>
      <c r="D709" s="139"/>
    </row>
    <row r="710">
      <c r="C710" s="139"/>
      <c r="D710" s="139"/>
    </row>
    <row r="711">
      <c r="C711" s="139"/>
      <c r="D711" s="139"/>
    </row>
    <row r="712">
      <c r="C712" s="139"/>
      <c r="D712" s="139"/>
    </row>
    <row r="713">
      <c r="C713" s="139"/>
      <c r="D713" s="139"/>
    </row>
    <row r="714">
      <c r="C714" s="139"/>
      <c r="D714" s="139"/>
    </row>
    <row r="715">
      <c r="C715" s="139"/>
      <c r="D715" s="139"/>
    </row>
    <row r="716">
      <c r="C716" s="139"/>
      <c r="D716" s="139"/>
    </row>
    <row r="717">
      <c r="C717" s="139"/>
      <c r="D717" s="139"/>
    </row>
    <row r="718">
      <c r="C718" s="139"/>
      <c r="D718" s="139"/>
    </row>
    <row r="719">
      <c r="C719" s="139"/>
      <c r="D719" s="139"/>
    </row>
    <row r="720">
      <c r="C720" s="139"/>
      <c r="D720" s="139"/>
    </row>
    <row r="721">
      <c r="C721" s="139"/>
      <c r="D721" s="139"/>
    </row>
    <row r="722">
      <c r="C722" s="139"/>
      <c r="D722" s="139"/>
    </row>
    <row r="723">
      <c r="C723" s="139"/>
      <c r="D723" s="139"/>
    </row>
    <row r="724">
      <c r="C724" s="139"/>
      <c r="D724" s="139"/>
    </row>
    <row r="725">
      <c r="C725" s="139"/>
      <c r="D725" s="139"/>
    </row>
    <row r="726">
      <c r="C726" s="139"/>
      <c r="D726" s="139"/>
    </row>
    <row r="727">
      <c r="C727" s="139"/>
      <c r="D727" s="139"/>
    </row>
    <row r="728">
      <c r="C728" s="139"/>
      <c r="D728" s="139"/>
    </row>
    <row r="729">
      <c r="C729" s="139"/>
      <c r="D729" s="139"/>
    </row>
    <row r="730">
      <c r="C730" s="139"/>
      <c r="D730" s="139"/>
    </row>
    <row r="731">
      <c r="C731" s="139"/>
      <c r="D731" s="139"/>
    </row>
    <row r="732">
      <c r="C732" s="139"/>
      <c r="D732" s="139"/>
    </row>
    <row r="733">
      <c r="C733" s="139"/>
      <c r="D733" s="139"/>
    </row>
    <row r="734">
      <c r="C734" s="139"/>
      <c r="D734" s="139"/>
    </row>
    <row r="735">
      <c r="C735" s="139"/>
      <c r="D735" s="139"/>
    </row>
    <row r="736">
      <c r="C736" s="139"/>
      <c r="D736" s="139"/>
    </row>
    <row r="737">
      <c r="C737" s="139"/>
      <c r="D737" s="139"/>
    </row>
    <row r="738">
      <c r="C738" s="139"/>
      <c r="D738" s="139"/>
    </row>
    <row r="739">
      <c r="C739" s="139"/>
      <c r="D739" s="139"/>
    </row>
    <row r="740">
      <c r="C740" s="139"/>
      <c r="D740" s="139"/>
    </row>
    <row r="741">
      <c r="C741" s="139"/>
      <c r="D741" s="139"/>
    </row>
    <row r="742">
      <c r="C742" s="139"/>
      <c r="D742" s="139"/>
    </row>
    <row r="743">
      <c r="C743" s="139"/>
      <c r="D743" s="139"/>
    </row>
    <row r="744">
      <c r="C744" s="139"/>
      <c r="D744" s="139"/>
    </row>
    <row r="745">
      <c r="C745" s="139"/>
      <c r="D745" s="139"/>
    </row>
    <row r="746">
      <c r="C746" s="139"/>
      <c r="D746" s="139"/>
    </row>
    <row r="747">
      <c r="C747" s="139"/>
      <c r="D747" s="139"/>
    </row>
    <row r="748">
      <c r="C748" s="139"/>
      <c r="D748" s="139"/>
    </row>
    <row r="749">
      <c r="C749" s="139"/>
      <c r="D749" s="139"/>
    </row>
    <row r="750">
      <c r="C750" s="139"/>
      <c r="D750" s="139"/>
    </row>
    <row r="751">
      <c r="C751" s="139"/>
      <c r="D751" s="139"/>
    </row>
    <row r="752">
      <c r="C752" s="139"/>
      <c r="D752" s="139"/>
    </row>
    <row r="753">
      <c r="C753" s="139"/>
      <c r="D753" s="139"/>
    </row>
    <row r="754">
      <c r="C754" s="139"/>
      <c r="D754" s="139"/>
    </row>
    <row r="755">
      <c r="C755" s="139"/>
      <c r="D755" s="139"/>
    </row>
    <row r="756">
      <c r="C756" s="139"/>
      <c r="D756" s="139"/>
    </row>
    <row r="757">
      <c r="C757" s="139"/>
      <c r="D757" s="139"/>
    </row>
    <row r="758">
      <c r="C758" s="139"/>
      <c r="D758" s="139"/>
    </row>
    <row r="759">
      <c r="C759" s="139"/>
      <c r="D759" s="139"/>
    </row>
    <row r="760">
      <c r="C760" s="139"/>
      <c r="D760" s="139"/>
    </row>
    <row r="761">
      <c r="C761" s="139"/>
      <c r="D761" s="139"/>
    </row>
    <row r="762">
      <c r="C762" s="139"/>
      <c r="D762" s="139"/>
    </row>
    <row r="763">
      <c r="C763" s="139"/>
      <c r="D763" s="139"/>
    </row>
    <row r="764">
      <c r="C764" s="139"/>
      <c r="D764" s="139"/>
    </row>
    <row r="765">
      <c r="C765" s="139"/>
      <c r="D765" s="139"/>
    </row>
    <row r="766">
      <c r="C766" s="139"/>
      <c r="D766" s="139"/>
    </row>
    <row r="767">
      <c r="C767" s="139"/>
      <c r="D767" s="139"/>
    </row>
    <row r="768">
      <c r="C768" s="139"/>
      <c r="D768" s="139"/>
    </row>
    <row r="769">
      <c r="C769" s="139"/>
      <c r="D769" s="139"/>
    </row>
    <row r="770">
      <c r="C770" s="139"/>
      <c r="D770" s="139"/>
    </row>
    <row r="771">
      <c r="C771" s="139"/>
      <c r="D771" s="139"/>
    </row>
    <row r="772">
      <c r="C772" s="139"/>
      <c r="D772" s="139"/>
    </row>
    <row r="773">
      <c r="C773" s="139"/>
      <c r="D773" s="139"/>
    </row>
    <row r="774">
      <c r="C774" s="139"/>
      <c r="D774" s="139"/>
    </row>
    <row r="775">
      <c r="C775" s="139"/>
      <c r="D775" s="139"/>
    </row>
    <row r="776">
      <c r="C776" s="139"/>
      <c r="D776" s="139"/>
    </row>
    <row r="777">
      <c r="C777" s="139"/>
      <c r="D777" s="139"/>
    </row>
    <row r="778">
      <c r="C778" s="139"/>
      <c r="D778" s="139"/>
    </row>
    <row r="779">
      <c r="C779" s="139"/>
      <c r="D779" s="139"/>
    </row>
    <row r="780">
      <c r="C780" s="139"/>
      <c r="D780" s="139"/>
    </row>
    <row r="781">
      <c r="C781" s="139"/>
      <c r="D781" s="139"/>
    </row>
    <row r="782">
      <c r="C782" s="139"/>
      <c r="D782" s="139"/>
    </row>
    <row r="783">
      <c r="C783" s="139"/>
      <c r="D783" s="139"/>
    </row>
    <row r="784">
      <c r="C784" s="139"/>
      <c r="D784" s="139"/>
    </row>
    <row r="785">
      <c r="C785" s="139"/>
      <c r="D785" s="139"/>
    </row>
    <row r="786">
      <c r="C786" s="139"/>
      <c r="D786" s="139"/>
    </row>
    <row r="787">
      <c r="C787" s="139"/>
      <c r="D787" s="139"/>
    </row>
    <row r="788">
      <c r="C788" s="139"/>
      <c r="D788" s="139"/>
    </row>
    <row r="789">
      <c r="C789" s="139"/>
      <c r="D789" s="139"/>
    </row>
    <row r="790">
      <c r="C790" s="139"/>
      <c r="D790" s="139"/>
    </row>
    <row r="791">
      <c r="C791" s="139"/>
      <c r="D791" s="139"/>
    </row>
    <row r="792">
      <c r="C792" s="139"/>
      <c r="D792" s="139"/>
    </row>
    <row r="793">
      <c r="C793" s="139"/>
      <c r="D793" s="139"/>
    </row>
    <row r="794">
      <c r="C794" s="139"/>
      <c r="D794" s="139"/>
    </row>
    <row r="795">
      <c r="C795" s="139"/>
      <c r="D795" s="139"/>
    </row>
    <row r="796">
      <c r="C796" s="139"/>
      <c r="D796" s="139"/>
    </row>
    <row r="797">
      <c r="C797" s="139"/>
      <c r="D797" s="139"/>
    </row>
    <row r="798">
      <c r="C798" s="139"/>
      <c r="D798" s="139"/>
    </row>
    <row r="799">
      <c r="C799" s="139"/>
      <c r="D799" s="139"/>
    </row>
    <row r="800">
      <c r="C800" s="139"/>
      <c r="D800" s="139"/>
    </row>
    <row r="801">
      <c r="C801" s="139"/>
      <c r="D801" s="139"/>
    </row>
    <row r="802">
      <c r="C802" s="139"/>
      <c r="D802" s="139"/>
    </row>
    <row r="803">
      <c r="C803" s="139"/>
      <c r="D803" s="139"/>
    </row>
    <row r="804">
      <c r="C804" s="139"/>
      <c r="D804" s="139"/>
    </row>
    <row r="805">
      <c r="C805" s="139"/>
      <c r="D805" s="139"/>
    </row>
    <row r="806">
      <c r="C806" s="139"/>
      <c r="D806" s="139"/>
    </row>
    <row r="807">
      <c r="C807" s="139"/>
      <c r="D807" s="139"/>
    </row>
    <row r="808">
      <c r="C808" s="139"/>
      <c r="D808" s="139"/>
    </row>
    <row r="809">
      <c r="C809" s="139"/>
      <c r="D809" s="139"/>
    </row>
    <row r="810">
      <c r="C810" s="139"/>
      <c r="D810" s="139"/>
    </row>
    <row r="811">
      <c r="C811" s="139"/>
      <c r="D811" s="139"/>
    </row>
    <row r="812">
      <c r="C812" s="139"/>
      <c r="D812" s="139"/>
    </row>
    <row r="813">
      <c r="C813" s="139"/>
      <c r="D813" s="139"/>
    </row>
    <row r="814">
      <c r="C814" s="139"/>
      <c r="D814" s="139"/>
    </row>
    <row r="815">
      <c r="C815" s="139"/>
      <c r="D815" s="139"/>
    </row>
    <row r="816">
      <c r="C816" s="139"/>
      <c r="D816" s="139"/>
    </row>
    <row r="817">
      <c r="C817" s="139"/>
      <c r="D817" s="139"/>
    </row>
    <row r="818">
      <c r="C818" s="139"/>
      <c r="D818" s="139"/>
    </row>
    <row r="819">
      <c r="C819" s="139"/>
      <c r="D819" s="139"/>
    </row>
    <row r="820">
      <c r="C820" s="139"/>
      <c r="D820" s="139"/>
    </row>
    <row r="821">
      <c r="C821" s="139"/>
      <c r="D821" s="139"/>
    </row>
    <row r="822">
      <c r="C822" s="139"/>
      <c r="D822" s="139"/>
    </row>
    <row r="823">
      <c r="C823" s="139"/>
      <c r="D823" s="139"/>
    </row>
    <row r="824">
      <c r="C824" s="139"/>
      <c r="D824" s="139"/>
    </row>
    <row r="825">
      <c r="C825" s="139"/>
      <c r="D825" s="139"/>
    </row>
    <row r="826">
      <c r="C826" s="139"/>
      <c r="D826" s="139"/>
    </row>
    <row r="827">
      <c r="C827" s="139"/>
      <c r="D827" s="139"/>
    </row>
    <row r="828">
      <c r="C828" s="139"/>
      <c r="D828" s="139"/>
    </row>
    <row r="829">
      <c r="C829" s="139"/>
      <c r="D829" s="139"/>
    </row>
    <row r="830">
      <c r="C830" s="139"/>
      <c r="D830" s="139"/>
    </row>
    <row r="831">
      <c r="C831" s="139"/>
      <c r="D831" s="139"/>
    </row>
    <row r="832">
      <c r="C832" s="139"/>
      <c r="D832" s="139"/>
    </row>
    <row r="833">
      <c r="C833" s="139"/>
      <c r="D833" s="139"/>
    </row>
    <row r="834">
      <c r="C834" s="139"/>
      <c r="D834" s="139"/>
    </row>
    <row r="835">
      <c r="C835" s="139"/>
      <c r="D835" s="139"/>
    </row>
    <row r="836">
      <c r="C836" s="139"/>
      <c r="D836" s="139"/>
    </row>
    <row r="837">
      <c r="C837" s="139"/>
      <c r="D837" s="139"/>
    </row>
    <row r="838">
      <c r="C838" s="139"/>
      <c r="D838" s="139"/>
    </row>
    <row r="839">
      <c r="C839" s="139"/>
      <c r="D839" s="139"/>
    </row>
    <row r="840">
      <c r="C840" s="139"/>
      <c r="D840" s="139"/>
    </row>
    <row r="841">
      <c r="C841" s="139"/>
      <c r="D841" s="139"/>
    </row>
    <row r="842">
      <c r="C842" s="139"/>
      <c r="D842" s="139"/>
    </row>
    <row r="843">
      <c r="C843" s="139"/>
      <c r="D843" s="139"/>
    </row>
    <row r="844">
      <c r="C844" s="139"/>
      <c r="D844" s="139"/>
    </row>
    <row r="845">
      <c r="C845" s="139"/>
      <c r="D845" s="139"/>
    </row>
    <row r="846">
      <c r="C846" s="139"/>
      <c r="D846" s="139"/>
    </row>
    <row r="847">
      <c r="C847" s="139"/>
      <c r="D847" s="139"/>
    </row>
    <row r="848">
      <c r="C848" s="139"/>
      <c r="D848" s="139"/>
    </row>
    <row r="849">
      <c r="C849" s="139"/>
      <c r="D849" s="139"/>
    </row>
    <row r="850">
      <c r="C850" s="139"/>
      <c r="D850" s="139"/>
    </row>
    <row r="851">
      <c r="C851" s="139"/>
      <c r="D851" s="139"/>
    </row>
    <row r="852">
      <c r="C852" s="139"/>
      <c r="D852" s="139"/>
    </row>
    <row r="853">
      <c r="C853" s="139"/>
      <c r="D853" s="139"/>
    </row>
    <row r="854">
      <c r="C854" s="139"/>
      <c r="D854" s="139"/>
    </row>
    <row r="855">
      <c r="C855" s="139"/>
      <c r="D855" s="139"/>
    </row>
    <row r="856">
      <c r="C856" s="139"/>
      <c r="D856" s="139"/>
    </row>
    <row r="857">
      <c r="C857" s="139"/>
      <c r="D857" s="139"/>
    </row>
    <row r="858">
      <c r="C858" s="139"/>
      <c r="D858" s="139"/>
    </row>
    <row r="859">
      <c r="C859" s="139"/>
      <c r="D859" s="139"/>
    </row>
    <row r="860">
      <c r="C860" s="139"/>
      <c r="D860" s="139"/>
    </row>
    <row r="861">
      <c r="C861" s="139"/>
      <c r="D861" s="139"/>
    </row>
    <row r="862">
      <c r="C862" s="139"/>
      <c r="D862" s="139"/>
    </row>
    <row r="863">
      <c r="C863" s="139"/>
      <c r="D863" s="139"/>
    </row>
    <row r="864">
      <c r="C864" s="139"/>
      <c r="D864" s="139"/>
    </row>
    <row r="865">
      <c r="C865" s="139"/>
      <c r="D865" s="139"/>
    </row>
    <row r="866">
      <c r="C866" s="139"/>
      <c r="D866" s="139"/>
    </row>
    <row r="867">
      <c r="C867" s="139"/>
      <c r="D867" s="139"/>
    </row>
    <row r="868">
      <c r="C868" s="139"/>
      <c r="D868" s="139"/>
    </row>
    <row r="869">
      <c r="C869" s="139"/>
      <c r="D869" s="139"/>
    </row>
    <row r="870">
      <c r="C870" s="139"/>
      <c r="D870" s="139"/>
    </row>
    <row r="871">
      <c r="C871" s="139"/>
      <c r="D871" s="139"/>
    </row>
    <row r="872">
      <c r="C872" s="139"/>
      <c r="D872" s="139"/>
    </row>
    <row r="873">
      <c r="C873" s="139"/>
      <c r="D873" s="139"/>
    </row>
    <row r="874">
      <c r="C874" s="139"/>
      <c r="D874" s="139"/>
    </row>
    <row r="875">
      <c r="C875" s="139"/>
      <c r="D875" s="139"/>
    </row>
    <row r="876">
      <c r="C876" s="139"/>
      <c r="D876" s="139"/>
    </row>
    <row r="877">
      <c r="C877" s="139"/>
      <c r="D877" s="139"/>
    </row>
    <row r="878">
      <c r="C878" s="139"/>
      <c r="D878" s="139"/>
    </row>
    <row r="879">
      <c r="C879" s="139"/>
      <c r="D879" s="139"/>
    </row>
    <row r="880">
      <c r="C880" s="139"/>
      <c r="D880" s="139"/>
    </row>
    <row r="881">
      <c r="C881" s="139"/>
      <c r="D881" s="139"/>
    </row>
    <row r="882">
      <c r="C882" s="139"/>
      <c r="D882" s="139"/>
    </row>
    <row r="883">
      <c r="C883" s="139"/>
      <c r="D883" s="139"/>
    </row>
    <row r="884">
      <c r="C884" s="139"/>
      <c r="D884" s="139"/>
    </row>
    <row r="885">
      <c r="C885" s="139"/>
      <c r="D885" s="139"/>
    </row>
    <row r="886">
      <c r="C886" s="139"/>
      <c r="D886" s="139"/>
    </row>
    <row r="887">
      <c r="C887" s="139"/>
      <c r="D887" s="139"/>
    </row>
    <row r="888">
      <c r="C888" s="139"/>
      <c r="D888" s="139"/>
    </row>
    <row r="889">
      <c r="C889" s="139"/>
      <c r="D889" s="139"/>
    </row>
    <row r="890">
      <c r="C890" s="139"/>
      <c r="D890" s="139"/>
    </row>
    <row r="891">
      <c r="C891" s="139"/>
      <c r="D891" s="139"/>
    </row>
    <row r="892">
      <c r="C892" s="139"/>
      <c r="D892" s="139"/>
    </row>
    <row r="893">
      <c r="C893" s="139"/>
      <c r="D893" s="139"/>
    </row>
    <row r="894">
      <c r="C894" s="139"/>
      <c r="D894" s="139"/>
    </row>
    <row r="895">
      <c r="C895" s="139"/>
      <c r="D895" s="139"/>
    </row>
    <row r="896">
      <c r="C896" s="139"/>
      <c r="D896" s="139"/>
    </row>
    <row r="897">
      <c r="C897" s="139"/>
      <c r="D897" s="139"/>
    </row>
    <row r="898">
      <c r="C898" s="139"/>
      <c r="D898" s="139"/>
    </row>
    <row r="899">
      <c r="C899" s="139"/>
      <c r="D899" s="139"/>
    </row>
    <row r="900">
      <c r="C900" s="139"/>
      <c r="D900" s="139"/>
    </row>
    <row r="901">
      <c r="C901" s="139"/>
      <c r="D901" s="139"/>
    </row>
    <row r="902">
      <c r="C902" s="139"/>
      <c r="D902" s="139"/>
    </row>
    <row r="903">
      <c r="C903" s="139"/>
      <c r="D903" s="139"/>
    </row>
    <row r="904">
      <c r="C904" s="139"/>
      <c r="D904" s="139"/>
    </row>
    <row r="905">
      <c r="C905" s="139"/>
      <c r="D905" s="139"/>
    </row>
    <row r="906">
      <c r="C906" s="139"/>
      <c r="D906" s="139"/>
    </row>
    <row r="907">
      <c r="C907" s="139"/>
      <c r="D907" s="139"/>
    </row>
    <row r="908">
      <c r="C908" s="139"/>
      <c r="D908" s="139"/>
    </row>
    <row r="909">
      <c r="C909" s="139"/>
      <c r="D909" s="139"/>
    </row>
    <row r="910">
      <c r="C910" s="139"/>
      <c r="D910" s="139"/>
    </row>
    <row r="911">
      <c r="C911" s="139"/>
      <c r="D911" s="139"/>
    </row>
    <row r="912">
      <c r="C912" s="139"/>
      <c r="D912" s="139"/>
    </row>
    <row r="913">
      <c r="C913" s="139"/>
      <c r="D913" s="139"/>
    </row>
    <row r="914">
      <c r="C914" s="139"/>
      <c r="D914" s="139"/>
    </row>
    <row r="915">
      <c r="C915" s="139"/>
      <c r="D915" s="139"/>
    </row>
    <row r="916">
      <c r="C916" s="139"/>
      <c r="D916" s="139"/>
    </row>
    <row r="917">
      <c r="C917" s="139"/>
      <c r="D917" s="139"/>
    </row>
    <row r="918">
      <c r="C918" s="139"/>
      <c r="D918" s="139"/>
    </row>
    <row r="919">
      <c r="C919" s="139"/>
      <c r="D919" s="139"/>
    </row>
    <row r="920">
      <c r="C920" s="139"/>
      <c r="D920" s="139"/>
    </row>
    <row r="921">
      <c r="C921" s="139"/>
      <c r="D921" s="139"/>
    </row>
    <row r="922">
      <c r="C922" s="139"/>
      <c r="D922" s="139"/>
    </row>
    <row r="923">
      <c r="C923" s="139"/>
      <c r="D923" s="139"/>
    </row>
    <row r="924">
      <c r="C924" s="139"/>
      <c r="D924" s="139"/>
    </row>
    <row r="925">
      <c r="C925" s="139"/>
      <c r="D925" s="139"/>
    </row>
    <row r="926">
      <c r="C926" s="139"/>
      <c r="D926" s="139"/>
    </row>
    <row r="927">
      <c r="C927" s="139"/>
      <c r="D927" s="139"/>
    </row>
    <row r="928">
      <c r="C928" s="139"/>
      <c r="D928" s="139"/>
    </row>
    <row r="929">
      <c r="C929" s="139"/>
      <c r="D929" s="139"/>
    </row>
    <row r="930">
      <c r="C930" s="139"/>
      <c r="D930" s="139"/>
    </row>
    <row r="931">
      <c r="C931" s="139"/>
      <c r="D931" s="139"/>
    </row>
    <row r="932">
      <c r="C932" s="139"/>
      <c r="D932" s="139"/>
    </row>
    <row r="933">
      <c r="C933" s="139"/>
      <c r="D933" s="139"/>
    </row>
    <row r="934">
      <c r="C934" s="139"/>
      <c r="D934" s="139"/>
    </row>
    <row r="935">
      <c r="C935" s="139"/>
      <c r="D935" s="139"/>
    </row>
    <row r="936">
      <c r="C936" s="139"/>
      <c r="D936" s="139"/>
    </row>
    <row r="937">
      <c r="C937" s="139"/>
      <c r="D937" s="139"/>
    </row>
    <row r="938">
      <c r="C938" s="139"/>
      <c r="D938" s="139"/>
    </row>
    <row r="939">
      <c r="C939" s="139"/>
      <c r="D939" s="139"/>
    </row>
    <row r="940">
      <c r="C940" s="139"/>
      <c r="D940" s="139"/>
    </row>
    <row r="941">
      <c r="C941" s="139"/>
      <c r="D941" s="139"/>
    </row>
    <row r="942">
      <c r="C942" s="139"/>
      <c r="D942" s="139"/>
    </row>
    <row r="943">
      <c r="C943" s="139"/>
      <c r="D943" s="139"/>
    </row>
    <row r="944">
      <c r="C944" s="139"/>
      <c r="D944" s="139"/>
    </row>
    <row r="945">
      <c r="C945" s="139"/>
      <c r="D945" s="139"/>
    </row>
    <row r="946">
      <c r="C946" s="139"/>
      <c r="D946" s="139"/>
    </row>
    <row r="947">
      <c r="C947" s="139"/>
      <c r="D947" s="139"/>
    </row>
    <row r="948">
      <c r="C948" s="139"/>
      <c r="D948" s="139"/>
    </row>
    <row r="949">
      <c r="C949" s="139"/>
      <c r="D949" s="139"/>
    </row>
    <row r="950">
      <c r="C950" s="139"/>
      <c r="D950" s="139"/>
    </row>
    <row r="951">
      <c r="C951" s="139"/>
      <c r="D951" s="139"/>
    </row>
    <row r="952">
      <c r="C952" s="139"/>
      <c r="D952" s="139"/>
    </row>
    <row r="953">
      <c r="C953" s="139"/>
      <c r="D953" s="139"/>
    </row>
    <row r="954">
      <c r="C954" s="139"/>
      <c r="D954" s="139"/>
    </row>
    <row r="955">
      <c r="C955" s="139"/>
      <c r="D955" s="139"/>
    </row>
    <row r="956">
      <c r="C956" s="139"/>
      <c r="D956" s="139"/>
    </row>
    <row r="957">
      <c r="C957" s="139"/>
      <c r="D957" s="139"/>
    </row>
    <row r="958">
      <c r="C958" s="139"/>
      <c r="D958" s="139"/>
    </row>
    <row r="959">
      <c r="C959" s="139"/>
      <c r="D959" s="139"/>
    </row>
    <row r="960">
      <c r="C960" s="139"/>
      <c r="D960" s="139"/>
    </row>
    <row r="961">
      <c r="C961" s="139"/>
      <c r="D961" s="139"/>
    </row>
    <row r="962">
      <c r="C962" s="139"/>
      <c r="D962" s="139"/>
    </row>
    <row r="963">
      <c r="C963" s="139"/>
      <c r="D963" s="139"/>
    </row>
    <row r="964">
      <c r="C964" s="139"/>
      <c r="D964" s="139"/>
    </row>
    <row r="965">
      <c r="C965" s="139"/>
      <c r="D965" s="139"/>
    </row>
    <row r="966">
      <c r="C966" s="139"/>
      <c r="D966" s="139"/>
    </row>
    <row r="967">
      <c r="C967" s="139"/>
      <c r="D967" s="139"/>
    </row>
    <row r="968">
      <c r="C968" s="139"/>
      <c r="D968" s="139"/>
    </row>
    <row r="969">
      <c r="C969" s="139"/>
      <c r="D969" s="139"/>
    </row>
    <row r="970">
      <c r="C970" s="139"/>
      <c r="D970" s="139"/>
    </row>
    <row r="971">
      <c r="C971" s="139"/>
      <c r="D971" s="139"/>
    </row>
    <row r="972">
      <c r="C972" s="139"/>
      <c r="D972" s="139"/>
    </row>
    <row r="973">
      <c r="C973" s="139"/>
      <c r="D973" s="139"/>
    </row>
    <row r="974">
      <c r="C974" s="139"/>
      <c r="D974" s="139"/>
    </row>
    <row r="975">
      <c r="C975" s="139"/>
      <c r="D975" s="139"/>
    </row>
    <row r="976">
      <c r="C976" s="139"/>
      <c r="D976" s="139"/>
    </row>
    <row r="977">
      <c r="C977" s="139"/>
      <c r="D977" s="139"/>
    </row>
    <row r="978">
      <c r="C978" s="139"/>
      <c r="D978" s="139"/>
    </row>
    <row r="979">
      <c r="C979" s="139"/>
      <c r="D979" s="139"/>
    </row>
    <row r="980">
      <c r="C980" s="139"/>
      <c r="D980" s="139"/>
    </row>
    <row r="981">
      <c r="C981" s="139"/>
      <c r="D981" s="139"/>
    </row>
    <row r="982">
      <c r="C982" s="139"/>
      <c r="D982" s="139"/>
    </row>
    <row r="983">
      <c r="C983" s="139"/>
      <c r="D983" s="139"/>
    </row>
    <row r="984">
      <c r="C984" s="139"/>
      <c r="D984" s="139"/>
    </row>
    <row r="985">
      <c r="C985" s="139"/>
      <c r="D985" s="139"/>
    </row>
    <row r="986">
      <c r="C986" s="139"/>
      <c r="D986" s="139"/>
    </row>
    <row r="987">
      <c r="C987" s="139"/>
      <c r="D987" s="139"/>
    </row>
    <row r="988">
      <c r="C988" s="139"/>
      <c r="D988" s="139"/>
    </row>
    <row r="989">
      <c r="C989" s="139"/>
      <c r="D989" s="139"/>
    </row>
    <row r="990">
      <c r="C990" s="139"/>
      <c r="D990" s="139"/>
    </row>
    <row r="991">
      <c r="C991" s="139"/>
      <c r="D991" s="139"/>
    </row>
    <row r="992">
      <c r="C992" s="139"/>
      <c r="D992" s="139"/>
    </row>
    <row r="993">
      <c r="C993" s="139"/>
      <c r="D993" s="139"/>
    </row>
    <row r="994">
      <c r="C994" s="139"/>
      <c r="D994" s="139"/>
    </row>
    <row r="995">
      <c r="C995" s="139"/>
      <c r="D995" s="139"/>
    </row>
    <row r="996">
      <c r="C996" s="139"/>
      <c r="D996" s="139"/>
    </row>
    <row r="997">
      <c r="C997" s="139"/>
      <c r="D997" s="139"/>
    </row>
    <row r="998">
      <c r="C998" s="139"/>
      <c r="D998" s="139"/>
    </row>
    <row r="999">
      <c r="C999" s="139"/>
      <c r="D999" s="139"/>
    </row>
    <row r="1000">
      <c r="C1000" s="139"/>
      <c r="D1000" s="139"/>
    </row>
    <row r="1001">
      <c r="C1001" s="139"/>
      <c r="D1001" s="139"/>
    </row>
    <row r="1002">
      <c r="C1002" s="139"/>
      <c r="D1002" s="139"/>
    </row>
  </sheetData>
  <mergeCells count="42">
    <mergeCell ref="B10:B11"/>
    <mergeCell ref="B4:B5"/>
    <mergeCell ref="B6:B7"/>
    <mergeCell ref="B8:B9"/>
    <mergeCell ref="B34:B35"/>
    <mergeCell ref="B36:B37"/>
    <mergeCell ref="B32:B33"/>
    <mergeCell ref="B30:B31"/>
    <mergeCell ref="B12:B13"/>
    <mergeCell ref="L1:M1"/>
    <mergeCell ref="N1:O1"/>
    <mergeCell ref="B14:B15"/>
    <mergeCell ref="B74:B75"/>
    <mergeCell ref="B68:B69"/>
    <mergeCell ref="B54:B55"/>
    <mergeCell ref="B60:B61"/>
    <mergeCell ref="B58:B59"/>
    <mergeCell ref="B56:B57"/>
    <mergeCell ref="B80:B81"/>
    <mergeCell ref="B82:B83"/>
    <mergeCell ref="B62:B63"/>
    <mergeCell ref="B70:B71"/>
    <mergeCell ref="B72:B73"/>
    <mergeCell ref="B78:B79"/>
    <mergeCell ref="B76:B77"/>
    <mergeCell ref="B18:B19"/>
    <mergeCell ref="B16:B17"/>
    <mergeCell ref="B28:B29"/>
    <mergeCell ref="B24:B25"/>
    <mergeCell ref="B26:B27"/>
    <mergeCell ref="B20:B21"/>
    <mergeCell ref="B22:B23"/>
    <mergeCell ref="B52:B53"/>
    <mergeCell ref="B50:B51"/>
    <mergeCell ref="B48:B49"/>
    <mergeCell ref="B46:B47"/>
    <mergeCell ref="B42:B43"/>
    <mergeCell ref="B44:B45"/>
    <mergeCell ref="B40:B41"/>
    <mergeCell ref="B38:B39"/>
    <mergeCell ref="B64:B65"/>
    <mergeCell ref="B66:B67"/>
  </mergeCells>
  <conditionalFormatting sqref="E1:E1002">
    <cfRule type="containsText" dxfId="0" priority="1" operator="containsText" text="Dem">
      <formula>NOT(ISERROR(SEARCH(("Dem"),(E1))))</formula>
    </cfRule>
  </conditionalFormatting>
  <conditionalFormatting sqref="E1:E1002">
    <cfRule type="containsText" dxfId="1" priority="2" operator="containsText" text="Rep">
      <formula>NOT(ISERROR(SEARCH(("Rep"),(E1))))</formula>
    </cfRule>
  </conditionalFormatting>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2" max="2" width="10.57"/>
    <col customWidth="1" min="3" max="3" width="15.71"/>
    <col customWidth="1" min="4" max="4" width="19.14"/>
    <col customWidth="1" min="5" max="5" width="10.57"/>
  </cols>
  <sheetData>
    <row r="1">
      <c r="A1" s="1" t="s">
        <v>0</v>
      </c>
      <c r="B1" s="2" t="s">
        <v>1</v>
      </c>
      <c r="C1" s="2" t="s">
        <v>2</v>
      </c>
      <c r="D1" s="2"/>
      <c r="E1" s="3"/>
      <c r="F1" s="365" t="s">
        <v>1577</v>
      </c>
      <c r="G1" s="365" t="s">
        <v>4</v>
      </c>
      <c r="H1" s="365" t="s">
        <v>5</v>
      </c>
      <c r="I1" s="365" t="s">
        <v>6</v>
      </c>
      <c r="J1" s="365" t="s">
        <v>7</v>
      </c>
      <c r="K1" s="1" t="s">
        <v>8</v>
      </c>
      <c r="L1" s="7" t="s">
        <v>9</v>
      </c>
      <c r="N1" s="10" t="s">
        <v>14</v>
      </c>
      <c r="P1" s="167"/>
      <c r="Q1" s="167"/>
      <c r="R1" s="30"/>
      <c r="S1" s="20"/>
      <c r="T1" s="20"/>
      <c r="U1" s="20"/>
      <c r="V1" s="20"/>
      <c r="W1" s="20"/>
      <c r="X1" s="20"/>
      <c r="Y1" s="20"/>
      <c r="Z1" s="20"/>
      <c r="AA1" s="20"/>
      <c r="AB1" s="20"/>
      <c r="AC1" s="20"/>
      <c r="AD1" s="20"/>
    </row>
    <row r="2">
      <c r="A2" s="21" t="s">
        <v>492</v>
      </c>
      <c r="B2" s="21" t="s">
        <v>27</v>
      </c>
      <c r="C2" s="21" t="s">
        <v>1172</v>
      </c>
      <c r="D2" s="325"/>
      <c r="E2" s="3"/>
      <c r="F2" s="168">
        <v>43451.0</v>
      </c>
      <c r="G2" s="168">
        <v>43510.0</v>
      </c>
      <c r="H2" s="21">
        <f>G2-TODAY()</f>
        <v>-225</v>
      </c>
      <c r="I2" s="168">
        <v>43480.0</v>
      </c>
      <c r="J2" s="168">
        <v>43540.0</v>
      </c>
      <c r="K2" s="23"/>
      <c r="L2" s="26">
        <f>CountIFS($E:$E,"=Dem",$A:$A,"=House")</f>
        <v>39</v>
      </c>
      <c r="M2" s="28">
        <f>CountIFS($E:$E,"=Rep",$A:$A,"=House")</f>
        <v>31</v>
      </c>
      <c r="N2" s="26">
        <f>CountIFS($E:$E,"=Dem",$A:$A,"=Senate")</f>
        <v>26</v>
      </c>
      <c r="O2" s="28">
        <f>CountIFS($E:$E,"=Rep",$A:$A,"=Senate")</f>
        <v>16</v>
      </c>
      <c r="P2" s="167"/>
      <c r="Q2" s="167"/>
      <c r="R2" s="30"/>
      <c r="S2" s="20"/>
      <c r="T2" s="20"/>
      <c r="U2" s="20"/>
      <c r="V2" s="20"/>
      <c r="W2" s="20"/>
      <c r="X2" s="20"/>
      <c r="Y2" s="20"/>
      <c r="Z2" s="20"/>
      <c r="AA2" s="20"/>
      <c r="AB2" s="20"/>
      <c r="AC2" s="20"/>
      <c r="AD2" s="20"/>
    </row>
    <row r="3">
      <c r="A3" s="30" t="s">
        <v>29</v>
      </c>
      <c r="B3" s="30" t="s">
        <v>30</v>
      </c>
      <c r="C3" s="2" t="s">
        <v>31</v>
      </c>
      <c r="D3" s="2" t="s">
        <v>32</v>
      </c>
      <c r="E3" s="3" t="s">
        <v>33</v>
      </c>
      <c r="F3" s="1" t="s">
        <v>10</v>
      </c>
      <c r="G3" s="1" t="s">
        <v>34</v>
      </c>
      <c r="H3" s="1" t="s">
        <v>34</v>
      </c>
      <c r="I3" s="1" t="s">
        <v>34</v>
      </c>
      <c r="J3" s="1" t="s">
        <v>34</v>
      </c>
      <c r="K3" s="1" t="s">
        <v>35</v>
      </c>
      <c r="L3" s="19" t="s">
        <v>36</v>
      </c>
      <c r="M3" s="19" t="s">
        <v>37</v>
      </c>
      <c r="N3" s="19" t="s">
        <v>38</v>
      </c>
      <c r="O3" s="17" t="s">
        <v>39</v>
      </c>
      <c r="P3" s="11" t="s">
        <v>40</v>
      </c>
      <c r="Q3" s="11" t="s">
        <v>41</v>
      </c>
      <c r="R3" s="17" t="s">
        <v>42</v>
      </c>
      <c r="S3" s="20"/>
      <c r="T3" s="20"/>
      <c r="U3" s="30" t="s">
        <v>1590</v>
      </c>
      <c r="V3" s="2" t="s">
        <v>1591</v>
      </c>
      <c r="W3" s="30" t="s">
        <v>1592</v>
      </c>
      <c r="X3" s="30" t="s">
        <v>37</v>
      </c>
      <c r="Y3" s="30" t="s">
        <v>1593</v>
      </c>
      <c r="Z3" s="20"/>
      <c r="AA3" s="20"/>
      <c r="AB3" s="20"/>
      <c r="AC3" s="20"/>
      <c r="AD3" s="20"/>
    </row>
    <row r="4">
      <c r="A4" s="14" t="s">
        <v>44</v>
      </c>
      <c r="B4" s="31">
        <v>1.0</v>
      </c>
      <c r="C4" s="638" t="s">
        <v>503</v>
      </c>
      <c r="D4" s="638" t="s">
        <v>9605</v>
      </c>
      <c r="E4" s="639" t="s">
        <v>53</v>
      </c>
      <c r="F4" s="413" t="s">
        <v>2004</v>
      </c>
      <c r="G4" s="219"/>
      <c r="H4" s="219"/>
      <c r="I4" s="336"/>
      <c r="J4" s="336"/>
      <c r="K4" s="138"/>
      <c r="L4" s="89"/>
      <c r="M4" s="89" t="str">
        <f t="shared" ref="M4:M73" si="1">Concatenate(Lower(C4),".",Lower(substitute(D4," ","")),"@nmlegis.gov")</f>
        <v>rod.montoya@nmlegis.gov</v>
      </c>
      <c r="N4" s="640" t="str">
        <f>HYPERLINK("https://docs.google.com/document/d/1H1RTsjiWp_IhPY-KsfDbpNva9cAwo6bIWQEoiw6dO0E/edit","Zero")</f>
        <v>Zero</v>
      </c>
      <c r="O4" s="89"/>
      <c r="P4" s="89"/>
      <c r="Q4" s="89"/>
      <c r="R4" s="89"/>
      <c r="U4" t="str">
        <f t="shared" ref="U4:U116" si="2">if(V4="","",if(A4="House","Representative","Senator"))</f>
        <v/>
      </c>
      <c r="V4" s="139" t="str">
        <f t="shared" ref="V4:V116" si="3">if(AND(not(isblank($F4)),not(isnumber(search("minority",$F4)))),$C4,if(or(isnumber(search("Judiciary (Chair)",$G4)),isnumber(search("Judiciary (Vice Chair)",$G4))),$C4,""))</f>
        <v/>
      </c>
      <c r="W4" t="str">
        <f t="shared" ref="W4:W116" si="4">if(V4="","",D4)</f>
        <v/>
      </c>
      <c r="X4" t="str">
        <f t="shared" ref="X4:X116" si="5">if(W4="","",M4)</f>
        <v/>
      </c>
      <c r="Y4" t="str">
        <f t="shared" ref="Y4:Y116" si="6">if(X4="","",if(isblank($F4),$G4,$F4))</f>
        <v/>
      </c>
    </row>
    <row r="5">
      <c r="A5" s="14" t="s">
        <v>44</v>
      </c>
      <c r="B5" s="31">
        <v>2.0</v>
      </c>
      <c r="C5" s="638" t="s">
        <v>930</v>
      </c>
      <c r="D5" s="638" t="s">
        <v>9612</v>
      </c>
      <c r="E5" s="639" t="s">
        <v>53</v>
      </c>
      <c r="F5" s="406"/>
      <c r="G5" s="219"/>
      <c r="H5" s="219"/>
      <c r="I5" s="336"/>
      <c r="J5" s="336"/>
      <c r="K5" s="138"/>
      <c r="L5" s="89"/>
      <c r="M5" s="89" t="str">
        <f t="shared" si="1"/>
        <v>james.strickler@nmlegis.gov</v>
      </c>
      <c r="N5" s="89"/>
      <c r="O5" s="89"/>
      <c r="P5" s="89"/>
      <c r="Q5" s="89"/>
      <c r="R5" s="89"/>
      <c r="U5" t="str">
        <f t="shared" si="2"/>
        <v/>
      </c>
      <c r="V5" s="139" t="str">
        <f t="shared" si="3"/>
        <v/>
      </c>
      <c r="W5" t="str">
        <f t="shared" si="4"/>
        <v/>
      </c>
      <c r="X5" t="str">
        <f t="shared" si="5"/>
        <v/>
      </c>
      <c r="Y5" t="str">
        <f t="shared" si="6"/>
        <v/>
      </c>
    </row>
    <row r="6">
      <c r="A6" s="14" t="s">
        <v>44</v>
      </c>
      <c r="B6" s="31">
        <v>3.0</v>
      </c>
      <c r="C6" s="638" t="s">
        <v>679</v>
      </c>
      <c r="D6" s="638" t="s">
        <v>9613</v>
      </c>
      <c r="E6" s="639" t="s">
        <v>53</v>
      </c>
      <c r="F6" s="406"/>
      <c r="G6" s="219"/>
      <c r="H6" s="219"/>
      <c r="I6" s="336"/>
      <c r="J6" s="336"/>
      <c r="K6" s="138"/>
      <c r="L6" s="89"/>
      <c r="M6" s="89" t="str">
        <f t="shared" si="1"/>
        <v>paul.bandy@nmlegis.gov</v>
      </c>
      <c r="N6" s="89"/>
      <c r="O6" s="89"/>
      <c r="P6" s="89"/>
      <c r="Q6" s="89"/>
      <c r="R6" s="89"/>
      <c r="U6" t="str">
        <f t="shared" si="2"/>
        <v/>
      </c>
      <c r="V6" s="139" t="str">
        <f t="shared" si="3"/>
        <v/>
      </c>
      <c r="W6" t="str">
        <f t="shared" si="4"/>
        <v/>
      </c>
      <c r="X6" t="str">
        <f t="shared" si="5"/>
        <v/>
      </c>
      <c r="Y6" t="str">
        <f t="shared" si="6"/>
        <v/>
      </c>
    </row>
    <row r="7">
      <c r="A7" s="14" t="s">
        <v>44</v>
      </c>
      <c r="B7" s="31">
        <v>4.0</v>
      </c>
      <c r="C7" s="643" t="s">
        <v>1863</v>
      </c>
      <c r="D7" s="643" t="s">
        <v>9614</v>
      </c>
      <c r="E7" s="639" t="s">
        <v>53</v>
      </c>
      <c r="F7" s="406"/>
      <c r="G7" s="219"/>
      <c r="H7" s="219"/>
      <c r="I7" s="336"/>
      <c r="J7" s="336"/>
      <c r="K7" s="138"/>
      <c r="L7" s="89"/>
      <c r="M7" s="89" t="str">
        <f t="shared" si="1"/>
        <v>sharon.clahchischilliage@nmlegis.gov</v>
      </c>
      <c r="N7" s="89"/>
      <c r="O7" s="89"/>
      <c r="P7" s="89"/>
      <c r="Q7" s="89"/>
      <c r="R7" s="89"/>
      <c r="U7" t="str">
        <f t="shared" si="2"/>
        <v/>
      </c>
      <c r="V7" s="139" t="str">
        <f t="shared" si="3"/>
        <v/>
      </c>
      <c r="W7" t="str">
        <f t="shared" si="4"/>
        <v/>
      </c>
      <c r="X7" t="str">
        <f t="shared" si="5"/>
        <v/>
      </c>
      <c r="Y7" t="str">
        <f t="shared" si="6"/>
        <v/>
      </c>
    </row>
    <row r="8">
      <c r="A8" s="14" t="s">
        <v>44</v>
      </c>
      <c r="B8" s="31">
        <v>5.0</v>
      </c>
      <c r="C8" s="638" t="s">
        <v>3660</v>
      </c>
      <c r="D8" s="638" t="s">
        <v>118</v>
      </c>
      <c r="E8" s="644" t="s">
        <v>49</v>
      </c>
      <c r="F8" s="413" t="s">
        <v>9618</v>
      </c>
      <c r="G8" s="219"/>
      <c r="H8" s="219"/>
      <c r="I8" s="336"/>
      <c r="J8" s="336"/>
      <c r="K8" s="138"/>
      <c r="L8" s="89"/>
      <c r="M8" s="89" t="str">
        <f t="shared" si="1"/>
        <v>doreen.johnson@nmlegis.gov</v>
      </c>
      <c r="N8" s="640" t="str">
        <f>HYPERLINK("https://docs.google.com/document/d/1fcVqHmFvkQsRgNyxJU3CxVTT19_FlH9M1uy5ncLG3rI/edit","Zero")</f>
        <v>Zero</v>
      </c>
      <c r="O8" s="89"/>
      <c r="P8" s="89"/>
      <c r="Q8" s="89"/>
      <c r="R8" s="89"/>
      <c r="U8" t="str">
        <f t="shared" si="2"/>
        <v>Representative</v>
      </c>
      <c r="V8" s="139" t="str">
        <f t="shared" si="3"/>
        <v>Doreen</v>
      </c>
      <c r="W8" t="str">
        <f t="shared" si="4"/>
        <v>Johnson</v>
      </c>
      <c r="X8" t="str">
        <f t="shared" si="5"/>
        <v>doreen.johnson@nmlegis.gov</v>
      </c>
      <c r="Y8" t="str">
        <f t="shared" si="6"/>
        <v>House Majority Caucus Chair</v>
      </c>
    </row>
    <row r="9">
      <c r="A9" s="14" t="s">
        <v>44</v>
      </c>
      <c r="B9" s="31">
        <v>6.0</v>
      </c>
      <c r="C9" s="638" t="s">
        <v>9619</v>
      </c>
      <c r="D9" s="638" t="s">
        <v>9623</v>
      </c>
      <c r="E9" s="644" t="s">
        <v>49</v>
      </c>
      <c r="F9" s="406"/>
      <c r="G9" s="194" t="s">
        <v>9624</v>
      </c>
      <c r="H9" s="219"/>
      <c r="I9" s="336"/>
      <c r="J9" s="336"/>
      <c r="K9" s="138"/>
      <c r="L9" s="89"/>
      <c r="M9" s="89" t="str">
        <f t="shared" si="1"/>
        <v>eliseo.alcon@nmlegis.gov</v>
      </c>
      <c r="N9" s="89"/>
      <c r="O9" s="89"/>
      <c r="P9" s="89"/>
      <c r="Q9" s="89"/>
      <c r="R9" s="89"/>
      <c r="U9" t="str">
        <f t="shared" si="2"/>
        <v/>
      </c>
      <c r="V9" s="139" t="str">
        <f t="shared" si="3"/>
        <v/>
      </c>
      <c r="W9" t="str">
        <f t="shared" si="4"/>
        <v/>
      </c>
      <c r="X9" t="str">
        <f t="shared" si="5"/>
        <v/>
      </c>
      <c r="Y9" t="str">
        <f t="shared" si="6"/>
        <v/>
      </c>
    </row>
    <row r="10">
      <c r="A10" s="14" t="s">
        <v>44</v>
      </c>
      <c r="B10" s="31">
        <v>7.0</v>
      </c>
      <c r="C10" s="638" t="s">
        <v>130</v>
      </c>
      <c r="D10" s="638" t="s">
        <v>9625</v>
      </c>
      <c r="E10" s="639" t="s">
        <v>53</v>
      </c>
      <c r="F10" s="406"/>
      <c r="G10" s="219"/>
      <c r="H10" s="219"/>
      <c r="I10" s="336"/>
      <c r="J10" s="336"/>
      <c r="K10" s="138"/>
      <c r="L10" s="89"/>
      <c r="M10" s="89" t="str">
        <f t="shared" si="1"/>
        <v>kelly.fajardo@nmlegis.gov</v>
      </c>
      <c r="N10" s="89"/>
      <c r="O10" s="89"/>
      <c r="P10" s="89"/>
      <c r="Q10" s="89"/>
      <c r="R10" s="89"/>
      <c r="U10" t="str">
        <f t="shared" si="2"/>
        <v/>
      </c>
      <c r="V10" s="139" t="str">
        <f t="shared" si="3"/>
        <v/>
      </c>
      <c r="W10" t="str">
        <f t="shared" si="4"/>
        <v/>
      </c>
      <c r="X10" t="str">
        <f t="shared" si="5"/>
        <v/>
      </c>
      <c r="Y10" t="str">
        <f t="shared" si="6"/>
        <v/>
      </c>
    </row>
    <row r="11">
      <c r="A11" s="14" t="s">
        <v>44</v>
      </c>
      <c r="B11" s="31">
        <v>8.0</v>
      </c>
      <c r="C11" s="638" t="s">
        <v>6304</v>
      </c>
      <c r="D11" s="638" t="s">
        <v>9628</v>
      </c>
      <c r="E11" s="639" t="s">
        <v>53</v>
      </c>
      <c r="F11" s="406"/>
      <c r="G11" s="219"/>
      <c r="H11" s="219"/>
      <c r="I11" s="336"/>
      <c r="J11" s="336"/>
      <c r="K11" s="138"/>
      <c r="L11" s="89"/>
      <c r="M11" s="89" t="str">
        <f t="shared" si="1"/>
        <v>alonzo.baldonado@nmlegis.gov</v>
      </c>
      <c r="N11" s="89"/>
      <c r="O11" s="89"/>
      <c r="P11" s="89"/>
      <c r="Q11" s="89"/>
      <c r="R11" s="89"/>
      <c r="U11" t="str">
        <f t="shared" si="2"/>
        <v/>
      </c>
      <c r="V11" s="139" t="str">
        <f t="shared" si="3"/>
        <v/>
      </c>
      <c r="W11" t="str">
        <f t="shared" si="4"/>
        <v/>
      </c>
      <c r="X11" t="str">
        <f t="shared" si="5"/>
        <v/>
      </c>
      <c r="Y11" t="str">
        <f t="shared" si="6"/>
        <v/>
      </c>
    </row>
    <row r="12">
      <c r="A12" s="14" t="s">
        <v>44</v>
      </c>
      <c r="B12" s="31">
        <v>9.0</v>
      </c>
      <c r="C12" s="638" t="s">
        <v>2249</v>
      </c>
      <c r="D12" s="638" t="s">
        <v>9629</v>
      </c>
      <c r="E12" s="644" t="s">
        <v>49</v>
      </c>
      <c r="F12" s="406"/>
      <c r="G12" s="194" t="s">
        <v>662</v>
      </c>
      <c r="H12" s="219"/>
      <c r="I12" s="336"/>
      <c r="J12" s="336"/>
      <c r="K12" s="138"/>
      <c r="L12" s="89"/>
      <c r="M12" s="89" t="str">
        <f t="shared" si="1"/>
        <v>patricia.lundstrom@nmlegis.gov</v>
      </c>
      <c r="N12" s="89"/>
      <c r="O12" s="89"/>
      <c r="P12" s="89"/>
      <c r="Q12" s="89"/>
      <c r="R12" s="89"/>
      <c r="U12" t="str">
        <f t="shared" si="2"/>
        <v/>
      </c>
      <c r="V12" s="139" t="str">
        <f t="shared" si="3"/>
        <v/>
      </c>
      <c r="W12" t="str">
        <f t="shared" si="4"/>
        <v/>
      </c>
      <c r="X12" t="str">
        <f t="shared" si="5"/>
        <v/>
      </c>
      <c r="Y12" t="str">
        <f t="shared" si="6"/>
        <v/>
      </c>
    </row>
    <row r="13">
      <c r="A13" s="14" t="s">
        <v>44</v>
      </c>
      <c r="B13" s="31">
        <v>10.0</v>
      </c>
      <c r="C13" s="645" t="s">
        <v>9630</v>
      </c>
      <c r="D13" s="645" t="s">
        <v>9631</v>
      </c>
      <c r="E13" s="644" t="s">
        <v>49</v>
      </c>
      <c r="F13" s="406"/>
      <c r="G13" s="194" t="s">
        <v>888</v>
      </c>
      <c r="H13" s="219"/>
      <c r="I13" s="336"/>
      <c r="J13" s="336"/>
      <c r="K13" s="138"/>
      <c r="L13" s="89"/>
      <c r="M13" s="89" t="str">
        <f t="shared" si="1"/>
        <v>andrés.romero@nmlegis.gov</v>
      </c>
      <c r="N13" s="89"/>
      <c r="O13" s="89"/>
      <c r="P13" s="89"/>
      <c r="Q13" s="89"/>
      <c r="R13" s="89"/>
      <c r="U13" t="str">
        <f t="shared" si="2"/>
        <v/>
      </c>
      <c r="V13" s="139" t="str">
        <f t="shared" si="3"/>
        <v/>
      </c>
      <c r="W13" t="str">
        <f t="shared" si="4"/>
        <v/>
      </c>
      <c r="X13" t="str">
        <f t="shared" si="5"/>
        <v/>
      </c>
      <c r="Y13" t="str">
        <f t="shared" si="6"/>
        <v/>
      </c>
    </row>
    <row r="14">
      <c r="A14" s="14" t="s">
        <v>44</v>
      </c>
      <c r="B14" s="31">
        <v>11.0</v>
      </c>
      <c r="C14" s="645" t="s">
        <v>3100</v>
      </c>
      <c r="D14" s="646" t="s">
        <v>4546</v>
      </c>
      <c r="E14" s="644" t="s">
        <v>49</v>
      </c>
      <c r="F14" s="406"/>
      <c r="G14" s="194" t="s">
        <v>517</v>
      </c>
      <c r="H14" s="219"/>
      <c r="I14" s="336"/>
      <c r="J14" s="336"/>
      <c r="K14" s="138"/>
      <c r="L14" s="89"/>
      <c r="M14" s="89" t="str">
        <f t="shared" si="1"/>
        <v>javier.martinez@nmlegis.gov</v>
      </c>
      <c r="N14" s="89"/>
      <c r="O14" s="89"/>
      <c r="P14" s="89"/>
      <c r="Q14" s="89"/>
      <c r="R14" s="89"/>
      <c r="U14" t="str">
        <f t="shared" si="2"/>
        <v>Representative</v>
      </c>
      <c r="V14" s="139" t="str">
        <f t="shared" si="3"/>
        <v>Javier</v>
      </c>
      <c r="W14" t="str">
        <f t="shared" si="4"/>
        <v>Martinez</v>
      </c>
      <c r="X14" t="str">
        <f t="shared" si="5"/>
        <v>javier.martinez@nmlegis.gov</v>
      </c>
      <c r="Y14" t="str">
        <f t="shared" si="6"/>
        <v>Judiciary (Vice Chair)</v>
      </c>
    </row>
    <row r="15">
      <c r="A15" s="14" t="s">
        <v>44</v>
      </c>
      <c r="B15" s="31">
        <v>12.0</v>
      </c>
      <c r="C15" s="645" t="s">
        <v>9634</v>
      </c>
      <c r="D15" s="645" t="s">
        <v>9635</v>
      </c>
      <c r="E15" s="644" t="s">
        <v>49</v>
      </c>
      <c r="F15" s="406"/>
      <c r="G15" s="194" t="s">
        <v>9636</v>
      </c>
      <c r="H15" s="219"/>
      <c r="I15" s="336"/>
      <c r="J15" s="336"/>
      <c r="K15" s="138"/>
      <c r="L15" s="89"/>
      <c r="M15" s="89" t="str">
        <f t="shared" si="1"/>
        <v>patricio.ruiloba@nmlegis.gov</v>
      </c>
      <c r="N15" s="89"/>
      <c r="O15" s="89"/>
      <c r="P15" s="89"/>
      <c r="Q15" s="89"/>
      <c r="R15" s="89"/>
      <c r="U15" t="str">
        <f t="shared" si="2"/>
        <v/>
      </c>
      <c r="V15" s="139" t="str">
        <f t="shared" si="3"/>
        <v/>
      </c>
      <c r="W15" t="str">
        <f t="shared" si="4"/>
        <v/>
      </c>
      <c r="X15" t="str">
        <f t="shared" si="5"/>
        <v/>
      </c>
      <c r="Y15" t="str">
        <f t="shared" si="6"/>
        <v/>
      </c>
    </row>
    <row r="16">
      <c r="A16" s="14" t="s">
        <v>44</v>
      </c>
      <c r="B16" s="31">
        <v>13.0</v>
      </c>
      <c r="C16" s="486" t="s">
        <v>2570</v>
      </c>
      <c r="D16" s="486" t="s">
        <v>9637</v>
      </c>
      <c r="E16" s="644" t="s">
        <v>49</v>
      </c>
      <c r="F16" s="406"/>
      <c r="G16" s="194" t="s">
        <v>9638</v>
      </c>
      <c r="H16" s="219"/>
      <c r="I16" s="336"/>
      <c r="J16" s="336"/>
      <c r="K16" s="138"/>
      <c r="L16" s="89"/>
      <c r="M16" s="89" t="str">
        <f t="shared" si="1"/>
        <v>pat.roybalcaballero@nmlegis.gov</v>
      </c>
      <c r="N16" s="89"/>
      <c r="O16" s="89"/>
      <c r="P16" s="89"/>
      <c r="Q16" s="89"/>
      <c r="R16" s="89"/>
      <c r="U16" t="str">
        <f t="shared" si="2"/>
        <v/>
      </c>
      <c r="V16" s="139" t="str">
        <f t="shared" si="3"/>
        <v/>
      </c>
      <c r="W16" t="str">
        <f t="shared" si="4"/>
        <v/>
      </c>
      <c r="X16" t="str">
        <f t="shared" si="5"/>
        <v/>
      </c>
      <c r="Y16" t="str">
        <f t="shared" si="6"/>
        <v/>
      </c>
    </row>
    <row r="17">
      <c r="A17" s="14" t="s">
        <v>44</v>
      </c>
      <c r="B17" s="31">
        <v>14.0</v>
      </c>
      <c r="C17" s="638" t="s">
        <v>1748</v>
      </c>
      <c r="D17" s="486" t="s">
        <v>1772</v>
      </c>
      <c r="E17" s="644" t="s">
        <v>49</v>
      </c>
      <c r="F17" s="406"/>
      <c r="G17" s="219"/>
      <c r="H17" s="219"/>
      <c r="I17" s="336"/>
      <c r="J17" s="336"/>
      <c r="K17" s="138"/>
      <c r="L17" s="89"/>
      <c r="M17" s="89" t="str">
        <f t="shared" si="1"/>
        <v>miguel.garcia@nmlegis.gov</v>
      </c>
      <c r="N17" s="89"/>
      <c r="O17" s="89"/>
      <c r="P17" s="89"/>
      <c r="Q17" s="89"/>
      <c r="R17" s="89"/>
      <c r="U17" t="str">
        <f t="shared" si="2"/>
        <v/>
      </c>
      <c r="V17" s="139" t="str">
        <f t="shared" si="3"/>
        <v/>
      </c>
      <c r="W17" t="str">
        <f t="shared" si="4"/>
        <v/>
      </c>
      <c r="X17" t="str">
        <f t="shared" si="5"/>
        <v/>
      </c>
      <c r="Y17" t="str">
        <f t="shared" si="6"/>
        <v/>
      </c>
    </row>
    <row r="18">
      <c r="A18" s="14" t="s">
        <v>44</v>
      </c>
      <c r="B18" s="31">
        <v>15.0</v>
      </c>
      <c r="C18" s="643" t="s">
        <v>210</v>
      </c>
      <c r="D18" s="647" t="s">
        <v>9641</v>
      </c>
      <c r="E18" s="639" t="s">
        <v>53</v>
      </c>
      <c r="F18" s="406"/>
      <c r="G18" s="219"/>
      <c r="H18" s="219"/>
      <c r="I18" s="336"/>
      <c r="J18" s="336"/>
      <c r="K18" s="138"/>
      <c r="L18" s="89"/>
      <c r="M18" s="89" t="str">
        <f t="shared" si="1"/>
        <v>sarah.maestasbarnes@nmlegis.gov</v>
      </c>
      <c r="N18" s="89"/>
      <c r="O18" s="89"/>
      <c r="P18" s="89"/>
      <c r="Q18" s="89"/>
      <c r="R18" s="89"/>
      <c r="U18" t="str">
        <f t="shared" si="2"/>
        <v/>
      </c>
      <c r="V18" s="139" t="str">
        <f t="shared" si="3"/>
        <v/>
      </c>
      <c r="W18" t="str">
        <f t="shared" si="4"/>
        <v/>
      </c>
      <c r="X18" t="str">
        <f t="shared" si="5"/>
        <v/>
      </c>
      <c r="Y18" t="str">
        <f t="shared" si="6"/>
        <v/>
      </c>
    </row>
    <row r="19">
      <c r="A19" s="14" t="s">
        <v>44</v>
      </c>
      <c r="B19" s="31">
        <v>16.0</v>
      </c>
      <c r="C19" s="638" t="s">
        <v>4489</v>
      </c>
      <c r="D19" s="638" t="s">
        <v>9642</v>
      </c>
      <c r="E19" s="644" t="s">
        <v>49</v>
      </c>
      <c r="F19" s="406"/>
      <c r="G19" s="194" t="s">
        <v>957</v>
      </c>
      <c r="H19" s="219"/>
      <c r="I19" s="336"/>
      <c r="J19" s="336"/>
      <c r="K19" s="138"/>
      <c r="L19" s="89"/>
      <c r="M19" s="89" t="str">
        <f t="shared" si="1"/>
        <v>antonio.maestas@nmlegis.gov</v>
      </c>
      <c r="N19" s="89"/>
      <c r="O19" s="89"/>
      <c r="P19" s="89"/>
      <c r="Q19" s="89"/>
      <c r="R19" s="89"/>
      <c r="U19" t="str">
        <f t="shared" si="2"/>
        <v/>
      </c>
      <c r="V19" s="139" t="str">
        <f t="shared" si="3"/>
        <v/>
      </c>
      <c r="W19" t="str">
        <f t="shared" si="4"/>
        <v/>
      </c>
      <c r="X19" t="str">
        <f t="shared" si="5"/>
        <v/>
      </c>
      <c r="Y19" t="str">
        <f t="shared" si="6"/>
        <v/>
      </c>
    </row>
    <row r="20">
      <c r="A20" s="14" t="s">
        <v>44</v>
      </c>
      <c r="B20" s="31">
        <v>17.0</v>
      </c>
      <c r="C20" s="645" t="s">
        <v>1395</v>
      </c>
      <c r="D20" s="645" t="s">
        <v>3929</v>
      </c>
      <c r="E20" s="644" t="s">
        <v>49</v>
      </c>
      <c r="F20" s="406"/>
      <c r="G20" s="194" t="s">
        <v>3045</v>
      </c>
      <c r="H20" s="194" t="s">
        <v>745</v>
      </c>
      <c r="I20" s="336"/>
      <c r="J20" s="336"/>
      <c r="K20" s="138"/>
      <c r="L20" s="89"/>
      <c r="M20" s="89" t="str">
        <f t="shared" si="1"/>
        <v>deborah.armstrong@nmlegis.gov</v>
      </c>
      <c r="N20" s="89"/>
      <c r="O20" s="89"/>
      <c r="P20" s="89"/>
      <c r="Q20" s="89"/>
      <c r="R20" s="89"/>
      <c r="U20" t="str">
        <f t="shared" si="2"/>
        <v/>
      </c>
      <c r="V20" s="139" t="str">
        <f t="shared" si="3"/>
        <v/>
      </c>
      <c r="W20" t="str">
        <f t="shared" si="4"/>
        <v/>
      </c>
      <c r="X20" t="str">
        <f t="shared" si="5"/>
        <v/>
      </c>
      <c r="Y20" t="str">
        <f t="shared" si="6"/>
        <v/>
      </c>
    </row>
    <row r="21">
      <c r="A21" s="14" t="s">
        <v>44</v>
      </c>
      <c r="B21" s="31">
        <v>18.0</v>
      </c>
      <c r="C21" s="638" t="s">
        <v>850</v>
      </c>
      <c r="D21" s="638" t="s">
        <v>9644</v>
      </c>
      <c r="E21" s="644" t="s">
        <v>49</v>
      </c>
      <c r="F21" s="406"/>
      <c r="G21" s="194" t="s">
        <v>877</v>
      </c>
      <c r="H21" s="219"/>
      <c r="I21" s="336"/>
      <c r="J21" s="336"/>
      <c r="K21" s="138"/>
      <c r="L21" s="89"/>
      <c r="M21" s="89" t="str">
        <f t="shared" si="1"/>
        <v>gail.chasey@nmlegis.gov</v>
      </c>
      <c r="N21" s="89"/>
      <c r="O21" s="89"/>
      <c r="P21" s="89"/>
      <c r="Q21" s="89"/>
      <c r="R21" s="89"/>
      <c r="U21" t="str">
        <f t="shared" si="2"/>
        <v>Representative</v>
      </c>
      <c r="V21" s="139" t="str">
        <f t="shared" si="3"/>
        <v>Gail</v>
      </c>
      <c r="W21" t="str">
        <f t="shared" si="4"/>
        <v>Chasey</v>
      </c>
      <c r="X21" t="str">
        <f t="shared" si="5"/>
        <v>gail.chasey@nmlegis.gov</v>
      </c>
      <c r="Y21" t="str">
        <f t="shared" si="6"/>
        <v>Judiciary (Chair)</v>
      </c>
    </row>
    <row r="22">
      <c r="A22" s="14" t="s">
        <v>44</v>
      </c>
      <c r="B22" s="31">
        <v>19.0</v>
      </c>
      <c r="C22" s="638" t="s">
        <v>7176</v>
      </c>
      <c r="D22" s="638" t="s">
        <v>9647</v>
      </c>
      <c r="E22" s="644" t="s">
        <v>49</v>
      </c>
      <c r="F22" s="413" t="s">
        <v>9648</v>
      </c>
      <c r="G22" s="219"/>
      <c r="H22" s="219"/>
      <c r="I22" s="336"/>
      <c r="J22" s="336"/>
      <c r="K22" s="138"/>
      <c r="L22" s="89"/>
      <c r="M22" s="89" t="str">
        <f t="shared" si="1"/>
        <v>sheryl.stapleton@nmlegis.gov</v>
      </c>
      <c r="N22" s="640" t="str">
        <f>HYPERLINK("https://docs.google.com/document/d/181sOzGb4654cXkLx635BmrnB2Y0L_kvc6-gczdXvQ44/edit","Zero")</f>
        <v>Zero</v>
      </c>
      <c r="O22" s="89"/>
      <c r="P22" s="89"/>
      <c r="Q22" s="89"/>
      <c r="R22" s="89"/>
      <c r="U22" t="str">
        <f t="shared" si="2"/>
        <v>Representative</v>
      </c>
      <c r="V22" s="139" t="str">
        <f t="shared" si="3"/>
        <v>Sheryl</v>
      </c>
      <c r="W22" t="str">
        <f t="shared" si="4"/>
        <v>Stapleton</v>
      </c>
      <c r="X22" t="str">
        <f t="shared" si="5"/>
        <v>sheryl.stapleton@nmlegis.gov</v>
      </c>
      <c r="Y22" t="str">
        <f t="shared" si="6"/>
        <v>House Majority Leader</v>
      </c>
    </row>
    <row r="23">
      <c r="A23" s="14" t="s">
        <v>44</v>
      </c>
      <c r="B23" s="31">
        <v>20.0</v>
      </c>
      <c r="C23" s="645" t="s">
        <v>476</v>
      </c>
      <c r="D23" s="645" t="s">
        <v>9652</v>
      </c>
      <c r="E23" s="639" t="s">
        <v>53</v>
      </c>
      <c r="F23" s="406"/>
      <c r="G23" s="219"/>
      <c r="H23" s="219"/>
      <c r="I23" s="336"/>
      <c r="J23" s="336"/>
      <c r="K23" s="138"/>
      <c r="L23" s="89"/>
      <c r="M23" s="89" t="str">
        <f t="shared" si="1"/>
        <v>jim.dines@nmlegis.gov</v>
      </c>
      <c r="N23" s="89"/>
      <c r="O23" s="89"/>
      <c r="P23" s="89"/>
      <c r="Q23" s="89"/>
      <c r="R23" s="89"/>
      <c r="U23" t="str">
        <f t="shared" si="2"/>
        <v/>
      </c>
      <c r="V23" s="139" t="str">
        <f t="shared" si="3"/>
        <v/>
      </c>
      <c r="W23" t="str">
        <f t="shared" si="4"/>
        <v/>
      </c>
      <c r="X23" t="str">
        <f t="shared" si="5"/>
        <v/>
      </c>
      <c r="Y23" t="str">
        <f t="shared" si="6"/>
        <v/>
      </c>
    </row>
    <row r="24">
      <c r="A24" s="14" t="s">
        <v>44</v>
      </c>
      <c r="B24" s="31">
        <v>21.0</v>
      </c>
      <c r="C24" s="645" t="s">
        <v>2601</v>
      </c>
      <c r="D24" s="646" t="s">
        <v>9653</v>
      </c>
      <c r="E24" s="644" t="s">
        <v>49</v>
      </c>
      <c r="F24" s="406"/>
      <c r="G24" s="219"/>
      <c r="H24" s="219"/>
      <c r="I24" s="336"/>
      <c r="J24" s="336"/>
      <c r="K24" s="138"/>
      <c r="L24" s="89"/>
      <c r="M24" s="89" t="str">
        <f t="shared" si="1"/>
        <v>debra.sarinana@nmlegis.gov</v>
      </c>
      <c r="N24" s="89"/>
      <c r="O24" s="89"/>
      <c r="P24" s="89"/>
      <c r="Q24" s="89"/>
      <c r="R24" s="89"/>
      <c r="U24" t="str">
        <f t="shared" si="2"/>
        <v/>
      </c>
      <c r="V24" s="139" t="str">
        <f t="shared" si="3"/>
        <v/>
      </c>
      <c r="W24" t="str">
        <f t="shared" si="4"/>
        <v/>
      </c>
      <c r="X24" t="str">
        <f t="shared" si="5"/>
        <v/>
      </c>
      <c r="Y24" t="str">
        <f t="shared" si="6"/>
        <v/>
      </c>
    </row>
    <row r="25">
      <c r="A25" s="14" t="s">
        <v>44</v>
      </c>
      <c r="B25" s="31">
        <v>22.0</v>
      </c>
      <c r="C25" s="645" t="s">
        <v>3396</v>
      </c>
      <c r="D25" s="646" t="s">
        <v>9658</v>
      </c>
      <c r="E25" s="639" t="s">
        <v>53</v>
      </c>
      <c r="F25" s="406"/>
      <c r="G25" s="219"/>
      <c r="H25" s="219"/>
      <c r="I25" s="336"/>
      <c r="J25" s="336"/>
      <c r="K25" s="138"/>
      <c r="L25" s="89"/>
      <c r="M25" s="89" t="str">
        <f t="shared" si="1"/>
        <v>gregg.schmedes@nmlegis.gov</v>
      </c>
      <c r="N25" s="89"/>
      <c r="O25" s="89"/>
      <c r="P25" s="89"/>
      <c r="Q25" s="89"/>
      <c r="R25" s="89"/>
      <c r="U25" t="str">
        <f t="shared" si="2"/>
        <v/>
      </c>
      <c r="V25" s="139" t="str">
        <f t="shared" si="3"/>
        <v/>
      </c>
      <c r="W25" t="str">
        <f t="shared" si="4"/>
        <v/>
      </c>
      <c r="X25" t="str">
        <f t="shared" si="5"/>
        <v/>
      </c>
      <c r="Y25" t="str">
        <f t="shared" si="6"/>
        <v/>
      </c>
    </row>
    <row r="26">
      <c r="A26" s="14" t="s">
        <v>44</v>
      </c>
      <c r="B26" s="31">
        <v>23.0</v>
      </c>
      <c r="C26" s="645" t="s">
        <v>9659</v>
      </c>
      <c r="D26" s="645" t="s">
        <v>9660</v>
      </c>
      <c r="E26" s="644" t="s">
        <v>49</v>
      </c>
      <c r="F26" s="406"/>
      <c r="G26" s="219"/>
      <c r="H26" s="219"/>
      <c r="I26" s="336"/>
      <c r="J26" s="336"/>
      <c r="K26" s="138"/>
      <c r="L26" s="89"/>
      <c r="M26" s="89" t="str">
        <f t="shared" si="1"/>
        <v>daymon.ely@nmlegis.gov</v>
      </c>
      <c r="N26" s="89"/>
      <c r="O26" s="89"/>
      <c r="P26" s="89"/>
      <c r="Q26" s="89"/>
      <c r="R26" s="89"/>
      <c r="U26" t="str">
        <f t="shared" si="2"/>
        <v/>
      </c>
      <c r="V26" s="139" t="str">
        <f t="shared" si="3"/>
        <v/>
      </c>
      <c r="W26" t="str">
        <f t="shared" si="4"/>
        <v/>
      </c>
      <c r="X26" t="str">
        <f t="shared" si="5"/>
        <v/>
      </c>
      <c r="Y26" t="str">
        <f t="shared" si="6"/>
        <v/>
      </c>
    </row>
    <row r="27">
      <c r="A27" s="14" t="s">
        <v>44</v>
      </c>
      <c r="B27" s="31">
        <v>24.0</v>
      </c>
      <c r="C27" s="638" t="s">
        <v>2830</v>
      </c>
      <c r="D27" s="638" t="s">
        <v>9471</v>
      </c>
      <c r="E27" s="644" t="s">
        <v>49</v>
      </c>
      <c r="F27" s="406"/>
      <c r="G27" s="194" t="s">
        <v>3002</v>
      </c>
      <c r="H27" s="219"/>
      <c r="I27" s="336"/>
      <c r="J27" s="336"/>
      <c r="K27" s="138"/>
      <c r="L27" s="89"/>
      <c r="M27" s="89" t="str">
        <f t="shared" si="1"/>
        <v>elizabeth.thomson@nmlegis.gov</v>
      </c>
      <c r="N27" s="89"/>
      <c r="O27" s="89"/>
      <c r="P27" s="89"/>
      <c r="Q27" s="89"/>
      <c r="R27" s="89"/>
      <c r="U27" t="str">
        <f t="shared" si="2"/>
        <v/>
      </c>
      <c r="V27" s="139" t="str">
        <f t="shared" si="3"/>
        <v/>
      </c>
      <c r="W27" t="str">
        <f t="shared" si="4"/>
        <v/>
      </c>
      <c r="X27" t="str">
        <f t="shared" si="5"/>
        <v/>
      </c>
      <c r="Y27" t="str">
        <f t="shared" si="6"/>
        <v/>
      </c>
    </row>
    <row r="28">
      <c r="A28" s="14" t="s">
        <v>44</v>
      </c>
      <c r="B28" s="31">
        <v>25.0</v>
      </c>
      <c r="C28" s="638" t="s">
        <v>2551</v>
      </c>
      <c r="D28" s="638" t="s">
        <v>9662</v>
      </c>
      <c r="E28" s="644" t="s">
        <v>49</v>
      </c>
      <c r="F28" s="406"/>
      <c r="G28" s="219"/>
      <c r="H28" s="219"/>
      <c r="I28" s="336"/>
      <c r="J28" s="336"/>
      <c r="K28" s="138"/>
      <c r="L28" s="89"/>
      <c r="M28" s="89" t="str">
        <f t="shared" si="1"/>
        <v>christine.trujillo@nmlegis.gov</v>
      </c>
      <c r="N28" s="89"/>
      <c r="O28" s="89"/>
      <c r="P28" s="89"/>
      <c r="Q28" s="89"/>
      <c r="R28" s="89"/>
      <c r="U28" t="str">
        <f t="shared" si="2"/>
        <v/>
      </c>
      <c r="V28" s="139" t="str">
        <f t="shared" si="3"/>
        <v/>
      </c>
      <c r="W28" t="str">
        <f t="shared" si="4"/>
        <v/>
      </c>
      <c r="X28" t="str">
        <f t="shared" si="5"/>
        <v/>
      </c>
      <c r="Y28" t="str">
        <f t="shared" si="6"/>
        <v/>
      </c>
    </row>
    <row r="29">
      <c r="A29" s="14" t="s">
        <v>44</v>
      </c>
      <c r="B29" s="31">
        <v>26.0</v>
      </c>
      <c r="C29" s="638" t="s">
        <v>9663</v>
      </c>
      <c r="D29" s="638" t="s">
        <v>4971</v>
      </c>
      <c r="E29" s="644" t="s">
        <v>49</v>
      </c>
      <c r="F29" s="406"/>
      <c r="G29" s="194" t="s">
        <v>9667</v>
      </c>
      <c r="H29" s="219"/>
      <c r="I29" s="336"/>
      <c r="J29" s="336"/>
      <c r="K29" s="138"/>
      <c r="L29" s="89"/>
      <c r="M29" s="89" t="str">
        <f t="shared" si="1"/>
        <v>georgene.louis@nmlegis.gov</v>
      </c>
      <c r="N29" s="89"/>
      <c r="O29" s="89"/>
      <c r="P29" s="89"/>
      <c r="Q29" s="89"/>
      <c r="R29" s="89"/>
      <c r="U29" t="str">
        <f t="shared" si="2"/>
        <v/>
      </c>
      <c r="V29" s="139" t="str">
        <f t="shared" si="3"/>
        <v/>
      </c>
      <c r="W29" t="str">
        <f t="shared" si="4"/>
        <v/>
      </c>
      <c r="X29" t="str">
        <f t="shared" si="5"/>
        <v/>
      </c>
      <c r="Y29" t="str">
        <f t="shared" si="6"/>
        <v/>
      </c>
    </row>
    <row r="30">
      <c r="A30" s="14" t="s">
        <v>44</v>
      </c>
      <c r="B30" s="31">
        <v>27.0</v>
      </c>
      <c r="C30" s="486" t="s">
        <v>1058</v>
      </c>
      <c r="D30" s="486" t="s">
        <v>1208</v>
      </c>
      <c r="E30" s="644" t="s">
        <v>49</v>
      </c>
      <c r="F30" s="406"/>
      <c r="G30" s="219"/>
      <c r="H30" s="648"/>
      <c r="I30" s="336"/>
      <c r="J30" s="336"/>
      <c r="K30" s="138"/>
      <c r="L30" s="89"/>
      <c r="M30" s="89" t="str">
        <f t="shared" si="1"/>
        <v>william.pratt@nmlegis.gov</v>
      </c>
      <c r="N30" s="89"/>
      <c r="O30" s="89"/>
      <c r="P30" s="89"/>
      <c r="Q30" s="89"/>
      <c r="R30" s="89"/>
      <c r="U30" t="str">
        <f t="shared" si="2"/>
        <v/>
      </c>
      <c r="V30" s="139" t="str">
        <f t="shared" si="3"/>
        <v/>
      </c>
      <c r="W30" t="str">
        <f t="shared" si="4"/>
        <v/>
      </c>
      <c r="X30" t="str">
        <f t="shared" si="5"/>
        <v/>
      </c>
      <c r="Y30" t="str">
        <f t="shared" si="6"/>
        <v/>
      </c>
    </row>
    <row r="31">
      <c r="A31" s="14" t="s">
        <v>44</v>
      </c>
      <c r="B31" s="31">
        <v>28.0</v>
      </c>
      <c r="C31" s="638" t="s">
        <v>9669</v>
      </c>
      <c r="D31" s="638" t="s">
        <v>293</v>
      </c>
      <c r="E31" s="639" t="s">
        <v>53</v>
      </c>
      <c r="F31" s="406"/>
      <c r="G31" s="219"/>
      <c r="H31" s="219"/>
      <c r="I31" s="336"/>
      <c r="J31" s="336"/>
      <c r="K31" s="138"/>
      <c r="L31" s="89"/>
      <c r="M31" s="89" t="str">
        <f t="shared" si="1"/>
        <v>jimmie.hall@nmlegis.gov</v>
      </c>
      <c r="N31" s="89"/>
      <c r="O31" s="89"/>
      <c r="P31" s="89"/>
      <c r="Q31" s="89"/>
      <c r="R31" s="89"/>
      <c r="U31" t="str">
        <f t="shared" si="2"/>
        <v/>
      </c>
      <c r="V31" s="139" t="str">
        <f t="shared" si="3"/>
        <v/>
      </c>
      <c r="W31" t="str">
        <f t="shared" si="4"/>
        <v/>
      </c>
      <c r="X31" t="str">
        <f t="shared" si="5"/>
        <v/>
      </c>
      <c r="Y31" t="str">
        <f t="shared" si="6"/>
        <v/>
      </c>
    </row>
    <row r="32">
      <c r="A32" s="14" t="s">
        <v>44</v>
      </c>
      <c r="B32" s="31">
        <v>29.0</v>
      </c>
      <c r="C32" s="645" t="s">
        <v>108</v>
      </c>
      <c r="D32" s="645" t="s">
        <v>5302</v>
      </c>
      <c r="E32" s="639" t="s">
        <v>53</v>
      </c>
      <c r="F32" s="406"/>
      <c r="G32" s="219"/>
      <c r="H32" s="219"/>
      <c r="I32" s="336"/>
      <c r="J32" s="336"/>
      <c r="K32" s="138"/>
      <c r="L32" s="89"/>
      <c r="M32" s="89" t="str">
        <f t="shared" si="1"/>
        <v>david.adkins@nmlegis.gov</v>
      </c>
      <c r="N32" s="89"/>
      <c r="O32" s="89"/>
      <c r="P32" s="89"/>
      <c r="Q32" s="89"/>
      <c r="R32" s="89"/>
      <c r="U32" t="str">
        <f t="shared" si="2"/>
        <v/>
      </c>
      <c r="V32" s="139" t="str">
        <f t="shared" si="3"/>
        <v/>
      </c>
      <c r="W32" t="str">
        <f t="shared" si="4"/>
        <v/>
      </c>
      <c r="X32" t="str">
        <f t="shared" si="5"/>
        <v/>
      </c>
      <c r="Y32" t="str">
        <f t="shared" si="6"/>
        <v/>
      </c>
    </row>
    <row r="33">
      <c r="A33" s="14" t="s">
        <v>44</v>
      </c>
      <c r="B33" s="31">
        <v>30.0</v>
      </c>
      <c r="C33" s="638" t="s">
        <v>5573</v>
      </c>
      <c r="D33" s="638" t="s">
        <v>5201</v>
      </c>
      <c r="E33" s="639" t="s">
        <v>53</v>
      </c>
      <c r="F33" s="194"/>
      <c r="G33" s="219"/>
      <c r="H33" s="219"/>
      <c r="I33" s="336"/>
      <c r="J33" s="336"/>
      <c r="K33" s="138"/>
      <c r="L33" s="89"/>
      <c r="M33" s="89" t="str">
        <f t="shared" si="1"/>
        <v>nate.gentry@nmlegis.gov</v>
      </c>
      <c r="N33" s="89"/>
      <c r="O33" s="89"/>
      <c r="P33" s="89"/>
      <c r="Q33" s="89"/>
      <c r="R33" s="89"/>
      <c r="U33" t="str">
        <f t="shared" si="2"/>
        <v/>
      </c>
      <c r="V33" s="139" t="str">
        <f t="shared" si="3"/>
        <v/>
      </c>
      <c r="W33" t="str">
        <f t="shared" si="4"/>
        <v/>
      </c>
      <c r="X33" t="str">
        <f t="shared" si="5"/>
        <v/>
      </c>
      <c r="Y33" t="str">
        <f t="shared" si="6"/>
        <v/>
      </c>
    </row>
    <row r="34">
      <c r="A34" s="14" t="s">
        <v>44</v>
      </c>
      <c r="B34" s="31">
        <v>31.0</v>
      </c>
      <c r="C34" s="638" t="s">
        <v>325</v>
      </c>
      <c r="D34" s="638" t="s">
        <v>9674</v>
      </c>
      <c r="E34" s="639" t="s">
        <v>53</v>
      </c>
      <c r="F34" s="406"/>
      <c r="G34" s="219"/>
      <c r="H34" s="219"/>
      <c r="I34" s="336"/>
      <c r="J34" s="336"/>
      <c r="K34" s="138"/>
      <c r="L34" s="89"/>
      <c r="M34" s="89" t="str">
        <f t="shared" si="1"/>
        <v>bill.rehm@nmlegis.gov</v>
      </c>
      <c r="N34" s="89"/>
      <c r="O34" s="89"/>
      <c r="P34" s="89"/>
      <c r="Q34" s="89"/>
      <c r="R34" s="89"/>
      <c r="U34" t="str">
        <f t="shared" si="2"/>
        <v/>
      </c>
      <c r="V34" s="139" t="str">
        <f t="shared" si="3"/>
        <v/>
      </c>
      <c r="W34" t="str">
        <f t="shared" si="4"/>
        <v/>
      </c>
      <c r="X34" t="str">
        <f t="shared" si="5"/>
        <v/>
      </c>
      <c r="Y34" t="str">
        <f t="shared" si="6"/>
        <v/>
      </c>
    </row>
    <row r="35">
      <c r="A35" s="14" t="s">
        <v>44</v>
      </c>
      <c r="B35" s="31">
        <v>32.0</v>
      </c>
      <c r="C35" s="645" t="s">
        <v>9676</v>
      </c>
      <c r="D35" s="645" t="s">
        <v>9677</v>
      </c>
      <c r="E35" s="644" t="s">
        <v>49</v>
      </c>
      <c r="F35" s="406"/>
      <c r="G35" s="194" t="s">
        <v>2392</v>
      </c>
      <c r="H35" s="219"/>
      <c r="I35" s="336"/>
      <c r="J35" s="336"/>
      <c r="K35" s="138"/>
      <c r="L35" s="89"/>
      <c r="M35" s="89" t="str">
        <f t="shared" si="1"/>
        <v>candie.sweetser@nmlegis.gov</v>
      </c>
      <c r="N35" s="89"/>
      <c r="O35" s="89"/>
      <c r="P35" s="89"/>
      <c r="Q35" s="89"/>
      <c r="R35" s="89"/>
      <c r="U35" t="str">
        <f t="shared" si="2"/>
        <v/>
      </c>
      <c r="V35" s="139" t="str">
        <f t="shared" si="3"/>
        <v/>
      </c>
      <c r="W35" t="str">
        <f t="shared" si="4"/>
        <v/>
      </c>
      <c r="X35" t="str">
        <f t="shared" si="5"/>
        <v/>
      </c>
      <c r="Y35" t="str">
        <f t="shared" si="6"/>
        <v/>
      </c>
    </row>
    <row r="36">
      <c r="A36" s="14" t="s">
        <v>44</v>
      </c>
      <c r="B36" s="31">
        <v>33.0</v>
      </c>
      <c r="C36" s="486" t="s">
        <v>9679</v>
      </c>
      <c r="D36" s="486" t="s">
        <v>9680</v>
      </c>
      <c r="E36" s="644" t="s">
        <v>49</v>
      </c>
      <c r="F36" s="406"/>
      <c r="G36" s="194" t="s">
        <v>9681</v>
      </c>
      <c r="H36" s="219"/>
      <c r="I36" s="336"/>
      <c r="J36" s="336"/>
      <c r="K36" s="138"/>
      <c r="L36" s="89"/>
      <c r="M36" s="89" t="str">
        <f t="shared" si="1"/>
        <v>micaela.cadena@nmlegis.gov</v>
      </c>
      <c r="N36" s="89"/>
      <c r="O36" s="89"/>
      <c r="P36" s="89"/>
      <c r="Q36" s="89"/>
      <c r="R36" s="89"/>
      <c r="U36" t="str">
        <f t="shared" si="2"/>
        <v/>
      </c>
      <c r="V36" s="139" t="str">
        <f t="shared" si="3"/>
        <v/>
      </c>
      <c r="W36" t="str">
        <f t="shared" si="4"/>
        <v/>
      </c>
      <c r="X36" t="str">
        <f t="shared" si="5"/>
        <v/>
      </c>
      <c r="Y36" t="str">
        <f t="shared" si="6"/>
        <v/>
      </c>
    </row>
    <row r="37">
      <c r="A37" s="14" t="s">
        <v>44</v>
      </c>
      <c r="B37" s="31">
        <v>34.0</v>
      </c>
      <c r="C37" s="646" t="s">
        <v>9682</v>
      </c>
      <c r="D37" s="646" t="s">
        <v>2223</v>
      </c>
      <c r="E37" s="644" t="s">
        <v>49</v>
      </c>
      <c r="F37" s="406"/>
      <c r="G37" s="194" t="s">
        <v>2226</v>
      </c>
      <c r="H37" s="219"/>
      <c r="I37" s="336"/>
      <c r="J37" s="336"/>
      <c r="K37" s="138"/>
      <c r="L37" s="89"/>
      <c r="M37" s="89" t="str">
        <f t="shared" si="1"/>
        <v>raymundo.lara@nmlegis.gov</v>
      </c>
      <c r="N37" s="89"/>
      <c r="O37" s="89"/>
      <c r="P37" s="89"/>
      <c r="Q37" s="89"/>
      <c r="R37" s="89"/>
      <c r="U37" t="str">
        <f t="shared" si="2"/>
        <v/>
      </c>
      <c r="V37" s="139" t="str">
        <f t="shared" si="3"/>
        <v/>
      </c>
      <c r="W37" t="str">
        <f t="shared" si="4"/>
        <v/>
      </c>
      <c r="X37" t="str">
        <f t="shared" si="5"/>
        <v/>
      </c>
      <c r="Y37" t="str">
        <f t="shared" si="6"/>
        <v/>
      </c>
    </row>
    <row r="38">
      <c r="A38" s="14" t="s">
        <v>44</v>
      </c>
      <c r="B38" s="31">
        <v>35.0</v>
      </c>
      <c r="C38" s="645" t="s">
        <v>9476</v>
      </c>
      <c r="D38" s="645" t="s">
        <v>1704</v>
      </c>
      <c r="E38" s="644" t="s">
        <v>49</v>
      </c>
      <c r="F38" s="406"/>
      <c r="G38" s="219"/>
      <c r="H38" s="219"/>
      <c r="I38" s="336"/>
      <c r="J38" s="336"/>
      <c r="K38" s="138"/>
      <c r="L38" s="89"/>
      <c r="M38" s="89" t="str">
        <f t="shared" si="1"/>
        <v>angelica.rubio@nmlegis.gov</v>
      </c>
      <c r="N38" s="89"/>
      <c r="O38" s="89"/>
      <c r="P38" s="89"/>
      <c r="Q38" s="89"/>
      <c r="R38" s="89"/>
      <c r="U38" t="str">
        <f t="shared" si="2"/>
        <v/>
      </c>
      <c r="V38" s="139" t="str">
        <f t="shared" si="3"/>
        <v/>
      </c>
      <c r="W38" t="str">
        <f t="shared" si="4"/>
        <v/>
      </c>
      <c r="X38" t="str">
        <f t="shared" si="5"/>
        <v/>
      </c>
      <c r="Y38" t="str">
        <f t="shared" si="6"/>
        <v/>
      </c>
    </row>
    <row r="39">
      <c r="A39" s="14" t="s">
        <v>44</v>
      </c>
      <c r="B39" s="31">
        <v>36.0</v>
      </c>
      <c r="C39" s="638" t="s">
        <v>6305</v>
      </c>
      <c r="D39" s="638" t="s">
        <v>8963</v>
      </c>
      <c r="E39" s="644" t="s">
        <v>49</v>
      </c>
      <c r="F39" s="406"/>
      <c r="G39" s="194" t="s">
        <v>9683</v>
      </c>
      <c r="H39" s="219"/>
      <c r="I39" s="336"/>
      <c r="J39" s="336"/>
      <c r="K39" s="138"/>
      <c r="L39" s="89"/>
      <c r="M39" s="89" t="str">
        <f t="shared" si="1"/>
        <v>nathan.small@nmlegis.gov</v>
      </c>
      <c r="N39" s="89"/>
      <c r="O39" s="89"/>
      <c r="P39" s="89"/>
      <c r="Q39" s="89"/>
      <c r="R39" s="89"/>
      <c r="U39" t="str">
        <f t="shared" si="2"/>
        <v/>
      </c>
      <c r="V39" s="139" t="str">
        <f t="shared" si="3"/>
        <v/>
      </c>
      <c r="W39" t="str">
        <f t="shared" si="4"/>
        <v/>
      </c>
      <c r="X39" t="str">
        <f t="shared" si="5"/>
        <v/>
      </c>
      <c r="Y39" t="str">
        <f t="shared" si="6"/>
        <v/>
      </c>
    </row>
    <row r="40">
      <c r="A40" s="14" t="s">
        <v>44</v>
      </c>
      <c r="B40" s="31">
        <v>37.0</v>
      </c>
      <c r="C40" s="645" t="s">
        <v>832</v>
      </c>
      <c r="D40" s="645" t="s">
        <v>9686</v>
      </c>
      <c r="E40" s="644" t="s">
        <v>49</v>
      </c>
      <c r="F40" s="406"/>
      <c r="G40" s="219"/>
      <c r="H40" s="219"/>
      <c r="I40" s="336"/>
      <c r="J40" s="336"/>
      <c r="K40" s="138"/>
      <c r="L40" s="89"/>
      <c r="M40" s="89" t="str">
        <f t="shared" si="1"/>
        <v>joanne.ferrary@nmlegis.gov</v>
      </c>
      <c r="N40" s="89"/>
      <c r="O40" s="89"/>
      <c r="P40" s="89"/>
      <c r="Q40" s="89"/>
      <c r="R40" s="89"/>
      <c r="U40" t="str">
        <f t="shared" si="2"/>
        <v/>
      </c>
      <c r="V40" s="139" t="str">
        <f t="shared" si="3"/>
        <v/>
      </c>
      <c r="W40" t="str">
        <f t="shared" si="4"/>
        <v/>
      </c>
      <c r="X40" t="str">
        <f t="shared" si="5"/>
        <v/>
      </c>
      <c r="Y40" t="str">
        <f t="shared" si="6"/>
        <v/>
      </c>
    </row>
    <row r="41">
      <c r="A41" s="14" t="s">
        <v>44</v>
      </c>
      <c r="B41" s="31">
        <v>38.0</v>
      </c>
      <c r="C41" s="645" t="s">
        <v>1340</v>
      </c>
      <c r="D41" s="645" t="s">
        <v>7023</v>
      </c>
      <c r="E41" s="639" t="s">
        <v>53</v>
      </c>
      <c r="F41" s="406"/>
      <c r="G41" s="219"/>
      <c r="H41" s="219"/>
      <c r="I41" s="336"/>
      <c r="J41" s="336"/>
      <c r="K41" s="138"/>
      <c r="L41" s="89"/>
      <c r="M41" s="89" t="str">
        <f t="shared" si="1"/>
        <v>rebecca.dow@nmlegis.gov</v>
      </c>
      <c r="N41" s="89"/>
      <c r="O41" s="89"/>
      <c r="P41" s="89"/>
      <c r="Q41" s="89"/>
      <c r="R41" s="89"/>
      <c r="U41" t="str">
        <f t="shared" si="2"/>
        <v/>
      </c>
      <c r="V41" s="139" t="str">
        <f t="shared" si="3"/>
        <v/>
      </c>
      <c r="W41" t="str">
        <f t="shared" si="4"/>
        <v/>
      </c>
      <c r="X41" t="str">
        <f t="shared" si="5"/>
        <v/>
      </c>
      <c r="Y41" t="str">
        <f t="shared" si="6"/>
        <v/>
      </c>
    </row>
    <row r="42">
      <c r="A42" s="14" t="s">
        <v>44</v>
      </c>
      <c r="B42" s="31">
        <v>39.0</v>
      </c>
      <c r="C42" s="649" t="s">
        <v>9688</v>
      </c>
      <c r="D42" s="649" t="s">
        <v>4546</v>
      </c>
      <c r="E42" s="644" t="s">
        <v>49</v>
      </c>
      <c r="F42" s="406"/>
      <c r="G42" s="194" t="s">
        <v>9691</v>
      </c>
      <c r="H42" s="219"/>
      <c r="I42" s="336"/>
      <c r="J42" s="336"/>
      <c r="K42" s="138"/>
      <c r="L42" s="89"/>
      <c r="M42" s="89" t="str">
        <f t="shared" si="1"/>
        <v>rodolpho.martinez@nmlegis.gov</v>
      </c>
      <c r="N42" s="89"/>
      <c r="O42" s="89"/>
      <c r="P42" s="89"/>
      <c r="Q42" s="89"/>
      <c r="R42" s="89"/>
      <c r="U42" t="str">
        <f t="shared" si="2"/>
        <v/>
      </c>
      <c r="V42" s="139" t="str">
        <f t="shared" si="3"/>
        <v/>
      </c>
      <c r="W42" t="str">
        <f t="shared" si="4"/>
        <v/>
      </c>
      <c r="X42" t="str">
        <f t="shared" si="5"/>
        <v/>
      </c>
      <c r="Y42" t="str">
        <f t="shared" si="6"/>
        <v/>
      </c>
    </row>
    <row r="43">
      <c r="A43" s="14" t="s">
        <v>44</v>
      </c>
      <c r="B43" s="31">
        <v>40.0</v>
      </c>
      <c r="C43" s="638" t="s">
        <v>3030</v>
      </c>
      <c r="D43" s="638" t="s">
        <v>9694</v>
      </c>
      <c r="E43" s="644" t="s">
        <v>49</v>
      </c>
      <c r="F43" s="406"/>
      <c r="G43" s="219"/>
      <c r="H43" s="219"/>
      <c r="I43" s="336"/>
      <c r="J43" s="336"/>
      <c r="K43" s="138"/>
      <c r="L43" s="89"/>
      <c r="M43" s="89" t="str">
        <f t="shared" si="1"/>
        <v>nick.salazar@nmlegis.gov</v>
      </c>
      <c r="N43" s="89"/>
      <c r="O43" s="89"/>
      <c r="P43" s="89"/>
      <c r="Q43" s="89"/>
      <c r="R43" s="89"/>
      <c r="U43" t="str">
        <f t="shared" si="2"/>
        <v/>
      </c>
      <c r="V43" s="139" t="str">
        <f t="shared" si="3"/>
        <v/>
      </c>
      <c r="W43" t="str">
        <f t="shared" si="4"/>
        <v/>
      </c>
      <c r="X43" t="str">
        <f t="shared" si="5"/>
        <v/>
      </c>
      <c r="Y43" t="str">
        <f t="shared" si="6"/>
        <v/>
      </c>
    </row>
    <row r="44">
      <c r="A44" s="14" t="s">
        <v>44</v>
      </c>
      <c r="B44" s="31">
        <v>41.0</v>
      </c>
      <c r="C44" s="638" t="s">
        <v>425</v>
      </c>
      <c r="D44" s="638" t="s">
        <v>9699</v>
      </c>
      <c r="E44" s="644" t="s">
        <v>49</v>
      </c>
      <c r="F44" s="406"/>
      <c r="G44" s="194" t="s">
        <v>9700</v>
      </c>
      <c r="H44" s="219"/>
      <c r="I44" s="336"/>
      <c r="J44" s="336"/>
      <c r="K44" s="138"/>
      <c r="L44" s="89"/>
      <c r="M44" s="89" t="str">
        <f t="shared" si="1"/>
        <v>debbie.rodella@nmlegis.gov</v>
      </c>
      <c r="N44" s="89"/>
      <c r="O44" s="89"/>
      <c r="P44" s="89"/>
      <c r="Q44" s="89"/>
      <c r="R44" s="89"/>
      <c r="U44" t="str">
        <f t="shared" si="2"/>
        <v/>
      </c>
      <c r="V44" s="139" t="str">
        <f t="shared" si="3"/>
        <v/>
      </c>
      <c r="W44" t="str">
        <f t="shared" si="4"/>
        <v/>
      </c>
      <c r="X44" t="str">
        <f t="shared" si="5"/>
        <v/>
      </c>
      <c r="Y44" t="str">
        <f t="shared" si="6"/>
        <v/>
      </c>
    </row>
    <row r="45">
      <c r="A45" s="14" t="s">
        <v>44</v>
      </c>
      <c r="B45" s="31">
        <v>42.0</v>
      </c>
      <c r="C45" s="638" t="s">
        <v>9701</v>
      </c>
      <c r="D45" s="638" t="s">
        <v>1151</v>
      </c>
      <c r="E45" s="644" t="s">
        <v>49</v>
      </c>
      <c r="F45" s="406"/>
      <c r="G45" s="219"/>
      <c r="H45" s="219"/>
      <c r="I45" s="336"/>
      <c r="J45" s="336"/>
      <c r="K45" s="138"/>
      <c r="L45" s="89"/>
      <c r="M45" s="89" t="str">
        <f t="shared" si="1"/>
        <v>roberto.gonzales@nmlegis.gov</v>
      </c>
      <c r="N45" s="89"/>
      <c r="O45" s="89"/>
      <c r="P45" s="89"/>
      <c r="Q45" s="89"/>
      <c r="R45" s="89"/>
      <c r="U45" t="str">
        <f t="shared" si="2"/>
        <v/>
      </c>
      <c r="V45" s="139" t="str">
        <f t="shared" si="3"/>
        <v/>
      </c>
      <c r="W45" t="str">
        <f t="shared" si="4"/>
        <v/>
      </c>
      <c r="X45" t="str">
        <f t="shared" si="5"/>
        <v/>
      </c>
      <c r="Y45" t="str">
        <f t="shared" si="6"/>
        <v/>
      </c>
    </row>
    <row r="46">
      <c r="A46" s="14" t="s">
        <v>44</v>
      </c>
      <c r="B46" s="31">
        <v>43.0</v>
      </c>
      <c r="C46" s="638" t="s">
        <v>2254</v>
      </c>
      <c r="D46" s="486" t="s">
        <v>9703</v>
      </c>
      <c r="E46" s="644" t="s">
        <v>49</v>
      </c>
      <c r="F46" s="406"/>
      <c r="G46" s="194" t="s">
        <v>1047</v>
      </c>
      <c r="H46" s="219"/>
      <c r="I46" s="336"/>
      <c r="J46" s="336"/>
      <c r="K46" s="138"/>
      <c r="L46" s="89"/>
      <c r="M46" s="89" t="str">
        <f t="shared" si="1"/>
        <v>stephanie.garciarichard@nmlegis.gov</v>
      </c>
      <c r="N46" s="89"/>
      <c r="O46" s="89"/>
      <c r="P46" s="89"/>
      <c r="Q46" s="89"/>
      <c r="R46" s="89"/>
      <c r="U46" t="str">
        <f t="shared" si="2"/>
        <v/>
      </c>
      <c r="V46" s="139" t="str">
        <f t="shared" si="3"/>
        <v/>
      </c>
      <c r="W46" t="str">
        <f t="shared" si="4"/>
        <v/>
      </c>
      <c r="X46" t="str">
        <f t="shared" si="5"/>
        <v/>
      </c>
      <c r="Y46" t="str">
        <f t="shared" si="6"/>
        <v/>
      </c>
    </row>
    <row r="47">
      <c r="A47" s="14" t="s">
        <v>44</v>
      </c>
      <c r="B47" s="31">
        <v>44.0</v>
      </c>
      <c r="C47" s="638" t="s">
        <v>2443</v>
      </c>
      <c r="D47" s="638" t="s">
        <v>9704</v>
      </c>
      <c r="E47" s="639" t="s">
        <v>53</v>
      </c>
      <c r="F47" s="406"/>
      <c r="G47" s="219"/>
      <c r="H47" s="219"/>
      <c r="I47" s="336"/>
      <c r="J47" s="336"/>
      <c r="K47" s="138"/>
      <c r="L47" s="89"/>
      <c r="M47" s="89" t="str">
        <f t="shared" si="1"/>
        <v>jane.powdrell-culbert@nmlegis.gov</v>
      </c>
      <c r="N47" s="89"/>
      <c r="O47" s="89"/>
      <c r="P47" s="89"/>
      <c r="Q47" s="89"/>
      <c r="R47" s="89"/>
      <c r="U47" t="str">
        <f t="shared" si="2"/>
        <v/>
      </c>
      <c r="V47" s="139" t="str">
        <f t="shared" si="3"/>
        <v/>
      </c>
      <c r="W47" t="str">
        <f t="shared" si="4"/>
        <v/>
      </c>
      <c r="X47" t="str">
        <f t="shared" si="5"/>
        <v/>
      </c>
      <c r="Y47" t="str">
        <f t="shared" si="6"/>
        <v/>
      </c>
    </row>
    <row r="48">
      <c r="A48" s="14" t="s">
        <v>44</v>
      </c>
      <c r="B48" s="31">
        <v>45.0</v>
      </c>
      <c r="C48" s="638" t="s">
        <v>476</v>
      </c>
      <c r="D48" s="638" t="s">
        <v>9662</v>
      </c>
      <c r="E48" s="644" t="s">
        <v>49</v>
      </c>
      <c r="F48" s="406"/>
      <c r="G48" s="194" t="s">
        <v>9705</v>
      </c>
      <c r="H48" s="219"/>
      <c r="I48" s="336"/>
      <c r="J48" s="336"/>
      <c r="K48" s="138"/>
      <c r="L48" s="89"/>
      <c r="M48" s="89" t="str">
        <f t="shared" si="1"/>
        <v>jim.trujillo@nmlegis.gov</v>
      </c>
      <c r="N48" s="89"/>
      <c r="O48" s="89"/>
      <c r="P48" s="89"/>
      <c r="Q48" s="89"/>
      <c r="R48" s="89"/>
      <c r="U48" t="str">
        <f t="shared" si="2"/>
        <v/>
      </c>
      <c r="V48" s="139" t="str">
        <f t="shared" si="3"/>
        <v/>
      </c>
      <c r="W48" t="str">
        <f t="shared" si="4"/>
        <v/>
      </c>
      <c r="X48" t="str">
        <f t="shared" si="5"/>
        <v/>
      </c>
      <c r="Y48" t="str">
        <f t="shared" si="6"/>
        <v/>
      </c>
    </row>
    <row r="49">
      <c r="A49" s="14" t="s">
        <v>44</v>
      </c>
      <c r="B49" s="31">
        <v>46.0</v>
      </c>
      <c r="C49" s="638" t="s">
        <v>4087</v>
      </c>
      <c r="D49" s="638" t="s">
        <v>9662</v>
      </c>
      <c r="E49" s="644" t="s">
        <v>49</v>
      </c>
      <c r="F49" s="406"/>
      <c r="G49" s="194" t="s">
        <v>9706</v>
      </c>
      <c r="H49" s="219"/>
      <c r="I49" s="336"/>
      <c r="J49" s="336"/>
      <c r="K49" s="138"/>
      <c r="L49" s="89"/>
      <c r="M49" s="89" t="str">
        <f t="shared" si="1"/>
        <v>carl.trujillo@nmlegis.gov</v>
      </c>
      <c r="N49" s="89"/>
      <c r="O49" s="89"/>
      <c r="P49" s="89"/>
      <c r="Q49" s="89"/>
      <c r="R49" s="89"/>
      <c r="U49" t="str">
        <f t="shared" si="2"/>
        <v/>
      </c>
      <c r="V49" s="139" t="str">
        <f t="shared" si="3"/>
        <v/>
      </c>
      <c r="W49" t="str">
        <f t="shared" si="4"/>
        <v/>
      </c>
      <c r="X49" t="str">
        <f t="shared" si="5"/>
        <v/>
      </c>
      <c r="Y49" t="str">
        <f t="shared" si="6"/>
        <v/>
      </c>
    </row>
    <row r="50">
      <c r="A50" s="14" t="s">
        <v>44</v>
      </c>
      <c r="B50" s="31">
        <v>47.0</v>
      </c>
      <c r="C50" s="638" t="s">
        <v>1331</v>
      </c>
      <c r="D50" s="638" t="s">
        <v>9708</v>
      </c>
      <c r="E50" s="644" t="s">
        <v>49</v>
      </c>
      <c r="F50" s="413" t="s">
        <v>9709</v>
      </c>
      <c r="G50" s="219"/>
      <c r="H50" s="219"/>
      <c r="I50" s="336"/>
      <c r="J50" s="336"/>
      <c r="K50" s="138"/>
      <c r="L50" s="89"/>
      <c r="M50" s="89" t="str">
        <f t="shared" si="1"/>
        <v>brian.egolf@nmlegis.gov</v>
      </c>
      <c r="N50" s="640" t="str">
        <f>HYPERLINK("https://docs.google.com/document/d/1v0hzTToadJy-6mCf1W2ED9ZyxuOuEiAC2a7YMgL4ou0/edit","Zero")</f>
        <v>Zero</v>
      </c>
      <c r="O50" s="89"/>
      <c r="P50" s="89"/>
      <c r="Q50" s="89"/>
      <c r="R50" s="89"/>
      <c r="U50" t="str">
        <f t="shared" si="2"/>
        <v>Representative</v>
      </c>
      <c r="V50" s="139" t="str">
        <f t="shared" si="3"/>
        <v>Brian</v>
      </c>
      <c r="W50" t="str">
        <f t="shared" si="4"/>
        <v>Egolf</v>
      </c>
      <c r="X50" t="str">
        <f t="shared" si="5"/>
        <v>brian.egolf@nmlegis.gov</v>
      </c>
      <c r="Y50" t="str">
        <f t="shared" si="6"/>
        <v>Speaker of the House </v>
      </c>
    </row>
    <row r="51">
      <c r="A51" s="14" t="s">
        <v>44</v>
      </c>
      <c r="B51" s="31">
        <v>48.0</v>
      </c>
      <c r="C51" s="645" t="s">
        <v>978</v>
      </c>
      <c r="D51" s="645" t="s">
        <v>9662</v>
      </c>
      <c r="E51" s="644" t="s">
        <v>49</v>
      </c>
      <c r="F51" s="406"/>
      <c r="G51" s="194" t="s">
        <v>9710</v>
      </c>
      <c r="H51" s="219"/>
      <c r="I51" s="336"/>
      <c r="J51" s="336"/>
      <c r="K51" s="138"/>
      <c r="L51" s="89"/>
      <c r="M51" s="89" t="str">
        <f t="shared" si="1"/>
        <v>linda.trujillo@nmlegis.gov</v>
      </c>
      <c r="N51" s="89"/>
      <c r="O51" s="89"/>
      <c r="P51" s="89"/>
      <c r="Q51" s="89"/>
      <c r="R51" s="89"/>
      <c r="U51" t="str">
        <f t="shared" si="2"/>
        <v/>
      </c>
      <c r="V51" s="139" t="str">
        <f t="shared" si="3"/>
        <v/>
      </c>
      <c r="W51" t="str">
        <f t="shared" si="4"/>
        <v/>
      </c>
      <c r="X51" t="str">
        <f t="shared" si="5"/>
        <v/>
      </c>
      <c r="Y51" t="str">
        <f t="shared" si="6"/>
        <v/>
      </c>
    </row>
    <row r="52">
      <c r="A52" s="14" t="s">
        <v>44</v>
      </c>
      <c r="B52" s="31">
        <v>49.0</v>
      </c>
      <c r="C52" s="645" t="s">
        <v>850</v>
      </c>
      <c r="D52" s="645" t="s">
        <v>3929</v>
      </c>
      <c r="E52" s="639" t="s">
        <v>53</v>
      </c>
      <c r="F52" s="406"/>
      <c r="G52" s="219"/>
      <c r="H52" s="219"/>
      <c r="I52" s="336"/>
      <c r="J52" s="336"/>
      <c r="K52" s="138"/>
      <c r="L52" s="89"/>
      <c r="M52" s="89" t="str">
        <f t="shared" si="1"/>
        <v>gail.armstrong@nmlegis.gov</v>
      </c>
      <c r="N52" s="89"/>
      <c r="O52" s="89"/>
      <c r="P52" s="89"/>
      <c r="Q52" s="89"/>
      <c r="R52" s="89"/>
      <c r="U52" t="str">
        <f t="shared" si="2"/>
        <v/>
      </c>
      <c r="V52" s="139" t="str">
        <f t="shared" si="3"/>
        <v/>
      </c>
      <c r="W52" t="str">
        <f t="shared" si="4"/>
        <v/>
      </c>
      <c r="X52" t="str">
        <f t="shared" si="5"/>
        <v/>
      </c>
      <c r="Y52" t="str">
        <f t="shared" si="6"/>
        <v/>
      </c>
    </row>
    <row r="53">
      <c r="A53" s="14" t="s">
        <v>44</v>
      </c>
      <c r="B53" s="31">
        <v>50.0</v>
      </c>
      <c r="C53" s="645" t="s">
        <v>896</v>
      </c>
      <c r="D53" s="645" t="s">
        <v>9712</v>
      </c>
      <c r="E53" s="644" t="s">
        <v>49</v>
      </c>
      <c r="F53" s="406"/>
      <c r="G53" s="194" t="s">
        <v>9713</v>
      </c>
      <c r="H53" s="219"/>
      <c r="I53" s="336"/>
      <c r="J53" s="336"/>
      <c r="K53" s="138"/>
      <c r="L53" s="89"/>
      <c r="M53" s="89" t="str">
        <f t="shared" si="1"/>
        <v>matthew.mcqueen@nmlegis.gov</v>
      </c>
      <c r="N53" s="89"/>
      <c r="O53" s="89"/>
      <c r="P53" s="89"/>
      <c r="Q53" s="89"/>
      <c r="R53" s="89"/>
      <c r="U53" t="str">
        <f t="shared" si="2"/>
        <v/>
      </c>
      <c r="V53" s="139" t="str">
        <f t="shared" si="3"/>
        <v/>
      </c>
      <c r="W53" t="str">
        <f t="shared" si="4"/>
        <v/>
      </c>
      <c r="X53" t="str">
        <f t="shared" si="5"/>
        <v/>
      </c>
      <c r="Y53" t="str">
        <f t="shared" si="6"/>
        <v/>
      </c>
    </row>
    <row r="54">
      <c r="A54" s="14" t="s">
        <v>44</v>
      </c>
      <c r="B54" s="31">
        <v>51.0</v>
      </c>
      <c r="C54" s="638" t="s">
        <v>9714</v>
      </c>
      <c r="D54" s="638" t="s">
        <v>9715</v>
      </c>
      <c r="E54" s="639" t="s">
        <v>53</v>
      </c>
      <c r="F54" s="406"/>
      <c r="G54" s="219"/>
      <c r="H54" s="219"/>
      <c r="I54" s="336"/>
      <c r="J54" s="336"/>
      <c r="K54" s="138"/>
      <c r="L54" s="89"/>
      <c r="M54" s="89" t="str">
        <f t="shared" si="1"/>
        <v>yvette.herrell@nmlegis.gov</v>
      </c>
      <c r="N54" s="89"/>
      <c r="O54" s="89"/>
      <c r="P54" s="89"/>
      <c r="Q54" s="89"/>
      <c r="R54" s="89"/>
      <c r="U54" t="str">
        <f t="shared" si="2"/>
        <v/>
      </c>
      <c r="V54" s="139" t="str">
        <f t="shared" si="3"/>
        <v/>
      </c>
      <c r="W54" t="str">
        <f t="shared" si="4"/>
        <v/>
      </c>
      <c r="X54" t="str">
        <f t="shared" si="5"/>
        <v/>
      </c>
      <c r="Y54" t="str">
        <f t="shared" si="6"/>
        <v/>
      </c>
    </row>
    <row r="55">
      <c r="A55" s="14" t="s">
        <v>44</v>
      </c>
      <c r="B55" s="31">
        <v>52.0</v>
      </c>
      <c r="C55" s="638" t="s">
        <v>3660</v>
      </c>
      <c r="D55" s="638" t="s">
        <v>9717</v>
      </c>
      <c r="E55" s="644" t="s">
        <v>49</v>
      </c>
      <c r="F55" s="413" t="s">
        <v>9718</v>
      </c>
      <c r="G55" s="219"/>
      <c r="H55" s="219"/>
      <c r="I55" s="336"/>
      <c r="J55" s="336"/>
      <c r="K55" s="138"/>
      <c r="L55" s="89"/>
      <c r="M55" s="89" t="str">
        <f t="shared" si="1"/>
        <v>doreen.gallegos@nmlegis.gov</v>
      </c>
      <c r="N55" s="640" t="str">
        <f>HYPERLINK("https://docs.google.com/document/d/1uP-YY7SzM0IbjjG0MWrvqJhRsxG3kPdnNyOBGU3DlQg/edit?usp=drive_web&amp;ouid=111300232804728282603","Zero")</f>
        <v>Zero</v>
      </c>
      <c r="O55" s="89"/>
      <c r="P55" s="89"/>
      <c r="Q55" s="89"/>
      <c r="R55" s="89"/>
      <c r="U55" t="str">
        <f t="shared" si="2"/>
        <v>Representative</v>
      </c>
      <c r="V55" s="139" t="str">
        <f t="shared" si="3"/>
        <v>Doreen</v>
      </c>
      <c r="W55" t="str">
        <f t="shared" si="4"/>
        <v>Gallegos</v>
      </c>
      <c r="X55" t="str">
        <f t="shared" si="5"/>
        <v>doreen.gallegos@nmlegis.gov</v>
      </c>
      <c r="Y55" t="str">
        <f t="shared" si="6"/>
        <v>House Majority Whip </v>
      </c>
    </row>
    <row r="56">
      <c r="A56" s="14" t="s">
        <v>44</v>
      </c>
      <c r="B56" s="31">
        <v>53.0</v>
      </c>
      <c r="C56" s="645" t="s">
        <v>1291</v>
      </c>
      <c r="D56" s="645" t="s">
        <v>4410</v>
      </c>
      <c r="E56" s="639" t="s">
        <v>53</v>
      </c>
      <c r="F56" s="406"/>
      <c r="G56" s="219"/>
      <c r="H56" s="219"/>
      <c r="I56" s="336"/>
      <c r="J56" s="336"/>
      <c r="K56" s="138"/>
      <c r="L56" s="89"/>
      <c r="M56" s="89" t="str">
        <f t="shared" si="1"/>
        <v>rick.little@nmlegis.gov</v>
      </c>
      <c r="N56" s="89"/>
      <c r="O56" s="89"/>
      <c r="P56" s="89"/>
      <c r="Q56" s="89"/>
      <c r="R56" s="89"/>
      <c r="U56" t="str">
        <f t="shared" si="2"/>
        <v/>
      </c>
      <c r="V56" s="139" t="str">
        <f t="shared" si="3"/>
        <v/>
      </c>
      <c r="W56" t="str">
        <f t="shared" si="4"/>
        <v/>
      </c>
      <c r="X56" t="str">
        <f t="shared" si="5"/>
        <v/>
      </c>
      <c r="Y56" t="str">
        <f t="shared" si="6"/>
        <v/>
      </c>
    </row>
    <row r="57">
      <c r="A57" s="14" t="s">
        <v>44</v>
      </c>
      <c r="B57" s="31">
        <v>54.0</v>
      </c>
      <c r="C57" s="645" t="s">
        <v>930</v>
      </c>
      <c r="D57" s="645" t="s">
        <v>895</v>
      </c>
      <c r="E57" s="639" t="s">
        <v>53</v>
      </c>
      <c r="F57" s="413" t="s">
        <v>498</v>
      </c>
      <c r="G57" s="219"/>
      <c r="H57" s="219"/>
      <c r="I57" s="336"/>
      <c r="J57" s="336"/>
      <c r="K57" s="138"/>
      <c r="L57" s="89"/>
      <c r="M57" s="89" t="str">
        <f t="shared" si="1"/>
        <v>james.townsend@nmlegis.gov</v>
      </c>
      <c r="N57" s="640" t="str">
        <f>HYPERLINK("https://docs.google.com/document/d/1m0LTfirEjpU0pAzpyPVLOwcGt01GKYhRDO5-MfZeC7E/edit?usp=drive_web&amp;ouid=111300232804728282603","Zero")</f>
        <v>Zero</v>
      </c>
      <c r="O57" s="89"/>
      <c r="P57" s="89"/>
      <c r="Q57" s="89"/>
      <c r="R57" s="89"/>
      <c r="U57" t="str">
        <f t="shared" si="2"/>
        <v/>
      </c>
      <c r="V57" s="139" t="str">
        <f t="shared" si="3"/>
        <v/>
      </c>
      <c r="W57" t="str">
        <f t="shared" si="4"/>
        <v/>
      </c>
      <c r="X57" t="str">
        <f t="shared" si="5"/>
        <v/>
      </c>
      <c r="Y57" t="str">
        <f t="shared" si="6"/>
        <v/>
      </c>
    </row>
    <row r="58">
      <c r="A58" s="14" t="s">
        <v>44</v>
      </c>
      <c r="B58" s="31">
        <v>55.0</v>
      </c>
      <c r="C58" s="638" t="s">
        <v>9719</v>
      </c>
      <c r="D58" s="638" t="s">
        <v>447</v>
      </c>
      <c r="E58" s="639" t="s">
        <v>53</v>
      </c>
      <c r="F58" s="406"/>
      <c r="G58" s="219"/>
      <c r="H58" s="219"/>
      <c r="I58" s="336"/>
      <c r="J58" s="336"/>
      <c r="K58" s="138"/>
      <c r="L58" s="89"/>
      <c r="M58" s="89" t="str">
        <f t="shared" si="1"/>
        <v>cathrynn.brown@nmlegis.gov</v>
      </c>
      <c r="N58" s="89"/>
      <c r="O58" s="89"/>
      <c r="P58" s="89"/>
      <c r="Q58" s="89"/>
      <c r="R58" s="89"/>
      <c r="U58" t="str">
        <f t="shared" si="2"/>
        <v/>
      </c>
      <c r="V58" s="139" t="str">
        <f t="shared" si="3"/>
        <v/>
      </c>
      <c r="W58" t="str">
        <f t="shared" si="4"/>
        <v/>
      </c>
      <c r="X58" t="str">
        <f t="shared" si="5"/>
        <v/>
      </c>
      <c r="Y58" t="str">
        <f t="shared" si="6"/>
        <v/>
      </c>
    </row>
    <row r="59">
      <c r="A59" s="14" t="s">
        <v>44</v>
      </c>
      <c r="B59" s="31">
        <v>56.0</v>
      </c>
      <c r="C59" s="638" t="s">
        <v>9721</v>
      </c>
      <c r="D59" s="638" t="s">
        <v>731</v>
      </c>
      <c r="E59" s="639" t="s">
        <v>53</v>
      </c>
      <c r="F59" s="406"/>
      <c r="G59" s="219"/>
      <c r="H59" s="219"/>
      <c r="I59" s="336"/>
      <c r="J59" s="336"/>
      <c r="K59" s="138"/>
      <c r="L59" s="89"/>
      <c r="M59" s="89" t="str">
        <f t="shared" si="1"/>
        <v>zachary.cook@nmlegis.gov</v>
      </c>
      <c r="N59" s="89"/>
      <c r="O59" s="89"/>
      <c r="P59" s="89"/>
      <c r="Q59" s="89"/>
      <c r="R59" s="89"/>
      <c r="U59" t="str">
        <f t="shared" si="2"/>
        <v/>
      </c>
      <c r="V59" s="139" t="str">
        <f t="shared" si="3"/>
        <v/>
      </c>
      <c r="W59" t="str">
        <f t="shared" si="4"/>
        <v/>
      </c>
      <c r="X59" t="str">
        <f t="shared" si="5"/>
        <v/>
      </c>
      <c r="Y59" t="str">
        <f t="shared" si="6"/>
        <v/>
      </c>
    </row>
    <row r="60">
      <c r="A60" s="14" t="s">
        <v>44</v>
      </c>
      <c r="B60" s="31">
        <v>57.0</v>
      </c>
      <c r="C60" s="638" t="s">
        <v>1231</v>
      </c>
      <c r="D60" s="638" t="s">
        <v>1946</v>
      </c>
      <c r="E60" s="639" t="s">
        <v>53</v>
      </c>
      <c r="F60" s="406"/>
      <c r="G60" s="219"/>
      <c r="H60" s="219"/>
      <c r="I60" s="336"/>
      <c r="J60" s="336"/>
      <c r="K60" s="138"/>
      <c r="L60" s="89"/>
      <c r="M60" s="89" t="str">
        <f t="shared" si="1"/>
        <v>jason.harper@nmlegis.gov</v>
      </c>
      <c r="N60" s="89"/>
      <c r="O60" s="89"/>
      <c r="P60" s="89"/>
      <c r="Q60" s="89"/>
      <c r="R60" s="89"/>
      <c r="U60" t="str">
        <f t="shared" si="2"/>
        <v/>
      </c>
      <c r="V60" s="139" t="str">
        <f t="shared" si="3"/>
        <v/>
      </c>
      <c r="W60" t="str">
        <f t="shared" si="4"/>
        <v/>
      </c>
      <c r="X60" t="str">
        <f t="shared" si="5"/>
        <v/>
      </c>
      <c r="Y60" t="str">
        <f t="shared" si="6"/>
        <v/>
      </c>
    </row>
    <row r="61">
      <c r="A61" s="14" t="s">
        <v>44</v>
      </c>
      <c r="B61" s="31">
        <v>58.0</v>
      </c>
      <c r="C61" s="638" t="s">
        <v>9724</v>
      </c>
      <c r="D61" s="638" t="s">
        <v>9725</v>
      </c>
      <c r="E61" s="639" t="s">
        <v>53</v>
      </c>
      <c r="F61" s="413" t="s">
        <v>2029</v>
      </c>
      <c r="G61" s="219"/>
      <c r="H61" s="219"/>
      <c r="I61" s="336"/>
      <c r="J61" s="336"/>
      <c r="K61" s="138"/>
      <c r="L61" s="89"/>
      <c r="M61" s="89" t="str">
        <f t="shared" si="1"/>
        <v>candy.ezzell@nmlegis.gov</v>
      </c>
      <c r="N61" s="640" t="str">
        <f>HYPERLINK("https://docs.google.com/document/d/1mmsS32CQ5NoWK0mdoIdyRisTPNnKGvmm8HLeKLRMypI/edit","Zero")</f>
        <v>Zero</v>
      </c>
      <c r="O61" s="89"/>
      <c r="P61" s="89"/>
      <c r="Q61" s="89"/>
      <c r="R61" s="89"/>
      <c r="U61" t="str">
        <f t="shared" si="2"/>
        <v/>
      </c>
      <c r="V61" s="139" t="str">
        <f t="shared" si="3"/>
        <v/>
      </c>
      <c r="W61" t="str">
        <f t="shared" si="4"/>
        <v/>
      </c>
      <c r="X61" t="str">
        <f t="shared" si="5"/>
        <v/>
      </c>
      <c r="Y61" t="str">
        <f t="shared" si="6"/>
        <v/>
      </c>
    </row>
    <row r="62">
      <c r="A62" s="14" t="s">
        <v>44</v>
      </c>
      <c r="B62" s="31">
        <v>59.0</v>
      </c>
      <c r="C62" s="645" t="s">
        <v>997</v>
      </c>
      <c r="D62" s="645" t="s">
        <v>9727</v>
      </c>
      <c r="E62" s="639" t="s">
        <v>53</v>
      </c>
      <c r="F62" s="406"/>
      <c r="G62" s="219"/>
      <c r="H62" s="219"/>
      <c r="I62" s="336"/>
      <c r="J62" s="336"/>
      <c r="K62" s="138"/>
      <c r="L62" s="89"/>
      <c r="M62" s="89" t="str">
        <f t="shared" si="1"/>
        <v>greg.nibert@nmlegis.gov</v>
      </c>
      <c r="N62" s="89"/>
      <c r="O62" s="89"/>
      <c r="P62" s="89"/>
      <c r="Q62" s="89"/>
      <c r="R62" s="89"/>
      <c r="U62" t="str">
        <f t="shared" si="2"/>
        <v/>
      </c>
      <c r="V62" s="139" t="str">
        <f t="shared" si="3"/>
        <v/>
      </c>
      <c r="W62" t="str">
        <f t="shared" si="4"/>
        <v/>
      </c>
      <c r="X62" t="str">
        <f t="shared" si="5"/>
        <v/>
      </c>
      <c r="Y62" t="str">
        <f t="shared" si="6"/>
        <v/>
      </c>
    </row>
    <row r="63">
      <c r="A63" s="14" t="s">
        <v>44</v>
      </c>
      <c r="B63" s="31">
        <v>60.0</v>
      </c>
      <c r="C63" s="638" t="s">
        <v>225</v>
      </c>
      <c r="D63" s="638" t="s">
        <v>1707</v>
      </c>
      <c r="E63" s="639" t="s">
        <v>53</v>
      </c>
      <c r="F63" s="406"/>
      <c r="G63" s="219"/>
      <c r="H63" s="219"/>
      <c r="I63" s="336"/>
      <c r="J63" s="336"/>
      <c r="K63" s="138"/>
      <c r="L63" s="89"/>
      <c r="M63" s="89" t="str">
        <f t="shared" si="1"/>
        <v>tim.lewis@nmlegis.gov</v>
      </c>
      <c r="N63" s="89"/>
      <c r="O63" s="89"/>
      <c r="P63" s="89"/>
      <c r="Q63" s="89"/>
      <c r="R63" s="89"/>
      <c r="U63" t="str">
        <f t="shared" si="2"/>
        <v/>
      </c>
      <c r="V63" s="139" t="str">
        <f t="shared" si="3"/>
        <v/>
      </c>
      <c r="W63" t="str">
        <f t="shared" si="4"/>
        <v/>
      </c>
      <c r="X63" t="str">
        <f t="shared" si="5"/>
        <v/>
      </c>
      <c r="Y63" t="str">
        <f t="shared" si="6"/>
        <v/>
      </c>
    </row>
    <row r="64">
      <c r="A64" s="14" t="s">
        <v>44</v>
      </c>
      <c r="B64" s="31">
        <v>61.0</v>
      </c>
      <c r="C64" s="638" t="s">
        <v>108</v>
      </c>
      <c r="D64" s="638" t="s">
        <v>9717</v>
      </c>
      <c r="E64" s="639" t="s">
        <v>53</v>
      </c>
      <c r="F64" s="406"/>
      <c r="G64" s="219"/>
      <c r="H64" s="219"/>
      <c r="I64" s="336"/>
      <c r="J64" s="336"/>
      <c r="K64" s="138"/>
      <c r="L64" s="89"/>
      <c r="M64" s="89" t="str">
        <f t="shared" si="1"/>
        <v>david.gallegos@nmlegis.gov</v>
      </c>
      <c r="N64" s="89"/>
      <c r="O64" s="89"/>
      <c r="P64" s="89"/>
      <c r="Q64" s="89"/>
      <c r="R64" s="89"/>
      <c r="U64" t="str">
        <f t="shared" si="2"/>
        <v/>
      </c>
      <c r="V64" s="139" t="str">
        <f t="shared" si="3"/>
        <v/>
      </c>
      <c r="W64" t="str">
        <f t="shared" si="4"/>
        <v/>
      </c>
      <c r="X64" t="str">
        <f t="shared" si="5"/>
        <v/>
      </c>
      <c r="Y64" t="str">
        <f t="shared" si="6"/>
        <v/>
      </c>
    </row>
    <row r="65">
      <c r="A65" s="14" t="s">
        <v>44</v>
      </c>
      <c r="B65" s="31">
        <v>62.0</v>
      </c>
      <c r="C65" s="645" t="s">
        <v>839</v>
      </c>
      <c r="D65" s="645" t="s">
        <v>45</v>
      </c>
      <c r="E65" s="639" t="s">
        <v>53</v>
      </c>
      <c r="F65" s="406"/>
      <c r="G65" s="219"/>
      <c r="H65" s="219"/>
      <c r="I65" s="336"/>
      <c r="J65" s="336"/>
      <c r="K65" s="138"/>
      <c r="L65" s="89"/>
      <c r="M65" s="89" t="str">
        <f t="shared" si="1"/>
        <v>larry.scott@nmlegis.gov</v>
      </c>
      <c r="N65" s="89"/>
      <c r="O65" s="89"/>
      <c r="P65" s="89"/>
      <c r="Q65" s="89"/>
      <c r="R65" s="89"/>
      <c r="U65" t="str">
        <f t="shared" si="2"/>
        <v/>
      </c>
      <c r="V65" s="139" t="str">
        <f t="shared" si="3"/>
        <v/>
      </c>
      <c r="W65" t="str">
        <f t="shared" si="4"/>
        <v/>
      </c>
      <c r="X65" t="str">
        <f t="shared" si="5"/>
        <v/>
      </c>
      <c r="Y65" t="str">
        <f t="shared" si="6"/>
        <v/>
      </c>
    </row>
    <row r="66">
      <c r="A66" s="14" t="s">
        <v>44</v>
      </c>
      <c r="B66" s="31">
        <v>63.0</v>
      </c>
      <c r="C66" s="638" t="s">
        <v>98</v>
      </c>
      <c r="D66" s="638" t="s">
        <v>6679</v>
      </c>
      <c r="E66" s="644" t="s">
        <v>49</v>
      </c>
      <c r="F66" s="406"/>
      <c r="G66" s="194" t="s">
        <v>1024</v>
      </c>
      <c r="H66" s="219"/>
      <c r="I66" s="336"/>
      <c r="J66" s="336"/>
      <c r="K66" s="138"/>
      <c r="L66" s="89"/>
      <c r="M66" s="89" t="str">
        <f t="shared" si="1"/>
        <v>george.dodge@nmlegis.gov</v>
      </c>
      <c r="N66" s="89"/>
      <c r="O66" s="89"/>
      <c r="P66" s="89"/>
      <c r="Q66" s="89"/>
      <c r="R66" s="89"/>
      <c r="U66" t="str">
        <f t="shared" si="2"/>
        <v/>
      </c>
      <c r="V66" s="139" t="str">
        <f t="shared" si="3"/>
        <v/>
      </c>
      <c r="W66" t="str">
        <f t="shared" si="4"/>
        <v/>
      </c>
      <c r="X66" t="str">
        <f t="shared" si="5"/>
        <v/>
      </c>
      <c r="Y66" t="str">
        <f t="shared" si="6"/>
        <v/>
      </c>
    </row>
    <row r="67">
      <c r="A67" s="14" t="s">
        <v>44</v>
      </c>
      <c r="B67" s="31">
        <v>64.0</v>
      </c>
      <c r="C67" s="645" t="s">
        <v>5940</v>
      </c>
      <c r="D67" s="645" t="s">
        <v>2476</v>
      </c>
      <c r="E67" s="639" t="s">
        <v>53</v>
      </c>
      <c r="F67" s="406"/>
      <c r="G67" s="219"/>
      <c r="H67" s="219"/>
      <c r="I67" s="336"/>
      <c r="J67" s="336"/>
      <c r="K67" s="138"/>
      <c r="L67" s="89"/>
      <c r="M67" s="89" t="str">
        <f t="shared" si="1"/>
        <v>randal.crowder@nmlegis.gov</v>
      </c>
      <c r="N67" s="89"/>
      <c r="O67" s="89"/>
      <c r="P67" s="89"/>
      <c r="Q67" s="89"/>
      <c r="R67" s="89"/>
      <c r="U67" t="str">
        <f t="shared" si="2"/>
        <v/>
      </c>
      <c r="V67" s="139" t="str">
        <f t="shared" si="3"/>
        <v/>
      </c>
      <c r="W67" t="str">
        <f t="shared" si="4"/>
        <v/>
      </c>
      <c r="X67" t="str">
        <f t="shared" si="5"/>
        <v/>
      </c>
      <c r="Y67" t="str">
        <f t="shared" si="6"/>
        <v/>
      </c>
    </row>
    <row r="68">
      <c r="A68" s="14" t="s">
        <v>44</v>
      </c>
      <c r="B68" s="31">
        <v>65.0</v>
      </c>
      <c r="C68" s="652" t="s">
        <v>3497</v>
      </c>
      <c r="D68" s="652" t="s">
        <v>9730</v>
      </c>
      <c r="E68" s="644" t="s">
        <v>49</v>
      </c>
      <c r="F68" s="406"/>
      <c r="G68" s="219"/>
      <c r="H68" s="219"/>
      <c r="I68" s="336"/>
      <c r="J68" s="336"/>
      <c r="K68" s="138"/>
      <c r="L68" s="89"/>
      <c r="M68" s="89" t="str">
        <f t="shared" si="1"/>
        <v>derrick.lente@nmlegis.gov</v>
      </c>
      <c r="N68" s="89"/>
      <c r="O68" s="89"/>
      <c r="P68" s="89"/>
      <c r="Q68" s="89"/>
      <c r="R68" s="89"/>
      <c r="U68" t="str">
        <f t="shared" si="2"/>
        <v/>
      </c>
      <c r="V68" s="139" t="str">
        <f t="shared" si="3"/>
        <v/>
      </c>
      <c r="W68" t="str">
        <f t="shared" si="4"/>
        <v/>
      </c>
      <c r="X68" t="str">
        <f t="shared" si="5"/>
        <v/>
      </c>
      <c r="Y68" t="str">
        <f t="shared" si="6"/>
        <v/>
      </c>
    </row>
    <row r="69">
      <c r="A69" s="14" t="s">
        <v>44</v>
      </c>
      <c r="B69" s="31">
        <v>66.0</v>
      </c>
      <c r="C69" s="638" t="s">
        <v>419</v>
      </c>
      <c r="D69" s="638" t="s">
        <v>9733</v>
      </c>
      <c r="E69" s="639" t="s">
        <v>53</v>
      </c>
      <c r="F69" s="406"/>
      <c r="G69" s="219"/>
      <c r="H69" s="219"/>
      <c r="I69" s="336"/>
      <c r="J69" s="336"/>
      <c r="K69" s="138"/>
      <c r="L69" s="89"/>
      <c r="M69" s="89" t="str">
        <f t="shared" si="1"/>
        <v>bob.wooley@nmlegis.gov</v>
      </c>
      <c r="N69" s="89"/>
      <c r="O69" s="89"/>
      <c r="P69" s="89"/>
      <c r="Q69" s="89"/>
      <c r="R69" s="89"/>
      <c r="U69" t="str">
        <f t="shared" si="2"/>
        <v/>
      </c>
      <c r="V69" s="139" t="str">
        <f t="shared" si="3"/>
        <v/>
      </c>
      <c r="W69" t="str">
        <f t="shared" si="4"/>
        <v/>
      </c>
      <c r="X69" t="str">
        <f t="shared" si="5"/>
        <v/>
      </c>
      <c r="Y69" t="str">
        <f t="shared" si="6"/>
        <v/>
      </c>
    </row>
    <row r="70">
      <c r="A70" s="14" t="s">
        <v>44</v>
      </c>
      <c r="B70" s="31">
        <v>67.0</v>
      </c>
      <c r="C70" s="638" t="s">
        <v>2194</v>
      </c>
      <c r="D70" s="638" t="s">
        <v>9734</v>
      </c>
      <c r="E70" s="639" t="s">
        <v>53</v>
      </c>
      <c r="F70" s="406"/>
      <c r="G70" s="219"/>
      <c r="H70" s="219"/>
      <c r="I70" s="336"/>
      <c r="J70" s="336"/>
      <c r="K70" s="138"/>
      <c r="L70" s="89"/>
      <c r="M70" s="89" t="str">
        <f t="shared" si="1"/>
        <v>dennis.roch@nmlegis.gov</v>
      </c>
      <c r="N70" s="89"/>
      <c r="O70" s="89"/>
      <c r="P70" s="89"/>
      <c r="Q70" s="89"/>
      <c r="R70" s="89"/>
      <c r="U70" t="str">
        <f t="shared" si="2"/>
        <v/>
      </c>
      <c r="V70" s="139" t="str">
        <f t="shared" si="3"/>
        <v/>
      </c>
      <c r="W70" t="str">
        <f t="shared" si="4"/>
        <v/>
      </c>
      <c r="X70" t="str">
        <f t="shared" si="5"/>
        <v/>
      </c>
      <c r="Y70" t="str">
        <f t="shared" si="6"/>
        <v/>
      </c>
    </row>
    <row r="71">
      <c r="A71" s="14" t="s">
        <v>44</v>
      </c>
      <c r="B71" s="31">
        <v>68.0</v>
      </c>
      <c r="C71" s="638" t="s">
        <v>1798</v>
      </c>
      <c r="D71" s="638" t="s">
        <v>3801</v>
      </c>
      <c r="E71" s="639" t="s">
        <v>53</v>
      </c>
      <c r="F71" s="406"/>
      <c r="G71" s="219"/>
      <c r="H71" s="219"/>
      <c r="I71" s="336"/>
      <c r="J71" s="336"/>
      <c r="K71" s="138"/>
      <c r="L71" s="89"/>
      <c r="M71" s="89" t="str">
        <f t="shared" si="1"/>
        <v>monica.youngblood@nmlegis.gov</v>
      </c>
      <c r="N71" s="89"/>
      <c r="O71" s="89"/>
      <c r="P71" s="89"/>
      <c r="Q71" s="89"/>
      <c r="R71" s="89"/>
      <c r="U71" t="str">
        <f t="shared" si="2"/>
        <v/>
      </c>
      <c r="V71" s="139" t="str">
        <f t="shared" si="3"/>
        <v/>
      </c>
      <c r="W71" t="str">
        <f t="shared" si="4"/>
        <v/>
      </c>
      <c r="X71" t="str">
        <f t="shared" si="5"/>
        <v/>
      </c>
      <c r="Y71" t="str">
        <f t="shared" si="6"/>
        <v/>
      </c>
    </row>
    <row r="72">
      <c r="A72" s="14" t="s">
        <v>44</v>
      </c>
      <c r="B72" s="31">
        <v>69.0</v>
      </c>
      <c r="C72" s="645" t="s">
        <v>543</v>
      </c>
      <c r="D72" s="645" t="s">
        <v>1772</v>
      </c>
      <c r="E72" s="644" t="s">
        <v>49</v>
      </c>
      <c r="F72" s="406"/>
      <c r="G72" s="219"/>
      <c r="H72" s="219"/>
      <c r="I72" s="336"/>
      <c r="J72" s="336"/>
      <c r="K72" s="138"/>
      <c r="L72" s="89"/>
      <c r="M72" s="89" t="str">
        <f t="shared" si="1"/>
        <v>harry.garcia@nmlegis.gov</v>
      </c>
      <c r="N72" s="89"/>
      <c r="O72" s="89"/>
      <c r="P72" s="89"/>
      <c r="Q72" s="89"/>
      <c r="R72" s="89"/>
      <c r="U72" t="str">
        <f t="shared" si="2"/>
        <v/>
      </c>
      <c r="V72" s="139" t="str">
        <f t="shared" si="3"/>
        <v/>
      </c>
      <c r="W72" t="str">
        <f t="shared" si="4"/>
        <v/>
      </c>
      <c r="X72" t="str">
        <f t="shared" si="5"/>
        <v/>
      </c>
      <c r="Y72" t="str">
        <f t="shared" si="6"/>
        <v/>
      </c>
    </row>
    <row r="73">
      <c r="A73" s="14" t="s">
        <v>44</v>
      </c>
      <c r="B73" s="31">
        <v>70.0</v>
      </c>
      <c r="C73" s="486" t="s">
        <v>9737</v>
      </c>
      <c r="D73" s="638" t="s">
        <v>9694</v>
      </c>
      <c r="E73" s="644" t="s">
        <v>49</v>
      </c>
      <c r="F73" s="406"/>
      <c r="G73" s="219"/>
      <c r="H73" s="219"/>
      <c r="I73" s="336"/>
      <c r="J73" s="336"/>
      <c r="K73" s="138"/>
      <c r="L73" s="89"/>
      <c r="M73" s="89" t="str">
        <f t="shared" si="1"/>
        <v>tomas.salazar@nmlegis.gov</v>
      </c>
      <c r="N73" s="89"/>
      <c r="O73" s="89"/>
      <c r="P73" s="89"/>
      <c r="Q73" s="89"/>
      <c r="R73" s="89"/>
      <c r="U73" t="str">
        <f t="shared" si="2"/>
        <v/>
      </c>
      <c r="V73" s="139" t="str">
        <f t="shared" si="3"/>
        <v/>
      </c>
      <c r="W73" t="str">
        <f t="shared" si="4"/>
        <v/>
      </c>
      <c r="X73" t="str">
        <f t="shared" si="5"/>
        <v/>
      </c>
      <c r="Y73" t="str">
        <f t="shared" si="6"/>
        <v/>
      </c>
    </row>
    <row r="74">
      <c r="A74" s="70"/>
      <c r="B74" s="70"/>
      <c r="C74" s="71"/>
      <c r="D74" s="71"/>
      <c r="E74" s="653"/>
      <c r="F74" s="417"/>
      <c r="G74" s="345"/>
      <c r="H74" s="345"/>
      <c r="I74" s="345"/>
      <c r="J74" s="345"/>
      <c r="K74" s="70"/>
      <c r="L74" s="70"/>
      <c r="M74" s="70"/>
      <c r="N74" s="70"/>
      <c r="O74" s="70"/>
      <c r="P74" s="70"/>
      <c r="Q74" s="70"/>
      <c r="R74" s="70"/>
      <c r="S74" s="70"/>
      <c r="T74" s="70"/>
      <c r="U74" t="str">
        <f t="shared" si="2"/>
        <v/>
      </c>
      <c r="V74" s="139" t="str">
        <f t="shared" si="3"/>
        <v/>
      </c>
      <c r="W74" t="str">
        <f t="shared" si="4"/>
        <v/>
      </c>
      <c r="X74" t="str">
        <f t="shared" si="5"/>
        <v/>
      </c>
      <c r="Y74" t="str">
        <f t="shared" si="6"/>
        <v/>
      </c>
      <c r="Z74" s="70"/>
      <c r="AA74" s="70"/>
      <c r="AB74" s="70"/>
      <c r="AC74" s="70"/>
      <c r="AD74" s="70"/>
    </row>
    <row r="75">
      <c r="A75" s="14" t="s">
        <v>286</v>
      </c>
      <c r="B75" s="14">
        <v>1.0</v>
      </c>
      <c r="C75" s="652" t="s">
        <v>1058</v>
      </c>
      <c r="D75" s="652" t="s">
        <v>9739</v>
      </c>
      <c r="E75" s="639" t="s">
        <v>53</v>
      </c>
      <c r="F75" s="406"/>
      <c r="G75" s="219"/>
      <c r="H75" s="219"/>
      <c r="I75" s="336"/>
      <c r="J75" s="336"/>
      <c r="K75" s="138"/>
      <c r="L75" s="89"/>
      <c r="M75" s="89" t="str">
        <f t="shared" ref="M75:M116" si="7">Concatenate(Lower(C75),".",Lower(substitute(D75," ","")),"@nmlegis.gov")</f>
        <v>william.sharer@nmlegis.gov</v>
      </c>
      <c r="N75" s="89"/>
      <c r="O75" s="89"/>
      <c r="P75" s="89"/>
      <c r="Q75" s="89"/>
      <c r="R75" s="89"/>
      <c r="U75" t="str">
        <f t="shared" si="2"/>
        <v/>
      </c>
      <c r="V75" s="139" t="str">
        <f t="shared" si="3"/>
        <v/>
      </c>
      <c r="W75" t="str">
        <f t="shared" si="4"/>
        <v/>
      </c>
      <c r="X75" t="str">
        <f t="shared" si="5"/>
        <v/>
      </c>
      <c r="Y75" t="str">
        <f t="shared" si="6"/>
        <v/>
      </c>
    </row>
    <row r="76">
      <c r="A76" s="14" t="s">
        <v>286</v>
      </c>
      <c r="B76" s="31">
        <v>2.0</v>
      </c>
      <c r="C76" s="638" t="s">
        <v>1897</v>
      </c>
      <c r="D76" s="638" t="s">
        <v>1986</v>
      </c>
      <c r="E76" s="639" t="s">
        <v>53</v>
      </c>
      <c r="F76" s="406"/>
      <c r="G76" s="219"/>
      <c r="H76" s="219"/>
      <c r="I76" s="336"/>
      <c r="J76" s="336"/>
      <c r="K76" s="138"/>
      <c r="L76" s="89"/>
      <c r="M76" s="89" t="str">
        <f t="shared" si="7"/>
        <v>steven.neville@nmlegis.gov</v>
      </c>
      <c r="N76" s="89"/>
      <c r="O76" s="89"/>
      <c r="P76" s="89"/>
      <c r="Q76" s="89"/>
      <c r="R76" s="89"/>
      <c r="U76" t="str">
        <f t="shared" si="2"/>
        <v/>
      </c>
      <c r="V76" s="139" t="str">
        <f t="shared" si="3"/>
        <v/>
      </c>
      <c r="W76" t="str">
        <f t="shared" si="4"/>
        <v/>
      </c>
      <c r="X76" t="str">
        <f t="shared" si="5"/>
        <v/>
      </c>
      <c r="Y76" t="str">
        <f t="shared" si="6"/>
        <v/>
      </c>
    </row>
    <row r="77">
      <c r="A77" s="14" t="s">
        <v>286</v>
      </c>
      <c r="B77" s="31">
        <v>3.0</v>
      </c>
      <c r="C77" s="638" t="s">
        <v>278</v>
      </c>
      <c r="D77" s="638" t="s">
        <v>8152</v>
      </c>
      <c r="E77" s="644" t="s">
        <v>49</v>
      </c>
      <c r="F77" s="406"/>
      <c r="G77" s="219"/>
      <c r="H77" s="219"/>
      <c r="I77" s="336"/>
      <c r="J77" s="336"/>
      <c r="K77" s="138"/>
      <c r="L77" s="89"/>
      <c r="M77" s="89" t="str">
        <f t="shared" si="7"/>
        <v>john.pinto@nmlegis.gov</v>
      </c>
      <c r="N77" s="89"/>
      <c r="O77" s="89"/>
      <c r="P77" s="89"/>
      <c r="Q77" s="89"/>
      <c r="R77" s="89"/>
      <c r="U77" t="str">
        <f t="shared" si="2"/>
        <v/>
      </c>
      <c r="V77" s="139" t="str">
        <f t="shared" si="3"/>
        <v/>
      </c>
      <c r="W77" t="str">
        <f t="shared" si="4"/>
        <v/>
      </c>
      <c r="X77" t="str">
        <f t="shared" si="5"/>
        <v/>
      </c>
      <c r="Y77" t="str">
        <f t="shared" si="6"/>
        <v/>
      </c>
    </row>
    <row r="78">
      <c r="A78" s="14" t="s">
        <v>286</v>
      </c>
      <c r="B78" s="31">
        <v>4.0</v>
      </c>
      <c r="C78" s="638" t="s">
        <v>98</v>
      </c>
      <c r="D78" s="638" t="s">
        <v>9745</v>
      </c>
      <c r="E78" s="644" t="s">
        <v>49</v>
      </c>
      <c r="F78" s="406"/>
      <c r="G78" s="219"/>
      <c r="H78" s="219"/>
      <c r="I78" s="336"/>
      <c r="J78" s="336"/>
      <c r="K78" s="138"/>
      <c r="L78" s="89"/>
      <c r="M78" s="89" t="str">
        <f t="shared" si="7"/>
        <v>george.muñoz@nmlegis.gov</v>
      </c>
      <c r="N78" s="89"/>
      <c r="O78" s="89"/>
      <c r="P78" s="89"/>
      <c r="Q78" s="89"/>
      <c r="R78" s="89"/>
      <c r="U78" t="str">
        <f t="shared" si="2"/>
        <v/>
      </c>
      <c r="V78" s="139" t="str">
        <f t="shared" si="3"/>
        <v/>
      </c>
      <c r="W78" t="str">
        <f t="shared" si="4"/>
        <v/>
      </c>
      <c r="X78" t="str">
        <f t="shared" si="5"/>
        <v/>
      </c>
      <c r="Y78" t="str">
        <f t="shared" si="6"/>
        <v/>
      </c>
    </row>
    <row r="79">
      <c r="A79" s="14" t="s">
        <v>286</v>
      </c>
      <c r="B79" s="31">
        <v>5.0</v>
      </c>
      <c r="C79" s="638" t="s">
        <v>1112</v>
      </c>
      <c r="D79" s="638" t="s">
        <v>4546</v>
      </c>
      <c r="E79" s="644" t="s">
        <v>49</v>
      </c>
      <c r="F79" s="406"/>
      <c r="G79" s="194" t="s">
        <v>877</v>
      </c>
      <c r="H79" s="219"/>
      <c r="I79" s="336"/>
      <c r="J79" s="336"/>
      <c r="K79" s="138"/>
      <c r="L79" s="89"/>
      <c r="M79" s="89" t="str">
        <f t="shared" si="7"/>
        <v>richard.martinez@nmlegis.gov</v>
      </c>
      <c r="N79" s="89"/>
      <c r="O79" s="89"/>
      <c r="P79" s="89"/>
      <c r="Q79" s="89"/>
      <c r="R79" s="89"/>
      <c r="U79" t="str">
        <f t="shared" si="2"/>
        <v>Senator</v>
      </c>
      <c r="V79" s="139" t="str">
        <f t="shared" si="3"/>
        <v>Richard</v>
      </c>
      <c r="W79" t="str">
        <f t="shared" si="4"/>
        <v>Martinez</v>
      </c>
      <c r="X79" t="str">
        <f t="shared" si="5"/>
        <v>richard.martinez@nmlegis.gov</v>
      </c>
      <c r="Y79" t="str">
        <f t="shared" si="6"/>
        <v>Judiciary (Chair)</v>
      </c>
    </row>
    <row r="80">
      <c r="A80" s="14" t="s">
        <v>286</v>
      </c>
      <c r="B80" s="31">
        <v>6.0</v>
      </c>
      <c r="C80" s="638" t="s">
        <v>2975</v>
      </c>
      <c r="D80" s="638" t="s">
        <v>9752</v>
      </c>
      <c r="E80" s="644" t="s">
        <v>49</v>
      </c>
      <c r="F80" s="406"/>
      <c r="G80" s="194" t="s">
        <v>1300</v>
      </c>
      <c r="H80" s="219"/>
      <c r="I80" s="336"/>
      <c r="J80" s="336"/>
      <c r="K80" s="138"/>
      <c r="L80" s="89"/>
      <c r="M80" s="89" t="str">
        <f t="shared" si="7"/>
        <v>carlos.cisneros@nmlegis.gov</v>
      </c>
      <c r="N80" s="89"/>
      <c r="O80" s="89"/>
      <c r="P80" s="89"/>
      <c r="Q80" s="89"/>
      <c r="R80" s="89"/>
      <c r="U80" t="str">
        <f t="shared" si="2"/>
        <v/>
      </c>
      <c r="V80" s="139" t="str">
        <f t="shared" si="3"/>
        <v/>
      </c>
      <c r="W80" t="str">
        <f t="shared" si="4"/>
        <v/>
      </c>
      <c r="X80" t="str">
        <f t="shared" si="5"/>
        <v/>
      </c>
      <c r="Y80" t="str">
        <f t="shared" si="6"/>
        <v/>
      </c>
    </row>
    <row r="81">
      <c r="A81" s="14" t="s">
        <v>286</v>
      </c>
      <c r="B81" s="31">
        <v>7.0</v>
      </c>
      <c r="C81" s="638" t="s">
        <v>2570</v>
      </c>
      <c r="D81" s="638" t="s">
        <v>8865</v>
      </c>
      <c r="E81" s="639" t="s">
        <v>53</v>
      </c>
      <c r="F81" s="406"/>
      <c r="G81" s="219"/>
      <c r="H81" s="219"/>
      <c r="I81" s="336"/>
      <c r="J81" s="336"/>
      <c r="K81" s="138"/>
      <c r="L81" s="89"/>
      <c r="M81" s="89" t="str">
        <f t="shared" si="7"/>
        <v>pat.woods@nmlegis.gov</v>
      </c>
      <c r="N81" s="89"/>
      <c r="O81" s="89"/>
      <c r="P81" s="89"/>
      <c r="Q81" s="89"/>
      <c r="R81" s="89"/>
      <c r="U81" t="str">
        <f t="shared" si="2"/>
        <v/>
      </c>
      <c r="V81" s="139" t="str">
        <f t="shared" si="3"/>
        <v/>
      </c>
      <c r="W81" t="str">
        <f t="shared" si="4"/>
        <v/>
      </c>
      <c r="X81" t="str">
        <f t="shared" si="5"/>
        <v/>
      </c>
      <c r="Y81" t="str">
        <f t="shared" si="6"/>
        <v/>
      </c>
    </row>
    <row r="82">
      <c r="A82" s="14" t="s">
        <v>286</v>
      </c>
      <c r="B82" s="31">
        <v>8.0</v>
      </c>
      <c r="C82" s="638" t="s">
        <v>288</v>
      </c>
      <c r="D82" s="638" t="s">
        <v>9757</v>
      </c>
      <c r="E82" s="644" t="s">
        <v>49</v>
      </c>
      <c r="F82" s="406"/>
      <c r="G82" s="219"/>
      <c r="H82" s="219"/>
      <c r="I82" s="336"/>
      <c r="J82" s="336"/>
      <c r="K82" s="138"/>
      <c r="L82" s="89"/>
      <c r="M82" s="89" t="str">
        <f t="shared" si="7"/>
        <v>pete.campos@nmlegis.gov</v>
      </c>
      <c r="N82" s="89"/>
      <c r="O82" s="89"/>
      <c r="P82" s="89"/>
      <c r="Q82" s="89"/>
      <c r="R82" s="89"/>
      <c r="U82" t="str">
        <f t="shared" si="2"/>
        <v/>
      </c>
      <c r="V82" s="139" t="str">
        <f t="shared" si="3"/>
        <v/>
      </c>
      <c r="W82" t="str">
        <f t="shared" si="4"/>
        <v/>
      </c>
      <c r="X82" t="str">
        <f t="shared" si="5"/>
        <v/>
      </c>
      <c r="Y82" t="str">
        <f t="shared" si="6"/>
        <v/>
      </c>
    </row>
    <row r="83">
      <c r="A83" s="14" t="s">
        <v>286</v>
      </c>
      <c r="B83" s="31">
        <v>9.0</v>
      </c>
      <c r="C83" s="638" t="s">
        <v>278</v>
      </c>
      <c r="D83" s="638" t="s">
        <v>9759</v>
      </c>
      <c r="E83" s="644" t="s">
        <v>49</v>
      </c>
      <c r="F83" s="413"/>
      <c r="G83" s="219"/>
      <c r="H83" s="219"/>
      <c r="I83" s="336"/>
      <c r="J83" s="336"/>
      <c r="K83" s="138"/>
      <c r="L83" s="89"/>
      <c r="M83" s="89" t="str">
        <f t="shared" si="7"/>
        <v>john.sapien@nmlegis.gov</v>
      </c>
      <c r="N83" s="89"/>
      <c r="O83" s="89"/>
      <c r="P83" s="89"/>
      <c r="Q83" s="89"/>
      <c r="R83" s="89"/>
      <c r="U83" t="str">
        <f t="shared" si="2"/>
        <v/>
      </c>
      <c r="V83" s="139" t="str">
        <f t="shared" si="3"/>
        <v/>
      </c>
      <c r="W83" t="str">
        <f t="shared" si="4"/>
        <v/>
      </c>
      <c r="X83" t="str">
        <f t="shared" si="5"/>
        <v/>
      </c>
      <c r="Y83" t="str">
        <f t="shared" si="6"/>
        <v/>
      </c>
    </row>
    <row r="84">
      <c r="A84" s="14" t="s">
        <v>286</v>
      </c>
      <c r="B84" s="31">
        <v>10.0</v>
      </c>
      <c r="C84" s="638" t="s">
        <v>9762</v>
      </c>
      <c r="D84" s="638" t="s">
        <v>9764</v>
      </c>
      <c r="E84" s="639" t="s">
        <v>53</v>
      </c>
      <c r="F84" s="406"/>
      <c r="G84" s="219"/>
      <c r="H84" s="219"/>
      <c r="I84" s="336"/>
      <c r="J84" s="336"/>
      <c r="K84" s="138"/>
      <c r="L84" s="89"/>
      <c r="M84" s="89" t="str">
        <f t="shared" si="7"/>
        <v>candace.gould@nmlegis.gov</v>
      </c>
      <c r="N84" s="89"/>
      <c r="O84" s="89"/>
      <c r="P84" s="89"/>
      <c r="Q84" s="89"/>
      <c r="R84" s="89"/>
      <c r="U84" t="str">
        <f t="shared" si="2"/>
        <v/>
      </c>
      <c r="V84" s="139" t="str">
        <f t="shared" si="3"/>
        <v/>
      </c>
      <c r="W84" t="str">
        <f t="shared" si="4"/>
        <v/>
      </c>
      <c r="X84" t="str">
        <f t="shared" si="5"/>
        <v/>
      </c>
      <c r="Y84" t="str">
        <f t="shared" si="6"/>
        <v/>
      </c>
    </row>
    <row r="85">
      <c r="A85" s="14" t="s">
        <v>286</v>
      </c>
      <c r="B85" s="31">
        <v>11.0</v>
      </c>
      <c r="C85" s="638" t="s">
        <v>978</v>
      </c>
      <c r="D85" s="638" t="s">
        <v>2855</v>
      </c>
      <c r="E85" s="644" t="s">
        <v>49</v>
      </c>
      <c r="F85" s="406"/>
      <c r="G85" s="219"/>
      <c r="H85" s="219"/>
      <c r="I85" s="336"/>
      <c r="J85" s="336"/>
      <c r="K85" s="138"/>
      <c r="L85" s="89"/>
      <c r="M85" s="89" t="str">
        <f t="shared" si="7"/>
        <v>linda.lopez@nmlegis.gov</v>
      </c>
      <c r="N85" s="89"/>
      <c r="O85" s="89"/>
      <c r="P85" s="89"/>
      <c r="Q85" s="89"/>
      <c r="R85" s="89"/>
      <c r="U85" t="str">
        <f t="shared" si="2"/>
        <v/>
      </c>
      <c r="V85" s="139" t="str">
        <f t="shared" si="3"/>
        <v/>
      </c>
      <c r="W85" t="str">
        <f t="shared" si="4"/>
        <v/>
      </c>
      <c r="X85" t="str">
        <f t="shared" si="5"/>
        <v/>
      </c>
      <c r="Y85" t="str">
        <f t="shared" si="6"/>
        <v/>
      </c>
    </row>
    <row r="86">
      <c r="A86" s="14" t="s">
        <v>286</v>
      </c>
      <c r="B86" s="31">
        <v>12.0</v>
      </c>
      <c r="C86" s="638" t="s">
        <v>2105</v>
      </c>
      <c r="D86" s="486" t="s">
        <v>9769</v>
      </c>
      <c r="E86" s="644" t="s">
        <v>49</v>
      </c>
      <c r="F86" s="406"/>
      <c r="G86" s="194" t="s">
        <v>9770</v>
      </c>
      <c r="H86" s="219"/>
      <c r="I86" s="336"/>
      <c r="J86" s="336"/>
      <c r="K86" s="138"/>
      <c r="L86" s="89"/>
      <c r="M86" s="89" t="str">
        <f t="shared" si="7"/>
        <v>jerry.ortizypino@nmlegis.gov</v>
      </c>
      <c r="N86" s="89"/>
      <c r="O86" s="89"/>
      <c r="P86" s="89"/>
      <c r="Q86" s="89"/>
      <c r="R86" s="89"/>
      <c r="U86" t="str">
        <f t="shared" si="2"/>
        <v/>
      </c>
      <c r="V86" s="139" t="str">
        <f t="shared" si="3"/>
        <v/>
      </c>
      <c r="W86" t="str">
        <f t="shared" si="4"/>
        <v/>
      </c>
      <c r="X86" t="str">
        <f t="shared" si="5"/>
        <v/>
      </c>
      <c r="Y86" t="str">
        <f t="shared" si="6"/>
        <v/>
      </c>
    </row>
    <row r="87">
      <c r="A87" s="14" t="s">
        <v>286</v>
      </c>
      <c r="B87" s="31">
        <v>13.0</v>
      </c>
      <c r="C87" s="638" t="s">
        <v>325</v>
      </c>
      <c r="D87" s="638" t="s">
        <v>2591</v>
      </c>
      <c r="E87" s="644" t="s">
        <v>49</v>
      </c>
      <c r="F87" s="406"/>
      <c r="G87" s="194" t="s">
        <v>9774</v>
      </c>
      <c r="H87" s="219"/>
      <c r="I87" s="336"/>
      <c r="J87" s="336"/>
      <c r="K87" s="138"/>
      <c r="L87" s="89"/>
      <c r="M87" s="89" t="str">
        <f t="shared" si="7"/>
        <v>bill.o'neill@nmlegis.gov</v>
      </c>
      <c r="N87" s="89"/>
      <c r="O87" s="89"/>
      <c r="P87" s="89"/>
      <c r="Q87" s="89"/>
      <c r="R87" s="89"/>
      <c r="U87" t="str">
        <f t="shared" si="2"/>
        <v/>
      </c>
      <c r="V87" s="139" t="str">
        <f t="shared" si="3"/>
        <v/>
      </c>
      <c r="W87" t="str">
        <f t="shared" si="4"/>
        <v/>
      </c>
      <c r="X87" t="str">
        <f t="shared" si="5"/>
        <v/>
      </c>
      <c r="Y87" t="str">
        <f t="shared" si="6"/>
        <v/>
      </c>
    </row>
    <row r="88">
      <c r="A88" s="14" t="s">
        <v>286</v>
      </c>
      <c r="B88" s="31">
        <v>14.0</v>
      </c>
      <c r="C88" s="638" t="s">
        <v>2490</v>
      </c>
      <c r="D88" s="638" t="s">
        <v>9779</v>
      </c>
      <c r="E88" s="644" t="s">
        <v>49</v>
      </c>
      <c r="F88" s="406"/>
      <c r="G88" s="194" t="s">
        <v>888</v>
      </c>
      <c r="H88" s="219"/>
      <c r="I88" s="336"/>
      <c r="J88" s="336"/>
      <c r="K88" s="138"/>
      <c r="L88" s="89"/>
      <c r="M88" s="89" t="str">
        <f t="shared" si="7"/>
        <v>michael.padilla@nmlegis.gov</v>
      </c>
      <c r="N88" s="89"/>
      <c r="O88" s="89"/>
      <c r="P88" s="89"/>
      <c r="Q88" s="89"/>
      <c r="R88" s="89"/>
      <c r="U88" t="str">
        <f t="shared" si="2"/>
        <v/>
      </c>
      <c r="V88" s="139" t="str">
        <f t="shared" si="3"/>
        <v/>
      </c>
      <c r="W88" t="str">
        <f t="shared" si="4"/>
        <v/>
      </c>
      <c r="X88" t="str">
        <f t="shared" si="5"/>
        <v/>
      </c>
      <c r="Y88" t="str">
        <f t="shared" si="6"/>
        <v/>
      </c>
    </row>
    <row r="89">
      <c r="A89" s="14" t="s">
        <v>286</v>
      </c>
      <c r="B89" s="31">
        <v>15.0</v>
      </c>
      <c r="C89" s="638" t="s">
        <v>552</v>
      </c>
      <c r="D89" s="638" t="s">
        <v>9783</v>
      </c>
      <c r="E89" s="644" t="s">
        <v>49</v>
      </c>
      <c r="F89" s="406"/>
      <c r="G89" s="194" t="s">
        <v>517</v>
      </c>
      <c r="H89" s="219"/>
      <c r="I89" s="336"/>
      <c r="J89" s="336"/>
      <c r="K89" s="138"/>
      <c r="L89" s="89"/>
      <c r="M89" s="89" t="str">
        <f t="shared" si="7"/>
        <v>daniel.ivey-soto@nmlegis.gov</v>
      </c>
      <c r="N89" s="89"/>
      <c r="O89" s="89"/>
      <c r="P89" s="89"/>
      <c r="Q89" s="89"/>
      <c r="R89" s="89"/>
      <c r="U89" t="str">
        <f t="shared" si="2"/>
        <v>Senator</v>
      </c>
      <c r="V89" s="139" t="str">
        <f t="shared" si="3"/>
        <v>Daniel</v>
      </c>
      <c r="W89" t="str">
        <f t="shared" si="4"/>
        <v>Ivey-Soto</v>
      </c>
      <c r="X89" t="str">
        <f t="shared" si="5"/>
        <v>daniel.ivey-soto@nmlegis.gov</v>
      </c>
      <c r="Y89" t="str">
        <f t="shared" si="6"/>
        <v>Judiciary (Vice Chair)</v>
      </c>
    </row>
    <row r="90">
      <c r="A90" s="14" t="s">
        <v>286</v>
      </c>
      <c r="B90" s="31">
        <v>16.0</v>
      </c>
      <c r="C90" s="638" t="s">
        <v>9784</v>
      </c>
      <c r="D90" s="638" t="s">
        <v>9785</v>
      </c>
      <c r="E90" s="644" t="s">
        <v>49</v>
      </c>
      <c r="F90" s="406"/>
      <c r="G90" s="219"/>
      <c r="H90" s="219"/>
      <c r="I90" s="336"/>
      <c r="J90" s="336"/>
      <c r="K90" s="138"/>
      <c r="L90" s="89"/>
      <c r="M90" s="89" t="str">
        <f t="shared" si="7"/>
        <v>cisco.mcsorley@nmlegis.gov</v>
      </c>
      <c r="N90" s="89"/>
      <c r="O90" s="89"/>
      <c r="P90" s="89"/>
      <c r="Q90" s="89"/>
      <c r="R90" s="89"/>
      <c r="U90" t="str">
        <f t="shared" si="2"/>
        <v/>
      </c>
      <c r="V90" s="139" t="str">
        <f t="shared" si="3"/>
        <v/>
      </c>
      <c r="W90" t="str">
        <f t="shared" si="4"/>
        <v/>
      </c>
      <c r="X90" t="str">
        <f t="shared" si="5"/>
        <v/>
      </c>
      <c r="Y90" t="str">
        <f t="shared" si="6"/>
        <v/>
      </c>
    </row>
    <row r="91">
      <c r="A91" s="14" t="s">
        <v>286</v>
      </c>
      <c r="B91" s="31">
        <v>17.0</v>
      </c>
      <c r="C91" s="638" t="s">
        <v>2346</v>
      </c>
      <c r="D91" s="638" t="s">
        <v>3220</v>
      </c>
      <c r="E91" s="644" t="s">
        <v>49</v>
      </c>
      <c r="F91" s="194" t="s">
        <v>1188</v>
      </c>
      <c r="G91" s="219"/>
      <c r="H91" s="219"/>
      <c r="I91" s="336"/>
      <c r="J91" s="336"/>
      <c r="K91" s="138"/>
      <c r="L91" s="89"/>
      <c r="M91" s="89" t="str">
        <f t="shared" si="7"/>
        <v>mimi.stewart@nmlegis.gov</v>
      </c>
      <c r="N91" s="640" t="str">
        <f>HYPERLINK("https://docs.google.com/document/d/1RmAw0XMBqGhokulmbIgYL8QmiPwX_jKJOgXsglu2hsg/edit","Zero")</f>
        <v>Zero</v>
      </c>
      <c r="O91" s="89"/>
      <c r="P91" s="89"/>
      <c r="Q91" s="89"/>
      <c r="R91" s="89"/>
      <c r="U91" t="str">
        <f t="shared" si="2"/>
        <v>Senator</v>
      </c>
      <c r="V91" s="139" t="str">
        <f t="shared" si="3"/>
        <v>Mimi</v>
      </c>
      <c r="W91" t="str">
        <f t="shared" si="4"/>
        <v>Stewart</v>
      </c>
      <c r="X91" t="str">
        <f t="shared" si="5"/>
        <v>mimi.stewart@nmlegis.gov</v>
      </c>
      <c r="Y91" t="str">
        <f t="shared" si="6"/>
        <v>Majority Whip</v>
      </c>
    </row>
    <row r="92">
      <c r="A92" s="14" t="s">
        <v>286</v>
      </c>
      <c r="B92" s="31">
        <v>18.0</v>
      </c>
      <c r="C92" s="638" t="s">
        <v>325</v>
      </c>
      <c r="D92" s="638" t="s">
        <v>9792</v>
      </c>
      <c r="E92" s="644" t="s">
        <v>49</v>
      </c>
      <c r="F92" s="406"/>
      <c r="G92" s="219"/>
      <c r="H92" s="219"/>
      <c r="I92" s="336"/>
      <c r="J92" s="336"/>
      <c r="K92" s="138"/>
      <c r="L92" s="89"/>
      <c r="M92" s="89" t="str">
        <f t="shared" si="7"/>
        <v>bill.tallman@nmlegis.gov</v>
      </c>
      <c r="N92" s="89"/>
      <c r="O92" s="89"/>
      <c r="P92" s="89"/>
      <c r="Q92" s="89"/>
      <c r="R92" s="89"/>
      <c r="U92" t="str">
        <f t="shared" si="2"/>
        <v/>
      </c>
      <c r="V92" s="139" t="str">
        <f t="shared" si="3"/>
        <v/>
      </c>
      <c r="W92" t="str">
        <f t="shared" si="4"/>
        <v/>
      </c>
      <c r="X92" t="str">
        <f t="shared" si="5"/>
        <v/>
      </c>
      <c r="Y92" t="str">
        <f t="shared" si="6"/>
        <v/>
      </c>
    </row>
    <row r="93">
      <c r="A93" s="14" t="s">
        <v>286</v>
      </c>
      <c r="B93" s="31">
        <v>19.0</v>
      </c>
      <c r="C93" s="638" t="s">
        <v>930</v>
      </c>
      <c r="D93" s="638" t="s">
        <v>6034</v>
      </c>
      <c r="E93" s="639" t="s">
        <v>53</v>
      </c>
      <c r="F93" s="406"/>
      <c r="G93" s="219"/>
      <c r="H93" s="219"/>
      <c r="I93" s="336"/>
      <c r="J93" s="336"/>
      <c r="K93" s="138"/>
      <c r="L93" s="89"/>
      <c r="M93" s="89" t="str">
        <f t="shared" si="7"/>
        <v>james.white@nmlegis.gov</v>
      </c>
      <c r="N93" s="89"/>
      <c r="O93" s="89"/>
      <c r="P93" s="89"/>
      <c r="Q93" s="89"/>
      <c r="R93" s="89"/>
      <c r="U93" t="str">
        <f t="shared" si="2"/>
        <v/>
      </c>
      <c r="V93" s="139" t="str">
        <f t="shared" si="3"/>
        <v/>
      </c>
      <c r="W93" t="str">
        <f t="shared" si="4"/>
        <v/>
      </c>
      <c r="X93" t="str">
        <f t="shared" si="5"/>
        <v/>
      </c>
      <c r="Y93" t="str">
        <f t="shared" si="6"/>
        <v/>
      </c>
    </row>
    <row r="94">
      <c r="A94" s="14" t="s">
        <v>286</v>
      </c>
      <c r="B94" s="31">
        <v>20.0</v>
      </c>
      <c r="C94" s="638" t="s">
        <v>1058</v>
      </c>
      <c r="D94" s="638" t="s">
        <v>973</v>
      </c>
      <c r="E94" s="639" t="s">
        <v>53</v>
      </c>
      <c r="F94" s="194" t="s">
        <v>2004</v>
      </c>
      <c r="G94" s="219"/>
      <c r="H94" s="219"/>
      <c r="I94" s="336"/>
      <c r="J94" s="336"/>
      <c r="K94" s="138"/>
      <c r="L94" s="89"/>
      <c r="M94" s="89" t="str">
        <f t="shared" si="7"/>
        <v>william.payne@nmlegis.gov</v>
      </c>
      <c r="N94" s="640" t="str">
        <f>HYPERLINK("https://docs.google.com/document/d/1SxrW-TZv20-0miIfRE_Wfupkx27Ywl7_w56sfU8Eyrw/edit","Zero")</f>
        <v>Zero</v>
      </c>
      <c r="O94" s="89"/>
      <c r="P94" s="89"/>
      <c r="Q94" s="89"/>
      <c r="R94" s="89"/>
      <c r="U94" t="str">
        <f t="shared" si="2"/>
        <v/>
      </c>
      <c r="V94" s="139" t="str">
        <f t="shared" si="3"/>
        <v/>
      </c>
      <c r="W94" t="str">
        <f t="shared" si="4"/>
        <v/>
      </c>
      <c r="X94" t="str">
        <f t="shared" si="5"/>
        <v/>
      </c>
      <c r="Y94" t="str">
        <f t="shared" si="6"/>
        <v/>
      </c>
    </row>
    <row r="95">
      <c r="A95" s="14" t="s">
        <v>286</v>
      </c>
      <c r="B95" s="31">
        <v>21.0</v>
      </c>
      <c r="C95" s="638" t="s">
        <v>91</v>
      </c>
      <c r="D95" s="638" t="s">
        <v>9799</v>
      </c>
      <c r="E95" s="639" t="s">
        <v>53</v>
      </c>
      <c r="F95" s="406"/>
      <c r="G95" s="219"/>
      <c r="H95" s="219"/>
      <c r="I95" s="336"/>
      <c r="J95" s="336"/>
      <c r="K95" s="138"/>
      <c r="L95" s="89"/>
      <c r="M95" s="89" t="str">
        <f t="shared" si="7"/>
        <v>mark.moores@nmlegis.gov</v>
      </c>
      <c r="N95" s="89"/>
      <c r="O95" s="89"/>
      <c r="P95" s="89"/>
      <c r="Q95" s="89"/>
      <c r="R95" s="89"/>
      <c r="U95" t="str">
        <f t="shared" si="2"/>
        <v/>
      </c>
      <c r="V95" s="139" t="str">
        <f t="shared" si="3"/>
        <v/>
      </c>
      <c r="W95" t="str">
        <f t="shared" si="4"/>
        <v/>
      </c>
      <c r="X95" t="str">
        <f t="shared" si="5"/>
        <v/>
      </c>
      <c r="Y95" t="str">
        <f t="shared" si="6"/>
        <v/>
      </c>
    </row>
    <row r="96">
      <c r="A96" s="14" t="s">
        <v>286</v>
      </c>
      <c r="B96" s="31">
        <v>22.0</v>
      </c>
      <c r="C96" s="638" t="s">
        <v>9801</v>
      </c>
      <c r="D96" s="638" t="s">
        <v>9802</v>
      </c>
      <c r="E96" s="644" t="s">
        <v>49</v>
      </c>
      <c r="F96" s="406"/>
      <c r="G96" s="194" t="s">
        <v>9803</v>
      </c>
      <c r="H96" s="219"/>
      <c r="I96" s="336"/>
      <c r="J96" s="336"/>
      <c r="K96" s="138"/>
      <c r="L96" s="89"/>
      <c r="M96" s="89" t="str">
        <f t="shared" si="7"/>
        <v>benny.shendo@nmlegis.gov</v>
      </c>
      <c r="N96" s="89"/>
      <c r="O96" s="89"/>
      <c r="P96" s="89"/>
      <c r="Q96" s="89"/>
      <c r="R96" s="89"/>
      <c r="U96" t="str">
        <f t="shared" si="2"/>
        <v/>
      </c>
      <c r="V96" s="139" t="str">
        <f t="shared" si="3"/>
        <v/>
      </c>
      <c r="W96" t="str">
        <f t="shared" si="4"/>
        <v/>
      </c>
      <c r="X96" t="str">
        <f t="shared" si="5"/>
        <v/>
      </c>
      <c r="Y96" t="str">
        <f t="shared" si="6"/>
        <v/>
      </c>
    </row>
    <row r="97">
      <c r="A97" s="14" t="s">
        <v>286</v>
      </c>
      <c r="B97" s="31">
        <v>23.0</v>
      </c>
      <c r="C97" s="638" t="s">
        <v>9805</v>
      </c>
      <c r="D97" s="638" t="s">
        <v>9806</v>
      </c>
      <c r="E97" s="639" t="s">
        <v>53</v>
      </c>
      <c r="F97" s="406"/>
      <c r="G97" s="219"/>
      <c r="H97" s="219"/>
      <c r="I97" s="336"/>
      <c r="J97" s="336"/>
      <c r="K97" s="138"/>
      <c r="L97" s="89"/>
      <c r="M97" s="89" t="str">
        <f t="shared" si="7"/>
        <v>sander.rue@nmlegis.gov</v>
      </c>
      <c r="N97" s="89"/>
      <c r="O97" s="89"/>
      <c r="P97" s="89"/>
      <c r="Q97" s="89"/>
      <c r="R97" s="89"/>
      <c r="U97" t="str">
        <f t="shared" si="2"/>
        <v/>
      </c>
      <c r="V97" s="139" t="str">
        <f t="shared" si="3"/>
        <v/>
      </c>
      <c r="W97" t="str">
        <f t="shared" si="4"/>
        <v/>
      </c>
      <c r="X97" t="str">
        <f t="shared" si="5"/>
        <v/>
      </c>
      <c r="Y97" t="str">
        <f t="shared" si="6"/>
        <v/>
      </c>
    </row>
    <row r="98">
      <c r="A98" s="14" t="s">
        <v>286</v>
      </c>
      <c r="B98" s="31">
        <v>24.0</v>
      </c>
      <c r="C98" s="638" t="s">
        <v>123</v>
      </c>
      <c r="D98" s="638" t="s">
        <v>1094</v>
      </c>
      <c r="E98" s="644" t="s">
        <v>49</v>
      </c>
      <c r="F98" s="406"/>
      <c r="G98" s="219"/>
      <c r="H98" s="219"/>
      <c r="I98" s="336"/>
      <c r="J98" s="336"/>
      <c r="K98" s="138"/>
      <c r="L98" s="89"/>
      <c r="M98" s="89" t="str">
        <f t="shared" si="7"/>
        <v>nancy.rodriguez@nmlegis.gov</v>
      </c>
      <c r="N98" s="89"/>
      <c r="O98" s="89"/>
      <c r="P98" s="89"/>
      <c r="Q98" s="89"/>
      <c r="R98" s="89"/>
      <c r="U98" t="str">
        <f t="shared" si="2"/>
        <v/>
      </c>
      <c r="V98" s="139" t="str">
        <f t="shared" si="3"/>
        <v/>
      </c>
      <c r="W98" t="str">
        <f t="shared" si="4"/>
        <v/>
      </c>
      <c r="X98" t="str">
        <f t="shared" si="5"/>
        <v/>
      </c>
      <c r="Y98" t="str">
        <f t="shared" si="6"/>
        <v/>
      </c>
    </row>
    <row r="99">
      <c r="A99" s="14" t="s">
        <v>286</v>
      </c>
      <c r="B99" s="31">
        <v>25.0</v>
      </c>
      <c r="C99" s="638" t="s">
        <v>367</v>
      </c>
      <c r="D99" s="638" t="s">
        <v>9810</v>
      </c>
      <c r="E99" s="644" t="s">
        <v>49</v>
      </c>
      <c r="F99" s="194" t="s">
        <v>3235</v>
      </c>
      <c r="G99" s="219"/>
      <c r="H99" s="219"/>
      <c r="I99" s="336"/>
      <c r="J99" s="336"/>
      <c r="K99" s="138"/>
      <c r="L99" s="89"/>
      <c r="M99" s="89" t="str">
        <f t="shared" si="7"/>
        <v>peter.wirth@nmlegis.gov</v>
      </c>
      <c r="N99" s="640" t="str">
        <f>HYPERLINK("https://docs.google.com/document/d/1lwAxAwrHOxS_Tt2CEsKux4T0r53FXP7VwQuk4BOllWs/edit","Zero")</f>
        <v>Zero</v>
      </c>
      <c r="O99" s="89"/>
      <c r="P99" s="89"/>
      <c r="Q99" s="89"/>
      <c r="R99" s="89"/>
      <c r="U99" t="str">
        <f t="shared" si="2"/>
        <v>Senator</v>
      </c>
      <c r="V99" s="139" t="str">
        <f t="shared" si="3"/>
        <v>Peter</v>
      </c>
      <c r="W99" t="str">
        <f t="shared" si="4"/>
        <v>Wirth</v>
      </c>
      <c r="X99" t="str">
        <f t="shared" si="5"/>
        <v>peter.wirth@nmlegis.gov</v>
      </c>
      <c r="Y99" t="str">
        <f t="shared" si="6"/>
        <v>Majority Floor Leader</v>
      </c>
    </row>
    <row r="100">
      <c r="A100" s="14" t="s">
        <v>286</v>
      </c>
      <c r="B100" s="31">
        <v>26.0</v>
      </c>
      <c r="C100" s="638" t="s">
        <v>4829</v>
      </c>
      <c r="D100" s="638" t="s">
        <v>2656</v>
      </c>
      <c r="E100" s="644" t="s">
        <v>49</v>
      </c>
      <c r="F100" s="406"/>
      <c r="G100" s="219"/>
      <c r="H100" s="219"/>
      <c r="I100" s="336"/>
      <c r="J100" s="336"/>
      <c r="K100" s="138"/>
      <c r="L100" s="89"/>
      <c r="M100" s="89" t="str">
        <f t="shared" si="7"/>
        <v>jacob.candelaria@nmlegis.gov</v>
      </c>
      <c r="N100" s="89"/>
      <c r="O100" s="89"/>
      <c r="P100" s="89"/>
      <c r="Q100" s="89"/>
      <c r="R100" s="89"/>
      <c r="U100" t="str">
        <f t="shared" si="2"/>
        <v/>
      </c>
      <c r="V100" s="139" t="str">
        <f t="shared" si="3"/>
        <v/>
      </c>
      <c r="W100" t="str">
        <f t="shared" si="4"/>
        <v/>
      </c>
      <c r="X100" t="str">
        <f t="shared" si="5"/>
        <v/>
      </c>
      <c r="Y100" t="str">
        <f t="shared" si="6"/>
        <v/>
      </c>
    </row>
    <row r="101">
      <c r="A101" s="14" t="s">
        <v>286</v>
      </c>
      <c r="B101" s="31">
        <v>27.0</v>
      </c>
      <c r="C101" s="638" t="s">
        <v>4471</v>
      </c>
      <c r="D101" s="638" t="s">
        <v>7782</v>
      </c>
      <c r="E101" s="639" t="s">
        <v>53</v>
      </c>
      <c r="F101" s="194" t="s">
        <v>3469</v>
      </c>
      <c r="G101" s="219"/>
      <c r="H101" s="219"/>
      <c r="I101" s="336"/>
      <c r="J101" s="336"/>
      <c r="K101" s="138"/>
      <c r="L101" s="89"/>
      <c r="M101" s="89" t="str">
        <f t="shared" si="7"/>
        <v>stuart.ingle@nmlegis.gov</v>
      </c>
      <c r="N101" s="640" t="str">
        <f>HYPERLINK("https://docs.google.com/document/d/1gwYe7zczaKT3GWKleuWuv2I4TtYhBSXDVXde2Az00Rk/edit","Zero")</f>
        <v>Zero</v>
      </c>
      <c r="O101" s="89"/>
      <c r="P101" s="89"/>
      <c r="Q101" s="89"/>
      <c r="R101" s="89"/>
      <c r="U101" t="str">
        <f t="shared" si="2"/>
        <v/>
      </c>
      <c r="V101" s="139" t="str">
        <f t="shared" si="3"/>
        <v/>
      </c>
      <c r="W101" t="str">
        <f t="shared" si="4"/>
        <v/>
      </c>
      <c r="X101" t="str">
        <f t="shared" si="5"/>
        <v/>
      </c>
      <c r="Y101" t="str">
        <f t="shared" si="6"/>
        <v/>
      </c>
    </row>
    <row r="102">
      <c r="A102" s="14" t="s">
        <v>286</v>
      </c>
      <c r="B102" s="31">
        <v>28.0</v>
      </c>
      <c r="C102" s="638" t="s">
        <v>9813</v>
      </c>
      <c r="D102" s="638" t="s">
        <v>5887</v>
      </c>
      <c r="E102" s="644" t="s">
        <v>49</v>
      </c>
      <c r="F102" s="406"/>
      <c r="G102" s="219"/>
      <c r="H102" s="219"/>
      <c r="I102" s="336"/>
      <c r="J102" s="336"/>
      <c r="K102" s="138"/>
      <c r="L102" s="89"/>
      <c r="M102" s="89" t="str">
        <f t="shared" si="7"/>
        <v>howie.morales@nmlegis.gov</v>
      </c>
      <c r="N102" s="89"/>
      <c r="O102" s="89"/>
      <c r="P102" s="89"/>
      <c r="Q102" s="89"/>
      <c r="R102" s="89"/>
      <c r="U102" t="str">
        <f t="shared" si="2"/>
        <v/>
      </c>
      <c r="V102" s="139" t="str">
        <f t="shared" si="3"/>
        <v/>
      </c>
      <c r="W102" t="str">
        <f t="shared" si="4"/>
        <v/>
      </c>
      <c r="X102" t="str">
        <f t="shared" si="5"/>
        <v/>
      </c>
      <c r="Y102" t="str">
        <f t="shared" si="6"/>
        <v/>
      </c>
    </row>
    <row r="103">
      <c r="A103" s="14" t="s">
        <v>286</v>
      </c>
      <c r="B103" s="31">
        <v>29.0</v>
      </c>
      <c r="C103" s="638" t="s">
        <v>823</v>
      </c>
      <c r="D103" s="638" t="s">
        <v>9818</v>
      </c>
      <c r="E103" s="639" t="s">
        <v>53</v>
      </c>
      <c r="F103" s="406"/>
      <c r="G103" s="219"/>
      <c r="H103" s="219"/>
      <c r="I103" s="336"/>
      <c r="J103" s="336"/>
      <c r="K103" s="138"/>
      <c r="L103" s="89"/>
      <c r="M103" s="89" t="str">
        <f t="shared" si="7"/>
        <v>gregory.baca@nmlegis.gov</v>
      </c>
      <c r="N103" s="89"/>
      <c r="O103" s="89"/>
      <c r="P103" s="89"/>
      <c r="Q103" s="89"/>
      <c r="R103" s="89"/>
      <c r="U103" t="str">
        <f t="shared" si="2"/>
        <v/>
      </c>
      <c r="V103" s="139" t="str">
        <f t="shared" si="3"/>
        <v/>
      </c>
      <c r="W103" t="str">
        <f t="shared" si="4"/>
        <v/>
      </c>
      <c r="X103" t="str">
        <f t="shared" si="5"/>
        <v/>
      </c>
      <c r="Y103" t="str">
        <f t="shared" si="6"/>
        <v/>
      </c>
    </row>
    <row r="104">
      <c r="A104" s="14" t="s">
        <v>286</v>
      </c>
      <c r="B104" s="31">
        <v>30.0</v>
      </c>
      <c r="C104" s="638" t="s">
        <v>7068</v>
      </c>
      <c r="D104" s="638" t="s">
        <v>2337</v>
      </c>
      <c r="E104" s="644" t="s">
        <v>49</v>
      </c>
      <c r="F104" s="406"/>
      <c r="G104" s="194" t="s">
        <v>9826</v>
      </c>
      <c r="H104" s="219"/>
      <c r="I104" s="336"/>
      <c r="J104" s="336"/>
      <c r="K104" s="138"/>
      <c r="L104" s="89"/>
      <c r="M104" s="89" t="str">
        <f t="shared" si="7"/>
        <v>clemente.sanchez@nmlegis.gov</v>
      </c>
      <c r="N104" s="89"/>
      <c r="O104" s="89"/>
      <c r="P104" s="89"/>
      <c r="Q104" s="89"/>
      <c r="R104" s="89"/>
      <c r="U104" t="str">
        <f t="shared" si="2"/>
        <v/>
      </c>
      <c r="V104" s="139" t="str">
        <f t="shared" si="3"/>
        <v/>
      </c>
      <c r="W104" t="str">
        <f t="shared" si="4"/>
        <v/>
      </c>
      <c r="X104" t="str">
        <f t="shared" si="5"/>
        <v/>
      </c>
      <c r="Y104" t="str">
        <f t="shared" si="6"/>
        <v/>
      </c>
    </row>
    <row r="105">
      <c r="A105" s="14" t="s">
        <v>286</v>
      </c>
      <c r="B105" s="31">
        <v>31.0</v>
      </c>
      <c r="C105" s="638" t="s">
        <v>2527</v>
      </c>
      <c r="D105" s="638" t="s">
        <v>1815</v>
      </c>
      <c r="E105" s="644" t="s">
        <v>49</v>
      </c>
      <c r="F105" s="406"/>
      <c r="G105" s="194" t="s">
        <v>9830</v>
      </c>
      <c r="H105" s="219"/>
      <c r="I105" s="336"/>
      <c r="J105" s="336"/>
      <c r="K105" s="138"/>
      <c r="L105" s="89"/>
      <c r="M105" s="89" t="str">
        <f t="shared" si="7"/>
        <v>joseph.cervantes@nmlegis.gov</v>
      </c>
      <c r="N105" s="89"/>
      <c r="O105" s="89"/>
      <c r="P105" s="89"/>
      <c r="Q105" s="89"/>
      <c r="R105" s="89"/>
      <c r="U105" t="str">
        <f t="shared" si="2"/>
        <v/>
      </c>
      <c r="V105" s="139" t="str">
        <f t="shared" si="3"/>
        <v/>
      </c>
      <c r="W105" t="str">
        <f t="shared" si="4"/>
        <v/>
      </c>
      <c r="X105" t="str">
        <f t="shared" si="5"/>
        <v/>
      </c>
      <c r="Y105" t="str">
        <f t="shared" si="6"/>
        <v/>
      </c>
    </row>
    <row r="106">
      <c r="A106" s="14" t="s">
        <v>286</v>
      </c>
      <c r="B106" s="31">
        <v>32.0</v>
      </c>
      <c r="C106" s="638" t="s">
        <v>4224</v>
      </c>
      <c r="D106" s="638" t="s">
        <v>9834</v>
      </c>
      <c r="E106" s="639" t="s">
        <v>53</v>
      </c>
      <c r="F106" s="406"/>
      <c r="G106" s="219"/>
      <c r="H106" s="219"/>
      <c r="I106" s="336"/>
      <c r="J106" s="336"/>
      <c r="K106" s="138"/>
      <c r="L106" s="89"/>
      <c r="M106" s="89" t="str">
        <f t="shared" si="7"/>
        <v>cliff.pirtle@nmlegis.gov</v>
      </c>
      <c r="N106" s="89"/>
      <c r="O106" s="89"/>
      <c r="P106" s="89"/>
      <c r="Q106" s="89"/>
      <c r="R106" s="89"/>
      <c r="U106" t="str">
        <f t="shared" si="2"/>
        <v/>
      </c>
      <c r="V106" s="139" t="str">
        <f t="shared" si="3"/>
        <v/>
      </c>
      <c r="W106" t="str">
        <f t="shared" si="4"/>
        <v/>
      </c>
      <c r="X106" t="str">
        <f t="shared" si="5"/>
        <v/>
      </c>
      <c r="Y106" t="str">
        <f t="shared" si="6"/>
        <v/>
      </c>
    </row>
    <row r="107">
      <c r="A107" s="14" t="s">
        <v>286</v>
      </c>
      <c r="B107" s="31">
        <v>33.0</v>
      </c>
      <c r="C107" s="638" t="s">
        <v>1058</v>
      </c>
      <c r="D107" s="638" t="s">
        <v>4541</v>
      </c>
      <c r="E107" s="639" t="s">
        <v>53</v>
      </c>
      <c r="F107" s="406"/>
      <c r="G107" s="219"/>
      <c r="H107" s="219"/>
      <c r="I107" s="336"/>
      <c r="J107" s="336"/>
      <c r="K107" s="138"/>
      <c r="L107" s="89"/>
      <c r="M107" s="89" t="str">
        <f t="shared" si="7"/>
        <v>william.burt@nmlegis.gov</v>
      </c>
      <c r="N107" s="89"/>
      <c r="O107" s="89"/>
      <c r="P107" s="89"/>
      <c r="Q107" s="89"/>
      <c r="R107" s="89"/>
      <c r="U107" t="str">
        <f t="shared" si="2"/>
        <v/>
      </c>
      <c r="V107" s="139" t="str">
        <f t="shared" si="3"/>
        <v/>
      </c>
      <c r="W107" t="str">
        <f t="shared" si="4"/>
        <v/>
      </c>
      <c r="X107" t="str">
        <f t="shared" si="5"/>
        <v/>
      </c>
      <c r="Y107" t="str">
        <f t="shared" si="6"/>
        <v/>
      </c>
    </row>
    <row r="108">
      <c r="A108" s="14" t="s">
        <v>286</v>
      </c>
      <c r="B108" s="31">
        <v>34.0</v>
      </c>
      <c r="C108" s="638" t="s">
        <v>1813</v>
      </c>
      <c r="D108" s="638" t="s">
        <v>9839</v>
      </c>
      <c r="E108" s="639" t="s">
        <v>53</v>
      </c>
      <c r="F108" s="406"/>
      <c r="G108" s="219"/>
      <c r="H108" s="219"/>
      <c r="I108" s="336"/>
      <c r="J108" s="336"/>
      <c r="K108" s="138"/>
      <c r="L108" s="89"/>
      <c r="M108" s="89" t="str">
        <f t="shared" si="7"/>
        <v>ron.griggs@nmlegis.gov</v>
      </c>
      <c r="N108" s="89"/>
      <c r="O108" s="89"/>
      <c r="P108" s="89"/>
      <c r="Q108" s="89"/>
      <c r="R108" s="89"/>
      <c r="U108" t="str">
        <f t="shared" si="2"/>
        <v/>
      </c>
      <c r="V108" s="139" t="str">
        <f t="shared" si="3"/>
        <v/>
      </c>
      <c r="W108" t="str">
        <f t="shared" si="4"/>
        <v/>
      </c>
      <c r="X108" t="str">
        <f t="shared" si="5"/>
        <v/>
      </c>
      <c r="Y108" t="str">
        <f t="shared" si="6"/>
        <v/>
      </c>
    </row>
    <row r="109">
      <c r="A109" s="14" t="s">
        <v>286</v>
      </c>
      <c r="B109" s="31">
        <v>35.0</v>
      </c>
      <c r="C109" s="638" t="s">
        <v>278</v>
      </c>
      <c r="D109" s="638" t="s">
        <v>1451</v>
      </c>
      <c r="E109" s="644" t="s">
        <v>49</v>
      </c>
      <c r="F109" s="406"/>
      <c r="G109" s="194" t="s">
        <v>1272</v>
      </c>
      <c r="H109" s="219"/>
      <c r="I109" s="336"/>
      <c r="J109" s="336"/>
      <c r="K109" s="138"/>
      <c r="L109" s="89"/>
      <c r="M109" s="89" t="str">
        <f t="shared" si="7"/>
        <v>john.smith@nmlegis.gov</v>
      </c>
      <c r="N109" s="89"/>
      <c r="O109" s="89"/>
      <c r="P109" s="89"/>
      <c r="Q109" s="89"/>
      <c r="R109" s="89"/>
      <c r="U109" t="str">
        <f t="shared" si="2"/>
        <v/>
      </c>
      <c r="V109" s="139" t="str">
        <f t="shared" si="3"/>
        <v/>
      </c>
      <c r="W109" t="str">
        <f t="shared" si="4"/>
        <v/>
      </c>
      <c r="X109" t="str">
        <f t="shared" si="5"/>
        <v/>
      </c>
      <c r="Y109" t="str">
        <f t="shared" si="6"/>
        <v/>
      </c>
    </row>
    <row r="110">
      <c r="A110" s="14" t="s">
        <v>286</v>
      </c>
      <c r="B110" s="31">
        <v>36.0</v>
      </c>
      <c r="C110" s="638" t="s">
        <v>683</v>
      </c>
      <c r="D110" s="638" t="s">
        <v>9844</v>
      </c>
      <c r="E110" s="644" t="s">
        <v>49</v>
      </c>
      <c r="F110" s="406"/>
      <c r="G110" s="219"/>
      <c r="H110" s="219"/>
      <c r="I110" s="336"/>
      <c r="J110" s="336"/>
      <c r="K110" s="138"/>
      <c r="L110" s="89"/>
      <c r="M110" s="89" t="str">
        <f t="shared" si="7"/>
        <v>jeff.steinborn@nmlegis.gov</v>
      </c>
      <c r="N110" s="89"/>
      <c r="O110" s="89"/>
      <c r="P110" s="89"/>
      <c r="Q110" s="89"/>
      <c r="R110" s="89"/>
      <c r="U110" t="str">
        <f t="shared" si="2"/>
        <v/>
      </c>
      <c r="V110" s="139" t="str">
        <f t="shared" si="3"/>
        <v/>
      </c>
      <c r="W110" t="str">
        <f t="shared" si="4"/>
        <v/>
      </c>
      <c r="X110" t="str">
        <f t="shared" si="5"/>
        <v/>
      </c>
      <c r="Y110" t="str">
        <f t="shared" si="6"/>
        <v/>
      </c>
    </row>
    <row r="111">
      <c r="A111" s="14" t="s">
        <v>286</v>
      </c>
      <c r="B111" s="31">
        <v>37.0</v>
      </c>
      <c r="C111" s="638" t="s">
        <v>1058</v>
      </c>
      <c r="D111" s="638" t="s">
        <v>9847</v>
      </c>
      <c r="E111" s="644" t="s">
        <v>49</v>
      </c>
      <c r="F111" s="406"/>
      <c r="G111" s="194" t="s">
        <v>1047</v>
      </c>
      <c r="H111" s="219"/>
      <c r="I111" s="336"/>
      <c r="J111" s="336"/>
      <c r="K111" s="138"/>
      <c r="L111" s="89"/>
      <c r="M111" s="89" t="str">
        <f t="shared" si="7"/>
        <v>william.soules@nmlegis.gov</v>
      </c>
      <c r="N111" s="89"/>
      <c r="O111" s="89"/>
      <c r="P111" s="89"/>
      <c r="Q111" s="89"/>
      <c r="R111" s="89"/>
      <c r="U111" t="str">
        <f t="shared" si="2"/>
        <v/>
      </c>
      <c r="V111" s="139" t="str">
        <f t="shared" si="3"/>
        <v/>
      </c>
      <c r="W111" t="str">
        <f t="shared" si="4"/>
        <v/>
      </c>
      <c r="X111" t="str">
        <f t="shared" si="5"/>
        <v/>
      </c>
      <c r="Y111" t="str">
        <f t="shared" si="6"/>
        <v/>
      </c>
    </row>
    <row r="112">
      <c r="A112" s="14" t="s">
        <v>286</v>
      </c>
      <c r="B112" s="31">
        <v>38.0</v>
      </c>
      <c r="C112" s="638" t="s">
        <v>514</v>
      </c>
      <c r="D112" s="638" t="s">
        <v>9849</v>
      </c>
      <c r="E112" s="644" t="s">
        <v>49</v>
      </c>
      <c r="F112" s="194" t="s">
        <v>903</v>
      </c>
      <c r="G112" s="219"/>
      <c r="H112" s="219"/>
      <c r="I112" s="336"/>
      <c r="J112" s="336"/>
      <c r="K112" s="138"/>
      <c r="L112" s="89"/>
      <c r="M112" s="89" t="str">
        <f t="shared" si="7"/>
        <v>mary.papen@nmlegis.gov</v>
      </c>
      <c r="N112" s="640" t="str">
        <f>HYPERLINK("https://docs.google.com/document/d/1yoYhMlXMSCouSRocgYSH_hWyKgweFQFb0U7amsxeE4k/edit","Zero")</f>
        <v>Zero</v>
      </c>
      <c r="O112" s="89"/>
      <c r="P112" s="89"/>
      <c r="Q112" s="89"/>
      <c r="R112" s="89"/>
      <c r="U112" t="str">
        <f t="shared" si="2"/>
        <v>Senator</v>
      </c>
      <c r="V112" s="139" t="str">
        <f t="shared" si="3"/>
        <v>Mary</v>
      </c>
      <c r="W112" t="str">
        <f t="shared" si="4"/>
        <v>Papen</v>
      </c>
      <c r="X112" t="str">
        <f t="shared" si="5"/>
        <v>mary.papen@nmlegis.gov</v>
      </c>
      <c r="Y112" t="str">
        <f t="shared" si="6"/>
        <v>President Pro Tempore</v>
      </c>
    </row>
    <row r="113">
      <c r="A113" s="14" t="s">
        <v>286</v>
      </c>
      <c r="B113" s="31">
        <v>39.0</v>
      </c>
      <c r="C113" s="638" t="s">
        <v>2680</v>
      </c>
      <c r="D113" s="638" t="s">
        <v>9855</v>
      </c>
      <c r="E113" s="644" t="s">
        <v>49</v>
      </c>
      <c r="F113" s="406"/>
      <c r="G113" s="194" t="s">
        <v>9856</v>
      </c>
      <c r="H113" s="219"/>
      <c r="I113" s="336"/>
      <c r="J113" s="336"/>
      <c r="K113" s="138"/>
      <c r="L113" s="89"/>
      <c r="M113" s="89" t="str">
        <f t="shared" si="7"/>
        <v>liz.stefanics@nmlegis.gov</v>
      </c>
      <c r="N113" s="89"/>
      <c r="O113" s="89"/>
      <c r="P113" s="89"/>
      <c r="Q113" s="89"/>
      <c r="R113" s="89"/>
      <c r="U113" t="str">
        <f t="shared" si="2"/>
        <v/>
      </c>
      <c r="V113" s="139" t="str">
        <f t="shared" si="3"/>
        <v/>
      </c>
      <c r="W113" t="str">
        <f t="shared" si="4"/>
        <v/>
      </c>
      <c r="X113" t="str">
        <f t="shared" si="5"/>
        <v/>
      </c>
      <c r="Y113" t="str">
        <f t="shared" si="6"/>
        <v/>
      </c>
    </row>
    <row r="114">
      <c r="A114" s="14" t="s">
        <v>286</v>
      </c>
      <c r="B114" s="31">
        <v>40.0</v>
      </c>
      <c r="C114" s="638" t="s">
        <v>373</v>
      </c>
      <c r="D114" s="638" t="s">
        <v>1450</v>
      </c>
      <c r="E114" s="639" t="s">
        <v>53</v>
      </c>
      <c r="F114" s="406"/>
      <c r="G114" s="219"/>
      <c r="H114" s="219"/>
      <c r="I114" s="336"/>
      <c r="J114" s="336"/>
      <c r="K114" s="138"/>
      <c r="L114" s="89"/>
      <c r="M114" s="89" t="str">
        <f t="shared" si="7"/>
        <v>craig.brandt@nmlegis.gov</v>
      </c>
      <c r="N114" s="89"/>
      <c r="O114" s="89"/>
      <c r="P114" s="89"/>
      <c r="Q114" s="89"/>
      <c r="R114" s="89"/>
      <c r="U114" t="str">
        <f t="shared" si="2"/>
        <v/>
      </c>
      <c r="V114" s="139" t="str">
        <f t="shared" si="3"/>
        <v/>
      </c>
      <c r="W114" t="str">
        <f t="shared" si="4"/>
        <v/>
      </c>
      <c r="X114" t="str">
        <f t="shared" si="5"/>
        <v/>
      </c>
      <c r="Y114" t="str">
        <f t="shared" si="6"/>
        <v/>
      </c>
    </row>
    <row r="115">
      <c r="A115" s="14" t="s">
        <v>286</v>
      </c>
      <c r="B115" s="31">
        <v>41.0</v>
      </c>
      <c r="C115" s="638" t="s">
        <v>1002</v>
      </c>
      <c r="D115" s="638" t="s">
        <v>9859</v>
      </c>
      <c r="E115" s="639" t="s">
        <v>53</v>
      </c>
      <c r="F115" s="406"/>
      <c r="G115" s="219"/>
      <c r="H115" s="219"/>
      <c r="I115" s="336"/>
      <c r="J115" s="336"/>
      <c r="K115" s="138"/>
      <c r="L115" s="89"/>
      <c r="M115" s="89" t="str">
        <f t="shared" si="7"/>
        <v>carroll.leavell@nmlegis.gov</v>
      </c>
      <c r="N115" s="89"/>
      <c r="O115" s="89"/>
      <c r="P115" s="89"/>
      <c r="Q115" s="89"/>
      <c r="R115" s="89"/>
      <c r="U115" t="str">
        <f t="shared" si="2"/>
        <v/>
      </c>
      <c r="V115" s="139" t="str">
        <f t="shared" si="3"/>
        <v/>
      </c>
      <c r="W115" t="str">
        <f t="shared" si="4"/>
        <v/>
      </c>
      <c r="X115" t="str">
        <f t="shared" si="5"/>
        <v/>
      </c>
      <c r="Y115" t="str">
        <f t="shared" si="6"/>
        <v/>
      </c>
    </row>
    <row r="116">
      <c r="A116" s="14" t="s">
        <v>286</v>
      </c>
      <c r="B116" s="31">
        <v>42.0</v>
      </c>
      <c r="C116" s="638" t="s">
        <v>9860</v>
      </c>
      <c r="D116" s="638" t="s">
        <v>9861</v>
      </c>
      <c r="E116" s="639" t="s">
        <v>53</v>
      </c>
      <c r="F116" s="406"/>
      <c r="G116" s="219"/>
      <c r="H116" s="219"/>
      <c r="I116" s="336"/>
      <c r="J116" s="336"/>
      <c r="K116" s="138"/>
      <c r="L116" s="89"/>
      <c r="M116" s="89" t="str">
        <f t="shared" si="7"/>
        <v>gay.kernan@nmlegis.gov</v>
      </c>
      <c r="N116" s="89"/>
      <c r="O116" s="89"/>
      <c r="P116" s="89"/>
      <c r="Q116" s="89"/>
      <c r="R116" s="89"/>
      <c r="U116" t="str">
        <f t="shared" si="2"/>
        <v/>
      </c>
      <c r="V116" s="139" t="str">
        <f t="shared" si="3"/>
        <v/>
      </c>
      <c r="W116" t="str">
        <f t="shared" si="4"/>
        <v/>
      </c>
      <c r="X116" t="str">
        <f t="shared" si="5"/>
        <v/>
      </c>
      <c r="Y116" t="str">
        <f t="shared" si="6"/>
        <v/>
      </c>
    </row>
    <row r="117">
      <c r="A117" s="70"/>
      <c r="B117" s="70"/>
      <c r="C117" s="71"/>
      <c r="D117" s="71"/>
      <c r="E117" s="70"/>
      <c r="F117" s="417"/>
      <c r="G117" s="345"/>
      <c r="H117" s="345"/>
      <c r="I117" s="345"/>
      <c r="J117" s="345"/>
      <c r="K117" s="70"/>
      <c r="L117" s="70"/>
      <c r="M117" s="70"/>
      <c r="N117" s="70"/>
      <c r="O117" s="70"/>
      <c r="P117" s="70"/>
      <c r="Q117" s="70"/>
      <c r="R117" s="70"/>
      <c r="S117" s="70"/>
      <c r="T117" s="70"/>
      <c r="U117" s="70"/>
      <c r="V117" s="70"/>
      <c r="W117" s="70"/>
      <c r="X117" s="70"/>
      <c r="Y117" s="70"/>
      <c r="Z117" s="70"/>
      <c r="AA117" s="70"/>
      <c r="AB117" s="70"/>
      <c r="AC117" s="70"/>
      <c r="AD117" s="70"/>
    </row>
    <row r="118">
      <c r="A118" s="14" t="s">
        <v>421</v>
      </c>
      <c r="C118" s="77" t="s">
        <v>22</v>
      </c>
      <c r="D118" s="77" t="s">
        <v>9863</v>
      </c>
      <c r="E118" s="644" t="s">
        <v>49</v>
      </c>
      <c r="F118" s="426"/>
      <c r="G118" s="303"/>
      <c r="H118" s="303"/>
      <c r="I118" s="303"/>
      <c r="J118" s="303"/>
    </row>
    <row r="119">
      <c r="A119" s="70"/>
      <c r="B119" s="70"/>
      <c r="C119" s="71"/>
      <c r="D119" s="71"/>
      <c r="E119" s="70"/>
      <c r="F119" s="417"/>
      <c r="G119" s="345"/>
      <c r="H119" s="345"/>
      <c r="I119" s="345"/>
      <c r="J119" s="345"/>
      <c r="K119" s="70"/>
      <c r="L119" s="70"/>
      <c r="M119" s="70"/>
      <c r="N119" s="70"/>
      <c r="O119" s="70"/>
      <c r="P119" s="70"/>
      <c r="Q119" s="70"/>
      <c r="R119" s="70"/>
      <c r="S119" s="70"/>
      <c r="T119" s="70"/>
      <c r="U119" s="70"/>
      <c r="V119" s="70"/>
      <c r="W119" s="70"/>
      <c r="X119" s="70"/>
      <c r="Y119" s="70"/>
      <c r="Z119" s="70"/>
      <c r="AA119" s="70"/>
      <c r="AB119" s="70"/>
      <c r="AC119" s="70"/>
      <c r="AD119" s="70"/>
    </row>
    <row r="120">
      <c r="A120" s="14" t="s">
        <v>427</v>
      </c>
      <c r="B120" s="14">
        <v>1.0</v>
      </c>
      <c r="C120" s="77" t="s">
        <v>2601</v>
      </c>
      <c r="D120" s="77" t="s">
        <v>9864</v>
      </c>
      <c r="E120" s="509" t="s">
        <v>49</v>
      </c>
      <c r="F120" s="426"/>
      <c r="G120" s="303"/>
      <c r="H120" s="303"/>
      <c r="I120" s="303"/>
      <c r="J120" s="303"/>
    </row>
    <row r="121">
      <c r="A121" s="14" t="s">
        <v>427</v>
      </c>
      <c r="B121" s="14">
        <v>2.0</v>
      </c>
      <c r="C121" s="77" t="s">
        <v>9865</v>
      </c>
      <c r="D121" s="77" t="s">
        <v>9866</v>
      </c>
      <c r="E121" s="509" t="s">
        <v>49</v>
      </c>
      <c r="F121" s="426"/>
      <c r="G121" s="303"/>
      <c r="H121" s="303"/>
      <c r="I121" s="303"/>
      <c r="J121" s="303"/>
    </row>
    <row r="122">
      <c r="A122" s="14" t="s">
        <v>427</v>
      </c>
      <c r="B122" s="14">
        <v>3.0</v>
      </c>
      <c r="C122" s="77" t="s">
        <v>195</v>
      </c>
      <c r="D122" s="77" t="s">
        <v>9867</v>
      </c>
      <c r="E122" s="509" t="s">
        <v>49</v>
      </c>
      <c r="F122" s="426"/>
      <c r="G122" s="303"/>
      <c r="H122" s="303"/>
      <c r="I122" s="303"/>
      <c r="J122" s="303"/>
    </row>
    <row r="123">
      <c r="A123" s="70"/>
      <c r="B123" s="70"/>
      <c r="C123" s="71"/>
      <c r="D123" s="71"/>
      <c r="E123" s="70"/>
      <c r="F123" s="417"/>
      <c r="G123" s="345"/>
      <c r="H123" s="345"/>
      <c r="I123" s="345"/>
      <c r="J123" s="345"/>
      <c r="K123" s="70"/>
      <c r="L123" s="70"/>
      <c r="M123" s="70"/>
      <c r="N123" s="70"/>
      <c r="O123" s="70"/>
      <c r="P123" s="70"/>
      <c r="Q123" s="70"/>
      <c r="R123" s="70"/>
      <c r="S123" s="70"/>
      <c r="T123" s="70"/>
      <c r="U123" s="70"/>
      <c r="V123" s="70"/>
      <c r="W123" s="70"/>
      <c r="X123" s="70"/>
      <c r="Y123" s="70"/>
      <c r="Z123" s="70"/>
      <c r="AA123" s="70"/>
      <c r="AB123" s="70"/>
      <c r="AC123" s="70"/>
      <c r="AD123" s="70"/>
    </row>
    <row r="124">
      <c r="A124" s="14" t="s">
        <v>430</v>
      </c>
      <c r="B124" s="14" t="s">
        <v>431</v>
      </c>
      <c r="C124" s="77" t="s">
        <v>338</v>
      </c>
      <c r="D124" s="77" t="s">
        <v>1045</v>
      </c>
      <c r="E124" s="644" t="s">
        <v>49</v>
      </c>
      <c r="F124" s="426"/>
      <c r="G124" s="303"/>
      <c r="H124" s="303"/>
      <c r="I124" s="303"/>
      <c r="J124" s="303"/>
    </row>
    <row r="125">
      <c r="A125" s="14" t="s">
        <v>430</v>
      </c>
      <c r="B125" s="14" t="s">
        <v>434</v>
      </c>
      <c r="C125" s="77" t="s">
        <v>456</v>
      </c>
      <c r="D125" s="77" t="s">
        <v>7727</v>
      </c>
      <c r="E125" s="644" t="s">
        <v>49</v>
      </c>
      <c r="F125" s="426"/>
      <c r="G125" s="303"/>
      <c r="H125" s="303"/>
      <c r="I125" s="303"/>
      <c r="J125" s="303"/>
    </row>
    <row r="126">
      <c r="A126" s="70"/>
      <c r="B126" s="70"/>
      <c r="C126" s="71"/>
      <c r="D126" s="71"/>
      <c r="E126" s="70"/>
      <c r="F126" s="417"/>
      <c r="G126" s="345"/>
      <c r="H126" s="345"/>
      <c r="I126" s="345"/>
      <c r="J126" s="345"/>
      <c r="K126" s="70"/>
      <c r="L126" s="70"/>
      <c r="M126" s="70"/>
      <c r="N126" s="70"/>
      <c r="O126" s="70"/>
      <c r="P126" s="70"/>
      <c r="Q126" s="70"/>
      <c r="R126" s="70"/>
      <c r="S126" s="70"/>
      <c r="T126" s="70"/>
      <c r="U126" s="70"/>
      <c r="V126" s="70"/>
      <c r="W126" s="70"/>
      <c r="X126" s="70"/>
      <c r="Y126" s="70"/>
      <c r="Z126" s="70"/>
      <c r="AA126" s="70"/>
      <c r="AB126" s="70"/>
      <c r="AC126" s="70"/>
      <c r="AD126" s="70"/>
    </row>
    <row r="127">
      <c r="A127" s="14" t="s">
        <v>438</v>
      </c>
      <c r="C127" s="77" t="s">
        <v>9869</v>
      </c>
      <c r="D127" s="77" t="s">
        <v>9870</v>
      </c>
      <c r="E127" s="644" t="s">
        <v>49</v>
      </c>
      <c r="F127" s="426"/>
      <c r="G127" s="303"/>
      <c r="H127" s="303"/>
      <c r="I127" s="303"/>
      <c r="J127" s="303"/>
    </row>
    <row r="128">
      <c r="A128" s="70"/>
      <c r="B128" s="70"/>
      <c r="C128" s="71"/>
      <c r="D128" s="71"/>
      <c r="E128" s="70"/>
      <c r="F128" s="417"/>
      <c r="G128" s="345"/>
      <c r="H128" s="345"/>
      <c r="I128" s="345"/>
      <c r="J128" s="345"/>
      <c r="K128" s="70"/>
      <c r="L128" s="70"/>
      <c r="M128" s="70"/>
      <c r="N128" s="70"/>
      <c r="O128" s="70"/>
      <c r="P128" s="70"/>
      <c r="Q128" s="70"/>
      <c r="R128" s="70"/>
      <c r="S128" s="70"/>
      <c r="T128" s="70"/>
      <c r="U128" s="70"/>
      <c r="V128" s="70"/>
      <c r="W128" s="70"/>
      <c r="X128" s="70"/>
      <c r="Y128" s="70"/>
      <c r="Z128" s="70"/>
      <c r="AA128" s="70"/>
      <c r="AB128" s="70"/>
      <c r="AC128" s="70"/>
      <c r="AD128" s="70"/>
    </row>
    <row r="129">
      <c r="C129" s="139"/>
      <c r="D129" s="139"/>
      <c r="F129" s="426"/>
      <c r="G129" s="303"/>
      <c r="H129" s="303"/>
      <c r="I129" s="303"/>
      <c r="J129" s="303"/>
    </row>
    <row r="130">
      <c r="C130" s="139"/>
      <c r="D130" s="139"/>
      <c r="F130" s="426"/>
      <c r="G130" s="303"/>
      <c r="H130" s="303"/>
      <c r="I130" s="303"/>
      <c r="J130" s="303"/>
    </row>
    <row r="131">
      <c r="C131" s="139"/>
      <c r="D131" s="139"/>
      <c r="F131" s="426"/>
      <c r="G131" s="303"/>
      <c r="H131" s="303"/>
      <c r="I131" s="303"/>
      <c r="J131" s="303"/>
    </row>
    <row r="132">
      <c r="C132" s="139"/>
      <c r="D132" s="139"/>
      <c r="F132" s="426"/>
      <c r="G132" s="303"/>
      <c r="H132" s="303"/>
      <c r="I132" s="303"/>
      <c r="J132" s="303"/>
    </row>
    <row r="133">
      <c r="C133" s="139"/>
      <c r="D133" s="139"/>
      <c r="F133" s="426"/>
      <c r="G133" s="303"/>
      <c r="H133" s="303"/>
      <c r="I133" s="303"/>
      <c r="J133" s="303"/>
    </row>
    <row r="134">
      <c r="C134" s="139"/>
      <c r="D134" s="139"/>
      <c r="F134" s="426"/>
      <c r="G134" s="303"/>
      <c r="H134" s="303"/>
      <c r="I134" s="303"/>
      <c r="J134" s="303"/>
    </row>
    <row r="135">
      <c r="C135" s="139"/>
      <c r="D135" s="139"/>
      <c r="F135" s="426"/>
      <c r="G135" s="303"/>
      <c r="H135" s="303"/>
      <c r="I135" s="303"/>
      <c r="J135" s="303"/>
    </row>
    <row r="136">
      <c r="C136" s="139"/>
      <c r="D136" s="139"/>
      <c r="F136" s="426"/>
      <c r="G136" s="303"/>
      <c r="H136" s="303"/>
      <c r="I136" s="303"/>
      <c r="J136" s="303"/>
    </row>
    <row r="137">
      <c r="C137" s="139"/>
      <c r="D137" s="139"/>
      <c r="F137" s="426"/>
      <c r="G137" s="303"/>
      <c r="H137" s="303"/>
      <c r="I137" s="303"/>
      <c r="J137" s="303"/>
    </row>
    <row r="138">
      <c r="C138" s="139"/>
      <c r="D138" s="139"/>
      <c r="F138" s="426"/>
      <c r="G138" s="303"/>
      <c r="H138" s="303"/>
      <c r="I138" s="303"/>
      <c r="J138" s="303"/>
    </row>
    <row r="139">
      <c r="C139" s="139"/>
      <c r="D139" s="139"/>
      <c r="F139" s="426"/>
      <c r="G139" s="303"/>
      <c r="H139" s="303"/>
      <c r="I139" s="303"/>
      <c r="J139" s="303"/>
    </row>
    <row r="140">
      <c r="C140" s="139"/>
      <c r="D140" s="139"/>
      <c r="F140" s="426"/>
      <c r="G140" s="303"/>
      <c r="H140" s="303"/>
      <c r="I140" s="303"/>
      <c r="J140" s="303"/>
    </row>
    <row r="141">
      <c r="C141" s="139"/>
      <c r="D141" s="139"/>
      <c r="F141" s="426"/>
      <c r="G141" s="303"/>
      <c r="H141" s="303"/>
      <c r="I141" s="303"/>
      <c r="J141" s="303"/>
    </row>
    <row r="142">
      <c r="C142" s="139"/>
      <c r="D142" s="139"/>
      <c r="F142" s="426"/>
      <c r="G142" s="303"/>
      <c r="H142" s="303"/>
      <c r="I142" s="303"/>
      <c r="J142" s="303"/>
    </row>
    <row r="143">
      <c r="C143" s="139"/>
      <c r="D143" s="139"/>
      <c r="F143" s="426"/>
      <c r="G143" s="303"/>
      <c r="H143" s="303"/>
      <c r="I143" s="303"/>
      <c r="J143" s="303"/>
    </row>
    <row r="144">
      <c r="C144" s="139"/>
      <c r="D144" s="139"/>
      <c r="F144" s="426"/>
      <c r="G144" s="303"/>
      <c r="H144" s="303"/>
      <c r="I144" s="303"/>
      <c r="J144" s="303"/>
    </row>
    <row r="145">
      <c r="C145" s="139"/>
      <c r="D145" s="139"/>
      <c r="F145" s="426"/>
      <c r="G145" s="303"/>
      <c r="H145" s="303"/>
      <c r="I145" s="303"/>
      <c r="J145" s="303"/>
    </row>
    <row r="146">
      <c r="C146" s="139"/>
      <c r="D146" s="139"/>
      <c r="F146" s="426"/>
      <c r="G146" s="303"/>
      <c r="H146" s="303"/>
      <c r="I146" s="303"/>
      <c r="J146" s="303"/>
    </row>
    <row r="147">
      <c r="C147" s="139"/>
      <c r="D147" s="139"/>
      <c r="F147" s="426"/>
      <c r="G147" s="303"/>
      <c r="H147" s="303"/>
      <c r="I147" s="303"/>
      <c r="J147" s="303"/>
    </row>
    <row r="148">
      <c r="C148" s="139"/>
      <c r="D148" s="139"/>
      <c r="F148" s="426"/>
      <c r="G148" s="303"/>
      <c r="H148" s="303"/>
      <c r="I148" s="303"/>
      <c r="J148" s="303"/>
    </row>
    <row r="149">
      <c r="C149" s="139"/>
      <c r="D149" s="139"/>
      <c r="F149" s="426"/>
      <c r="G149" s="303"/>
      <c r="H149" s="303"/>
      <c r="I149" s="303"/>
      <c r="J149" s="303"/>
    </row>
    <row r="150">
      <c r="C150" s="139"/>
      <c r="D150" s="139"/>
      <c r="F150" s="426"/>
      <c r="G150" s="303"/>
      <c r="H150" s="303"/>
      <c r="I150" s="303"/>
      <c r="J150" s="303"/>
    </row>
    <row r="151">
      <c r="C151" s="139"/>
      <c r="D151" s="139"/>
      <c r="F151" s="426"/>
      <c r="G151" s="303"/>
      <c r="H151" s="303"/>
      <c r="I151" s="303"/>
      <c r="J151" s="303"/>
    </row>
    <row r="152">
      <c r="C152" s="139"/>
      <c r="D152" s="139"/>
      <c r="F152" s="426"/>
      <c r="G152" s="303"/>
      <c r="H152" s="303"/>
      <c r="I152" s="303"/>
      <c r="J152" s="303"/>
    </row>
    <row r="153">
      <c r="C153" s="139"/>
      <c r="D153" s="139"/>
      <c r="F153" s="426"/>
      <c r="G153" s="303"/>
      <c r="H153" s="303"/>
      <c r="I153" s="303"/>
      <c r="J153" s="303"/>
    </row>
    <row r="154">
      <c r="C154" s="139"/>
      <c r="D154" s="139"/>
      <c r="F154" s="426"/>
      <c r="G154" s="303"/>
      <c r="H154" s="303"/>
      <c r="I154" s="303"/>
      <c r="J154" s="303"/>
    </row>
    <row r="155">
      <c r="C155" s="139"/>
      <c r="D155" s="139"/>
      <c r="F155" s="426"/>
      <c r="G155" s="303"/>
      <c r="H155" s="303"/>
      <c r="I155" s="303"/>
      <c r="J155" s="303"/>
    </row>
    <row r="156">
      <c r="C156" s="139"/>
      <c r="D156" s="139"/>
      <c r="F156" s="426"/>
      <c r="G156" s="303"/>
      <c r="H156" s="303"/>
      <c r="I156" s="303"/>
      <c r="J156" s="303"/>
    </row>
    <row r="157">
      <c r="C157" s="139"/>
      <c r="D157" s="139"/>
      <c r="F157" s="426"/>
      <c r="G157" s="303"/>
      <c r="H157" s="303"/>
      <c r="I157" s="303"/>
      <c r="J157" s="303"/>
    </row>
    <row r="158">
      <c r="C158" s="139"/>
      <c r="D158" s="139"/>
      <c r="F158" s="426"/>
      <c r="G158" s="303"/>
      <c r="H158" s="303"/>
      <c r="I158" s="303"/>
      <c r="J158" s="303"/>
    </row>
    <row r="159">
      <c r="C159" s="139"/>
      <c r="D159" s="139"/>
      <c r="F159" s="426"/>
      <c r="G159" s="303"/>
      <c r="H159" s="303"/>
      <c r="I159" s="303"/>
      <c r="J159" s="303"/>
    </row>
    <row r="160">
      <c r="C160" s="139"/>
      <c r="D160" s="139"/>
      <c r="F160" s="426"/>
      <c r="G160" s="303"/>
      <c r="H160" s="303"/>
      <c r="I160" s="303"/>
      <c r="J160" s="303"/>
    </row>
    <row r="161">
      <c r="C161" s="139"/>
      <c r="D161" s="139"/>
      <c r="F161" s="426"/>
      <c r="G161" s="303"/>
      <c r="H161" s="303"/>
      <c r="I161" s="303"/>
      <c r="J161" s="303"/>
    </row>
    <row r="162">
      <c r="C162" s="139"/>
      <c r="D162" s="139"/>
      <c r="F162" s="426"/>
      <c r="G162" s="303"/>
      <c r="H162" s="303"/>
      <c r="I162" s="303"/>
      <c r="J162" s="303"/>
    </row>
    <row r="163">
      <c r="C163" s="139"/>
      <c r="D163" s="139"/>
      <c r="F163" s="426"/>
      <c r="G163" s="303"/>
      <c r="H163" s="303"/>
      <c r="I163" s="303"/>
      <c r="J163" s="303"/>
    </row>
    <row r="164">
      <c r="C164" s="139"/>
      <c r="D164" s="139"/>
      <c r="F164" s="426"/>
      <c r="G164" s="303"/>
      <c r="H164" s="303"/>
      <c r="I164" s="303"/>
      <c r="J164" s="303"/>
    </row>
    <row r="165">
      <c r="C165" s="139"/>
      <c r="D165" s="139"/>
      <c r="F165" s="426"/>
      <c r="G165" s="303"/>
      <c r="H165" s="303"/>
      <c r="I165" s="303"/>
      <c r="J165" s="303"/>
    </row>
    <row r="166">
      <c r="C166" s="139"/>
      <c r="D166" s="139"/>
      <c r="F166" s="426"/>
      <c r="G166" s="303"/>
      <c r="H166" s="303"/>
      <c r="I166" s="303"/>
      <c r="J166" s="303"/>
    </row>
    <row r="167">
      <c r="C167" s="139"/>
      <c r="D167" s="139"/>
      <c r="F167" s="426"/>
      <c r="G167" s="303"/>
      <c r="H167" s="303"/>
      <c r="I167" s="303"/>
      <c r="J167" s="303"/>
    </row>
    <row r="168">
      <c r="C168" s="139"/>
      <c r="D168" s="139"/>
      <c r="F168" s="426"/>
      <c r="G168" s="303"/>
      <c r="H168" s="303"/>
      <c r="I168" s="303"/>
      <c r="J168" s="303"/>
    </row>
    <row r="169">
      <c r="C169" s="139"/>
      <c r="D169" s="139"/>
      <c r="F169" s="426"/>
      <c r="G169" s="303"/>
      <c r="H169" s="303"/>
      <c r="I169" s="303"/>
      <c r="J169" s="303"/>
    </row>
    <row r="170">
      <c r="C170" s="139"/>
      <c r="D170" s="139"/>
      <c r="F170" s="426"/>
      <c r="G170" s="303"/>
      <c r="H170" s="303"/>
      <c r="I170" s="303"/>
      <c r="J170" s="303"/>
    </row>
    <row r="171">
      <c r="C171" s="139"/>
      <c r="D171" s="139"/>
      <c r="F171" s="426"/>
      <c r="G171" s="303"/>
      <c r="H171" s="303"/>
      <c r="I171" s="303"/>
      <c r="J171" s="303"/>
    </row>
    <row r="172">
      <c r="C172" s="139"/>
      <c r="D172" s="139"/>
      <c r="F172" s="426"/>
      <c r="G172" s="303"/>
      <c r="H172" s="303"/>
      <c r="I172" s="303"/>
      <c r="J172" s="303"/>
    </row>
    <row r="173">
      <c r="C173" s="139"/>
      <c r="D173" s="139"/>
      <c r="F173" s="426"/>
      <c r="G173" s="303"/>
      <c r="H173" s="303"/>
      <c r="I173" s="303"/>
      <c r="J173" s="303"/>
    </row>
    <row r="174">
      <c r="C174" s="139"/>
      <c r="D174" s="139"/>
      <c r="F174" s="426"/>
      <c r="G174" s="303"/>
      <c r="H174" s="303"/>
      <c r="I174" s="303"/>
      <c r="J174" s="303"/>
    </row>
    <row r="175">
      <c r="C175" s="139"/>
      <c r="D175" s="139"/>
      <c r="F175" s="426"/>
      <c r="G175" s="303"/>
      <c r="H175" s="303"/>
      <c r="I175" s="303"/>
      <c r="J175" s="303"/>
    </row>
    <row r="176">
      <c r="C176" s="139"/>
      <c r="D176" s="139"/>
      <c r="F176" s="426"/>
      <c r="G176" s="303"/>
      <c r="H176" s="303"/>
      <c r="I176" s="303"/>
      <c r="J176" s="303"/>
    </row>
    <row r="177">
      <c r="C177" s="139"/>
      <c r="D177" s="139"/>
      <c r="F177" s="426"/>
      <c r="G177" s="303"/>
      <c r="H177" s="303"/>
      <c r="I177" s="303"/>
      <c r="J177" s="303"/>
    </row>
    <row r="178">
      <c r="C178" s="139"/>
      <c r="D178" s="139"/>
      <c r="F178" s="426"/>
      <c r="G178" s="303"/>
      <c r="H178" s="303"/>
      <c r="I178" s="303"/>
      <c r="J178" s="303"/>
    </row>
    <row r="179">
      <c r="C179" s="139"/>
      <c r="D179" s="139"/>
      <c r="F179" s="426"/>
      <c r="G179" s="303"/>
      <c r="H179" s="303"/>
      <c r="I179" s="303"/>
      <c r="J179" s="303"/>
    </row>
    <row r="180">
      <c r="C180" s="139"/>
      <c r="D180" s="139"/>
      <c r="F180" s="426"/>
      <c r="G180" s="303"/>
      <c r="H180" s="303"/>
      <c r="I180" s="303"/>
      <c r="J180" s="303"/>
    </row>
    <row r="181">
      <c r="C181" s="139"/>
      <c r="D181" s="139"/>
      <c r="F181" s="426"/>
      <c r="G181" s="303"/>
      <c r="H181" s="303"/>
      <c r="I181" s="303"/>
      <c r="J181" s="303"/>
    </row>
    <row r="182">
      <c r="C182" s="139"/>
      <c r="D182" s="139"/>
      <c r="F182" s="426"/>
      <c r="G182" s="303"/>
      <c r="H182" s="303"/>
      <c r="I182" s="303"/>
      <c r="J182" s="303"/>
    </row>
    <row r="183">
      <c r="C183" s="139"/>
      <c r="D183" s="139"/>
      <c r="F183" s="426"/>
      <c r="G183" s="303"/>
      <c r="H183" s="303"/>
      <c r="I183" s="303"/>
      <c r="J183" s="303"/>
    </row>
    <row r="184">
      <c r="C184" s="139"/>
      <c r="D184" s="139"/>
      <c r="F184" s="426"/>
      <c r="G184" s="303"/>
      <c r="H184" s="303"/>
      <c r="I184" s="303"/>
      <c r="J184" s="303"/>
    </row>
    <row r="185">
      <c r="C185" s="139"/>
      <c r="D185" s="139"/>
      <c r="F185" s="426"/>
      <c r="G185" s="303"/>
      <c r="H185" s="303"/>
      <c r="I185" s="303"/>
      <c r="J185" s="303"/>
    </row>
    <row r="186">
      <c r="C186" s="139"/>
      <c r="D186" s="139"/>
      <c r="F186" s="426"/>
      <c r="G186" s="303"/>
      <c r="H186" s="303"/>
      <c r="I186" s="303"/>
      <c r="J186" s="303"/>
    </row>
    <row r="187">
      <c r="C187" s="139"/>
      <c r="D187" s="139"/>
      <c r="F187" s="426"/>
      <c r="G187" s="303"/>
      <c r="H187" s="303"/>
      <c r="I187" s="303"/>
      <c r="J187" s="303"/>
    </row>
    <row r="188">
      <c r="C188" s="139"/>
      <c r="D188" s="139"/>
      <c r="F188" s="426"/>
      <c r="G188" s="303"/>
      <c r="H188" s="303"/>
      <c r="I188" s="303"/>
      <c r="J188" s="303"/>
    </row>
    <row r="189">
      <c r="C189" s="139"/>
      <c r="D189" s="139"/>
      <c r="F189" s="426"/>
      <c r="G189" s="303"/>
      <c r="H189" s="303"/>
      <c r="I189" s="303"/>
      <c r="J189" s="303"/>
    </row>
    <row r="190">
      <c r="C190" s="139"/>
      <c r="D190" s="139"/>
      <c r="F190" s="426"/>
      <c r="G190" s="303"/>
      <c r="H190" s="303"/>
      <c r="I190" s="303"/>
      <c r="J190" s="303"/>
    </row>
    <row r="191">
      <c r="C191" s="139"/>
      <c r="D191" s="139"/>
      <c r="F191" s="426"/>
      <c r="G191" s="303"/>
      <c r="H191" s="303"/>
      <c r="I191" s="303"/>
      <c r="J191" s="303"/>
    </row>
    <row r="192">
      <c r="C192" s="139"/>
      <c r="D192" s="139"/>
      <c r="F192" s="426"/>
      <c r="G192" s="303"/>
      <c r="H192" s="303"/>
      <c r="I192" s="303"/>
      <c r="J192" s="303"/>
    </row>
    <row r="193">
      <c r="C193" s="139"/>
      <c r="D193" s="139"/>
      <c r="F193" s="426"/>
      <c r="G193" s="303"/>
      <c r="H193" s="303"/>
      <c r="I193" s="303"/>
      <c r="J193" s="303"/>
    </row>
    <row r="194">
      <c r="C194" s="139"/>
      <c r="D194" s="139"/>
      <c r="F194" s="426"/>
      <c r="G194" s="303"/>
      <c r="H194" s="303"/>
      <c r="I194" s="303"/>
      <c r="J194" s="303"/>
    </row>
    <row r="195">
      <c r="C195" s="139"/>
      <c r="D195" s="139"/>
      <c r="F195" s="426"/>
      <c r="G195" s="303"/>
      <c r="H195" s="303"/>
      <c r="I195" s="303"/>
      <c r="J195" s="303"/>
    </row>
    <row r="196">
      <c r="C196" s="139"/>
      <c r="D196" s="139"/>
      <c r="F196" s="426"/>
      <c r="G196" s="303"/>
      <c r="H196" s="303"/>
      <c r="I196" s="303"/>
      <c r="J196" s="303"/>
    </row>
    <row r="197">
      <c r="C197" s="139"/>
      <c r="D197" s="139"/>
      <c r="F197" s="426"/>
      <c r="G197" s="303"/>
      <c r="H197" s="303"/>
      <c r="I197" s="303"/>
      <c r="J197" s="303"/>
    </row>
    <row r="198">
      <c r="C198" s="139"/>
      <c r="D198" s="139"/>
      <c r="F198" s="426"/>
      <c r="G198" s="303"/>
      <c r="H198" s="303"/>
      <c r="I198" s="303"/>
      <c r="J198" s="303"/>
    </row>
    <row r="199">
      <c r="C199" s="139"/>
      <c r="D199" s="139"/>
      <c r="F199" s="426"/>
      <c r="G199" s="303"/>
      <c r="H199" s="303"/>
      <c r="I199" s="303"/>
      <c r="J199" s="303"/>
    </row>
    <row r="200">
      <c r="C200" s="139"/>
      <c r="D200" s="139"/>
      <c r="F200" s="426"/>
      <c r="G200" s="303"/>
      <c r="H200" s="303"/>
      <c r="I200" s="303"/>
      <c r="J200" s="303"/>
    </row>
    <row r="201">
      <c r="C201" s="139"/>
      <c r="D201" s="139"/>
      <c r="F201" s="426"/>
      <c r="G201" s="303"/>
      <c r="H201" s="303"/>
      <c r="I201" s="303"/>
      <c r="J201" s="303"/>
    </row>
    <row r="202">
      <c r="C202" s="139"/>
      <c r="D202" s="139"/>
      <c r="F202" s="426"/>
      <c r="G202" s="303"/>
      <c r="H202" s="303"/>
      <c r="I202" s="303"/>
      <c r="J202" s="303"/>
    </row>
    <row r="203">
      <c r="C203" s="139"/>
      <c r="D203" s="139"/>
      <c r="F203" s="426"/>
      <c r="G203" s="303"/>
      <c r="H203" s="303"/>
      <c r="I203" s="303"/>
      <c r="J203" s="303"/>
    </row>
    <row r="204">
      <c r="C204" s="139"/>
      <c r="D204" s="139"/>
      <c r="F204" s="426"/>
      <c r="G204" s="303"/>
      <c r="H204" s="303"/>
      <c r="I204" s="303"/>
      <c r="J204" s="303"/>
    </row>
    <row r="205">
      <c r="C205" s="139"/>
      <c r="D205" s="139"/>
      <c r="F205" s="426"/>
      <c r="G205" s="303"/>
      <c r="H205" s="303"/>
      <c r="I205" s="303"/>
      <c r="J205" s="303"/>
    </row>
    <row r="206">
      <c r="C206" s="139"/>
      <c r="D206" s="139"/>
      <c r="F206" s="426"/>
      <c r="G206" s="303"/>
      <c r="H206" s="303"/>
      <c r="I206" s="303"/>
      <c r="J206" s="303"/>
    </row>
    <row r="207">
      <c r="C207" s="139"/>
      <c r="D207" s="139"/>
      <c r="F207" s="426"/>
      <c r="G207" s="303"/>
      <c r="H207" s="303"/>
      <c r="I207" s="303"/>
      <c r="J207" s="303"/>
    </row>
    <row r="208">
      <c r="C208" s="139"/>
      <c r="D208" s="139"/>
      <c r="F208" s="426"/>
      <c r="G208" s="303"/>
      <c r="H208" s="303"/>
      <c r="I208" s="303"/>
      <c r="J208" s="303"/>
    </row>
    <row r="209">
      <c r="C209" s="139"/>
      <c r="D209" s="139"/>
      <c r="F209" s="426"/>
      <c r="G209" s="303"/>
      <c r="H209" s="303"/>
      <c r="I209" s="303"/>
      <c r="J209" s="303"/>
    </row>
    <row r="210">
      <c r="C210" s="139"/>
      <c r="D210" s="139"/>
      <c r="F210" s="426"/>
      <c r="G210" s="303"/>
      <c r="H210" s="303"/>
      <c r="I210" s="303"/>
      <c r="J210" s="303"/>
    </row>
    <row r="211">
      <c r="C211" s="139"/>
      <c r="D211" s="139"/>
      <c r="F211" s="426"/>
      <c r="G211" s="303"/>
      <c r="H211" s="303"/>
      <c r="I211" s="303"/>
      <c r="J211" s="303"/>
    </row>
    <row r="212">
      <c r="C212" s="139"/>
      <c r="D212" s="139"/>
      <c r="F212" s="426"/>
      <c r="G212" s="303"/>
      <c r="H212" s="303"/>
      <c r="I212" s="303"/>
      <c r="J212" s="303"/>
    </row>
    <row r="213">
      <c r="C213" s="139"/>
      <c r="D213" s="139"/>
      <c r="F213" s="426"/>
      <c r="G213" s="303"/>
      <c r="H213" s="303"/>
      <c r="I213" s="303"/>
      <c r="J213" s="303"/>
    </row>
    <row r="214">
      <c r="C214" s="139"/>
      <c r="D214" s="139"/>
      <c r="F214" s="426"/>
      <c r="G214" s="303"/>
      <c r="H214" s="303"/>
      <c r="I214" s="303"/>
      <c r="J214" s="303"/>
    </row>
    <row r="215">
      <c r="C215" s="139"/>
      <c r="D215" s="139"/>
      <c r="F215" s="426"/>
      <c r="G215" s="303"/>
      <c r="H215" s="303"/>
      <c r="I215" s="303"/>
      <c r="J215" s="303"/>
    </row>
    <row r="216">
      <c r="C216" s="139"/>
      <c r="D216" s="139"/>
      <c r="F216" s="426"/>
      <c r="G216" s="303"/>
      <c r="H216" s="303"/>
      <c r="I216" s="303"/>
      <c r="J216" s="303"/>
    </row>
    <row r="217">
      <c r="C217" s="139"/>
      <c r="D217" s="139"/>
      <c r="F217" s="426"/>
      <c r="G217" s="303"/>
      <c r="H217" s="303"/>
      <c r="I217" s="303"/>
      <c r="J217" s="303"/>
    </row>
    <row r="218">
      <c r="C218" s="139"/>
      <c r="D218" s="139"/>
      <c r="F218" s="426"/>
      <c r="G218" s="303"/>
      <c r="H218" s="303"/>
      <c r="I218" s="303"/>
      <c r="J218" s="303"/>
    </row>
    <row r="219">
      <c r="C219" s="139"/>
      <c r="D219" s="139"/>
      <c r="F219" s="426"/>
      <c r="G219" s="303"/>
      <c r="H219" s="303"/>
      <c r="I219" s="303"/>
      <c r="J219" s="303"/>
    </row>
    <row r="220">
      <c r="C220" s="139"/>
      <c r="D220" s="139"/>
      <c r="F220" s="426"/>
      <c r="G220" s="303"/>
      <c r="H220" s="303"/>
      <c r="I220" s="303"/>
      <c r="J220" s="303"/>
    </row>
    <row r="221">
      <c r="C221" s="139"/>
      <c r="D221" s="139"/>
      <c r="F221" s="426"/>
      <c r="G221" s="303"/>
      <c r="H221" s="303"/>
      <c r="I221" s="303"/>
      <c r="J221" s="303"/>
    </row>
    <row r="222">
      <c r="C222" s="139"/>
      <c r="D222" s="139"/>
      <c r="F222" s="426"/>
      <c r="G222" s="303"/>
      <c r="H222" s="303"/>
      <c r="I222" s="303"/>
      <c r="J222" s="303"/>
    </row>
    <row r="223">
      <c r="C223" s="139"/>
      <c r="D223" s="139"/>
      <c r="F223" s="426"/>
      <c r="G223" s="303"/>
      <c r="H223" s="303"/>
      <c r="I223" s="303"/>
      <c r="J223" s="303"/>
    </row>
    <row r="224">
      <c r="C224" s="139"/>
      <c r="D224" s="139"/>
      <c r="F224" s="426"/>
      <c r="G224" s="303"/>
      <c r="H224" s="303"/>
      <c r="I224" s="303"/>
      <c r="J224" s="303"/>
    </row>
    <row r="225">
      <c r="C225" s="139"/>
      <c r="D225" s="139"/>
      <c r="F225" s="426"/>
      <c r="G225" s="303"/>
      <c r="H225" s="303"/>
      <c r="I225" s="303"/>
      <c r="J225" s="303"/>
    </row>
    <row r="226">
      <c r="C226" s="139"/>
      <c r="D226" s="139"/>
      <c r="F226" s="426"/>
      <c r="G226" s="303"/>
      <c r="H226" s="303"/>
      <c r="I226" s="303"/>
      <c r="J226" s="303"/>
    </row>
    <row r="227">
      <c r="C227" s="139"/>
      <c r="D227" s="139"/>
      <c r="F227" s="426"/>
      <c r="G227" s="303"/>
      <c r="H227" s="303"/>
      <c r="I227" s="303"/>
      <c r="J227" s="303"/>
    </row>
    <row r="228">
      <c r="C228" s="139"/>
      <c r="D228" s="139"/>
      <c r="F228" s="426"/>
      <c r="G228" s="303"/>
      <c r="H228" s="303"/>
      <c r="I228" s="303"/>
      <c r="J228" s="303"/>
    </row>
    <row r="229">
      <c r="C229" s="139"/>
      <c r="D229" s="139"/>
      <c r="F229" s="426"/>
      <c r="G229" s="303"/>
      <c r="H229" s="303"/>
      <c r="I229" s="303"/>
      <c r="J229" s="303"/>
    </row>
    <row r="230">
      <c r="C230" s="139"/>
      <c r="D230" s="139"/>
      <c r="F230" s="426"/>
      <c r="G230" s="303"/>
      <c r="H230" s="303"/>
      <c r="I230" s="303"/>
      <c r="J230" s="303"/>
    </row>
    <row r="231">
      <c r="C231" s="139"/>
      <c r="D231" s="139"/>
      <c r="F231" s="426"/>
      <c r="G231" s="303"/>
      <c r="H231" s="303"/>
      <c r="I231" s="303"/>
      <c r="J231" s="303"/>
    </row>
    <row r="232">
      <c r="C232" s="139"/>
      <c r="D232" s="139"/>
      <c r="F232" s="426"/>
      <c r="G232" s="303"/>
      <c r="H232" s="303"/>
      <c r="I232" s="303"/>
      <c r="J232" s="303"/>
    </row>
    <row r="233">
      <c r="C233" s="139"/>
      <c r="D233" s="139"/>
      <c r="F233" s="426"/>
      <c r="G233" s="303"/>
      <c r="H233" s="303"/>
      <c r="I233" s="303"/>
      <c r="J233" s="303"/>
    </row>
    <row r="234">
      <c r="C234" s="139"/>
      <c r="D234" s="139"/>
      <c r="F234" s="426"/>
      <c r="G234" s="303"/>
      <c r="H234" s="303"/>
      <c r="I234" s="303"/>
      <c r="J234" s="303"/>
    </row>
    <row r="235">
      <c r="C235" s="139"/>
      <c r="D235" s="139"/>
      <c r="F235" s="426"/>
      <c r="G235" s="303"/>
      <c r="H235" s="303"/>
      <c r="I235" s="303"/>
      <c r="J235" s="303"/>
    </row>
    <row r="236">
      <c r="C236" s="139"/>
      <c r="D236" s="139"/>
      <c r="F236" s="426"/>
      <c r="G236" s="303"/>
      <c r="H236" s="303"/>
      <c r="I236" s="303"/>
      <c r="J236" s="303"/>
    </row>
    <row r="237">
      <c r="C237" s="139"/>
      <c r="D237" s="139"/>
      <c r="F237" s="426"/>
      <c r="G237" s="303"/>
      <c r="H237" s="303"/>
      <c r="I237" s="303"/>
      <c r="J237" s="303"/>
    </row>
    <row r="238">
      <c r="C238" s="139"/>
      <c r="D238" s="139"/>
      <c r="F238" s="426"/>
      <c r="G238" s="303"/>
      <c r="H238" s="303"/>
      <c r="I238" s="303"/>
      <c r="J238" s="303"/>
    </row>
    <row r="239">
      <c r="C239" s="139"/>
      <c r="D239" s="139"/>
      <c r="F239" s="426"/>
      <c r="G239" s="303"/>
      <c r="H239" s="303"/>
      <c r="I239" s="303"/>
      <c r="J239" s="303"/>
    </row>
    <row r="240">
      <c r="C240" s="139"/>
      <c r="D240" s="139"/>
      <c r="F240" s="426"/>
      <c r="G240" s="303"/>
      <c r="H240" s="303"/>
      <c r="I240" s="303"/>
      <c r="J240" s="303"/>
    </row>
    <row r="241">
      <c r="C241" s="139"/>
      <c r="D241" s="139"/>
      <c r="F241" s="426"/>
      <c r="G241" s="303"/>
      <c r="H241" s="303"/>
      <c r="I241" s="303"/>
      <c r="J241" s="303"/>
    </row>
    <row r="242">
      <c r="C242" s="139"/>
      <c r="D242" s="139"/>
      <c r="F242" s="426"/>
      <c r="G242" s="303"/>
      <c r="H242" s="303"/>
      <c r="I242" s="303"/>
      <c r="J242" s="303"/>
    </row>
    <row r="243">
      <c r="C243" s="139"/>
      <c r="D243" s="139"/>
      <c r="F243" s="426"/>
      <c r="G243" s="303"/>
      <c r="H243" s="303"/>
      <c r="I243" s="303"/>
      <c r="J243" s="303"/>
    </row>
    <row r="244">
      <c r="C244" s="139"/>
      <c r="D244" s="139"/>
      <c r="F244" s="426"/>
      <c r="G244" s="303"/>
      <c r="H244" s="303"/>
      <c r="I244" s="303"/>
      <c r="J244" s="303"/>
    </row>
    <row r="245">
      <c r="C245" s="139"/>
      <c r="D245" s="139"/>
      <c r="F245" s="426"/>
      <c r="G245" s="303"/>
      <c r="H245" s="303"/>
      <c r="I245" s="303"/>
      <c r="J245" s="303"/>
    </row>
    <row r="246">
      <c r="C246" s="139"/>
      <c r="D246" s="139"/>
      <c r="F246" s="426"/>
      <c r="G246" s="303"/>
      <c r="H246" s="303"/>
      <c r="I246" s="303"/>
      <c r="J246" s="303"/>
    </row>
    <row r="247">
      <c r="C247" s="139"/>
      <c r="D247" s="139"/>
      <c r="F247" s="426"/>
      <c r="G247" s="303"/>
      <c r="H247" s="303"/>
      <c r="I247" s="303"/>
      <c r="J247" s="303"/>
    </row>
    <row r="248">
      <c r="C248" s="139"/>
      <c r="D248" s="139"/>
      <c r="F248" s="426"/>
      <c r="G248" s="303"/>
      <c r="H248" s="303"/>
      <c r="I248" s="303"/>
      <c r="J248" s="303"/>
    </row>
    <row r="249">
      <c r="C249" s="139"/>
      <c r="D249" s="139"/>
      <c r="F249" s="426"/>
      <c r="G249" s="303"/>
      <c r="H249" s="303"/>
      <c r="I249" s="303"/>
      <c r="J249" s="303"/>
    </row>
    <row r="250">
      <c r="C250" s="139"/>
      <c r="D250" s="139"/>
      <c r="F250" s="426"/>
      <c r="G250" s="303"/>
      <c r="H250" s="303"/>
      <c r="I250" s="303"/>
      <c r="J250" s="303"/>
    </row>
    <row r="251">
      <c r="C251" s="139"/>
      <c r="D251" s="139"/>
      <c r="F251" s="426"/>
      <c r="G251" s="303"/>
      <c r="H251" s="303"/>
      <c r="I251" s="303"/>
      <c r="J251" s="303"/>
    </row>
    <row r="252">
      <c r="C252" s="139"/>
      <c r="D252" s="139"/>
      <c r="F252" s="426"/>
      <c r="G252" s="303"/>
      <c r="H252" s="303"/>
      <c r="I252" s="303"/>
      <c r="J252" s="303"/>
    </row>
    <row r="253">
      <c r="C253" s="139"/>
      <c r="D253" s="139"/>
      <c r="F253" s="426"/>
      <c r="G253" s="303"/>
      <c r="H253" s="303"/>
      <c r="I253" s="303"/>
      <c r="J253" s="303"/>
    </row>
    <row r="254">
      <c r="C254" s="139"/>
      <c r="D254" s="139"/>
      <c r="F254" s="426"/>
      <c r="G254" s="303"/>
      <c r="H254" s="303"/>
      <c r="I254" s="303"/>
      <c r="J254" s="303"/>
    </row>
    <row r="255">
      <c r="C255" s="139"/>
      <c r="D255" s="139"/>
      <c r="F255" s="426"/>
      <c r="G255" s="303"/>
      <c r="H255" s="303"/>
      <c r="I255" s="303"/>
      <c r="J255" s="303"/>
    </row>
    <row r="256">
      <c r="C256" s="139"/>
      <c r="D256" s="139"/>
      <c r="F256" s="426"/>
      <c r="G256" s="303"/>
      <c r="H256" s="303"/>
      <c r="I256" s="303"/>
      <c r="J256" s="303"/>
    </row>
    <row r="257">
      <c r="C257" s="139"/>
      <c r="D257" s="139"/>
      <c r="F257" s="426"/>
      <c r="G257" s="303"/>
      <c r="H257" s="303"/>
      <c r="I257" s="303"/>
      <c r="J257" s="303"/>
    </row>
    <row r="258">
      <c r="C258" s="139"/>
      <c r="D258" s="139"/>
      <c r="F258" s="426"/>
      <c r="G258" s="303"/>
      <c r="H258" s="303"/>
      <c r="I258" s="303"/>
      <c r="J258" s="303"/>
    </row>
    <row r="259">
      <c r="C259" s="139"/>
      <c r="D259" s="139"/>
      <c r="F259" s="426"/>
      <c r="G259" s="303"/>
      <c r="H259" s="303"/>
      <c r="I259" s="303"/>
      <c r="J259" s="303"/>
    </row>
    <row r="260">
      <c r="C260" s="139"/>
      <c r="D260" s="139"/>
      <c r="F260" s="426"/>
      <c r="G260" s="303"/>
      <c r="H260" s="303"/>
      <c r="I260" s="303"/>
      <c r="J260" s="303"/>
    </row>
    <row r="261">
      <c r="C261" s="139"/>
      <c r="D261" s="139"/>
      <c r="F261" s="426"/>
      <c r="G261" s="303"/>
      <c r="H261" s="303"/>
      <c r="I261" s="303"/>
      <c r="J261" s="303"/>
    </row>
    <row r="262">
      <c r="C262" s="139"/>
      <c r="D262" s="139"/>
      <c r="F262" s="426"/>
      <c r="G262" s="303"/>
      <c r="H262" s="303"/>
      <c r="I262" s="303"/>
      <c r="J262" s="303"/>
    </row>
    <row r="263">
      <c r="C263" s="139"/>
      <c r="D263" s="139"/>
      <c r="F263" s="426"/>
      <c r="G263" s="303"/>
      <c r="H263" s="303"/>
      <c r="I263" s="303"/>
      <c r="J263" s="303"/>
    </row>
    <row r="264">
      <c r="C264" s="139"/>
      <c r="D264" s="139"/>
      <c r="F264" s="426"/>
      <c r="G264" s="303"/>
      <c r="H264" s="303"/>
      <c r="I264" s="303"/>
      <c r="J264" s="303"/>
    </row>
    <row r="265">
      <c r="C265" s="139"/>
      <c r="D265" s="139"/>
      <c r="F265" s="426"/>
      <c r="G265" s="303"/>
      <c r="H265" s="303"/>
      <c r="I265" s="303"/>
      <c r="J265" s="303"/>
    </row>
    <row r="266">
      <c r="C266" s="139"/>
      <c r="D266" s="139"/>
      <c r="F266" s="426"/>
      <c r="G266" s="303"/>
      <c r="H266" s="303"/>
      <c r="I266" s="303"/>
      <c r="J266" s="303"/>
    </row>
    <row r="267">
      <c r="C267" s="139"/>
      <c r="D267" s="139"/>
      <c r="F267" s="426"/>
      <c r="G267" s="303"/>
      <c r="H267" s="303"/>
      <c r="I267" s="303"/>
      <c r="J267" s="303"/>
    </row>
    <row r="268">
      <c r="C268" s="139"/>
      <c r="D268" s="139"/>
      <c r="F268" s="426"/>
      <c r="G268" s="303"/>
      <c r="H268" s="303"/>
      <c r="I268" s="303"/>
      <c r="J268" s="303"/>
    </row>
    <row r="269">
      <c r="C269" s="139"/>
      <c r="D269" s="139"/>
      <c r="F269" s="426"/>
      <c r="G269" s="303"/>
      <c r="H269" s="303"/>
      <c r="I269" s="303"/>
      <c r="J269" s="303"/>
    </row>
    <row r="270">
      <c r="C270" s="139"/>
      <c r="D270" s="139"/>
      <c r="F270" s="426"/>
      <c r="G270" s="303"/>
      <c r="H270" s="303"/>
      <c r="I270" s="303"/>
      <c r="J270" s="303"/>
    </row>
    <row r="271">
      <c r="C271" s="139"/>
      <c r="D271" s="139"/>
      <c r="F271" s="426"/>
      <c r="G271" s="303"/>
      <c r="H271" s="303"/>
      <c r="I271" s="303"/>
      <c r="J271" s="303"/>
    </row>
    <row r="272">
      <c r="C272" s="139"/>
      <c r="D272" s="139"/>
      <c r="F272" s="426"/>
      <c r="G272" s="303"/>
      <c r="H272" s="303"/>
      <c r="I272" s="303"/>
      <c r="J272" s="303"/>
    </row>
    <row r="273">
      <c r="C273" s="139"/>
      <c r="D273" s="139"/>
      <c r="F273" s="426"/>
      <c r="G273" s="303"/>
      <c r="H273" s="303"/>
      <c r="I273" s="303"/>
      <c r="J273" s="303"/>
    </row>
    <row r="274">
      <c r="C274" s="139"/>
      <c r="D274" s="139"/>
      <c r="F274" s="426"/>
      <c r="G274" s="303"/>
      <c r="H274" s="303"/>
      <c r="I274" s="303"/>
      <c r="J274" s="303"/>
    </row>
    <row r="275">
      <c r="C275" s="139"/>
      <c r="D275" s="139"/>
      <c r="F275" s="426"/>
      <c r="G275" s="303"/>
      <c r="H275" s="303"/>
      <c r="I275" s="303"/>
      <c r="J275" s="303"/>
    </row>
    <row r="276">
      <c r="C276" s="139"/>
      <c r="D276" s="139"/>
      <c r="F276" s="426"/>
      <c r="G276" s="303"/>
      <c r="H276" s="303"/>
      <c r="I276" s="303"/>
      <c r="J276" s="303"/>
    </row>
    <row r="277">
      <c r="C277" s="139"/>
      <c r="D277" s="139"/>
      <c r="F277" s="426"/>
      <c r="G277" s="303"/>
      <c r="H277" s="303"/>
      <c r="I277" s="303"/>
      <c r="J277" s="303"/>
    </row>
    <row r="278">
      <c r="C278" s="139"/>
      <c r="D278" s="139"/>
      <c r="F278" s="426"/>
      <c r="G278" s="303"/>
      <c r="H278" s="303"/>
      <c r="I278" s="303"/>
      <c r="J278" s="303"/>
    </row>
    <row r="279">
      <c r="C279" s="139"/>
      <c r="D279" s="139"/>
      <c r="F279" s="426"/>
      <c r="G279" s="303"/>
      <c r="H279" s="303"/>
      <c r="I279" s="303"/>
      <c r="J279" s="303"/>
    </row>
    <row r="280">
      <c r="C280" s="139"/>
      <c r="D280" s="139"/>
      <c r="F280" s="426"/>
      <c r="G280" s="303"/>
      <c r="H280" s="303"/>
      <c r="I280" s="303"/>
      <c r="J280" s="303"/>
    </row>
    <row r="281">
      <c r="C281" s="139"/>
      <c r="D281" s="139"/>
      <c r="F281" s="426"/>
      <c r="G281" s="303"/>
      <c r="H281" s="303"/>
      <c r="I281" s="303"/>
      <c r="J281" s="303"/>
    </row>
    <row r="282">
      <c r="C282" s="139"/>
      <c r="D282" s="139"/>
      <c r="F282" s="426"/>
      <c r="G282" s="303"/>
      <c r="H282" s="303"/>
      <c r="I282" s="303"/>
      <c r="J282" s="303"/>
    </row>
    <row r="283">
      <c r="C283" s="139"/>
      <c r="D283" s="139"/>
      <c r="F283" s="426"/>
      <c r="G283" s="303"/>
      <c r="H283" s="303"/>
      <c r="I283" s="303"/>
      <c r="J283" s="303"/>
    </row>
    <row r="284">
      <c r="C284" s="139"/>
      <c r="D284" s="139"/>
      <c r="F284" s="426"/>
      <c r="G284" s="303"/>
      <c r="H284" s="303"/>
      <c r="I284" s="303"/>
      <c r="J284" s="303"/>
    </row>
    <row r="285">
      <c r="C285" s="139"/>
      <c r="D285" s="139"/>
      <c r="F285" s="426"/>
      <c r="G285" s="303"/>
      <c r="H285" s="303"/>
      <c r="I285" s="303"/>
      <c r="J285" s="303"/>
    </row>
    <row r="286">
      <c r="C286" s="139"/>
      <c r="D286" s="139"/>
      <c r="F286" s="426"/>
      <c r="G286" s="303"/>
      <c r="H286" s="303"/>
      <c r="I286" s="303"/>
      <c r="J286" s="303"/>
    </row>
    <row r="287">
      <c r="C287" s="139"/>
      <c r="D287" s="139"/>
      <c r="F287" s="426"/>
      <c r="G287" s="303"/>
      <c r="H287" s="303"/>
      <c r="I287" s="303"/>
      <c r="J287" s="303"/>
    </row>
    <row r="288">
      <c r="C288" s="139"/>
      <c r="D288" s="139"/>
      <c r="F288" s="426"/>
      <c r="G288" s="303"/>
      <c r="H288" s="303"/>
      <c r="I288" s="303"/>
      <c r="J288" s="303"/>
    </row>
    <row r="289">
      <c r="C289" s="139"/>
      <c r="D289" s="139"/>
      <c r="F289" s="426"/>
      <c r="G289" s="303"/>
      <c r="H289" s="303"/>
      <c r="I289" s="303"/>
      <c r="J289" s="303"/>
    </row>
    <row r="290">
      <c r="C290" s="139"/>
      <c r="D290" s="139"/>
      <c r="F290" s="426"/>
      <c r="G290" s="303"/>
      <c r="H290" s="303"/>
      <c r="I290" s="303"/>
      <c r="J290" s="303"/>
    </row>
    <row r="291">
      <c r="C291" s="139"/>
      <c r="D291" s="139"/>
      <c r="F291" s="426"/>
      <c r="G291" s="303"/>
      <c r="H291" s="303"/>
      <c r="I291" s="303"/>
      <c r="J291" s="303"/>
    </row>
    <row r="292">
      <c r="C292" s="139"/>
      <c r="D292" s="139"/>
      <c r="F292" s="426"/>
      <c r="G292" s="303"/>
      <c r="H292" s="303"/>
      <c r="I292" s="303"/>
      <c r="J292" s="303"/>
    </row>
    <row r="293">
      <c r="C293" s="139"/>
      <c r="D293" s="139"/>
      <c r="F293" s="426"/>
      <c r="G293" s="303"/>
      <c r="H293" s="303"/>
      <c r="I293" s="303"/>
      <c r="J293" s="303"/>
    </row>
    <row r="294">
      <c r="C294" s="139"/>
      <c r="D294" s="139"/>
      <c r="F294" s="426"/>
      <c r="G294" s="303"/>
      <c r="H294" s="303"/>
      <c r="I294" s="303"/>
      <c r="J294" s="303"/>
    </row>
    <row r="295">
      <c r="C295" s="139"/>
      <c r="D295" s="139"/>
      <c r="F295" s="426"/>
      <c r="G295" s="303"/>
      <c r="H295" s="303"/>
      <c r="I295" s="303"/>
      <c r="J295" s="303"/>
    </row>
    <row r="296">
      <c r="C296" s="139"/>
      <c r="D296" s="139"/>
      <c r="F296" s="426"/>
      <c r="G296" s="303"/>
      <c r="H296" s="303"/>
      <c r="I296" s="303"/>
      <c r="J296" s="303"/>
    </row>
    <row r="297">
      <c r="C297" s="139"/>
      <c r="D297" s="139"/>
      <c r="F297" s="426"/>
      <c r="G297" s="303"/>
      <c r="H297" s="303"/>
      <c r="I297" s="303"/>
      <c r="J297" s="303"/>
    </row>
    <row r="298">
      <c r="C298" s="139"/>
      <c r="D298" s="139"/>
      <c r="F298" s="426"/>
      <c r="G298" s="303"/>
      <c r="H298" s="303"/>
      <c r="I298" s="303"/>
      <c r="J298" s="303"/>
    </row>
    <row r="299">
      <c r="C299" s="139"/>
      <c r="D299" s="139"/>
      <c r="F299" s="426"/>
      <c r="G299" s="303"/>
      <c r="H299" s="303"/>
      <c r="I299" s="303"/>
      <c r="J299" s="303"/>
    </row>
    <row r="300">
      <c r="C300" s="139"/>
      <c r="D300" s="139"/>
      <c r="F300" s="426"/>
      <c r="G300" s="303"/>
      <c r="H300" s="303"/>
      <c r="I300" s="303"/>
      <c r="J300" s="303"/>
    </row>
    <row r="301">
      <c r="C301" s="139"/>
      <c r="D301" s="139"/>
      <c r="F301" s="426"/>
      <c r="G301" s="303"/>
      <c r="H301" s="303"/>
      <c r="I301" s="303"/>
      <c r="J301" s="303"/>
    </row>
    <row r="302">
      <c r="C302" s="139"/>
      <c r="D302" s="139"/>
      <c r="F302" s="426"/>
      <c r="G302" s="303"/>
      <c r="H302" s="303"/>
      <c r="I302" s="303"/>
      <c r="J302" s="303"/>
    </row>
    <row r="303">
      <c r="C303" s="139"/>
      <c r="D303" s="139"/>
      <c r="F303" s="426"/>
      <c r="G303" s="303"/>
      <c r="H303" s="303"/>
      <c r="I303" s="303"/>
      <c r="J303" s="303"/>
    </row>
    <row r="304">
      <c r="C304" s="139"/>
      <c r="D304" s="139"/>
      <c r="F304" s="426"/>
      <c r="G304" s="303"/>
      <c r="H304" s="303"/>
      <c r="I304" s="303"/>
      <c r="J304" s="303"/>
    </row>
    <row r="305">
      <c r="C305" s="139"/>
      <c r="D305" s="139"/>
      <c r="F305" s="426"/>
      <c r="G305" s="303"/>
      <c r="H305" s="303"/>
      <c r="I305" s="303"/>
      <c r="J305" s="303"/>
    </row>
    <row r="306">
      <c r="C306" s="139"/>
      <c r="D306" s="139"/>
      <c r="F306" s="426"/>
      <c r="G306" s="303"/>
      <c r="H306" s="303"/>
      <c r="I306" s="303"/>
      <c r="J306" s="303"/>
    </row>
    <row r="307">
      <c r="C307" s="139"/>
      <c r="D307" s="139"/>
      <c r="F307" s="426"/>
      <c r="G307" s="303"/>
      <c r="H307" s="303"/>
      <c r="I307" s="303"/>
      <c r="J307" s="303"/>
    </row>
    <row r="308">
      <c r="C308" s="139"/>
      <c r="D308" s="139"/>
      <c r="F308" s="426"/>
      <c r="G308" s="303"/>
      <c r="H308" s="303"/>
      <c r="I308" s="303"/>
      <c r="J308" s="303"/>
    </row>
    <row r="309">
      <c r="C309" s="139"/>
      <c r="D309" s="139"/>
      <c r="F309" s="426"/>
      <c r="G309" s="303"/>
      <c r="H309" s="303"/>
      <c r="I309" s="303"/>
      <c r="J309" s="303"/>
    </row>
    <row r="310">
      <c r="C310" s="139"/>
      <c r="D310" s="139"/>
      <c r="F310" s="426"/>
      <c r="G310" s="303"/>
      <c r="H310" s="303"/>
      <c r="I310" s="303"/>
      <c r="J310" s="303"/>
    </row>
    <row r="311">
      <c r="C311" s="139"/>
      <c r="D311" s="139"/>
      <c r="F311" s="426"/>
      <c r="G311" s="303"/>
      <c r="H311" s="303"/>
      <c r="I311" s="303"/>
      <c r="J311" s="303"/>
    </row>
    <row r="312">
      <c r="C312" s="139"/>
      <c r="D312" s="139"/>
      <c r="F312" s="426"/>
      <c r="G312" s="303"/>
      <c r="H312" s="303"/>
      <c r="I312" s="303"/>
      <c r="J312" s="303"/>
    </row>
    <row r="313">
      <c r="C313" s="139"/>
      <c r="D313" s="139"/>
      <c r="F313" s="426"/>
      <c r="G313" s="303"/>
      <c r="H313" s="303"/>
      <c r="I313" s="303"/>
      <c r="J313" s="303"/>
    </row>
    <row r="314">
      <c r="C314" s="139"/>
      <c r="D314" s="139"/>
      <c r="F314" s="426"/>
      <c r="G314" s="303"/>
      <c r="H314" s="303"/>
      <c r="I314" s="303"/>
      <c r="J314" s="303"/>
    </row>
    <row r="315">
      <c r="C315" s="139"/>
      <c r="D315" s="139"/>
      <c r="F315" s="426"/>
      <c r="G315" s="303"/>
      <c r="H315" s="303"/>
      <c r="I315" s="303"/>
      <c r="J315" s="303"/>
    </row>
    <row r="316">
      <c r="C316" s="139"/>
      <c r="D316" s="139"/>
      <c r="F316" s="426"/>
      <c r="G316" s="303"/>
      <c r="H316" s="303"/>
      <c r="I316" s="303"/>
      <c r="J316" s="303"/>
    </row>
    <row r="317">
      <c r="C317" s="139"/>
      <c r="D317" s="139"/>
      <c r="F317" s="426"/>
      <c r="G317" s="303"/>
      <c r="H317" s="303"/>
      <c r="I317" s="303"/>
      <c r="J317" s="303"/>
    </row>
    <row r="318">
      <c r="C318" s="139"/>
      <c r="D318" s="139"/>
      <c r="F318" s="426"/>
      <c r="G318" s="303"/>
      <c r="H318" s="303"/>
      <c r="I318" s="303"/>
      <c r="J318" s="303"/>
    </row>
    <row r="319">
      <c r="C319" s="139"/>
      <c r="D319" s="139"/>
      <c r="F319" s="426"/>
      <c r="G319" s="303"/>
      <c r="H319" s="303"/>
      <c r="I319" s="303"/>
      <c r="J319" s="303"/>
    </row>
    <row r="320">
      <c r="C320" s="139"/>
      <c r="D320" s="139"/>
      <c r="F320" s="426"/>
      <c r="G320" s="303"/>
      <c r="H320" s="303"/>
      <c r="I320" s="303"/>
      <c r="J320" s="303"/>
    </row>
    <row r="321">
      <c r="C321" s="139"/>
      <c r="D321" s="139"/>
      <c r="F321" s="426"/>
      <c r="G321" s="303"/>
      <c r="H321" s="303"/>
      <c r="I321" s="303"/>
      <c r="J321" s="303"/>
    </row>
    <row r="322">
      <c r="C322" s="139"/>
      <c r="D322" s="139"/>
      <c r="F322" s="426"/>
      <c r="G322" s="303"/>
      <c r="H322" s="303"/>
      <c r="I322" s="303"/>
      <c r="J322" s="303"/>
    </row>
    <row r="323">
      <c r="C323" s="139"/>
      <c r="D323" s="139"/>
      <c r="F323" s="426"/>
      <c r="G323" s="303"/>
      <c r="H323" s="303"/>
      <c r="I323" s="303"/>
      <c r="J323" s="303"/>
    </row>
    <row r="324">
      <c r="C324" s="139"/>
      <c r="D324" s="139"/>
      <c r="F324" s="426"/>
      <c r="G324" s="303"/>
      <c r="H324" s="303"/>
      <c r="I324" s="303"/>
      <c r="J324" s="303"/>
    </row>
    <row r="325">
      <c r="C325" s="139"/>
      <c r="D325" s="139"/>
      <c r="F325" s="426"/>
      <c r="G325" s="303"/>
      <c r="H325" s="303"/>
      <c r="I325" s="303"/>
      <c r="J325" s="303"/>
    </row>
    <row r="326">
      <c r="C326" s="139"/>
      <c r="D326" s="139"/>
      <c r="F326" s="426"/>
      <c r="G326" s="303"/>
      <c r="H326" s="303"/>
      <c r="I326" s="303"/>
      <c r="J326" s="303"/>
    </row>
    <row r="327">
      <c r="C327" s="139"/>
      <c r="D327" s="139"/>
      <c r="F327" s="426"/>
      <c r="G327" s="303"/>
      <c r="H327" s="303"/>
      <c r="I327" s="303"/>
      <c r="J327" s="303"/>
    </row>
    <row r="328">
      <c r="C328" s="139"/>
      <c r="D328" s="139"/>
      <c r="F328" s="426"/>
      <c r="G328" s="303"/>
      <c r="H328" s="303"/>
      <c r="I328" s="303"/>
      <c r="J328" s="303"/>
    </row>
    <row r="329">
      <c r="C329" s="139"/>
      <c r="D329" s="139"/>
      <c r="F329" s="426"/>
      <c r="G329" s="303"/>
      <c r="H329" s="303"/>
      <c r="I329" s="303"/>
      <c r="J329" s="303"/>
    </row>
    <row r="330">
      <c r="C330" s="139"/>
      <c r="D330" s="139"/>
      <c r="F330" s="426"/>
      <c r="G330" s="303"/>
      <c r="H330" s="303"/>
      <c r="I330" s="303"/>
      <c r="J330" s="303"/>
    </row>
    <row r="331">
      <c r="C331" s="139"/>
      <c r="D331" s="139"/>
      <c r="F331" s="426"/>
      <c r="G331" s="303"/>
      <c r="H331" s="303"/>
      <c r="I331" s="303"/>
      <c r="J331" s="303"/>
    </row>
    <row r="332">
      <c r="C332" s="139"/>
      <c r="D332" s="139"/>
      <c r="F332" s="426"/>
      <c r="G332" s="303"/>
      <c r="H332" s="303"/>
      <c r="I332" s="303"/>
      <c r="J332" s="303"/>
    </row>
    <row r="333">
      <c r="C333" s="139"/>
      <c r="D333" s="139"/>
      <c r="F333" s="426"/>
      <c r="G333" s="303"/>
      <c r="H333" s="303"/>
      <c r="I333" s="303"/>
      <c r="J333" s="303"/>
    </row>
    <row r="334">
      <c r="C334" s="139"/>
      <c r="D334" s="139"/>
      <c r="F334" s="426"/>
      <c r="G334" s="303"/>
      <c r="H334" s="303"/>
      <c r="I334" s="303"/>
      <c r="J334" s="303"/>
    </row>
    <row r="335">
      <c r="C335" s="139"/>
      <c r="D335" s="139"/>
      <c r="F335" s="426"/>
      <c r="G335" s="303"/>
      <c r="H335" s="303"/>
      <c r="I335" s="303"/>
      <c r="J335" s="303"/>
    </row>
    <row r="336">
      <c r="C336" s="139"/>
      <c r="D336" s="139"/>
      <c r="F336" s="426"/>
      <c r="G336" s="303"/>
      <c r="H336" s="303"/>
      <c r="I336" s="303"/>
      <c r="J336" s="303"/>
    </row>
    <row r="337">
      <c r="C337" s="139"/>
      <c r="D337" s="139"/>
      <c r="F337" s="426"/>
      <c r="G337" s="303"/>
      <c r="H337" s="303"/>
      <c r="I337" s="303"/>
      <c r="J337" s="303"/>
    </row>
    <row r="338">
      <c r="C338" s="139"/>
      <c r="D338" s="139"/>
      <c r="F338" s="426"/>
      <c r="G338" s="303"/>
      <c r="H338" s="303"/>
      <c r="I338" s="303"/>
      <c r="J338" s="303"/>
    </row>
    <row r="339">
      <c r="C339" s="139"/>
      <c r="D339" s="139"/>
      <c r="F339" s="426"/>
      <c r="G339" s="303"/>
      <c r="H339" s="303"/>
      <c r="I339" s="303"/>
      <c r="J339" s="303"/>
    </row>
    <row r="340">
      <c r="C340" s="139"/>
      <c r="D340" s="139"/>
      <c r="F340" s="426"/>
      <c r="G340" s="303"/>
      <c r="H340" s="303"/>
      <c r="I340" s="303"/>
      <c r="J340" s="303"/>
    </row>
    <row r="341">
      <c r="C341" s="139"/>
      <c r="D341" s="139"/>
      <c r="F341" s="426"/>
      <c r="G341" s="303"/>
      <c r="H341" s="303"/>
      <c r="I341" s="303"/>
      <c r="J341" s="303"/>
    </row>
    <row r="342">
      <c r="C342" s="139"/>
      <c r="D342" s="139"/>
      <c r="F342" s="426"/>
      <c r="G342" s="303"/>
      <c r="H342" s="303"/>
      <c r="I342" s="303"/>
      <c r="J342" s="303"/>
    </row>
    <row r="343">
      <c r="C343" s="139"/>
      <c r="D343" s="139"/>
      <c r="F343" s="426"/>
      <c r="G343" s="303"/>
      <c r="H343" s="303"/>
      <c r="I343" s="303"/>
      <c r="J343" s="303"/>
    </row>
    <row r="344">
      <c r="C344" s="139"/>
      <c r="D344" s="139"/>
      <c r="F344" s="426"/>
      <c r="G344" s="303"/>
      <c r="H344" s="303"/>
      <c r="I344" s="303"/>
      <c r="J344" s="303"/>
    </row>
    <row r="345">
      <c r="C345" s="139"/>
      <c r="D345" s="139"/>
      <c r="F345" s="426"/>
      <c r="G345" s="303"/>
      <c r="H345" s="303"/>
      <c r="I345" s="303"/>
      <c r="J345" s="303"/>
    </row>
    <row r="346">
      <c r="C346" s="139"/>
      <c r="D346" s="139"/>
      <c r="F346" s="426"/>
      <c r="G346" s="303"/>
      <c r="H346" s="303"/>
      <c r="I346" s="303"/>
      <c r="J346" s="303"/>
    </row>
    <row r="347">
      <c r="C347" s="139"/>
      <c r="D347" s="139"/>
      <c r="F347" s="426"/>
      <c r="G347" s="303"/>
      <c r="H347" s="303"/>
      <c r="I347" s="303"/>
      <c r="J347" s="303"/>
    </row>
    <row r="348">
      <c r="C348" s="139"/>
      <c r="D348" s="139"/>
      <c r="F348" s="426"/>
      <c r="G348" s="303"/>
      <c r="H348" s="303"/>
      <c r="I348" s="303"/>
      <c r="J348" s="303"/>
    </row>
    <row r="349">
      <c r="C349" s="139"/>
      <c r="D349" s="139"/>
      <c r="F349" s="426"/>
      <c r="G349" s="303"/>
      <c r="H349" s="303"/>
      <c r="I349" s="303"/>
      <c r="J349" s="303"/>
    </row>
    <row r="350">
      <c r="C350" s="139"/>
      <c r="D350" s="139"/>
      <c r="F350" s="426"/>
      <c r="G350" s="303"/>
      <c r="H350" s="303"/>
      <c r="I350" s="303"/>
      <c r="J350" s="303"/>
    </row>
    <row r="351">
      <c r="C351" s="139"/>
      <c r="D351" s="139"/>
      <c r="F351" s="426"/>
      <c r="G351" s="303"/>
      <c r="H351" s="303"/>
      <c r="I351" s="303"/>
      <c r="J351" s="303"/>
    </row>
    <row r="352">
      <c r="C352" s="139"/>
      <c r="D352" s="139"/>
      <c r="F352" s="426"/>
      <c r="G352" s="303"/>
      <c r="H352" s="303"/>
      <c r="I352" s="303"/>
      <c r="J352" s="303"/>
    </row>
    <row r="353">
      <c r="C353" s="139"/>
      <c r="D353" s="139"/>
      <c r="F353" s="426"/>
      <c r="G353" s="303"/>
      <c r="H353" s="303"/>
      <c r="I353" s="303"/>
      <c r="J353" s="303"/>
    </row>
    <row r="354">
      <c r="C354" s="139"/>
      <c r="D354" s="139"/>
      <c r="F354" s="426"/>
      <c r="G354" s="303"/>
      <c r="H354" s="303"/>
      <c r="I354" s="303"/>
      <c r="J354" s="303"/>
    </row>
    <row r="355">
      <c r="C355" s="139"/>
      <c r="D355" s="139"/>
      <c r="F355" s="426"/>
      <c r="G355" s="303"/>
      <c r="H355" s="303"/>
      <c r="I355" s="303"/>
      <c r="J355" s="303"/>
    </row>
    <row r="356">
      <c r="C356" s="139"/>
      <c r="D356" s="139"/>
      <c r="F356" s="426"/>
      <c r="G356" s="303"/>
      <c r="H356" s="303"/>
      <c r="I356" s="303"/>
      <c r="J356" s="303"/>
    </row>
    <row r="357">
      <c r="C357" s="139"/>
      <c r="D357" s="139"/>
      <c r="F357" s="426"/>
      <c r="G357" s="303"/>
      <c r="H357" s="303"/>
      <c r="I357" s="303"/>
      <c r="J357" s="303"/>
    </row>
    <row r="358">
      <c r="C358" s="139"/>
      <c r="D358" s="139"/>
      <c r="F358" s="426"/>
      <c r="G358" s="303"/>
      <c r="H358" s="303"/>
      <c r="I358" s="303"/>
      <c r="J358" s="303"/>
    </row>
    <row r="359">
      <c r="C359" s="139"/>
      <c r="D359" s="139"/>
      <c r="F359" s="426"/>
      <c r="G359" s="303"/>
      <c r="H359" s="303"/>
      <c r="I359" s="303"/>
      <c r="J359" s="303"/>
    </row>
    <row r="360">
      <c r="C360" s="139"/>
      <c r="D360" s="139"/>
      <c r="F360" s="426"/>
      <c r="G360" s="303"/>
      <c r="H360" s="303"/>
      <c r="I360" s="303"/>
      <c r="J360" s="303"/>
    </row>
    <row r="361">
      <c r="C361" s="139"/>
      <c r="D361" s="139"/>
      <c r="F361" s="426"/>
      <c r="G361" s="303"/>
      <c r="H361" s="303"/>
      <c r="I361" s="303"/>
      <c r="J361" s="303"/>
    </row>
    <row r="362">
      <c r="C362" s="139"/>
      <c r="D362" s="139"/>
      <c r="F362" s="426"/>
      <c r="G362" s="303"/>
      <c r="H362" s="303"/>
      <c r="I362" s="303"/>
      <c r="J362" s="303"/>
    </row>
    <row r="363">
      <c r="C363" s="139"/>
      <c r="D363" s="139"/>
      <c r="F363" s="426"/>
      <c r="G363" s="303"/>
      <c r="H363" s="303"/>
      <c r="I363" s="303"/>
      <c r="J363" s="303"/>
    </row>
    <row r="364">
      <c r="C364" s="139"/>
      <c r="D364" s="139"/>
      <c r="F364" s="426"/>
      <c r="G364" s="303"/>
      <c r="H364" s="303"/>
      <c r="I364" s="303"/>
      <c r="J364" s="303"/>
    </row>
    <row r="365">
      <c r="C365" s="139"/>
      <c r="D365" s="139"/>
      <c r="F365" s="426"/>
      <c r="G365" s="303"/>
      <c r="H365" s="303"/>
      <c r="I365" s="303"/>
      <c r="J365" s="303"/>
    </row>
    <row r="366">
      <c r="C366" s="139"/>
      <c r="D366" s="139"/>
      <c r="F366" s="426"/>
      <c r="G366" s="303"/>
      <c r="H366" s="303"/>
      <c r="I366" s="303"/>
      <c r="J366" s="303"/>
    </row>
    <row r="367">
      <c r="C367" s="139"/>
      <c r="D367" s="139"/>
      <c r="F367" s="426"/>
      <c r="G367" s="303"/>
      <c r="H367" s="303"/>
      <c r="I367" s="303"/>
      <c r="J367" s="303"/>
    </row>
    <row r="368">
      <c r="C368" s="139"/>
      <c r="D368" s="139"/>
      <c r="F368" s="426"/>
      <c r="G368" s="303"/>
      <c r="H368" s="303"/>
      <c r="I368" s="303"/>
      <c r="J368" s="303"/>
    </row>
    <row r="369">
      <c r="C369" s="139"/>
      <c r="D369" s="139"/>
      <c r="F369" s="426"/>
      <c r="G369" s="303"/>
      <c r="H369" s="303"/>
      <c r="I369" s="303"/>
      <c r="J369" s="303"/>
    </row>
    <row r="370">
      <c r="C370" s="139"/>
      <c r="D370" s="139"/>
      <c r="F370" s="426"/>
      <c r="G370" s="303"/>
      <c r="H370" s="303"/>
      <c r="I370" s="303"/>
      <c r="J370" s="303"/>
    </row>
    <row r="371">
      <c r="C371" s="139"/>
      <c r="D371" s="139"/>
      <c r="F371" s="426"/>
      <c r="G371" s="303"/>
      <c r="H371" s="303"/>
      <c r="I371" s="303"/>
      <c r="J371" s="303"/>
    </row>
    <row r="372">
      <c r="C372" s="139"/>
      <c r="D372" s="139"/>
      <c r="F372" s="426"/>
      <c r="G372" s="303"/>
      <c r="H372" s="303"/>
      <c r="I372" s="303"/>
      <c r="J372" s="303"/>
    </row>
    <row r="373">
      <c r="C373" s="139"/>
      <c r="D373" s="139"/>
      <c r="F373" s="426"/>
      <c r="G373" s="303"/>
      <c r="H373" s="303"/>
      <c r="I373" s="303"/>
      <c r="J373" s="303"/>
    </row>
    <row r="374">
      <c r="C374" s="139"/>
      <c r="D374" s="139"/>
      <c r="F374" s="426"/>
      <c r="G374" s="303"/>
      <c r="H374" s="303"/>
      <c r="I374" s="303"/>
      <c r="J374" s="303"/>
    </row>
    <row r="375">
      <c r="C375" s="139"/>
      <c r="D375" s="139"/>
      <c r="F375" s="426"/>
      <c r="G375" s="303"/>
      <c r="H375" s="303"/>
      <c r="I375" s="303"/>
      <c r="J375" s="303"/>
    </row>
    <row r="376">
      <c r="C376" s="139"/>
      <c r="D376" s="139"/>
      <c r="F376" s="426"/>
      <c r="G376" s="303"/>
      <c r="H376" s="303"/>
      <c r="I376" s="303"/>
      <c r="J376" s="303"/>
    </row>
    <row r="377">
      <c r="C377" s="139"/>
      <c r="D377" s="139"/>
      <c r="F377" s="426"/>
      <c r="G377" s="303"/>
      <c r="H377" s="303"/>
      <c r="I377" s="303"/>
      <c r="J377" s="303"/>
    </row>
    <row r="378">
      <c r="C378" s="139"/>
      <c r="D378" s="139"/>
      <c r="F378" s="426"/>
      <c r="G378" s="303"/>
      <c r="H378" s="303"/>
      <c r="I378" s="303"/>
      <c r="J378" s="303"/>
    </row>
    <row r="379">
      <c r="C379" s="139"/>
      <c r="D379" s="139"/>
      <c r="F379" s="426"/>
      <c r="G379" s="303"/>
      <c r="H379" s="303"/>
      <c r="I379" s="303"/>
      <c r="J379" s="303"/>
    </row>
    <row r="380">
      <c r="C380" s="139"/>
      <c r="D380" s="139"/>
      <c r="F380" s="426"/>
      <c r="G380" s="303"/>
      <c r="H380" s="303"/>
      <c r="I380" s="303"/>
      <c r="J380" s="303"/>
    </row>
    <row r="381">
      <c r="C381" s="139"/>
      <c r="D381" s="139"/>
      <c r="F381" s="426"/>
      <c r="G381" s="303"/>
      <c r="H381" s="303"/>
      <c r="I381" s="303"/>
      <c r="J381" s="303"/>
    </row>
    <row r="382">
      <c r="C382" s="139"/>
      <c r="D382" s="139"/>
      <c r="F382" s="426"/>
      <c r="G382" s="303"/>
      <c r="H382" s="303"/>
      <c r="I382" s="303"/>
      <c r="J382" s="303"/>
    </row>
    <row r="383">
      <c r="C383" s="139"/>
      <c r="D383" s="139"/>
      <c r="F383" s="426"/>
      <c r="G383" s="303"/>
      <c r="H383" s="303"/>
      <c r="I383" s="303"/>
      <c r="J383" s="303"/>
    </row>
    <row r="384">
      <c r="C384" s="139"/>
      <c r="D384" s="139"/>
      <c r="F384" s="426"/>
      <c r="G384" s="303"/>
      <c r="H384" s="303"/>
      <c r="I384" s="303"/>
      <c r="J384" s="303"/>
    </row>
    <row r="385">
      <c r="C385" s="139"/>
      <c r="D385" s="139"/>
      <c r="F385" s="426"/>
      <c r="G385" s="303"/>
      <c r="H385" s="303"/>
      <c r="I385" s="303"/>
      <c r="J385" s="303"/>
    </row>
    <row r="386">
      <c r="C386" s="139"/>
      <c r="D386" s="139"/>
      <c r="F386" s="426"/>
      <c r="G386" s="303"/>
      <c r="H386" s="303"/>
      <c r="I386" s="303"/>
      <c r="J386" s="303"/>
    </row>
    <row r="387">
      <c r="C387" s="139"/>
      <c r="D387" s="139"/>
      <c r="F387" s="426"/>
      <c r="G387" s="303"/>
      <c r="H387" s="303"/>
      <c r="I387" s="303"/>
      <c r="J387" s="303"/>
    </row>
    <row r="388">
      <c r="C388" s="139"/>
      <c r="D388" s="139"/>
      <c r="F388" s="426"/>
      <c r="G388" s="303"/>
      <c r="H388" s="303"/>
      <c r="I388" s="303"/>
      <c r="J388" s="303"/>
    </row>
    <row r="389">
      <c r="C389" s="139"/>
      <c r="D389" s="139"/>
      <c r="F389" s="426"/>
      <c r="G389" s="303"/>
      <c r="H389" s="303"/>
      <c r="I389" s="303"/>
      <c r="J389" s="303"/>
    </row>
    <row r="390">
      <c r="C390" s="139"/>
      <c r="D390" s="139"/>
      <c r="F390" s="426"/>
      <c r="G390" s="303"/>
      <c r="H390" s="303"/>
      <c r="I390" s="303"/>
      <c r="J390" s="303"/>
    </row>
    <row r="391">
      <c r="C391" s="139"/>
      <c r="D391" s="139"/>
      <c r="F391" s="426"/>
      <c r="G391" s="303"/>
      <c r="H391" s="303"/>
      <c r="I391" s="303"/>
      <c r="J391" s="303"/>
    </row>
    <row r="392">
      <c r="C392" s="139"/>
      <c r="D392" s="139"/>
      <c r="F392" s="426"/>
      <c r="G392" s="303"/>
      <c r="H392" s="303"/>
      <c r="I392" s="303"/>
      <c r="J392" s="303"/>
    </row>
    <row r="393">
      <c r="C393" s="139"/>
      <c r="D393" s="139"/>
      <c r="F393" s="426"/>
      <c r="G393" s="303"/>
      <c r="H393" s="303"/>
      <c r="I393" s="303"/>
      <c r="J393" s="303"/>
    </row>
    <row r="394">
      <c r="C394" s="139"/>
      <c r="D394" s="139"/>
      <c r="F394" s="426"/>
      <c r="G394" s="303"/>
      <c r="H394" s="303"/>
      <c r="I394" s="303"/>
      <c r="J394" s="303"/>
    </row>
    <row r="395">
      <c r="C395" s="139"/>
      <c r="D395" s="139"/>
      <c r="F395" s="426"/>
      <c r="G395" s="303"/>
      <c r="H395" s="303"/>
      <c r="I395" s="303"/>
      <c r="J395" s="303"/>
    </row>
    <row r="396">
      <c r="C396" s="139"/>
      <c r="D396" s="139"/>
      <c r="F396" s="426"/>
      <c r="G396" s="303"/>
      <c r="H396" s="303"/>
      <c r="I396" s="303"/>
      <c r="J396" s="303"/>
    </row>
    <row r="397">
      <c r="C397" s="139"/>
      <c r="D397" s="139"/>
      <c r="F397" s="426"/>
      <c r="G397" s="303"/>
      <c r="H397" s="303"/>
      <c r="I397" s="303"/>
      <c r="J397" s="303"/>
    </row>
    <row r="398">
      <c r="C398" s="139"/>
      <c r="D398" s="139"/>
      <c r="F398" s="426"/>
      <c r="G398" s="303"/>
      <c r="H398" s="303"/>
      <c r="I398" s="303"/>
      <c r="J398" s="303"/>
    </row>
    <row r="399">
      <c r="C399" s="139"/>
      <c r="D399" s="139"/>
      <c r="F399" s="426"/>
      <c r="G399" s="303"/>
      <c r="H399" s="303"/>
      <c r="I399" s="303"/>
      <c r="J399" s="303"/>
    </row>
    <row r="400">
      <c r="C400" s="139"/>
      <c r="D400" s="139"/>
      <c r="F400" s="426"/>
      <c r="G400" s="303"/>
      <c r="H400" s="303"/>
      <c r="I400" s="303"/>
      <c r="J400" s="303"/>
    </row>
    <row r="401">
      <c r="C401" s="139"/>
      <c r="D401" s="139"/>
      <c r="F401" s="426"/>
      <c r="G401" s="303"/>
      <c r="H401" s="303"/>
      <c r="I401" s="303"/>
      <c r="J401" s="303"/>
    </row>
    <row r="402">
      <c r="C402" s="139"/>
      <c r="D402" s="139"/>
      <c r="F402" s="426"/>
      <c r="G402" s="303"/>
      <c r="H402" s="303"/>
      <c r="I402" s="303"/>
      <c r="J402" s="303"/>
    </row>
    <row r="403">
      <c r="C403" s="139"/>
      <c r="D403" s="139"/>
      <c r="F403" s="426"/>
      <c r="G403" s="303"/>
      <c r="H403" s="303"/>
      <c r="I403" s="303"/>
      <c r="J403" s="303"/>
    </row>
    <row r="404">
      <c r="C404" s="139"/>
      <c r="D404" s="139"/>
      <c r="F404" s="426"/>
      <c r="G404" s="303"/>
      <c r="H404" s="303"/>
      <c r="I404" s="303"/>
      <c r="J404" s="303"/>
    </row>
    <row r="405">
      <c r="C405" s="139"/>
      <c r="D405" s="139"/>
      <c r="F405" s="426"/>
      <c r="G405" s="303"/>
      <c r="H405" s="303"/>
      <c r="I405" s="303"/>
      <c r="J405" s="303"/>
    </row>
    <row r="406">
      <c r="C406" s="139"/>
      <c r="D406" s="139"/>
      <c r="F406" s="426"/>
      <c r="G406" s="303"/>
      <c r="H406" s="303"/>
      <c r="I406" s="303"/>
      <c r="J406" s="303"/>
    </row>
    <row r="407">
      <c r="C407" s="139"/>
      <c r="D407" s="139"/>
      <c r="F407" s="426"/>
      <c r="G407" s="303"/>
      <c r="H407" s="303"/>
      <c r="I407" s="303"/>
      <c r="J407" s="303"/>
    </row>
    <row r="408">
      <c r="C408" s="139"/>
      <c r="D408" s="139"/>
      <c r="F408" s="426"/>
      <c r="G408" s="303"/>
      <c r="H408" s="303"/>
      <c r="I408" s="303"/>
      <c r="J408" s="303"/>
    </row>
    <row r="409">
      <c r="C409" s="139"/>
      <c r="D409" s="139"/>
      <c r="F409" s="426"/>
      <c r="G409" s="303"/>
      <c r="H409" s="303"/>
      <c r="I409" s="303"/>
      <c r="J409" s="303"/>
    </row>
    <row r="410">
      <c r="C410" s="139"/>
      <c r="D410" s="139"/>
      <c r="F410" s="426"/>
      <c r="G410" s="303"/>
      <c r="H410" s="303"/>
      <c r="I410" s="303"/>
      <c r="J410" s="303"/>
    </row>
    <row r="411">
      <c r="C411" s="139"/>
      <c r="D411" s="139"/>
      <c r="F411" s="426"/>
      <c r="G411" s="303"/>
      <c r="H411" s="303"/>
      <c r="I411" s="303"/>
      <c r="J411" s="303"/>
    </row>
    <row r="412">
      <c r="C412" s="139"/>
      <c r="D412" s="139"/>
      <c r="F412" s="426"/>
      <c r="G412" s="303"/>
      <c r="H412" s="303"/>
      <c r="I412" s="303"/>
      <c r="J412" s="303"/>
    </row>
    <row r="413">
      <c r="C413" s="139"/>
      <c r="D413" s="139"/>
      <c r="F413" s="426"/>
      <c r="G413" s="303"/>
      <c r="H413" s="303"/>
      <c r="I413" s="303"/>
      <c r="J413" s="303"/>
    </row>
    <row r="414">
      <c r="C414" s="139"/>
      <c r="D414" s="139"/>
      <c r="F414" s="426"/>
      <c r="G414" s="303"/>
      <c r="H414" s="303"/>
      <c r="I414" s="303"/>
      <c r="J414" s="303"/>
    </row>
    <row r="415">
      <c r="C415" s="139"/>
      <c r="D415" s="139"/>
      <c r="F415" s="426"/>
      <c r="G415" s="303"/>
      <c r="H415" s="303"/>
      <c r="I415" s="303"/>
      <c r="J415" s="303"/>
    </row>
    <row r="416">
      <c r="C416" s="139"/>
      <c r="D416" s="139"/>
      <c r="F416" s="426"/>
      <c r="G416" s="303"/>
      <c r="H416" s="303"/>
      <c r="I416" s="303"/>
      <c r="J416" s="303"/>
    </row>
    <row r="417">
      <c r="C417" s="139"/>
      <c r="D417" s="139"/>
      <c r="F417" s="426"/>
      <c r="G417" s="303"/>
      <c r="H417" s="303"/>
      <c r="I417" s="303"/>
      <c r="J417" s="303"/>
    </row>
    <row r="418">
      <c r="C418" s="139"/>
      <c r="D418" s="139"/>
      <c r="F418" s="426"/>
      <c r="G418" s="303"/>
      <c r="H418" s="303"/>
      <c r="I418" s="303"/>
      <c r="J418" s="303"/>
    </row>
    <row r="419">
      <c r="C419" s="139"/>
      <c r="D419" s="139"/>
      <c r="F419" s="426"/>
      <c r="G419" s="303"/>
      <c r="H419" s="303"/>
      <c r="I419" s="303"/>
      <c r="J419" s="303"/>
    </row>
    <row r="420">
      <c r="C420" s="139"/>
      <c r="D420" s="139"/>
      <c r="F420" s="426"/>
      <c r="G420" s="303"/>
      <c r="H420" s="303"/>
      <c r="I420" s="303"/>
      <c r="J420" s="303"/>
    </row>
    <row r="421">
      <c r="C421" s="139"/>
      <c r="D421" s="139"/>
      <c r="F421" s="426"/>
      <c r="G421" s="303"/>
      <c r="H421" s="303"/>
      <c r="I421" s="303"/>
      <c r="J421" s="303"/>
    </row>
    <row r="422">
      <c r="C422" s="139"/>
      <c r="D422" s="139"/>
      <c r="F422" s="426"/>
      <c r="G422" s="303"/>
      <c r="H422" s="303"/>
      <c r="I422" s="303"/>
      <c r="J422" s="303"/>
    </row>
    <row r="423">
      <c r="C423" s="139"/>
      <c r="D423" s="139"/>
      <c r="F423" s="426"/>
      <c r="G423" s="303"/>
      <c r="H423" s="303"/>
      <c r="I423" s="303"/>
      <c r="J423" s="303"/>
    </row>
    <row r="424">
      <c r="C424" s="139"/>
      <c r="D424" s="139"/>
      <c r="F424" s="426"/>
      <c r="G424" s="303"/>
      <c r="H424" s="303"/>
      <c r="I424" s="303"/>
      <c r="J424" s="303"/>
    </row>
    <row r="425">
      <c r="C425" s="139"/>
      <c r="D425" s="139"/>
      <c r="F425" s="426"/>
      <c r="G425" s="303"/>
      <c r="H425" s="303"/>
      <c r="I425" s="303"/>
      <c r="J425" s="303"/>
    </row>
    <row r="426">
      <c r="C426" s="139"/>
      <c r="D426" s="139"/>
      <c r="F426" s="426"/>
      <c r="G426" s="303"/>
      <c r="H426" s="303"/>
      <c r="I426" s="303"/>
      <c r="J426" s="303"/>
    </row>
    <row r="427">
      <c r="C427" s="139"/>
      <c r="D427" s="139"/>
      <c r="F427" s="426"/>
      <c r="G427" s="303"/>
      <c r="H427" s="303"/>
      <c r="I427" s="303"/>
      <c r="J427" s="303"/>
    </row>
    <row r="428">
      <c r="C428" s="139"/>
      <c r="D428" s="139"/>
      <c r="F428" s="426"/>
      <c r="G428" s="303"/>
      <c r="H428" s="303"/>
      <c r="I428" s="303"/>
      <c r="J428" s="303"/>
    </row>
    <row r="429">
      <c r="C429" s="139"/>
      <c r="D429" s="139"/>
      <c r="F429" s="426"/>
      <c r="G429" s="303"/>
      <c r="H429" s="303"/>
      <c r="I429" s="303"/>
      <c r="J429" s="303"/>
    </row>
    <row r="430">
      <c r="C430" s="139"/>
      <c r="D430" s="139"/>
      <c r="F430" s="426"/>
      <c r="G430" s="303"/>
      <c r="H430" s="303"/>
      <c r="I430" s="303"/>
      <c r="J430" s="303"/>
    </row>
    <row r="431">
      <c r="C431" s="139"/>
      <c r="D431" s="139"/>
      <c r="F431" s="426"/>
      <c r="G431" s="303"/>
      <c r="H431" s="303"/>
      <c r="I431" s="303"/>
      <c r="J431" s="303"/>
    </row>
    <row r="432">
      <c r="C432" s="139"/>
      <c r="D432" s="139"/>
      <c r="F432" s="426"/>
      <c r="G432" s="303"/>
      <c r="H432" s="303"/>
      <c r="I432" s="303"/>
      <c r="J432" s="303"/>
    </row>
    <row r="433">
      <c r="C433" s="139"/>
      <c r="D433" s="139"/>
      <c r="F433" s="426"/>
      <c r="G433" s="303"/>
      <c r="H433" s="303"/>
      <c r="I433" s="303"/>
      <c r="J433" s="303"/>
    </row>
    <row r="434">
      <c r="C434" s="139"/>
      <c r="D434" s="139"/>
      <c r="F434" s="426"/>
      <c r="G434" s="303"/>
      <c r="H434" s="303"/>
      <c r="I434" s="303"/>
      <c r="J434" s="303"/>
    </row>
    <row r="435">
      <c r="C435" s="139"/>
      <c r="D435" s="139"/>
      <c r="F435" s="426"/>
      <c r="G435" s="303"/>
      <c r="H435" s="303"/>
      <c r="I435" s="303"/>
      <c r="J435" s="303"/>
    </row>
    <row r="436">
      <c r="C436" s="139"/>
      <c r="D436" s="139"/>
      <c r="F436" s="426"/>
      <c r="G436" s="303"/>
      <c r="H436" s="303"/>
      <c r="I436" s="303"/>
      <c r="J436" s="303"/>
    </row>
    <row r="437">
      <c r="C437" s="139"/>
      <c r="D437" s="139"/>
      <c r="F437" s="426"/>
      <c r="G437" s="303"/>
      <c r="H437" s="303"/>
      <c r="I437" s="303"/>
      <c r="J437" s="303"/>
    </row>
    <row r="438">
      <c r="C438" s="139"/>
      <c r="D438" s="139"/>
      <c r="F438" s="426"/>
      <c r="G438" s="303"/>
      <c r="H438" s="303"/>
      <c r="I438" s="303"/>
      <c r="J438" s="303"/>
    </row>
    <row r="439">
      <c r="C439" s="139"/>
      <c r="D439" s="139"/>
      <c r="F439" s="426"/>
      <c r="G439" s="303"/>
      <c r="H439" s="303"/>
      <c r="I439" s="303"/>
      <c r="J439" s="303"/>
    </row>
    <row r="440">
      <c r="C440" s="139"/>
      <c r="D440" s="139"/>
      <c r="F440" s="426"/>
      <c r="G440" s="303"/>
      <c r="H440" s="303"/>
      <c r="I440" s="303"/>
      <c r="J440" s="303"/>
    </row>
    <row r="441">
      <c r="C441" s="139"/>
      <c r="D441" s="139"/>
      <c r="F441" s="426"/>
      <c r="G441" s="303"/>
      <c r="H441" s="303"/>
      <c r="I441" s="303"/>
      <c r="J441" s="303"/>
    </row>
    <row r="442">
      <c r="C442" s="139"/>
      <c r="D442" s="139"/>
      <c r="F442" s="426"/>
      <c r="G442" s="303"/>
      <c r="H442" s="303"/>
      <c r="I442" s="303"/>
      <c r="J442" s="303"/>
    </row>
    <row r="443">
      <c r="C443" s="139"/>
      <c r="D443" s="139"/>
      <c r="F443" s="426"/>
      <c r="G443" s="303"/>
      <c r="H443" s="303"/>
      <c r="I443" s="303"/>
      <c r="J443" s="303"/>
    </row>
    <row r="444">
      <c r="C444" s="139"/>
      <c r="D444" s="139"/>
      <c r="F444" s="426"/>
      <c r="G444" s="303"/>
      <c r="H444" s="303"/>
      <c r="I444" s="303"/>
      <c r="J444" s="303"/>
    </row>
    <row r="445">
      <c r="C445" s="139"/>
      <c r="D445" s="139"/>
      <c r="F445" s="426"/>
      <c r="G445" s="303"/>
      <c r="H445" s="303"/>
      <c r="I445" s="303"/>
      <c r="J445" s="303"/>
    </row>
    <row r="446">
      <c r="C446" s="139"/>
      <c r="D446" s="139"/>
      <c r="F446" s="426"/>
      <c r="G446" s="303"/>
      <c r="H446" s="303"/>
      <c r="I446" s="303"/>
      <c r="J446" s="303"/>
    </row>
    <row r="447">
      <c r="C447" s="139"/>
      <c r="D447" s="139"/>
      <c r="F447" s="426"/>
      <c r="G447" s="303"/>
      <c r="H447" s="303"/>
      <c r="I447" s="303"/>
      <c r="J447" s="303"/>
    </row>
    <row r="448">
      <c r="C448" s="139"/>
      <c r="D448" s="139"/>
      <c r="F448" s="426"/>
      <c r="G448" s="303"/>
      <c r="H448" s="303"/>
      <c r="I448" s="303"/>
      <c r="J448" s="303"/>
    </row>
    <row r="449">
      <c r="C449" s="139"/>
      <c r="D449" s="139"/>
      <c r="F449" s="426"/>
      <c r="G449" s="303"/>
      <c r="H449" s="303"/>
      <c r="I449" s="303"/>
      <c r="J449" s="303"/>
    </row>
    <row r="450">
      <c r="C450" s="139"/>
      <c r="D450" s="139"/>
      <c r="F450" s="426"/>
      <c r="G450" s="303"/>
      <c r="H450" s="303"/>
      <c r="I450" s="303"/>
      <c r="J450" s="303"/>
    </row>
    <row r="451">
      <c r="C451" s="139"/>
      <c r="D451" s="139"/>
      <c r="F451" s="426"/>
      <c r="G451" s="303"/>
      <c r="H451" s="303"/>
      <c r="I451" s="303"/>
      <c r="J451" s="303"/>
    </row>
    <row r="452">
      <c r="C452" s="139"/>
      <c r="D452" s="139"/>
      <c r="F452" s="426"/>
      <c r="G452" s="303"/>
      <c r="H452" s="303"/>
      <c r="I452" s="303"/>
      <c r="J452" s="303"/>
    </row>
    <row r="453">
      <c r="C453" s="139"/>
      <c r="D453" s="139"/>
      <c r="F453" s="426"/>
      <c r="G453" s="303"/>
      <c r="H453" s="303"/>
      <c r="I453" s="303"/>
      <c r="J453" s="303"/>
    </row>
    <row r="454">
      <c r="C454" s="139"/>
      <c r="D454" s="139"/>
      <c r="F454" s="426"/>
      <c r="G454" s="303"/>
      <c r="H454" s="303"/>
      <c r="I454" s="303"/>
      <c r="J454" s="303"/>
    </row>
    <row r="455">
      <c r="C455" s="139"/>
      <c r="D455" s="139"/>
      <c r="F455" s="426"/>
      <c r="G455" s="303"/>
      <c r="H455" s="303"/>
      <c r="I455" s="303"/>
      <c r="J455" s="303"/>
    </row>
    <row r="456">
      <c r="C456" s="139"/>
      <c r="D456" s="139"/>
      <c r="F456" s="426"/>
      <c r="G456" s="303"/>
      <c r="H456" s="303"/>
      <c r="I456" s="303"/>
      <c r="J456" s="303"/>
    </row>
    <row r="457">
      <c r="C457" s="139"/>
      <c r="D457" s="139"/>
      <c r="F457" s="426"/>
      <c r="G457" s="303"/>
      <c r="H457" s="303"/>
      <c r="I457" s="303"/>
      <c r="J457" s="303"/>
    </row>
    <row r="458">
      <c r="C458" s="139"/>
      <c r="D458" s="139"/>
      <c r="F458" s="426"/>
      <c r="G458" s="303"/>
      <c r="H458" s="303"/>
      <c r="I458" s="303"/>
      <c r="J458" s="303"/>
    </row>
    <row r="459">
      <c r="C459" s="139"/>
      <c r="D459" s="139"/>
      <c r="F459" s="426"/>
      <c r="G459" s="303"/>
      <c r="H459" s="303"/>
      <c r="I459" s="303"/>
      <c r="J459" s="303"/>
    </row>
    <row r="460">
      <c r="C460" s="139"/>
      <c r="D460" s="139"/>
      <c r="F460" s="426"/>
      <c r="G460" s="303"/>
      <c r="H460" s="303"/>
      <c r="I460" s="303"/>
      <c r="J460" s="303"/>
    </row>
    <row r="461">
      <c r="C461" s="139"/>
      <c r="D461" s="139"/>
      <c r="F461" s="426"/>
      <c r="G461" s="303"/>
      <c r="H461" s="303"/>
      <c r="I461" s="303"/>
      <c r="J461" s="303"/>
    </row>
    <row r="462">
      <c r="C462" s="139"/>
      <c r="D462" s="139"/>
      <c r="F462" s="426"/>
      <c r="G462" s="303"/>
      <c r="H462" s="303"/>
      <c r="I462" s="303"/>
      <c r="J462" s="303"/>
    </row>
    <row r="463">
      <c r="C463" s="139"/>
      <c r="D463" s="139"/>
      <c r="F463" s="426"/>
      <c r="G463" s="303"/>
      <c r="H463" s="303"/>
      <c r="I463" s="303"/>
      <c r="J463" s="303"/>
    </row>
    <row r="464">
      <c r="C464" s="139"/>
      <c r="D464" s="139"/>
      <c r="F464" s="426"/>
      <c r="G464" s="303"/>
      <c r="H464" s="303"/>
      <c r="I464" s="303"/>
      <c r="J464" s="303"/>
    </row>
    <row r="465">
      <c r="C465" s="139"/>
      <c r="D465" s="139"/>
      <c r="F465" s="426"/>
      <c r="G465" s="303"/>
      <c r="H465" s="303"/>
      <c r="I465" s="303"/>
      <c r="J465" s="303"/>
    </row>
    <row r="466">
      <c r="C466" s="139"/>
      <c r="D466" s="139"/>
      <c r="F466" s="426"/>
      <c r="G466" s="303"/>
      <c r="H466" s="303"/>
      <c r="I466" s="303"/>
      <c r="J466" s="303"/>
    </row>
    <row r="467">
      <c r="C467" s="139"/>
      <c r="D467" s="139"/>
      <c r="F467" s="426"/>
      <c r="G467" s="303"/>
      <c r="H467" s="303"/>
      <c r="I467" s="303"/>
      <c r="J467" s="303"/>
    </row>
    <row r="468">
      <c r="C468" s="139"/>
      <c r="D468" s="139"/>
      <c r="F468" s="426"/>
      <c r="G468" s="303"/>
      <c r="H468" s="303"/>
      <c r="I468" s="303"/>
      <c r="J468" s="303"/>
    </row>
    <row r="469">
      <c r="C469" s="139"/>
      <c r="D469" s="139"/>
      <c r="F469" s="426"/>
      <c r="G469" s="303"/>
      <c r="H469" s="303"/>
      <c r="I469" s="303"/>
      <c r="J469" s="303"/>
    </row>
    <row r="470">
      <c r="C470" s="139"/>
      <c r="D470" s="139"/>
      <c r="F470" s="426"/>
      <c r="G470" s="303"/>
      <c r="H470" s="303"/>
      <c r="I470" s="303"/>
      <c r="J470" s="303"/>
    </row>
    <row r="471">
      <c r="C471" s="139"/>
      <c r="D471" s="139"/>
      <c r="F471" s="426"/>
      <c r="G471" s="303"/>
      <c r="H471" s="303"/>
      <c r="I471" s="303"/>
      <c r="J471" s="303"/>
    </row>
    <row r="472">
      <c r="C472" s="139"/>
      <c r="D472" s="139"/>
      <c r="F472" s="426"/>
      <c r="G472" s="303"/>
      <c r="H472" s="303"/>
      <c r="I472" s="303"/>
      <c r="J472" s="303"/>
    </row>
    <row r="473">
      <c r="C473" s="139"/>
      <c r="D473" s="139"/>
      <c r="F473" s="426"/>
      <c r="G473" s="303"/>
      <c r="H473" s="303"/>
      <c r="I473" s="303"/>
      <c r="J473" s="303"/>
    </row>
    <row r="474">
      <c r="C474" s="139"/>
      <c r="D474" s="139"/>
      <c r="F474" s="426"/>
      <c r="G474" s="303"/>
      <c r="H474" s="303"/>
      <c r="I474" s="303"/>
      <c r="J474" s="303"/>
    </row>
    <row r="475">
      <c r="C475" s="139"/>
      <c r="D475" s="139"/>
      <c r="F475" s="426"/>
      <c r="G475" s="303"/>
      <c r="H475" s="303"/>
      <c r="I475" s="303"/>
      <c r="J475" s="303"/>
    </row>
    <row r="476">
      <c r="C476" s="139"/>
      <c r="D476" s="139"/>
      <c r="F476" s="426"/>
      <c r="G476" s="303"/>
      <c r="H476" s="303"/>
      <c r="I476" s="303"/>
      <c r="J476" s="303"/>
    </row>
    <row r="477">
      <c r="C477" s="139"/>
      <c r="D477" s="139"/>
      <c r="F477" s="426"/>
      <c r="G477" s="303"/>
      <c r="H477" s="303"/>
      <c r="I477" s="303"/>
      <c r="J477" s="303"/>
    </row>
    <row r="478">
      <c r="C478" s="139"/>
      <c r="D478" s="139"/>
      <c r="F478" s="426"/>
      <c r="G478" s="303"/>
      <c r="H478" s="303"/>
      <c r="I478" s="303"/>
      <c r="J478" s="303"/>
    </row>
    <row r="479">
      <c r="C479" s="139"/>
      <c r="D479" s="139"/>
      <c r="F479" s="426"/>
      <c r="G479" s="303"/>
      <c r="H479" s="303"/>
      <c r="I479" s="303"/>
      <c r="J479" s="303"/>
    </row>
    <row r="480">
      <c r="C480" s="139"/>
      <c r="D480" s="139"/>
      <c r="F480" s="426"/>
      <c r="G480" s="303"/>
      <c r="H480" s="303"/>
      <c r="I480" s="303"/>
      <c r="J480" s="303"/>
    </row>
    <row r="481">
      <c r="C481" s="139"/>
      <c r="D481" s="139"/>
      <c r="F481" s="426"/>
      <c r="G481" s="303"/>
      <c r="H481" s="303"/>
      <c r="I481" s="303"/>
      <c r="J481" s="303"/>
    </row>
    <row r="482">
      <c r="C482" s="139"/>
      <c r="D482" s="139"/>
      <c r="F482" s="426"/>
      <c r="G482" s="303"/>
      <c r="H482" s="303"/>
      <c r="I482" s="303"/>
      <c r="J482" s="303"/>
    </row>
    <row r="483">
      <c r="C483" s="139"/>
      <c r="D483" s="139"/>
      <c r="F483" s="426"/>
      <c r="G483" s="303"/>
      <c r="H483" s="303"/>
      <c r="I483" s="303"/>
      <c r="J483" s="303"/>
    </row>
    <row r="484">
      <c r="C484" s="139"/>
      <c r="D484" s="139"/>
      <c r="F484" s="426"/>
      <c r="G484" s="303"/>
      <c r="H484" s="303"/>
      <c r="I484" s="303"/>
      <c r="J484" s="303"/>
    </row>
    <row r="485">
      <c r="C485" s="139"/>
      <c r="D485" s="139"/>
      <c r="F485" s="426"/>
      <c r="G485" s="303"/>
      <c r="H485" s="303"/>
      <c r="I485" s="303"/>
      <c r="J485" s="303"/>
    </row>
    <row r="486">
      <c r="C486" s="139"/>
      <c r="D486" s="139"/>
      <c r="F486" s="426"/>
      <c r="G486" s="303"/>
      <c r="H486" s="303"/>
      <c r="I486" s="303"/>
      <c r="J486" s="303"/>
    </row>
    <row r="487">
      <c r="C487" s="139"/>
      <c r="D487" s="139"/>
      <c r="F487" s="426"/>
      <c r="G487" s="303"/>
      <c r="H487" s="303"/>
      <c r="I487" s="303"/>
      <c r="J487" s="303"/>
    </row>
    <row r="488">
      <c r="C488" s="139"/>
      <c r="D488" s="139"/>
      <c r="F488" s="426"/>
      <c r="G488" s="303"/>
      <c r="H488" s="303"/>
      <c r="I488" s="303"/>
      <c r="J488" s="303"/>
    </row>
    <row r="489">
      <c r="C489" s="139"/>
      <c r="D489" s="139"/>
      <c r="F489" s="426"/>
      <c r="G489" s="303"/>
      <c r="H489" s="303"/>
      <c r="I489" s="303"/>
      <c r="J489" s="303"/>
    </row>
    <row r="490">
      <c r="C490" s="139"/>
      <c r="D490" s="139"/>
      <c r="F490" s="426"/>
      <c r="G490" s="303"/>
      <c r="H490" s="303"/>
      <c r="I490" s="303"/>
      <c r="J490" s="303"/>
    </row>
    <row r="491">
      <c r="C491" s="139"/>
      <c r="D491" s="139"/>
      <c r="F491" s="426"/>
      <c r="G491" s="303"/>
      <c r="H491" s="303"/>
      <c r="I491" s="303"/>
      <c r="J491" s="303"/>
    </row>
    <row r="492">
      <c r="C492" s="139"/>
      <c r="D492" s="139"/>
      <c r="F492" s="426"/>
      <c r="G492" s="303"/>
      <c r="H492" s="303"/>
      <c r="I492" s="303"/>
      <c r="J492" s="303"/>
    </row>
    <row r="493">
      <c r="C493" s="139"/>
      <c r="D493" s="139"/>
      <c r="F493" s="426"/>
      <c r="G493" s="303"/>
      <c r="H493" s="303"/>
      <c r="I493" s="303"/>
      <c r="J493" s="303"/>
    </row>
    <row r="494">
      <c r="C494" s="139"/>
      <c r="D494" s="139"/>
      <c r="F494" s="426"/>
      <c r="G494" s="303"/>
      <c r="H494" s="303"/>
      <c r="I494" s="303"/>
      <c r="J494" s="303"/>
    </row>
    <row r="495">
      <c r="C495" s="139"/>
      <c r="D495" s="139"/>
      <c r="F495" s="426"/>
      <c r="G495" s="303"/>
      <c r="H495" s="303"/>
      <c r="I495" s="303"/>
      <c r="J495" s="303"/>
    </row>
    <row r="496">
      <c r="C496" s="139"/>
      <c r="D496" s="139"/>
      <c r="F496" s="426"/>
      <c r="G496" s="303"/>
      <c r="H496" s="303"/>
      <c r="I496" s="303"/>
      <c r="J496" s="303"/>
    </row>
    <row r="497">
      <c r="C497" s="139"/>
      <c r="D497" s="139"/>
      <c r="F497" s="426"/>
      <c r="G497" s="303"/>
      <c r="H497" s="303"/>
      <c r="I497" s="303"/>
      <c r="J497" s="303"/>
    </row>
    <row r="498">
      <c r="C498" s="139"/>
      <c r="D498" s="139"/>
      <c r="F498" s="426"/>
      <c r="G498" s="303"/>
      <c r="H498" s="303"/>
      <c r="I498" s="303"/>
      <c r="J498" s="303"/>
    </row>
    <row r="499">
      <c r="C499" s="139"/>
      <c r="D499" s="139"/>
      <c r="F499" s="426"/>
      <c r="G499" s="303"/>
      <c r="H499" s="303"/>
      <c r="I499" s="303"/>
      <c r="J499" s="303"/>
    </row>
    <row r="500">
      <c r="C500" s="139"/>
      <c r="D500" s="139"/>
      <c r="F500" s="426"/>
      <c r="G500" s="303"/>
      <c r="H500" s="303"/>
      <c r="I500" s="303"/>
      <c r="J500" s="303"/>
    </row>
    <row r="501">
      <c r="C501" s="139"/>
      <c r="D501" s="139"/>
      <c r="F501" s="426"/>
      <c r="G501" s="303"/>
      <c r="H501" s="303"/>
      <c r="I501" s="303"/>
      <c r="J501" s="303"/>
    </row>
    <row r="502">
      <c r="C502" s="139"/>
      <c r="D502" s="139"/>
      <c r="F502" s="426"/>
      <c r="G502" s="303"/>
      <c r="H502" s="303"/>
      <c r="I502" s="303"/>
      <c r="J502" s="303"/>
    </row>
    <row r="503">
      <c r="C503" s="139"/>
      <c r="D503" s="139"/>
      <c r="F503" s="426"/>
      <c r="G503" s="303"/>
      <c r="H503" s="303"/>
      <c r="I503" s="303"/>
      <c r="J503" s="303"/>
    </row>
    <row r="504">
      <c r="C504" s="139"/>
      <c r="D504" s="139"/>
      <c r="F504" s="426"/>
      <c r="G504" s="303"/>
      <c r="H504" s="303"/>
      <c r="I504" s="303"/>
      <c r="J504" s="303"/>
    </row>
    <row r="505">
      <c r="C505" s="139"/>
      <c r="D505" s="139"/>
      <c r="F505" s="426"/>
      <c r="G505" s="303"/>
      <c r="H505" s="303"/>
      <c r="I505" s="303"/>
      <c r="J505" s="303"/>
    </row>
    <row r="506">
      <c r="C506" s="139"/>
      <c r="D506" s="139"/>
      <c r="F506" s="426"/>
      <c r="G506" s="303"/>
      <c r="H506" s="303"/>
      <c r="I506" s="303"/>
      <c r="J506" s="303"/>
    </row>
    <row r="507">
      <c r="C507" s="139"/>
      <c r="D507" s="139"/>
      <c r="F507" s="426"/>
      <c r="G507" s="303"/>
      <c r="H507" s="303"/>
      <c r="I507" s="303"/>
      <c r="J507" s="303"/>
    </row>
    <row r="508">
      <c r="C508" s="139"/>
      <c r="D508" s="139"/>
      <c r="F508" s="426"/>
      <c r="G508" s="303"/>
      <c r="H508" s="303"/>
      <c r="I508" s="303"/>
      <c r="J508" s="303"/>
    </row>
    <row r="509">
      <c r="C509" s="139"/>
      <c r="D509" s="139"/>
      <c r="F509" s="426"/>
      <c r="G509" s="303"/>
      <c r="H509" s="303"/>
      <c r="I509" s="303"/>
      <c r="J509" s="303"/>
    </row>
    <row r="510">
      <c r="C510" s="139"/>
      <c r="D510" s="139"/>
      <c r="F510" s="426"/>
      <c r="G510" s="303"/>
      <c r="H510" s="303"/>
      <c r="I510" s="303"/>
      <c r="J510" s="303"/>
    </row>
    <row r="511">
      <c r="C511" s="139"/>
      <c r="D511" s="139"/>
      <c r="F511" s="426"/>
      <c r="G511" s="303"/>
      <c r="H511" s="303"/>
      <c r="I511" s="303"/>
      <c r="J511" s="303"/>
    </row>
    <row r="512">
      <c r="C512" s="139"/>
      <c r="D512" s="139"/>
      <c r="F512" s="426"/>
      <c r="G512" s="303"/>
      <c r="H512" s="303"/>
      <c r="I512" s="303"/>
      <c r="J512" s="303"/>
    </row>
    <row r="513">
      <c r="C513" s="139"/>
      <c r="D513" s="139"/>
      <c r="F513" s="426"/>
      <c r="G513" s="303"/>
      <c r="H513" s="303"/>
      <c r="I513" s="303"/>
      <c r="J513" s="303"/>
    </row>
    <row r="514">
      <c r="C514" s="139"/>
      <c r="D514" s="139"/>
      <c r="F514" s="426"/>
      <c r="G514" s="303"/>
      <c r="H514" s="303"/>
      <c r="I514" s="303"/>
      <c r="J514" s="303"/>
    </row>
    <row r="515">
      <c r="C515" s="139"/>
      <c r="D515" s="139"/>
      <c r="F515" s="426"/>
      <c r="G515" s="303"/>
      <c r="H515" s="303"/>
      <c r="I515" s="303"/>
      <c r="J515" s="303"/>
    </row>
    <row r="516">
      <c r="C516" s="139"/>
      <c r="D516" s="139"/>
      <c r="F516" s="426"/>
      <c r="G516" s="303"/>
      <c r="H516" s="303"/>
      <c r="I516" s="303"/>
      <c r="J516" s="303"/>
    </row>
    <row r="517">
      <c r="C517" s="139"/>
      <c r="D517" s="139"/>
      <c r="F517" s="426"/>
      <c r="G517" s="303"/>
      <c r="H517" s="303"/>
      <c r="I517" s="303"/>
      <c r="J517" s="303"/>
    </row>
    <row r="518">
      <c r="C518" s="139"/>
      <c r="D518" s="139"/>
      <c r="F518" s="426"/>
      <c r="G518" s="303"/>
      <c r="H518" s="303"/>
      <c r="I518" s="303"/>
      <c r="J518" s="303"/>
    </row>
    <row r="519">
      <c r="C519" s="139"/>
      <c r="D519" s="139"/>
      <c r="F519" s="426"/>
      <c r="G519" s="303"/>
      <c r="H519" s="303"/>
      <c r="I519" s="303"/>
      <c r="J519" s="303"/>
    </row>
    <row r="520">
      <c r="C520" s="139"/>
      <c r="D520" s="139"/>
      <c r="F520" s="426"/>
      <c r="G520" s="303"/>
      <c r="H520" s="303"/>
      <c r="I520" s="303"/>
      <c r="J520" s="303"/>
    </row>
    <row r="521">
      <c r="C521" s="139"/>
      <c r="D521" s="139"/>
      <c r="F521" s="426"/>
      <c r="G521" s="303"/>
      <c r="H521" s="303"/>
      <c r="I521" s="303"/>
      <c r="J521" s="303"/>
    </row>
    <row r="522">
      <c r="C522" s="139"/>
      <c r="D522" s="139"/>
      <c r="F522" s="426"/>
      <c r="G522" s="303"/>
      <c r="H522" s="303"/>
      <c r="I522" s="303"/>
      <c r="J522" s="303"/>
    </row>
    <row r="523">
      <c r="C523" s="139"/>
      <c r="D523" s="139"/>
      <c r="F523" s="426"/>
      <c r="G523" s="303"/>
      <c r="H523" s="303"/>
      <c r="I523" s="303"/>
      <c r="J523" s="303"/>
    </row>
    <row r="524">
      <c r="C524" s="139"/>
      <c r="D524" s="139"/>
      <c r="F524" s="426"/>
      <c r="G524" s="303"/>
      <c r="H524" s="303"/>
      <c r="I524" s="303"/>
      <c r="J524" s="303"/>
    </row>
    <row r="525">
      <c r="C525" s="139"/>
      <c r="D525" s="139"/>
      <c r="F525" s="426"/>
      <c r="G525" s="303"/>
      <c r="H525" s="303"/>
      <c r="I525" s="303"/>
      <c r="J525" s="303"/>
    </row>
    <row r="526">
      <c r="C526" s="139"/>
      <c r="D526" s="139"/>
      <c r="F526" s="426"/>
      <c r="G526" s="303"/>
      <c r="H526" s="303"/>
      <c r="I526" s="303"/>
      <c r="J526" s="303"/>
    </row>
    <row r="527">
      <c r="C527" s="139"/>
      <c r="D527" s="139"/>
      <c r="F527" s="426"/>
      <c r="G527" s="303"/>
      <c r="H527" s="303"/>
      <c r="I527" s="303"/>
      <c r="J527" s="303"/>
    </row>
    <row r="528">
      <c r="C528" s="139"/>
      <c r="D528" s="139"/>
      <c r="F528" s="426"/>
      <c r="G528" s="303"/>
      <c r="H528" s="303"/>
      <c r="I528" s="303"/>
      <c r="J528" s="303"/>
    </row>
    <row r="529">
      <c r="C529" s="139"/>
      <c r="D529" s="139"/>
      <c r="F529" s="426"/>
      <c r="G529" s="303"/>
      <c r="H529" s="303"/>
      <c r="I529" s="303"/>
      <c r="J529" s="303"/>
    </row>
    <row r="530">
      <c r="C530" s="139"/>
      <c r="D530" s="139"/>
      <c r="F530" s="426"/>
      <c r="G530" s="303"/>
      <c r="H530" s="303"/>
      <c r="I530" s="303"/>
      <c r="J530" s="303"/>
    </row>
    <row r="531">
      <c r="C531" s="139"/>
      <c r="D531" s="139"/>
      <c r="F531" s="426"/>
      <c r="G531" s="303"/>
      <c r="H531" s="303"/>
      <c r="I531" s="303"/>
      <c r="J531" s="303"/>
    </row>
    <row r="532">
      <c r="C532" s="139"/>
      <c r="D532" s="139"/>
      <c r="F532" s="426"/>
      <c r="G532" s="303"/>
      <c r="H532" s="303"/>
      <c r="I532" s="303"/>
      <c r="J532" s="303"/>
    </row>
    <row r="533">
      <c r="C533" s="139"/>
      <c r="D533" s="139"/>
      <c r="F533" s="426"/>
      <c r="G533" s="303"/>
      <c r="H533" s="303"/>
      <c r="I533" s="303"/>
      <c r="J533" s="303"/>
    </row>
    <row r="534">
      <c r="C534" s="139"/>
      <c r="D534" s="139"/>
      <c r="F534" s="426"/>
      <c r="G534" s="303"/>
      <c r="H534" s="303"/>
      <c r="I534" s="303"/>
      <c r="J534" s="303"/>
    </row>
    <row r="535">
      <c r="C535" s="139"/>
      <c r="D535" s="139"/>
      <c r="F535" s="426"/>
      <c r="G535" s="303"/>
      <c r="H535" s="303"/>
      <c r="I535" s="303"/>
      <c r="J535" s="303"/>
    </row>
    <row r="536">
      <c r="C536" s="139"/>
      <c r="D536" s="139"/>
      <c r="F536" s="426"/>
      <c r="G536" s="303"/>
      <c r="H536" s="303"/>
      <c r="I536" s="303"/>
      <c r="J536" s="303"/>
    </row>
    <row r="537">
      <c r="C537" s="139"/>
      <c r="D537" s="139"/>
      <c r="F537" s="426"/>
      <c r="G537" s="303"/>
      <c r="H537" s="303"/>
      <c r="I537" s="303"/>
      <c r="J537" s="303"/>
    </row>
    <row r="538">
      <c r="C538" s="139"/>
      <c r="D538" s="139"/>
      <c r="F538" s="426"/>
      <c r="G538" s="303"/>
      <c r="H538" s="303"/>
      <c r="I538" s="303"/>
      <c r="J538" s="303"/>
    </row>
    <row r="539">
      <c r="C539" s="139"/>
      <c r="D539" s="139"/>
      <c r="F539" s="426"/>
      <c r="G539" s="303"/>
      <c r="H539" s="303"/>
      <c r="I539" s="303"/>
      <c r="J539" s="303"/>
    </row>
    <row r="540">
      <c r="C540" s="139"/>
      <c r="D540" s="139"/>
      <c r="F540" s="426"/>
      <c r="G540" s="303"/>
      <c r="H540" s="303"/>
      <c r="I540" s="303"/>
      <c r="J540" s="303"/>
    </row>
    <row r="541">
      <c r="C541" s="139"/>
      <c r="D541" s="139"/>
      <c r="F541" s="426"/>
      <c r="G541" s="303"/>
      <c r="H541" s="303"/>
      <c r="I541" s="303"/>
      <c r="J541" s="303"/>
    </row>
    <row r="542">
      <c r="C542" s="139"/>
      <c r="D542" s="139"/>
      <c r="F542" s="426"/>
      <c r="G542" s="303"/>
      <c r="H542" s="303"/>
      <c r="I542" s="303"/>
      <c r="J542" s="303"/>
    </row>
    <row r="543">
      <c r="C543" s="139"/>
      <c r="D543" s="139"/>
      <c r="F543" s="426"/>
      <c r="G543" s="303"/>
      <c r="H543" s="303"/>
      <c r="I543" s="303"/>
      <c r="J543" s="303"/>
    </row>
    <row r="544">
      <c r="C544" s="139"/>
      <c r="D544" s="139"/>
      <c r="F544" s="426"/>
      <c r="G544" s="303"/>
      <c r="H544" s="303"/>
      <c r="I544" s="303"/>
      <c r="J544" s="303"/>
    </row>
    <row r="545">
      <c r="C545" s="139"/>
      <c r="D545" s="139"/>
      <c r="F545" s="426"/>
      <c r="G545" s="303"/>
      <c r="H545" s="303"/>
      <c r="I545" s="303"/>
      <c r="J545" s="303"/>
    </row>
    <row r="546">
      <c r="C546" s="139"/>
      <c r="D546" s="139"/>
      <c r="F546" s="426"/>
      <c r="G546" s="303"/>
      <c r="H546" s="303"/>
      <c r="I546" s="303"/>
      <c r="J546" s="303"/>
    </row>
    <row r="547">
      <c r="C547" s="139"/>
      <c r="D547" s="139"/>
      <c r="F547" s="426"/>
      <c r="G547" s="303"/>
      <c r="H547" s="303"/>
      <c r="I547" s="303"/>
      <c r="J547" s="303"/>
    </row>
    <row r="548">
      <c r="C548" s="139"/>
      <c r="D548" s="139"/>
      <c r="F548" s="426"/>
      <c r="G548" s="303"/>
      <c r="H548" s="303"/>
      <c r="I548" s="303"/>
      <c r="J548" s="303"/>
    </row>
    <row r="549">
      <c r="C549" s="139"/>
      <c r="D549" s="139"/>
      <c r="F549" s="426"/>
      <c r="G549" s="303"/>
      <c r="H549" s="303"/>
      <c r="I549" s="303"/>
      <c r="J549" s="303"/>
    </row>
    <row r="550">
      <c r="C550" s="139"/>
      <c r="D550" s="139"/>
      <c r="F550" s="426"/>
      <c r="G550" s="303"/>
      <c r="H550" s="303"/>
      <c r="I550" s="303"/>
      <c r="J550" s="303"/>
    </row>
    <row r="551">
      <c r="C551" s="139"/>
      <c r="D551" s="139"/>
      <c r="F551" s="426"/>
      <c r="G551" s="303"/>
      <c r="H551" s="303"/>
      <c r="I551" s="303"/>
      <c r="J551" s="303"/>
    </row>
    <row r="552">
      <c r="C552" s="139"/>
      <c r="D552" s="139"/>
      <c r="F552" s="426"/>
      <c r="G552" s="303"/>
      <c r="H552" s="303"/>
      <c r="I552" s="303"/>
      <c r="J552" s="303"/>
    </row>
    <row r="553">
      <c r="C553" s="139"/>
      <c r="D553" s="139"/>
      <c r="F553" s="426"/>
      <c r="G553" s="303"/>
      <c r="H553" s="303"/>
      <c r="I553" s="303"/>
      <c r="J553" s="303"/>
    </row>
    <row r="554">
      <c r="C554" s="139"/>
      <c r="D554" s="139"/>
      <c r="F554" s="426"/>
      <c r="G554" s="303"/>
      <c r="H554" s="303"/>
      <c r="I554" s="303"/>
      <c r="J554" s="303"/>
    </row>
    <row r="555">
      <c r="C555" s="139"/>
      <c r="D555" s="139"/>
      <c r="F555" s="426"/>
      <c r="G555" s="303"/>
      <c r="H555" s="303"/>
      <c r="I555" s="303"/>
      <c r="J555" s="303"/>
    </row>
    <row r="556">
      <c r="C556" s="139"/>
      <c r="D556" s="139"/>
      <c r="F556" s="426"/>
      <c r="G556" s="303"/>
      <c r="H556" s="303"/>
      <c r="I556" s="303"/>
      <c r="J556" s="303"/>
    </row>
    <row r="557">
      <c r="C557" s="139"/>
      <c r="D557" s="139"/>
      <c r="F557" s="426"/>
      <c r="G557" s="303"/>
      <c r="H557" s="303"/>
      <c r="I557" s="303"/>
      <c r="J557" s="303"/>
    </row>
    <row r="558">
      <c r="C558" s="139"/>
      <c r="D558" s="139"/>
      <c r="F558" s="426"/>
      <c r="G558" s="303"/>
      <c r="H558" s="303"/>
      <c r="I558" s="303"/>
      <c r="J558" s="303"/>
    </row>
    <row r="559">
      <c r="C559" s="139"/>
      <c r="D559" s="139"/>
      <c r="F559" s="426"/>
      <c r="G559" s="303"/>
      <c r="H559" s="303"/>
      <c r="I559" s="303"/>
      <c r="J559" s="303"/>
    </row>
    <row r="560">
      <c r="C560" s="139"/>
      <c r="D560" s="139"/>
      <c r="F560" s="426"/>
      <c r="G560" s="303"/>
      <c r="H560" s="303"/>
      <c r="I560" s="303"/>
      <c r="J560" s="303"/>
    </row>
    <row r="561">
      <c r="C561" s="139"/>
      <c r="D561" s="139"/>
      <c r="F561" s="426"/>
      <c r="G561" s="303"/>
      <c r="H561" s="303"/>
      <c r="I561" s="303"/>
      <c r="J561" s="303"/>
    </row>
    <row r="562">
      <c r="C562" s="139"/>
      <c r="D562" s="139"/>
      <c r="F562" s="426"/>
      <c r="G562" s="303"/>
      <c r="H562" s="303"/>
      <c r="I562" s="303"/>
      <c r="J562" s="303"/>
    </row>
    <row r="563">
      <c r="C563" s="139"/>
      <c r="D563" s="139"/>
      <c r="F563" s="426"/>
      <c r="G563" s="303"/>
      <c r="H563" s="303"/>
      <c r="I563" s="303"/>
      <c r="J563" s="303"/>
    </row>
    <row r="564">
      <c r="C564" s="139"/>
      <c r="D564" s="139"/>
      <c r="F564" s="426"/>
      <c r="G564" s="303"/>
      <c r="H564" s="303"/>
      <c r="I564" s="303"/>
      <c r="J564" s="303"/>
    </row>
    <row r="565">
      <c r="C565" s="139"/>
      <c r="D565" s="139"/>
      <c r="F565" s="426"/>
      <c r="G565" s="303"/>
      <c r="H565" s="303"/>
      <c r="I565" s="303"/>
      <c r="J565" s="303"/>
    </row>
    <row r="566">
      <c r="C566" s="139"/>
      <c r="D566" s="139"/>
      <c r="F566" s="426"/>
      <c r="G566" s="303"/>
      <c r="H566" s="303"/>
      <c r="I566" s="303"/>
      <c r="J566" s="303"/>
    </row>
    <row r="567">
      <c r="C567" s="139"/>
      <c r="D567" s="139"/>
      <c r="F567" s="426"/>
      <c r="G567" s="303"/>
      <c r="H567" s="303"/>
      <c r="I567" s="303"/>
      <c r="J567" s="303"/>
    </row>
    <row r="568">
      <c r="C568" s="139"/>
      <c r="D568" s="139"/>
      <c r="F568" s="426"/>
      <c r="G568" s="303"/>
      <c r="H568" s="303"/>
      <c r="I568" s="303"/>
      <c r="J568" s="303"/>
    </row>
    <row r="569">
      <c r="C569" s="139"/>
      <c r="D569" s="139"/>
      <c r="F569" s="426"/>
      <c r="G569" s="303"/>
      <c r="H569" s="303"/>
      <c r="I569" s="303"/>
      <c r="J569" s="303"/>
    </row>
    <row r="570">
      <c r="C570" s="139"/>
      <c r="D570" s="139"/>
      <c r="F570" s="426"/>
      <c r="G570" s="303"/>
      <c r="H570" s="303"/>
      <c r="I570" s="303"/>
      <c r="J570" s="303"/>
    </row>
    <row r="571">
      <c r="C571" s="139"/>
      <c r="D571" s="139"/>
      <c r="F571" s="426"/>
      <c r="G571" s="303"/>
      <c r="H571" s="303"/>
      <c r="I571" s="303"/>
      <c r="J571" s="303"/>
    </row>
    <row r="572">
      <c r="C572" s="139"/>
      <c r="D572" s="139"/>
      <c r="F572" s="426"/>
      <c r="G572" s="303"/>
      <c r="H572" s="303"/>
      <c r="I572" s="303"/>
      <c r="J572" s="303"/>
    </row>
    <row r="573">
      <c r="C573" s="139"/>
      <c r="D573" s="139"/>
      <c r="F573" s="426"/>
      <c r="G573" s="303"/>
      <c r="H573" s="303"/>
      <c r="I573" s="303"/>
      <c r="J573" s="303"/>
    </row>
    <row r="574">
      <c r="C574" s="139"/>
      <c r="D574" s="139"/>
      <c r="F574" s="426"/>
      <c r="G574" s="303"/>
      <c r="H574" s="303"/>
      <c r="I574" s="303"/>
      <c r="J574" s="303"/>
    </row>
    <row r="575">
      <c r="C575" s="139"/>
      <c r="D575" s="139"/>
      <c r="F575" s="426"/>
      <c r="G575" s="303"/>
      <c r="H575" s="303"/>
      <c r="I575" s="303"/>
      <c r="J575" s="303"/>
    </row>
    <row r="576">
      <c r="C576" s="139"/>
      <c r="D576" s="139"/>
      <c r="F576" s="426"/>
      <c r="G576" s="303"/>
      <c r="H576" s="303"/>
      <c r="I576" s="303"/>
      <c r="J576" s="303"/>
    </row>
    <row r="577">
      <c r="C577" s="139"/>
      <c r="D577" s="139"/>
      <c r="F577" s="426"/>
      <c r="G577" s="303"/>
      <c r="H577" s="303"/>
      <c r="I577" s="303"/>
      <c r="J577" s="303"/>
    </row>
    <row r="578">
      <c r="C578" s="139"/>
      <c r="D578" s="139"/>
      <c r="F578" s="426"/>
      <c r="G578" s="303"/>
      <c r="H578" s="303"/>
      <c r="I578" s="303"/>
      <c r="J578" s="303"/>
    </row>
    <row r="579">
      <c r="C579" s="139"/>
      <c r="D579" s="139"/>
      <c r="F579" s="426"/>
      <c r="G579" s="303"/>
      <c r="H579" s="303"/>
      <c r="I579" s="303"/>
      <c r="J579" s="303"/>
    </row>
    <row r="580">
      <c r="C580" s="139"/>
      <c r="D580" s="139"/>
      <c r="F580" s="426"/>
      <c r="G580" s="303"/>
      <c r="H580" s="303"/>
      <c r="I580" s="303"/>
      <c r="J580" s="303"/>
    </row>
    <row r="581">
      <c r="C581" s="139"/>
      <c r="D581" s="139"/>
      <c r="F581" s="426"/>
      <c r="G581" s="303"/>
      <c r="H581" s="303"/>
      <c r="I581" s="303"/>
      <c r="J581" s="303"/>
    </row>
    <row r="582">
      <c r="C582" s="139"/>
      <c r="D582" s="139"/>
      <c r="F582" s="426"/>
      <c r="G582" s="303"/>
      <c r="H582" s="303"/>
      <c r="I582" s="303"/>
      <c r="J582" s="303"/>
    </row>
    <row r="583">
      <c r="C583" s="139"/>
      <c r="D583" s="139"/>
      <c r="F583" s="426"/>
      <c r="G583" s="303"/>
      <c r="H583" s="303"/>
      <c r="I583" s="303"/>
      <c r="J583" s="303"/>
    </row>
    <row r="584">
      <c r="C584" s="139"/>
      <c r="D584" s="139"/>
      <c r="F584" s="426"/>
      <c r="G584" s="303"/>
      <c r="H584" s="303"/>
      <c r="I584" s="303"/>
      <c r="J584" s="303"/>
    </row>
    <row r="585">
      <c r="C585" s="139"/>
      <c r="D585" s="139"/>
      <c r="F585" s="426"/>
      <c r="G585" s="303"/>
      <c r="H585" s="303"/>
      <c r="I585" s="303"/>
      <c r="J585" s="303"/>
    </row>
    <row r="586">
      <c r="C586" s="139"/>
      <c r="D586" s="139"/>
      <c r="F586" s="426"/>
      <c r="G586" s="303"/>
      <c r="H586" s="303"/>
      <c r="I586" s="303"/>
      <c r="J586" s="303"/>
    </row>
    <row r="587">
      <c r="C587" s="139"/>
      <c r="D587" s="139"/>
      <c r="F587" s="426"/>
      <c r="G587" s="303"/>
      <c r="H587" s="303"/>
      <c r="I587" s="303"/>
      <c r="J587" s="303"/>
    </row>
    <row r="588">
      <c r="C588" s="139"/>
      <c r="D588" s="139"/>
      <c r="F588" s="426"/>
      <c r="G588" s="303"/>
      <c r="H588" s="303"/>
      <c r="I588" s="303"/>
      <c r="J588" s="303"/>
    </row>
    <row r="589">
      <c r="C589" s="139"/>
      <c r="D589" s="139"/>
      <c r="F589" s="426"/>
      <c r="G589" s="303"/>
      <c r="H589" s="303"/>
      <c r="I589" s="303"/>
      <c r="J589" s="303"/>
    </row>
    <row r="590">
      <c r="C590" s="139"/>
      <c r="D590" s="139"/>
      <c r="F590" s="426"/>
      <c r="G590" s="303"/>
      <c r="H590" s="303"/>
      <c r="I590" s="303"/>
      <c r="J590" s="303"/>
    </row>
    <row r="591">
      <c r="C591" s="139"/>
      <c r="D591" s="139"/>
      <c r="F591" s="426"/>
      <c r="G591" s="303"/>
      <c r="H591" s="303"/>
      <c r="I591" s="303"/>
      <c r="J591" s="303"/>
    </row>
    <row r="592">
      <c r="C592" s="139"/>
      <c r="D592" s="139"/>
      <c r="F592" s="426"/>
      <c r="G592" s="303"/>
      <c r="H592" s="303"/>
      <c r="I592" s="303"/>
      <c r="J592" s="303"/>
    </row>
    <row r="593">
      <c r="C593" s="139"/>
      <c r="D593" s="139"/>
      <c r="F593" s="426"/>
      <c r="G593" s="303"/>
      <c r="H593" s="303"/>
      <c r="I593" s="303"/>
      <c r="J593" s="303"/>
    </row>
    <row r="594">
      <c r="C594" s="139"/>
      <c r="D594" s="139"/>
      <c r="F594" s="426"/>
      <c r="G594" s="303"/>
      <c r="H594" s="303"/>
      <c r="I594" s="303"/>
      <c r="J594" s="303"/>
    </row>
    <row r="595">
      <c r="C595" s="139"/>
      <c r="D595" s="139"/>
      <c r="F595" s="426"/>
      <c r="G595" s="303"/>
      <c r="H595" s="303"/>
      <c r="I595" s="303"/>
      <c r="J595" s="303"/>
    </row>
    <row r="596">
      <c r="C596" s="139"/>
      <c r="D596" s="139"/>
      <c r="F596" s="426"/>
      <c r="G596" s="303"/>
      <c r="H596" s="303"/>
      <c r="I596" s="303"/>
      <c r="J596" s="303"/>
    </row>
    <row r="597">
      <c r="C597" s="139"/>
      <c r="D597" s="139"/>
      <c r="F597" s="426"/>
      <c r="G597" s="303"/>
      <c r="H597" s="303"/>
      <c r="I597" s="303"/>
      <c r="J597" s="303"/>
    </row>
    <row r="598">
      <c r="C598" s="139"/>
      <c r="D598" s="139"/>
      <c r="F598" s="426"/>
      <c r="G598" s="303"/>
      <c r="H598" s="303"/>
      <c r="I598" s="303"/>
      <c r="J598" s="303"/>
    </row>
    <row r="599">
      <c r="C599" s="139"/>
      <c r="D599" s="139"/>
      <c r="F599" s="426"/>
      <c r="G599" s="303"/>
      <c r="H599" s="303"/>
      <c r="I599" s="303"/>
      <c r="J599" s="303"/>
    </row>
    <row r="600">
      <c r="C600" s="139"/>
      <c r="D600" s="139"/>
      <c r="F600" s="426"/>
      <c r="G600" s="303"/>
      <c r="H600" s="303"/>
      <c r="I600" s="303"/>
      <c r="J600" s="303"/>
    </row>
    <row r="601">
      <c r="C601" s="139"/>
      <c r="D601" s="139"/>
      <c r="F601" s="426"/>
      <c r="G601" s="303"/>
      <c r="H601" s="303"/>
      <c r="I601" s="303"/>
      <c r="J601" s="303"/>
    </row>
    <row r="602">
      <c r="C602" s="139"/>
      <c r="D602" s="139"/>
      <c r="F602" s="426"/>
      <c r="G602" s="303"/>
      <c r="H602" s="303"/>
      <c r="I602" s="303"/>
      <c r="J602" s="303"/>
    </row>
    <row r="603">
      <c r="C603" s="139"/>
      <c r="D603" s="139"/>
      <c r="F603" s="426"/>
      <c r="G603" s="303"/>
      <c r="H603" s="303"/>
      <c r="I603" s="303"/>
      <c r="J603" s="303"/>
    </row>
    <row r="604">
      <c r="C604" s="139"/>
      <c r="D604" s="139"/>
      <c r="F604" s="426"/>
      <c r="G604" s="303"/>
      <c r="H604" s="303"/>
      <c r="I604" s="303"/>
      <c r="J604" s="303"/>
    </row>
    <row r="605">
      <c r="C605" s="139"/>
      <c r="D605" s="139"/>
      <c r="F605" s="426"/>
      <c r="G605" s="303"/>
      <c r="H605" s="303"/>
      <c r="I605" s="303"/>
      <c r="J605" s="303"/>
    </row>
    <row r="606">
      <c r="C606" s="139"/>
      <c r="D606" s="139"/>
      <c r="F606" s="426"/>
      <c r="G606" s="303"/>
      <c r="H606" s="303"/>
      <c r="I606" s="303"/>
      <c r="J606" s="303"/>
    </row>
    <row r="607">
      <c r="C607" s="139"/>
      <c r="D607" s="139"/>
      <c r="F607" s="426"/>
      <c r="G607" s="303"/>
      <c r="H607" s="303"/>
      <c r="I607" s="303"/>
      <c r="J607" s="303"/>
    </row>
    <row r="608">
      <c r="C608" s="139"/>
      <c r="D608" s="139"/>
      <c r="F608" s="426"/>
      <c r="G608" s="303"/>
      <c r="H608" s="303"/>
      <c r="I608" s="303"/>
      <c r="J608" s="303"/>
    </row>
    <row r="609">
      <c r="C609" s="139"/>
      <c r="D609" s="139"/>
      <c r="F609" s="426"/>
      <c r="G609" s="303"/>
      <c r="H609" s="303"/>
      <c r="I609" s="303"/>
      <c r="J609" s="303"/>
    </row>
    <row r="610">
      <c r="C610" s="139"/>
      <c r="D610" s="139"/>
      <c r="F610" s="426"/>
      <c r="G610" s="303"/>
      <c r="H610" s="303"/>
      <c r="I610" s="303"/>
      <c r="J610" s="303"/>
    </row>
    <row r="611">
      <c r="C611" s="139"/>
      <c r="D611" s="139"/>
      <c r="F611" s="426"/>
      <c r="G611" s="303"/>
      <c r="H611" s="303"/>
      <c r="I611" s="303"/>
      <c r="J611" s="303"/>
    </row>
    <row r="612">
      <c r="C612" s="139"/>
      <c r="D612" s="139"/>
      <c r="F612" s="426"/>
      <c r="G612" s="303"/>
      <c r="H612" s="303"/>
      <c r="I612" s="303"/>
      <c r="J612" s="303"/>
    </row>
    <row r="613">
      <c r="C613" s="139"/>
      <c r="D613" s="139"/>
      <c r="F613" s="426"/>
      <c r="G613" s="303"/>
      <c r="H613" s="303"/>
      <c r="I613" s="303"/>
      <c r="J613" s="303"/>
    </row>
    <row r="614">
      <c r="C614" s="139"/>
      <c r="D614" s="139"/>
      <c r="F614" s="426"/>
      <c r="G614" s="303"/>
      <c r="H614" s="303"/>
      <c r="I614" s="303"/>
      <c r="J614" s="303"/>
    </row>
    <row r="615">
      <c r="C615" s="139"/>
      <c r="D615" s="139"/>
      <c r="F615" s="426"/>
      <c r="G615" s="303"/>
      <c r="H615" s="303"/>
      <c r="I615" s="303"/>
      <c r="J615" s="303"/>
    </row>
    <row r="616">
      <c r="C616" s="139"/>
      <c r="D616" s="139"/>
      <c r="F616" s="426"/>
      <c r="G616" s="303"/>
      <c r="H616" s="303"/>
      <c r="I616" s="303"/>
      <c r="J616" s="303"/>
    </row>
    <row r="617">
      <c r="C617" s="139"/>
      <c r="D617" s="139"/>
      <c r="F617" s="426"/>
      <c r="G617" s="303"/>
      <c r="H617" s="303"/>
      <c r="I617" s="303"/>
      <c r="J617" s="303"/>
    </row>
    <row r="618">
      <c r="C618" s="139"/>
      <c r="D618" s="139"/>
      <c r="F618" s="426"/>
      <c r="G618" s="303"/>
      <c r="H618" s="303"/>
      <c r="I618" s="303"/>
      <c r="J618" s="303"/>
    </row>
    <row r="619">
      <c r="C619" s="139"/>
      <c r="D619" s="139"/>
      <c r="F619" s="426"/>
      <c r="G619" s="303"/>
      <c r="H619" s="303"/>
      <c r="I619" s="303"/>
      <c r="J619" s="303"/>
    </row>
    <row r="620">
      <c r="C620" s="139"/>
      <c r="D620" s="139"/>
      <c r="F620" s="426"/>
      <c r="G620" s="303"/>
      <c r="H620" s="303"/>
      <c r="I620" s="303"/>
      <c r="J620" s="303"/>
    </row>
    <row r="621">
      <c r="C621" s="139"/>
      <c r="D621" s="139"/>
      <c r="F621" s="426"/>
      <c r="G621" s="303"/>
      <c r="H621" s="303"/>
      <c r="I621" s="303"/>
      <c r="J621" s="303"/>
    </row>
    <row r="622">
      <c r="C622" s="139"/>
      <c r="D622" s="139"/>
      <c r="F622" s="426"/>
      <c r="G622" s="303"/>
      <c r="H622" s="303"/>
      <c r="I622" s="303"/>
      <c r="J622" s="303"/>
    </row>
    <row r="623">
      <c r="C623" s="139"/>
      <c r="D623" s="139"/>
      <c r="F623" s="426"/>
      <c r="G623" s="303"/>
      <c r="H623" s="303"/>
      <c r="I623" s="303"/>
      <c r="J623" s="303"/>
    </row>
    <row r="624">
      <c r="C624" s="139"/>
      <c r="D624" s="139"/>
      <c r="F624" s="426"/>
      <c r="G624" s="303"/>
      <c r="H624" s="303"/>
      <c r="I624" s="303"/>
      <c r="J624" s="303"/>
    </row>
    <row r="625">
      <c r="C625" s="139"/>
      <c r="D625" s="139"/>
      <c r="F625" s="426"/>
      <c r="G625" s="303"/>
      <c r="H625" s="303"/>
      <c r="I625" s="303"/>
      <c r="J625" s="303"/>
    </row>
    <row r="626">
      <c r="C626" s="139"/>
      <c r="D626" s="139"/>
      <c r="F626" s="426"/>
      <c r="G626" s="303"/>
      <c r="H626" s="303"/>
      <c r="I626" s="303"/>
      <c r="J626" s="303"/>
    </row>
    <row r="627">
      <c r="C627" s="139"/>
      <c r="D627" s="139"/>
      <c r="F627" s="426"/>
      <c r="G627" s="303"/>
      <c r="H627" s="303"/>
      <c r="I627" s="303"/>
      <c r="J627" s="303"/>
    </row>
    <row r="628">
      <c r="C628" s="139"/>
      <c r="D628" s="139"/>
      <c r="F628" s="426"/>
      <c r="G628" s="303"/>
      <c r="H628" s="303"/>
      <c r="I628" s="303"/>
      <c r="J628" s="303"/>
    </row>
    <row r="629">
      <c r="C629" s="139"/>
      <c r="D629" s="139"/>
      <c r="F629" s="426"/>
      <c r="G629" s="303"/>
      <c r="H629" s="303"/>
      <c r="I629" s="303"/>
      <c r="J629" s="303"/>
    </row>
    <row r="630">
      <c r="C630" s="139"/>
      <c r="D630" s="139"/>
      <c r="F630" s="426"/>
      <c r="G630" s="303"/>
      <c r="H630" s="303"/>
      <c r="I630" s="303"/>
      <c r="J630" s="303"/>
    </row>
    <row r="631">
      <c r="C631" s="139"/>
      <c r="D631" s="139"/>
      <c r="F631" s="426"/>
      <c r="G631" s="303"/>
      <c r="H631" s="303"/>
      <c r="I631" s="303"/>
      <c r="J631" s="303"/>
    </row>
    <row r="632">
      <c r="C632" s="139"/>
      <c r="D632" s="139"/>
      <c r="F632" s="426"/>
      <c r="G632" s="303"/>
      <c r="H632" s="303"/>
      <c r="I632" s="303"/>
      <c r="J632" s="303"/>
    </row>
    <row r="633">
      <c r="C633" s="139"/>
      <c r="D633" s="139"/>
      <c r="F633" s="426"/>
      <c r="G633" s="303"/>
      <c r="H633" s="303"/>
      <c r="I633" s="303"/>
      <c r="J633" s="303"/>
    </row>
    <row r="634">
      <c r="C634" s="139"/>
      <c r="D634" s="139"/>
      <c r="F634" s="426"/>
      <c r="G634" s="303"/>
      <c r="H634" s="303"/>
      <c r="I634" s="303"/>
      <c r="J634" s="303"/>
    </row>
    <row r="635">
      <c r="C635" s="139"/>
      <c r="D635" s="139"/>
      <c r="F635" s="426"/>
      <c r="G635" s="303"/>
      <c r="H635" s="303"/>
      <c r="I635" s="303"/>
      <c r="J635" s="303"/>
    </row>
    <row r="636">
      <c r="C636" s="139"/>
      <c r="D636" s="139"/>
      <c r="F636" s="426"/>
      <c r="G636" s="303"/>
      <c r="H636" s="303"/>
      <c r="I636" s="303"/>
      <c r="J636" s="303"/>
    </row>
    <row r="637">
      <c r="C637" s="139"/>
      <c r="D637" s="139"/>
      <c r="F637" s="426"/>
      <c r="G637" s="303"/>
      <c r="H637" s="303"/>
      <c r="I637" s="303"/>
      <c r="J637" s="303"/>
    </row>
    <row r="638">
      <c r="C638" s="139"/>
      <c r="D638" s="139"/>
      <c r="F638" s="426"/>
      <c r="G638" s="303"/>
      <c r="H638" s="303"/>
      <c r="I638" s="303"/>
      <c r="J638" s="303"/>
    </row>
    <row r="639">
      <c r="C639" s="139"/>
      <c r="D639" s="139"/>
      <c r="F639" s="426"/>
      <c r="G639" s="303"/>
      <c r="H639" s="303"/>
      <c r="I639" s="303"/>
      <c r="J639" s="303"/>
    </row>
    <row r="640">
      <c r="C640" s="139"/>
      <c r="D640" s="139"/>
      <c r="F640" s="426"/>
      <c r="G640" s="303"/>
      <c r="H640" s="303"/>
      <c r="I640" s="303"/>
      <c r="J640" s="303"/>
    </row>
    <row r="641">
      <c r="C641" s="139"/>
      <c r="D641" s="139"/>
      <c r="F641" s="426"/>
      <c r="G641" s="303"/>
      <c r="H641" s="303"/>
      <c r="I641" s="303"/>
      <c r="J641" s="303"/>
    </row>
    <row r="642">
      <c r="C642" s="139"/>
      <c r="D642" s="139"/>
      <c r="F642" s="426"/>
      <c r="G642" s="303"/>
      <c r="H642" s="303"/>
      <c r="I642" s="303"/>
      <c r="J642" s="303"/>
    </row>
    <row r="643">
      <c r="C643" s="139"/>
      <c r="D643" s="139"/>
      <c r="F643" s="426"/>
      <c r="G643" s="303"/>
      <c r="H643" s="303"/>
      <c r="I643" s="303"/>
      <c r="J643" s="303"/>
    </row>
    <row r="644">
      <c r="C644" s="139"/>
      <c r="D644" s="139"/>
      <c r="F644" s="426"/>
      <c r="G644" s="303"/>
      <c r="H644" s="303"/>
      <c r="I644" s="303"/>
      <c r="J644" s="303"/>
    </row>
    <row r="645">
      <c r="C645" s="139"/>
      <c r="D645" s="139"/>
      <c r="F645" s="426"/>
      <c r="G645" s="303"/>
      <c r="H645" s="303"/>
      <c r="I645" s="303"/>
      <c r="J645" s="303"/>
    </row>
    <row r="646">
      <c r="C646" s="139"/>
      <c r="D646" s="139"/>
      <c r="F646" s="426"/>
      <c r="G646" s="303"/>
      <c r="H646" s="303"/>
      <c r="I646" s="303"/>
      <c r="J646" s="303"/>
    </row>
    <row r="647">
      <c r="C647" s="139"/>
      <c r="D647" s="139"/>
      <c r="F647" s="426"/>
      <c r="G647" s="303"/>
      <c r="H647" s="303"/>
      <c r="I647" s="303"/>
      <c r="J647" s="303"/>
    </row>
    <row r="648">
      <c r="C648" s="139"/>
      <c r="D648" s="139"/>
      <c r="F648" s="426"/>
      <c r="G648" s="303"/>
      <c r="H648" s="303"/>
      <c r="I648" s="303"/>
      <c r="J648" s="303"/>
    </row>
    <row r="649">
      <c r="C649" s="139"/>
      <c r="D649" s="139"/>
      <c r="F649" s="426"/>
      <c r="G649" s="303"/>
      <c r="H649" s="303"/>
      <c r="I649" s="303"/>
      <c r="J649" s="303"/>
    </row>
    <row r="650">
      <c r="C650" s="139"/>
      <c r="D650" s="139"/>
      <c r="F650" s="426"/>
      <c r="G650" s="303"/>
      <c r="H650" s="303"/>
      <c r="I650" s="303"/>
      <c r="J650" s="303"/>
    </row>
    <row r="651">
      <c r="C651" s="139"/>
      <c r="D651" s="139"/>
      <c r="F651" s="426"/>
      <c r="G651" s="303"/>
      <c r="H651" s="303"/>
      <c r="I651" s="303"/>
      <c r="J651" s="303"/>
    </row>
    <row r="652">
      <c r="C652" s="139"/>
      <c r="D652" s="139"/>
      <c r="F652" s="426"/>
      <c r="G652" s="303"/>
      <c r="H652" s="303"/>
      <c r="I652" s="303"/>
      <c r="J652" s="303"/>
    </row>
    <row r="653">
      <c r="C653" s="139"/>
      <c r="D653" s="139"/>
      <c r="F653" s="426"/>
      <c r="G653" s="303"/>
      <c r="H653" s="303"/>
      <c r="I653" s="303"/>
      <c r="J653" s="303"/>
    </row>
    <row r="654">
      <c r="C654" s="139"/>
      <c r="D654" s="139"/>
      <c r="F654" s="426"/>
      <c r="G654" s="303"/>
      <c r="H654" s="303"/>
      <c r="I654" s="303"/>
      <c r="J654" s="303"/>
    </row>
    <row r="655">
      <c r="C655" s="139"/>
      <c r="D655" s="139"/>
      <c r="F655" s="426"/>
      <c r="G655" s="303"/>
      <c r="H655" s="303"/>
      <c r="I655" s="303"/>
      <c r="J655" s="303"/>
    </row>
    <row r="656">
      <c r="C656" s="139"/>
      <c r="D656" s="139"/>
      <c r="F656" s="426"/>
      <c r="G656" s="303"/>
      <c r="H656" s="303"/>
      <c r="I656" s="303"/>
      <c r="J656" s="303"/>
    </row>
    <row r="657">
      <c r="C657" s="139"/>
      <c r="D657" s="139"/>
      <c r="F657" s="426"/>
      <c r="G657" s="303"/>
      <c r="H657" s="303"/>
      <c r="I657" s="303"/>
      <c r="J657" s="303"/>
    </row>
    <row r="658">
      <c r="C658" s="139"/>
      <c r="D658" s="139"/>
      <c r="F658" s="426"/>
      <c r="G658" s="303"/>
      <c r="H658" s="303"/>
      <c r="I658" s="303"/>
      <c r="J658" s="303"/>
    </row>
    <row r="659">
      <c r="C659" s="139"/>
      <c r="D659" s="139"/>
      <c r="F659" s="426"/>
      <c r="G659" s="303"/>
      <c r="H659" s="303"/>
      <c r="I659" s="303"/>
      <c r="J659" s="303"/>
    </row>
    <row r="660">
      <c r="C660" s="139"/>
      <c r="D660" s="139"/>
      <c r="F660" s="426"/>
      <c r="G660" s="303"/>
      <c r="H660" s="303"/>
      <c r="I660" s="303"/>
      <c r="J660" s="303"/>
    </row>
    <row r="661">
      <c r="C661" s="139"/>
      <c r="D661" s="139"/>
      <c r="F661" s="426"/>
      <c r="G661" s="303"/>
      <c r="H661" s="303"/>
      <c r="I661" s="303"/>
      <c r="J661" s="303"/>
    </row>
    <row r="662">
      <c r="C662" s="139"/>
      <c r="D662" s="139"/>
      <c r="F662" s="426"/>
      <c r="G662" s="303"/>
      <c r="H662" s="303"/>
      <c r="I662" s="303"/>
      <c r="J662" s="303"/>
    </row>
    <row r="663">
      <c r="C663" s="139"/>
      <c r="D663" s="139"/>
      <c r="F663" s="426"/>
      <c r="G663" s="303"/>
      <c r="H663" s="303"/>
      <c r="I663" s="303"/>
      <c r="J663" s="303"/>
    </row>
    <row r="664">
      <c r="C664" s="139"/>
      <c r="D664" s="139"/>
      <c r="F664" s="426"/>
      <c r="G664" s="303"/>
      <c r="H664" s="303"/>
      <c r="I664" s="303"/>
      <c r="J664" s="303"/>
    </row>
    <row r="665">
      <c r="C665" s="139"/>
      <c r="D665" s="139"/>
      <c r="F665" s="426"/>
      <c r="G665" s="303"/>
      <c r="H665" s="303"/>
      <c r="I665" s="303"/>
      <c r="J665" s="303"/>
    </row>
    <row r="666">
      <c r="C666" s="139"/>
      <c r="D666" s="139"/>
      <c r="F666" s="426"/>
      <c r="G666" s="303"/>
      <c r="H666" s="303"/>
      <c r="I666" s="303"/>
      <c r="J666" s="303"/>
    </row>
    <row r="667">
      <c r="C667" s="139"/>
      <c r="D667" s="139"/>
      <c r="F667" s="426"/>
      <c r="G667" s="303"/>
      <c r="H667" s="303"/>
      <c r="I667" s="303"/>
      <c r="J667" s="303"/>
    </row>
    <row r="668">
      <c r="C668" s="139"/>
      <c r="D668" s="139"/>
      <c r="F668" s="426"/>
      <c r="G668" s="303"/>
      <c r="H668" s="303"/>
      <c r="I668" s="303"/>
      <c r="J668" s="303"/>
    </row>
    <row r="669">
      <c r="C669" s="139"/>
      <c r="D669" s="139"/>
      <c r="F669" s="426"/>
      <c r="G669" s="303"/>
      <c r="H669" s="303"/>
      <c r="I669" s="303"/>
      <c r="J669" s="303"/>
    </row>
    <row r="670">
      <c r="C670" s="139"/>
      <c r="D670" s="139"/>
      <c r="F670" s="426"/>
      <c r="G670" s="303"/>
      <c r="H670" s="303"/>
      <c r="I670" s="303"/>
      <c r="J670" s="303"/>
    </row>
    <row r="671">
      <c r="C671" s="139"/>
      <c r="D671" s="139"/>
      <c r="F671" s="426"/>
      <c r="G671" s="303"/>
      <c r="H671" s="303"/>
      <c r="I671" s="303"/>
      <c r="J671" s="303"/>
    </row>
    <row r="672">
      <c r="C672" s="139"/>
      <c r="D672" s="139"/>
      <c r="F672" s="426"/>
      <c r="G672" s="303"/>
      <c r="H672" s="303"/>
      <c r="I672" s="303"/>
      <c r="J672" s="303"/>
    </row>
    <row r="673">
      <c r="C673" s="139"/>
      <c r="D673" s="139"/>
      <c r="F673" s="426"/>
      <c r="G673" s="303"/>
      <c r="H673" s="303"/>
      <c r="I673" s="303"/>
      <c r="J673" s="303"/>
    </row>
    <row r="674">
      <c r="C674" s="139"/>
      <c r="D674" s="139"/>
      <c r="F674" s="426"/>
      <c r="G674" s="303"/>
      <c r="H674" s="303"/>
      <c r="I674" s="303"/>
      <c r="J674" s="303"/>
    </row>
    <row r="675">
      <c r="C675" s="139"/>
      <c r="D675" s="139"/>
      <c r="F675" s="426"/>
      <c r="G675" s="303"/>
      <c r="H675" s="303"/>
      <c r="I675" s="303"/>
      <c r="J675" s="303"/>
    </row>
    <row r="676">
      <c r="C676" s="139"/>
      <c r="D676" s="139"/>
      <c r="F676" s="426"/>
      <c r="G676" s="303"/>
      <c r="H676" s="303"/>
      <c r="I676" s="303"/>
      <c r="J676" s="303"/>
    </row>
    <row r="677">
      <c r="C677" s="139"/>
      <c r="D677" s="139"/>
      <c r="F677" s="426"/>
      <c r="G677" s="303"/>
      <c r="H677" s="303"/>
      <c r="I677" s="303"/>
      <c r="J677" s="303"/>
    </row>
    <row r="678">
      <c r="C678" s="139"/>
      <c r="D678" s="139"/>
      <c r="F678" s="426"/>
      <c r="G678" s="303"/>
      <c r="H678" s="303"/>
      <c r="I678" s="303"/>
      <c r="J678" s="303"/>
    </row>
    <row r="679">
      <c r="C679" s="139"/>
      <c r="D679" s="139"/>
      <c r="F679" s="426"/>
      <c r="G679" s="303"/>
      <c r="H679" s="303"/>
      <c r="I679" s="303"/>
      <c r="J679" s="303"/>
    </row>
    <row r="680">
      <c r="C680" s="139"/>
      <c r="D680" s="139"/>
      <c r="F680" s="426"/>
      <c r="G680" s="303"/>
      <c r="H680" s="303"/>
      <c r="I680" s="303"/>
      <c r="J680" s="303"/>
    </row>
    <row r="681">
      <c r="C681" s="139"/>
      <c r="D681" s="139"/>
      <c r="F681" s="426"/>
      <c r="G681" s="303"/>
      <c r="H681" s="303"/>
      <c r="I681" s="303"/>
      <c r="J681" s="303"/>
    </row>
    <row r="682">
      <c r="C682" s="139"/>
      <c r="D682" s="139"/>
      <c r="F682" s="426"/>
      <c r="G682" s="303"/>
      <c r="H682" s="303"/>
      <c r="I682" s="303"/>
      <c r="J682" s="303"/>
    </row>
    <row r="683">
      <c r="C683" s="139"/>
      <c r="D683" s="139"/>
      <c r="F683" s="426"/>
      <c r="G683" s="303"/>
      <c r="H683" s="303"/>
      <c r="I683" s="303"/>
      <c r="J683" s="303"/>
    </row>
    <row r="684">
      <c r="C684" s="139"/>
      <c r="D684" s="139"/>
      <c r="F684" s="426"/>
      <c r="G684" s="303"/>
      <c r="H684" s="303"/>
      <c r="I684" s="303"/>
      <c r="J684" s="303"/>
    </row>
    <row r="685">
      <c r="C685" s="139"/>
      <c r="D685" s="139"/>
      <c r="F685" s="426"/>
      <c r="G685" s="303"/>
      <c r="H685" s="303"/>
      <c r="I685" s="303"/>
      <c r="J685" s="303"/>
    </row>
    <row r="686">
      <c r="C686" s="139"/>
      <c r="D686" s="139"/>
      <c r="F686" s="426"/>
      <c r="G686" s="303"/>
      <c r="H686" s="303"/>
      <c r="I686" s="303"/>
      <c r="J686" s="303"/>
    </row>
    <row r="687">
      <c r="C687" s="139"/>
      <c r="D687" s="139"/>
      <c r="F687" s="426"/>
      <c r="G687" s="303"/>
      <c r="H687" s="303"/>
      <c r="I687" s="303"/>
      <c r="J687" s="303"/>
    </row>
    <row r="688">
      <c r="C688" s="139"/>
      <c r="D688" s="139"/>
      <c r="F688" s="426"/>
      <c r="G688" s="303"/>
      <c r="H688" s="303"/>
      <c r="I688" s="303"/>
      <c r="J688" s="303"/>
    </row>
    <row r="689">
      <c r="C689" s="139"/>
      <c r="D689" s="139"/>
      <c r="F689" s="426"/>
      <c r="G689" s="303"/>
      <c r="H689" s="303"/>
      <c r="I689" s="303"/>
      <c r="J689" s="303"/>
    </row>
    <row r="690">
      <c r="C690" s="139"/>
      <c r="D690" s="139"/>
      <c r="F690" s="426"/>
      <c r="G690" s="303"/>
      <c r="H690" s="303"/>
      <c r="I690" s="303"/>
      <c r="J690" s="303"/>
    </row>
    <row r="691">
      <c r="C691" s="139"/>
      <c r="D691" s="139"/>
      <c r="F691" s="426"/>
      <c r="G691" s="303"/>
      <c r="H691" s="303"/>
      <c r="I691" s="303"/>
      <c r="J691" s="303"/>
    </row>
    <row r="692">
      <c r="C692" s="139"/>
      <c r="D692" s="139"/>
      <c r="F692" s="426"/>
      <c r="G692" s="303"/>
      <c r="H692" s="303"/>
      <c r="I692" s="303"/>
      <c r="J692" s="303"/>
    </row>
    <row r="693">
      <c r="C693" s="139"/>
      <c r="D693" s="139"/>
      <c r="F693" s="426"/>
      <c r="G693" s="303"/>
      <c r="H693" s="303"/>
      <c r="I693" s="303"/>
      <c r="J693" s="303"/>
    </row>
    <row r="694">
      <c r="C694" s="139"/>
      <c r="D694" s="139"/>
      <c r="F694" s="426"/>
      <c r="G694" s="303"/>
      <c r="H694" s="303"/>
      <c r="I694" s="303"/>
      <c r="J694" s="303"/>
    </row>
    <row r="695">
      <c r="C695" s="139"/>
      <c r="D695" s="139"/>
      <c r="F695" s="426"/>
      <c r="G695" s="303"/>
      <c r="H695" s="303"/>
      <c r="I695" s="303"/>
      <c r="J695" s="303"/>
    </row>
    <row r="696">
      <c r="C696" s="139"/>
      <c r="D696" s="139"/>
      <c r="F696" s="426"/>
      <c r="G696" s="303"/>
      <c r="H696" s="303"/>
      <c r="I696" s="303"/>
      <c r="J696" s="303"/>
    </row>
    <row r="697">
      <c r="C697" s="139"/>
      <c r="D697" s="139"/>
      <c r="F697" s="426"/>
      <c r="G697" s="303"/>
      <c r="H697" s="303"/>
      <c r="I697" s="303"/>
      <c r="J697" s="303"/>
    </row>
    <row r="698">
      <c r="C698" s="139"/>
      <c r="D698" s="139"/>
      <c r="F698" s="426"/>
      <c r="G698" s="303"/>
      <c r="H698" s="303"/>
      <c r="I698" s="303"/>
      <c r="J698" s="303"/>
    </row>
    <row r="699">
      <c r="C699" s="139"/>
      <c r="D699" s="139"/>
      <c r="F699" s="426"/>
      <c r="G699" s="303"/>
      <c r="H699" s="303"/>
      <c r="I699" s="303"/>
      <c r="J699" s="303"/>
    </row>
    <row r="700">
      <c r="C700" s="139"/>
      <c r="D700" s="139"/>
      <c r="F700" s="426"/>
      <c r="G700" s="303"/>
      <c r="H700" s="303"/>
      <c r="I700" s="303"/>
      <c r="J700" s="303"/>
    </row>
    <row r="701">
      <c r="C701" s="139"/>
      <c r="D701" s="139"/>
      <c r="F701" s="426"/>
      <c r="G701" s="303"/>
      <c r="H701" s="303"/>
      <c r="I701" s="303"/>
      <c r="J701" s="303"/>
    </row>
    <row r="702">
      <c r="C702" s="139"/>
      <c r="D702" s="139"/>
      <c r="F702" s="426"/>
      <c r="G702" s="303"/>
      <c r="H702" s="303"/>
      <c r="I702" s="303"/>
      <c r="J702" s="303"/>
    </row>
    <row r="703">
      <c r="C703" s="139"/>
      <c r="D703" s="139"/>
      <c r="F703" s="426"/>
      <c r="G703" s="303"/>
      <c r="H703" s="303"/>
      <c r="I703" s="303"/>
      <c r="J703" s="303"/>
    </row>
    <row r="704">
      <c r="C704" s="139"/>
      <c r="D704" s="139"/>
      <c r="F704" s="426"/>
      <c r="G704" s="303"/>
      <c r="H704" s="303"/>
      <c r="I704" s="303"/>
      <c r="J704" s="303"/>
    </row>
    <row r="705">
      <c r="C705" s="139"/>
      <c r="D705" s="139"/>
      <c r="F705" s="426"/>
      <c r="G705" s="303"/>
      <c r="H705" s="303"/>
      <c r="I705" s="303"/>
      <c r="J705" s="303"/>
    </row>
    <row r="706">
      <c r="C706" s="139"/>
      <c r="D706" s="139"/>
      <c r="F706" s="426"/>
      <c r="G706" s="303"/>
      <c r="H706" s="303"/>
      <c r="I706" s="303"/>
      <c r="J706" s="303"/>
    </row>
    <row r="707">
      <c r="C707" s="139"/>
      <c r="D707" s="139"/>
      <c r="F707" s="426"/>
      <c r="G707" s="303"/>
      <c r="H707" s="303"/>
      <c r="I707" s="303"/>
      <c r="J707" s="303"/>
    </row>
    <row r="708">
      <c r="C708" s="139"/>
      <c r="D708" s="139"/>
      <c r="F708" s="426"/>
      <c r="G708" s="303"/>
      <c r="H708" s="303"/>
      <c r="I708" s="303"/>
      <c r="J708" s="303"/>
    </row>
    <row r="709">
      <c r="C709" s="139"/>
      <c r="D709" s="139"/>
      <c r="F709" s="426"/>
      <c r="G709" s="303"/>
      <c r="H709" s="303"/>
      <c r="I709" s="303"/>
      <c r="J709" s="303"/>
    </row>
    <row r="710">
      <c r="C710" s="139"/>
      <c r="D710" s="139"/>
      <c r="F710" s="426"/>
      <c r="G710" s="303"/>
      <c r="H710" s="303"/>
      <c r="I710" s="303"/>
      <c r="J710" s="303"/>
    </row>
    <row r="711">
      <c r="C711" s="139"/>
      <c r="D711" s="139"/>
      <c r="F711" s="426"/>
      <c r="G711" s="303"/>
      <c r="H711" s="303"/>
      <c r="I711" s="303"/>
      <c r="J711" s="303"/>
    </row>
    <row r="712">
      <c r="C712" s="139"/>
      <c r="D712" s="139"/>
      <c r="F712" s="426"/>
      <c r="G712" s="303"/>
      <c r="H712" s="303"/>
      <c r="I712" s="303"/>
      <c r="J712" s="303"/>
    </row>
    <row r="713">
      <c r="C713" s="139"/>
      <c r="D713" s="139"/>
      <c r="F713" s="426"/>
      <c r="G713" s="303"/>
      <c r="H713" s="303"/>
      <c r="I713" s="303"/>
      <c r="J713" s="303"/>
    </row>
    <row r="714">
      <c r="C714" s="139"/>
      <c r="D714" s="139"/>
      <c r="F714" s="426"/>
      <c r="G714" s="303"/>
      <c r="H714" s="303"/>
      <c r="I714" s="303"/>
      <c r="J714" s="303"/>
    </row>
    <row r="715">
      <c r="C715" s="139"/>
      <c r="D715" s="139"/>
      <c r="F715" s="426"/>
      <c r="G715" s="303"/>
      <c r="H715" s="303"/>
      <c r="I715" s="303"/>
      <c r="J715" s="303"/>
    </row>
    <row r="716">
      <c r="C716" s="139"/>
      <c r="D716" s="139"/>
      <c r="F716" s="426"/>
      <c r="G716" s="303"/>
      <c r="H716" s="303"/>
      <c r="I716" s="303"/>
      <c r="J716" s="303"/>
    </row>
    <row r="717">
      <c r="C717" s="139"/>
      <c r="D717" s="139"/>
      <c r="F717" s="426"/>
      <c r="G717" s="303"/>
      <c r="H717" s="303"/>
      <c r="I717" s="303"/>
      <c r="J717" s="303"/>
    </row>
    <row r="718">
      <c r="C718" s="139"/>
      <c r="D718" s="139"/>
      <c r="F718" s="426"/>
      <c r="G718" s="303"/>
      <c r="H718" s="303"/>
      <c r="I718" s="303"/>
      <c r="J718" s="303"/>
    </row>
    <row r="719">
      <c r="C719" s="139"/>
      <c r="D719" s="139"/>
      <c r="F719" s="426"/>
      <c r="G719" s="303"/>
      <c r="H719" s="303"/>
      <c r="I719" s="303"/>
      <c r="J719" s="303"/>
    </row>
    <row r="720">
      <c r="C720" s="139"/>
      <c r="D720" s="139"/>
      <c r="F720" s="426"/>
      <c r="G720" s="303"/>
      <c r="H720" s="303"/>
      <c r="I720" s="303"/>
      <c r="J720" s="303"/>
    </row>
    <row r="721">
      <c r="C721" s="139"/>
      <c r="D721" s="139"/>
      <c r="F721" s="426"/>
      <c r="G721" s="303"/>
      <c r="H721" s="303"/>
      <c r="I721" s="303"/>
      <c r="J721" s="303"/>
    </row>
    <row r="722">
      <c r="C722" s="139"/>
      <c r="D722" s="139"/>
      <c r="F722" s="426"/>
      <c r="G722" s="303"/>
      <c r="H722" s="303"/>
      <c r="I722" s="303"/>
      <c r="J722" s="303"/>
    </row>
    <row r="723">
      <c r="C723" s="139"/>
      <c r="D723" s="139"/>
      <c r="F723" s="426"/>
      <c r="G723" s="303"/>
      <c r="H723" s="303"/>
      <c r="I723" s="303"/>
      <c r="J723" s="303"/>
    </row>
    <row r="724">
      <c r="C724" s="139"/>
      <c r="D724" s="139"/>
      <c r="F724" s="426"/>
      <c r="G724" s="303"/>
      <c r="H724" s="303"/>
      <c r="I724" s="303"/>
      <c r="J724" s="303"/>
    </row>
    <row r="725">
      <c r="C725" s="139"/>
      <c r="D725" s="139"/>
      <c r="F725" s="426"/>
      <c r="G725" s="303"/>
      <c r="H725" s="303"/>
      <c r="I725" s="303"/>
      <c r="J725" s="303"/>
    </row>
    <row r="726">
      <c r="C726" s="139"/>
      <c r="D726" s="139"/>
      <c r="F726" s="426"/>
      <c r="G726" s="303"/>
      <c r="H726" s="303"/>
      <c r="I726" s="303"/>
      <c r="J726" s="303"/>
    </row>
    <row r="727">
      <c r="C727" s="139"/>
      <c r="D727" s="139"/>
      <c r="F727" s="426"/>
      <c r="G727" s="303"/>
      <c r="H727" s="303"/>
      <c r="I727" s="303"/>
      <c r="J727" s="303"/>
    </row>
    <row r="728">
      <c r="C728" s="139"/>
      <c r="D728" s="139"/>
      <c r="F728" s="426"/>
      <c r="G728" s="303"/>
      <c r="H728" s="303"/>
      <c r="I728" s="303"/>
      <c r="J728" s="303"/>
    </row>
    <row r="729">
      <c r="C729" s="139"/>
      <c r="D729" s="139"/>
      <c r="F729" s="426"/>
      <c r="G729" s="303"/>
      <c r="H729" s="303"/>
      <c r="I729" s="303"/>
      <c r="J729" s="303"/>
    </row>
    <row r="730">
      <c r="C730" s="139"/>
      <c r="D730" s="139"/>
      <c r="F730" s="426"/>
      <c r="G730" s="303"/>
      <c r="H730" s="303"/>
      <c r="I730" s="303"/>
      <c r="J730" s="303"/>
    </row>
    <row r="731">
      <c r="C731" s="139"/>
      <c r="D731" s="139"/>
      <c r="F731" s="426"/>
      <c r="G731" s="303"/>
      <c r="H731" s="303"/>
      <c r="I731" s="303"/>
      <c r="J731" s="303"/>
    </row>
    <row r="732">
      <c r="C732" s="139"/>
      <c r="D732" s="139"/>
      <c r="F732" s="426"/>
      <c r="G732" s="303"/>
      <c r="H732" s="303"/>
      <c r="I732" s="303"/>
      <c r="J732" s="303"/>
    </row>
    <row r="733">
      <c r="C733" s="139"/>
      <c r="D733" s="139"/>
      <c r="F733" s="426"/>
      <c r="G733" s="303"/>
      <c r="H733" s="303"/>
      <c r="I733" s="303"/>
      <c r="J733" s="303"/>
    </row>
    <row r="734">
      <c r="C734" s="139"/>
      <c r="D734" s="139"/>
      <c r="F734" s="426"/>
      <c r="G734" s="303"/>
      <c r="H734" s="303"/>
      <c r="I734" s="303"/>
      <c r="J734" s="303"/>
    </row>
    <row r="735">
      <c r="C735" s="139"/>
      <c r="D735" s="139"/>
      <c r="F735" s="426"/>
      <c r="G735" s="303"/>
      <c r="H735" s="303"/>
      <c r="I735" s="303"/>
      <c r="J735" s="303"/>
    </row>
    <row r="736">
      <c r="C736" s="139"/>
      <c r="D736" s="139"/>
      <c r="F736" s="426"/>
      <c r="G736" s="303"/>
      <c r="H736" s="303"/>
      <c r="I736" s="303"/>
      <c r="J736" s="303"/>
    </row>
    <row r="737">
      <c r="C737" s="139"/>
      <c r="D737" s="139"/>
      <c r="F737" s="426"/>
      <c r="G737" s="303"/>
      <c r="H737" s="303"/>
      <c r="I737" s="303"/>
      <c r="J737" s="303"/>
    </row>
    <row r="738">
      <c r="C738" s="139"/>
      <c r="D738" s="139"/>
      <c r="F738" s="426"/>
      <c r="G738" s="303"/>
      <c r="H738" s="303"/>
      <c r="I738" s="303"/>
      <c r="J738" s="303"/>
    </row>
    <row r="739">
      <c r="C739" s="139"/>
      <c r="D739" s="139"/>
      <c r="F739" s="426"/>
      <c r="G739" s="303"/>
      <c r="H739" s="303"/>
      <c r="I739" s="303"/>
      <c r="J739" s="303"/>
    </row>
    <row r="740">
      <c r="C740" s="139"/>
      <c r="D740" s="139"/>
      <c r="F740" s="426"/>
      <c r="G740" s="303"/>
      <c r="H740" s="303"/>
      <c r="I740" s="303"/>
      <c r="J740" s="303"/>
    </row>
    <row r="741">
      <c r="C741" s="139"/>
      <c r="D741" s="139"/>
      <c r="F741" s="426"/>
      <c r="G741" s="303"/>
      <c r="H741" s="303"/>
      <c r="I741" s="303"/>
      <c r="J741" s="303"/>
    </row>
    <row r="742">
      <c r="C742" s="139"/>
      <c r="D742" s="139"/>
      <c r="F742" s="426"/>
      <c r="G742" s="303"/>
      <c r="H742" s="303"/>
      <c r="I742" s="303"/>
      <c r="J742" s="303"/>
    </row>
    <row r="743">
      <c r="C743" s="139"/>
      <c r="D743" s="139"/>
      <c r="F743" s="426"/>
      <c r="G743" s="303"/>
      <c r="H743" s="303"/>
      <c r="I743" s="303"/>
      <c r="J743" s="303"/>
    </row>
    <row r="744">
      <c r="C744" s="139"/>
      <c r="D744" s="139"/>
      <c r="F744" s="426"/>
      <c r="G744" s="303"/>
      <c r="H744" s="303"/>
      <c r="I744" s="303"/>
      <c r="J744" s="303"/>
    </row>
    <row r="745">
      <c r="C745" s="139"/>
      <c r="D745" s="139"/>
      <c r="F745" s="426"/>
      <c r="G745" s="303"/>
      <c r="H745" s="303"/>
      <c r="I745" s="303"/>
      <c r="J745" s="303"/>
    </row>
    <row r="746">
      <c r="C746" s="139"/>
      <c r="D746" s="139"/>
      <c r="F746" s="426"/>
      <c r="G746" s="303"/>
      <c r="H746" s="303"/>
      <c r="I746" s="303"/>
      <c r="J746" s="303"/>
    </row>
    <row r="747">
      <c r="C747" s="139"/>
      <c r="D747" s="139"/>
      <c r="F747" s="426"/>
      <c r="G747" s="303"/>
      <c r="H747" s="303"/>
      <c r="I747" s="303"/>
      <c r="J747" s="303"/>
    </row>
    <row r="748">
      <c r="C748" s="139"/>
      <c r="D748" s="139"/>
      <c r="F748" s="426"/>
      <c r="G748" s="303"/>
      <c r="H748" s="303"/>
      <c r="I748" s="303"/>
      <c r="J748" s="303"/>
    </row>
    <row r="749">
      <c r="C749" s="139"/>
      <c r="D749" s="139"/>
      <c r="F749" s="426"/>
      <c r="G749" s="303"/>
      <c r="H749" s="303"/>
      <c r="I749" s="303"/>
      <c r="J749" s="303"/>
    </row>
    <row r="750">
      <c r="C750" s="139"/>
      <c r="D750" s="139"/>
      <c r="F750" s="426"/>
      <c r="G750" s="303"/>
      <c r="H750" s="303"/>
      <c r="I750" s="303"/>
      <c r="J750" s="303"/>
    </row>
    <row r="751">
      <c r="C751" s="139"/>
      <c r="D751" s="139"/>
      <c r="F751" s="426"/>
      <c r="G751" s="303"/>
      <c r="H751" s="303"/>
      <c r="I751" s="303"/>
      <c r="J751" s="303"/>
    </row>
    <row r="752">
      <c r="C752" s="139"/>
      <c r="D752" s="139"/>
      <c r="F752" s="426"/>
      <c r="G752" s="303"/>
      <c r="H752" s="303"/>
      <c r="I752" s="303"/>
      <c r="J752" s="303"/>
    </row>
    <row r="753">
      <c r="C753" s="139"/>
      <c r="D753" s="139"/>
      <c r="F753" s="426"/>
      <c r="G753" s="303"/>
      <c r="H753" s="303"/>
      <c r="I753" s="303"/>
      <c r="J753" s="303"/>
    </row>
    <row r="754">
      <c r="C754" s="139"/>
      <c r="D754" s="139"/>
      <c r="F754" s="426"/>
      <c r="G754" s="303"/>
      <c r="H754" s="303"/>
      <c r="I754" s="303"/>
      <c r="J754" s="303"/>
    </row>
    <row r="755">
      <c r="C755" s="139"/>
      <c r="D755" s="139"/>
      <c r="F755" s="426"/>
      <c r="G755" s="303"/>
      <c r="H755" s="303"/>
      <c r="I755" s="303"/>
      <c r="J755" s="303"/>
    </row>
    <row r="756">
      <c r="C756" s="139"/>
      <c r="D756" s="139"/>
      <c r="F756" s="426"/>
      <c r="G756" s="303"/>
      <c r="H756" s="303"/>
      <c r="I756" s="303"/>
      <c r="J756" s="303"/>
    </row>
    <row r="757">
      <c r="C757" s="139"/>
      <c r="D757" s="139"/>
      <c r="F757" s="426"/>
      <c r="G757" s="303"/>
      <c r="H757" s="303"/>
      <c r="I757" s="303"/>
      <c r="J757" s="303"/>
    </row>
    <row r="758">
      <c r="C758" s="139"/>
      <c r="D758" s="139"/>
      <c r="F758" s="426"/>
      <c r="G758" s="303"/>
      <c r="H758" s="303"/>
      <c r="I758" s="303"/>
      <c r="J758" s="303"/>
    </row>
    <row r="759">
      <c r="C759" s="139"/>
      <c r="D759" s="139"/>
      <c r="F759" s="426"/>
      <c r="G759" s="303"/>
      <c r="H759" s="303"/>
      <c r="I759" s="303"/>
      <c r="J759" s="303"/>
    </row>
    <row r="760">
      <c r="C760" s="139"/>
      <c r="D760" s="139"/>
      <c r="F760" s="426"/>
      <c r="G760" s="303"/>
      <c r="H760" s="303"/>
      <c r="I760" s="303"/>
      <c r="J760" s="303"/>
    </row>
    <row r="761">
      <c r="C761" s="139"/>
      <c r="D761" s="139"/>
      <c r="F761" s="426"/>
      <c r="G761" s="303"/>
      <c r="H761" s="303"/>
      <c r="I761" s="303"/>
      <c r="J761" s="303"/>
    </row>
    <row r="762">
      <c r="C762" s="139"/>
      <c r="D762" s="139"/>
      <c r="F762" s="426"/>
      <c r="G762" s="303"/>
      <c r="H762" s="303"/>
      <c r="I762" s="303"/>
      <c r="J762" s="303"/>
    </row>
    <row r="763">
      <c r="C763" s="139"/>
      <c r="D763" s="139"/>
      <c r="F763" s="426"/>
      <c r="G763" s="303"/>
      <c r="H763" s="303"/>
      <c r="I763" s="303"/>
      <c r="J763" s="303"/>
    </row>
    <row r="764">
      <c r="C764" s="139"/>
      <c r="D764" s="139"/>
      <c r="F764" s="426"/>
      <c r="G764" s="303"/>
      <c r="H764" s="303"/>
      <c r="I764" s="303"/>
      <c r="J764" s="303"/>
    </row>
    <row r="765">
      <c r="C765" s="139"/>
      <c r="D765" s="139"/>
      <c r="F765" s="426"/>
      <c r="G765" s="303"/>
      <c r="H765" s="303"/>
      <c r="I765" s="303"/>
      <c r="J765" s="303"/>
    </row>
    <row r="766">
      <c r="C766" s="139"/>
      <c r="D766" s="139"/>
      <c r="F766" s="426"/>
      <c r="G766" s="303"/>
      <c r="H766" s="303"/>
      <c r="I766" s="303"/>
      <c r="J766" s="303"/>
    </row>
    <row r="767">
      <c r="C767" s="139"/>
      <c r="D767" s="139"/>
      <c r="F767" s="426"/>
      <c r="G767" s="303"/>
      <c r="H767" s="303"/>
      <c r="I767" s="303"/>
      <c r="J767" s="303"/>
    </row>
    <row r="768">
      <c r="C768" s="139"/>
      <c r="D768" s="139"/>
      <c r="F768" s="426"/>
      <c r="G768" s="303"/>
      <c r="H768" s="303"/>
      <c r="I768" s="303"/>
      <c r="J768" s="303"/>
    </row>
    <row r="769">
      <c r="C769" s="139"/>
      <c r="D769" s="139"/>
      <c r="F769" s="426"/>
      <c r="G769" s="303"/>
      <c r="H769" s="303"/>
      <c r="I769" s="303"/>
      <c r="J769" s="303"/>
    </row>
    <row r="770">
      <c r="C770" s="139"/>
      <c r="D770" s="139"/>
      <c r="F770" s="426"/>
      <c r="G770" s="303"/>
      <c r="H770" s="303"/>
      <c r="I770" s="303"/>
      <c r="J770" s="303"/>
    </row>
    <row r="771">
      <c r="C771" s="139"/>
      <c r="D771" s="139"/>
      <c r="F771" s="426"/>
      <c r="G771" s="303"/>
      <c r="H771" s="303"/>
      <c r="I771" s="303"/>
      <c r="J771" s="303"/>
    </row>
    <row r="772">
      <c r="C772" s="139"/>
      <c r="D772" s="139"/>
      <c r="F772" s="426"/>
      <c r="G772" s="303"/>
      <c r="H772" s="303"/>
      <c r="I772" s="303"/>
      <c r="J772" s="303"/>
    </row>
    <row r="773">
      <c r="C773" s="139"/>
      <c r="D773" s="139"/>
      <c r="F773" s="426"/>
      <c r="G773" s="303"/>
      <c r="H773" s="303"/>
      <c r="I773" s="303"/>
      <c r="J773" s="303"/>
    </row>
    <row r="774">
      <c r="C774" s="139"/>
      <c r="D774" s="139"/>
      <c r="F774" s="426"/>
      <c r="G774" s="303"/>
      <c r="H774" s="303"/>
      <c r="I774" s="303"/>
      <c r="J774" s="303"/>
    </row>
    <row r="775">
      <c r="C775" s="139"/>
      <c r="D775" s="139"/>
      <c r="F775" s="426"/>
      <c r="G775" s="303"/>
      <c r="H775" s="303"/>
      <c r="I775" s="303"/>
      <c r="J775" s="303"/>
    </row>
    <row r="776">
      <c r="C776" s="139"/>
      <c r="D776" s="139"/>
      <c r="F776" s="426"/>
      <c r="G776" s="303"/>
      <c r="H776" s="303"/>
      <c r="I776" s="303"/>
      <c r="J776" s="303"/>
    </row>
    <row r="777">
      <c r="C777" s="139"/>
      <c r="D777" s="139"/>
      <c r="F777" s="426"/>
      <c r="G777" s="303"/>
      <c r="H777" s="303"/>
      <c r="I777" s="303"/>
      <c r="J777" s="303"/>
    </row>
    <row r="778">
      <c r="C778" s="139"/>
      <c r="D778" s="139"/>
      <c r="F778" s="426"/>
      <c r="G778" s="303"/>
      <c r="H778" s="303"/>
      <c r="I778" s="303"/>
      <c r="J778" s="303"/>
    </row>
    <row r="779">
      <c r="C779" s="139"/>
      <c r="D779" s="139"/>
      <c r="F779" s="426"/>
      <c r="G779" s="303"/>
      <c r="H779" s="303"/>
      <c r="I779" s="303"/>
      <c r="J779" s="303"/>
    </row>
    <row r="780">
      <c r="C780" s="139"/>
      <c r="D780" s="139"/>
      <c r="F780" s="426"/>
      <c r="G780" s="303"/>
      <c r="H780" s="303"/>
      <c r="I780" s="303"/>
      <c r="J780" s="303"/>
    </row>
    <row r="781">
      <c r="C781" s="139"/>
      <c r="D781" s="139"/>
      <c r="F781" s="426"/>
      <c r="G781" s="303"/>
      <c r="H781" s="303"/>
      <c r="I781" s="303"/>
      <c r="J781" s="303"/>
    </row>
    <row r="782">
      <c r="C782" s="139"/>
      <c r="D782" s="139"/>
      <c r="F782" s="426"/>
      <c r="G782" s="303"/>
      <c r="H782" s="303"/>
      <c r="I782" s="303"/>
      <c r="J782" s="303"/>
    </row>
    <row r="783">
      <c r="C783" s="139"/>
      <c r="D783" s="139"/>
      <c r="F783" s="426"/>
      <c r="G783" s="303"/>
      <c r="H783" s="303"/>
      <c r="I783" s="303"/>
      <c r="J783" s="303"/>
    </row>
    <row r="784">
      <c r="C784" s="139"/>
      <c r="D784" s="139"/>
      <c r="F784" s="426"/>
      <c r="G784" s="303"/>
      <c r="H784" s="303"/>
      <c r="I784" s="303"/>
      <c r="J784" s="303"/>
    </row>
    <row r="785">
      <c r="C785" s="139"/>
      <c r="D785" s="139"/>
      <c r="F785" s="426"/>
      <c r="G785" s="303"/>
      <c r="H785" s="303"/>
      <c r="I785" s="303"/>
      <c r="J785" s="303"/>
    </row>
    <row r="786">
      <c r="C786" s="139"/>
      <c r="D786" s="139"/>
      <c r="F786" s="426"/>
      <c r="G786" s="303"/>
      <c r="H786" s="303"/>
      <c r="I786" s="303"/>
      <c r="J786" s="303"/>
    </row>
    <row r="787">
      <c r="C787" s="139"/>
      <c r="D787" s="139"/>
      <c r="F787" s="426"/>
      <c r="G787" s="303"/>
      <c r="H787" s="303"/>
      <c r="I787" s="303"/>
      <c r="J787" s="303"/>
    </row>
    <row r="788">
      <c r="C788" s="139"/>
      <c r="D788" s="139"/>
      <c r="F788" s="426"/>
      <c r="G788" s="303"/>
      <c r="H788" s="303"/>
      <c r="I788" s="303"/>
      <c r="J788" s="303"/>
    </row>
    <row r="789">
      <c r="C789" s="139"/>
      <c r="D789" s="139"/>
      <c r="F789" s="426"/>
      <c r="G789" s="303"/>
      <c r="H789" s="303"/>
      <c r="I789" s="303"/>
      <c r="J789" s="303"/>
    </row>
    <row r="790">
      <c r="C790" s="139"/>
      <c r="D790" s="139"/>
      <c r="F790" s="426"/>
      <c r="G790" s="303"/>
      <c r="H790" s="303"/>
      <c r="I790" s="303"/>
      <c r="J790" s="303"/>
    </row>
    <row r="791">
      <c r="C791" s="139"/>
      <c r="D791" s="139"/>
      <c r="F791" s="426"/>
      <c r="G791" s="303"/>
      <c r="H791" s="303"/>
      <c r="I791" s="303"/>
      <c r="J791" s="303"/>
    </row>
    <row r="792">
      <c r="C792" s="139"/>
      <c r="D792" s="139"/>
      <c r="F792" s="426"/>
      <c r="G792" s="303"/>
      <c r="H792" s="303"/>
      <c r="I792" s="303"/>
      <c r="J792" s="303"/>
    </row>
    <row r="793">
      <c r="C793" s="139"/>
      <c r="D793" s="139"/>
      <c r="F793" s="426"/>
      <c r="G793" s="303"/>
      <c r="H793" s="303"/>
      <c r="I793" s="303"/>
      <c r="J793" s="303"/>
    </row>
    <row r="794">
      <c r="C794" s="139"/>
      <c r="D794" s="139"/>
      <c r="F794" s="426"/>
      <c r="G794" s="303"/>
      <c r="H794" s="303"/>
      <c r="I794" s="303"/>
      <c r="J794" s="303"/>
    </row>
    <row r="795">
      <c r="C795" s="139"/>
      <c r="D795" s="139"/>
      <c r="F795" s="426"/>
      <c r="G795" s="303"/>
      <c r="H795" s="303"/>
      <c r="I795" s="303"/>
      <c r="J795" s="303"/>
    </row>
    <row r="796">
      <c r="C796" s="139"/>
      <c r="D796" s="139"/>
      <c r="F796" s="426"/>
      <c r="G796" s="303"/>
      <c r="H796" s="303"/>
      <c r="I796" s="303"/>
      <c r="J796" s="303"/>
    </row>
    <row r="797">
      <c r="C797" s="139"/>
      <c r="D797" s="139"/>
      <c r="F797" s="426"/>
      <c r="G797" s="303"/>
      <c r="H797" s="303"/>
      <c r="I797" s="303"/>
      <c r="J797" s="303"/>
    </row>
    <row r="798">
      <c r="C798" s="139"/>
      <c r="D798" s="139"/>
      <c r="F798" s="426"/>
      <c r="G798" s="303"/>
      <c r="H798" s="303"/>
      <c r="I798" s="303"/>
      <c r="J798" s="303"/>
    </row>
    <row r="799">
      <c r="C799" s="139"/>
      <c r="D799" s="139"/>
      <c r="F799" s="426"/>
      <c r="G799" s="303"/>
      <c r="H799" s="303"/>
      <c r="I799" s="303"/>
      <c r="J799" s="303"/>
    </row>
    <row r="800">
      <c r="C800" s="139"/>
      <c r="D800" s="139"/>
      <c r="F800" s="426"/>
      <c r="G800" s="303"/>
      <c r="H800" s="303"/>
      <c r="I800" s="303"/>
      <c r="J800" s="303"/>
    </row>
    <row r="801">
      <c r="C801" s="139"/>
      <c r="D801" s="139"/>
      <c r="F801" s="426"/>
      <c r="G801" s="303"/>
      <c r="H801" s="303"/>
      <c r="I801" s="303"/>
      <c r="J801" s="303"/>
    </row>
    <row r="802">
      <c r="C802" s="139"/>
      <c r="D802" s="139"/>
      <c r="F802" s="426"/>
      <c r="G802" s="303"/>
      <c r="H802" s="303"/>
      <c r="I802" s="303"/>
      <c r="J802" s="303"/>
    </row>
    <row r="803">
      <c r="C803" s="139"/>
      <c r="D803" s="139"/>
      <c r="F803" s="426"/>
      <c r="G803" s="303"/>
      <c r="H803" s="303"/>
      <c r="I803" s="303"/>
      <c r="J803" s="303"/>
    </row>
    <row r="804">
      <c r="C804" s="139"/>
      <c r="D804" s="139"/>
      <c r="F804" s="426"/>
      <c r="G804" s="303"/>
      <c r="H804" s="303"/>
      <c r="I804" s="303"/>
      <c r="J804" s="303"/>
    </row>
    <row r="805">
      <c r="C805" s="139"/>
      <c r="D805" s="139"/>
      <c r="F805" s="426"/>
      <c r="G805" s="303"/>
      <c r="H805" s="303"/>
      <c r="I805" s="303"/>
      <c r="J805" s="303"/>
    </row>
    <row r="806">
      <c r="C806" s="139"/>
      <c r="D806" s="139"/>
      <c r="F806" s="426"/>
      <c r="G806" s="303"/>
      <c r="H806" s="303"/>
      <c r="I806" s="303"/>
      <c r="J806" s="303"/>
    </row>
    <row r="807">
      <c r="C807" s="139"/>
      <c r="D807" s="139"/>
      <c r="F807" s="426"/>
      <c r="G807" s="303"/>
      <c r="H807" s="303"/>
      <c r="I807" s="303"/>
      <c r="J807" s="303"/>
    </row>
    <row r="808">
      <c r="C808" s="139"/>
      <c r="D808" s="139"/>
      <c r="F808" s="426"/>
      <c r="G808" s="303"/>
      <c r="H808" s="303"/>
      <c r="I808" s="303"/>
      <c r="J808" s="303"/>
    </row>
    <row r="809">
      <c r="C809" s="139"/>
      <c r="D809" s="139"/>
      <c r="F809" s="426"/>
      <c r="G809" s="303"/>
      <c r="H809" s="303"/>
      <c r="I809" s="303"/>
      <c r="J809" s="303"/>
    </row>
    <row r="810">
      <c r="C810" s="139"/>
      <c r="D810" s="139"/>
      <c r="F810" s="426"/>
      <c r="G810" s="303"/>
      <c r="H810" s="303"/>
      <c r="I810" s="303"/>
      <c r="J810" s="303"/>
    </row>
    <row r="811">
      <c r="C811" s="139"/>
      <c r="D811" s="139"/>
      <c r="F811" s="426"/>
      <c r="G811" s="303"/>
      <c r="H811" s="303"/>
      <c r="I811" s="303"/>
      <c r="J811" s="303"/>
    </row>
    <row r="812">
      <c r="C812" s="139"/>
      <c r="D812" s="139"/>
      <c r="F812" s="426"/>
      <c r="G812" s="303"/>
      <c r="H812" s="303"/>
      <c r="I812" s="303"/>
      <c r="J812" s="303"/>
    </row>
    <row r="813">
      <c r="C813" s="139"/>
      <c r="D813" s="139"/>
      <c r="F813" s="426"/>
      <c r="G813" s="303"/>
      <c r="H813" s="303"/>
      <c r="I813" s="303"/>
      <c r="J813" s="303"/>
    </row>
    <row r="814">
      <c r="C814" s="139"/>
      <c r="D814" s="139"/>
      <c r="F814" s="426"/>
      <c r="G814" s="303"/>
      <c r="H814" s="303"/>
      <c r="I814" s="303"/>
      <c r="J814" s="303"/>
    </row>
    <row r="815">
      <c r="C815" s="139"/>
      <c r="D815" s="139"/>
      <c r="F815" s="426"/>
      <c r="G815" s="303"/>
      <c r="H815" s="303"/>
      <c r="I815" s="303"/>
      <c r="J815" s="303"/>
    </row>
    <row r="816">
      <c r="C816" s="139"/>
      <c r="D816" s="139"/>
      <c r="F816" s="426"/>
      <c r="G816" s="303"/>
      <c r="H816" s="303"/>
      <c r="I816" s="303"/>
      <c r="J816" s="303"/>
    </row>
    <row r="817">
      <c r="C817" s="139"/>
      <c r="D817" s="139"/>
      <c r="F817" s="426"/>
      <c r="G817" s="303"/>
      <c r="H817" s="303"/>
      <c r="I817" s="303"/>
      <c r="J817" s="303"/>
    </row>
    <row r="818">
      <c r="C818" s="139"/>
      <c r="D818" s="139"/>
      <c r="F818" s="426"/>
      <c r="G818" s="303"/>
      <c r="H818" s="303"/>
      <c r="I818" s="303"/>
      <c r="J818" s="303"/>
    </row>
    <row r="819">
      <c r="C819" s="139"/>
      <c r="D819" s="139"/>
      <c r="F819" s="426"/>
      <c r="G819" s="303"/>
      <c r="H819" s="303"/>
      <c r="I819" s="303"/>
      <c r="J819" s="303"/>
    </row>
    <row r="820">
      <c r="C820" s="139"/>
      <c r="D820" s="139"/>
      <c r="F820" s="426"/>
      <c r="G820" s="303"/>
      <c r="H820" s="303"/>
      <c r="I820" s="303"/>
      <c r="J820" s="303"/>
    </row>
    <row r="821">
      <c r="C821" s="139"/>
      <c r="D821" s="139"/>
      <c r="F821" s="426"/>
      <c r="G821" s="303"/>
      <c r="H821" s="303"/>
      <c r="I821" s="303"/>
      <c r="J821" s="303"/>
    </row>
    <row r="822">
      <c r="C822" s="139"/>
      <c r="D822" s="139"/>
      <c r="F822" s="426"/>
      <c r="G822" s="303"/>
      <c r="H822" s="303"/>
      <c r="I822" s="303"/>
      <c r="J822" s="303"/>
    </row>
    <row r="823">
      <c r="C823" s="139"/>
      <c r="D823" s="139"/>
      <c r="F823" s="426"/>
      <c r="G823" s="303"/>
      <c r="H823" s="303"/>
      <c r="I823" s="303"/>
      <c r="J823" s="303"/>
    </row>
    <row r="824">
      <c r="C824" s="139"/>
      <c r="D824" s="139"/>
      <c r="F824" s="426"/>
      <c r="G824" s="303"/>
      <c r="H824" s="303"/>
      <c r="I824" s="303"/>
      <c r="J824" s="303"/>
    </row>
    <row r="825">
      <c r="C825" s="139"/>
      <c r="D825" s="139"/>
      <c r="F825" s="426"/>
      <c r="G825" s="303"/>
      <c r="H825" s="303"/>
      <c r="I825" s="303"/>
      <c r="J825" s="303"/>
    </row>
    <row r="826">
      <c r="C826" s="139"/>
      <c r="D826" s="139"/>
      <c r="F826" s="426"/>
      <c r="G826" s="303"/>
      <c r="H826" s="303"/>
      <c r="I826" s="303"/>
      <c r="J826" s="303"/>
    </row>
    <row r="827">
      <c r="C827" s="139"/>
      <c r="D827" s="139"/>
      <c r="F827" s="426"/>
      <c r="G827" s="303"/>
      <c r="H827" s="303"/>
      <c r="I827" s="303"/>
      <c r="J827" s="303"/>
    </row>
    <row r="828">
      <c r="C828" s="139"/>
      <c r="D828" s="139"/>
      <c r="F828" s="426"/>
      <c r="G828" s="303"/>
      <c r="H828" s="303"/>
      <c r="I828" s="303"/>
      <c r="J828" s="303"/>
    </row>
    <row r="829">
      <c r="C829" s="139"/>
      <c r="D829" s="139"/>
      <c r="F829" s="426"/>
      <c r="G829" s="303"/>
      <c r="H829" s="303"/>
      <c r="I829" s="303"/>
      <c r="J829" s="303"/>
    </row>
    <row r="830">
      <c r="C830" s="139"/>
      <c r="D830" s="139"/>
      <c r="F830" s="426"/>
      <c r="G830" s="303"/>
      <c r="H830" s="303"/>
      <c r="I830" s="303"/>
      <c r="J830" s="303"/>
    </row>
    <row r="831">
      <c r="C831" s="139"/>
      <c r="D831" s="139"/>
      <c r="F831" s="426"/>
      <c r="G831" s="303"/>
      <c r="H831" s="303"/>
      <c r="I831" s="303"/>
      <c r="J831" s="303"/>
    </row>
    <row r="832">
      <c r="C832" s="139"/>
      <c r="D832" s="139"/>
      <c r="F832" s="426"/>
      <c r="G832" s="303"/>
      <c r="H832" s="303"/>
      <c r="I832" s="303"/>
      <c r="J832" s="303"/>
    </row>
    <row r="833">
      <c r="C833" s="139"/>
      <c r="D833" s="139"/>
      <c r="F833" s="426"/>
      <c r="G833" s="303"/>
      <c r="H833" s="303"/>
      <c r="I833" s="303"/>
      <c r="J833" s="303"/>
    </row>
    <row r="834">
      <c r="C834" s="139"/>
      <c r="D834" s="139"/>
      <c r="F834" s="426"/>
      <c r="G834" s="303"/>
      <c r="H834" s="303"/>
      <c r="I834" s="303"/>
      <c r="J834" s="303"/>
    </row>
    <row r="835">
      <c r="C835" s="139"/>
      <c r="D835" s="139"/>
      <c r="F835" s="426"/>
      <c r="G835" s="303"/>
      <c r="H835" s="303"/>
      <c r="I835" s="303"/>
      <c r="J835" s="303"/>
    </row>
    <row r="836">
      <c r="C836" s="139"/>
      <c r="D836" s="139"/>
      <c r="F836" s="426"/>
      <c r="G836" s="303"/>
      <c r="H836" s="303"/>
      <c r="I836" s="303"/>
      <c r="J836" s="303"/>
    </row>
    <row r="837">
      <c r="C837" s="139"/>
      <c r="D837" s="139"/>
      <c r="F837" s="426"/>
      <c r="G837" s="303"/>
      <c r="H837" s="303"/>
      <c r="I837" s="303"/>
      <c r="J837" s="303"/>
    </row>
    <row r="838">
      <c r="C838" s="139"/>
      <c r="D838" s="139"/>
      <c r="F838" s="426"/>
      <c r="G838" s="303"/>
      <c r="H838" s="303"/>
      <c r="I838" s="303"/>
      <c r="J838" s="303"/>
    </row>
    <row r="839">
      <c r="C839" s="139"/>
      <c r="D839" s="139"/>
      <c r="F839" s="426"/>
      <c r="G839" s="303"/>
      <c r="H839" s="303"/>
      <c r="I839" s="303"/>
      <c r="J839" s="303"/>
    </row>
    <row r="840">
      <c r="C840" s="139"/>
      <c r="D840" s="139"/>
      <c r="F840" s="426"/>
      <c r="G840" s="303"/>
      <c r="H840" s="303"/>
      <c r="I840" s="303"/>
      <c r="J840" s="303"/>
    </row>
    <row r="841">
      <c r="C841" s="139"/>
      <c r="D841" s="139"/>
      <c r="F841" s="426"/>
      <c r="G841" s="303"/>
      <c r="H841" s="303"/>
      <c r="I841" s="303"/>
      <c r="J841" s="303"/>
    </row>
    <row r="842">
      <c r="C842" s="139"/>
      <c r="D842" s="139"/>
      <c r="F842" s="426"/>
      <c r="G842" s="303"/>
      <c r="H842" s="303"/>
      <c r="I842" s="303"/>
      <c r="J842" s="303"/>
    </row>
    <row r="843">
      <c r="C843" s="139"/>
      <c r="D843" s="139"/>
      <c r="F843" s="426"/>
      <c r="G843" s="303"/>
      <c r="H843" s="303"/>
      <c r="I843" s="303"/>
      <c r="J843" s="303"/>
    </row>
    <row r="844">
      <c r="C844" s="139"/>
      <c r="D844" s="139"/>
      <c r="F844" s="426"/>
      <c r="G844" s="303"/>
      <c r="H844" s="303"/>
      <c r="I844" s="303"/>
      <c r="J844" s="303"/>
    </row>
    <row r="845">
      <c r="C845" s="139"/>
      <c r="D845" s="139"/>
      <c r="F845" s="426"/>
      <c r="G845" s="303"/>
      <c r="H845" s="303"/>
      <c r="I845" s="303"/>
      <c r="J845" s="303"/>
    </row>
    <row r="846">
      <c r="C846" s="139"/>
      <c r="D846" s="139"/>
      <c r="F846" s="426"/>
      <c r="G846" s="303"/>
      <c r="H846" s="303"/>
      <c r="I846" s="303"/>
      <c r="J846" s="303"/>
    </row>
    <row r="847">
      <c r="C847" s="139"/>
      <c r="D847" s="139"/>
      <c r="F847" s="426"/>
      <c r="G847" s="303"/>
      <c r="H847" s="303"/>
      <c r="I847" s="303"/>
      <c r="J847" s="303"/>
    </row>
    <row r="848">
      <c r="C848" s="139"/>
      <c r="D848" s="139"/>
      <c r="F848" s="426"/>
      <c r="G848" s="303"/>
      <c r="H848" s="303"/>
      <c r="I848" s="303"/>
      <c r="J848" s="303"/>
    </row>
    <row r="849">
      <c r="C849" s="139"/>
      <c r="D849" s="139"/>
      <c r="F849" s="426"/>
      <c r="G849" s="303"/>
      <c r="H849" s="303"/>
      <c r="I849" s="303"/>
      <c r="J849" s="303"/>
    </row>
    <row r="850">
      <c r="C850" s="139"/>
      <c r="D850" s="139"/>
      <c r="F850" s="426"/>
      <c r="G850" s="303"/>
      <c r="H850" s="303"/>
      <c r="I850" s="303"/>
      <c r="J850" s="303"/>
    </row>
    <row r="851">
      <c r="C851" s="139"/>
      <c r="D851" s="139"/>
      <c r="F851" s="426"/>
      <c r="G851" s="303"/>
      <c r="H851" s="303"/>
      <c r="I851" s="303"/>
      <c r="J851" s="303"/>
    </row>
    <row r="852">
      <c r="C852" s="139"/>
      <c r="D852" s="139"/>
      <c r="F852" s="426"/>
      <c r="G852" s="303"/>
      <c r="H852" s="303"/>
      <c r="I852" s="303"/>
      <c r="J852" s="303"/>
    </row>
    <row r="853">
      <c r="C853" s="139"/>
      <c r="D853" s="139"/>
      <c r="F853" s="426"/>
      <c r="G853" s="303"/>
      <c r="H853" s="303"/>
      <c r="I853" s="303"/>
      <c r="J853" s="303"/>
    </row>
    <row r="854">
      <c r="C854" s="139"/>
      <c r="D854" s="139"/>
      <c r="F854" s="426"/>
      <c r="G854" s="303"/>
      <c r="H854" s="303"/>
      <c r="I854" s="303"/>
      <c r="J854" s="303"/>
    </row>
    <row r="855">
      <c r="C855" s="139"/>
      <c r="D855" s="139"/>
      <c r="F855" s="426"/>
      <c r="G855" s="303"/>
      <c r="H855" s="303"/>
      <c r="I855" s="303"/>
      <c r="J855" s="303"/>
    </row>
    <row r="856">
      <c r="C856" s="139"/>
      <c r="D856" s="139"/>
      <c r="F856" s="426"/>
      <c r="G856" s="303"/>
      <c r="H856" s="303"/>
      <c r="I856" s="303"/>
      <c r="J856" s="303"/>
    </row>
    <row r="857">
      <c r="C857" s="139"/>
      <c r="D857" s="139"/>
      <c r="F857" s="426"/>
      <c r="G857" s="303"/>
      <c r="H857" s="303"/>
      <c r="I857" s="303"/>
      <c r="J857" s="303"/>
    </row>
    <row r="858">
      <c r="C858" s="139"/>
      <c r="D858" s="139"/>
      <c r="F858" s="426"/>
      <c r="G858" s="303"/>
      <c r="H858" s="303"/>
      <c r="I858" s="303"/>
      <c r="J858" s="303"/>
    </row>
    <row r="859">
      <c r="C859" s="139"/>
      <c r="D859" s="139"/>
      <c r="F859" s="426"/>
      <c r="G859" s="303"/>
      <c r="H859" s="303"/>
      <c r="I859" s="303"/>
      <c r="J859" s="303"/>
    </row>
    <row r="860">
      <c r="C860" s="139"/>
      <c r="D860" s="139"/>
      <c r="F860" s="426"/>
      <c r="G860" s="303"/>
      <c r="H860" s="303"/>
      <c r="I860" s="303"/>
      <c r="J860" s="303"/>
    </row>
    <row r="861">
      <c r="C861" s="139"/>
      <c r="D861" s="139"/>
      <c r="F861" s="426"/>
      <c r="G861" s="303"/>
      <c r="H861" s="303"/>
      <c r="I861" s="303"/>
      <c r="J861" s="303"/>
    </row>
    <row r="862">
      <c r="C862" s="139"/>
      <c r="D862" s="139"/>
      <c r="F862" s="426"/>
      <c r="G862" s="303"/>
      <c r="H862" s="303"/>
      <c r="I862" s="303"/>
      <c r="J862" s="303"/>
    </row>
    <row r="863">
      <c r="C863" s="139"/>
      <c r="D863" s="139"/>
      <c r="F863" s="426"/>
      <c r="G863" s="303"/>
      <c r="H863" s="303"/>
      <c r="I863" s="303"/>
      <c r="J863" s="303"/>
    </row>
    <row r="864">
      <c r="C864" s="139"/>
      <c r="D864" s="139"/>
      <c r="F864" s="426"/>
      <c r="G864" s="303"/>
      <c r="H864" s="303"/>
      <c r="I864" s="303"/>
      <c r="J864" s="303"/>
    </row>
    <row r="865">
      <c r="C865" s="139"/>
      <c r="D865" s="139"/>
      <c r="F865" s="426"/>
      <c r="G865" s="303"/>
      <c r="H865" s="303"/>
      <c r="I865" s="303"/>
      <c r="J865" s="303"/>
    </row>
    <row r="866">
      <c r="C866" s="139"/>
      <c r="D866" s="139"/>
      <c r="F866" s="426"/>
      <c r="G866" s="303"/>
      <c r="H866" s="303"/>
      <c r="I866" s="303"/>
      <c r="J866" s="303"/>
    </row>
    <row r="867">
      <c r="C867" s="139"/>
      <c r="D867" s="139"/>
      <c r="F867" s="426"/>
      <c r="G867" s="303"/>
      <c r="H867" s="303"/>
      <c r="I867" s="303"/>
      <c r="J867" s="303"/>
    </row>
    <row r="868">
      <c r="C868" s="139"/>
      <c r="D868" s="139"/>
      <c r="F868" s="426"/>
      <c r="G868" s="303"/>
      <c r="H868" s="303"/>
      <c r="I868" s="303"/>
      <c r="J868" s="303"/>
    </row>
    <row r="869">
      <c r="C869" s="139"/>
      <c r="D869" s="139"/>
      <c r="F869" s="426"/>
      <c r="G869" s="303"/>
      <c r="H869" s="303"/>
      <c r="I869" s="303"/>
      <c r="J869" s="303"/>
    </row>
    <row r="870">
      <c r="C870" s="139"/>
      <c r="D870" s="139"/>
      <c r="F870" s="426"/>
      <c r="G870" s="303"/>
      <c r="H870" s="303"/>
      <c r="I870" s="303"/>
      <c r="J870" s="303"/>
    </row>
    <row r="871">
      <c r="C871" s="139"/>
      <c r="D871" s="139"/>
      <c r="F871" s="426"/>
      <c r="G871" s="303"/>
      <c r="H871" s="303"/>
      <c r="I871" s="303"/>
      <c r="J871" s="303"/>
    </row>
    <row r="872">
      <c r="C872" s="139"/>
      <c r="D872" s="139"/>
      <c r="F872" s="426"/>
      <c r="G872" s="303"/>
      <c r="H872" s="303"/>
      <c r="I872" s="303"/>
      <c r="J872" s="303"/>
    </row>
    <row r="873">
      <c r="C873" s="139"/>
      <c r="D873" s="139"/>
      <c r="F873" s="426"/>
      <c r="G873" s="303"/>
      <c r="H873" s="303"/>
      <c r="I873" s="303"/>
      <c r="J873" s="303"/>
    </row>
    <row r="874">
      <c r="C874" s="139"/>
      <c r="D874" s="139"/>
      <c r="F874" s="426"/>
      <c r="G874" s="303"/>
      <c r="H874" s="303"/>
      <c r="I874" s="303"/>
      <c r="J874" s="303"/>
    </row>
    <row r="875">
      <c r="C875" s="139"/>
      <c r="D875" s="139"/>
      <c r="F875" s="426"/>
      <c r="G875" s="303"/>
      <c r="H875" s="303"/>
      <c r="I875" s="303"/>
      <c r="J875" s="303"/>
    </row>
    <row r="876">
      <c r="C876" s="139"/>
      <c r="D876" s="139"/>
      <c r="F876" s="426"/>
      <c r="G876" s="303"/>
      <c r="H876" s="303"/>
      <c r="I876" s="303"/>
      <c r="J876" s="303"/>
    </row>
    <row r="877">
      <c r="C877" s="139"/>
      <c r="D877" s="139"/>
      <c r="F877" s="426"/>
      <c r="G877" s="303"/>
      <c r="H877" s="303"/>
      <c r="I877" s="303"/>
      <c r="J877" s="303"/>
    </row>
    <row r="878">
      <c r="C878" s="139"/>
      <c r="D878" s="139"/>
      <c r="F878" s="426"/>
      <c r="G878" s="303"/>
      <c r="H878" s="303"/>
      <c r="I878" s="303"/>
      <c r="J878" s="303"/>
    </row>
    <row r="879">
      <c r="C879" s="139"/>
      <c r="D879" s="139"/>
      <c r="F879" s="426"/>
      <c r="G879" s="303"/>
      <c r="H879" s="303"/>
      <c r="I879" s="303"/>
      <c r="J879" s="303"/>
    </row>
    <row r="880">
      <c r="C880" s="139"/>
      <c r="D880" s="139"/>
      <c r="F880" s="426"/>
      <c r="G880" s="303"/>
      <c r="H880" s="303"/>
      <c r="I880" s="303"/>
      <c r="J880" s="303"/>
    </row>
    <row r="881">
      <c r="C881" s="139"/>
      <c r="D881" s="139"/>
      <c r="F881" s="426"/>
      <c r="G881" s="303"/>
      <c r="H881" s="303"/>
      <c r="I881" s="303"/>
      <c r="J881" s="303"/>
    </row>
    <row r="882">
      <c r="C882" s="139"/>
      <c r="D882" s="139"/>
      <c r="F882" s="426"/>
      <c r="G882" s="303"/>
      <c r="H882" s="303"/>
      <c r="I882" s="303"/>
      <c r="J882" s="303"/>
    </row>
    <row r="883">
      <c r="C883" s="139"/>
      <c r="D883" s="139"/>
      <c r="F883" s="426"/>
      <c r="G883" s="303"/>
      <c r="H883" s="303"/>
      <c r="I883" s="303"/>
      <c r="J883" s="303"/>
    </row>
    <row r="884">
      <c r="C884" s="139"/>
      <c r="D884" s="139"/>
      <c r="F884" s="426"/>
      <c r="G884" s="303"/>
      <c r="H884" s="303"/>
      <c r="I884" s="303"/>
      <c r="J884" s="303"/>
    </row>
    <row r="885">
      <c r="C885" s="139"/>
      <c r="D885" s="139"/>
      <c r="F885" s="426"/>
      <c r="G885" s="303"/>
      <c r="H885" s="303"/>
      <c r="I885" s="303"/>
      <c r="J885" s="303"/>
    </row>
    <row r="886">
      <c r="C886" s="139"/>
      <c r="D886" s="139"/>
      <c r="F886" s="426"/>
      <c r="G886" s="303"/>
      <c r="H886" s="303"/>
      <c r="I886" s="303"/>
      <c r="J886" s="303"/>
    </row>
    <row r="887">
      <c r="C887" s="139"/>
      <c r="D887" s="139"/>
      <c r="F887" s="426"/>
      <c r="G887" s="303"/>
      <c r="H887" s="303"/>
      <c r="I887" s="303"/>
      <c r="J887" s="303"/>
    </row>
    <row r="888">
      <c r="C888" s="139"/>
      <c r="D888" s="139"/>
      <c r="F888" s="426"/>
      <c r="G888" s="303"/>
      <c r="H888" s="303"/>
      <c r="I888" s="303"/>
      <c r="J888" s="303"/>
    </row>
    <row r="889">
      <c r="C889" s="139"/>
      <c r="D889" s="139"/>
      <c r="F889" s="426"/>
      <c r="G889" s="303"/>
      <c r="H889" s="303"/>
      <c r="I889" s="303"/>
      <c r="J889" s="303"/>
    </row>
    <row r="890">
      <c r="C890" s="139"/>
      <c r="D890" s="139"/>
      <c r="F890" s="426"/>
      <c r="G890" s="303"/>
      <c r="H890" s="303"/>
      <c r="I890" s="303"/>
      <c r="J890" s="303"/>
    </row>
    <row r="891">
      <c r="C891" s="139"/>
      <c r="D891" s="139"/>
      <c r="F891" s="426"/>
      <c r="G891" s="303"/>
      <c r="H891" s="303"/>
      <c r="I891" s="303"/>
      <c r="J891" s="303"/>
    </row>
    <row r="892">
      <c r="C892" s="139"/>
      <c r="D892" s="139"/>
      <c r="F892" s="426"/>
      <c r="G892" s="303"/>
      <c r="H892" s="303"/>
      <c r="I892" s="303"/>
      <c r="J892" s="303"/>
    </row>
    <row r="893">
      <c r="C893" s="139"/>
      <c r="D893" s="139"/>
      <c r="F893" s="426"/>
      <c r="G893" s="303"/>
      <c r="H893" s="303"/>
      <c r="I893" s="303"/>
      <c r="J893" s="303"/>
    </row>
    <row r="894">
      <c r="C894" s="139"/>
      <c r="D894" s="139"/>
      <c r="F894" s="426"/>
      <c r="G894" s="303"/>
      <c r="H894" s="303"/>
      <c r="I894" s="303"/>
      <c r="J894" s="303"/>
    </row>
    <row r="895">
      <c r="C895" s="139"/>
      <c r="D895" s="139"/>
      <c r="F895" s="426"/>
      <c r="G895" s="303"/>
      <c r="H895" s="303"/>
      <c r="I895" s="303"/>
      <c r="J895" s="303"/>
    </row>
    <row r="896">
      <c r="C896" s="139"/>
      <c r="D896" s="139"/>
      <c r="F896" s="426"/>
      <c r="G896" s="303"/>
      <c r="H896" s="303"/>
      <c r="I896" s="303"/>
      <c r="J896" s="303"/>
    </row>
    <row r="897">
      <c r="C897" s="139"/>
      <c r="D897" s="139"/>
      <c r="F897" s="426"/>
      <c r="G897" s="303"/>
      <c r="H897" s="303"/>
      <c r="I897" s="303"/>
      <c r="J897" s="303"/>
    </row>
    <row r="898">
      <c r="C898" s="139"/>
      <c r="D898" s="139"/>
      <c r="F898" s="426"/>
      <c r="G898" s="303"/>
      <c r="H898" s="303"/>
      <c r="I898" s="303"/>
      <c r="J898" s="303"/>
    </row>
    <row r="899">
      <c r="C899" s="139"/>
      <c r="D899" s="139"/>
      <c r="F899" s="426"/>
      <c r="G899" s="303"/>
      <c r="H899" s="303"/>
      <c r="I899" s="303"/>
      <c r="J899" s="303"/>
    </row>
    <row r="900">
      <c r="C900" s="139"/>
      <c r="D900" s="139"/>
      <c r="F900" s="426"/>
      <c r="G900" s="303"/>
      <c r="H900" s="303"/>
      <c r="I900" s="303"/>
      <c r="J900" s="303"/>
    </row>
    <row r="901">
      <c r="C901" s="139"/>
      <c r="D901" s="139"/>
      <c r="F901" s="426"/>
      <c r="G901" s="303"/>
      <c r="H901" s="303"/>
      <c r="I901" s="303"/>
      <c r="J901" s="303"/>
    </row>
    <row r="902">
      <c r="C902" s="139"/>
      <c r="D902" s="139"/>
      <c r="F902" s="426"/>
      <c r="G902" s="303"/>
      <c r="H902" s="303"/>
      <c r="I902" s="303"/>
      <c r="J902" s="303"/>
    </row>
    <row r="903">
      <c r="C903" s="139"/>
      <c r="D903" s="139"/>
      <c r="F903" s="426"/>
      <c r="G903" s="303"/>
      <c r="H903" s="303"/>
      <c r="I903" s="303"/>
      <c r="J903" s="303"/>
    </row>
    <row r="904">
      <c r="C904" s="139"/>
      <c r="D904" s="139"/>
      <c r="F904" s="426"/>
      <c r="G904" s="303"/>
      <c r="H904" s="303"/>
      <c r="I904" s="303"/>
      <c r="J904" s="303"/>
    </row>
    <row r="905">
      <c r="C905" s="139"/>
      <c r="D905" s="139"/>
      <c r="F905" s="426"/>
      <c r="G905" s="303"/>
      <c r="H905" s="303"/>
      <c r="I905" s="303"/>
      <c r="J905" s="303"/>
    </row>
    <row r="906">
      <c r="C906" s="139"/>
      <c r="D906" s="139"/>
      <c r="F906" s="426"/>
      <c r="G906" s="303"/>
      <c r="H906" s="303"/>
      <c r="I906" s="303"/>
      <c r="J906" s="303"/>
    </row>
    <row r="907">
      <c r="C907" s="139"/>
      <c r="D907" s="139"/>
      <c r="F907" s="426"/>
      <c r="G907" s="303"/>
      <c r="H907" s="303"/>
      <c r="I907" s="303"/>
      <c r="J907" s="303"/>
    </row>
    <row r="908">
      <c r="C908" s="139"/>
      <c r="D908" s="139"/>
      <c r="F908" s="426"/>
      <c r="G908" s="303"/>
      <c r="H908" s="303"/>
      <c r="I908" s="303"/>
      <c r="J908" s="303"/>
    </row>
    <row r="909">
      <c r="C909" s="139"/>
      <c r="D909" s="139"/>
      <c r="F909" s="426"/>
      <c r="G909" s="303"/>
      <c r="H909" s="303"/>
      <c r="I909" s="303"/>
      <c r="J909" s="303"/>
    </row>
    <row r="910">
      <c r="C910" s="139"/>
      <c r="D910" s="139"/>
      <c r="F910" s="426"/>
      <c r="G910" s="303"/>
      <c r="H910" s="303"/>
      <c r="I910" s="303"/>
      <c r="J910" s="303"/>
    </row>
    <row r="911">
      <c r="C911" s="139"/>
      <c r="D911" s="139"/>
      <c r="F911" s="426"/>
      <c r="G911" s="303"/>
      <c r="H911" s="303"/>
      <c r="I911" s="303"/>
      <c r="J911" s="303"/>
    </row>
    <row r="912">
      <c r="C912" s="139"/>
      <c r="D912" s="139"/>
      <c r="F912" s="426"/>
      <c r="G912" s="303"/>
      <c r="H912" s="303"/>
      <c r="I912" s="303"/>
      <c r="J912" s="303"/>
    </row>
    <row r="913">
      <c r="C913" s="139"/>
      <c r="D913" s="139"/>
      <c r="F913" s="426"/>
      <c r="G913" s="303"/>
      <c r="H913" s="303"/>
      <c r="I913" s="303"/>
      <c r="J913" s="303"/>
    </row>
    <row r="914">
      <c r="C914" s="139"/>
      <c r="D914" s="139"/>
      <c r="F914" s="426"/>
      <c r="G914" s="303"/>
      <c r="H914" s="303"/>
      <c r="I914" s="303"/>
      <c r="J914" s="303"/>
    </row>
    <row r="915">
      <c r="C915" s="139"/>
      <c r="D915" s="139"/>
      <c r="F915" s="426"/>
      <c r="G915" s="303"/>
      <c r="H915" s="303"/>
      <c r="I915" s="303"/>
      <c r="J915" s="303"/>
    </row>
    <row r="916">
      <c r="C916" s="139"/>
      <c r="D916" s="139"/>
      <c r="F916" s="426"/>
      <c r="G916" s="303"/>
      <c r="H916" s="303"/>
      <c r="I916" s="303"/>
      <c r="J916" s="303"/>
    </row>
    <row r="917">
      <c r="C917" s="139"/>
      <c r="D917" s="139"/>
      <c r="F917" s="426"/>
      <c r="G917" s="303"/>
      <c r="H917" s="303"/>
      <c r="I917" s="303"/>
      <c r="J917" s="303"/>
    </row>
    <row r="918">
      <c r="C918" s="139"/>
      <c r="D918" s="139"/>
      <c r="F918" s="426"/>
      <c r="G918" s="303"/>
      <c r="H918" s="303"/>
      <c r="I918" s="303"/>
      <c r="J918" s="303"/>
    </row>
    <row r="919">
      <c r="C919" s="139"/>
      <c r="D919" s="139"/>
      <c r="F919" s="426"/>
      <c r="G919" s="303"/>
      <c r="H919" s="303"/>
      <c r="I919" s="303"/>
      <c r="J919" s="303"/>
    </row>
    <row r="920">
      <c r="C920" s="139"/>
      <c r="D920" s="139"/>
      <c r="F920" s="426"/>
      <c r="G920" s="303"/>
      <c r="H920" s="303"/>
      <c r="I920" s="303"/>
      <c r="J920" s="303"/>
    </row>
    <row r="921">
      <c r="C921" s="139"/>
      <c r="D921" s="139"/>
      <c r="F921" s="426"/>
      <c r="G921" s="303"/>
      <c r="H921" s="303"/>
      <c r="I921" s="303"/>
      <c r="J921" s="303"/>
    </row>
    <row r="922">
      <c r="C922" s="139"/>
      <c r="D922" s="139"/>
      <c r="F922" s="426"/>
      <c r="G922" s="303"/>
      <c r="H922" s="303"/>
      <c r="I922" s="303"/>
      <c r="J922" s="303"/>
    </row>
    <row r="923">
      <c r="C923" s="139"/>
      <c r="D923" s="139"/>
      <c r="F923" s="426"/>
      <c r="G923" s="303"/>
      <c r="H923" s="303"/>
      <c r="I923" s="303"/>
      <c r="J923" s="303"/>
    </row>
    <row r="924">
      <c r="C924" s="139"/>
      <c r="D924" s="139"/>
      <c r="F924" s="426"/>
      <c r="G924" s="303"/>
      <c r="H924" s="303"/>
      <c r="I924" s="303"/>
      <c r="J924" s="303"/>
    </row>
    <row r="925">
      <c r="C925" s="139"/>
      <c r="D925" s="139"/>
      <c r="F925" s="426"/>
      <c r="G925" s="303"/>
      <c r="H925" s="303"/>
      <c r="I925" s="303"/>
      <c r="J925" s="303"/>
    </row>
    <row r="926">
      <c r="C926" s="139"/>
      <c r="D926" s="139"/>
      <c r="F926" s="426"/>
      <c r="G926" s="303"/>
      <c r="H926" s="303"/>
      <c r="I926" s="303"/>
      <c r="J926" s="303"/>
    </row>
    <row r="927">
      <c r="C927" s="139"/>
      <c r="D927" s="139"/>
      <c r="F927" s="426"/>
      <c r="G927" s="303"/>
      <c r="H927" s="303"/>
      <c r="I927" s="303"/>
      <c r="J927" s="303"/>
    </row>
    <row r="928">
      <c r="C928" s="139"/>
      <c r="D928" s="139"/>
      <c r="F928" s="426"/>
      <c r="G928" s="303"/>
      <c r="H928" s="303"/>
      <c r="I928" s="303"/>
      <c r="J928" s="303"/>
    </row>
    <row r="929">
      <c r="C929" s="139"/>
      <c r="D929" s="139"/>
      <c r="F929" s="426"/>
      <c r="G929" s="303"/>
      <c r="H929" s="303"/>
      <c r="I929" s="303"/>
      <c r="J929" s="303"/>
    </row>
    <row r="930">
      <c r="C930" s="139"/>
      <c r="D930" s="139"/>
      <c r="F930" s="426"/>
      <c r="G930" s="303"/>
      <c r="H930" s="303"/>
      <c r="I930" s="303"/>
      <c r="J930" s="303"/>
    </row>
    <row r="931">
      <c r="C931" s="139"/>
      <c r="D931" s="139"/>
      <c r="F931" s="426"/>
      <c r="G931" s="303"/>
      <c r="H931" s="303"/>
      <c r="I931" s="303"/>
      <c r="J931" s="303"/>
    </row>
    <row r="932">
      <c r="C932" s="139"/>
      <c r="D932" s="139"/>
      <c r="F932" s="426"/>
      <c r="G932" s="303"/>
      <c r="H932" s="303"/>
      <c r="I932" s="303"/>
      <c r="J932" s="303"/>
    </row>
    <row r="933">
      <c r="C933" s="139"/>
      <c r="D933" s="139"/>
      <c r="F933" s="426"/>
      <c r="G933" s="303"/>
      <c r="H933" s="303"/>
      <c r="I933" s="303"/>
      <c r="J933" s="303"/>
    </row>
    <row r="934">
      <c r="C934" s="139"/>
      <c r="D934" s="139"/>
      <c r="F934" s="426"/>
      <c r="G934" s="303"/>
      <c r="H934" s="303"/>
      <c r="I934" s="303"/>
      <c r="J934" s="303"/>
    </row>
    <row r="935">
      <c r="C935" s="139"/>
      <c r="D935" s="139"/>
      <c r="F935" s="426"/>
      <c r="G935" s="303"/>
      <c r="H935" s="303"/>
      <c r="I935" s="303"/>
      <c r="J935" s="303"/>
    </row>
    <row r="936">
      <c r="C936" s="139"/>
      <c r="D936" s="139"/>
      <c r="F936" s="426"/>
      <c r="G936" s="303"/>
      <c r="H936" s="303"/>
      <c r="I936" s="303"/>
      <c r="J936" s="303"/>
    </row>
    <row r="937">
      <c r="C937" s="139"/>
      <c r="D937" s="139"/>
      <c r="F937" s="426"/>
      <c r="G937" s="303"/>
      <c r="H937" s="303"/>
      <c r="I937" s="303"/>
      <c r="J937" s="303"/>
    </row>
    <row r="938">
      <c r="C938" s="139"/>
      <c r="D938" s="139"/>
      <c r="F938" s="426"/>
      <c r="G938" s="303"/>
      <c r="H938" s="303"/>
      <c r="I938" s="303"/>
      <c r="J938" s="303"/>
    </row>
    <row r="939">
      <c r="C939" s="139"/>
      <c r="D939" s="139"/>
      <c r="F939" s="426"/>
      <c r="G939" s="303"/>
      <c r="H939" s="303"/>
      <c r="I939" s="303"/>
      <c r="J939" s="303"/>
    </row>
    <row r="940">
      <c r="C940" s="139"/>
      <c r="D940" s="139"/>
      <c r="F940" s="426"/>
      <c r="G940" s="303"/>
      <c r="H940" s="303"/>
      <c r="I940" s="303"/>
      <c r="J940" s="303"/>
    </row>
    <row r="941">
      <c r="C941" s="139"/>
      <c r="D941" s="139"/>
      <c r="F941" s="426"/>
      <c r="G941" s="303"/>
      <c r="H941" s="303"/>
      <c r="I941" s="303"/>
      <c r="J941" s="303"/>
    </row>
    <row r="942">
      <c r="C942" s="139"/>
      <c r="D942" s="139"/>
      <c r="F942" s="426"/>
      <c r="G942" s="303"/>
      <c r="H942" s="303"/>
      <c r="I942" s="303"/>
      <c r="J942" s="303"/>
    </row>
    <row r="943">
      <c r="C943" s="139"/>
      <c r="D943" s="139"/>
      <c r="F943" s="426"/>
      <c r="G943" s="303"/>
      <c r="H943" s="303"/>
      <c r="I943" s="303"/>
      <c r="J943" s="303"/>
    </row>
    <row r="944">
      <c r="C944" s="139"/>
      <c r="D944" s="139"/>
      <c r="F944" s="426"/>
      <c r="G944" s="303"/>
      <c r="H944" s="303"/>
      <c r="I944" s="303"/>
      <c r="J944" s="303"/>
    </row>
    <row r="945">
      <c r="C945" s="139"/>
      <c r="D945" s="139"/>
      <c r="F945" s="426"/>
      <c r="G945" s="303"/>
      <c r="H945" s="303"/>
      <c r="I945" s="303"/>
      <c r="J945" s="303"/>
    </row>
    <row r="946">
      <c r="C946" s="139"/>
      <c r="D946" s="139"/>
      <c r="F946" s="426"/>
      <c r="G946" s="303"/>
      <c r="H946" s="303"/>
      <c r="I946" s="303"/>
      <c r="J946" s="303"/>
    </row>
    <row r="947">
      <c r="C947" s="139"/>
      <c r="D947" s="139"/>
      <c r="F947" s="426"/>
      <c r="G947" s="303"/>
      <c r="H947" s="303"/>
      <c r="I947" s="303"/>
      <c r="J947" s="303"/>
    </row>
    <row r="948">
      <c r="C948" s="139"/>
      <c r="D948" s="139"/>
      <c r="F948" s="426"/>
      <c r="G948" s="303"/>
      <c r="H948" s="303"/>
      <c r="I948" s="303"/>
      <c r="J948" s="303"/>
    </row>
    <row r="949">
      <c r="C949" s="139"/>
      <c r="D949" s="139"/>
      <c r="F949" s="426"/>
      <c r="G949" s="303"/>
      <c r="H949" s="303"/>
      <c r="I949" s="303"/>
      <c r="J949" s="303"/>
    </row>
    <row r="950">
      <c r="C950" s="139"/>
      <c r="D950" s="139"/>
      <c r="F950" s="426"/>
      <c r="G950" s="303"/>
      <c r="H950" s="303"/>
      <c r="I950" s="303"/>
      <c r="J950" s="303"/>
    </row>
    <row r="951">
      <c r="C951" s="139"/>
      <c r="D951" s="139"/>
      <c r="F951" s="426"/>
      <c r="G951" s="303"/>
      <c r="H951" s="303"/>
      <c r="I951" s="303"/>
      <c r="J951" s="303"/>
    </row>
    <row r="952">
      <c r="C952" s="139"/>
      <c r="D952" s="139"/>
      <c r="F952" s="426"/>
      <c r="G952" s="303"/>
      <c r="H952" s="303"/>
      <c r="I952" s="303"/>
      <c r="J952" s="303"/>
    </row>
    <row r="953">
      <c r="C953" s="139"/>
      <c r="D953" s="139"/>
      <c r="F953" s="426"/>
      <c r="G953" s="303"/>
      <c r="H953" s="303"/>
      <c r="I953" s="303"/>
      <c r="J953" s="303"/>
    </row>
    <row r="954">
      <c r="C954" s="139"/>
      <c r="D954" s="139"/>
      <c r="F954" s="426"/>
      <c r="G954" s="303"/>
      <c r="H954" s="303"/>
      <c r="I954" s="303"/>
      <c r="J954" s="303"/>
    </row>
    <row r="955">
      <c r="C955" s="139"/>
      <c r="D955" s="139"/>
      <c r="F955" s="426"/>
      <c r="G955" s="303"/>
      <c r="H955" s="303"/>
      <c r="I955" s="303"/>
      <c r="J955" s="303"/>
    </row>
    <row r="956">
      <c r="C956" s="139"/>
      <c r="D956" s="139"/>
      <c r="F956" s="426"/>
      <c r="G956" s="303"/>
      <c r="H956" s="303"/>
      <c r="I956" s="303"/>
      <c r="J956" s="303"/>
    </row>
    <row r="957">
      <c r="C957" s="139"/>
      <c r="D957" s="139"/>
      <c r="F957" s="426"/>
      <c r="G957" s="303"/>
      <c r="H957" s="303"/>
      <c r="I957" s="303"/>
      <c r="J957" s="303"/>
    </row>
    <row r="958">
      <c r="C958" s="139"/>
      <c r="D958" s="139"/>
      <c r="F958" s="426"/>
      <c r="G958" s="303"/>
      <c r="H958" s="303"/>
      <c r="I958" s="303"/>
      <c r="J958" s="303"/>
    </row>
    <row r="959">
      <c r="C959" s="139"/>
      <c r="D959" s="139"/>
      <c r="F959" s="426"/>
      <c r="G959" s="303"/>
      <c r="H959" s="303"/>
      <c r="I959" s="303"/>
      <c r="J959" s="303"/>
    </row>
    <row r="960">
      <c r="C960" s="139"/>
      <c r="D960" s="139"/>
      <c r="F960" s="426"/>
      <c r="G960" s="303"/>
      <c r="H960" s="303"/>
      <c r="I960" s="303"/>
      <c r="J960" s="303"/>
    </row>
    <row r="961">
      <c r="C961" s="139"/>
      <c r="D961" s="139"/>
      <c r="F961" s="426"/>
      <c r="G961" s="303"/>
      <c r="H961" s="303"/>
      <c r="I961" s="303"/>
      <c r="J961" s="303"/>
    </row>
    <row r="962">
      <c r="C962" s="139"/>
      <c r="D962" s="139"/>
      <c r="F962" s="426"/>
      <c r="G962" s="303"/>
      <c r="H962" s="303"/>
      <c r="I962" s="303"/>
      <c r="J962" s="303"/>
    </row>
    <row r="963">
      <c r="C963" s="139"/>
      <c r="D963" s="139"/>
      <c r="F963" s="426"/>
      <c r="G963" s="303"/>
      <c r="H963" s="303"/>
      <c r="I963" s="303"/>
      <c r="J963" s="303"/>
    </row>
    <row r="964">
      <c r="C964" s="139"/>
      <c r="D964" s="139"/>
      <c r="F964" s="426"/>
      <c r="G964" s="303"/>
      <c r="H964" s="303"/>
      <c r="I964" s="303"/>
      <c r="J964" s="303"/>
    </row>
    <row r="965">
      <c r="C965" s="139"/>
      <c r="D965" s="139"/>
      <c r="F965" s="426"/>
      <c r="G965" s="303"/>
      <c r="H965" s="303"/>
      <c r="I965" s="303"/>
      <c r="J965" s="303"/>
    </row>
    <row r="966">
      <c r="C966" s="139"/>
      <c r="D966" s="139"/>
      <c r="F966" s="426"/>
      <c r="G966" s="303"/>
      <c r="H966" s="303"/>
      <c r="I966" s="303"/>
      <c r="J966" s="303"/>
    </row>
    <row r="967">
      <c r="C967" s="139"/>
      <c r="D967" s="139"/>
      <c r="F967" s="426"/>
      <c r="G967" s="303"/>
      <c r="H967" s="303"/>
      <c r="I967" s="303"/>
      <c r="J967" s="303"/>
    </row>
    <row r="968">
      <c r="C968" s="139"/>
      <c r="D968" s="139"/>
      <c r="F968" s="426"/>
      <c r="G968" s="303"/>
      <c r="H968" s="303"/>
      <c r="I968" s="303"/>
      <c r="J968" s="303"/>
    </row>
    <row r="969">
      <c r="C969" s="139"/>
      <c r="D969" s="139"/>
      <c r="F969" s="426"/>
      <c r="G969" s="303"/>
      <c r="H969" s="303"/>
      <c r="I969" s="303"/>
      <c r="J969" s="303"/>
    </row>
    <row r="970">
      <c r="C970" s="139"/>
      <c r="D970" s="139"/>
      <c r="F970" s="426"/>
      <c r="G970" s="303"/>
      <c r="H970" s="303"/>
      <c r="I970" s="303"/>
      <c r="J970" s="303"/>
    </row>
    <row r="971">
      <c r="C971" s="139"/>
      <c r="D971" s="139"/>
      <c r="F971" s="426"/>
      <c r="G971" s="303"/>
      <c r="H971" s="303"/>
      <c r="I971" s="303"/>
      <c r="J971" s="303"/>
    </row>
    <row r="972">
      <c r="C972" s="139"/>
      <c r="D972" s="139"/>
      <c r="F972" s="426"/>
      <c r="G972" s="303"/>
      <c r="H972" s="303"/>
      <c r="I972" s="303"/>
      <c r="J972" s="303"/>
    </row>
    <row r="973">
      <c r="C973" s="139"/>
      <c r="D973" s="139"/>
      <c r="F973" s="426"/>
      <c r="G973" s="303"/>
      <c r="H973" s="303"/>
      <c r="I973" s="303"/>
      <c r="J973" s="303"/>
    </row>
    <row r="974">
      <c r="C974" s="139"/>
      <c r="D974" s="139"/>
      <c r="F974" s="426"/>
      <c r="G974" s="303"/>
      <c r="H974" s="303"/>
      <c r="I974" s="303"/>
      <c r="J974" s="303"/>
    </row>
    <row r="975">
      <c r="C975" s="139"/>
      <c r="D975" s="139"/>
      <c r="F975" s="426"/>
      <c r="G975" s="303"/>
      <c r="H975" s="303"/>
      <c r="I975" s="303"/>
      <c r="J975" s="303"/>
    </row>
    <row r="976">
      <c r="C976" s="139"/>
      <c r="D976" s="139"/>
      <c r="F976" s="426"/>
      <c r="G976" s="303"/>
      <c r="H976" s="303"/>
      <c r="I976" s="303"/>
      <c r="J976" s="303"/>
    </row>
    <row r="977">
      <c r="C977" s="139"/>
      <c r="D977" s="139"/>
      <c r="F977" s="426"/>
      <c r="G977" s="303"/>
      <c r="H977" s="303"/>
      <c r="I977" s="303"/>
      <c r="J977" s="303"/>
    </row>
    <row r="978">
      <c r="C978" s="139"/>
      <c r="D978" s="139"/>
      <c r="F978" s="426"/>
      <c r="G978" s="303"/>
      <c r="H978" s="303"/>
      <c r="I978" s="303"/>
      <c r="J978" s="303"/>
    </row>
    <row r="979">
      <c r="C979" s="139"/>
      <c r="D979" s="139"/>
      <c r="F979" s="426"/>
      <c r="G979" s="303"/>
      <c r="H979" s="303"/>
      <c r="I979" s="303"/>
      <c r="J979" s="303"/>
    </row>
    <row r="980">
      <c r="C980" s="139"/>
      <c r="D980" s="139"/>
      <c r="F980" s="426"/>
      <c r="G980" s="303"/>
      <c r="H980" s="303"/>
      <c r="I980" s="303"/>
      <c r="J980" s="303"/>
    </row>
    <row r="981">
      <c r="C981" s="139"/>
      <c r="D981" s="139"/>
      <c r="F981" s="426"/>
      <c r="G981" s="303"/>
      <c r="H981" s="303"/>
      <c r="I981" s="303"/>
      <c r="J981" s="303"/>
    </row>
    <row r="982">
      <c r="C982" s="139"/>
      <c r="D982" s="139"/>
      <c r="F982" s="426"/>
      <c r="G982" s="303"/>
      <c r="H982" s="303"/>
      <c r="I982" s="303"/>
      <c r="J982" s="303"/>
    </row>
    <row r="983">
      <c r="C983" s="139"/>
      <c r="D983" s="139"/>
      <c r="F983" s="426"/>
      <c r="G983" s="303"/>
      <c r="H983" s="303"/>
      <c r="I983" s="303"/>
      <c r="J983" s="303"/>
    </row>
    <row r="984">
      <c r="C984" s="139"/>
      <c r="D984" s="139"/>
      <c r="F984" s="426"/>
      <c r="G984" s="303"/>
      <c r="H984" s="303"/>
      <c r="I984" s="303"/>
      <c r="J984" s="303"/>
    </row>
    <row r="985">
      <c r="C985" s="139"/>
      <c r="D985" s="139"/>
      <c r="F985" s="426"/>
      <c r="G985" s="303"/>
      <c r="H985" s="303"/>
      <c r="I985" s="303"/>
      <c r="J985" s="303"/>
    </row>
    <row r="986">
      <c r="C986" s="139"/>
      <c r="D986" s="139"/>
      <c r="F986" s="426"/>
      <c r="G986" s="303"/>
      <c r="H986" s="303"/>
      <c r="I986" s="303"/>
      <c r="J986" s="303"/>
    </row>
    <row r="987">
      <c r="C987" s="139"/>
      <c r="D987" s="139"/>
      <c r="F987" s="426"/>
      <c r="G987" s="303"/>
      <c r="H987" s="303"/>
      <c r="I987" s="303"/>
      <c r="J987" s="303"/>
    </row>
    <row r="988">
      <c r="C988" s="139"/>
      <c r="D988" s="139"/>
      <c r="F988" s="426"/>
      <c r="G988" s="303"/>
      <c r="H988" s="303"/>
      <c r="I988" s="303"/>
      <c r="J988" s="303"/>
    </row>
    <row r="989">
      <c r="C989" s="139"/>
      <c r="D989" s="139"/>
      <c r="F989" s="426"/>
      <c r="G989" s="303"/>
      <c r="H989" s="303"/>
      <c r="I989" s="303"/>
      <c r="J989" s="303"/>
    </row>
    <row r="990">
      <c r="C990" s="139"/>
      <c r="D990" s="139"/>
      <c r="F990" s="426"/>
      <c r="G990" s="303"/>
      <c r="H990" s="303"/>
      <c r="I990" s="303"/>
      <c r="J990" s="303"/>
    </row>
    <row r="991">
      <c r="C991" s="139"/>
      <c r="D991" s="139"/>
      <c r="F991" s="426"/>
      <c r="G991" s="303"/>
      <c r="H991" s="303"/>
      <c r="I991" s="303"/>
      <c r="J991" s="303"/>
    </row>
    <row r="992">
      <c r="C992" s="139"/>
      <c r="D992" s="139"/>
      <c r="F992" s="426"/>
      <c r="G992" s="303"/>
      <c r="H992" s="303"/>
      <c r="I992" s="303"/>
      <c r="J992" s="303"/>
    </row>
    <row r="993">
      <c r="C993" s="139"/>
      <c r="D993" s="139"/>
      <c r="F993" s="426"/>
      <c r="G993" s="303"/>
      <c r="H993" s="303"/>
      <c r="I993" s="303"/>
      <c r="J993" s="303"/>
    </row>
    <row r="994">
      <c r="C994" s="139"/>
      <c r="D994" s="139"/>
      <c r="F994" s="426"/>
      <c r="G994" s="303"/>
      <c r="H994" s="303"/>
      <c r="I994" s="303"/>
      <c r="J994" s="303"/>
    </row>
    <row r="995">
      <c r="C995" s="139"/>
      <c r="D995" s="139"/>
      <c r="F995" s="426"/>
      <c r="G995" s="303"/>
      <c r="H995" s="303"/>
      <c r="I995" s="303"/>
      <c r="J995" s="303"/>
    </row>
    <row r="996">
      <c r="C996" s="139"/>
      <c r="D996" s="139"/>
      <c r="F996" s="426"/>
      <c r="G996" s="303"/>
      <c r="H996" s="303"/>
      <c r="I996" s="303"/>
      <c r="J996" s="303"/>
    </row>
    <row r="997">
      <c r="C997" s="139"/>
      <c r="D997" s="139"/>
      <c r="F997" s="426"/>
      <c r="G997" s="303"/>
      <c r="H997" s="303"/>
      <c r="I997" s="303"/>
      <c r="J997" s="303"/>
    </row>
    <row r="998">
      <c r="C998" s="139"/>
      <c r="D998" s="139"/>
      <c r="F998" s="426"/>
      <c r="G998" s="303"/>
      <c r="H998" s="303"/>
      <c r="I998" s="303"/>
      <c r="J998" s="303"/>
    </row>
    <row r="999">
      <c r="C999" s="139"/>
      <c r="D999" s="139"/>
      <c r="F999" s="426"/>
      <c r="G999" s="303"/>
      <c r="H999" s="303"/>
      <c r="I999" s="303"/>
      <c r="J999" s="303"/>
    </row>
    <row r="1000">
      <c r="C1000" s="139"/>
      <c r="D1000" s="139"/>
      <c r="F1000" s="426"/>
      <c r="G1000" s="303"/>
      <c r="H1000" s="303"/>
      <c r="I1000" s="303"/>
      <c r="J1000" s="303"/>
    </row>
    <row r="1001">
      <c r="C1001" s="139"/>
      <c r="D1001" s="139"/>
      <c r="F1001" s="426"/>
      <c r="G1001" s="303"/>
      <c r="H1001" s="303"/>
      <c r="I1001" s="303"/>
      <c r="J1001" s="303"/>
    </row>
    <row r="1002">
      <c r="C1002" s="139"/>
      <c r="D1002" s="139"/>
      <c r="F1002" s="426"/>
      <c r="G1002" s="303"/>
      <c r="H1002" s="303"/>
      <c r="I1002" s="303"/>
      <c r="J1002" s="303"/>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2" ref="C4"/>
    <hyperlink r:id="rId3" ref="C5"/>
    <hyperlink r:id="rId4" ref="C6"/>
    <hyperlink r:id="rId5" ref="C7"/>
    <hyperlink r:id="rId6" ref="C8"/>
    <hyperlink r:id="rId7" ref="C9"/>
    <hyperlink r:id="rId8" ref="C10"/>
    <hyperlink r:id="rId9" ref="C11"/>
    <hyperlink r:id="rId10" ref="C12"/>
    <hyperlink r:id="rId11" ref="C17"/>
    <hyperlink r:id="rId12" ref="C18"/>
    <hyperlink r:id="rId13" ref="C19"/>
    <hyperlink r:id="rId14" ref="C21"/>
    <hyperlink r:id="rId15" ref="C22"/>
    <hyperlink r:id="rId16" location="cite_note-3" ref="C25"/>
    <hyperlink r:id="rId17" ref="C27"/>
    <hyperlink r:id="rId18" ref="C28"/>
    <hyperlink r:id="rId19" ref="C29"/>
    <hyperlink r:id="rId20" ref="C31"/>
    <hyperlink r:id="rId21" ref="C33"/>
    <hyperlink r:id="rId22" ref="C39"/>
    <hyperlink r:id="rId23" ref="C43"/>
    <hyperlink r:id="rId24" ref="C44"/>
    <hyperlink r:id="rId25" ref="C45"/>
    <hyperlink r:id="rId26" ref="C46"/>
    <hyperlink r:id="rId27" ref="C47"/>
    <hyperlink r:id="rId28" ref="C48"/>
    <hyperlink r:id="rId29" ref="C49"/>
    <hyperlink r:id="rId30" ref="C50"/>
    <hyperlink r:id="rId31" ref="C54"/>
    <hyperlink r:id="rId32" ref="C55"/>
    <hyperlink r:id="rId33" ref="C58"/>
    <hyperlink r:id="rId34" ref="C59"/>
    <hyperlink r:id="rId35" ref="C60"/>
    <hyperlink r:id="rId36" ref="C61"/>
    <hyperlink r:id="rId37" ref="C63"/>
    <hyperlink r:id="rId38" ref="C64"/>
    <hyperlink r:id="rId39" ref="C66"/>
    <hyperlink r:id="rId40" ref="C69"/>
    <hyperlink r:id="rId41" ref="C70"/>
    <hyperlink r:id="rId42" ref="C71"/>
    <hyperlink r:id="rId43" ref="C76"/>
    <hyperlink r:id="rId44" ref="C77"/>
    <hyperlink r:id="rId45" ref="C78"/>
    <hyperlink r:id="rId46" ref="C79"/>
    <hyperlink r:id="rId47" ref="C80"/>
    <hyperlink r:id="rId48" ref="C81"/>
    <hyperlink r:id="rId49" ref="C82"/>
    <hyperlink r:id="rId50" ref="C83"/>
    <hyperlink r:id="rId51" ref="C84"/>
    <hyperlink r:id="rId52" ref="C85"/>
    <hyperlink r:id="rId53" ref="C86"/>
    <hyperlink r:id="rId54" ref="C87"/>
    <hyperlink r:id="rId55" ref="C88"/>
    <hyperlink r:id="rId56" ref="C89"/>
    <hyperlink r:id="rId57" ref="C90"/>
    <hyperlink r:id="rId58" ref="C91"/>
    <hyperlink r:id="rId59" ref="C92"/>
    <hyperlink r:id="rId60" ref="C93"/>
    <hyperlink r:id="rId61" ref="C94"/>
    <hyperlink r:id="rId62" ref="C95"/>
    <hyperlink r:id="rId63" ref="C96"/>
    <hyperlink r:id="rId64" ref="C97"/>
    <hyperlink r:id="rId65" ref="C98"/>
    <hyperlink r:id="rId66" ref="C99"/>
    <hyperlink r:id="rId67" ref="C100"/>
    <hyperlink r:id="rId68" ref="C101"/>
    <hyperlink r:id="rId69" ref="C102"/>
    <hyperlink r:id="rId70" ref="C103"/>
    <hyperlink r:id="rId71" ref="C104"/>
    <hyperlink r:id="rId72" ref="C105"/>
    <hyperlink r:id="rId73" ref="C106"/>
    <hyperlink r:id="rId74" ref="C107"/>
    <hyperlink r:id="rId75" ref="C108"/>
    <hyperlink r:id="rId76" ref="C109"/>
    <hyperlink r:id="rId77" ref="C110"/>
    <hyperlink r:id="rId78" ref="C111"/>
    <hyperlink r:id="rId79" ref="C112"/>
    <hyperlink r:id="rId80" ref="C113"/>
    <hyperlink r:id="rId81" ref="C114"/>
    <hyperlink r:id="rId82" ref="C115"/>
    <hyperlink r:id="rId83" ref="C116"/>
  </hyperlinks>
  <drawing r:id="rId84"/>
  <legacyDrawing r:id="rId85"/>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2" max="2" width="10.0"/>
    <col customWidth="1" min="3" max="3" width="15.0"/>
  </cols>
  <sheetData>
    <row r="1" ht="15.0" customHeight="1" outlineLevel="1">
      <c r="A1" s="1" t="s">
        <v>0</v>
      </c>
      <c r="B1" s="2" t="s">
        <v>1</v>
      </c>
      <c r="C1" s="2" t="s">
        <v>2</v>
      </c>
      <c r="D1" s="2"/>
      <c r="E1" s="3"/>
      <c r="F1" s="30" t="s">
        <v>1577</v>
      </c>
      <c r="G1" s="30" t="s">
        <v>4</v>
      </c>
      <c r="H1" s="30" t="s">
        <v>5</v>
      </c>
      <c r="I1" s="30" t="s">
        <v>6</v>
      </c>
      <c r="J1" s="30" t="s">
        <v>7</v>
      </c>
      <c r="K1" s="1" t="s">
        <v>8</v>
      </c>
      <c r="L1" s="7" t="s">
        <v>1339</v>
      </c>
      <c r="N1" s="10" t="s">
        <v>14</v>
      </c>
      <c r="P1" s="167"/>
      <c r="Q1" s="167"/>
      <c r="R1" s="30"/>
      <c r="S1" s="20"/>
      <c r="T1" s="20"/>
      <c r="U1" s="20"/>
      <c r="V1" s="20"/>
      <c r="W1" s="20"/>
      <c r="X1" s="20"/>
      <c r="Y1" s="20"/>
      <c r="Z1" s="20"/>
      <c r="AA1" s="20"/>
      <c r="AB1" s="20"/>
      <c r="AC1" s="20"/>
      <c r="AD1" s="20"/>
    </row>
    <row r="2" ht="16.5" customHeight="1" outlineLevel="1">
      <c r="A2" s="23"/>
      <c r="B2" s="436"/>
      <c r="C2" s="325"/>
      <c r="D2" s="325"/>
      <c r="E2" s="3"/>
      <c r="F2" s="168">
        <v>43474.0</v>
      </c>
      <c r="G2" s="635">
        <v>43635.0</v>
      </c>
      <c r="H2" s="79">
        <f>G2-TODAY()</f>
        <v>-100</v>
      </c>
      <c r="I2" s="168">
        <v>43474.0</v>
      </c>
      <c r="J2" s="168">
        <v>43635.0</v>
      </c>
      <c r="K2" s="23"/>
      <c r="L2" s="26">
        <f>CountIFS($E:$E,"=Dem",$A:$A,"=Assembly")</f>
        <v>105</v>
      </c>
      <c r="M2" s="28">
        <f>CountIFS($E:$E,"=Rep",$A:$A,"=Assembly")</f>
        <v>43</v>
      </c>
      <c r="N2" s="26">
        <f>CountIFS($E:$E,"=Dem",$A:$A,"=Senate")</f>
        <v>38</v>
      </c>
      <c r="O2" s="28">
        <f>CountIFS($E:$E,"=Rep",$A:$A,"=Senate")</f>
        <v>25</v>
      </c>
      <c r="P2" s="167"/>
      <c r="Q2" s="167"/>
      <c r="R2" s="30"/>
      <c r="S2" s="20"/>
      <c r="T2" s="20"/>
      <c r="U2" s="20"/>
      <c r="V2" s="20"/>
      <c r="W2" s="20"/>
      <c r="X2" s="20"/>
      <c r="Y2" s="20"/>
      <c r="Z2" s="20"/>
      <c r="AA2" s="20"/>
      <c r="AB2" s="20"/>
      <c r="AC2" s="20"/>
      <c r="AD2" s="20"/>
    </row>
    <row r="3">
      <c r="A3" s="30" t="s">
        <v>29</v>
      </c>
      <c r="B3" s="2" t="s">
        <v>30</v>
      </c>
      <c r="C3" s="2" t="s">
        <v>799</v>
      </c>
      <c r="D3" s="2" t="s">
        <v>800</v>
      </c>
      <c r="E3" s="3" t="s">
        <v>33</v>
      </c>
      <c r="F3" s="1" t="s">
        <v>10</v>
      </c>
      <c r="G3" s="1" t="s">
        <v>34</v>
      </c>
      <c r="H3" s="1" t="s">
        <v>34</v>
      </c>
      <c r="I3" s="1" t="s">
        <v>34</v>
      </c>
      <c r="J3" s="1" t="s">
        <v>34</v>
      </c>
      <c r="K3" s="1" t="s">
        <v>35</v>
      </c>
      <c r="L3" s="19" t="s">
        <v>36</v>
      </c>
      <c r="M3" s="19" t="s">
        <v>37</v>
      </c>
      <c r="N3" s="19" t="s">
        <v>38</v>
      </c>
      <c r="O3" s="17" t="s">
        <v>39</v>
      </c>
      <c r="P3" s="11" t="s">
        <v>40</v>
      </c>
      <c r="Q3" s="11" t="s">
        <v>41</v>
      </c>
      <c r="R3" s="17" t="s">
        <v>42</v>
      </c>
      <c r="S3" s="20"/>
      <c r="T3" s="20"/>
      <c r="U3" s="20"/>
      <c r="V3" s="20"/>
      <c r="W3" s="20"/>
      <c r="X3" s="20"/>
      <c r="Y3" s="20"/>
      <c r="Z3" s="20"/>
      <c r="AA3" s="20"/>
      <c r="AB3" s="20"/>
      <c r="AC3" s="20"/>
      <c r="AD3" s="20"/>
    </row>
    <row r="4">
      <c r="A4" s="14" t="s">
        <v>1357</v>
      </c>
      <c r="B4" s="35">
        <v>1.0</v>
      </c>
      <c r="C4" s="35" t="s">
        <v>1242</v>
      </c>
      <c r="D4" s="35" t="s">
        <v>9664</v>
      </c>
      <c r="E4" s="65" t="s">
        <v>243</v>
      </c>
      <c r="F4" s="200"/>
      <c r="M4" t="str">
        <f t="shared" ref="M4:M153" si="1">lower(concatenate(D4,left(C4,1),"@nyassembly.gov"))</f>
        <v>thielef@nyassembly.gov</v>
      </c>
    </row>
    <row r="5">
      <c r="A5" s="14" t="s">
        <v>1357</v>
      </c>
      <c r="B5" s="35">
        <v>2.0</v>
      </c>
      <c r="C5" s="35" t="s">
        <v>496</v>
      </c>
      <c r="D5" s="35" t="s">
        <v>5256</v>
      </c>
      <c r="E5" s="51" t="s">
        <v>53</v>
      </c>
      <c r="F5" s="200"/>
      <c r="M5" t="str">
        <f t="shared" si="1"/>
        <v>palumboa@nyassembly.gov</v>
      </c>
    </row>
    <row r="6">
      <c r="A6" s="14" t="s">
        <v>1357</v>
      </c>
      <c r="B6" s="35">
        <v>3.0</v>
      </c>
      <c r="C6" s="35" t="s">
        <v>2527</v>
      </c>
      <c r="D6" s="35" t="s">
        <v>9672</v>
      </c>
      <c r="E6" s="51" t="s">
        <v>53</v>
      </c>
      <c r="F6" s="200"/>
      <c r="M6" t="str">
        <f t="shared" si="1"/>
        <v>destefanoj@nyassembly.gov</v>
      </c>
    </row>
    <row r="7">
      <c r="A7" s="14" t="s">
        <v>1357</v>
      </c>
      <c r="B7" s="35">
        <v>4.0</v>
      </c>
      <c r="C7" s="35" t="s">
        <v>1897</v>
      </c>
      <c r="D7" s="35" t="s">
        <v>9675</v>
      </c>
      <c r="E7" s="36" t="s">
        <v>49</v>
      </c>
      <c r="F7" s="200"/>
      <c r="M7" t="str">
        <f t="shared" si="1"/>
        <v>englebrights@nyassembly.gov</v>
      </c>
    </row>
    <row r="8">
      <c r="A8" s="14" t="s">
        <v>1357</v>
      </c>
      <c r="B8" s="35">
        <v>5.0</v>
      </c>
      <c r="C8" s="35" t="s">
        <v>1312</v>
      </c>
      <c r="D8" s="35" t="s">
        <v>1451</v>
      </c>
      <c r="E8" s="51" t="s">
        <v>53</v>
      </c>
      <c r="F8" s="200"/>
      <c r="M8" t="str">
        <f t="shared" si="1"/>
        <v>smithd@nyassembly.gov</v>
      </c>
    </row>
    <row r="9">
      <c r="A9" s="14" t="s">
        <v>1357</v>
      </c>
      <c r="B9" s="35">
        <v>6.0</v>
      </c>
      <c r="C9" s="35" t="s">
        <v>5231</v>
      </c>
      <c r="D9" s="35" t="s">
        <v>1610</v>
      </c>
      <c r="E9" s="36" t="s">
        <v>49</v>
      </c>
      <c r="F9" s="200"/>
      <c r="M9" t="str">
        <f t="shared" si="1"/>
        <v>ramosp@nyassembly.gov</v>
      </c>
    </row>
    <row r="10">
      <c r="A10" s="14" t="s">
        <v>1357</v>
      </c>
      <c r="B10" s="35">
        <v>7.0</v>
      </c>
      <c r="C10" s="35" t="s">
        <v>80</v>
      </c>
      <c r="D10" s="35" t="s">
        <v>9692</v>
      </c>
      <c r="E10" s="51" t="s">
        <v>53</v>
      </c>
      <c r="F10" s="200"/>
      <c r="M10" t="str">
        <f t="shared" si="1"/>
        <v>garbarinoa@nyassembly.gov</v>
      </c>
    </row>
    <row r="11">
      <c r="A11" s="14" t="s">
        <v>1357</v>
      </c>
      <c r="B11" s="35">
        <v>8.0</v>
      </c>
      <c r="C11" s="35" t="s">
        <v>2490</v>
      </c>
      <c r="D11" s="35" t="s">
        <v>8943</v>
      </c>
      <c r="E11" s="51" t="s">
        <v>53</v>
      </c>
      <c r="F11" s="200"/>
      <c r="M11" t="str">
        <f t="shared" si="1"/>
        <v>fitzpatrickm@nyassembly.gov</v>
      </c>
    </row>
    <row r="12">
      <c r="A12" s="14" t="s">
        <v>1357</v>
      </c>
      <c r="B12" s="35">
        <v>9.0</v>
      </c>
      <c r="C12" s="35" t="s">
        <v>2490</v>
      </c>
      <c r="D12" s="35" t="s">
        <v>9702</v>
      </c>
      <c r="E12" s="51" t="s">
        <v>53</v>
      </c>
      <c r="F12" s="200"/>
      <c r="M12" t="str">
        <f t="shared" si="1"/>
        <v>lipetrim@nyassembly.gov</v>
      </c>
    </row>
    <row r="13">
      <c r="A13" s="14" t="s">
        <v>1357</v>
      </c>
      <c r="B13" s="35">
        <v>10.0</v>
      </c>
      <c r="C13" s="35" t="s">
        <v>55</v>
      </c>
      <c r="D13" s="35" t="s">
        <v>2190</v>
      </c>
      <c r="E13" s="36" t="s">
        <v>49</v>
      </c>
      <c r="F13" s="200"/>
      <c r="M13" t="str">
        <f t="shared" si="1"/>
        <v>sterns@nyassembly.gov</v>
      </c>
    </row>
    <row r="14">
      <c r="A14" s="14" t="s">
        <v>1357</v>
      </c>
      <c r="B14" s="35">
        <v>11.0</v>
      </c>
      <c r="C14" s="35" t="s">
        <v>2689</v>
      </c>
      <c r="D14" s="35" t="s">
        <v>9707</v>
      </c>
      <c r="E14" s="36" t="s">
        <v>49</v>
      </c>
      <c r="F14" s="200"/>
      <c r="M14" t="str">
        <f t="shared" si="1"/>
        <v>jean-pierrek@nyassembly.gov</v>
      </c>
    </row>
    <row r="15">
      <c r="A15" s="14" t="s">
        <v>1357</v>
      </c>
      <c r="B15" s="35">
        <v>12.0</v>
      </c>
      <c r="C15" s="35" t="s">
        <v>80</v>
      </c>
      <c r="D15" s="35" t="s">
        <v>9711</v>
      </c>
      <c r="E15" s="51" t="s">
        <v>53</v>
      </c>
      <c r="F15" s="200"/>
      <c r="M15" t="str">
        <f t="shared" si="1"/>
        <v>raiaa@nyassembly.gov</v>
      </c>
    </row>
    <row r="16">
      <c r="A16" s="14" t="s">
        <v>1357</v>
      </c>
      <c r="B16" s="35">
        <v>13.0</v>
      </c>
      <c r="C16" s="35" t="s">
        <v>1287</v>
      </c>
      <c r="D16" s="35" t="s">
        <v>9716</v>
      </c>
      <c r="E16" s="36" t="s">
        <v>49</v>
      </c>
      <c r="F16" s="200"/>
      <c r="M16" t="str">
        <f t="shared" si="1"/>
        <v>lavinec@nyassembly.gov</v>
      </c>
    </row>
    <row r="17">
      <c r="A17" s="14" t="s">
        <v>1357</v>
      </c>
      <c r="B17" s="35">
        <v>14.0</v>
      </c>
      <c r="C17" s="35" t="s">
        <v>108</v>
      </c>
      <c r="D17" s="35" t="s">
        <v>9720</v>
      </c>
      <c r="E17" s="51" t="s">
        <v>53</v>
      </c>
      <c r="F17" s="200"/>
      <c r="M17" t="str">
        <f t="shared" si="1"/>
        <v>mcdonoughd@nyassembly.gov</v>
      </c>
    </row>
    <row r="18">
      <c r="A18" s="14" t="s">
        <v>1357</v>
      </c>
      <c r="B18" s="35">
        <v>15.0</v>
      </c>
      <c r="C18" s="35" t="s">
        <v>2490</v>
      </c>
      <c r="D18" s="35" t="s">
        <v>9722</v>
      </c>
      <c r="E18" s="51" t="s">
        <v>53</v>
      </c>
      <c r="F18" s="200"/>
      <c r="M18" t="str">
        <f t="shared" si="1"/>
        <v>montesanom@nyassembly.gov</v>
      </c>
    </row>
    <row r="19">
      <c r="A19" s="14" t="s">
        <v>1357</v>
      </c>
      <c r="B19" s="35">
        <v>16.0</v>
      </c>
      <c r="C19" s="35" t="s">
        <v>496</v>
      </c>
      <c r="D19" s="35" t="s">
        <v>9723</v>
      </c>
      <c r="E19" s="36" t="s">
        <v>49</v>
      </c>
      <c r="F19" s="200"/>
      <c r="M19" t="str">
        <f t="shared" si="1"/>
        <v>d'ursoa@nyassembly.gov</v>
      </c>
    </row>
    <row r="20">
      <c r="A20" s="14" t="s">
        <v>1357</v>
      </c>
      <c r="B20" s="35">
        <v>17.0</v>
      </c>
      <c r="C20" s="35" t="s">
        <v>278</v>
      </c>
      <c r="D20" s="35" t="s">
        <v>9726</v>
      </c>
      <c r="E20" s="51" t="s">
        <v>53</v>
      </c>
      <c r="F20" s="200"/>
      <c r="M20" t="str">
        <f t="shared" si="1"/>
        <v>mikulinj@nyassembly.gov</v>
      </c>
    </row>
    <row r="21">
      <c r="A21" s="14" t="s">
        <v>1357</v>
      </c>
      <c r="B21" s="35">
        <v>18.0</v>
      </c>
      <c r="C21" s="35" t="s">
        <v>4255</v>
      </c>
      <c r="D21" s="35" t="s">
        <v>9728</v>
      </c>
      <c r="E21" s="36" t="s">
        <v>49</v>
      </c>
      <c r="F21" s="200"/>
      <c r="M21" t="str">
        <f t="shared" si="1"/>
        <v>raynort@nyassembly.gov</v>
      </c>
    </row>
    <row r="22">
      <c r="A22" s="14" t="s">
        <v>1357</v>
      </c>
      <c r="B22" s="35">
        <v>19.0</v>
      </c>
      <c r="C22" s="35" t="s">
        <v>636</v>
      </c>
      <c r="D22" s="35" t="s">
        <v>9729</v>
      </c>
      <c r="E22" s="51" t="s">
        <v>53</v>
      </c>
      <c r="F22" s="200"/>
      <c r="M22" t="str">
        <f t="shared" si="1"/>
        <v>rae@nyassembly.gov</v>
      </c>
    </row>
    <row r="23">
      <c r="A23" s="14" t="s">
        <v>1357</v>
      </c>
      <c r="B23" s="35">
        <v>20.0</v>
      </c>
      <c r="C23" s="35" t="s">
        <v>1884</v>
      </c>
      <c r="D23" s="35" t="s">
        <v>1501</v>
      </c>
      <c r="E23" s="51" t="s">
        <v>53</v>
      </c>
      <c r="F23" s="200"/>
      <c r="M23" t="str">
        <f t="shared" si="1"/>
        <v>millerm@nyassembly.gov</v>
      </c>
    </row>
    <row r="24">
      <c r="A24" s="14" t="s">
        <v>1357</v>
      </c>
      <c r="B24" s="35">
        <v>21.0</v>
      </c>
      <c r="C24" s="35" t="s">
        <v>2320</v>
      </c>
      <c r="D24" s="35" t="s">
        <v>851</v>
      </c>
      <c r="E24" s="36" t="s">
        <v>49</v>
      </c>
      <c r="F24" s="200"/>
      <c r="M24" t="str">
        <f t="shared" si="1"/>
        <v>griffinj@nyassembly.gov</v>
      </c>
    </row>
    <row r="25">
      <c r="A25" s="14" t="s">
        <v>1357</v>
      </c>
      <c r="B25" s="35">
        <v>22.0</v>
      </c>
      <c r="C25" s="35" t="s">
        <v>9731</v>
      </c>
      <c r="D25" s="35" t="s">
        <v>9732</v>
      </c>
      <c r="E25" s="36" t="s">
        <v>49</v>
      </c>
      <c r="F25" s="200"/>
      <c r="M25" t="str">
        <f t="shared" si="1"/>
        <v>solagesm@nyassembly.gov</v>
      </c>
    </row>
    <row r="26">
      <c r="A26" s="14" t="s">
        <v>1357</v>
      </c>
      <c r="B26" s="35">
        <v>23.0</v>
      </c>
      <c r="C26" s="35" t="s">
        <v>8208</v>
      </c>
      <c r="D26" s="35" t="s">
        <v>9735</v>
      </c>
      <c r="E26" s="36" t="s">
        <v>49</v>
      </c>
      <c r="F26" s="200"/>
      <c r="M26" t="str">
        <f t="shared" si="1"/>
        <v>amatos@nyassembly.gov</v>
      </c>
    </row>
    <row r="27">
      <c r="A27" s="14" t="s">
        <v>1357</v>
      </c>
      <c r="B27" s="35">
        <v>24.0</v>
      </c>
      <c r="C27" s="35" t="s">
        <v>108</v>
      </c>
      <c r="D27" s="35" t="s">
        <v>9736</v>
      </c>
      <c r="E27" s="36" t="s">
        <v>49</v>
      </c>
      <c r="F27" s="200"/>
      <c r="M27" t="str">
        <f t="shared" si="1"/>
        <v>weprind@nyassembly.gov</v>
      </c>
    </row>
    <row r="28">
      <c r="A28" s="14" t="s">
        <v>1357</v>
      </c>
      <c r="B28" s="35">
        <v>25.0</v>
      </c>
      <c r="C28" s="35" t="s">
        <v>9738</v>
      </c>
      <c r="D28" s="35" t="s">
        <v>9740</v>
      </c>
      <c r="E28" s="36" t="s">
        <v>49</v>
      </c>
      <c r="F28" s="200"/>
      <c r="M28" t="str">
        <f t="shared" si="1"/>
        <v>rozicn@nyassembly.gov</v>
      </c>
    </row>
    <row r="29">
      <c r="A29" s="14" t="s">
        <v>1357</v>
      </c>
      <c r="B29" s="35">
        <v>26.0</v>
      </c>
      <c r="C29" s="35" t="s">
        <v>2705</v>
      </c>
      <c r="D29" s="35" t="s">
        <v>9742</v>
      </c>
      <c r="E29" s="36" t="s">
        <v>49</v>
      </c>
      <c r="F29" s="200"/>
      <c r="M29" t="str">
        <f t="shared" si="1"/>
        <v>braunsteine@nyassembly.gov</v>
      </c>
    </row>
    <row r="30">
      <c r="A30" s="14" t="s">
        <v>1357</v>
      </c>
      <c r="B30" s="35">
        <v>27.0</v>
      </c>
      <c r="C30" s="35" t="s">
        <v>552</v>
      </c>
      <c r="D30" s="35" t="s">
        <v>9743</v>
      </c>
      <c r="E30" s="36" t="s">
        <v>49</v>
      </c>
      <c r="F30" s="200"/>
      <c r="M30" t="str">
        <f t="shared" si="1"/>
        <v>rosenthald@nyassembly.gov</v>
      </c>
    </row>
    <row r="31">
      <c r="A31" s="14" t="s">
        <v>1357</v>
      </c>
      <c r="B31" s="35">
        <v>28.0</v>
      </c>
      <c r="C31" s="35" t="s">
        <v>80</v>
      </c>
      <c r="D31" s="35" t="s">
        <v>9747</v>
      </c>
      <c r="E31" s="36" t="s">
        <v>49</v>
      </c>
      <c r="F31" s="200"/>
      <c r="M31" t="str">
        <f t="shared" si="1"/>
        <v>hevesia@nyassembly.gov</v>
      </c>
    </row>
    <row r="32">
      <c r="A32" s="14" t="s">
        <v>1357</v>
      </c>
      <c r="B32" s="35">
        <v>29.0</v>
      </c>
      <c r="C32" s="35" t="s">
        <v>9749</v>
      </c>
      <c r="D32" s="35" t="s">
        <v>9750</v>
      </c>
      <c r="E32" s="36" t="s">
        <v>49</v>
      </c>
      <c r="F32" s="200"/>
      <c r="M32" t="str">
        <f t="shared" si="1"/>
        <v>hyndmana@nyassembly.gov</v>
      </c>
    </row>
    <row r="33">
      <c r="A33" s="14" t="s">
        <v>1357</v>
      </c>
      <c r="B33" s="35">
        <v>30.0</v>
      </c>
      <c r="C33" s="35" t="s">
        <v>1331</v>
      </c>
      <c r="D33" s="35" t="s">
        <v>9755</v>
      </c>
      <c r="E33" s="36" t="s">
        <v>49</v>
      </c>
      <c r="F33" s="200"/>
      <c r="M33" t="str">
        <f t="shared" si="1"/>
        <v>barnwellb@nyassembly.gov</v>
      </c>
    </row>
    <row r="34">
      <c r="A34" s="14" t="s">
        <v>1357</v>
      </c>
      <c r="B34" s="35">
        <v>31.0</v>
      </c>
      <c r="C34" s="35" t="s">
        <v>3644</v>
      </c>
      <c r="D34" s="35" t="s">
        <v>9601</v>
      </c>
      <c r="E34" s="36" t="s">
        <v>49</v>
      </c>
      <c r="F34" s="200"/>
      <c r="M34" t="str">
        <f t="shared" si="1"/>
        <v>titusm@nyassembly.gov</v>
      </c>
    </row>
    <row r="35">
      <c r="A35" s="14" t="s">
        <v>1357</v>
      </c>
      <c r="B35" s="35">
        <v>32.0</v>
      </c>
      <c r="C35" s="35" t="s">
        <v>1092</v>
      </c>
      <c r="D35" s="35" t="s">
        <v>731</v>
      </c>
      <c r="E35" s="36" t="s">
        <v>49</v>
      </c>
      <c r="F35" s="200"/>
      <c r="M35" t="str">
        <f t="shared" si="1"/>
        <v>cookv@nyassembly.gov</v>
      </c>
    </row>
    <row r="36">
      <c r="A36" s="14" t="s">
        <v>1357</v>
      </c>
      <c r="B36" s="35">
        <v>33.0</v>
      </c>
      <c r="C36" s="35" t="s">
        <v>1074</v>
      </c>
      <c r="D36" s="35" t="s">
        <v>9765</v>
      </c>
      <c r="E36" s="36" t="s">
        <v>49</v>
      </c>
      <c r="F36" s="200"/>
      <c r="M36" t="str">
        <f t="shared" si="1"/>
        <v>vanelc@nyassembly.gov</v>
      </c>
    </row>
    <row r="37">
      <c r="A37" s="14" t="s">
        <v>1357</v>
      </c>
      <c r="B37" s="35">
        <v>34.0</v>
      </c>
      <c r="C37" s="35" t="s">
        <v>2490</v>
      </c>
      <c r="D37" s="35" t="s">
        <v>9771</v>
      </c>
      <c r="E37" s="36" t="s">
        <v>49</v>
      </c>
      <c r="F37" s="200"/>
      <c r="M37" t="str">
        <f t="shared" si="1"/>
        <v>dendekkerm@nyassembly.gov</v>
      </c>
    </row>
    <row r="38">
      <c r="A38" s="14" t="s">
        <v>1357</v>
      </c>
      <c r="B38" s="35">
        <v>35.0</v>
      </c>
      <c r="C38" s="35" t="s">
        <v>9772</v>
      </c>
      <c r="D38" s="35" t="s">
        <v>9775</v>
      </c>
      <c r="E38" s="36" t="s">
        <v>49</v>
      </c>
      <c r="F38" s="200"/>
      <c r="M38" t="str">
        <f t="shared" si="1"/>
        <v>aubryj@nyassembly.gov</v>
      </c>
    </row>
    <row r="39">
      <c r="A39" s="14" t="s">
        <v>1357</v>
      </c>
      <c r="B39" s="35">
        <v>36.0</v>
      </c>
      <c r="C39" s="35" t="s">
        <v>9781</v>
      </c>
      <c r="D39" s="35" t="s">
        <v>9782</v>
      </c>
      <c r="E39" s="36" t="s">
        <v>49</v>
      </c>
      <c r="F39" s="200"/>
      <c r="M39" t="str">
        <f t="shared" si="1"/>
        <v>simotasa@nyassembly.gov</v>
      </c>
    </row>
    <row r="40">
      <c r="A40" s="14" t="s">
        <v>1357</v>
      </c>
      <c r="B40" s="35">
        <v>37.0</v>
      </c>
      <c r="C40" s="35" t="s">
        <v>2629</v>
      </c>
      <c r="D40" s="35" t="s">
        <v>7482</v>
      </c>
      <c r="E40" s="36" t="s">
        <v>49</v>
      </c>
      <c r="F40" s="200"/>
      <c r="M40" t="str">
        <f t="shared" si="1"/>
        <v>nolanc@nyassembly.gov</v>
      </c>
    </row>
    <row r="41">
      <c r="A41" s="14" t="s">
        <v>1357</v>
      </c>
      <c r="B41" s="35">
        <v>38.0</v>
      </c>
      <c r="C41" s="35" t="s">
        <v>2490</v>
      </c>
      <c r="D41" s="35" t="s">
        <v>1501</v>
      </c>
      <c r="E41" s="36" t="s">
        <v>49</v>
      </c>
      <c r="F41" s="200"/>
      <c r="M41" t="str">
        <f t="shared" si="1"/>
        <v>millerm@nyassembly.gov</v>
      </c>
    </row>
    <row r="42">
      <c r="A42" s="14" t="s">
        <v>1357</v>
      </c>
      <c r="B42" s="35">
        <v>39.0</v>
      </c>
      <c r="C42" s="35" t="s">
        <v>9791</v>
      </c>
      <c r="D42" s="35" t="s">
        <v>3243</v>
      </c>
      <c r="E42" s="36" t="s">
        <v>49</v>
      </c>
      <c r="F42" s="200"/>
      <c r="M42" t="str">
        <f t="shared" si="1"/>
        <v>cruzc@nyassembly.gov</v>
      </c>
    </row>
    <row r="43">
      <c r="A43" s="14" t="s">
        <v>1357</v>
      </c>
      <c r="B43" s="35">
        <v>40.0</v>
      </c>
      <c r="C43" s="35" t="s">
        <v>1813</v>
      </c>
      <c r="D43" s="35" t="s">
        <v>1973</v>
      </c>
      <c r="E43" s="36" t="s">
        <v>49</v>
      </c>
      <c r="F43" s="200"/>
      <c r="M43" t="str">
        <f t="shared" si="1"/>
        <v>kimr@nyassembly.gov</v>
      </c>
    </row>
    <row r="44">
      <c r="A44" s="14" t="s">
        <v>1357</v>
      </c>
      <c r="B44" s="35">
        <v>41.0</v>
      </c>
      <c r="C44" s="35" t="s">
        <v>4227</v>
      </c>
      <c r="D44" s="35" t="s">
        <v>9796</v>
      </c>
      <c r="E44" s="36" t="s">
        <v>49</v>
      </c>
      <c r="F44" s="200"/>
      <c r="M44" t="str">
        <f t="shared" si="1"/>
        <v>weinsteinh@nyassembly.gov</v>
      </c>
    </row>
    <row r="45">
      <c r="A45" s="14" t="s">
        <v>1357</v>
      </c>
      <c r="B45" s="35">
        <v>42.0</v>
      </c>
      <c r="C45" s="35" t="s">
        <v>9804</v>
      </c>
      <c r="D45" s="35" t="s">
        <v>9807</v>
      </c>
      <c r="E45" s="36" t="s">
        <v>49</v>
      </c>
      <c r="F45" s="200"/>
      <c r="M45" t="str">
        <f t="shared" si="1"/>
        <v>bichotter@nyassembly.gov</v>
      </c>
    </row>
    <row r="46">
      <c r="A46" s="14" t="s">
        <v>1357</v>
      </c>
      <c r="B46" s="35">
        <v>43.0</v>
      </c>
      <c r="C46" s="35" t="s">
        <v>2482</v>
      </c>
      <c r="D46" s="35" t="s">
        <v>1571</v>
      </c>
      <c r="E46" s="252" t="s">
        <v>9811</v>
      </c>
      <c r="F46" s="200"/>
      <c r="M46" t="str">
        <f t="shared" si="1"/>
        <v>richardsond@nyassembly.gov</v>
      </c>
    </row>
    <row r="47">
      <c r="A47" s="14" t="s">
        <v>1357</v>
      </c>
      <c r="B47" s="35">
        <v>44.0</v>
      </c>
      <c r="C47" s="35" t="s">
        <v>1134</v>
      </c>
      <c r="D47" s="35" t="s">
        <v>1002</v>
      </c>
      <c r="E47" s="36" t="s">
        <v>49</v>
      </c>
      <c r="F47" s="200"/>
      <c r="M47" t="str">
        <f t="shared" si="1"/>
        <v>carrollr@nyassembly.gov</v>
      </c>
    </row>
    <row r="48">
      <c r="A48" s="14" t="s">
        <v>1357</v>
      </c>
      <c r="B48" s="35">
        <v>45.0</v>
      </c>
      <c r="C48" s="35" t="s">
        <v>1897</v>
      </c>
      <c r="D48" s="35" t="s">
        <v>9816</v>
      </c>
      <c r="E48" s="36" t="s">
        <v>49</v>
      </c>
      <c r="F48" s="200"/>
      <c r="M48" t="str">
        <f t="shared" si="1"/>
        <v>cymbrowitzs@nyassembly.gov</v>
      </c>
    </row>
    <row r="49">
      <c r="A49" s="14" t="s">
        <v>1357</v>
      </c>
      <c r="B49" s="35">
        <v>46.0</v>
      </c>
      <c r="C49" s="74" t="s">
        <v>9820</v>
      </c>
      <c r="D49" s="74" t="s">
        <v>9821</v>
      </c>
      <c r="E49" s="36" t="s">
        <v>49</v>
      </c>
      <c r="F49" s="200"/>
      <c r="M49" t="str">
        <f t="shared" si="1"/>
        <v>frontusm@nyassembly.gov</v>
      </c>
    </row>
    <row r="50">
      <c r="A50" s="14" t="s">
        <v>1357</v>
      </c>
      <c r="B50" s="35">
        <v>47.0</v>
      </c>
      <c r="C50" s="35" t="s">
        <v>1058</v>
      </c>
      <c r="D50" s="35" t="s">
        <v>3079</v>
      </c>
      <c r="E50" s="36" t="s">
        <v>49</v>
      </c>
      <c r="F50" s="200"/>
      <c r="M50" t="str">
        <f t="shared" si="1"/>
        <v>coltonw@nyassembly.gov</v>
      </c>
    </row>
    <row r="51">
      <c r="A51" s="14" t="s">
        <v>1357</v>
      </c>
      <c r="B51" s="35">
        <v>48.0</v>
      </c>
      <c r="C51" s="35" t="s">
        <v>9832</v>
      </c>
      <c r="D51" s="35" t="s">
        <v>9833</v>
      </c>
      <c r="E51" s="36" t="s">
        <v>49</v>
      </c>
      <c r="F51" s="200"/>
      <c r="M51" t="str">
        <f t="shared" si="1"/>
        <v>eichensteins@nyassembly.gov</v>
      </c>
    </row>
    <row r="52">
      <c r="A52" s="14" t="s">
        <v>1357</v>
      </c>
      <c r="B52" s="35">
        <v>49.0</v>
      </c>
      <c r="C52" s="35" t="s">
        <v>367</v>
      </c>
      <c r="D52" s="35" t="s">
        <v>9836</v>
      </c>
      <c r="E52" s="36" t="s">
        <v>49</v>
      </c>
      <c r="F52" s="200"/>
      <c r="M52" t="str">
        <f t="shared" si="1"/>
        <v>abbatep@nyassembly.gov</v>
      </c>
    </row>
    <row r="53">
      <c r="A53" s="14" t="s">
        <v>1357</v>
      </c>
      <c r="B53" s="35">
        <v>50.0</v>
      </c>
      <c r="C53" s="35" t="s">
        <v>2527</v>
      </c>
      <c r="D53" s="35" t="s">
        <v>9838</v>
      </c>
      <c r="E53" s="36" t="s">
        <v>49</v>
      </c>
      <c r="F53" s="200"/>
      <c r="M53" t="str">
        <f t="shared" si="1"/>
        <v>lentolj@nyassembly.gov</v>
      </c>
    </row>
    <row r="54">
      <c r="A54" s="14" t="s">
        <v>1357</v>
      </c>
      <c r="B54" s="35">
        <v>51.0</v>
      </c>
      <c r="C54" s="35" t="s">
        <v>9840</v>
      </c>
      <c r="D54" s="35" t="s">
        <v>242</v>
      </c>
      <c r="E54" s="36" t="s">
        <v>49</v>
      </c>
      <c r="F54" s="200"/>
      <c r="M54" t="str">
        <f t="shared" si="1"/>
        <v>ortizf@nyassembly.gov</v>
      </c>
    </row>
    <row r="55">
      <c r="A55" s="14" t="s">
        <v>1357</v>
      </c>
      <c r="B55" s="35">
        <v>52.0</v>
      </c>
      <c r="C55" s="38" t="s">
        <v>9843</v>
      </c>
      <c r="D55" s="35" t="s">
        <v>6029</v>
      </c>
      <c r="E55" s="36" t="s">
        <v>49</v>
      </c>
      <c r="F55" s="200"/>
      <c r="M55" t="str">
        <f t="shared" si="1"/>
        <v>simonj@nyassembly.gov</v>
      </c>
    </row>
    <row r="56">
      <c r="A56" s="14" t="s">
        <v>1357</v>
      </c>
      <c r="B56" s="35">
        <v>53.0</v>
      </c>
      <c r="C56" s="35" t="s">
        <v>9845</v>
      </c>
      <c r="D56" s="35" t="s">
        <v>9846</v>
      </c>
      <c r="E56" s="36" t="s">
        <v>49</v>
      </c>
      <c r="F56" s="200"/>
      <c r="M56" t="str">
        <f t="shared" si="1"/>
        <v>davilam@nyassembly.gov</v>
      </c>
    </row>
    <row r="57">
      <c r="A57" s="14" t="s">
        <v>1357</v>
      </c>
      <c r="B57" s="35">
        <v>54.0</v>
      </c>
      <c r="C57" s="35" t="s">
        <v>5947</v>
      </c>
      <c r="D57" s="35" t="s">
        <v>9850</v>
      </c>
      <c r="E57" s="36" t="s">
        <v>49</v>
      </c>
      <c r="F57" s="200"/>
      <c r="M57" t="str">
        <f t="shared" si="1"/>
        <v>dilane@nyassembly.gov</v>
      </c>
    </row>
    <row r="58">
      <c r="A58" s="14" t="s">
        <v>1357</v>
      </c>
      <c r="B58" s="35">
        <v>55.0</v>
      </c>
      <c r="C58" s="35" t="s">
        <v>9853</v>
      </c>
      <c r="D58" s="35" t="s">
        <v>1275</v>
      </c>
      <c r="E58" s="36" t="s">
        <v>49</v>
      </c>
      <c r="F58" s="200"/>
      <c r="M58" t="str">
        <f t="shared" si="1"/>
        <v>walkerl@nyassembly.gov</v>
      </c>
    </row>
    <row r="59">
      <c r="A59" s="14" t="s">
        <v>1357</v>
      </c>
      <c r="B59" s="35">
        <v>56.0</v>
      </c>
      <c r="C59" s="35" t="s">
        <v>9858</v>
      </c>
      <c r="D59" s="35" t="s">
        <v>3221</v>
      </c>
      <c r="E59" s="36" t="s">
        <v>49</v>
      </c>
      <c r="F59" s="200"/>
      <c r="M59" t="str">
        <f t="shared" si="1"/>
        <v>wrightt@nyassembly.gov</v>
      </c>
    </row>
    <row r="60">
      <c r="A60" s="14" t="s">
        <v>1357</v>
      </c>
      <c r="B60" s="35">
        <v>57.0</v>
      </c>
      <c r="C60" s="35" t="s">
        <v>669</v>
      </c>
      <c r="D60" s="35" t="s">
        <v>8035</v>
      </c>
      <c r="E60" s="36" t="s">
        <v>49</v>
      </c>
      <c r="F60" s="200"/>
      <c r="M60" t="str">
        <f t="shared" si="1"/>
        <v>mosleyw@nyassembly.gov</v>
      </c>
    </row>
    <row r="61">
      <c r="A61" s="14" t="s">
        <v>1357</v>
      </c>
      <c r="B61" s="35">
        <v>58.0</v>
      </c>
      <c r="C61" s="35" t="s">
        <v>3030</v>
      </c>
      <c r="D61" s="35" t="s">
        <v>1329</v>
      </c>
      <c r="E61" s="36" t="s">
        <v>49</v>
      </c>
      <c r="F61" s="200"/>
      <c r="M61" t="str">
        <f t="shared" si="1"/>
        <v>perryn@nyassembly.gov</v>
      </c>
    </row>
    <row r="62">
      <c r="A62" s="14" t="s">
        <v>1357</v>
      </c>
      <c r="B62" s="35">
        <v>59.0</v>
      </c>
      <c r="C62" s="35" t="s">
        <v>4175</v>
      </c>
      <c r="D62" s="35" t="s">
        <v>793</v>
      </c>
      <c r="E62" s="36" t="s">
        <v>49</v>
      </c>
      <c r="F62" s="200"/>
      <c r="M62" t="str">
        <f t="shared" si="1"/>
        <v>williamsj@nyassembly.gov</v>
      </c>
    </row>
    <row r="63">
      <c r="A63" s="14" t="s">
        <v>1357</v>
      </c>
      <c r="B63" s="35">
        <v>60.0</v>
      </c>
      <c r="C63" s="35" t="s">
        <v>1287</v>
      </c>
      <c r="D63" s="35" t="s">
        <v>6313</v>
      </c>
      <c r="E63" s="36" t="s">
        <v>49</v>
      </c>
      <c r="F63" s="200"/>
      <c r="M63" t="str">
        <f t="shared" si="1"/>
        <v>barronc@nyassembly.gov</v>
      </c>
    </row>
    <row r="64">
      <c r="A64" s="14" t="s">
        <v>1357</v>
      </c>
      <c r="B64" s="35">
        <v>61.0</v>
      </c>
      <c r="C64" s="35" t="s">
        <v>1287</v>
      </c>
      <c r="D64" s="35" t="s">
        <v>9868</v>
      </c>
      <c r="E64" s="36" t="s">
        <v>49</v>
      </c>
      <c r="F64" s="200"/>
      <c r="M64" t="str">
        <f t="shared" si="1"/>
        <v>fallc@nyassembly.gov</v>
      </c>
    </row>
    <row r="65">
      <c r="A65" s="14" t="s">
        <v>1357</v>
      </c>
      <c r="B65" s="35">
        <v>62.0</v>
      </c>
      <c r="C65" s="35" t="s">
        <v>2490</v>
      </c>
      <c r="D65" s="35" t="s">
        <v>6393</v>
      </c>
      <c r="E65" s="51" t="s">
        <v>53</v>
      </c>
      <c r="F65" s="200"/>
      <c r="M65" t="str">
        <f t="shared" si="1"/>
        <v>reillym@nyassembly.gov</v>
      </c>
    </row>
    <row r="66">
      <c r="A66" s="14" t="s">
        <v>1357</v>
      </c>
      <c r="B66" s="35">
        <v>63.0</v>
      </c>
      <c r="C66" s="35" t="s">
        <v>2490</v>
      </c>
      <c r="D66" s="35" t="s">
        <v>9875</v>
      </c>
      <c r="E66" s="36" t="s">
        <v>49</v>
      </c>
      <c r="F66" s="200"/>
      <c r="M66" t="str">
        <f t="shared" si="1"/>
        <v>cusickm@nyassembly.gov</v>
      </c>
    </row>
    <row r="67">
      <c r="A67" s="14" t="s">
        <v>1357</v>
      </c>
      <c r="B67" s="35">
        <v>64.0</v>
      </c>
      <c r="C67" s="35" t="s">
        <v>1648</v>
      </c>
      <c r="D67" s="35" t="s">
        <v>9876</v>
      </c>
      <c r="E67" s="51" t="s">
        <v>53</v>
      </c>
      <c r="F67" s="200"/>
      <c r="M67" t="str">
        <f t="shared" si="1"/>
        <v>malliotakisn@nyassembly.gov</v>
      </c>
    </row>
    <row r="68">
      <c r="A68" s="14" t="s">
        <v>1357</v>
      </c>
      <c r="B68" s="35">
        <v>65.0</v>
      </c>
      <c r="C68" s="35" t="s">
        <v>9877</v>
      </c>
      <c r="D68" s="35" t="s">
        <v>9878</v>
      </c>
      <c r="E68" s="36" t="s">
        <v>49</v>
      </c>
      <c r="F68" s="200"/>
      <c r="M68" t="str">
        <f t="shared" si="1"/>
        <v>niouy@nyassembly.gov</v>
      </c>
    </row>
    <row r="69">
      <c r="A69" s="14" t="s">
        <v>1357</v>
      </c>
      <c r="B69" s="35">
        <v>66.0</v>
      </c>
      <c r="C69" s="35" t="s">
        <v>1395</v>
      </c>
      <c r="D69" s="35" t="s">
        <v>4828</v>
      </c>
      <c r="E69" s="36" t="s">
        <v>49</v>
      </c>
      <c r="F69" s="200"/>
      <c r="M69" t="str">
        <f t="shared" si="1"/>
        <v>glickd@nyassembly.gov</v>
      </c>
    </row>
    <row r="70">
      <c r="A70" s="14" t="s">
        <v>1357</v>
      </c>
      <c r="B70" s="35">
        <v>67.0</v>
      </c>
      <c r="C70" s="35" t="s">
        <v>978</v>
      </c>
      <c r="D70" s="35" t="s">
        <v>9743</v>
      </c>
      <c r="E70" s="36" t="s">
        <v>49</v>
      </c>
      <c r="F70" s="200"/>
      <c r="M70" t="str">
        <f t="shared" si="1"/>
        <v>rosenthall@nyassembly.gov</v>
      </c>
    </row>
    <row r="71">
      <c r="A71" s="14" t="s">
        <v>1357</v>
      </c>
      <c r="B71" s="35">
        <v>68.0</v>
      </c>
      <c r="C71" s="35" t="s">
        <v>1134</v>
      </c>
      <c r="D71" s="35" t="s">
        <v>1094</v>
      </c>
      <c r="E71" s="36" t="s">
        <v>49</v>
      </c>
      <c r="F71" s="200"/>
      <c r="M71" t="str">
        <f t="shared" si="1"/>
        <v>rodriguezr@nyassembly.gov</v>
      </c>
    </row>
    <row r="72">
      <c r="A72" s="14" t="s">
        <v>1357</v>
      </c>
      <c r="B72" s="35">
        <v>69.0</v>
      </c>
      <c r="C72" s="35" t="s">
        <v>552</v>
      </c>
      <c r="D72" s="35" t="s">
        <v>1919</v>
      </c>
      <c r="E72" s="36" t="s">
        <v>49</v>
      </c>
      <c r="F72" s="200"/>
      <c r="M72" t="str">
        <f t="shared" si="1"/>
        <v>o'donnelld@nyassembly.gov</v>
      </c>
    </row>
    <row r="73">
      <c r="A73" s="14" t="s">
        <v>1357</v>
      </c>
      <c r="B73" s="35">
        <v>70.0</v>
      </c>
      <c r="C73" s="35" t="s">
        <v>9885</v>
      </c>
      <c r="D73" s="35" t="s">
        <v>9887</v>
      </c>
      <c r="E73" s="36" t="s">
        <v>49</v>
      </c>
      <c r="F73" s="200"/>
      <c r="M73" t="str">
        <f t="shared" si="1"/>
        <v>dickensi@nyassembly.gov</v>
      </c>
    </row>
    <row r="74">
      <c r="A74" s="14" t="s">
        <v>1357</v>
      </c>
      <c r="B74" s="35">
        <v>71.0</v>
      </c>
      <c r="C74" s="35" t="s">
        <v>1874</v>
      </c>
      <c r="D74" s="35" t="s">
        <v>4255</v>
      </c>
      <c r="E74" s="36" t="s">
        <v>49</v>
      </c>
      <c r="F74" s="200"/>
      <c r="M74" t="str">
        <f t="shared" si="1"/>
        <v>taylora@nyassembly.gov</v>
      </c>
    </row>
    <row r="75">
      <c r="A75" s="14" t="s">
        <v>1357</v>
      </c>
      <c r="B75" s="35">
        <v>72.0</v>
      </c>
      <c r="C75" s="35" t="s">
        <v>9889</v>
      </c>
      <c r="D75" s="38" t="s">
        <v>9890</v>
      </c>
      <c r="E75" s="36" t="s">
        <v>49</v>
      </c>
      <c r="F75" s="200"/>
      <c r="M75" t="str">
        <f t="shared" si="1"/>
        <v>delarosac@nyassembly.gov</v>
      </c>
    </row>
    <row r="76">
      <c r="A76" s="14" t="s">
        <v>1357</v>
      </c>
      <c r="B76" s="35">
        <v>73.0</v>
      </c>
      <c r="C76" s="35" t="s">
        <v>239</v>
      </c>
      <c r="D76" s="35" t="s">
        <v>9894</v>
      </c>
      <c r="E76" s="36" t="s">
        <v>49</v>
      </c>
      <c r="F76" s="200"/>
      <c r="M76" t="str">
        <f t="shared" si="1"/>
        <v>quartd@nyassembly.gov</v>
      </c>
    </row>
    <row r="77">
      <c r="A77" s="14" t="s">
        <v>1357</v>
      </c>
      <c r="B77" s="35">
        <v>74.0</v>
      </c>
      <c r="C77" s="35" t="s">
        <v>5101</v>
      </c>
      <c r="D77" s="35" t="s">
        <v>935</v>
      </c>
      <c r="E77" s="36" t="s">
        <v>49</v>
      </c>
      <c r="F77" s="200"/>
      <c r="M77" t="str">
        <f t="shared" si="1"/>
        <v>epsteinh@nyassembly.gov</v>
      </c>
    </row>
    <row r="78">
      <c r="A78" s="14" t="s">
        <v>1357</v>
      </c>
      <c r="B78" s="35">
        <v>75.0</v>
      </c>
      <c r="C78" s="35" t="s">
        <v>1112</v>
      </c>
      <c r="D78" s="35" t="s">
        <v>9897</v>
      </c>
      <c r="E78" s="36" t="s">
        <v>49</v>
      </c>
      <c r="F78" s="200"/>
      <c r="M78" t="str">
        <f t="shared" si="1"/>
        <v>gottfriedr@nyassembly.gov</v>
      </c>
    </row>
    <row r="79">
      <c r="A79" s="14" t="s">
        <v>1357</v>
      </c>
      <c r="B79" s="35">
        <v>76.0</v>
      </c>
      <c r="C79" s="35" t="s">
        <v>1340</v>
      </c>
      <c r="D79" s="35" t="s">
        <v>9898</v>
      </c>
      <c r="E79" s="36" t="s">
        <v>49</v>
      </c>
      <c r="F79" s="200"/>
      <c r="M79" t="str">
        <f t="shared" si="1"/>
        <v>seawrightr@nyassembly.gov</v>
      </c>
    </row>
    <row r="80">
      <c r="A80" s="14" t="s">
        <v>1357</v>
      </c>
      <c r="B80" s="35">
        <v>77.0</v>
      </c>
      <c r="C80" s="35" t="s">
        <v>9899</v>
      </c>
      <c r="D80" s="35" t="s">
        <v>9900</v>
      </c>
      <c r="E80" s="36" t="s">
        <v>49</v>
      </c>
      <c r="F80" s="200"/>
      <c r="M80" t="str">
        <f t="shared" si="1"/>
        <v>joynerl@nyassembly.gov</v>
      </c>
    </row>
    <row r="81">
      <c r="A81" s="14" t="s">
        <v>1357</v>
      </c>
      <c r="B81" s="35">
        <v>78.0</v>
      </c>
      <c r="C81" s="35" t="s">
        <v>1823</v>
      </c>
      <c r="D81" s="35" t="s">
        <v>9902</v>
      </c>
      <c r="E81" s="36" t="s">
        <v>49</v>
      </c>
      <c r="F81" s="200"/>
      <c r="M81" t="str">
        <f t="shared" si="1"/>
        <v>riveraj@nyassembly.gov</v>
      </c>
    </row>
    <row r="82">
      <c r="A82" s="14" t="s">
        <v>1357</v>
      </c>
      <c r="B82" s="35">
        <v>79.0</v>
      </c>
      <c r="C82" s="35" t="s">
        <v>2490</v>
      </c>
      <c r="D82" s="35" t="s">
        <v>1288</v>
      </c>
      <c r="E82" s="36" t="s">
        <v>49</v>
      </c>
      <c r="F82" s="200"/>
      <c r="M82" t="str">
        <f t="shared" si="1"/>
        <v>blakem@nyassembly.gov</v>
      </c>
    </row>
    <row r="83">
      <c r="A83" s="14" t="s">
        <v>1357</v>
      </c>
      <c r="B83" s="35">
        <v>80.0</v>
      </c>
      <c r="C83" s="35" t="s">
        <v>9905</v>
      </c>
      <c r="D83" s="35" t="s">
        <v>624</v>
      </c>
      <c r="E83" s="36" t="s">
        <v>49</v>
      </c>
      <c r="F83" s="200"/>
      <c r="M83" t="str">
        <f t="shared" si="1"/>
        <v>fernandezn@nyassembly.gov</v>
      </c>
    </row>
    <row r="84">
      <c r="A84" s="14" t="s">
        <v>1357</v>
      </c>
      <c r="B84" s="35">
        <v>81.0</v>
      </c>
      <c r="C84" s="35" t="s">
        <v>2512</v>
      </c>
      <c r="D84" s="35" t="s">
        <v>9906</v>
      </c>
      <c r="E84" s="36" t="s">
        <v>49</v>
      </c>
      <c r="F84" s="200"/>
      <c r="M84" t="str">
        <f t="shared" si="1"/>
        <v>dinowitzj@nyassembly.gov</v>
      </c>
    </row>
    <row r="85">
      <c r="A85" s="14" t="s">
        <v>1357</v>
      </c>
      <c r="B85" s="35">
        <v>82.0</v>
      </c>
      <c r="C85" s="35" t="s">
        <v>2490</v>
      </c>
      <c r="D85" s="35" t="s">
        <v>9907</v>
      </c>
      <c r="E85" s="36" t="s">
        <v>49</v>
      </c>
      <c r="F85" s="200"/>
      <c r="M85" t="str">
        <f t="shared" si="1"/>
        <v>benedettom@nyassembly.gov</v>
      </c>
    </row>
    <row r="86">
      <c r="A86" s="14" t="s">
        <v>1357</v>
      </c>
      <c r="B86" s="35">
        <v>83.0</v>
      </c>
      <c r="C86" s="35" t="s">
        <v>4087</v>
      </c>
      <c r="D86" s="35" t="s">
        <v>9908</v>
      </c>
      <c r="E86" s="36" t="s">
        <v>49</v>
      </c>
      <c r="F86" s="200"/>
      <c r="M86" t="str">
        <f t="shared" si="1"/>
        <v>heastiec@nyassembly.gov</v>
      </c>
    </row>
    <row r="87">
      <c r="A87" s="14" t="s">
        <v>1357</v>
      </c>
      <c r="B87" s="35">
        <v>84.0</v>
      </c>
      <c r="C87" s="35" t="s">
        <v>9889</v>
      </c>
      <c r="D87" s="35" t="s">
        <v>9910</v>
      </c>
      <c r="E87" s="36" t="s">
        <v>49</v>
      </c>
      <c r="F87" s="200"/>
      <c r="M87" t="str">
        <f t="shared" si="1"/>
        <v>arroyoc@nyassembly.gov</v>
      </c>
    </row>
    <row r="88">
      <c r="A88" s="14" t="s">
        <v>1357</v>
      </c>
      <c r="B88" s="35">
        <v>85.0</v>
      </c>
      <c r="C88" s="35" t="s">
        <v>9912</v>
      </c>
      <c r="D88" s="35" t="s">
        <v>4195</v>
      </c>
      <c r="E88" s="36" t="s">
        <v>49</v>
      </c>
      <c r="F88" s="200"/>
      <c r="M88" t="str">
        <f t="shared" si="1"/>
        <v>crespom@nyassembly.gov</v>
      </c>
    </row>
    <row r="89">
      <c r="A89" s="14" t="s">
        <v>1357</v>
      </c>
      <c r="B89" s="35">
        <v>86.0</v>
      </c>
      <c r="C89" s="35" t="s">
        <v>749</v>
      </c>
      <c r="D89" s="35" t="s">
        <v>9916</v>
      </c>
      <c r="E89" s="36" t="s">
        <v>49</v>
      </c>
      <c r="F89" s="200"/>
      <c r="M89" t="str">
        <f t="shared" si="1"/>
        <v>pichardov@nyassembly.gov</v>
      </c>
    </row>
    <row r="90">
      <c r="A90" s="14" t="s">
        <v>1357</v>
      </c>
      <c r="B90" s="35">
        <v>87.0</v>
      </c>
      <c r="C90" s="74" t="s">
        <v>9917</v>
      </c>
      <c r="D90" s="74" t="s">
        <v>1692</v>
      </c>
      <c r="E90" s="36" t="s">
        <v>49</v>
      </c>
      <c r="F90" s="200"/>
      <c r="M90" t="str">
        <f t="shared" si="1"/>
        <v>reyesk@nyassembly.gov</v>
      </c>
    </row>
    <row r="91">
      <c r="A91" s="14" t="s">
        <v>1357</v>
      </c>
      <c r="B91" s="35">
        <v>88.0</v>
      </c>
      <c r="C91" s="35" t="s">
        <v>2969</v>
      </c>
      <c r="D91" s="35" t="s">
        <v>9920</v>
      </c>
      <c r="E91" s="36" t="s">
        <v>49</v>
      </c>
      <c r="F91" s="200"/>
      <c r="M91" t="str">
        <f t="shared" si="1"/>
        <v>paulina@nyassembly.gov</v>
      </c>
    </row>
    <row r="92">
      <c r="A92" s="14" t="s">
        <v>1357</v>
      </c>
      <c r="B92" s="35">
        <v>89.0</v>
      </c>
      <c r="C92" s="35" t="s">
        <v>199</v>
      </c>
      <c r="D92" s="35" t="s">
        <v>9922</v>
      </c>
      <c r="E92" s="36" t="s">
        <v>49</v>
      </c>
      <c r="F92" s="200"/>
      <c r="M92" t="str">
        <f t="shared" si="1"/>
        <v>pretlowg@nyassembly.gov</v>
      </c>
    </row>
    <row r="93">
      <c r="A93" s="14" t="s">
        <v>1357</v>
      </c>
      <c r="B93" s="35">
        <v>90.0</v>
      </c>
      <c r="C93" s="74" t="s">
        <v>9924</v>
      </c>
      <c r="D93" s="74" t="s">
        <v>9925</v>
      </c>
      <c r="E93" s="36" t="s">
        <v>49</v>
      </c>
      <c r="F93" s="200"/>
      <c r="M93" t="str">
        <f t="shared" si="1"/>
        <v>sayeghn@nyassembly.gov</v>
      </c>
    </row>
    <row r="94">
      <c r="A94" s="14" t="s">
        <v>1357</v>
      </c>
      <c r="B94" s="35">
        <v>91.0</v>
      </c>
      <c r="C94" s="35" t="s">
        <v>1897</v>
      </c>
      <c r="D94" s="35" t="s">
        <v>9928</v>
      </c>
      <c r="E94" s="36" t="s">
        <v>49</v>
      </c>
      <c r="F94" s="200"/>
      <c r="M94" t="str">
        <f t="shared" si="1"/>
        <v>otiss@nyassembly.gov</v>
      </c>
    </row>
    <row r="95">
      <c r="A95" s="14" t="s">
        <v>1357</v>
      </c>
      <c r="B95" s="35">
        <v>92.0</v>
      </c>
      <c r="C95" s="35" t="s">
        <v>338</v>
      </c>
      <c r="D95" s="35" t="s">
        <v>9936</v>
      </c>
      <c r="E95" s="36" t="s">
        <v>49</v>
      </c>
      <c r="F95" s="200"/>
      <c r="M95" t="str">
        <f t="shared" si="1"/>
        <v>abinantit@nyassembly.gov</v>
      </c>
    </row>
    <row r="96">
      <c r="A96" s="14" t="s">
        <v>1357</v>
      </c>
      <c r="B96" s="35">
        <v>93.0</v>
      </c>
      <c r="C96" s="35" t="s">
        <v>108</v>
      </c>
      <c r="D96" s="35" t="s">
        <v>9938</v>
      </c>
      <c r="E96" s="36" t="s">
        <v>49</v>
      </c>
      <c r="F96" s="200"/>
      <c r="M96" t="str">
        <f t="shared" si="1"/>
        <v>buchwaldd@nyassembly.gov</v>
      </c>
    </row>
    <row r="97">
      <c r="A97" s="14" t="s">
        <v>1357</v>
      </c>
      <c r="B97" s="35">
        <v>94.0</v>
      </c>
      <c r="C97" s="35" t="s">
        <v>971</v>
      </c>
      <c r="D97" s="35" t="s">
        <v>1131</v>
      </c>
      <c r="E97" s="51" t="s">
        <v>53</v>
      </c>
      <c r="F97" s="200"/>
      <c r="M97" t="str">
        <f t="shared" si="1"/>
        <v>byrnek@nyassembly.gov</v>
      </c>
    </row>
    <row r="98">
      <c r="A98" s="14" t="s">
        <v>1357</v>
      </c>
      <c r="B98" s="35">
        <v>95.0</v>
      </c>
      <c r="C98" s="35" t="s">
        <v>5229</v>
      </c>
      <c r="D98" s="35" t="s">
        <v>9956</v>
      </c>
      <c r="E98" s="36" t="s">
        <v>49</v>
      </c>
      <c r="F98" s="200"/>
      <c r="M98" t="str">
        <f t="shared" si="1"/>
        <v>galefs@nyassembly.gov</v>
      </c>
    </row>
    <row r="99">
      <c r="A99" s="14" t="s">
        <v>1357</v>
      </c>
      <c r="B99" s="35">
        <v>96.0</v>
      </c>
      <c r="C99" s="35" t="s">
        <v>2777</v>
      </c>
      <c r="D99" s="35" t="s">
        <v>9969</v>
      </c>
      <c r="E99" s="36" t="s">
        <v>49</v>
      </c>
      <c r="F99" s="200"/>
      <c r="M99" t="str">
        <f t="shared" si="1"/>
        <v>zebrowski,k@nyassembly.gov</v>
      </c>
    </row>
    <row r="100">
      <c r="A100" s="14" t="s">
        <v>1357</v>
      </c>
      <c r="B100" s="35">
        <v>97.0</v>
      </c>
      <c r="C100" s="35" t="s">
        <v>9356</v>
      </c>
      <c r="D100" s="35" t="s">
        <v>9978</v>
      </c>
      <c r="E100" s="36" t="s">
        <v>49</v>
      </c>
      <c r="F100" s="200"/>
      <c r="M100" t="str">
        <f t="shared" si="1"/>
        <v>jaffeee@nyassembly.gov</v>
      </c>
    </row>
    <row r="101">
      <c r="A101" s="14" t="s">
        <v>1357</v>
      </c>
      <c r="B101" s="35">
        <v>98.0</v>
      </c>
      <c r="C101" s="35" t="s">
        <v>3578</v>
      </c>
      <c r="D101" s="35" t="s">
        <v>9985</v>
      </c>
      <c r="E101" s="51" t="s">
        <v>53</v>
      </c>
      <c r="F101" s="200"/>
      <c r="M101" t="str">
        <f t="shared" si="1"/>
        <v>brabeneck@nyassembly.gov</v>
      </c>
    </row>
    <row r="102">
      <c r="A102" s="14" t="s">
        <v>1357</v>
      </c>
      <c r="B102" s="35">
        <v>99.0</v>
      </c>
      <c r="C102" s="35" t="s">
        <v>1779</v>
      </c>
      <c r="D102" s="35" t="s">
        <v>9987</v>
      </c>
      <c r="E102" s="51" t="s">
        <v>53</v>
      </c>
      <c r="F102" s="200"/>
      <c r="M102" t="str">
        <f t="shared" si="1"/>
        <v>schmittc@nyassembly.gov</v>
      </c>
    </row>
    <row r="103">
      <c r="A103" s="14" t="s">
        <v>1357</v>
      </c>
      <c r="B103" s="35">
        <v>100.0</v>
      </c>
      <c r="C103" s="35" t="s">
        <v>9995</v>
      </c>
      <c r="D103" s="35" t="s">
        <v>7538</v>
      </c>
      <c r="E103" s="36" t="s">
        <v>49</v>
      </c>
      <c r="F103" s="200"/>
      <c r="M103" t="str">
        <f t="shared" si="1"/>
        <v>gunthera@nyassembly.gov</v>
      </c>
    </row>
    <row r="104">
      <c r="A104" s="14" t="s">
        <v>1357</v>
      </c>
      <c r="B104" s="35">
        <v>101.0</v>
      </c>
      <c r="C104" s="35" t="s">
        <v>1331</v>
      </c>
      <c r="D104" s="35" t="s">
        <v>1501</v>
      </c>
      <c r="E104" s="51" t="s">
        <v>53</v>
      </c>
      <c r="F104" s="200"/>
      <c r="M104" t="str">
        <f t="shared" si="1"/>
        <v>millerb@nyassembly.gov</v>
      </c>
    </row>
    <row r="105">
      <c r="A105" s="14" t="s">
        <v>1357</v>
      </c>
      <c r="B105" s="35">
        <v>102.0</v>
      </c>
      <c r="C105" s="35" t="s">
        <v>575</v>
      </c>
      <c r="D105" s="35" t="s">
        <v>10012</v>
      </c>
      <c r="E105" s="51" t="s">
        <v>53</v>
      </c>
      <c r="F105" s="200"/>
      <c r="M105" t="str">
        <f t="shared" si="1"/>
        <v>taguec@nyassembly.gov</v>
      </c>
    </row>
    <row r="106">
      <c r="A106" s="14" t="s">
        <v>1357</v>
      </c>
      <c r="B106" s="35">
        <v>103.0</v>
      </c>
      <c r="C106" s="35" t="s">
        <v>971</v>
      </c>
      <c r="D106" s="35" t="s">
        <v>6780</v>
      </c>
      <c r="E106" s="36" t="s">
        <v>49</v>
      </c>
      <c r="F106" s="200"/>
      <c r="M106" t="str">
        <f t="shared" si="1"/>
        <v>cahillk@nyassembly.gov</v>
      </c>
    </row>
    <row r="107">
      <c r="A107" s="14" t="s">
        <v>1357</v>
      </c>
      <c r="B107" s="35">
        <v>104.0</v>
      </c>
      <c r="C107" s="74" t="s">
        <v>235</v>
      </c>
      <c r="D107" s="74" t="s">
        <v>8945</v>
      </c>
      <c r="E107" s="36" t="s">
        <v>49</v>
      </c>
      <c r="F107" s="200"/>
      <c r="M107" t="str">
        <f t="shared" si="1"/>
        <v>jacobsonj@nyassembly.gov</v>
      </c>
    </row>
    <row r="108">
      <c r="A108" s="14" t="s">
        <v>1357</v>
      </c>
      <c r="B108" s="35">
        <v>105.0</v>
      </c>
      <c r="C108" s="35" t="s">
        <v>10022</v>
      </c>
      <c r="D108" s="35" t="s">
        <v>10023</v>
      </c>
      <c r="E108" s="51" t="s">
        <v>53</v>
      </c>
      <c r="F108" s="200"/>
      <c r="M108" t="str">
        <f t="shared" si="1"/>
        <v>lalork@nyassembly.gov</v>
      </c>
    </row>
    <row r="109">
      <c r="A109" s="14" t="s">
        <v>1357</v>
      </c>
      <c r="B109" s="35">
        <v>106.0</v>
      </c>
      <c r="C109" s="35" t="s">
        <v>10028</v>
      </c>
      <c r="D109" s="35" t="s">
        <v>4745</v>
      </c>
      <c r="E109" s="36" t="s">
        <v>49</v>
      </c>
      <c r="F109" s="200"/>
      <c r="M109" t="str">
        <f t="shared" si="1"/>
        <v>barrettd@nyassembly.gov</v>
      </c>
    </row>
    <row r="110">
      <c r="A110" s="14" t="s">
        <v>1357</v>
      </c>
      <c r="B110" s="35">
        <v>107.0</v>
      </c>
      <c r="C110" s="35" t="s">
        <v>4829</v>
      </c>
      <c r="D110" s="35" t="s">
        <v>10040</v>
      </c>
      <c r="E110" s="51" t="s">
        <v>53</v>
      </c>
      <c r="F110" s="200"/>
      <c r="M110" t="str">
        <f t="shared" si="1"/>
        <v>ashbyj@nyassembly.gov</v>
      </c>
    </row>
    <row r="111">
      <c r="A111" s="14" t="s">
        <v>1357</v>
      </c>
      <c r="B111" s="35">
        <v>108.0</v>
      </c>
      <c r="C111" s="35" t="s">
        <v>278</v>
      </c>
      <c r="D111" s="35" t="s">
        <v>6869</v>
      </c>
      <c r="E111" s="36" t="s">
        <v>49</v>
      </c>
      <c r="F111" s="200"/>
      <c r="M111" t="str">
        <f t="shared" si="1"/>
        <v>mcdonaldj@nyassembly.gov</v>
      </c>
    </row>
    <row r="112">
      <c r="A112" s="14" t="s">
        <v>1357</v>
      </c>
      <c r="B112" s="35">
        <v>109.0</v>
      </c>
      <c r="C112" s="35" t="s">
        <v>2249</v>
      </c>
      <c r="D112" s="35" t="s">
        <v>10053</v>
      </c>
      <c r="E112" s="36" t="s">
        <v>49</v>
      </c>
      <c r="F112" s="200"/>
      <c r="M112" t="str">
        <f t="shared" si="1"/>
        <v>fahyp@nyassembly.gov</v>
      </c>
    </row>
    <row r="113">
      <c r="A113" s="14" t="s">
        <v>1357</v>
      </c>
      <c r="B113" s="35">
        <v>110.0</v>
      </c>
      <c r="C113" s="35" t="s">
        <v>1483</v>
      </c>
      <c r="D113" s="35" t="s">
        <v>10056</v>
      </c>
      <c r="E113" s="36" t="s">
        <v>49</v>
      </c>
      <c r="F113" s="200"/>
      <c r="M113" t="str">
        <f t="shared" si="1"/>
        <v>steckp@nyassembly.gov</v>
      </c>
    </row>
    <row r="114">
      <c r="A114" s="14" t="s">
        <v>1357</v>
      </c>
      <c r="B114" s="35">
        <v>111.0</v>
      </c>
      <c r="C114" s="35" t="s">
        <v>6837</v>
      </c>
      <c r="D114" s="35" t="s">
        <v>10061</v>
      </c>
      <c r="E114" s="36" t="s">
        <v>49</v>
      </c>
      <c r="F114" s="200"/>
      <c r="M114" t="str">
        <f t="shared" si="1"/>
        <v>santabarbaraa@nyassembly.gov</v>
      </c>
    </row>
    <row r="115">
      <c r="A115" s="14" t="s">
        <v>1357</v>
      </c>
      <c r="B115" s="35">
        <v>112.0</v>
      </c>
      <c r="C115" s="35" t="s">
        <v>514</v>
      </c>
      <c r="D115" s="35" t="s">
        <v>2877</v>
      </c>
      <c r="E115" s="51" t="s">
        <v>53</v>
      </c>
      <c r="F115" s="200"/>
      <c r="M115" t="str">
        <f t="shared" si="1"/>
        <v>walshm@nyassembly.gov</v>
      </c>
    </row>
    <row r="116">
      <c r="A116" s="14" t="s">
        <v>1357</v>
      </c>
      <c r="B116" s="35">
        <v>113.0</v>
      </c>
      <c r="C116" s="35" t="s">
        <v>5714</v>
      </c>
      <c r="D116" s="35" t="s">
        <v>10072</v>
      </c>
      <c r="E116" s="36" t="s">
        <v>49</v>
      </c>
      <c r="F116" s="200"/>
      <c r="M116" t="str">
        <f t="shared" si="1"/>
        <v>woernerc@nyassembly.gov</v>
      </c>
    </row>
    <row r="117">
      <c r="A117" s="14" t="s">
        <v>1357</v>
      </c>
      <c r="B117" s="35">
        <v>114.0</v>
      </c>
      <c r="C117" s="35" t="s">
        <v>239</v>
      </c>
      <c r="D117" s="35" t="s">
        <v>10077</v>
      </c>
      <c r="E117" s="51" t="s">
        <v>53</v>
      </c>
      <c r="F117" s="200"/>
      <c r="M117" t="str">
        <f t="shared" si="1"/>
        <v>stecd@nyassembly.gov</v>
      </c>
    </row>
    <row r="118">
      <c r="A118" s="14" t="s">
        <v>1357</v>
      </c>
      <c r="B118" s="35">
        <v>115.0</v>
      </c>
      <c r="C118" s="35" t="s">
        <v>3651</v>
      </c>
      <c r="D118" s="35" t="s">
        <v>706</v>
      </c>
      <c r="E118" s="36" t="s">
        <v>49</v>
      </c>
      <c r="F118" s="200"/>
      <c r="M118" t="str">
        <f t="shared" si="1"/>
        <v>jonesb@nyassembly.gov</v>
      </c>
    </row>
    <row r="119">
      <c r="A119" s="14" t="s">
        <v>1357</v>
      </c>
      <c r="B119" s="35">
        <v>116.0</v>
      </c>
      <c r="C119" s="35" t="s">
        <v>91</v>
      </c>
      <c r="D119" s="35" t="s">
        <v>10082</v>
      </c>
      <c r="E119" s="51" t="s">
        <v>53</v>
      </c>
      <c r="F119" s="200"/>
      <c r="M119" t="str">
        <f t="shared" si="1"/>
        <v>walczykm@nyassembly.gov</v>
      </c>
    </row>
    <row r="120">
      <c r="A120" s="14" t="s">
        <v>1357</v>
      </c>
      <c r="B120" s="35">
        <v>117.0</v>
      </c>
      <c r="C120" s="35" t="s">
        <v>1049</v>
      </c>
      <c r="D120" s="35" t="s">
        <v>10090</v>
      </c>
      <c r="E120" s="51" t="s">
        <v>53</v>
      </c>
      <c r="F120" s="200"/>
      <c r="M120" t="str">
        <f t="shared" si="1"/>
        <v>blankenbushk@nyassembly.gov</v>
      </c>
    </row>
    <row r="121">
      <c r="A121" s="14" t="s">
        <v>1357</v>
      </c>
      <c r="B121" s="35">
        <v>118.0</v>
      </c>
      <c r="C121" s="35" t="s">
        <v>1134</v>
      </c>
      <c r="D121" s="35" t="s">
        <v>10091</v>
      </c>
      <c r="E121" s="51" t="s">
        <v>53</v>
      </c>
      <c r="F121" s="200"/>
      <c r="M121" t="str">
        <f t="shared" si="1"/>
        <v>smullenr@nyassembly.gov</v>
      </c>
    </row>
    <row r="122">
      <c r="A122" s="14" t="s">
        <v>1357</v>
      </c>
      <c r="B122" s="35">
        <v>119.0</v>
      </c>
      <c r="C122" s="35" t="s">
        <v>6997</v>
      </c>
      <c r="D122" s="35" t="s">
        <v>10095</v>
      </c>
      <c r="E122" s="36" t="s">
        <v>49</v>
      </c>
      <c r="F122" s="200"/>
      <c r="M122" t="str">
        <f t="shared" si="1"/>
        <v>buttenschonm@nyassembly.gov</v>
      </c>
    </row>
    <row r="123">
      <c r="A123" s="14" t="s">
        <v>1357</v>
      </c>
      <c r="B123" s="35">
        <v>120.0</v>
      </c>
      <c r="C123" s="35" t="s">
        <v>1058</v>
      </c>
      <c r="D123" s="35" t="s">
        <v>10105</v>
      </c>
      <c r="E123" s="51" t="s">
        <v>53</v>
      </c>
      <c r="F123" s="200"/>
      <c r="M123" t="str">
        <f t="shared" si="1"/>
        <v>barclayw@nyassembly.gov</v>
      </c>
    </row>
    <row r="124">
      <c r="A124" s="14" t="s">
        <v>1357</v>
      </c>
      <c r="B124" s="35">
        <v>121.0</v>
      </c>
      <c r="C124" s="35" t="s">
        <v>278</v>
      </c>
      <c r="D124" s="35" t="s">
        <v>10111</v>
      </c>
      <c r="E124" s="51" t="s">
        <v>53</v>
      </c>
      <c r="F124" s="200"/>
      <c r="M124" t="str">
        <f t="shared" si="1"/>
        <v>salkaj@nyassembly.gov</v>
      </c>
    </row>
    <row r="125">
      <c r="A125" s="14" t="s">
        <v>1357</v>
      </c>
      <c r="B125" s="35">
        <v>122.0</v>
      </c>
      <c r="C125" s="35" t="s">
        <v>10121</v>
      </c>
      <c r="D125" s="35" t="s">
        <v>10122</v>
      </c>
      <c r="E125" s="51" t="s">
        <v>53</v>
      </c>
      <c r="F125" s="200"/>
      <c r="M125" t="str">
        <f t="shared" si="1"/>
        <v>crouchc@nyassembly.gov</v>
      </c>
    </row>
    <row r="126">
      <c r="A126" s="14" t="s">
        <v>1357</v>
      </c>
      <c r="B126" s="35">
        <v>123.0</v>
      </c>
      <c r="C126" s="35" t="s">
        <v>3404</v>
      </c>
      <c r="D126" s="35" t="s">
        <v>10125</v>
      </c>
      <c r="E126" s="36" t="s">
        <v>49</v>
      </c>
      <c r="F126" s="200"/>
      <c r="M126" t="str">
        <f t="shared" si="1"/>
        <v>lupardod@nyassembly.gov</v>
      </c>
    </row>
    <row r="127">
      <c r="A127" s="14" t="s">
        <v>1357</v>
      </c>
      <c r="B127" s="35">
        <v>124.0</v>
      </c>
      <c r="C127" s="35" t="s">
        <v>575</v>
      </c>
      <c r="D127" s="35" t="s">
        <v>10130</v>
      </c>
      <c r="E127" s="51" t="s">
        <v>53</v>
      </c>
      <c r="F127" s="200"/>
      <c r="M127" t="str">
        <f t="shared" si="1"/>
        <v>friendc@nyassembly.gov</v>
      </c>
    </row>
    <row r="128">
      <c r="A128" s="14" t="s">
        <v>1357</v>
      </c>
      <c r="B128" s="35">
        <v>125.0</v>
      </c>
      <c r="C128" s="35" t="s">
        <v>384</v>
      </c>
      <c r="D128" s="35" t="s">
        <v>10133</v>
      </c>
      <c r="E128" s="36" t="s">
        <v>49</v>
      </c>
      <c r="F128" s="200"/>
      <c r="M128" t="str">
        <f t="shared" si="1"/>
        <v>liftonb@nyassembly.gov</v>
      </c>
    </row>
    <row r="129">
      <c r="A129" s="14" t="s">
        <v>1357</v>
      </c>
      <c r="B129" s="35">
        <v>126.0</v>
      </c>
      <c r="C129" s="35" t="s">
        <v>199</v>
      </c>
      <c r="D129" s="35" t="s">
        <v>5055</v>
      </c>
      <c r="E129" s="51" t="s">
        <v>53</v>
      </c>
      <c r="F129" s="200"/>
      <c r="M129" t="str">
        <f t="shared" si="1"/>
        <v>finchg@nyassembly.gov</v>
      </c>
    </row>
    <row r="130">
      <c r="A130" s="14" t="s">
        <v>1357</v>
      </c>
      <c r="B130" s="35">
        <v>127.0</v>
      </c>
      <c r="C130" s="35" t="s">
        <v>1874</v>
      </c>
      <c r="D130" s="35" t="s">
        <v>10143</v>
      </c>
      <c r="E130" s="36" t="s">
        <v>49</v>
      </c>
      <c r="F130" s="200"/>
      <c r="M130" t="str">
        <f t="shared" si="1"/>
        <v>stirpea@nyassembly.gov</v>
      </c>
    </row>
    <row r="131">
      <c r="A131" s="14" t="s">
        <v>1357</v>
      </c>
      <c r="B131" s="35">
        <v>128.0</v>
      </c>
      <c r="C131" s="35" t="s">
        <v>760</v>
      </c>
      <c r="D131" s="35" t="s">
        <v>2354</v>
      </c>
      <c r="E131" s="36" t="s">
        <v>49</v>
      </c>
      <c r="F131" s="200"/>
      <c r="M131" t="str">
        <f t="shared" si="1"/>
        <v>hunterp@nyassembly.gov</v>
      </c>
    </row>
    <row r="132">
      <c r="A132" s="14" t="s">
        <v>1357</v>
      </c>
      <c r="B132" s="35">
        <v>129.0</v>
      </c>
      <c r="C132" s="35" t="s">
        <v>1058</v>
      </c>
      <c r="D132" s="35" t="s">
        <v>10155</v>
      </c>
      <c r="E132" s="36" t="s">
        <v>49</v>
      </c>
      <c r="F132" s="200"/>
      <c r="M132" t="str">
        <f t="shared" si="1"/>
        <v>magnarelliw@nyassembly.gov</v>
      </c>
    </row>
    <row r="133">
      <c r="A133" s="14" t="s">
        <v>1357</v>
      </c>
      <c r="B133" s="35">
        <v>130.0</v>
      </c>
      <c r="C133" s="35" t="s">
        <v>1331</v>
      </c>
      <c r="D133" s="35" t="s">
        <v>10162</v>
      </c>
      <c r="E133" s="51" t="s">
        <v>53</v>
      </c>
      <c r="F133" s="200"/>
      <c r="M133" t="str">
        <f t="shared" si="1"/>
        <v>manktelowb@nyassembly.gov</v>
      </c>
    </row>
    <row r="134">
      <c r="A134" s="14" t="s">
        <v>1357</v>
      </c>
      <c r="B134" s="35">
        <v>131.0</v>
      </c>
      <c r="C134" s="35" t="s">
        <v>1331</v>
      </c>
      <c r="D134" s="35" t="s">
        <v>10167</v>
      </c>
      <c r="E134" s="51" t="s">
        <v>53</v>
      </c>
      <c r="F134" s="200"/>
      <c r="M134" t="str">
        <f t="shared" si="1"/>
        <v>kolbb@nyassembly.gov</v>
      </c>
    </row>
    <row r="135">
      <c r="A135" s="14" t="s">
        <v>1357</v>
      </c>
      <c r="B135" s="35">
        <v>132.0</v>
      </c>
      <c r="C135" s="35" t="s">
        <v>5231</v>
      </c>
      <c r="D135" s="35" t="s">
        <v>10174</v>
      </c>
      <c r="E135" s="51" t="s">
        <v>53</v>
      </c>
      <c r="F135" s="200"/>
      <c r="M135" t="str">
        <f t="shared" si="1"/>
        <v>palmesanop@nyassembly.gov</v>
      </c>
    </row>
    <row r="136">
      <c r="A136" s="14" t="s">
        <v>1357</v>
      </c>
      <c r="B136" s="35">
        <v>133.0</v>
      </c>
      <c r="C136" s="35" t="s">
        <v>6900</v>
      </c>
      <c r="D136" s="35" t="s">
        <v>10175</v>
      </c>
      <c r="E136" s="51" t="s">
        <v>53</v>
      </c>
      <c r="F136" s="200"/>
      <c r="M136" t="str">
        <f t="shared" si="1"/>
        <v>byrnesm@nyassembly.gov</v>
      </c>
    </row>
    <row r="137">
      <c r="A137" s="14" t="s">
        <v>1357</v>
      </c>
      <c r="B137" s="35">
        <v>134.0</v>
      </c>
      <c r="C137" s="35" t="s">
        <v>367</v>
      </c>
      <c r="D137" s="35" t="s">
        <v>572</v>
      </c>
      <c r="E137" s="51" t="s">
        <v>53</v>
      </c>
      <c r="F137" s="200"/>
      <c r="M137" t="str">
        <f t="shared" si="1"/>
        <v>lawrencep@nyassembly.gov</v>
      </c>
    </row>
    <row r="138">
      <c r="A138" s="14" t="s">
        <v>1357</v>
      </c>
      <c r="B138" s="35">
        <v>135.0</v>
      </c>
      <c r="C138" s="35" t="s">
        <v>91</v>
      </c>
      <c r="D138" s="35" t="s">
        <v>6734</v>
      </c>
      <c r="E138" s="51" t="s">
        <v>53</v>
      </c>
      <c r="F138" s="200"/>
      <c r="M138" t="str">
        <f t="shared" si="1"/>
        <v>johnsm@nyassembly.gov</v>
      </c>
    </row>
    <row r="139">
      <c r="A139" s="14" t="s">
        <v>1357</v>
      </c>
      <c r="B139" s="35">
        <v>136.0</v>
      </c>
      <c r="C139" s="35" t="s">
        <v>283</v>
      </c>
      <c r="D139" s="35" t="s">
        <v>10187</v>
      </c>
      <c r="E139" s="36" t="s">
        <v>49</v>
      </c>
      <c r="F139" s="200"/>
      <c r="M139" t="str">
        <f t="shared" si="1"/>
        <v>romeoj@nyassembly.gov</v>
      </c>
    </row>
    <row r="140">
      <c r="A140" s="14" t="s">
        <v>1357</v>
      </c>
      <c r="B140" s="35">
        <v>137.0</v>
      </c>
      <c r="C140" s="35" t="s">
        <v>108</v>
      </c>
      <c r="D140" s="35" t="s">
        <v>10191</v>
      </c>
      <c r="E140" s="36" t="s">
        <v>49</v>
      </c>
      <c r="F140" s="200"/>
      <c r="M140" t="str">
        <f t="shared" si="1"/>
        <v>ganttd@nyassembly.gov</v>
      </c>
    </row>
    <row r="141">
      <c r="A141" s="14" t="s">
        <v>1357</v>
      </c>
      <c r="B141" s="35">
        <v>138.0</v>
      </c>
      <c r="C141" s="35" t="s">
        <v>543</v>
      </c>
      <c r="D141" s="35" t="s">
        <v>10195</v>
      </c>
      <c r="E141" s="36" t="s">
        <v>49</v>
      </c>
      <c r="F141" s="200"/>
      <c r="M141" t="str">
        <f t="shared" si="1"/>
        <v>bronsonh@nyassembly.gov</v>
      </c>
    </row>
    <row r="142">
      <c r="A142" s="14" t="s">
        <v>1357</v>
      </c>
      <c r="B142" s="35">
        <v>139.0</v>
      </c>
      <c r="C142" s="35" t="s">
        <v>1505</v>
      </c>
      <c r="D142" s="35" t="s">
        <v>8818</v>
      </c>
      <c r="E142" s="51" t="s">
        <v>53</v>
      </c>
      <c r="F142" s="200"/>
      <c r="M142" t="str">
        <f t="shared" si="1"/>
        <v>hawleys@nyassembly.gov</v>
      </c>
    </row>
    <row r="143">
      <c r="A143" s="14" t="s">
        <v>1357</v>
      </c>
      <c r="B143" s="35">
        <v>140.0</v>
      </c>
      <c r="C143" s="35" t="s">
        <v>1651</v>
      </c>
      <c r="D143" s="35" t="s">
        <v>10203</v>
      </c>
      <c r="E143" s="36" t="s">
        <v>49</v>
      </c>
      <c r="F143" s="200"/>
      <c r="M143" t="str">
        <f t="shared" si="1"/>
        <v>schimmingerr@nyassembly.gov</v>
      </c>
    </row>
    <row r="144">
      <c r="A144" s="14" t="s">
        <v>1357</v>
      </c>
      <c r="B144" s="35">
        <v>141.0</v>
      </c>
      <c r="C144" s="35" t="s">
        <v>8411</v>
      </c>
      <c r="D144" s="35" t="s">
        <v>5905</v>
      </c>
      <c r="E144" s="36" t="s">
        <v>49</v>
      </c>
      <c r="F144" s="200"/>
      <c r="M144" t="str">
        <f t="shared" si="1"/>
        <v>peoplesc@nyassembly.gov</v>
      </c>
    </row>
    <row r="145">
      <c r="A145" s="14" t="s">
        <v>1357</v>
      </c>
      <c r="B145" s="35">
        <v>142.0</v>
      </c>
      <c r="C145" s="35" t="s">
        <v>1914</v>
      </c>
      <c r="D145" s="35" t="s">
        <v>1837</v>
      </c>
      <c r="E145" s="100" t="s">
        <v>49</v>
      </c>
      <c r="F145" s="200"/>
      <c r="M145" t="str">
        <f t="shared" si="1"/>
        <v>burkep@nyassembly.gov</v>
      </c>
    </row>
    <row r="146">
      <c r="A146" s="14" t="s">
        <v>1357</v>
      </c>
      <c r="B146" s="35">
        <v>143.0</v>
      </c>
      <c r="C146" s="35" t="s">
        <v>1798</v>
      </c>
      <c r="D146" s="35" t="s">
        <v>2214</v>
      </c>
      <c r="E146" s="36" t="s">
        <v>49</v>
      </c>
      <c r="F146" s="200"/>
      <c r="M146" t="str">
        <f t="shared" si="1"/>
        <v>wallacem@nyassembly.gov</v>
      </c>
    </row>
    <row r="147">
      <c r="A147" s="14" t="s">
        <v>1357</v>
      </c>
      <c r="B147" s="35">
        <v>144.0</v>
      </c>
      <c r="C147" s="35" t="s">
        <v>2490</v>
      </c>
      <c r="D147" s="35" t="s">
        <v>10218</v>
      </c>
      <c r="E147" s="51" t="s">
        <v>53</v>
      </c>
      <c r="F147" s="200"/>
      <c r="M147" t="str">
        <f t="shared" si="1"/>
        <v>norrism@nyassembly.gov</v>
      </c>
    </row>
    <row r="148">
      <c r="A148" s="14" t="s">
        <v>1357</v>
      </c>
      <c r="B148" s="35">
        <v>145.0</v>
      </c>
      <c r="C148" s="35" t="s">
        <v>6837</v>
      </c>
      <c r="D148" s="35" t="s">
        <v>10221</v>
      </c>
      <c r="E148" s="51" t="s">
        <v>53</v>
      </c>
      <c r="F148" s="200"/>
      <c r="M148" t="str">
        <f t="shared" si="1"/>
        <v>morinelloa@nyassembly.gov</v>
      </c>
    </row>
    <row r="149">
      <c r="A149" s="14" t="s">
        <v>1357</v>
      </c>
      <c r="B149" s="35">
        <v>146.0</v>
      </c>
      <c r="C149" s="35" t="s">
        <v>1153</v>
      </c>
      <c r="D149" s="35" t="s">
        <v>10224</v>
      </c>
      <c r="E149" s="36" t="s">
        <v>49</v>
      </c>
      <c r="F149" s="200"/>
      <c r="M149" t="str">
        <f t="shared" si="1"/>
        <v>mcmahonk@nyassembly.gov</v>
      </c>
    </row>
    <row r="150">
      <c r="A150" s="14" t="s">
        <v>1357</v>
      </c>
      <c r="B150" s="35">
        <v>147.0</v>
      </c>
      <c r="C150" s="35" t="s">
        <v>108</v>
      </c>
      <c r="D150" s="35" t="s">
        <v>10229</v>
      </c>
      <c r="E150" s="51" t="s">
        <v>53</v>
      </c>
      <c r="F150" s="200"/>
      <c r="M150" t="str">
        <f t="shared" si="1"/>
        <v>dipietrod@nyassembly.gov</v>
      </c>
    </row>
    <row r="151">
      <c r="A151" s="14" t="s">
        <v>1357</v>
      </c>
      <c r="B151" s="35">
        <v>148.0</v>
      </c>
      <c r="C151" s="35" t="s">
        <v>2527</v>
      </c>
      <c r="D151" s="35" t="s">
        <v>10233</v>
      </c>
      <c r="E151" s="51" t="s">
        <v>53</v>
      </c>
      <c r="F151" s="200"/>
      <c r="M151" t="str">
        <f t="shared" si="1"/>
        <v>giglioj@nyassembly.gov</v>
      </c>
    </row>
    <row r="152">
      <c r="A152" s="14" t="s">
        <v>1357</v>
      </c>
      <c r="B152" s="35">
        <v>149.0</v>
      </c>
      <c r="C152" s="35" t="s">
        <v>1276</v>
      </c>
      <c r="D152" s="35" t="s">
        <v>2780</v>
      </c>
      <c r="E152" s="36" t="s">
        <v>49</v>
      </c>
      <c r="F152" s="200"/>
      <c r="M152" t="str">
        <f t="shared" si="1"/>
        <v>ryans@nyassembly.gov</v>
      </c>
    </row>
    <row r="153">
      <c r="A153" s="14" t="s">
        <v>1357</v>
      </c>
      <c r="B153" s="35">
        <v>150.0</v>
      </c>
      <c r="C153" s="35" t="s">
        <v>109</v>
      </c>
      <c r="D153" s="35" t="s">
        <v>10236</v>
      </c>
      <c r="E153" s="51" t="s">
        <v>53</v>
      </c>
      <c r="F153" s="200"/>
      <c r="M153" t="str">
        <f t="shared" si="1"/>
        <v>goodella@nyassembly.gov</v>
      </c>
    </row>
    <row r="154">
      <c r="A154" s="70"/>
      <c r="B154" s="71"/>
      <c r="C154" s="71"/>
      <c r="D154" s="71"/>
      <c r="E154" s="70"/>
      <c r="F154" s="70"/>
      <c r="G154" s="70"/>
      <c r="H154" s="70"/>
      <c r="I154" s="70"/>
      <c r="J154" s="70"/>
      <c r="K154" s="70"/>
      <c r="L154" s="70"/>
      <c r="M154" s="70"/>
      <c r="N154" s="70"/>
      <c r="O154" s="70"/>
      <c r="P154" s="70"/>
      <c r="Q154" s="70"/>
      <c r="R154" s="70"/>
      <c r="S154" s="70"/>
      <c r="T154" s="70"/>
      <c r="U154" s="70"/>
      <c r="V154" s="70"/>
      <c r="W154" s="70"/>
      <c r="X154" s="70"/>
      <c r="Y154" s="70"/>
      <c r="Z154" s="70"/>
      <c r="AA154" s="70"/>
      <c r="AB154" s="70"/>
      <c r="AC154" s="70"/>
      <c r="AD154" s="70"/>
    </row>
    <row r="155">
      <c r="A155" s="14" t="s">
        <v>286</v>
      </c>
      <c r="B155" s="35">
        <v>1.0</v>
      </c>
      <c r="C155" s="35" t="s">
        <v>2777</v>
      </c>
      <c r="D155" s="35" t="s">
        <v>10240</v>
      </c>
      <c r="E155" s="51" t="s">
        <v>53</v>
      </c>
      <c r="F155" s="200"/>
      <c r="M155" t="str">
        <f t="shared" ref="M155:M217" si="2">lower(concatenate(D155,"@nysenate.gov"))</f>
        <v>lavalle@nysenate.gov</v>
      </c>
    </row>
    <row r="156">
      <c r="A156" s="14" t="s">
        <v>286</v>
      </c>
      <c r="B156" s="35">
        <v>2.0</v>
      </c>
      <c r="C156" s="35" t="s">
        <v>278</v>
      </c>
      <c r="D156" s="35" t="s">
        <v>10249</v>
      </c>
      <c r="E156" s="51" t="s">
        <v>53</v>
      </c>
      <c r="F156" s="31"/>
      <c r="M156" t="str">
        <f t="shared" si="2"/>
        <v>flanagan@nysenate.gov</v>
      </c>
    </row>
    <row r="157">
      <c r="A157" s="14" t="s">
        <v>286</v>
      </c>
      <c r="B157" s="35">
        <v>3.0</v>
      </c>
      <c r="C157" s="35" t="s">
        <v>1798</v>
      </c>
      <c r="D157" s="35" t="s">
        <v>4546</v>
      </c>
      <c r="E157" s="36" t="s">
        <v>49</v>
      </c>
      <c r="F157" s="31"/>
      <c r="M157" t="str">
        <f t="shared" si="2"/>
        <v>martinez@nysenate.gov</v>
      </c>
    </row>
    <row r="158">
      <c r="A158" s="14" t="s">
        <v>286</v>
      </c>
      <c r="B158" s="35">
        <v>4.0</v>
      </c>
      <c r="C158" s="35" t="s">
        <v>1483</v>
      </c>
      <c r="D158" s="35" t="s">
        <v>3766</v>
      </c>
      <c r="E158" s="51" t="s">
        <v>53</v>
      </c>
      <c r="F158" s="31"/>
      <c r="M158" t="str">
        <f t="shared" si="2"/>
        <v>boyle@nysenate.gov</v>
      </c>
    </row>
    <row r="159">
      <c r="A159" s="14" t="s">
        <v>286</v>
      </c>
      <c r="B159" s="35">
        <v>5.0</v>
      </c>
      <c r="C159" s="35" t="s">
        <v>930</v>
      </c>
      <c r="D159" s="35" t="s">
        <v>10258</v>
      </c>
      <c r="E159" s="36" t="s">
        <v>49</v>
      </c>
      <c r="F159" s="200"/>
      <c r="M159" t="str">
        <f t="shared" si="2"/>
        <v>gaughran@nysenate.gov</v>
      </c>
    </row>
    <row r="160">
      <c r="A160" s="14" t="s">
        <v>286</v>
      </c>
      <c r="B160" s="35">
        <v>6.0</v>
      </c>
      <c r="C160" s="35" t="s">
        <v>971</v>
      </c>
      <c r="D160" s="35" t="s">
        <v>561</v>
      </c>
      <c r="E160" s="36" t="s">
        <v>49</v>
      </c>
      <c r="F160" s="31"/>
      <c r="M160" t="str">
        <f t="shared" si="2"/>
        <v>thomas@nysenate.gov</v>
      </c>
    </row>
    <row r="161">
      <c r="A161" s="14" t="s">
        <v>286</v>
      </c>
      <c r="B161" s="35">
        <v>7.0</v>
      </c>
      <c r="C161" s="35" t="s">
        <v>2099</v>
      </c>
      <c r="D161" s="35" t="s">
        <v>6727</v>
      </c>
      <c r="E161" s="36" t="s">
        <v>49</v>
      </c>
      <c r="F161" s="31"/>
      <c r="M161" t="str">
        <f t="shared" si="2"/>
        <v>kaplan@nysenate.gov</v>
      </c>
    </row>
    <row r="162">
      <c r="A162" s="14" t="s">
        <v>286</v>
      </c>
      <c r="B162" s="35">
        <v>8.0</v>
      </c>
      <c r="C162" s="35" t="s">
        <v>278</v>
      </c>
      <c r="D162" s="35" t="s">
        <v>1141</v>
      </c>
      <c r="E162" s="36" t="s">
        <v>49</v>
      </c>
      <c r="F162" s="31"/>
      <c r="M162" t="str">
        <f t="shared" si="2"/>
        <v>brooks@nysenate.gov</v>
      </c>
    </row>
    <row r="163">
      <c r="A163" s="14" t="s">
        <v>286</v>
      </c>
      <c r="B163" s="35">
        <v>9.0</v>
      </c>
      <c r="C163" s="35" t="s">
        <v>1974</v>
      </c>
      <c r="D163" s="35" t="s">
        <v>10275</v>
      </c>
      <c r="E163" s="36" t="s">
        <v>49</v>
      </c>
      <c r="F163" s="31"/>
      <c r="M163" t="str">
        <f t="shared" si="2"/>
        <v>kaminsky@nysenate.gov</v>
      </c>
    </row>
    <row r="164">
      <c r="A164" s="14" t="s">
        <v>286</v>
      </c>
      <c r="B164" s="35">
        <v>10.0</v>
      </c>
      <c r="C164" s="35" t="s">
        <v>930</v>
      </c>
      <c r="D164" s="38" t="s">
        <v>10280</v>
      </c>
      <c r="E164" s="36" t="s">
        <v>49</v>
      </c>
      <c r="F164" s="200"/>
      <c r="M164" t="str">
        <f t="shared" si="2"/>
        <v>sanders@nysenate.gov</v>
      </c>
    </row>
    <row r="165">
      <c r="A165" s="14" t="s">
        <v>286</v>
      </c>
      <c r="B165" s="35">
        <v>11.0</v>
      </c>
      <c r="C165" s="35" t="s">
        <v>278</v>
      </c>
      <c r="D165" s="35" t="s">
        <v>10283</v>
      </c>
      <c r="E165" s="36" t="s">
        <v>49</v>
      </c>
      <c r="F165" s="31"/>
      <c r="M165" t="str">
        <f t="shared" si="2"/>
        <v>liu@nysenate.gov</v>
      </c>
    </row>
    <row r="166">
      <c r="A166" s="14" t="s">
        <v>286</v>
      </c>
      <c r="B166" s="35">
        <v>12.0</v>
      </c>
      <c r="C166" s="35" t="s">
        <v>2490</v>
      </c>
      <c r="D166" s="35" t="s">
        <v>10291</v>
      </c>
      <c r="E166" s="36" t="s">
        <v>49</v>
      </c>
      <c r="F166" s="164"/>
      <c r="M166" t="str">
        <f t="shared" si="2"/>
        <v>gianaris@nysenate.gov</v>
      </c>
    </row>
    <row r="167">
      <c r="A167" s="14" t="s">
        <v>286</v>
      </c>
      <c r="B167" s="35">
        <v>13.0</v>
      </c>
      <c r="C167" s="35" t="s">
        <v>6166</v>
      </c>
      <c r="D167" s="35" t="s">
        <v>1610</v>
      </c>
      <c r="E167" s="36" t="s">
        <v>49</v>
      </c>
      <c r="F167" s="31"/>
      <c r="M167" t="str">
        <f t="shared" si="2"/>
        <v>ramos@nysenate.gov</v>
      </c>
    </row>
    <row r="168">
      <c r="A168" s="14" t="s">
        <v>286</v>
      </c>
      <c r="B168" s="35">
        <v>14.0</v>
      </c>
      <c r="C168" s="35" t="s">
        <v>2201</v>
      </c>
      <c r="D168" s="35" t="s">
        <v>10298</v>
      </c>
      <c r="E168" s="36" t="s">
        <v>49</v>
      </c>
      <c r="F168" s="31"/>
      <c r="M168" t="str">
        <f t="shared" si="2"/>
        <v>comrie@nysenate.gov</v>
      </c>
    </row>
    <row r="169">
      <c r="A169" s="14" t="s">
        <v>286</v>
      </c>
      <c r="B169" s="35">
        <v>15.0</v>
      </c>
      <c r="C169" s="35" t="s">
        <v>2527</v>
      </c>
      <c r="D169" s="38" t="s">
        <v>10302</v>
      </c>
      <c r="E169" s="36" t="s">
        <v>49</v>
      </c>
      <c r="F169" s="31"/>
      <c r="M169" t="str">
        <f t="shared" si="2"/>
        <v>addabbo@nysenate.gov</v>
      </c>
    </row>
    <row r="170">
      <c r="A170" s="14" t="s">
        <v>286</v>
      </c>
      <c r="B170" s="35">
        <v>16.0</v>
      </c>
      <c r="C170" s="35" t="s">
        <v>3058</v>
      </c>
      <c r="D170" s="35" t="s">
        <v>10310</v>
      </c>
      <c r="E170" s="36" t="s">
        <v>49</v>
      </c>
      <c r="F170" s="31"/>
      <c r="M170" t="str">
        <f t="shared" si="2"/>
        <v>stavisky@nysenate.gov</v>
      </c>
    </row>
    <row r="171">
      <c r="A171" s="14" t="s">
        <v>286</v>
      </c>
      <c r="B171" s="35">
        <v>17.0</v>
      </c>
      <c r="C171" s="35" t="s">
        <v>9832</v>
      </c>
      <c r="D171" s="35" t="s">
        <v>10314</v>
      </c>
      <c r="E171" s="100" t="s">
        <v>49</v>
      </c>
      <c r="F171" s="200"/>
      <c r="M171" t="str">
        <f t="shared" si="2"/>
        <v>felder@nysenate.gov</v>
      </c>
    </row>
    <row r="172">
      <c r="A172" s="14" t="s">
        <v>286</v>
      </c>
      <c r="B172" s="35">
        <v>18.0</v>
      </c>
      <c r="C172" s="35" t="s">
        <v>2318</v>
      </c>
      <c r="D172" s="35" t="s">
        <v>9694</v>
      </c>
      <c r="E172" s="36" t="s">
        <v>49</v>
      </c>
      <c r="F172" s="31"/>
      <c r="M172" t="str">
        <f t="shared" si="2"/>
        <v>salazar@nysenate.gov</v>
      </c>
    </row>
    <row r="173">
      <c r="A173" s="14" t="s">
        <v>286</v>
      </c>
      <c r="B173" s="35">
        <v>19.0</v>
      </c>
      <c r="C173" s="35" t="s">
        <v>10328</v>
      </c>
      <c r="D173" s="35" t="s">
        <v>10330</v>
      </c>
      <c r="E173" s="36" t="s">
        <v>49</v>
      </c>
      <c r="F173" s="31"/>
      <c r="M173" t="str">
        <f t="shared" si="2"/>
        <v>persaud@nysenate.gov</v>
      </c>
    </row>
    <row r="174">
      <c r="A174" s="14" t="s">
        <v>286</v>
      </c>
      <c r="B174" s="35">
        <v>20.0</v>
      </c>
      <c r="C174" s="35" t="s">
        <v>10340</v>
      </c>
      <c r="D174" s="35" t="s">
        <v>10341</v>
      </c>
      <c r="E174" s="36" t="s">
        <v>49</v>
      </c>
      <c r="F174" s="31"/>
      <c r="M174" t="str">
        <f t="shared" si="2"/>
        <v>myrie@nysenate.gov</v>
      </c>
    </row>
    <row r="175">
      <c r="A175" s="14" t="s">
        <v>286</v>
      </c>
      <c r="B175" s="35">
        <v>21.0</v>
      </c>
      <c r="C175" s="35" t="s">
        <v>971</v>
      </c>
      <c r="D175" s="35" t="s">
        <v>87</v>
      </c>
      <c r="E175" s="36" t="s">
        <v>49</v>
      </c>
      <c r="F175" s="31"/>
      <c r="M175" t="str">
        <f t="shared" si="2"/>
        <v>parker@nysenate.gov</v>
      </c>
    </row>
    <row r="176">
      <c r="A176" s="14" t="s">
        <v>286</v>
      </c>
      <c r="B176" s="35">
        <v>22.0</v>
      </c>
      <c r="C176" s="35" t="s">
        <v>80</v>
      </c>
      <c r="D176" s="35" t="s">
        <v>10358</v>
      </c>
      <c r="E176" s="36" t="s">
        <v>49</v>
      </c>
      <c r="F176" s="31"/>
      <c r="M176" t="str">
        <f t="shared" si="2"/>
        <v>gounardes@nysenate.gov</v>
      </c>
    </row>
    <row r="177">
      <c r="A177" s="14" t="s">
        <v>286</v>
      </c>
      <c r="B177" s="35">
        <v>23.0</v>
      </c>
      <c r="C177" s="35" t="s">
        <v>5233</v>
      </c>
      <c r="D177" s="35" t="s">
        <v>10374</v>
      </c>
      <c r="E177" s="36" t="s">
        <v>49</v>
      </c>
      <c r="F177" s="31"/>
      <c r="M177" t="str">
        <f t="shared" si="2"/>
        <v>savino@nysenate.gov</v>
      </c>
    </row>
    <row r="178">
      <c r="A178" s="14" t="s">
        <v>286</v>
      </c>
      <c r="B178" s="35">
        <v>24.0</v>
      </c>
      <c r="C178" s="35" t="s">
        <v>80</v>
      </c>
      <c r="D178" s="35" t="s">
        <v>10385</v>
      </c>
      <c r="E178" s="51" t="s">
        <v>53</v>
      </c>
      <c r="F178" s="31"/>
      <c r="M178" t="str">
        <f t="shared" si="2"/>
        <v>lanza@nysenate.gov</v>
      </c>
    </row>
    <row r="179">
      <c r="A179" s="14" t="s">
        <v>286</v>
      </c>
      <c r="B179" s="35">
        <v>25.0</v>
      </c>
      <c r="C179" s="35" t="s">
        <v>10395</v>
      </c>
      <c r="D179" s="35" t="s">
        <v>606</v>
      </c>
      <c r="E179" s="36" t="s">
        <v>49</v>
      </c>
      <c r="F179" s="31"/>
      <c r="M179" t="str">
        <f t="shared" si="2"/>
        <v>montgomery@nysenate.gov</v>
      </c>
    </row>
    <row r="180">
      <c r="A180" s="14" t="s">
        <v>286</v>
      </c>
      <c r="B180" s="35">
        <v>26.0</v>
      </c>
      <c r="C180" s="35" t="s">
        <v>1331</v>
      </c>
      <c r="D180" s="35" t="s">
        <v>1023</v>
      </c>
      <c r="E180" s="36" t="s">
        <v>49</v>
      </c>
      <c r="F180" s="31"/>
      <c r="M180" t="str">
        <f t="shared" si="2"/>
        <v>kavanagh@nysenate.gov</v>
      </c>
    </row>
    <row r="181">
      <c r="A181" s="14" t="s">
        <v>286</v>
      </c>
      <c r="B181" s="35">
        <v>27.0</v>
      </c>
      <c r="C181" s="35" t="s">
        <v>2323</v>
      </c>
      <c r="D181" s="35" t="s">
        <v>10412</v>
      </c>
      <c r="E181" s="36" t="s">
        <v>49</v>
      </c>
      <c r="F181" s="31"/>
      <c r="M181" t="str">
        <f t="shared" si="2"/>
        <v>hoylman@nysenate.gov</v>
      </c>
    </row>
    <row r="182">
      <c r="A182" s="14" t="s">
        <v>286</v>
      </c>
      <c r="B182" s="35">
        <v>28.0</v>
      </c>
      <c r="C182" s="35" t="s">
        <v>2680</v>
      </c>
      <c r="D182" s="35" t="s">
        <v>10420</v>
      </c>
      <c r="E182" s="36" t="s">
        <v>49</v>
      </c>
      <c r="F182" s="31"/>
      <c r="M182" t="str">
        <f t="shared" si="2"/>
        <v>krueger@nysenate.gov</v>
      </c>
    </row>
    <row r="183">
      <c r="A183" s="14" t="s">
        <v>286</v>
      </c>
      <c r="B183" s="35">
        <v>29.0</v>
      </c>
      <c r="C183" s="35" t="s">
        <v>1823</v>
      </c>
      <c r="D183" s="35" t="s">
        <v>10431</v>
      </c>
      <c r="E183" s="36" t="s">
        <v>49</v>
      </c>
      <c r="F183" s="164"/>
      <c r="M183" t="str">
        <f t="shared" si="2"/>
        <v>serrano@nysenate.gov</v>
      </c>
    </row>
    <row r="184">
      <c r="A184" s="14" t="s">
        <v>286</v>
      </c>
      <c r="B184" s="35">
        <v>30.0</v>
      </c>
      <c r="C184" s="35" t="s">
        <v>1331</v>
      </c>
      <c r="D184" s="35" t="s">
        <v>5957</v>
      </c>
      <c r="E184" s="36" t="s">
        <v>49</v>
      </c>
      <c r="F184" s="31"/>
      <c r="M184" t="str">
        <f t="shared" si="2"/>
        <v>benjamin@nysenate.gov</v>
      </c>
    </row>
    <row r="185">
      <c r="A185" s="14" t="s">
        <v>286</v>
      </c>
      <c r="B185" s="35">
        <v>31.0</v>
      </c>
      <c r="C185" s="35" t="s">
        <v>1134</v>
      </c>
      <c r="D185" s="35" t="s">
        <v>567</v>
      </c>
      <c r="E185" s="36" t="s">
        <v>49</v>
      </c>
      <c r="F185" s="31"/>
      <c r="M185" t="str">
        <f t="shared" si="2"/>
        <v>jackson@nysenate.gov</v>
      </c>
    </row>
    <row r="186">
      <c r="A186" s="14" t="s">
        <v>286</v>
      </c>
      <c r="B186" s="35">
        <v>32.0</v>
      </c>
      <c r="C186" s="35" t="s">
        <v>10442</v>
      </c>
      <c r="D186" s="35" t="s">
        <v>10448</v>
      </c>
      <c r="E186" s="36" t="s">
        <v>49</v>
      </c>
      <c r="F186" s="31"/>
      <c r="M186" t="str">
        <f t="shared" si="2"/>
        <v>sepúlveda@nysenate.gov</v>
      </c>
    </row>
    <row r="187">
      <c r="A187" s="14" t="s">
        <v>286</v>
      </c>
      <c r="B187" s="35">
        <v>33.0</v>
      </c>
      <c r="C187" s="35" t="s">
        <v>10450</v>
      </c>
      <c r="D187" s="35" t="s">
        <v>9902</v>
      </c>
      <c r="E187" s="36" t="s">
        <v>49</v>
      </c>
      <c r="F187" s="31"/>
      <c r="M187" t="str">
        <f t="shared" si="2"/>
        <v>rivera@nysenate.gov</v>
      </c>
    </row>
    <row r="188">
      <c r="A188" s="14" t="s">
        <v>286</v>
      </c>
      <c r="B188" s="35">
        <v>34.0</v>
      </c>
      <c r="C188" s="35" t="s">
        <v>10455</v>
      </c>
      <c r="D188" s="35" t="s">
        <v>10456</v>
      </c>
      <c r="E188" s="36" t="s">
        <v>49</v>
      </c>
      <c r="F188" s="31"/>
      <c r="M188" t="str">
        <f t="shared" si="2"/>
        <v>biaggi@nysenate.gov</v>
      </c>
    </row>
    <row r="189">
      <c r="A189" s="14" t="s">
        <v>286</v>
      </c>
      <c r="B189" s="35">
        <v>35.0</v>
      </c>
      <c r="C189" s="35" t="s">
        <v>1162</v>
      </c>
      <c r="D189" s="35" t="s">
        <v>10465</v>
      </c>
      <c r="E189" s="36" t="s">
        <v>49</v>
      </c>
      <c r="F189" s="164" t="s">
        <v>176</v>
      </c>
      <c r="M189" t="str">
        <f t="shared" si="2"/>
        <v>stewart-cousins@nysenate.gov</v>
      </c>
    </row>
    <row r="190">
      <c r="A190" s="14" t="s">
        <v>286</v>
      </c>
      <c r="B190" s="35">
        <v>36.0</v>
      </c>
      <c r="C190" s="35" t="s">
        <v>10466</v>
      </c>
      <c r="D190" s="35" t="s">
        <v>4464</v>
      </c>
      <c r="E190" s="36" t="s">
        <v>49</v>
      </c>
      <c r="F190" s="31"/>
      <c r="M190" t="str">
        <f t="shared" si="2"/>
        <v>bailey@nysenate.gov</v>
      </c>
    </row>
    <row r="191">
      <c r="A191" s="14" t="s">
        <v>286</v>
      </c>
      <c r="B191" s="35">
        <v>37.0</v>
      </c>
      <c r="C191" s="35" t="s">
        <v>311</v>
      </c>
      <c r="D191" s="35" t="s">
        <v>10482</v>
      </c>
      <c r="E191" s="36" t="s">
        <v>49</v>
      </c>
      <c r="F191" s="31"/>
      <c r="M191" t="str">
        <f t="shared" si="2"/>
        <v>mayer@nysenate.gov</v>
      </c>
    </row>
    <row r="192">
      <c r="A192" s="14" t="s">
        <v>286</v>
      </c>
      <c r="B192" s="35">
        <v>38.0</v>
      </c>
      <c r="C192" s="35" t="s">
        <v>930</v>
      </c>
      <c r="D192" s="35" t="s">
        <v>10485</v>
      </c>
      <c r="E192" s="36" t="s">
        <v>49</v>
      </c>
      <c r="F192" s="200"/>
      <c r="M192" t="str">
        <f t="shared" si="2"/>
        <v>skoufis@nysenate.gov</v>
      </c>
    </row>
    <row r="193">
      <c r="A193" s="14" t="s">
        <v>286</v>
      </c>
      <c r="B193" s="35">
        <v>39.0</v>
      </c>
      <c r="C193" s="35" t="s">
        <v>1058</v>
      </c>
      <c r="D193" s="38" t="s">
        <v>10493</v>
      </c>
      <c r="E193" s="51" t="s">
        <v>53</v>
      </c>
      <c r="F193" s="200"/>
      <c r="M193" t="str">
        <f t="shared" si="2"/>
        <v>larkin@nysenate.gov</v>
      </c>
    </row>
    <row r="194">
      <c r="A194" s="14" t="s">
        <v>286</v>
      </c>
      <c r="B194" s="35">
        <v>40.0</v>
      </c>
      <c r="C194" s="35" t="s">
        <v>10311</v>
      </c>
      <c r="D194" s="35" t="s">
        <v>3019</v>
      </c>
      <c r="E194" s="51" t="s">
        <v>53</v>
      </c>
      <c r="F194" s="200"/>
      <c r="M194" t="str">
        <f t="shared" si="2"/>
        <v>murphy@nysenate.gov</v>
      </c>
    </row>
    <row r="195">
      <c r="A195" s="14" t="s">
        <v>286</v>
      </c>
      <c r="B195" s="35">
        <v>41.0</v>
      </c>
      <c r="C195" s="35" t="s">
        <v>1446</v>
      </c>
      <c r="D195" s="35" t="s">
        <v>10513</v>
      </c>
      <c r="E195" s="51" t="s">
        <v>53</v>
      </c>
      <c r="F195" s="31"/>
      <c r="M195" t="str">
        <f t="shared" si="2"/>
        <v>serino@nysenate.gov</v>
      </c>
    </row>
    <row r="196">
      <c r="A196" s="14" t="s">
        <v>286</v>
      </c>
      <c r="B196" s="35">
        <v>42.0</v>
      </c>
      <c r="C196" s="35" t="s">
        <v>4364</v>
      </c>
      <c r="D196" s="35" t="s">
        <v>10519</v>
      </c>
      <c r="E196" s="36" t="s">
        <v>49</v>
      </c>
      <c r="F196" s="200"/>
      <c r="M196" t="str">
        <f t="shared" si="2"/>
        <v>metzger@nysenate.gov</v>
      </c>
    </row>
    <row r="197">
      <c r="A197" s="14" t="s">
        <v>286</v>
      </c>
      <c r="B197" s="35">
        <v>43.0</v>
      </c>
      <c r="C197" s="35" t="s">
        <v>10526</v>
      </c>
      <c r="D197" s="35" t="s">
        <v>1581</v>
      </c>
      <c r="E197" s="51" t="s">
        <v>53</v>
      </c>
      <c r="F197" s="200"/>
      <c r="M197" t="str">
        <f t="shared" si="2"/>
        <v>jordan@nysenate.gov</v>
      </c>
    </row>
    <row r="198">
      <c r="A198" s="14" t="s">
        <v>286</v>
      </c>
      <c r="B198" s="35">
        <v>44.0</v>
      </c>
      <c r="C198" s="35" t="s">
        <v>500</v>
      </c>
      <c r="D198" s="35" t="s">
        <v>10533</v>
      </c>
      <c r="E198" s="36" t="s">
        <v>49</v>
      </c>
      <c r="F198" s="200"/>
      <c r="M198" t="str">
        <f t="shared" si="2"/>
        <v>breslin@nysenate.gov</v>
      </c>
    </row>
    <row r="199">
      <c r="A199" s="14" t="s">
        <v>286</v>
      </c>
      <c r="B199" s="35">
        <v>45.0</v>
      </c>
      <c r="C199" s="35" t="s">
        <v>3369</v>
      </c>
      <c r="D199" s="35" t="s">
        <v>4410</v>
      </c>
      <c r="E199" s="51" t="s">
        <v>53</v>
      </c>
      <c r="F199" s="200"/>
      <c r="M199" t="str">
        <f t="shared" si="2"/>
        <v>little@nysenate.gov</v>
      </c>
    </row>
    <row r="200">
      <c r="A200" s="14" t="s">
        <v>286</v>
      </c>
      <c r="B200" s="35">
        <v>46.0</v>
      </c>
      <c r="C200" s="35" t="s">
        <v>98</v>
      </c>
      <c r="D200" s="38" t="s">
        <v>10551</v>
      </c>
      <c r="E200" s="51" t="s">
        <v>53</v>
      </c>
      <c r="F200" s="31"/>
      <c r="M200" t="str">
        <f t="shared" si="2"/>
        <v>amedore@nysenate.gov</v>
      </c>
    </row>
    <row r="201">
      <c r="A201" s="14" t="s">
        <v>286</v>
      </c>
      <c r="B201" s="35">
        <v>47.0</v>
      </c>
      <c r="C201" s="35" t="s">
        <v>2527</v>
      </c>
      <c r="D201" s="35" t="s">
        <v>10561</v>
      </c>
      <c r="E201" s="51" t="s">
        <v>53</v>
      </c>
      <c r="F201" s="200"/>
      <c r="M201" t="str">
        <f t="shared" si="2"/>
        <v>griffo@nysenate.gov</v>
      </c>
    </row>
    <row r="202">
      <c r="A202" s="14" t="s">
        <v>286</v>
      </c>
      <c r="B202" s="35">
        <v>48.0</v>
      </c>
      <c r="C202" s="35" t="s">
        <v>3923</v>
      </c>
      <c r="D202" s="35" t="s">
        <v>309</v>
      </c>
      <c r="E202" s="51" t="s">
        <v>53</v>
      </c>
      <c r="F202" s="200"/>
      <c r="M202" t="str">
        <f t="shared" si="2"/>
        <v>ritchie@nysenate.gov</v>
      </c>
    </row>
    <row r="203">
      <c r="A203" s="14" t="s">
        <v>286</v>
      </c>
      <c r="B203" s="35">
        <v>49.0</v>
      </c>
      <c r="C203" s="35" t="s">
        <v>476</v>
      </c>
      <c r="D203" s="35" t="s">
        <v>10584</v>
      </c>
      <c r="E203" s="51" t="s">
        <v>53</v>
      </c>
      <c r="F203" s="200"/>
      <c r="M203" t="str">
        <f t="shared" si="2"/>
        <v>tedisco@nysenate.gov</v>
      </c>
    </row>
    <row r="204">
      <c r="A204" s="14" t="s">
        <v>286</v>
      </c>
      <c r="B204" s="35">
        <v>50.0</v>
      </c>
      <c r="C204" s="35" t="s">
        <v>419</v>
      </c>
      <c r="D204" s="35" t="s">
        <v>10587</v>
      </c>
      <c r="E204" s="51" t="s">
        <v>53</v>
      </c>
      <c r="F204" s="200"/>
      <c r="M204" t="str">
        <f t="shared" si="2"/>
        <v>antonacci@nysenate.gov</v>
      </c>
    </row>
    <row r="205">
      <c r="A205" s="14" t="s">
        <v>286</v>
      </c>
      <c r="B205" s="35">
        <v>51.0</v>
      </c>
      <c r="C205" s="35" t="s">
        <v>930</v>
      </c>
      <c r="D205" s="35" t="s">
        <v>5362</v>
      </c>
      <c r="E205" s="51" t="s">
        <v>53</v>
      </c>
      <c r="F205" s="31"/>
      <c r="M205" t="str">
        <f t="shared" si="2"/>
        <v>seward@nysenate.gov</v>
      </c>
    </row>
    <row r="206">
      <c r="A206" s="14" t="s">
        <v>286</v>
      </c>
      <c r="B206" s="35">
        <v>52.0</v>
      </c>
      <c r="C206" s="35" t="s">
        <v>1242</v>
      </c>
      <c r="D206" s="35" t="s">
        <v>10599</v>
      </c>
      <c r="E206" s="51" t="s">
        <v>53</v>
      </c>
      <c r="F206" s="200"/>
      <c r="M206" t="str">
        <f t="shared" si="2"/>
        <v>akshar@nysenate.gov</v>
      </c>
    </row>
    <row r="207">
      <c r="A207" s="14" t="s">
        <v>286</v>
      </c>
      <c r="B207" s="35">
        <v>53.0</v>
      </c>
      <c r="C207" s="35" t="s">
        <v>2383</v>
      </c>
      <c r="D207" s="35" t="s">
        <v>4758</v>
      </c>
      <c r="E207" s="36" t="s">
        <v>49</v>
      </c>
      <c r="F207" s="200"/>
      <c r="M207" t="str">
        <f t="shared" si="2"/>
        <v>may@nysenate.gov</v>
      </c>
    </row>
    <row r="208">
      <c r="A208" s="14" t="s">
        <v>286</v>
      </c>
      <c r="B208" s="35">
        <v>54.0</v>
      </c>
      <c r="C208" s="35" t="s">
        <v>3657</v>
      </c>
      <c r="D208" s="35" t="s">
        <v>10602</v>
      </c>
      <c r="E208" s="51" t="s">
        <v>53</v>
      </c>
      <c r="F208" s="31"/>
      <c r="M208" t="str">
        <f t="shared" si="2"/>
        <v>helming@nysenate.gov</v>
      </c>
    </row>
    <row r="209">
      <c r="A209" s="14" t="s">
        <v>286</v>
      </c>
      <c r="B209" s="35">
        <v>55.0</v>
      </c>
      <c r="C209" s="35" t="s">
        <v>1112</v>
      </c>
      <c r="D209" s="35" t="s">
        <v>10604</v>
      </c>
      <c r="E209" s="51" t="s">
        <v>53</v>
      </c>
      <c r="F209" s="31"/>
      <c r="M209" t="str">
        <f t="shared" si="2"/>
        <v>funke@nysenate.gov</v>
      </c>
    </row>
    <row r="210">
      <c r="A210" s="14" t="s">
        <v>286</v>
      </c>
      <c r="B210" s="35">
        <v>56.0</v>
      </c>
      <c r="C210" s="35" t="s">
        <v>2527</v>
      </c>
      <c r="D210" s="35" t="s">
        <v>10609</v>
      </c>
      <c r="E210" s="51" t="s">
        <v>53</v>
      </c>
      <c r="F210" s="31"/>
      <c r="M210" t="str">
        <f t="shared" si="2"/>
        <v>robach@nysenate.gov</v>
      </c>
    </row>
    <row r="211">
      <c r="A211" s="14" t="s">
        <v>286</v>
      </c>
      <c r="B211" s="35">
        <v>57.0</v>
      </c>
      <c r="C211" s="35" t="s">
        <v>1463</v>
      </c>
      <c r="D211" s="35" t="s">
        <v>429</v>
      </c>
      <c r="E211" s="51" t="s">
        <v>53</v>
      </c>
      <c r="F211" s="200"/>
      <c r="M211" t="str">
        <f t="shared" si="2"/>
        <v>young@nysenate.gov</v>
      </c>
    </row>
    <row r="212">
      <c r="A212" s="14" t="s">
        <v>286</v>
      </c>
      <c r="B212" s="35">
        <v>58.0</v>
      </c>
      <c r="C212" s="35" t="s">
        <v>338</v>
      </c>
      <c r="D212" s="35" t="s">
        <v>10616</v>
      </c>
      <c r="E212" s="51" t="s">
        <v>53</v>
      </c>
      <c r="F212" s="200"/>
      <c r="M212" t="str">
        <f t="shared" si="2"/>
        <v>o'mara@nysenate.gov</v>
      </c>
    </row>
    <row r="213">
      <c r="A213" s="14" t="s">
        <v>286</v>
      </c>
      <c r="B213" s="35">
        <v>59.0</v>
      </c>
      <c r="C213" s="35" t="s">
        <v>1914</v>
      </c>
      <c r="D213" s="35" t="s">
        <v>10619</v>
      </c>
      <c r="E213" s="51" t="s">
        <v>53</v>
      </c>
      <c r="F213" s="200"/>
      <c r="M213" t="str">
        <f t="shared" si="2"/>
        <v>gallivan@nysenate.gov</v>
      </c>
    </row>
    <row r="214">
      <c r="A214" s="14" t="s">
        <v>286</v>
      </c>
      <c r="B214" s="35">
        <v>60.0</v>
      </c>
      <c r="C214" s="35" t="s">
        <v>173</v>
      </c>
      <c r="D214" s="35" t="s">
        <v>3075</v>
      </c>
      <c r="E214" s="51" t="s">
        <v>53</v>
      </c>
      <c r="F214" s="31"/>
      <c r="M214" t="str">
        <f t="shared" si="2"/>
        <v>jacobs@nysenate.gov</v>
      </c>
    </row>
    <row r="215">
      <c r="A215" s="14" t="s">
        <v>286</v>
      </c>
      <c r="B215" s="35">
        <v>61.0</v>
      </c>
      <c r="C215" s="35" t="s">
        <v>2490</v>
      </c>
      <c r="D215" s="35" t="s">
        <v>10624</v>
      </c>
      <c r="E215" s="51" t="s">
        <v>53</v>
      </c>
      <c r="F215" s="31"/>
      <c r="M215" t="str">
        <f t="shared" si="2"/>
        <v>ranzenhofer@nysenate.gov</v>
      </c>
    </row>
    <row r="216">
      <c r="A216" s="14" t="s">
        <v>286</v>
      </c>
      <c r="B216" s="35">
        <v>62.0</v>
      </c>
      <c r="C216" s="35" t="s">
        <v>1134</v>
      </c>
      <c r="D216" s="35" t="s">
        <v>10633</v>
      </c>
      <c r="E216" s="51" t="s">
        <v>53</v>
      </c>
      <c r="F216" s="31"/>
      <c r="M216" t="str">
        <f t="shared" si="2"/>
        <v>ortt@nysenate.gov</v>
      </c>
    </row>
    <row r="217">
      <c r="A217" s="14" t="s">
        <v>286</v>
      </c>
      <c r="B217" s="35">
        <v>63.0</v>
      </c>
      <c r="C217" s="35" t="s">
        <v>2507</v>
      </c>
      <c r="D217" s="35" t="s">
        <v>1791</v>
      </c>
      <c r="E217" s="36" t="s">
        <v>49</v>
      </c>
      <c r="F217" s="31"/>
      <c r="M217" t="str">
        <f t="shared" si="2"/>
        <v>kennedy@nysenate.gov</v>
      </c>
    </row>
    <row r="218">
      <c r="A218" s="70"/>
      <c r="B218" s="71"/>
      <c r="C218" s="71"/>
      <c r="D218" s="71"/>
      <c r="E218" s="70"/>
      <c r="F218" s="70"/>
      <c r="G218" s="70"/>
      <c r="H218" s="70"/>
      <c r="I218" s="70"/>
      <c r="J218" s="70"/>
      <c r="K218" s="70"/>
      <c r="L218" s="70"/>
      <c r="M218" s="70"/>
      <c r="N218" s="70"/>
      <c r="O218" s="70"/>
      <c r="P218" s="70"/>
      <c r="Q218" s="70"/>
      <c r="R218" s="70"/>
      <c r="S218" s="70"/>
      <c r="T218" s="70"/>
      <c r="U218" s="70"/>
      <c r="V218" s="70"/>
      <c r="W218" s="70"/>
      <c r="X218" s="70"/>
      <c r="Y218" s="70"/>
      <c r="Z218" s="70"/>
      <c r="AA218" s="70"/>
      <c r="AB218" s="70"/>
      <c r="AC218" s="70"/>
      <c r="AD218" s="70"/>
    </row>
    <row r="219">
      <c r="A219" s="14" t="s">
        <v>421</v>
      </c>
      <c r="B219" s="139"/>
      <c r="C219" s="77" t="s">
        <v>80</v>
      </c>
      <c r="D219" s="77" t="s">
        <v>10637</v>
      </c>
      <c r="E219" s="36" t="s">
        <v>49</v>
      </c>
    </row>
    <row r="220">
      <c r="A220" s="70"/>
      <c r="B220" s="71"/>
      <c r="C220" s="71"/>
      <c r="D220" s="71"/>
      <c r="E220" s="70"/>
      <c r="F220" s="70"/>
      <c r="G220" s="70"/>
      <c r="H220" s="70"/>
      <c r="I220" s="70"/>
      <c r="J220" s="70"/>
      <c r="K220" s="70"/>
      <c r="L220" s="70"/>
      <c r="M220" s="70"/>
      <c r="N220" s="70"/>
      <c r="O220" s="70"/>
      <c r="P220" s="70"/>
      <c r="Q220" s="70"/>
      <c r="R220" s="70"/>
      <c r="S220" s="70"/>
      <c r="T220" s="70"/>
      <c r="U220" s="70"/>
      <c r="V220" s="70"/>
      <c r="W220" s="70"/>
      <c r="X220" s="70"/>
      <c r="Y220" s="70"/>
      <c r="Z220" s="70"/>
      <c r="AA220" s="70"/>
      <c r="AB220" s="70"/>
      <c r="AC220" s="70"/>
      <c r="AD220" s="70"/>
    </row>
    <row r="221">
      <c r="A221" s="14" t="s">
        <v>427</v>
      </c>
      <c r="B221" s="77">
        <v>1.0</v>
      </c>
      <c r="C221" s="77" t="s">
        <v>629</v>
      </c>
      <c r="D221" s="77" t="s">
        <v>10638</v>
      </c>
      <c r="E221" s="51" t="s">
        <v>53</v>
      </c>
    </row>
    <row r="222">
      <c r="A222" s="14" t="s">
        <v>427</v>
      </c>
      <c r="B222" s="77">
        <v>2.0</v>
      </c>
      <c r="C222" s="77" t="s">
        <v>367</v>
      </c>
      <c r="D222" s="77" t="s">
        <v>5219</v>
      </c>
      <c r="E222" s="51" t="s">
        <v>53</v>
      </c>
    </row>
    <row r="223">
      <c r="A223" s="14" t="s">
        <v>427</v>
      </c>
      <c r="B223" s="77">
        <v>3.0</v>
      </c>
      <c r="C223" s="77" t="s">
        <v>561</v>
      </c>
      <c r="D223" s="77" t="s">
        <v>10639</v>
      </c>
      <c r="E223" s="36" t="s">
        <v>49</v>
      </c>
    </row>
    <row r="224">
      <c r="A224" s="14" t="s">
        <v>427</v>
      </c>
      <c r="B224" s="77">
        <v>4.0</v>
      </c>
      <c r="C224" s="77" t="s">
        <v>2554</v>
      </c>
      <c r="D224" s="77" t="s">
        <v>1993</v>
      </c>
      <c r="E224" s="36" t="s">
        <v>49</v>
      </c>
    </row>
    <row r="225">
      <c r="A225" s="14" t="s">
        <v>427</v>
      </c>
      <c r="B225" s="77">
        <v>5.0</v>
      </c>
      <c r="C225" s="77" t="s">
        <v>823</v>
      </c>
      <c r="D225" s="77" t="s">
        <v>1506</v>
      </c>
      <c r="E225" s="36" t="s">
        <v>49</v>
      </c>
    </row>
    <row r="226">
      <c r="A226" s="14" t="s">
        <v>427</v>
      </c>
      <c r="B226" s="77">
        <v>6.0</v>
      </c>
      <c r="C226" s="77" t="s">
        <v>2328</v>
      </c>
      <c r="D226" s="77" t="s">
        <v>10640</v>
      </c>
      <c r="E226" s="36" t="s">
        <v>49</v>
      </c>
    </row>
    <row r="227">
      <c r="A227" s="14" t="s">
        <v>427</v>
      </c>
      <c r="B227" s="77">
        <v>7.0</v>
      </c>
      <c r="C227" s="77" t="s">
        <v>10641</v>
      </c>
      <c r="D227" s="77" t="s">
        <v>10642</v>
      </c>
      <c r="E227" s="36" t="s">
        <v>49</v>
      </c>
    </row>
    <row r="228">
      <c r="A228" s="14" t="s">
        <v>427</v>
      </c>
      <c r="B228" s="77">
        <v>8.0</v>
      </c>
      <c r="C228" s="77" t="s">
        <v>10644</v>
      </c>
      <c r="D228" s="77" t="s">
        <v>10645</v>
      </c>
      <c r="E228" s="36" t="s">
        <v>49</v>
      </c>
    </row>
    <row r="229">
      <c r="A229" s="14" t="s">
        <v>427</v>
      </c>
      <c r="B229" s="77">
        <v>9.0</v>
      </c>
      <c r="C229" s="77" t="s">
        <v>9714</v>
      </c>
      <c r="D229" s="77" t="s">
        <v>737</v>
      </c>
      <c r="E229" s="36" t="s">
        <v>49</v>
      </c>
    </row>
    <row r="230">
      <c r="A230" s="14" t="s">
        <v>427</v>
      </c>
      <c r="B230" s="77">
        <v>10.0</v>
      </c>
      <c r="C230" s="77" t="s">
        <v>10646</v>
      </c>
      <c r="D230" s="77" t="s">
        <v>10647</v>
      </c>
      <c r="E230" s="36" t="s">
        <v>49</v>
      </c>
    </row>
    <row r="231">
      <c r="A231" s="14" t="s">
        <v>427</v>
      </c>
      <c r="B231" s="77">
        <v>11.0</v>
      </c>
      <c r="C231" s="77" t="s">
        <v>5335</v>
      </c>
      <c r="D231" s="77" t="s">
        <v>2719</v>
      </c>
      <c r="E231" s="36" t="s">
        <v>49</v>
      </c>
    </row>
    <row r="232">
      <c r="A232" s="14" t="s">
        <v>427</v>
      </c>
      <c r="B232" s="77">
        <v>12.0</v>
      </c>
      <c r="C232" s="77" t="s">
        <v>3902</v>
      </c>
      <c r="D232" s="77" t="s">
        <v>10648</v>
      </c>
      <c r="E232" s="36" t="s">
        <v>49</v>
      </c>
    </row>
    <row r="233">
      <c r="A233" s="14" t="s">
        <v>427</v>
      </c>
      <c r="B233" s="77">
        <v>13.0</v>
      </c>
      <c r="C233" s="77" t="s">
        <v>10649</v>
      </c>
      <c r="D233" s="77" t="s">
        <v>10650</v>
      </c>
      <c r="E233" s="36" t="s">
        <v>49</v>
      </c>
    </row>
    <row r="234">
      <c r="A234" s="14" t="s">
        <v>427</v>
      </c>
      <c r="B234" s="77">
        <v>14.0</v>
      </c>
      <c r="C234" s="77" t="s">
        <v>6758</v>
      </c>
      <c r="D234" s="77" t="s">
        <v>10651</v>
      </c>
      <c r="E234" s="36" t="s">
        <v>49</v>
      </c>
    </row>
    <row r="235">
      <c r="A235" s="14" t="s">
        <v>427</v>
      </c>
      <c r="B235" s="77">
        <v>15.0</v>
      </c>
      <c r="C235" s="77" t="s">
        <v>1823</v>
      </c>
      <c r="D235" s="77" t="s">
        <v>10431</v>
      </c>
      <c r="E235" s="36" t="s">
        <v>49</v>
      </c>
    </row>
    <row r="236">
      <c r="A236" s="14" t="s">
        <v>427</v>
      </c>
      <c r="B236" s="77">
        <v>16.0</v>
      </c>
      <c r="C236" s="77" t="s">
        <v>10652</v>
      </c>
      <c r="D236" s="77" t="s">
        <v>773</v>
      </c>
      <c r="E236" s="36" t="s">
        <v>49</v>
      </c>
    </row>
    <row r="237">
      <c r="A237" s="14" t="s">
        <v>427</v>
      </c>
      <c r="B237" s="77">
        <v>17.0</v>
      </c>
      <c r="C237" s="77" t="s">
        <v>10653</v>
      </c>
      <c r="D237" s="77" t="s">
        <v>10654</v>
      </c>
      <c r="E237" s="36" t="s">
        <v>49</v>
      </c>
    </row>
    <row r="238">
      <c r="A238" s="14" t="s">
        <v>427</v>
      </c>
      <c r="B238" s="77">
        <v>18.0</v>
      </c>
      <c r="C238" s="77" t="s">
        <v>1276</v>
      </c>
      <c r="D238" s="77" t="s">
        <v>1914</v>
      </c>
      <c r="E238" s="36" t="s">
        <v>49</v>
      </c>
    </row>
    <row r="239">
      <c r="A239" s="14" t="s">
        <v>427</v>
      </c>
      <c r="B239" s="77">
        <v>19.0</v>
      </c>
      <c r="C239" s="77" t="s">
        <v>4489</v>
      </c>
      <c r="D239" s="77" t="s">
        <v>10655</v>
      </c>
      <c r="E239" s="36" t="s">
        <v>49</v>
      </c>
    </row>
    <row r="240">
      <c r="A240" s="14" t="s">
        <v>427</v>
      </c>
      <c r="B240" s="77">
        <v>20.0</v>
      </c>
      <c r="C240" s="77" t="s">
        <v>679</v>
      </c>
      <c r="D240" s="77" t="s">
        <v>10656</v>
      </c>
      <c r="E240" s="36" t="s">
        <v>49</v>
      </c>
    </row>
    <row r="241">
      <c r="A241" s="14" t="s">
        <v>427</v>
      </c>
      <c r="B241" s="77">
        <v>21.0</v>
      </c>
      <c r="C241" s="77" t="s">
        <v>10657</v>
      </c>
      <c r="D241" s="77" t="s">
        <v>10658</v>
      </c>
      <c r="E241" s="51" t="s">
        <v>53</v>
      </c>
    </row>
    <row r="242">
      <c r="A242" s="14" t="s">
        <v>427</v>
      </c>
      <c r="B242" s="77">
        <v>22.0</v>
      </c>
      <c r="C242" s="77" t="s">
        <v>496</v>
      </c>
      <c r="D242" s="77" t="s">
        <v>10659</v>
      </c>
      <c r="E242" s="36" t="s">
        <v>49</v>
      </c>
    </row>
    <row r="243">
      <c r="A243" s="14" t="s">
        <v>427</v>
      </c>
      <c r="B243" s="77">
        <v>23.0</v>
      </c>
      <c r="C243" s="77" t="s">
        <v>561</v>
      </c>
      <c r="D243" s="77" t="s">
        <v>607</v>
      </c>
      <c r="E243" s="51" t="s">
        <v>53</v>
      </c>
    </row>
    <row r="244">
      <c r="A244" s="14" t="s">
        <v>427</v>
      </c>
      <c r="B244" s="77">
        <v>24.0</v>
      </c>
      <c r="C244" s="77" t="s">
        <v>278</v>
      </c>
      <c r="D244" s="77" t="s">
        <v>10662</v>
      </c>
      <c r="E244" s="51" t="s">
        <v>53</v>
      </c>
    </row>
    <row r="245">
      <c r="A245" s="14" t="s">
        <v>427</v>
      </c>
      <c r="B245" s="77">
        <v>25.0</v>
      </c>
      <c r="C245" s="77" t="s">
        <v>2527</v>
      </c>
      <c r="D245" s="77" t="s">
        <v>10663</v>
      </c>
      <c r="E245" s="36" t="s">
        <v>49</v>
      </c>
    </row>
    <row r="246">
      <c r="A246" s="14" t="s">
        <v>427</v>
      </c>
      <c r="B246" s="77">
        <v>26.0</v>
      </c>
      <c r="C246" s="77" t="s">
        <v>1331</v>
      </c>
      <c r="D246" s="77" t="s">
        <v>6799</v>
      </c>
      <c r="E246" s="36" t="s">
        <v>49</v>
      </c>
    </row>
    <row r="247">
      <c r="A247" s="14" t="s">
        <v>427</v>
      </c>
      <c r="B247" s="77">
        <v>27.0</v>
      </c>
      <c r="C247" s="77" t="s">
        <v>173</v>
      </c>
      <c r="D247" s="77" t="s">
        <v>137</v>
      </c>
      <c r="E247" s="51" t="s">
        <v>53</v>
      </c>
    </row>
    <row r="248">
      <c r="A248" s="70"/>
      <c r="B248" s="71"/>
      <c r="C248" s="71"/>
      <c r="D248" s="71"/>
      <c r="E248" s="70"/>
      <c r="F248" s="70"/>
      <c r="G248" s="70"/>
      <c r="H248" s="70"/>
      <c r="I248" s="70"/>
      <c r="J248" s="70"/>
      <c r="K248" s="70"/>
      <c r="L248" s="70"/>
      <c r="M248" s="70"/>
      <c r="N248" s="70"/>
      <c r="O248" s="70"/>
      <c r="P248" s="70"/>
      <c r="Q248" s="70"/>
      <c r="R248" s="70"/>
      <c r="S248" s="70"/>
      <c r="T248" s="70"/>
      <c r="U248" s="70"/>
      <c r="V248" s="70"/>
      <c r="W248" s="70"/>
      <c r="X248" s="70"/>
      <c r="Y248" s="70"/>
      <c r="Z248" s="70"/>
      <c r="AA248" s="70"/>
      <c r="AB248" s="70"/>
      <c r="AC248" s="70"/>
      <c r="AD248" s="70"/>
    </row>
    <row r="249">
      <c r="A249" s="14" t="s">
        <v>430</v>
      </c>
      <c r="B249" s="77" t="s">
        <v>431</v>
      </c>
      <c r="C249" s="77" t="s">
        <v>177</v>
      </c>
      <c r="D249" s="77" t="s">
        <v>10664</v>
      </c>
      <c r="E249" s="36" t="s">
        <v>49</v>
      </c>
    </row>
    <row r="250">
      <c r="A250" s="14" t="s">
        <v>430</v>
      </c>
      <c r="B250" s="77" t="s">
        <v>434</v>
      </c>
      <c r="C250" s="77" t="s">
        <v>772</v>
      </c>
      <c r="D250" s="77" t="s">
        <v>10665</v>
      </c>
      <c r="E250" s="36" t="s">
        <v>49</v>
      </c>
    </row>
    <row r="251">
      <c r="A251" s="70"/>
      <c r="B251" s="71"/>
      <c r="C251" s="71"/>
      <c r="D251" s="71"/>
      <c r="E251" s="70"/>
      <c r="F251" s="70"/>
      <c r="G251" s="70"/>
      <c r="H251" s="70"/>
      <c r="I251" s="70"/>
      <c r="J251" s="70"/>
      <c r="K251" s="70"/>
      <c r="L251" s="70"/>
      <c r="M251" s="70"/>
      <c r="N251" s="70"/>
      <c r="O251" s="70"/>
      <c r="P251" s="70"/>
      <c r="Q251" s="70"/>
      <c r="R251" s="70"/>
      <c r="S251" s="70"/>
      <c r="T251" s="70"/>
      <c r="U251" s="70"/>
      <c r="V251" s="70"/>
      <c r="W251" s="70"/>
      <c r="X251" s="70"/>
      <c r="Y251" s="70"/>
      <c r="Z251" s="70"/>
      <c r="AA251" s="70"/>
      <c r="AB251" s="70"/>
      <c r="AC251" s="70"/>
      <c r="AD251" s="70"/>
    </row>
    <row r="252">
      <c r="A252" s="14" t="s">
        <v>438</v>
      </c>
      <c r="B252" s="139"/>
      <c r="C252" s="77" t="s">
        <v>10666</v>
      </c>
      <c r="D252" s="77" t="s">
        <v>706</v>
      </c>
      <c r="E252" s="36" t="s">
        <v>49</v>
      </c>
    </row>
    <row r="253">
      <c r="A253" s="70"/>
      <c r="B253" s="71"/>
      <c r="C253" s="71"/>
      <c r="D253" s="71"/>
      <c r="E253" s="70"/>
      <c r="F253" s="70"/>
      <c r="G253" s="70"/>
      <c r="H253" s="70"/>
      <c r="I253" s="70"/>
      <c r="J253" s="70"/>
      <c r="K253" s="70"/>
      <c r="L253" s="70"/>
      <c r="M253" s="70"/>
      <c r="N253" s="70"/>
      <c r="O253" s="70"/>
      <c r="P253" s="70"/>
      <c r="Q253" s="70"/>
      <c r="R253" s="70"/>
      <c r="S253" s="70"/>
      <c r="T253" s="70"/>
      <c r="U253" s="70"/>
      <c r="V253" s="70"/>
      <c r="W253" s="70"/>
      <c r="X253" s="70"/>
      <c r="Y253" s="70"/>
      <c r="Z253" s="70"/>
      <c r="AA253" s="70"/>
      <c r="AB253" s="70"/>
      <c r="AC253" s="70"/>
      <c r="AD253" s="70"/>
    </row>
    <row r="254">
      <c r="B254" s="139"/>
      <c r="C254" s="139"/>
      <c r="D254" s="139"/>
    </row>
    <row r="255">
      <c r="B255" s="139"/>
      <c r="C255" s="139"/>
      <c r="D255" s="139"/>
    </row>
    <row r="256">
      <c r="B256" s="139"/>
      <c r="C256" s="139"/>
      <c r="D256" s="139"/>
    </row>
    <row r="257">
      <c r="B257" s="139"/>
      <c r="C257" s="139"/>
      <c r="D257" s="139"/>
    </row>
    <row r="258">
      <c r="B258" s="139"/>
      <c r="C258" s="139"/>
      <c r="D258" s="139"/>
    </row>
    <row r="259">
      <c r="B259" s="139"/>
      <c r="C259" s="139"/>
      <c r="D259" s="139"/>
    </row>
    <row r="260">
      <c r="B260" s="139"/>
      <c r="C260" s="139"/>
      <c r="D260" s="139"/>
    </row>
    <row r="261">
      <c r="B261" s="139"/>
      <c r="C261" s="139"/>
      <c r="D261" s="139"/>
    </row>
    <row r="262">
      <c r="B262" s="139"/>
      <c r="C262" s="139"/>
      <c r="D262" s="139"/>
    </row>
    <row r="263">
      <c r="B263" s="139"/>
      <c r="C263" s="139"/>
      <c r="D263" s="139"/>
    </row>
    <row r="264">
      <c r="B264" s="139"/>
      <c r="C264" s="139"/>
      <c r="D264" s="139"/>
    </row>
    <row r="265">
      <c r="B265" s="139"/>
      <c r="C265" s="139"/>
      <c r="D265" s="139"/>
    </row>
    <row r="266">
      <c r="B266" s="139"/>
      <c r="C266" s="139"/>
      <c r="D266" s="139"/>
    </row>
    <row r="267">
      <c r="B267" s="139"/>
      <c r="C267" s="139"/>
      <c r="D267" s="139"/>
    </row>
    <row r="268">
      <c r="B268" s="139"/>
      <c r="C268" s="139"/>
      <c r="D268" s="139"/>
    </row>
    <row r="269">
      <c r="B269" s="139"/>
      <c r="C269" s="139"/>
      <c r="D269" s="139"/>
    </row>
    <row r="270">
      <c r="B270" s="139"/>
      <c r="C270" s="139"/>
      <c r="D270" s="139"/>
    </row>
    <row r="271">
      <c r="B271" s="139"/>
      <c r="C271" s="139"/>
      <c r="D271" s="139"/>
    </row>
    <row r="272">
      <c r="B272" s="139"/>
      <c r="C272" s="139"/>
      <c r="D272" s="139"/>
    </row>
    <row r="273">
      <c r="B273" s="139"/>
      <c r="C273" s="139"/>
      <c r="D273" s="139"/>
    </row>
    <row r="274">
      <c r="B274" s="139"/>
      <c r="C274" s="139"/>
      <c r="D274" s="139"/>
    </row>
    <row r="275">
      <c r="B275" s="139"/>
      <c r="C275" s="139"/>
      <c r="D275" s="139"/>
    </row>
    <row r="276">
      <c r="B276" s="139"/>
      <c r="C276" s="139"/>
      <c r="D276" s="139"/>
    </row>
    <row r="277">
      <c r="B277" s="139"/>
      <c r="C277" s="139"/>
      <c r="D277" s="139"/>
    </row>
    <row r="278">
      <c r="B278" s="139"/>
      <c r="C278" s="139"/>
      <c r="D278" s="139"/>
    </row>
    <row r="279">
      <c r="B279" s="139"/>
      <c r="C279" s="139"/>
      <c r="D279" s="139"/>
    </row>
    <row r="280">
      <c r="B280" s="139"/>
      <c r="C280" s="139"/>
      <c r="D280" s="139"/>
    </row>
    <row r="281">
      <c r="B281" s="139"/>
      <c r="C281" s="139"/>
      <c r="D281" s="139"/>
    </row>
    <row r="282">
      <c r="B282" s="139"/>
      <c r="C282" s="139"/>
      <c r="D282" s="139"/>
    </row>
    <row r="283">
      <c r="B283" s="139"/>
      <c r="C283" s="139"/>
      <c r="D283" s="139"/>
    </row>
    <row r="284">
      <c r="B284" s="139"/>
      <c r="C284" s="139"/>
      <c r="D284" s="139"/>
    </row>
    <row r="285">
      <c r="B285" s="139"/>
      <c r="C285" s="139"/>
      <c r="D285" s="139"/>
    </row>
    <row r="286">
      <c r="B286" s="139"/>
      <c r="C286" s="139"/>
      <c r="D286" s="139"/>
    </row>
    <row r="287">
      <c r="B287" s="139"/>
      <c r="C287" s="139"/>
      <c r="D287" s="139"/>
    </row>
    <row r="288">
      <c r="B288" s="139"/>
      <c r="C288" s="139"/>
      <c r="D288" s="139"/>
    </row>
    <row r="289">
      <c r="B289" s="139"/>
      <c r="C289" s="139"/>
      <c r="D289" s="139"/>
    </row>
    <row r="290">
      <c r="B290" s="139"/>
      <c r="C290" s="139"/>
      <c r="D290" s="139"/>
    </row>
    <row r="291">
      <c r="B291" s="139"/>
      <c r="C291" s="139"/>
      <c r="D291" s="139"/>
    </row>
    <row r="292">
      <c r="B292" s="139"/>
      <c r="C292" s="139"/>
      <c r="D292" s="139"/>
    </row>
    <row r="293">
      <c r="B293" s="139"/>
      <c r="C293" s="139"/>
      <c r="D293" s="139"/>
    </row>
    <row r="294">
      <c r="B294" s="139"/>
      <c r="C294" s="139"/>
      <c r="D294" s="139"/>
    </row>
    <row r="295">
      <c r="B295" s="139"/>
      <c r="C295" s="139"/>
      <c r="D295" s="139"/>
    </row>
    <row r="296">
      <c r="B296" s="139"/>
      <c r="C296" s="139"/>
      <c r="D296" s="139"/>
    </row>
    <row r="297">
      <c r="B297" s="139"/>
      <c r="C297" s="139"/>
      <c r="D297" s="139"/>
    </row>
    <row r="298">
      <c r="B298" s="139"/>
      <c r="C298" s="139"/>
      <c r="D298" s="139"/>
    </row>
    <row r="299">
      <c r="B299" s="139"/>
      <c r="C299" s="139"/>
      <c r="D299" s="139"/>
    </row>
    <row r="300">
      <c r="B300" s="139"/>
      <c r="C300" s="139"/>
      <c r="D300" s="139"/>
    </row>
    <row r="301">
      <c r="B301" s="139"/>
      <c r="C301" s="139"/>
      <c r="D301" s="139"/>
    </row>
    <row r="302">
      <c r="B302" s="139"/>
      <c r="C302" s="139"/>
      <c r="D302" s="139"/>
    </row>
    <row r="303">
      <c r="B303" s="139"/>
      <c r="C303" s="139"/>
      <c r="D303" s="139"/>
    </row>
    <row r="304">
      <c r="B304" s="139"/>
      <c r="C304" s="139"/>
      <c r="D304" s="139"/>
    </row>
    <row r="305">
      <c r="B305" s="139"/>
      <c r="C305" s="139"/>
      <c r="D305" s="139"/>
    </row>
    <row r="306">
      <c r="B306" s="139"/>
      <c r="C306" s="139"/>
      <c r="D306" s="139"/>
    </row>
    <row r="307">
      <c r="B307" s="139"/>
      <c r="C307" s="139"/>
      <c r="D307" s="139"/>
    </row>
    <row r="308">
      <c r="B308" s="139"/>
      <c r="C308" s="139"/>
      <c r="D308" s="139"/>
    </row>
    <row r="309">
      <c r="B309" s="139"/>
      <c r="C309" s="139"/>
      <c r="D309" s="139"/>
    </row>
    <row r="310">
      <c r="B310" s="139"/>
      <c r="C310" s="139"/>
      <c r="D310" s="139"/>
    </row>
    <row r="311">
      <c r="B311" s="139"/>
      <c r="C311" s="139"/>
      <c r="D311" s="139"/>
    </row>
    <row r="312">
      <c r="B312" s="139"/>
      <c r="C312" s="139"/>
      <c r="D312" s="139"/>
    </row>
    <row r="313">
      <c r="B313" s="139"/>
      <c r="C313" s="139"/>
      <c r="D313" s="139"/>
    </row>
    <row r="314">
      <c r="B314" s="139"/>
      <c r="C314" s="139"/>
      <c r="D314" s="139"/>
    </row>
    <row r="315">
      <c r="B315" s="139"/>
      <c r="C315" s="139"/>
      <c r="D315" s="139"/>
    </row>
    <row r="316">
      <c r="B316" s="139"/>
      <c r="C316" s="139"/>
      <c r="D316" s="139"/>
    </row>
    <row r="317">
      <c r="B317" s="139"/>
      <c r="C317" s="139"/>
      <c r="D317" s="139"/>
    </row>
    <row r="318">
      <c r="B318" s="139"/>
      <c r="C318" s="139"/>
      <c r="D318" s="139"/>
    </row>
    <row r="319">
      <c r="B319" s="139"/>
      <c r="C319" s="139"/>
      <c r="D319" s="139"/>
    </row>
    <row r="320">
      <c r="B320" s="139"/>
      <c r="C320" s="139"/>
      <c r="D320" s="139"/>
    </row>
    <row r="321">
      <c r="B321" s="139"/>
      <c r="C321" s="139"/>
      <c r="D321" s="139"/>
    </row>
    <row r="322">
      <c r="B322" s="139"/>
      <c r="C322" s="139"/>
      <c r="D322" s="139"/>
    </row>
    <row r="323">
      <c r="B323" s="139"/>
      <c r="C323" s="139"/>
      <c r="D323" s="139"/>
    </row>
    <row r="324">
      <c r="B324" s="139"/>
      <c r="C324" s="139"/>
      <c r="D324" s="139"/>
    </row>
    <row r="325">
      <c r="B325" s="139"/>
      <c r="C325" s="139"/>
      <c r="D325" s="139"/>
    </row>
    <row r="326">
      <c r="B326" s="139"/>
      <c r="C326" s="139"/>
      <c r="D326" s="139"/>
    </row>
    <row r="327">
      <c r="B327" s="139"/>
      <c r="C327" s="139"/>
      <c r="D327" s="139"/>
    </row>
    <row r="328">
      <c r="B328" s="139"/>
      <c r="C328" s="139"/>
      <c r="D328" s="139"/>
    </row>
    <row r="329">
      <c r="B329" s="139"/>
      <c r="C329" s="139"/>
      <c r="D329" s="139"/>
    </row>
    <row r="330">
      <c r="B330" s="139"/>
      <c r="C330" s="139"/>
      <c r="D330" s="139"/>
    </row>
    <row r="331">
      <c r="B331" s="139"/>
      <c r="C331" s="139"/>
      <c r="D331" s="139"/>
    </row>
    <row r="332">
      <c r="B332" s="139"/>
      <c r="C332" s="139"/>
      <c r="D332" s="139"/>
    </row>
    <row r="333">
      <c r="B333" s="139"/>
      <c r="C333" s="139"/>
      <c r="D333" s="139"/>
    </row>
    <row r="334">
      <c r="B334" s="139"/>
      <c r="C334" s="139"/>
      <c r="D334" s="139"/>
    </row>
    <row r="335">
      <c r="B335" s="139"/>
      <c r="C335" s="139"/>
      <c r="D335" s="139"/>
    </row>
    <row r="336">
      <c r="B336" s="139"/>
      <c r="C336" s="139"/>
      <c r="D336" s="139"/>
    </row>
    <row r="337">
      <c r="B337" s="139"/>
      <c r="C337" s="139"/>
      <c r="D337" s="139"/>
    </row>
    <row r="338">
      <c r="B338" s="139"/>
      <c r="C338" s="139"/>
      <c r="D338" s="139"/>
    </row>
    <row r="339">
      <c r="B339" s="139"/>
      <c r="C339" s="139"/>
      <c r="D339" s="139"/>
    </row>
    <row r="340">
      <c r="B340" s="139"/>
      <c r="C340" s="139"/>
      <c r="D340" s="139"/>
    </row>
    <row r="341">
      <c r="B341" s="139"/>
      <c r="C341" s="139"/>
      <c r="D341" s="139"/>
    </row>
    <row r="342">
      <c r="B342" s="139"/>
      <c r="C342" s="139"/>
      <c r="D342" s="139"/>
    </row>
    <row r="343">
      <c r="B343" s="139"/>
      <c r="C343" s="139"/>
      <c r="D343" s="139"/>
    </row>
    <row r="344">
      <c r="B344" s="139"/>
      <c r="C344" s="139"/>
      <c r="D344" s="139"/>
    </row>
    <row r="345">
      <c r="B345" s="139"/>
      <c r="C345" s="139"/>
      <c r="D345" s="139"/>
    </row>
    <row r="346">
      <c r="B346" s="139"/>
      <c r="C346" s="139"/>
      <c r="D346" s="139"/>
    </row>
    <row r="347">
      <c r="B347" s="139"/>
      <c r="C347" s="139"/>
      <c r="D347" s="139"/>
    </row>
    <row r="348">
      <c r="B348" s="139"/>
      <c r="C348" s="139"/>
      <c r="D348" s="139"/>
    </row>
    <row r="349">
      <c r="B349" s="139"/>
      <c r="C349" s="139"/>
      <c r="D349" s="139"/>
    </row>
    <row r="350">
      <c r="B350" s="139"/>
      <c r="C350" s="139"/>
      <c r="D350" s="139"/>
    </row>
    <row r="351">
      <c r="B351" s="139"/>
      <c r="C351" s="139"/>
      <c r="D351" s="139"/>
    </row>
    <row r="352">
      <c r="B352" s="139"/>
      <c r="C352" s="139"/>
      <c r="D352" s="139"/>
    </row>
    <row r="353">
      <c r="B353" s="139"/>
      <c r="C353" s="139"/>
      <c r="D353" s="139"/>
    </row>
    <row r="354">
      <c r="B354" s="139"/>
      <c r="C354" s="139"/>
      <c r="D354" s="139"/>
    </row>
    <row r="355">
      <c r="B355" s="139"/>
      <c r="C355" s="139"/>
      <c r="D355" s="139"/>
    </row>
    <row r="356">
      <c r="B356" s="139"/>
      <c r="C356" s="139"/>
      <c r="D356" s="139"/>
    </row>
    <row r="357">
      <c r="B357" s="139"/>
      <c r="C357" s="139"/>
      <c r="D357" s="139"/>
    </row>
    <row r="358">
      <c r="B358" s="139"/>
      <c r="C358" s="139"/>
      <c r="D358" s="139"/>
    </row>
    <row r="359">
      <c r="B359" s="139"/>
      <c r="C359" s="139"/>
      <c r="D359" s="139"/>
    </row>
    <row r="360">
      <c r="B360" s="139"/>
      <c r="C360" s="139"/>
      <c r="D360" s="139"/>
    </row>
    <row r="361">
      <c r="B361" s="139"/>
      <c r="C361" s="139"/>
      <c r="D361" s="139"/>
    </row>
    <row r="362">
      <c r="B362" s="139"/>
      <c r="C362" s="139"/>
      <c r="D362" s="139"/>
    </row>
    <row r="363">
      <c r="B363" s="139"/>
      <c r="C363" s="139"/>
      <c r="D363" s="139"/>
    </row>
    <row r="364">
      <c r="B364" s="139"/>
      <c r="C364" s="139"/>
      <c r="D364" s="139"/>
    </row>
    <row r="365">
      <c r="B365" s="139"/>
      <c r="C365" s="139"/>
      <c r="D365" s="139"/>
    </row>
    <row r="366">
      <c r="B366" s="139"/>
      <c r="C366" s="139"/>
      <c r="D366" s="139"/>
    </row>
    <row r="367">
      <c r="B367" s="139"/>
      <c r="C367" s="139"/>
      <c r="D367" s="139"/>
    </row>
    <row r="368">
      <c r="B368" s="139"/>
      <c r="C368" s="139"/>
      <c r="D368" s="139"/>
    </row>
    <row r="369">
      <c r="B369" s="139"/>
      <c r="C369" s="139"/>
      <c r="D369" s="139"/>
    </row>
    <row r="370">
      <c r="B370" s="139"/>
      <c r="C370" s="139"/>
      <c r="D370" s="139"/>
    </row>
    <row r="371">
      <c r="B371" s="139"/>
      <c r="C371" s="139"/>
      <c r="D371" s="139"/>
    </row>
    <row r="372">
      <c r="B372" s="139"/>
      <c r="C372" s="139"/>
      <c r="D372" s="139"/>
    </row>
    <row r="373">
      <c r="B373" s="139"/>
      <c r="C373" s="139"/>
      <c r="D373" s="139"/>
    </row>
    <row r="374">
      <c r="B374" s="139"/>
      <c r="C374" s="139"/>
      <c r="D374" s="139"/>
    </row>
    <row r="375">
      <c r="B375" s="139"/>
      <c r="C375" s="139"/>
      <c r="D375" s="139"/>
    </row>
    <row r="376">
      <c r="B376" s="139"/>
      <c r="C376" s="139"/>
      <c r="D376" s="139"/>
    </row>
    <row r="377">
      <c r="B377" s="139"/>
      <c r="C377" s="139"/>
      <c r="D377" s="139"/>
    </row>
    <row r="378">
      <c r="B378" s="139"/>
      <c r="C378" s="139"/>
      <c r="D378" s="139"/>
    </row>
    <row r="379">
      <c r="B379" s="139"/>
      <c r="C379" s="139"/>
      <c r="D379" s="139"/>
    </row>
    <row r="380">
      <c r="B380" s="139"/>
      <c r="C380" s="139"/>
      <c r="D380" s="139"/>
    </row>
    <row r="381">
      <c r="B381" s="139"/>
      <c r="C381" s="139"/>
      <c r="D381" s="139"/>
    </row>
    <row r="382">
      <c r="B382" s="139"/>
      <c r="C382" s="139"/>
      <c r="D382" s="139"/>
    </row>
    <row r="383">
      <c r="B383" s="139"/>
      <c r="C383" s="139"/>
      <c r="D383" s="139"/>
    </row>
    <row r="384">
      <c r="B384" s="139"/>
      <c r="C384" s="139"/>
      <c r="D384" s="139"/>
    </row>
    <row r="385">
      <c r="B385" s="139"/>
      <c r="C385" s="139"/>
      <c r="D385" s="139"/>
    </row>
    <row r="386">
      <c r="B386" s="139"/>
      <c r="C386" s="139"/>
      <c r="D386" s="139"/>
    </row>
    <row r="387">
      <c r="B387" s="139"/>
      <c r="C387" s="139"/>
      <c r="D387" s="139"/>
    </row>
    <row r="388">
      <c r="B388" s="139"/>
      <c r="C388" s="139"/>
      <c r="D388" s="139"/>
    </row>
    <row r="389">
      <c r="B389" s="139"/>
      <c r="C389" s="139"/>
      <c r="D389" s="139"/>
    </row>
    <row r="390">
      <c r="B390" s="139"/>
      <c r="C390" s="139"/>
      <c r="D390" s="139"/>
    </row>
    <row r="391">
      <c r="B391" s="139"/>
      <c r="C391" s="139"/>
      <c r="D391" s="139"/>
    </row>
    <row r="392">
      <c r="B392" s="139"/>
      <c r="C392" s="139"/>
      <c r="D392" s="139"/>
    </row>
    <row r="393">
      <c r="B393" s="139"/>
      <c r="C393" s="139"/>
      <c r="D393" s="139"/>
    </row>
    <row r="394">
      <c r="B394" s="139"/>
      <c r="C394" s="139"/>
      <c r="D394" s="139"/>
    </row>
    <row r="395">
      <c r="B395" s="139"/>
      <c r="C395" s="139"/>
      <c r="D395" s="139"/>
    </row>
    <row r="396">
      <c r="B396" s="139"/>
      <c r="C396" s="139"/>
      <c r="D396" s="139"/>
    </row>
    <row r="397">
      <c r="B397" s="139"/>
      <c r="C397" s="139"/>
      <c r="D397" s="139"/>
    </row>
    <row r="398">
      <c r="B398" s="139"/>
      <c r="C398" s="139"/>
      <c r="D398" s="139"/>
    </row>
    <row r="399">
      <c r="B399" s="139"/>
      <c r="C399" s="139"/>
      <c r="D399" s="139"/>
    </row>
    <row r="400">
      <c r="B400" s="139"/>
      <c r="C400" s="139"/>
      <c r="D400" s="139"/>
    </row>
    <row r="401">
      <c r="B401" s="139"/>
      <c r="C401" s="139"/>
      <c r="D401" s="139"/>
    </row>
    <row r="402">
      <c r="B402" s="139"/>
      <c r="C402" s="139"/>
      <c r="D402" s="139"/>
    </row>
    <row r="403">
      <c r="B403" s="139"/>
      <c r="C403" s="139"/>
      <c r="D403" s="139"/>
    </row>
    <row r="404">
      <c r="B404" s="139"/>
      <c r="C404" s="139"/>
      <c r="D404" s="139"/>
    </row>
    <row r="405">
      <c r="B405" s="139"/>
      <c r="C405" s="139"/>
      <c r="D405" s="139"/>
    </row>
    <row r="406">
      <c r="B406" s="139"/>
      <c r="C406" s="139"/>
      <c r="D406" s="139"/>
    </row>
    <row r="407">
      <c r="B407" s="139"/>
      <c r="C407" s="139"/>
      <c r="D407" s="139"/>
    </row>
    <row r="408">
      <c r="B408" s="139"/>
      <c r="C408" s="139"/>
      <c r="D408" s="139"/>
    </row>
    <row r="409">
      <c r="B409" s="139"/>
      <c r="C409" s="139"/>
      <c r="D409" s="139"/>
    </row>
    <row r="410">
      <c r="B410" s="139"/>
      <c r="C410" s="139"/>
      <c r="D410" s="139"/>
    </row>
    <row r="411">
      <c r="B411" s="139"/>
      <c r="C411" s="139"/>
      <c r="D411" s="139"/>
    </row>
    <row r="412">
      <c r="B412" s="139"/>
      <c r="C412" s="139"/>
      <c r="D412" s="139"/>
    </row>
    <row r="413">
      <c r="B413" s="139"/>
      <c r="C413" s="139"/>
      <c r="D413" s="139"/>
    </row>
    <row r="414">
      <c r="B414" s="139"/>
      <c r="C414" s="139"/>
      <c r="D414" s="139"/>
    </row>
    <row r="415">
      <c r="B415" s="139"/>
      <c r="C415" s="139"/>
      <c r="D415" s="139"/>
    </row>
    <row r="416">
      <c r="B416" s="139"/>
      <c r="C416" s="139"/>
      <c r="D416" s="139"/>
    </row>
    <row r="417">
      <c r="B417" s="139"/>
      <c r="C417" s="139"/>
      <c r="D417" s="139"/>
    </row>
    <row r="418">
      <c r="B418" s="139"/>
      <c r="C418" s="139"/>
      <c r="D418" s="139"/>
    </row>
    <row r="419">
      <c r="B419" s="139"/>
      <c r="C419" s="139"/>
      <c r="D419" s="139"/>
    </row>
    <row r="420">
      <c r="B420" s="139"/>
      <c r="C420" s="139"/>
      <c r="D420" s="139"/>
    </row>
    <row r="421">
      <c r="B421" s="139"/>
      <c r="C421" s="139"/>
      <c r="D421" s="139"/>
    </row>
    <row r="422">
      <c r="B422" s="139"/>
      <c r="C422" s="139"/>
      <c r="D422" s="139"/>
    </row>
    <row r="423">
      <c r="B423" s="139"/>
      <c r="C423" s="139"/>
      <c r="D423" s="139"/>
    </row>
    <row r="424">
      <c r="B424" s="139"/>
      <c r="C424" s="139"/>
      <c r="D424" s="139"/>
    </row>
    <row r="425">
      <c r="B425" s="139"/>
      <c r="C425" s="139"/>
      <c r="D425" s="139"/>
    </row>
    <row r="426">
      <c r="B426" s="139"/>
      <c r="C426" s="139"/>
      <c r="D426" s="139"/>
    </row>
    <row r="427">
      <c r="B427" s="139"/>
      <c r="C427" s="139"/>
      <c r="D427" s="139"/>
    </row>
    <row r="428">
      <c r="B428" s="139"/>
      <c r="C428" s="139"/>
      <c r="D428" s="139"/>
    </row>
    <row r="429">
      <c r="B429" s="139"/>
      <c r="C429" s="139"/>
      <c r="D429" s="139"/>
    </row>
    <row r="430">
      <c r="B430" s="139"/>
      <c r="C430" s="139"/>
      <c r="D430" s="139"/>
    </row>
    <row r="431">
      <c r="B431" s="139"/>
      <c r="C431" s="139"/>
      <c r="D431" s="139"/>
    </row>
    <row r="432">
      <c r="B432" s="139"/>
      <c r="C432" s="139"/>
      <c r="D432" s="139"/>
    </row>
    <row r="433">
      <c r="B433" s="139"/>
      <c r="C433" s="139"/>
      <c r="D433" s="139"/>
    </row>
    <row r="434">
      <c r="B434" s="139"/>
      <c r="C434" s="139"/>
      <c r="D434" s="139"/>
    </row>
    <row r="435">
      <c r="B435" s="139"/>
      <c r="C435" s="139"/>
      <c r="D435" s="139"/>
    </row>
    <row r="436">
      <c r="B436" s="139"/>
      <c r="C436" s="139"/>
      <c r="D436" s="139"/>
    </row>
    <row r="437">
      <c r="B437" s="139"/>
      <c r="C437" s="139"/>
      <c r="D437" s="139"/>
    </row>
    <row r="438">
      <c r="B438" s="139"/>
      <c r="C438" s="139"/>
      <c r="D438" s="139"/>
    </row>
    <row r="439">
      <c r="B439" s="139"/>
      <c r="C439" s="139"/>
      <c r="D439" s="139"/>
    </row>
    <row r="440">
      <c r="B440" s="139"/>
      <c r="C440" s="139"/>
      <c r="D440" s="139"/>
    </row>
    <row r="441">
      <c r="B441" s="139"/>
      <c r="C441" s="139"/>
      <c r="D441" s="139"/>
    </row>
    <row r="442">
      <c r="B442" s="139"/>
      <c r="C442" s="139"/>
      <c r="D442" s="139"/>
    </row>
    <row r="443">
      <c r="B443" s="139"/>
      <c r="C443" s="139"/>
      <c r="D443" s="139"/>
    </row>
    <row r="444">
      <c r="B444" s="139"/>
      <c r="C444" s="139"/>
      <c r="D444" s="139"/>
    </row>
    <row r="445">
      <c r="B445" s="139"/>
      <c r="C445" s="139"/>
      <c r="D445" s="139"/>
    </row>
    <row r="446">
      <c r="B446" s="139"/>
      <c r="C446" s="139"/>
      <c r="D446" s="139"/>
    </row>
    <row r="447">
      <c r="B447" s="139"/>
      <c r="C447" s="139"/>
      <c r="D447" s="139"/>
    </row>
    <row r="448">
      <c r="B448" s="139"/>
      <c r="C448" s="139"/>
      <c r="D448" s="139"/>
    </row>
    <row r="449">
      <c r="B449" s="139"/>
      <c r="C449" s="139"/>
      <c r="D449" s="139"/>
    </row>
    <row r="450">
      <c r="B450" s="139"/>
      <c r="C450" s="139"/>
      <c r="D450" s="139"/>
    </row>
    <row r="451">
      <c r="B451" s="139"/>
      <c r="C451" s="139"/>
      <c r="D451" s="139"/>
    </row>
    <row r="452">
      <c r="B452" s="139"/>
      <c r="C452" s="139"/>
      <c r="D452" s="139"/>
    </row>
    <row r="453">
      <c r="B453" s="139"/>
      <c r="C453" s="139"/>
      <c r="D453" s="139"/>
    </row>
    <row r="454">
      <c r="B454" s="139"/>
      <c r="C454" s="139"/>
      <c r="D454" s="139"/>
    </row>
    <row r="455">
      <c r="B455" s="139"/>
      <c r="C455" s="139"/>
      <c r="D455" s="139"/>
    </row>
    <row r="456">
      <c r="B456" s="139"/>
      <c r="C456" s="139"/>
      <c r="D456" s="139"/>
    </row>
    <row r="457">
      <c r="B457" s="139"/>
      <c r="C457" s="139"/>
      <c r="D457" s="139"/>
    </row>
    <row r="458">
      <c r="B458" s="139"/>
      <c r="C458" s="139"/>
      <c r="D458" s="139"/>
    </row>
    <row r="459">
      <c r="B459" s="139"/>
      <c r="C459" s="139"/>
      <c r="D459" s="139"/>
    </row>
    <row r="460">
      <c r="B460" s="139"/>
      <c r="C460" s="139"/>
      <c r="D460" s="139"/>
    </row>
    <row r="461">
      <c r="B461" s="139"/>
      <c r="C461" s="139"/>
      <c r="D461" s="139"/>
    </row>
    <row r="462">
      <c r="B462" s="139"/>
      <c r="C462" s="139"/>
      <c r="D462" s="139"/>
    </row>
    <row r="463">
      <c r="B463" s="139"/>
      <c r="C463" s="139"/>
      <c r="D463" s="139"/>
    </row>
    <row r="464">
      <c r="B464" s="139"/>
      <c r="C464" s="139"/>
      <c r="D464" s="139"/>
    </row>
    <row r="465">
      <c r="B465" s="139"/>
      <c r="C465" s="139"/>
      <c r="D465" s="139"/>
    </row>
    <row r="466">
      <c r="B466" s="139"/>
      <c r="C466" s="139"/>
      <c r="D466" s="139"/>
    </row>
    <row r="467">
      <c r="B467" s="139"/>
      <c r="C467" s="139"/>
      <c r="D467" s="139"/>
    </row>
    <row r="468">
      <c r="B468" s="139"/>
      <c r="C468" s="139"/>
      <c r="D468" s="139"/>
    </row>
    <row r="469">
      <c r="B469" s="139"/>
      <c r="C469" s="139"/>
      <c r="D469" s="139"/>
    </row>
    <row r="470">
      <c r="B470" s="139"/>
      <c r="C470" s="139"/>
      <c r="D470" s="139"/>
    </row>
    <row r="471">
      <c r="B471" s="139"/>
      <c r="C471" s="139"/>
      <c r="D471" s="139"/>
    </row>
    <row r="472">
      <c r="B472" s="139"/>
      <c r="C472" s="139"/>
      <c r="D472" s="139"/>
    </row>
    <row r="473">
      <c r="B473" s="139"/>
      <c r="C473" s="139"/>
      <c r="D473" s="139"/>
    </row>
    <row r="474">
      <c r="B474" s="139"/>
      <c r="C474" s="139"/>
      <c r="D474" s="139"/>
    </row>
    <row r="475">
      <c r="B475" s="139"/>
      <c r="C475" s="139"/>
      <c r="D475" s="139"/>
    </row>
    <row r="476">
      <c r="B476" s="139"/>
      <c r="C476" s="139"/>
      <c r="D476" s="139"/>
    </row>
    <row r="477">
      <c r="B477" s="139"/>
      <c r="C477" s="139"/>
      <c r="D477" s="139"/>
    </row>
    <row r="478">
      <c r="B478" s="139"/>
      <c r="C478" s="139"/>
      <c r="D478" s="139"/>
    </row>
    <row r="479">
      <c r="B479" s="139"/>
      <c r="C479" s="139"/>
      <c r="D479" s="139"/>
    </row>
    <row r="480">
      <c r="B480" s="139"/>
      <c r="C480" s="139"/>
      <c r="D480" s="139"/>
    </row>
    <row r="481">
      <c r="B481" s="139"/>
      <c r="C481" s="139"/>
      <c r="D481" s="139"/>
    </row>
    <row r="482">
      <c r="B482" s="139"/>
      <c r="C482" s="139"/>
      <c r="D482" s="139"/>
    </row>
    <row r="483">
      <c r="B483" s="139"/>
      <c r="C483" s="139"/>
      <c r="D483" s="139"/>
    </row>
    <row r="484">
      <c r="B484" s="139"/>
      <c r="C484" s="139"/>
      <c r="D484" s="139"/>
    </row>
    <row r="485">
      <c r="B485" s="139"/>
      <c r="C485" s="139"/>
      <c r="D485" s="139"/>
    </row>
    <row r="486">
      <c r="B486" s="139"/>
      <c r="C486" s="139"/>
      <c r="D486" s="139"/>
    </row>
    <row r="487">
      <c r="B487" s="139"/>
      <c r="C487" s="139"/>
      <c r="D487" s="139"/>
    </row>
    <row r="488">
      <c r="B488" s="139"/>
      <c r="C488" s="139"/>
      <c r="D488" s="139"/>
    </row>
    <row r="489">
      <c r="B489" s="139"/>
      <c r="C489" s="139"/>
      <c r="D489" s="139"/>
    </row>
    <row r="490">
      <c r="B490" s="139"/>
      <c r="C490" s="139"/>
      <c r="D490" s="139"/>
    </row>
    <row r="491">
      <c r="B491" s="139"/>
      <c r="C491" s="139"/>
      <c r="D491" s="139"/>
    </row>
    <row r="492">
      <c r="B492" s="139"/>
      <c r="C492" s="139"/>
      <c r="D492" s="139"/>
    </row>
    <row r="493">
      <c r="B493" s="139"/>
      <c r="C493" s="139"/>
      <c r="D493" s="139"/>
    </row>
    <row r="494">
      <c r="B494" s="139"/>
      <c r="C494" s="139"/>
      <c r="D494" s="139"/>
    </row>
    <row r="495">
      <c r="B495" s="139"/>
      <c r="C495" s="139"/>
      <c r="D495" s="139"/>
    </row>
    <row r="496">
      <c r="B496" s="139"/>
      <c r="C496" s="139"/>
      <c r="D496" s="139"/>
    </row>
    <row r="497">
      <c r="B497" s="139"/>
      <c r="C497" s="139"/>
      <c r="D497" s="139"/>
    </row>
    <row r="498">
      <c r="B498" s="139"/>
      <c r="C498" s="139"/>
      <c r="D498" s="139"/>
    </row>
    <row r="499">
      <c r="B499" s="139"/>
      <c r="C499" s="139"/>
      <c r="D499" s="139"/>
    </row>
    <row r="500">
      <c r="B500" s="139"/>
      <c r="C500" s="139"/>
      <c r="D500" s="139"/>
    </row>
    <row r="501">
      <c r="B501" s="139"/>
      <c r="C501" s="139"/>
      <c r="D501" s="139"/>
    </row>
    <row r="502">
      <c r="B502" s="139"/>
      <c r="C502" s="139"/>
      <c r="D502" s="139"/>
    </row>
    <row r="503">
      <c r="B503" s="139"/>
      <c r="C503" s="139"/>
      <c r="D503" s="139"/>
    </row>
    <row r="504">
      <c r="B504" s="139"/>
      <c r="C504" s="139"/>
      <c r="D504" s="139"/>
    </row>
    <row r="505">
      <c r="B505" s="139"/>
      <c r="C505" s="139"/>
      <c r="D505" s="139"/>
    </row>
    <row r="506">
      <c r="B506" s="139"/>
      <c r="C506" s="139"/>
      <c r="D506" s="139"/>
    </row>
    <row r="507">
      <c r="B507" s="139"/>
      <c r="C507" s="139"/>
      <c r="D507" s="139"/>
    </row>
    <row r="508">
      <c r="B508" s="139"/>
      <c r="C508" s="139"/>
      <c r="D508" s="139"/>
    </row>
    <row r="509">
      <c r="B509" s="139"/>
      <c r="C509" s="139"/>
      <c r="D509" s="139"/>
    </row>
    <row r="510">
      <c r="B510" s="139"/>
      <c r="C510" s="139"/>
      <c r="D510" s="139"/>
    </row>
    <row r="511">
      <c r="B511" s="139"/>
      <c r="C511" s="139"/>
      <c r="D511" s="139"/>
    </row>
    <row r="512">
      <c r="B512" s="139"/>
      <c r="C512" s="139"/>
      <c r="D512" s="139"/>
    </row>
    <row r="513">
      <c r="B513" s="139"/>
      <c r="C513" s="139"/>
      <c r="D513" s="139"/>
    </row>
    <row r="514">
      <c r="B514" s="139"/>
      <c r="C514" s="139"/>
      <c r="D514" s="139"/>
    </row>
    <row r="515">
      <c r="B515" s="139"/>
      <c r="C515" s="139"/>
      <c r="D515" s="139"/>
    </row>
    <row r="516">
      <c r="B516" s="139"/>
      <c r="C516" s="139"/>
      <c r="D516" s="139"/>
    </row>
    <row r="517">
      <c r="B517" s="139"/>
      <c r="C517" s="139"/>
      <c r="D517" s="139"/>
    </row>
    <row r="518">
      <c r="B518" s="139"/>
      <c r="C518" s="139"/>
      <c r="D518" s="139"/>
    </row>
    <row r="519">
      <c r="B519" s="139"/>
      <c r="C519" s="139"/>
      <c r="D519" s="139"/>
    </row>
    <row r="520">
      <c r="B520" s="139"/>
      <c r="C520" s="139"/>
      <c r="D520" s="139"/>
    </row>
    <row r="521">
      <c r="B521" s="139"/>
      <c r="C521" s="139"/>
      <c r="D521" s="139"/>
    </row>
    <row r="522">
      <c r="B522" s="139"/>
      <c r="C522" s="139"/>
      <c r="D522" s="139"/>
    </row>
    <row r="523">
      <c r="B523" s="139"/>
      <c r="C523" s="139"/>
      <c r="D523" s="139"/>
    </row>
    <row r="524">
      <c r="B524" s="139"/>
      <c r="C524" s="139"/>
      <c r="D524" s="139"/>
    </row>
    <row r="525">
      <c r="B525" s="139"/>
      <c r="C525" s="139"/>
      <c r="D525" s="139"/>
    </row>
    <row r="526">
      <c r="B526" s="139"/>
      <c r="C526" s="139"/>
      <c r="D526" s="139"/>
    </row>
    <row r="527">
      <c r="B527" s="139"/>
      <c r="C527" s="139"/>
      <c r="D527" s="139"/>
    </row>
    <row r="528">
      <c r="B528" s="139"/>
      <c r="C528" s="139"/>
      <c r="D528" s="139"/>
    </row>
    <row r="529">
      <c r="B529" s="139"/>
      <c r="C529" s="139"/>
      <c r="D529" s="139"/>
    </row>
    <row r="530">
      <c r="B530" s="139"/>
      <c r="C530" s="139"/>
      <c r="D530" s="139"/>
    </row>
    <row r="531">
      <c r="B531" s="139"/>
      <c r="C531" s="139"/>
      <c r="D531" s="139"/>
    </row>
    <row r="532">
      <c r="B532" s="139"/>
      <c r="C532" s="139"/>
      <c r="D532" s="139"/>
    </row>
    <row r="533">
      <c r="B533" s="139"/>
      <c r="C533" s="139"/>
      <c r="D533" s="139"/>
    </row>
    <row r="534">
      <c r="B534" s="139"/>
      <c r="C534" s="139"/>
      <c r="D534" s="139"/>
    </row>
    <row r="535">
      <c r="B535" s="139"/>
      <c r="C535" s="139"/>
      <c r="D535" s="139"/>
    </row>
    <row r="536">
      <c r="B536" s="139"/>
      <c r="C536" s="139"/>
      <c r="D536" s="139"/>
    </row>
    <row r="537">
      <c r="B537" s="139"/>
      <c r="C537" s="139"/>
      <c r="D537" s="139"/>
    </row>
    <row r="538">
      <c r="B538" s="139"/>
      <c r="C538" s="139"/>
      <c r="D538" s="139"/>
    </row>
    <row r="539">
      <c r="B539" s="139"/>
      <c r="C539" s="139"/>
      <c r="D539" s="139"/>
    </row>
    <row r="540">
      <c r="B540" s="139"/>
      <c r="C540" s="139"/>
      <c r="D540" s="139"/>
    </row>
    <row r="541">
      <c r="B541" s="139"/>
      <c r="C541" s="139"/>
      <c r="D541" s="139"/>
    </row>
    <row r="542">
      <c r="B542" s="139"/>
      <c r="C542" s="139"/>
      <c r="D542" s="139"/>
    </row>
    <row r="543">
      <c r="B543" s="139"/>
      <c r="C543" s="139"/>
      <c r="D543" s="139"/>
    </row>
    <row r="544">
      <c r="B544" s="139"/>
      <c r="C544" s="139"/>
      <c r="D544" s="139"/>
    </row>
    <row r="545">
      <c r="B545" s="139"/>
      <c r="C545" s="139"/>
      <c r="D545" s="139"/>
    </row>
    <row r="546">
      <c r="B546" s="139"/>
      <c r="C546" s="139"/>
      <c r="D546" s="139"/>
    </row>
    <row r="547">
      <c r="B547" s="139"/>
      <c r="C547" s="139"/>
      <c r="D547" s="139"/>
    </row>
    <row r="548">
      <c r="B548" s="139"/>
      <c r="C548" s="139"/>
      <c r="D548" s="139"/>
    </row>
    <row r="549">
      <c r="B549" s="139"/>
      <c r="C549" s="139"/>
      <c r="D549" s="139"/>
    </row>
    <row r="550">
      <c r="B550" s="139"/>
      <c r="C550" s="139"/>
      <c r="D550" s="139"/>
    </row>
    <row r="551">
      <c r="B551" s="139"/>
      <c r="C551" s="139"/>
      <c r="D551" s="139"/>
    </row>
    <row r="552">
      <c r="B552" s="139"/>
      <c r="C552" s="139"/>
      <c r="D552" s="139"/>
    </row>
    <row r="553">
      <c r="B553" s="139"/>
      <c r="C553" s="139"/>
      <c r="D553" s="139"/>
    </row>
    <row r="554">
      <c r="B554" s="139"/>
      <c r="C554" s="139"/>
      <c r="D554" s="139"/>
    </row>
    <row r="555">
      <c r="B555" s="139"/>
      <c r="C555" s="139"/>
      <c r="D555" s="139"/>
    </row>
    <row r="556">
      <c r="B556" s="139"/>
      <c r="C556" s="139"/>
      <c r="D556" s="139"/>
    </row>
    <row r="557">
      <c r="B557" s="139"/>
      <c r="C557" s="139"/>
      <c r="D557" s="139"/>
    </row>
    <row r="558">
      <c r="B558" s="139"/>
      <c r="C558" s="139"/>
      <c r="D558" s="139"/>
    </row>
    <row r="559">
      <c r="B559" s="139"/>
      <c r="C559" s="139"/>
      <c r="D559" s="139"/>
    </row>
    <row r="560">
      <c r="B560" s="139"/>
      <c r="C560" s="139"/>
      <c r="D560" s="139"/>
    </row>
    <row r="561">
      <c r="B561" s="139"/>
      <c r="C561" s="139"/>
      <c r="D561" s="139"/>
    </row>
    <row r="562">
      <c r="B562" s="139"/>
      <c r="C562" s="139"/>
      <c r="D562" s="139"/>
    </row>
    <row r="563">
      <c r="B563" s="139"/>
      <c r="C563" s="139"/>
      <c r="D563" s="139"/>
    </row>
    <row r="564">
      <c r="B564" s="139"/>
      <c r="C564" s="139"/>
      <c r="D564" s="139"/>
    </row>
    <row r="565">
      <c r="B565" s="139"/>
      <c r="C565" s="139"/>
      <c r="D565" s="139"/>
    </row>
    <row r="566">
      <c r="B566" s="139"/>
      <c r="C566" s="139"/>
      <c r="D566" s="139"/>
    </row>
    <row r="567">
      <c r="B567" s="139"/>
      <c r="C567" s="139"/>
      <c r="D567" s="139"/>
    </row>
    <row r="568">
      <c r="B568" s="139"/>
      <c r="C568" s="139"/>
      <c r="D568" s="139"/>
    </row>
    <row r="569">
      <c r="B569" s="139"/>
      <c r="C569" s="139"/>
      <c r="D569" s="139"/>
    </row>
    <row r="570">
      <c r="B570" s="139"/>
      <c r="C570" s="139"/>
      <c r="D570" s="139"/>
    </row>
    <row r="571">
      <c r="B571" s="139"/>
      <c r="C571" s="139"/>
      <c r="D571" s="139"/>
    </row>
    <row r="572">
      <c r="B572" s="139"/>
      <c r="C572" s="139"/>
      <c r="D572" s="139"/>
    </row>
    <row r="573">
      <c r="B573" s="139"/>
      <c r="C573" s="139"/>
      <c r="D573" s="139"/>
    </row>
    <row r="574">
      <c r="B574" s="139"/>
      <c r="C574" s="139"/>
      <c r="D574" s="139"/>
    </row>
    <row r="575">
      <c r="B575" s="139"/>
      <c r="C575" s="139"/>
      <c r="D575" s="139"/>
    </row>
    <row r="576">
      <c r="B576" s="139"/>
      <c r="C576" s="139"/>
      <c r="D576" s="139"/>
    </row>
    <row r="577">
      <c r="B577" s="139"/>
      <c r="C577" s="139"/>
      <c r="D577" s="139"/>
    </row>
    <row r="578">
      <c r="B578" s="139"/>
      <c r="C578" s="139"/>
      <c r="D578" s="139"/>
    </row>
    <row r="579">
      <c r="B579" s="139"/>
      <c r="C579" s="139"/>
      <c r="D579" s="139"/>
    </row>
    <row r="580">
      <c r="B580" s="139"/>
      <c r="C580" s="139"/>
      <c r="D580" s="139"/>
    </row>
    <row r="581">
      <c r="B581" s="139"/>
      <c r="C581" s="139"/>
      <c r="D581" s="139"/>
    </row>
    <row r="582">
      <c r="B582" s="139"/>
      <c r="C582" s="139"/>
      <c r="D582" s="139"/>
    </row>
    <row r="583">
      <c r="B583" s="139"/>
      <c r="C583" s="139"/>
      <c r="D583" s="139"/>
    </row>
    <row r="584">
      <c r="B584" s="139"/>
      <c r="C584" s="139"/>
      <c r="D584" s="139"/>
    </row>
    <row r="585">
      <c r="B585" s="139"/>
      <c r="C585" s="139"/>
      <c r="D585" s="139"/>
    </row>
    <row r="586">
      <c r="B586" s="139"/>
      <c r="C586" s="139"/>
      <c r="D586" s="139"/>
    </row>
    <row r="587">
      <c r="B587" s="139"/>
      <c r="C587" s="139"/>
      <c r="D587" s="139"/>
    </row>
    <row r="588">
      <c r="B588" s="139"/>
      <c r="C588" s="139"/>
      <c r="D588" s="139"/>
    </row>
    <row r="589">
      <c r="B589" s="139"/>
      <c r="C589" s="139"/>
      <c r="D589" s="139"/>
    </row>
    <row r="590">
      <c r="B590" s="139"/>
      <c r="C590" s="139"/>
      <c r="D590" s="139"/>
    </row>
    <row r="591">
      <c r="B591" s="139"/>
      <c r="C591" s="139"/>
      <c r="D591" s="139"/>
    </row>
    <row r="592">
      <c r="B592" s="139"/>
      <c r="C592" s="139"/>
      <c r="D592" s="139"/>
    </row>
    <row r="593">
      <c r="B593" s="139"/>
      <c r="C593" s="139"/>
      <c r="D593" s="139"/>
    </row>
    <row r="594">
      <c r="B594" s="139"/>
      <c r="C594" s="139"/>
      <c r="D594" s="139"/>
    </row>
    <row r="595">
      <c r="B595" s="139"/>
      <c r="C595" s="139"/>
      <c r="D595" s="139"/>
    </row>
    <row r="596">
      <c r="B596" s="139"/>
      <c r="C596" s="139"/>
      <c r="D596" s="139"/>
    </row>
    <row r="597">
      <c r="B597" s="139"/>
      <c r="C597" s="139"/>
      <c r="D597" s="139"/>
    </row>
    <row r="598">
      <c r="B598" s="139"/>
      <c r="C598" s="139"/>
      <c r="D598" s="139"/>
    </row>
    <row r="599">
      <c r="B599" s="139"/>
      <c r="C599" s="139"/>
      <c r="D599" s="139"/>
    </row>
    <row r="600">
      <c r="B600" s="139"/>
      <c r="C600" s="139"/>
      <c r="D600" s="139"/>
    </row>
    <row r="601">
      <c r="B601" s="139"/>
      <c r="C601" s="139"/>
      <c r="D601" s="139"/>
    </row>
    <row r="602">
      <c r="B602" s="139"/>
      <c r="C602" s="139"/>
      <c r="D602" s="139"/>
    </row>
    <row r="603">
      <c r="B603" s="139"/>
      <c r="C603" s="139"/>
      <c r="D603" s="139"/>
    </row>
    <row r="604">
      <c r="B604" s="139"/>
      <c r="C604" s="139"/>
      <c r="D604" s="139"/>
    </row>
    <row r="605">
      <c r="B605" s="139"/>
      <c r="C605" s="139"/>
      <c r="D605" s="139"/>
    </row>
    <row r="606">
      <c r="B606" s="139"/>
      <c r="C606" s="139"/>
      <c r="D606" s="139"/>
    </row>
    <row r="607">
      <c r="B607" s="139"/>
      <c r="C607" s="139"/>
      <c r="D607" s="139"/>
    </row>
    <row r="608">
      <c r="B608" s="139"/>
      <c r="C608" s="139"/>
      <c r="D608" s="139"/>
    </row>
    <row r="609">
      <c r="B609" s="139"/>
      <c r="C609" s="139"/>
      <c r="D609" s="139"/>
    </row>
    <row r="610">
      <c r="B610" s="139"/>
      <c r="C610" s="139"/>
      <c r="D610" s="139"/>
    </row>
    <row r="611">
      <c r="B611" s="139"/>
      <c r="C611" s="139"/>
      <c r="D611" s="139"/>
    </row>
    <row r="612">
      <c r="B612" s="139"/>
      <c r="C612" s="139"/>
      <c r="D612" s="139"/>
    </row>
    <row r="613">
      <c r="B613" s="139"/>
      <c r="C613" s="139"/>
      <c r="D613" s="139"/>
    </row>
    <row r="614">
      <c r="B614" s="139"/>
      <c r="C614" s="139"/>
      <c r="D614" s="139"/>
    </row>
    <row r="615">
      <c r="B615" s="139"/>
      <c r="C615" s="139"/>
      <c r="D615" s="139"/>
    </row>
    <row r="616">
      <c r="B616" s="139"/>
      <c r="C616" s="139"/>
      <c r="D616" s="139"/>
    </row>
    <row r="617">
      <c r="B617" s="139"/>
      <c r="C617" s="139"/>
      <c r="D617" s="139"/>
    </row>
    <row r="618">
      <c r="B618" s="139"/>
      <c r="C618" s="139"/>
      <c r="D618" s="139"/>
    </row>
    <row r="619">
      <c r="B619" s="139"/>
      <c r="C619" s="139"/>
      <c r="D619" s="139"/>
    </row>
    <row r="620">
      <c r="B620" s="139"/>
      <c r="C620" s="139"/>
      <c r="D620" s="139"/>
    </row>
    <row r="621">
      <c r="B621" s="139"/>
      <c r="C621" s="139"/>
      <c r="D621" s="139"/>
    </row>
    <row r="622">
      <c r="B622" s="139"/>
      <c r="C622" s="139"/>
      <c r="D622" s="139"/>
    </row>
    <row r="623">
      <c r="B623" s="139"/>
      <c r="C623" s="139"/>
      <c r="D623" s="139"/>
    </row>
    <row r="624">
      <c r="B624" s="139"/>
      <c r="C624" s="139"/>
      <c r="D624" s="139"/>
    </row>
    <row r="625">
      <c r="B625" s="139"/>
      <c r="C625" s="139"/>
      <c r="D625" s="139"/>
    </row>
    <row r="626">
      <c r="B626" s="139"/>
      <c r="C626" s="139"/>
      <c r="D626" s="139"/>
    </row>
    <row r="627">
      <c r="B627" s="139"/>
      <c r="C627" s="139"/>
      <c r="D627" s="139"/>
    </row>
    <row r="628">
      <c r="B628" s="139"/>
      <c r="C628" s="139"/>
      <c r="D628" s="139"/>
    </row>
    <row r="629">
      <c r="B629" s="139"/>
      <c r="C629" s="139"/>
      <c r="D629" s="139"/>
    </row>
    <row r="630">
      <c r="B630" s="139"/>
      <c r="C630" s="139"/>
      <c r="D630" s="139"/>
    </row>
    <row r="631">
      <c r="B631" s="139"/>
      <c r="C631" s="139"/>
      <c r="D631" s="139"/>
    </row>
    <row r="632">
      <c r="B632" s="139"/>
      <c r="C632" s="139"/>
      <c r="D632" s="139"/>
    </row>
    <row r="633">
      <c r="B633" s="139"/>
      <c r="C633" s="139"/>
      <c r="D633" s="139"/>
    </row>
    <row r="634">
      <c r="B634" s="139"/>
      <c r="C634" s="139"/>
      <c r="D634" s="139"/>
    </row>
    <row r="635">
      <c r="B635" s="139"/>
      <c r="C635" s="139"/>
      <c r="D635" s="139"/>
    </row>
    <row r="636">
      <c r="B636" s="139"/>
      <c r="C636" s="139"/>
      <c r="D636" s="139"/>
    </row>
    <row r="637">
      <c r="B637" s="139"/>
      <c r="C637" s="139"/>
      <c r="D637" s="139"/>
    </row>
    <row r="638">
      <c r="B638" s="139"/>
      <c r="C638" s="139"/>
      <c r="D638" s="139"/>
    </row>
    <row r="639">
      <c r="B639" s="139"/>
      <c r="C639" s="139"/>
      <c r="D639" s="139"/>
    </row>
    <row r="640">
      <c r="B640" s="139"/>
      <c r="C640" s="139"/>
      <c r="D640" s="139"/>
    </row>
    <row r="641">
      <c r="B641" s="139"/>
      <c r="C641" s="139"/>
      <c r="D641" s="139"/>
    </row>
    <row r="642">
      <c r="B642" s="139"/>
      <c r="C642" s="139"/>
      <c r="D642" s="139"/>
    </row>
    <row r="643">
      <c r="B643" s="139"/>
      <c r="C643" s="139"/>
      <c r="D643" s="139"/>
    </row>
    <row r="644">
      <c r="B644" s="139"/>
      <c r="C644" s="139"/>
      <c r="D644" s="139"/>
    </row>
    <row r="645">
      <c r="B645" s="139"/>
      <c r="C645" s="139"/>
      <c r="D645" s="139"/>
    </row>
    <row r="646">
      <c r="B646" s="139"/>
      <c r="C646" s="139"/>
      <c r="D646" s="139"/>
    </row>
    <row r="647">
      <c r="B647" s="139"/>
      <c r="C647" s="139"/>
      <c r="D647" s="139"/>
    </row>
    <row r="648">
      <c r="B648" s="139"/>
      <c r="C648" s="139"/>
      <c r="D648" s="139"/>
    </row>
    <row r="649">
      <c r="B649" s="139"/>
      <c r="C649" s="139"/>
      <c r="D649" s="139"/>
    </row>
    <row r="650">
      <c r="B650" s="139"/>
      <c r="C650" s="139"/>
      <c r="D650" s="139"/>
    </row>
    <row r="651">
      <c r="B651" s="139"/>
      <c r="C651" s="139"/>
      <c r="D651" s="139"/>
    </row>
    <row r="652">
      <c r="B652" s="139"/>
      <c r="C652" s="139"/>
      <c r="D652" s="139"/>
    </row>
    <row r="653">
      <c r="B653" s="139"/>
      <c r="C653" s="139"/>
      <c r="D653" s="139"/>
    </row>
    <row r="654">
      <c r="B654" s="139"/>
      <c r="C654" s="139"/>
      <c r="D654" s="139"/>
    </row>
    <row r="655">
      <c r="B655" s="139"/>
      <c r="C655" s="139"/>
      <c r="D655" s="139"/>
    </row>
    <row r="656">
      <c r="B656" s="139"/>
      <c r="C656" s="139"/>
      <c r="D656" s="139"/>
    </row>
    <row r="657">
      <c r="B657" s="139"/>
      <c r="C657" s="139"/>
      <c r="D657" s="139"/>
    </row>
    <row r="658">
      <c r="B658" s="139"/>
      <c r="C658" s="139"/>
      <c r="D658" s="139"/>
    </row>
    <row r="659">
      <c r="B659" s="139"/>
      <c r="C659" s="139"/>
      <c r="D659" s="139"/>
    </row>
    <row r="660">
      <c r="B660" s="139"/>
      <c r="C660" s="139"/>
      <c r="D660" s="139"/>
    </row>
    <row r="661">
      <c r="B661" s="139"/>
      <c r="C661" s="139"/>
      <c r="D661" s="139"/>
    </row>
    <row r="662">
      <c r="B662" s="139"/>
      <c r="C662" s="139"/>
      <c r="D662" s="139"/>
    </row>
    <row r="663">
      <c r="B663" s="139"/>
      <c r="C663" s="139"/>
      <c r="D663" s="139"/>
    </row>
    <row r="664">
      <c r="B664" s="139"/>
      <c r="C664" s="139"/>
      <c r="D664" s="139"/>
    </row>
    <row r="665">
      <c r="B665" s="139"/>
      <c r="C665" s="139"/>
      <c r="D665" s="139"/>
    </row>
    <row r="666">
      <c r="B666" s="139"/>
      <c r="C666" s="139"/>
      <c r="D666" s="139"/>
    </row>
    <row r="667">
      <c r="B667" s="139"/>
      <c r="C667" s="139"/>
      <c r="D667" s="139"/>
    </row>
    <row r="668">
      <c r="B668" s="139"/>
      <c r="C668" s="139"/>
      <c r="D668" s="139"/>
    </row>
    <row r="669">
      <c r="B669" s="139"/>
      <c r="C669" s="139"/>
      <c r="D669" s="139"/>
    </row>
    <row r="670">
      <c r="B670" s="139"/>
      <c r="C670" s="139"/>
      <c r="D670" s="139"/>
    </row>
    <row r="671">
      <c r="B671" s="139"/>
      <c r="C671" s="139"/>
      <c r="D671" s="139"/>
    </row>
    <row r="672">
      <c r="B672" s="139"/>
      <c r="C672" s="139"/>
      <c r="D672" s="139"/>
    </row>
    <row r="673">
      <c r="B673" s="139"/>
      <c r="C673" s="139"/>
      <c r="D673" s="139"/>
    </row>
    <row r="674">
      <c r="B674" s="139"/>
      <c r="C674" s="139"/>
      <c r="D674" s="139"/>
    </row>
    <row r="675">
      <c r="B675" s="139"/>
      <c r="C675" s="139"/>
      <c r="D675" s="139"/>
    </row>
    <row r="676">
      <c r="B676" s="139"/>
      <c r="C676" s="139"/>
      <c r="D676" s="139"/>
    </row>
    <row r="677">
      <c r="B677" s="139"/>
      <c r="C677" s="139"/>
      <c r="D677" s="139"/>
    </row>
    <row r="678">
      <c r="B678" s="139"/>
      <c r="C678" s="139"/>
      <c r="D678" s="139"/>
    </row>
    <row r="679">
      <c r="B679" s="139"/>
      <c r="C679" s="139"/>
      <c r="D679" s="139"/>
    </row>
    <row r="680">
      <c r="B680" s="139"/>
      <c r="C680" s="139"/>
      <c r="D680" s="139"/>
    </row>
    <row r="681">
      <c r="B681" s="139"/>
      <c r="C681" s="139"/>
      <c r="D681" s="139"/>
    </row>
    <row r="682">
      <c r="B682" s="139"/>
      <c r="C682" s="139"/>
      <c r="D682" s="139"/>
    </row>
    <row r="683">
      <c r="B683" s="139"/>
      <c r="C683" s="139"/>
      <c r="D683" s="139"/>
    </row>
    <row r="684">
      <c r="B684" s="139"/>
      <c r="C684" s="139"/>
      <c r="D684" s="139"/>
    </row>
    <row r="685">
      <c r="B685" s="139"/>
      <c r="C685" s="139"/>
      <c r="D685" s="139"/>
    </row>
    <row r="686">
      <c r="B686" s="139"/>
      <c r="C686" s="139"/>
      <c r="D686" s="139"/>
    </row>
    <row r="687">
      <c r="B687" s="139"/>
      <c r="C687" s="139"/>
      <c r="D687" s="139"/>
    </row>
    <row r="688">
      <c r="B688" s="139"/>
      <c r="C688" s="139"/>
      <c r="D688" s="139"/>
    </row>
    <row r="689">
      <c r="B689" s="139"/>
      <c r="C689" s="139"/>
      <c r="D689" s="139"/>
    </row>
    <row r="690">
      <c r="B690" s="139"/>
      <c r="C690" s="139"/>
      <c r="D690" s="139"/>
    </row>
    <row r="691">
      <c r="B691" s="139"/>
      <c r="C691" s="139"/>
      <c r="D691" s="139"/>
    </row>
    <row r="692">
      <c r="B692" s="139"/>
      <c r="C692" s="139"/>
      <c r="D692" s="139"/>
    </row>
    <row r="693">
      <c r="B693" s="139"/>
      <c r="C693" s="139"/>
      <c r="D693" s="139"/>
    </row>
    <row r="694">
      <c r="B694" s="139"/>
      <c r="C694" s="139"/>
      <c r="D694" s="139"/>
    </row>
    <row r="695">
      <c r="B695" s="139"/>
      <c r="C695" s="139"/>
      <c r="D695" s="139"/>
    </row>
    <row r="696">
      <c r="B696" s="139"/>
      <c r="C696" s="139"/>
      <c r="D696" s="139"/>
    </row>
    <row r="697">
      <c r="B697" s="139"/>
      <c r="C697" s="139"/>
      <c r="D697" s="139"/>
    </row>
    <row r="698">
      <c r="B698" s="139"/>
      <c r="C698" s="139"/>
      <c r="D698" s="139"/>
    </row>
    <row r="699">
      <c r="B699" s="139"/>
      <c r="C699" s="139"/>
      <c r="D699" s="139"/>
    </row>
    <row r="700">
      <c r="B700" s="139"/>
      <c r="C700" s="139"/>
      <c r="D700" s="139"/>
    </row>
    <row r="701">
      <c r="B701" s="139"/>
      <c r="C701" s="139"/>
      <c r="D701" s="139"/>
    </row>
    <row r="702">
      <c r="B702" s="139"/>
      <c r="C702" s="139"/>
      <c r="D702" s="139"/>
    </row>
    <row r="703">
      <c r="B703" s="139"/>
      <c r="C703" s="139"/>
      <c r="D703" s="139"/>
    </row>
    <row r="704">
      <c r="B704" s="139"/>
      <c r="C704" s="139"/>
      <c r="D704" s="139"/>
    </row>
    <row r="705">
      <c r="B705" s="139"/>
      <c r="C705" s="139"/>
      <c r="D705" s="139"/>
    </row>
    <row r="706">
      <c r="B706" s="139"/>
      <c r="C706" s="139"/>
      <c r="D706" s="139"/>
    </row>
    <row r="707">
      <c r="B707" s="139"/>
      <c r="C707" s="139"/>
      <c r="D707" s="139"/>
    </row>
    <row r="708">
      <c r="B708" s="139"/>
      <c r="C708" s="139"/>
      <c r="D708" s="139"/>
    </row>
    <row r="709">
      <c r="B709" s="139"/>
      <c r="C709" s="139"/>
      <c r="D709" s="139"/>
    </row>
    <row r="710">
      <c r="B710" s="139"/>
      <c r="C710" s="139"/>
      <c r="D710" s="139"/>
    </row>
    <row r="711">
      <c r="B711" s="139"/>
      <c r="C711" s="139"/>
      <c r="D711" s="139"/>
    </row>
    <row r="712">
      <c r="B712" s="139"/>
      <c r="C712" s="139"/>
      <c r="D712" s="139"/>
    </row>
    <row r="713">
      <c r="B713" s="139"/>
      <c r="C713" s="139"/>
      <c r="D713" s="139"/>
    </row>
    <row r="714">
      <c r="B714" s="139"/>
      <c r="C714" s="139"/>
      <c r="D714" s="139"/>
    </row>
    <row r="715">
      <c r="B715" s="139"/>
      <c r="C715" s="139"/>
      <c r="D715" s="139"/>
    </row>
    <row r="716">
      <c r="B716" s="139"/>
      <c r="C716" s="139"/>
      <c r="D716" s="139"/>
    </row>
    <row r="717">
      <c r="B717" s="139"/>
      <c r="C717" s="139"/>
      <c r="D717" s="139"/>
    </row>
    <row r="718">
      <c r="B718" s="139"/>
      <c r="C718" s="139"/>
      <c r="D718" s="139"/>
    </row>
    <row r="719">
      <c r="B719" s="139"/>
      <c r="C719" s="139"/>
      <c r="D719" s="139"/>
    </row>
    <row r="720">
      <c r="B720" s="139"/>
      <c r="C720" s="139"/>
      <c r="D720" s="139"/>
    </row>
    <row r="721">
      <c r="B721" s="139"/>
      <c r="C721" s="139"/>
      <c r="D721" s="139"/>
    </row>
    <row r="722">
      <c r="B722" s="139"/>
      <c r="C722" s="139"/>
      <c r="D722" s="139"/>
    </row>
    <row r="723">
      <c r="B723" s="139"/>
      <c r="C723" s="139"/>
      <c r="D723" s="139"/>
    </row>
    <row r="724">
      <c r="B724" s="139"/>
      <c r="C724" s="139"/>
      <c r="D724" s="139"/>
    </row>
    <row r="725">
      <c r="B725" s="139"/>
      <c r="C725" s="139"/>
      <c r="D725" s="139"/>
    </row>
    <row r="726">
      <c r="B726" s="139"/>
      <c r="C726" s="139"/>
      <c r="D726" s="139"/>
    </row>
    <row r="727">
      <c r="B727" s="139"/>
      <c r="C727" s="139"/>
      <c r="D727" s="139"/>
    </row>
    <row r="728">
      <c r="B728" s="139"/>
      <c r="C728" s="139"/>
      <c r="D728" s="139"/>
    </row>
    <row r="729">
      <c r="B729" s="139"/>
      <c r="C729" s="139"/>
      <c r="D729" s="139"/>
    </row>
    <row r="730">
      <c r="B730" s="139"/>
      <c r="C730" s="139"/>
      <c r="D730" s="139"/>
    </row>
    <row r="731">
      <c r="B731" s="139"/>
      <c r="C731" s="139"/>
      <c r="D731" s="139"/>
    </row>
    <row r="732">
      <c r="B732" s="139"/>
      <c r="C732" s="139"/>
      <c r="D732" s="139"/>
    </row>
    <row r="733">
      <c r="B733" s="139"/>
      <c r="C733" s="139"/>
      <c r="D733" s="139"/>
    </row>
    <row r="734">
      <c r="B734" s="139"/>
      <c r="C734" s="139"/>
      <c r="D734" s="139"/>
    </row>
    <row r="735">
      <c r="B735" s="139"/>
      <c r="C735" s="139"/>
      <c r="D735" s="139"/>
    </row>
    <row r="736">
      <c r="B736" s="139"/>
      <c r="C736" s="139"/>
      <c r="D736" s="139"/>
    </row>
    <row r="737">
      <c r="B737" s="139"/>
      <c r="C737" s="139"/>
      <c r="D737" s="139"/>
    </row>
    <row r="738">
      <c r="B738" s="139"/>
      <c r="C738" s="139"/>
      <c r="D738" s="139"/>
    </row>
    <row r="739">
      <c r="B739" s="139"/>
      <c r="C739" s="139"/>
      <c r="D739" s="139"/>
    </row>
    <row r="740">
      <c r="B740" s="139"/>
      <c r="C740" s="139"/>
      <c r="D740" s="139"/>
    </row>
    <row r="741">
      <c r="B741" s="139"/>
      <c r="C741" s="139"/>
      <c r="D741" s="139"/>
    </row>
    <row r="742">
      <c r="B742" s="139"/>
      <c r="C742" s="139"/>
      <c r="D742" s="139"/>
    </row>
    <row r="743">
      <c r="B743" s="139"/>
      <c r="C743" s="139"/>
      <c r="D743" s="139"/>
    </row>
    <row r="744">
      <c r="B744" s="139"/>
      <c r="C744" s="139"/>
      <c r="D744" s="139"/>
    </row>
    <row r="745">
      <c r="B745" s="139"/>
      <c r="C745" s="139"/>
      <c r="D745" s="139"/>
    </row>
    <row r="746">
      <c r="B746" s="139"/>
      <c r="C746" s="139"/>
      <c r="D746" s="139"/>
    </row>
    <row r="747">
      <c r="B747" s="139"/>
      <c r="C747" s="139"/>
      <c r="D747" s="139"/>
    </row>
    <row r="748">
      <c r="B748" s="139"/>
      <c r="C748" s="139"/>
      <c r="D748" s="139"/>
    </row>
    <row r="749">
      <c r="B749" s="139"/>
      <c r="C749" s="139"/>
      <c r="D749" s="139"/>
    </row>
    <row r="750">
      <c r="B750" s="139"/>
      <c r="C750" s="139"/>
      <c r="D750" s="139"/>
    </row>
    <row r="751">
      <c r="B751" s="139"/>
      <c r="C751" s="139"/>
      <c r="D751" s="139"/>
    </row>
    <row r="752">
      <c r="B752" s="139"/>
      <c r="C752" s="139"/>
      <c r="D752" s="139"/>
    </row>
    <row r="753">
      <c r="B753" s="139"/>
      <c r="C753" s="139"/>
      <c r="D753" s="139"/>
    </row>
    <row r="754">
      <c r="B754" s="139"/>
      <c r="C754" s="139"/>
      <c r="D754" s="139"/>
    </row>
    <row r="755">
      <c r="B755" s="139"/>
      <c r="C755" s="139"/>
      <c r="D755" s="139"/>
    </row>
    <row r="756">
      <c r="B756" s="139"/>
      <c r="C756" s="139"/>
      <c r="D756" s="139"/>
    </row>
    <row r="757">
      <c r="B757" s="139"/>
      <c r="C757" s="139"/>
      <c r="D757" s="139"/>
    </row>
    <row r="758">
      <c r="B758" s="139"/>
      <c r="C758" s="139"/>
      <c r="D758" s="139"/>
    </row>
    <row r="759">
      <c r="B759" s="139"/>
      <c r="C759" s="139"/>
      <c r="D759" s="139"/>
    </row>
    <row r="760">
      <c r="B760" s="139"/>
      <c r="C760" s="139"/>
      <c r="D760" s="139"/>
    </row>
    <row r="761">
      <c r="B761" s="139"/>
      <c r="C761" s="139"/>
      <c r="D761" s="139"/>
    </row>
    <row r="762">
      <c r="B762" s="139"/>
      <c r="C762" s="139"/>
      <c r="D762" s="139"/>
    </row>
    <row r="763">
      <c r="B763" s="139"/>
      <c r="C763" s="139"/>
      <c r="D763" s="139"/>
    </row>
    <row r="764">
      <c r="B764" s="139"/>
      <c r="C764" s="139"/>
      <c r="D764" s="139"/>
    </row>
    <row r="765">
      <c r="B765" s="139"/>
      <c r="C765" s="139"/>
      <c r="D765" s="139"/>
    </row>
    <row r="766">
      <c r="B766" s="139"/>
      <c r="C766" s="139"/>
      <c r="D766" s="139"/>
    </row>
    <row r="767">
      <c r="B767" s="139"/>
      <c r="C767" s="139"/>
      <c r="D767" s="139"/>
    </row>
    <row r="768">
      <c r="B768" s="139"/>
      <c r="C768" s="139"/>
      <c r="D768" s="139"/>
    </row>
    <row r="769">
      <c r="B769" s="139"/>
      <c r="C769" s="139"/>
      <c r="D769" s="139"/>
    </row>
    <row r="770">
      <c r="B770" s="139"/>
      <c r="C770" s="139"/>
      <c r="D770" s="139"/>
    </row>
    <row r="771">
      <c r="B771" s="139"/>
      <c r="C771" s="139"/>
      <c r="D771" s="139"/>
    </row>
    <row r="772">
      <c r="B772" s="139"/>
      <c r="C772" s="139"/>
      <c r="D772" s="139"/>
    </row>
    <row r="773">
      <c r="B773" s="139"/>
      <c r="C773" s="139"/>
      <c r="D773" s="139"/>
    </row>
    <row r="774">
      <c r="B774" s="139"/>
      <c r="C774" s="139"/>
      <c r="D774" s="139"/>
    </row>
    <row r="775">
      <c r="B775" s="139"/>
      <c r="C775" s="139"/>
      <c r="D775" s="139"/>
    </row>
    <row r="776">
      <c r="B776" s="139"/>
      <c r="C776" s="139"/>
      <c r="D776" s="139"/>
    </row>
    <row r="777">
      <c r="B777" s="139"/>
      <c r="C777" s="139"/>
      <c r="D777" s="139"/>
    </row>
    <row r="778">
      <c r="B778" s="139"/>
      <c r="C778" s="139"/>
      <c r="D778" s="139"/>
    </row>
    <row r="779">
      <c r="B779" s="139"/>
      <c r="C779" s="139"/>
      <c r="D779" s="139"/>
    </row>
    <row r="780">
      <c r="B780" s="139"/>
      <c r="C780" s="139"/>
      <c r="D780" s="139"/>
    </row>
    <row r="781">
      <c r="B781" s="139"/>
      <c r="C781" s="139"/>
      <c r="D781" s="139"/>
    </row>
    <row r="782">
      <c r="B782" s="139"/>
      <c r="C782" s="139"/>
      <c r="D782" s="139"/>
    </row>
    <row r="783">
      <c r="B783" s="139"/>
      <c r="C783" s="139"/>
      <c r="D783" s="139"/>
    </row>
    <row r="784">
      <c r="B784" s="139"/>
      <c r="C784" s="139"/>
      <c r="D784" s="139"/>
    </row>
    <row r="785">
      <c r="B785" s="139"/>
      <c r="C785" s="139"/>
      <c r="D785" s="139"/>
    </row>
    <row r="786">
      <c r="B786" s="139"/>
      <c r="C786" s="139"/>
      <c r="D786" s="139"/>
    </row>
    <row r="787">
      <c r="B787" s="139"/>
      <c r="C787" s="139"/>
      <c r="D787" s="139"/>
    </row>
    <row r="788">
      <c r="B788" s="139"/>
      <c r="C788" s="139"/>
      <c r="D788" s="139"/>
    </row>
    <row r="789">
      <c r="B789" s="139"/>
      <c r="C789" s="139"/>
      <c r="D789" s="139"/>
    </row>
    <row r="790">
      <c r="B790" s="139"/>
      <c r="C790" s="139"/>
      <c r="D790" s="139"/>
    </row>
    <row r="791">
      <c r="B791" s="139"/>
      <c r="C791" s="139"/>
      <c r="D791" s="139"/>
    </row>
    <row r="792">
      <c r="B792" s="139"/>
      <c r="C792" s="139"/>
      <c r="D792" s="139"/>
    </row>
    <row r="793">
      <c r="B793" s="139"/>
      <c r="C793" s="139"/>
      <c r="D793" s="139"/>
    </row>
    <row r="794">
      <c r="B794" s="139"/>
      <c r="C794" s="139"/>
      <c r="D794" s="139"/>
    </row>
    <row r="795">
      <c r="B795" s="139"/>
      <c r="C795" s="139"/>
      <c r="D795" s="139"/>
    </row>
    <row r="796">
      <c r="B796" s="139"/>
      <c r="C796" s="139"/>
      <c r="D796" s="139"/>
    </row>
    <row r="797">
      <c r="B797" s="139"/>
      <c r="C797" s="139"/>
      <c r="D797" s="139"/>
    </row>
    <row r="798">
      <c r="B798" s="139"/>
      <c r="C798" s="139"/>
      <c r="D798" s="139"/>
    </row>
    <row r="799">
      <c r="B799" s="139"/>
      <c r="C799" s="139"/>
      <c r="D799" s="139"/>
    </row>
    <row r="800">
      <c r="B800" s="139"/>
      <c r="C800" s="139"/>
      <c r="D800" s="139"/>
    </row>
    <row r="801">
      <c r="B801" s="139"/>
      <c r="C801" s="139"/>
      <c r="D801" s="139"/>
    </row>
    <row r="802">
      <c r="B802" s="139"/>
      <c r="C802" s="139"/>
      <c r="D802" s="139"/>
    </row>
    <row r="803">
      <c r="B803" s="139"/>
      <c r="C803" s="139"/>
      <c r="D803" s="139"/>
    </row>
    <row r="804">
      <c r="B804" s="139"/>
      <c r="C804" s="139"/>
      <c r="D804" s="139"/>
    </row>
    <row r="805">
      <c r="B805" s="139"/>
      <c r="C805" s="139"/>
      <c r="D805" s="139"/>
    </row>
    <row r="806">
      <c r="B806" s="139"/>
      <c r="C806" s="139"/>
      <c r="D806" s="139"/>
    </row>
    <row r="807">
      <c r="B807" s="139"/>
      <c r="C807" s="139"/>
      <c r="D807" s="139"/>
    </row>
    <row r="808">
      <c r="B808" s="139"/>
      <c r="C808" s="139"/>
      <c r="D808" s="139"/>
    </row>
    <row r="809">
      <c r="B809" s="139"/>
      <c r="C809" s="139"/>
      <c r="D809" s="139"/>
    </row>
    <row r="810">
      <c r="B810" s="139"/>
      <c r="C810" s="139"/>
      <c r="D810" s="139"/>
    </row>
    <row r="811">
      <c r="B811" s="139"/>
      <c r="C811" s="139"/>
      <c r="D811" s="139"/>
    </row>
    <row r="812">
      <c r="B812" s="139"/>
      <c r="C812" s="139"/>
      <c r="D812" s="139"/>
    </row>
    <row r="813">
      <c r="B813" s="139"/>
      <c r="C813" s="139"/>
      <c r="D813" s="139"/>
    </row>
    <row r="814">
      <c r="B814" s="139"/>
      <c r="C814" s="139"/>
      <c r="D814" s="139"/>
    </row>
    <row r="815">
      <c r="B815" s="139"/>
      <c r="C815" s="139"/>
      <c r="D815" s="139"/>
    </row>
    <row r="816">
      <c r="B816" s="139"/>
      <c r="C816" s="139"/>
      <c r="D816" s="139"/>
    </row>
    <row r="817">
      <c r="B817" s="139"/>
      <c r="C817" s="139"/>
      <c r="D817" s="139"/>
    </row>
    <row r="818">
      <c r="B818" s="139"/>
      <c r="C818" s="139"/>
      <c r="D818" s="139"/>
    </row>
    <row r="819">
      <c r="B819" s="139"/>
      <c r="C819" s="139"/>
      <c r="D819" s="139"/>
    </row>
    <row r="820">
      <c r="B820" s="139"/>
      <c r="C820" s="139"/>
      <c r="D820" s="139"/>
    </row>
    <row r="821">
      <c r="B821" s="139"/>
      <c r="C821" s="139"/>
      <c r="D821" s="139"/>
    </row>
    <row r="822">
      <c r="B822" s="139"/>
      <c r="C822" s="139"/>
      <c r="D822" s="139"/>
    </row>
    <row r="823">
      <c r="B823" s="139"/>
      <c r="C823" s="139"/>
      <c r="D823" s="139"/>
    </row>
    <row r="824">
      <c r="B824" s="139"/>
      <c r="C824" s="139"/>
      <c r="D824" s="139"/>
    </row>
    <row r="825">
      <c r="B825" s="139"/>
      <c r="C825" s="139"/>
      <c r="D825" s="139"/>
    </row>
    <row r="826">
      <c r="B826" s="139"/>
      <c r="C826" s="139"/>
      <c r="D826" s="139"/>
    </row>
    <row r="827">
      <c r="B827" s="139"/>
      <c r="C827" s="139"/>
      <c r="D827" s="139"/>
    </row>
    <row r="828">
      <c r="B828" s="139"/>
      <c r="C828" s="139"/>
      <c r="D828" s="139"/>
    </row>
    <row r="829">
      <c r="B829" s="139"/>
      <c r="C829" s="139"/>
      <c r="D829" s="139"/>
    </row>
    <row r="830">
      <c r="B830" s="139"/>
      <c r="C830" s="139"/>
      <c r="D830" s="139"/>
    </row>
    <row r="831">
      <c r="B831" s="139"/>
      <c r="C831" s="139"/>
      <c r="D831" s="139"/>
    </row>
    <row r="832">
      <c r="B832" s="139"/>
      <c r="C832" s="139"/>
      <c r="D832" s="139"/>
    </row>
    <row r="833">
      <c r="B833" s="139"/>
      <c r="C833" s="139"/>
      <c r="D833" s="139"/>
    </row>
    <row r="834">
      <c r="B834" s="139"/>
      <c r="C834" s="139"/>
      <c r="D834" s="139"/>
    </row>
    <row r="835">
      <c r="B835" s="139"/>
      <c r="C835" s="139"/>
      <c r="D835" s="139"/>
    </row>
    <row r="836">
      <c r="B836" s="139"/>
      <c r="C836" s="139"/>
      <c r="D836" s="139"/>
    </row>
    <row r="837">
      <c r="B837" s="139"/>
      <c r="C837" s="139"/>
      <c r="D837" s="139"/>
    </row>
    <row r="838">
      <c r="B838" s="139"/>
      <c r="C838" s="139"/>
      <c r="D838" s="139"/>
    </row>
    <row r="839">
      <c r="B839" s="139"/>
      <c r="C839" s="139"/>
      <c r="D839" s="139"/>
    </row>
    <row r="840">
      <c r="B840" s="139"/>
      <c r="C840" s="139"/>
      <c r="D840" s="139"/>
    </row>
    <row r="841">
      <c r="B841" s="139"/>
      <c r="C841" s="139"/>
      <c r="D841" s="139"/>
    </row>
    <row r="842">
      <c r="B842" s="139"/>
      <c r="C842" s="139"/>
      <c r="D842" s="139"/>
    </row>
    <row r="843">
      <c r="B843" s="139"/>
      <c r="C843" s="139"/>
      <c r="D843" s="139"/>
    </row>
    <row r="844">
      <c r="B844" s="139"/>
      <c r="C844" s="139"/>
      <c r="D844" s="139"/>
    </row>
    <row r="845">
      <c r="B845" s="139"/>
      <c r="C845" s="139"/>
      <c r="D845" s="139"/>
    </row>
    <row r="846">
      <c r="B846" s="139"/>
      <c r="C846" s="139"/>
      <c r="D846" s="139"/>
    </row>
    <row r="847">
      <c r="B847" s="139"/>
      <c r="C847" s="139"/>
      <c r="D847" s="139"/>
    </row>
    <row r="848">
      <c r="B848" s="139"/>
      <c r="C848" s="139"/>
      <c r="D848" s="139"/>
    </row>
    <row r="849">
      <c r="B849" s="139"/>
      <c r="C849" s="139"/>
      <c r="D849" s="139"/>
    </row>
    <row r="850">
      <c r="B850" s="139"/>
      <c r="C850" s="139"/>
      <c r="D850" s="139"/>
    </row>
    <row r="851">
      <c r="B851" s="139"/>
      <c r="C851" s="139"/>
      <c r="D851" s="139"/>
    </row>
    <row r="852">
      <c r="B852" s="139"/>
      <c r="C852" s="139"/>
      <c r="D852" s="139"/>
    </row>
    <row r="853">
      <c r="B853" s="139"/>
      <c r="C853" s="139"/>
      <c r="D853" s="139"/>
    </row>
    <row r="854">
      <c r="B854" s="139"/>
      <c r="C854" s="139"/>
      <c r="D854" s="139"/>
    </row>
    <row r="855">
      <c r="B855" s="139"/>
      <c r="C855" s="139"/>
      <c r="D855" s="139"/>
    </row>
    <row r="856">
      <c r="B856" s="139"/>
      <c r="C856" s="139"/>
      <c r="D856" s="139"/>
    </row>
    <row r="857">
      <c r="B857" s="139"/>
      <c r="C857" s="139"/>
      <c r="D857" s="139"/>
    </row>
    <row r="858">
      <c r="B858" s="139"/>
      <c r="C858" s="139"/>
      <c r="D858" s="139"/>
    </row>
    <row r="859">
      <c r="B859" s="139"/>
      <c r="C859" s="139"/>
      <c r="D859" s="139"/>
    </row>
    <row r="860">
      <c r="B860" s="139"/>
      <c r="C860" s="139"/>
      <c r="D860" s="139"/>
    </row>
    <row r="861">
      <c r="B861" s="139"/>
      <c r="C861" s="139"/>
      <c r="D861" s="139"/>
    </row>
    <row r="862">
      <c r="B862" s="139"/>
      <c r="C862" s="139"/>
      <c r="D862" s="139"/>
    </row>
    <row r="863">
      <c r="B863" s="139"/>
      <c r="C863" s="139"/>
      <c r="D863" s="139"/>
    </row>
    <row r="864">
      <c r="B864" s="139"/>
      <c r="C864" s="139"/>
      <c r="D864" s="139"/>
    </row>
    <row r="865">
      <c r="B865" s="139"/>
      <c r="C865" s="139"/>
      <c r="D865" s="139"/>
    </row>
    <row r="866">
      <c r="B866" s="139"/>
      <c r="C866" s="139"/>
      <c r="D866" s="139"/>
    </row>
    <row r="867">
      <c r="B867" s="139"/>
      <c r="C867" s="139"/>
      <c r="D867" s="139"/>
    </row>
    <row r="868">
      <c r="B868" s="139"/>
      <c r="C868" s="139"/>
      <c r="D868" s="139"/>
    </row>
    <row r="869">
      <c r="B869" s="139"/>
      <c r="C869" s="139"/>
      <c r="D869" s="139"/>
    </row>
    <row r="870">
      <c r="B870" s="139"/>
      <c r="C870" s="139"/>
      <c r="D870" s="139"/>
    </row>
    <row r="871">
      <c r="B871" s="139"/>
      <c r="C871" s="139"/>
      <c r="D871" s="139"/>
    </row>
    <row r="872">
      <c r="B872" s="139"/>
      <c r="C872" s="139"/>
      <c r="D872" s="139"/>
    </row>
    <row r="873">
      <c r="B873" s="139"/>
      <c r="C873" s="139"/>
      <c r="D873" s="139"/>
    </row>
    <row r="874">
      <c r="B874" s="139"/>
      <c r="C874" s="139"/>
      <c r="D874" s="139"/>
    </row>
    <row r="875">
      <c r="B875" s="139"/>
      <c r="C875" s="139"/>
      <c r="D875" s="139"/>
    </row>
    <row r="876">
      <c r="B876" s="139"/>
      <c r="C876" s="139"/>
      <c r="D876" s="139"/>
    </row>
    <row r="877">
      <c r="B877" s="139"/>
      <c r="C877" s="139"/>
      <c r="D877" s="139"/>
    </row>
    <row r="878">
      <c r="B878" s="139"/>
      <c r="C878" s="139"/>
      <c r="D878" s="139"/>
    </row>
    <row r="879">
      <c r="B879" s="139"/>
      <c r="C879" s="139"/>
      <c r="D879" s="139"/>
    </row>
    <row r="880">
      <c r="B880" s="139"/>
      <c r="C880" s="139"/>
      <c r="D880" s="139"/>
    </row>
    <row r="881">
      <c r="B881" s="139"/>
      <c r="C881" s="139"/>
      <c r="D881" s="139"/>
    </row>
    <row r="882">
      <c r="B882" s="139"/>
      <c r="C882" s="139"/>
      <c r="D882" s="139"/>
    </row>
    <row r="883">
      <c r="B883" s="139"/>
      <c r="C883" s="139"/>
      <c r="D883" s="139"/>
    </row>
    <row r="884">
      <c r="B884" s="139"/>
      <c r="C884" s="139"/>
      <c r="D884" s="139"/>
    </row>
    <row r="885">
      <c r="B885" s="139"/>
      <c r="C885" s="139"/>
      <c r="D885" s="139"/>
    </row>
    <row r="886">
      <c r="B886" s="139"/>
      <c r="C886" s="139"/>
      <c r="D886" s="139"/>
    </row>
    <row r="887">
      <c r="B887" s="139"/>
      <c r="C887" s="139"/>
      <c r="D887" s="139"/>
    </row>
    <row r="888">
      <c r="B888" s="139"/>
      <c r="C888" s="139"/>
      <c r="D888" s="139"/>
    </row>
    <row r="889">
      <c r="B889" s="139"/>
      <c r="C889" s="139"/>
      <c r="D889" s="139"/>
    </row>
    <row r="890">
      <c r="B890" s="139"/>
      <c r="C890" s="139"/>
      <c r="D890" s="139"/>
    </row>
    <row r="891">
      <c r="B891" s="139"/>
      <c r="C891" s="139"/>
      <c r="D891" s="139"/>
    </row>
    <row r="892">
      <c r="B892" s="139"/>
      <c r="C892" s="139"/>
      <c r="D892" s="139"/>
    </row>
    <row r="893">
      <c r="B893" s="139"/>
      <c r="C893" s="139"/>
      <c r="D893" s="139"/>
    </row>
    <row r="894">
      <c r="B894" s="139"/>
      <c r="C894" s="139"/>
      <c r="D894" s="139"/>
    </row>
    <row r="895">
      <c r="B895" s="139"/>
      <c r="C895" s="139"/>
      <c r="D895" s="139"/>
    </row>
    <row r="896">
      <c r="B896" s="139"/>
      <c r="C896" s="139"/>
      <c r="D896" s="139"/>
    </row>
    <row r="897">
      <c r="B897" s="139"/>
      <c r="C897" s="139"/>
      <c r="D897" s="139"/>
    </row>
    <row r="898">
      <c r="B898" s="139"/>
      <c r="C898" s="139"/>
      <c r="D898" s="139"/>
    </row>
    <row r="899">
      <c r="B899" s="139"/>
      <c r="C899" s="139"/>
      <c r="D899" s="139"/>
    </row>
    <row r="900">
      <c r="B900" s="139"/>
      <c r="C900" s="139"/>
      <c r="D900" s="139"/>
    </row>
    <row r="901">
      <c r="B901" s="139"/>
      <c r="C901" s="139"/>
      <c r="D901" s="139"/>
    </row>
    <row r="902">
      <c r="B902" s="139"/>
      <c r="C902" s="139"/>
      <c r="D902" s="139"/>
    </row>
    <row r="903">
      <c r="B903" s="139"/>
      <c r="C903" s="139"/>
      <c r="D903" s="139"/>
    </row>
    <row r="904">
      <c r="B904" s="139"/>
      <c r="C904" s="139"/>
      <c r="D904" s="139"/>
    </row>
    <row r="905">
      <c r="B905" s="139"/>
      <c r="C905" s="139"/>
      <c r="D905" s="139"/>
    </row>
    <row r="906">
      <c r="B906" s="139"/>
      <c r="C906" s="139"/>
      <c r="D906" s="139"/>
    </row>
    <row r="907">
      <c r="B907" s="139"/>
      <c r="C907" s="139"/>
      <c r="D907" s="139"/>
    </row>
    <row r="908">
      <c r="B908" s="139"/>
      <c r="C908" s="139"/>
      <c r="D908" s="139"/>
    </row>
    <row r="909">
      <c r="B909" s="139"/>
      <c r="C909" s="139"/>
      <c r="D909" s="139"/>
    </row>
    <row r="910">
      <c r="B910" s="139"/>
      <c r="C910" s="139"/>
      <c r="D910" s="139"/>
    </row>
    <row r="911">
      <c r="B911" s="139"/>
      <c r="C911" s="139"/>
      <c r="D911" s="139"/>
    </row>
    <row r="912">
      <c r="B912" s="139"/>
      <c r="C912" s="139"/>
      <c r="D912" s="139"/>
    </row>
    <row r="913">
      <c r="B913" s="139"/>
      <c r="C913" s="139"/>
      <c r="D913" s="139"/>
    </row>
    <row r="914">
      <c r="B914" s="139"/>
      <c r="C914" s="139"/>
      <c r="D914" s="139"/>
    </row>
    <row r="915">
      <c r="B915" s="139"/>
      <c r="C915" s="139"/>
      <c r="D915" s="139"/>
    </row>
    <row r="916">
      <c r="B916" s="139"/>
      <c r="C916" s="139"/>
      <c r="D916" s="139"/>
    </row>
    <row r="917">
      <c r="B917" s="139"/>
      <c r="C917" s="139"/>
      <c r="D917" s="139"/>
    </row>
    <row r="918">
      <c r="B918" s="139"/>
      <c r="C918" s="139"/>
      <c r="D918" s="139"/>
    </row>
    <row r="919">
      <c r="B919" s="139"/>
      <c r="C919" s="139"/>
      <c r="D919" s="139"/>
    </row>
    <row r="920">
      <c r="B920" s="139"/>
      <c r="C920" s="139"/>
      <c r="D920" s="139"/>
    </row>
    <row r="921">
      <c r="B921" s="139"/>
      <c r="C921" s="139"/>
      <c r="D921" s="139"/>
    </row>
    <row r="922">
      <c r="B922" s="139"/>
      <c r="C922" s="139"/>
      <c r="D922" s="139"/>
    </row>
    <row r="923">
      <c r="B923" s="139"/>
      <c r="C923" s="139"/>
      <c r="D923" s="139"/>
    </row>
    <row r="924">
      <c r="B924" s="139"/>
      <c r="C924" s="139"/>
      <c r="D924" s="139"/>
    </row>
    <row r="925">
      <c r="B925" s="139"/>
      <c r="C925" s="139"/>
      <c r="D925" s="139"/>
    </row>
    <row r="926">
      <c r="B926" s="139"/>
      <c r="C926" s="139"/>
      <c r="D926" s="139"/>
    </row>
    <row r="927">
      <c r="B927" s="139"/>
      <c r="C927" s="139"/>
      <c r="D927" s="139"/>
    </row>
    <row r="928">
      <c r="B928" s="139"/>
      <c r="C928" s="139"/>
      <c r="D928" s="139"/>
    </row>
    <row r="929">
      <c r="B929" s="139"/>
      <c r="C929" s="139"/>
      <c r="D929" s="139"/>
    </row>
    <row r="930">
      <c r="B930" s="139"/>
      <c r="C930" s="139"/>
      <c r="D930" s="139"/>
    </row>
    <row r="931">
      <c r="B931" s="139"/>
      <c r="C931" s="139"/>
      <c r="D931" s="139"/>
    </row>
    <row r="932">
      <c r="B932" s="139"/>
      <c r="C932" s="139"/>
      <c r="D932" s="139"/>
    </row>
    <row r="933">
      <c r="B933" s="139"/>
      <c r="C933" s="139"/>
      <c r="D933" s="139"/>
    </row>
    <row r="934">
      <c r="B934" s="139"/>
      <c r="C934" s="139"/>
      <c r="D934" s="139"/>
    </row>
    <row r="935">
      <c r="B935" s="139"/>
      <c r="C935" s="139"/>
      <c r="D935" s="139"/>
    </row>
    <row r="936">
      <c r="B936" s="139"/>
      <c r="C936" s="139"/>
      <c r="D936" s="139"/>
    </row>
    <row r="937">
      <c r="B937" s="139"/>
      <c r="C937" s="139"/>
      <c r="D937" s="139"/>
    </row>
    <row r="938">
      <c r="B938" s="139"/>
      <c r="C938" s="139"/>
      <c r="D938" s="139"/>
    </row>
    <row r="939">
      <c r="B939" s="139"/>
      <c r="C939" s="139"/>
      <c r="D939" s="139"/>
    </row>
    <row r="940">
      <c r="B940" s="139"/>
      <c r="C940" s="139"/>
      <c r="D940" s="139"/>
    </row>
    <row r="941">
      <c r="B941" s="139"/>
      <c r="C941" s="139"/>
      <c r="D941" s="139"/>
    </row>
    <row r="942">
      <c r="B942" s="139"/>
      <c r="C942" s="139"/>
      <c r="D942" s="139"/>
    </row>
    <row r="943">
      <c r="B943" s="139"/>
      <c r="C943" s="139"/>
      <c r="D943" s="139"/>
    </row>
    <row r="944">
      <c r="B944" s="139"/>
      <c r="C944" s="139"/>
      <c r="D944" s="139"/>
    </row>
    <row r="945">
      <c r="B945" s="139"/>
      <c r="C945" s="139"/>
      <c r="D945" s="139"/>
    </row>
    <row r="946">
      <c r="B946" s="139"/>
      <c r="C946" s="139"/>
      <c r="D946" s="139"/>
    </row>
    <row r="947">
      <c r="B947" s="139"/>
      <c r="C947" s="139"/>
      <c r="D947" s="139"/>
    </row>
    <row r="948">
      <c r="B948" s="139"/>
      <c r="C948" s="139"/>
      <c r="D948" s="139"/>
    </row>
    <row r="949">
      <c r="B949" s="139"/>
      <c r="C949" s="139"/>
      <c r="D949" s="139"/>
    </row>
    <row r="950">
      <c r="B950" s="139"/>
      <c r="C950" s="139"/>
      <c r="D950" s="139"/>
    </row>
    <row r="951">
      <c r="B951" s="139"/>
      <c r="C951" s="139"/>
      <c r="D951" s="139"/>
    </row>
    <row r="952">
      <c r="B952" s="139"/>
      <c r="C952" s="139"/>
      <c r="D952" s="139"/>
    </row>
    <row r="953">
      <c r="B953" s="139"/>
      <c r="C953" s="139"/>
      <c r="D953" s="139"/>
    </row>
    <row r="954">
      <c r="B954" s="139"/>
      <c r="C954" s="139"/>
      <c r="D954" s="139"/>
    </row>
    <row r="955">
      <c r="B955" s="139"/>
      <c r="C955" s="139"/>
      <c r="D955" s="139"/>
    </row>
    <row r="956">
      <c r="B956" s="139"/>
      <c r="C956" s="139"/>
      <c r="D956" s="139"/>
    </row>
    <row r="957">
      <c r="B957" s="139"/>
      <c r="C957" s="139"/>
      <c r="D957" s="139"/>
    </row>
    <row r="958">
      <c r="B958" s="139"/>
      <c r="C958" s="139"/>
      <c r="D958" s="139"/>
    </row>
    <row r="959">
      <c r="B959" s="139"/>
      <c r="C959" s="139"/>
      <c r="D959" s="139"/>
    </row>
    <row r="960">
      <c r="B960" s="139"/>
      <c r="C960" s="139"/>
      <c r="D960" s="139"/>
    </row>
    <row r="961">
      <c r="B961" s="139"/>
      <c r="C961" s="139"/>
      <c r="D961" s="139"/>
    </row>
    <row r="962">
      <c r="B962" s="139"/>
      <c r="C962" s="139"/>
      <c r="D962" s="139"/>
    </row>
    <row r="963">
      <c r="B963" s="139"/>
      <c r="C963" s="139"/>
      <c r="D963" s="139"/>
    </row>
    <row r="964">
      <c r="B964" s="139"/>
      <c r="C964" s="139"/>
      <c r="D964" s="139"/>
    </row>
    <row r="965">
      <c r="B965" s="139"/>
      <c r="C965" s="139"/>
      <c r="D965" s="139"/>
    </row>
    <row r="966">
      <c r="B966" s="139"/>
      <c r="C966" s="139"/>
      <c r="D966" s="139"/>
    </row>
    <row r="967">
      <c r="B967" s="139"/>
      <c r="C967" s="139"/>
      <c r="D967" s="139"/>
    </row>
    <row r="968">
      <c r="B968" s="139"/>
      <c r="C968" s="139"/>
      <c r="D968" s="139"/>
    </row>
    <row r="969">
      <c r="B969" s="139"/>
      <c r="C969" s="139"/>
      <c r="D969" s="139"/>
    </row>
    <row r="970">
      <c r="B970" s="139"/>
      <c r="C970" s="139"/>
      <c r="D970" s="139"/>
    </row>
    <row r="971">
      <c r="B971" s="139"/>
      <c r="C971" s="139"/>
      <c r="D971" s="139"/>
    </row>
    <row r="972">
      <c r="B972" s="139"/>
      <c r="C972" s="139"/>
      <c r="D972" s="139"/>
    </row>
    <row r="973">
      <c r="B973" s="139"/>
      <c r="C973" s="139"/>
      <c r="D973" s="139"/>
    </row>
    <row r="974">
      <c r="B974" s="139"/>
      <c r="C974" s="139"/>
      <c r="D974" s="139"/>
    </row>
    <row r="975">
      <c r="B975" s="139"/>
      <c r="C975" s="139"/>
      <c r="D975" s="139"/>
    </row>
    <row r="976">
      <c r="B976" s="139"/>
      <c r="C976" s="139"/>
      <c r="D976" s="139"/>
    </row>
    <row r="977">
      <c r="B977" s="139"/>
      <c r="C977" s="139"/>
      <c r="D977" s="139"/>
    </row>
    <row r="978">
      <c r="B978" s="139"/>
      <c r="C978" s="139"/>
      <c r="D978" s="139"/>
    </row>
    <row r="979">
      <c r="B979" s="139"/>
      <c r="C979" s="139"/>
      <c r="D979" s="139"/>
    </row>
    <row r="980">
      <c r="B980" s="139"/>
      <c r="C980" s="139"/>
      <c r="D980" s="139"/>
    </row>
    <row r="981">
      <c r="B981" s="139"/>
      <c r="C981" s="139"/>
      <c r="D981" s="139"/>
    </row>
    <row r="982">
      <c r="B982" s="139"/>
      <c r="C982" s="139"/>
      <c r="D982" s="139"/>
    </row>
    <row r="983">
      <c r="B983" s="139"/>
      <c r="C983" s="139"/>
      <c r="D983" s="139"/>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B4"/>
    <hyperlink r:id="rId2" ref="C4"/>
    <hyperlink r:id="rId3" ref="B5"/>
    <hyperlink r:id="rId4" ref="C5"/>
    <hyperlink r:id="rId5" ref="B6"/>
    <hyperlink r:id="rId6" ref="B7"/>
    <hyperlink r:id="rId7" ref="C7"/>
    <hyperlink r:id="rId8" ref="B8"/>
    <hyperlink r:id="rId9" ref="C8"/>
    <hyperlink r:id="rId10" ref="B9"/>
    <hyperlink r:id="rId11" ref="C9"/>
    <hyperlink r:id="rId12" ref="B10"/>
    <hyperlink r:id="rId13" ref="C10"/>
    <hyperlink r:id="rId14" ref="B11"/>
    <hyperlink r:id="rId15" ref="C11"/>
    <hyperlink r:id="rId16" ref="B12"/>
    <hyperlink r:id="rId17" ref="B13"/>
    <hyperlink r:id="rId18" ref="C13"/>
    <hyperlink r:id="rId19" ref="B14"/>
    <hyperlink r:id="rId20" ref="C14"/>
    <hyperlink r:id="rId21" ref="B15"/>
    <hyperlink r:id="rId22" ref="C15"/>
    <hyperlink r:id="rId23" ref="B16"/>
    <hyperlink r:id="rId24" ref="C16"/>
    <hyperlink r:id="rId25" ref="B17"/>
    <hyperlink r:id="rId26" ref="C17"/>
    <hyperlink r:id="rId27" ref="B18"/>
    <hyperlink r:id="rId28" ref="C18"/>
    <hyperlink r:id="rId29" ref="B19"/>
    <hyperlink r:id="rId30" ref="C19"/>
    <hyperlink r:id="rId31" ref="B20"/>
    <hyperlink r:id="rId32" ref="C20"/>
    <hyperlink r:id="rId33" ref="B21"/>
    <hyperlink r:id="rId34" ref="B22"/>
    <hyperlink r:id="rId35" ref="C22"/>
    <hyperlink r:id="rId36" ref="B23"/>
    <hyperlink r:id="rId37" ref="C23"/>
    <hyperlink r:id="rId38" ref="B24"/>
    <hyperlink r:id="rId39" ref="B25"/>
    <hyperlink r:id="rId40" ref="C25"/>
    <hyperlink r:id="rId41" ref="B26"/>
    <hyperlink r:id="rId42" ref="C26"/>
    <hyperlink r:id="rId43" ref="B27"/>
    <hyperlink r:id="rId44" ref="C27"/>
    <hyperlink r:id="rId45" ref="B28"/>
    <hyperlink r:id="rId46" ref="C28"/>
    <hyperlink r:id="rId47" ref="B29"/>
    <hyperlink r:id="rId48" ref="C29"/>
    <hyperlink r:id="rId49" ref="B30"/>
    <hyperlink r:id="rId50" ref="C30"/>
    <hyperlink r:id="rId51" ref="B31"/>
    <hyperlink r:id="rId52" ref="C31"/>
    <hyperlink r:id="rId53" ref="B32"/>
    <hyperlink r:id="rId54" ref="C32"/>
    <hyperlink r:id="rId55" ref="B33"/>
    <hyperlink r:id="rId56" ref="C33"/>
    <hyperlink r:id="rId57" ref="B34"/>
    <hyperlink r:id="rId58" ref="C34"/>
    <hyperlink r:id="rId59" ref="B35"/>
    <hyperlink r:id="rId60" ref="C35"/>
    <hyperlink r:id="rId61" ref="B36"/>
    <hyperlink r:id="rId62" ref="C36"/>
    <hyperlink r:id="rId63" ref="B37"/>
    <hyperlink r:id="rId64" ref="C37"/>
    <hyperlink r:id="rId65" ref="B38"/>
    <hyperlink r:id="rId66" ref="C38"/>
    <hyperlink r:id="rId67" ref="B39"/>
    <hyperlink r:id="rId68" ref="C39"/>
    <hyperlink r:id="rId69" ref="B40"/>
    <hyperlink r:id="rId70" ref="C40"/>
    <hyperlink r:id="rId71" ref="B41"/>
    <hyperlink r:id="rId72" ref="C41"/>
    <hyperlink r:id="rId73" ref="B42"/>
    <hyperlink r:id="rId74" ref="B43"/>
    <hyperlink r:id="rId75" ref="C43"/>
    <hyperlink r:id="rId76" ref="B44"/>
    <hyperlink r:id="rId77" ref="C44"/>
    <hyperlink r:id="rId78" ref="B45"/>
    <hyperlink r:id="rId79" ref="C45"/>
    <hyperlink r:id="rId80" ref="B46"/>
    <hyperlink r:id="rId81" ref="C46"/>
    <hyperlink r:id="rId82" location="cite_note-15" ref="E46"/>
    <hyperlink r:id="rId83" ref="B47"/>
    <hyperlink r:id="rId84" ref="C47"/>
    <hyperlink r:id="rId85" ref="B48"/>
    <hyperlink r:id="rId86" ref="C48"/>
    <hyperlink r:id="rId87" ref="B49"/>
    <hyperlink r:id="rId88" ref="B50"/>
    <hyperlink r:id="rId89" ref="C50"/>
    <hyperlink r:id="rId90" ref="B51"/>
    <hyperlink r:id="rId91" ref="B52"/>
    <hyperlink r:id="rId92" ref="C52"/>
    <hyperlink r:id="rId93" ref="B53"/>
    <hyperlink r:id="rId94" ref="C53"/>
    <hyperlink r:id="rId95" ref="B54"/>
    <hyperlink r:id="rId96" ref="C54"/>
    <hyperlink r:id="rId97" ref="B55"/>
    <hyperlink r:id="rId98" ref="B56"/>
    <hyperlink r:id="rId99" ref="C56"/>
    <hyperlink r:id="rId100" ref="B57"/>
    <hyperlink r:id="rId101" ref="C57"/>
    <hyperlink r:id="rId102" ref="B58"/>
    <hyperlink r:id="rId103" ref="C58"/>
    <hyperlink r:id="rId104" ref="B59"/>
    <hyperlink r:id="rId105" ref="C59"/>
    <hyperlink r:id="rId106" ref="B60"/>
    <hyperlink r:id="rId107" ref="C60"/>
    <hyperlink r:id="rId108" ref="B61"/>
    <hyperlink r:id="rId109" ref="B62"/>
    <hyperlink r:id="rId110" ref="C62"/>
    <hyperlink r:id="rId111" ref="B63"/>
    <hyperlink r:id="rId112" ref="C63"/>
    <hyperlink r:id="rId113" ref="B64"/>
    <hyperlink r:id="rId114" ref="B65"/>
    <hyperlink r:id="rId115" ref="B66"/>
    <hyperlink r:id="rId116" ref="C66"/>
    <hyperlink r:id="rId117" ref="B67"/>
    <hyperlink r:id="rId118" ref="C67"/>
    <hyperlink r:id="rId119" ref="B68"/>
    <hyperlink r:id="rId120" ref="C68"/>
    <hyperlink r:id="rId121" ref="B69"/>
    <hyperlink r:id="rId122" ref="C69"/>
    <hyperlink r:id="rId123" ref="B70"/>
    <hyperlink r:id="rId124" ref="C70"/>
    <hyperlink r:id="rId125" ref="B71"/>
    <hyperlink r:id="rId126" ref="C71"/>
    <hyperlink r:id="rId127" ref="B72"/>
    <hyperlink r:id="rId128" ref="C72"/>
    <hyperlink r:id="rId129" ref="B73"/>
    <hyperlink r:id="rId130" ref="C73"/>
    <hyperlink r:id="rId131" ref="B74"/>
    <hyperlink r:id="rId132" ref="C74"/>
    <hyperlink r:id="rId133" ref="B75"/>
    <hyperlink r:id="rId134" ref="C75"/>
    <hyperlink r:id="rId135" ref="B76"/>
    <hyperlink r:id="rId136" ref="C76"/>
    <hyperlink r:id="rId137" ref="B77"/>
    <hyperlink r:id="rId138" ref="C77"/>
    <hyperlink r:id="rId139" ref="B78"/>
    <hyperlink r:id="rId140" ref="C78"/>
    <hyperlink r:id="rId141" ref="B79"/>
    <hyperlink r:id="rId142" ref="C79"/>
    <hyperlink r:id="rId143" ref="B80"/>
    <hyperlink r:id="rId144" ref="C80"/>
    <hyperlink r:id="rId145" ref="B81"/>
    <hyperlink r:id="rId146" ref="C81"/>
    <hyperlink r:id="rId147" ref="B82"/>
    <hyperlink r:id="rId148" ref="C82"/>
    <hyperlink r:id="rId149" ref="B83"/>
    <hyperlink r:id="rId150" ref="C83"/>
    <hyperlink r:id="rId151" ref="B84"/>
    <hyperlink r:id="rId152" ref="C84"/>
    <hyperlink r:id="rId153" ref="B85"/>
    <hyperlink r:id="rId154" ref="C85"/>
    <hyperlink r:id="rId155" ref="B86"/>
    <hyperlink r:id="rId156" ref="C86"/>
    <hyperlink r:id="rId157" ref="B87"/>
    <hyperlink r:id="rId158" ref="C87"/>
    <hyperlink r:id="rId159" ref="B88"/>
    <hyperlink r:id="rId160" ref="C88"/>
    <hyperlink r:id="rId161" ref="B89"/>
    <hyperlink r:id="rId162" ref="C89"/>
    <hyperlink r:id="rId163" ref="B90"/>
    <hyperlink r:id="rId164" ref="B91"/>
    <hyperlink r:id="rId165" ref="C91"/>
    <hyperlink r:id="rId166" ref="B92"/>
    <hyperlink r:id="rId167" ref="B93"/>
    <hyperlink r:id="rId168" ref="B94"/>
    <hyperlink r:id="rId169" ref="C94"/>
    <hyperlink r:id="rId170" ref="B95"/>
    <hyperlink r:id="rId171" ref="C95"/>
    <hyperlink r:id="rId172" ref="B96"/>
    <hyperlink r:id="rId173" ref="C96"/>
    <hyperlink r:id="rId174" ref="B97"/>
    <hyperlink r:id="rId175" ref="C97"/>
    <hyperlink r:id="rId176" ref="B98"/>
    <hyperlink r:id="rId177" ref="C98"/>
    <hyperlink r:id="rId178" ref="B99"/>
    <hyperlink r:id="rId179" ref="C99"/>
    <hyperlink r:id="rId180" ref="B100"/>
    <hyperlink r:id="rId181" ref="C100"/>
    <hyperlink r:id="rId182" ref="B101"/>
    <hyperlink r:id="rId183" ref="C101"/>
    <hyperlink r:id="rId184" ref="B102"/>
    <hyperlink r:id="rId185" ref="B103"/>
    <hyperlink r:id="rId186" ref="C103"/>
    <hyperlink r:id="rId187" ref="B104"/>
    <hyperlink r:id="rId188" ref="C104"/>
    <hyperlink r:id="rId189" ref="B105"/>
    <hyperlink r:id="rId190" ref="C105"/>
    <hyperlink r:id="rId191" ref="B106"/>
    <hyperlink r:id="rId192" ref="C106"/>
    <hyperlink r:id="rId193" ref="B107"/>
    <hyperlink r:id="rId194" ref="B108"/>
    <hyperlink r:id="rId195" ref="C108"/>
    <hyperlink r:id="rId196" ref="B109"/>
    <hyperlink r:id="rId197" ref="C109"/>
    <hyperlink r:id="rId198" ref="B110"/>
    <hyperlink r:id="rId199" ref="C110"/>
    <hyperlink r:id="rId200" ref="B111"/>
    <hyperlink r:id="rId201" ref="C111"/>
    <hyperlink r:id="rId202" ref="B112"/>
    <hyperlink r:id="rId203" ref="C112"/>
    <hyperlink r:id="rId204" ref="B113"/>
    <hyperlink r:id="rId205" ref="C113"/>
    <hyperlink r:id="rId206" ref="B114"/>
    <hyperlink r:id="rId207" ref="C114"/>
    <hyperlink r:id="rId208" ref="B115"/>
    <hyperlink r:id="rId209" ref="C115"/>
    <hyperlink r:id="rId210" ref="B116"/>
    <hyperlink r:id="rId211" ref="C116"/>
    <hyperlink r:id="rId212" ref="B117"/>
    <hyperlink r:id="rId213" ref="C117"/>
    <hyperlink r:id="rId214" ref="B118"/>
    <hyperlink r:id="rId215" ref="C118"/>
    <hyperlink r:id="rId216" ref="B119"/>
    <hyperlink r:id="rId217" ref="B120"/>
    <hyperlink r:id="rId218" ref="C120"/>
    <hyperlink r:id="rId219" ref="B121"/>
    <hyperlink r:id="rId220" ref="B122"/>
    <hyperlink r:id="rId221" ref="B123"/>
    <hyperlink r:id="rId222" ref="C123"/>
    <hyperlink r:id="rId223" ref="B124"/>
    <hyperlink r:id="rId224" ref="B125"/>
    <hyperlink r:id="rId225" ref="C125"/>
    <hyperlink r:id="rId226" ref="B126"/>
    <hyperlink r:id="rId227" ref="C126"/>
    <hyperlink r:id="rId228" ref="B127"/>
    <hyperlink r:id="rId229" ref="C127"/>
    <hyperlink r:id="rId230" ref="B128"/>
    <hyperlink r:id="rId231" ref="C128"/>
    <hyperlink r:id="rId232" ref="B129"/>
    <hyperlink r:id="rId233" ref="C129"/>
    <hyperlink r:id="rId234" ref="B130"/>
    <hyperlink r:id="rId235" ref="C130"/>
    <hyperlink r:id="rId236" ref="B131"/>
    <hyperlink r:id="rId237" ref="C131"/>
    <hyperlink r:id="rId238" ref="B132"/>
    <hyperlink r:id="rId239" ref="C132"/>
    <hyperlink r:id="rId240" ref="B133"/>
    <hyperlink r:id="rId241" ref="B134"/>
    <hyperlink r:id="rId242" ref="C134"/>
    <hyperlink r:id="rId243" ref="B135"/>
    <hyperlink r:id="rId244" ref="C135"/>
    <hyperlink r:id="rId245" ref="B136"/>
    <hyperlink r:id="rId246" ref="B137"/>
    <hyperlink r:id="rId247" ref="C137"/>
    <hyperlink r:id="rId248" ref="B138"/>
    <hyperlink r:id="rId249" ref="C138"/>
    <hyperlink r:id="rId250" ref="B139"/>
    <hyperlink r:id="rId251" ref="B140"/>
    <hyperlink r:id="rId252" ref="C140"/>
    <hyperlink r:id="rId253" ref="B141"/>
    <hyperlink r:id="rId254" ref="C141"/>
    <hyperlink r:id="rId255" ref="B142"/>
    <hyperlink r:id="rId256" ref="C142"/>
    <hyperlink r:id="rId257" ref="B143"/>
    <hyperlink r:id="rId258" ref="C143"/>
    <hyperlink r:id="rId259" ref="B144"/>
    <hyperlink r:id="rId260" ref="C144"/>
    <hyperlink r:id="rId261" ref="B145"/>
    <hyperlink r:id="rId262" ref="B146"/>
    <hyperlink r:id="rId263" ref="C146"/>
    <hyperlink r:id="rId264" ref="B147"/>
    <hyperlink r:id="rId265" ref="C147"/>
    <hyperlink r:id="rId266" ref="B148"/>
    <hyperlink r:id="rId267" ref="C148"/>
    <hyperlink r:id="rId268" ref="B149"/>
    <hyperlink r:id="rId269" ref="B150"/>
    <hyperlink r:id="rId270" ref="C150"/>
    <hyperlink r:id="rId271" ref="B151"/>
    <hyperlink r:id="rId272" ref="C151"/>
    <hyperlink r:id="rId273" ref="B152"/>
    <hyperlink r:id="rId274" ref="C152"/>
    <hyperlink r:id="rId275" ref="B153"/>
    <hyperlink r:id="rId276" ref="C153"/>
    <hyperlink r:id="rId277" ref="B155"/>
    <hyperlink r:id="rId278" ref="C155"/>
    <hyperlink r:id="rId279" ref="B156"/>
    <hyperlink r:id="rId280" ref="C156"/>
    <hyperlink r:id="rId281" ref="B157"/>
    <hyperlink r:id="rId282" ref="B158"/>
    <hyperlink r:id="rId283" ref="C158"/>
    <hyperlink r:id="rId284" ref="B159"/>
    <hyperlink r:id="rId285" ref="B160"/>
    <hyperlink r:id="rId286" ref="B161"/>
    <hyperlink r:id="rId287" ref="B162"/>
    <hyperlink r:id="rId288" ref="C162"/>
    <hyperlink r:id="rId289" ref="B163"/>
    <hyperlink r:id="rId290" ref="C163"/>
    <hyperlink r:id="rId291" ref="B164"/>
    <hyperlink r:id="rId292" ref="C164"/>
    <hyperlink r:id="rId293" ref="B165"/>
    <hyperlink r:id="rId294" ref="B166"/>
    <hyperlink r:id="rId295" ref="C166"/>
    <hyperlink r:id="rId296" ref="B167"/>
    <hyperlink r:id="rId297" ref="B168"/>
    <hyperlink r:id="rId298" ref="C168"/>
    <hyperlink r:id="rId299" ref="B169"/>
    <hyperlink r:id="rId300" ref="C169"/>
    <hyperlink r:id="rId301" ref="B170"/>
    <hyperlink r:id="rId302" ref="C170"/>
    <hyperlink r:id="rId303" ref="B171"/>
    <hyperlink r:id="rId304" ref="C171"/>
    <hyperlink r:id="rId305" ref="B172"/>
    <hyperlink r:id="rId306" ref="B173"/>
    <hyperlink r:id="rId307" ref="C173"/>
    <hyperlink r:id="rId308" ref="B174"/>
    <hyperlink r:id="rId309" ref="B175"/>
    <hyperlink r:id="rId310" ref="C175"/>
    <hyperlink r:id="rId311" ref="B176"/>
    <hyperlink r:id="rId312" ref="B177"/>
    <hyperlink r:id="rId313" ref="C177"/>
    <hyperlink r:id="rId314" ref="B178"/>
    <hyperlink r:id="rId315" ref="C178"/>
    <hyperlink r:id="rId316" ref="B179"/>
    <hyperlink r:id="rId317" ref="C179"/>
    <hyperlink r:id="rId318" ref="B180"/>
    <hyperlink r:id="rId319" ref="C180"/>
    <hyperlink r:id="rId320" ref="B181"/>
    <hyperlink r:id="rId321" ref="C181"/>
    <hyperlink r:id="rId322" ref="B182"/>
    <hyperlink r:id="rId323" ref="C182"/>
    <hyperlink r:id="rId324" ref="B183"/>
    <hyperlink r:id="rId325" ref="C183"/>
    <hyperlink r:id="rId326" ref="B184"/>
    <hyperlink r:id="rId327" ref="C184"/>
    <hyperlink r:id="rId328" ref="B185"/>
    <hyperlink r:id="rId329" ref="B186"/>
    <hyperlink r:id="rId330" ref="C186"/>
    <hyperlink r:id="rId331" ref="B187"/>
    <hyperlink r:id="rId332" ref="C187"/>
    <hyperlink r:id="rId333" ref="B188"/>
    <hyperlink r:id="rId334" ref="B189"/>
    <hyperlink r:id="rId335" ref="C189"/>
    <hyperlink r:id="rId336" ref="B190"/>
    <hyperlink r:id="rId337" ref="C190"/>
    <hyperlink r:id="rId338" ref="B191"/>
    <hyperlink r:id="rId339" ref="C191"/>
    <hyperlink r:id="rId340" ref="B192"/>
    <hyperlink r:id="rId341" ref="B193"/>
    <hyperlink r:id="rId342" ref="C193"/>
    <hyperlink r:id="rId343" ref="B194"/>
    <hyperlink r:id="rId344" ref="C194"/>
    <hyperlink r:id="rId345" ref="B195"/>
    <hyperlink r:id="rId346" ref="C195"/>
    <hyperlink r:id="rId347" ref="B196"/>
    <hyperlink r:id="rId348" ref="B197"/>
    <hyperlink r:id="rId349" ref="B198"/>
    <hyperlink r:id="rId350" ref="C198"/>
    <hyperlink r:id="rId351" ref="B199"/>
    <hyperlink r:id="rId352" ref="C199"/>
    <hyperlink r:id="rId353" ref="B200"/>
    <hyperlink r:id="rId354" ref="C200"/>
    <hyperlink r:id="rId355" ref="B201"/>
    <hyperlink r:id="rId356" ref="C201"/>
    <hyperlink r:id="rId357" ref="B202"/>
    <hyperlink r:id="rId358" ref="C202"/>
    <hyperlink r:id="rId359" ref="B203"/>
    <hyperlink r:id="rId360" ref="C203"/>
    <hyperlink r:id="rId361" ref="B204"/>
    <hyperlink r:id="rId362" ref="B205"/>
    <hyperlink r:id="rId363" ref="C205"/>
    <hyperlink r:id="rId364" ref="B206"/>
    <hyperlink r:id="rId365" ref="C206"/>
    <hyperlink r:id="rId366" ref="B207"/>
    <hyperlink r:id="rId367" ref="B208"/>
    <hyperlink r:id="rId368" ref="C208"/>
    <hyperlink r:id="rId369" ref="B209"/>
    <hyperlink r:id="rId370" ref="C209"/>
    <hyperlink r:id="rId371" ref="B210"/>
    <hyperlink r:id="rId372" ref="C210"/>
    <hyperlink r:id="rId373" ref="B211"/>
    <hyperlink r:id="rId374" ref="C211"/>
    <hyperlink r:id="rId375" ref="B212"/>
    <hyperlink r:id="rId376" ref="C212"/>
    <hyperlink r:id="rId377" ref="B213"/>
    <hyperlink r:id="rId378" ref="C213"/>
    <hyperlink r:id="rId379" ref="B214"/>
    <hyperlink r:id="rId380" ref="C214"/>
    <hyperlink r:id="rId381" ref="B215"/>
    <hyperlink r:id="rId382" ref="C215"/>
    <hyperlink r:id="rId383" ref="B216"/>
    <hyperlink r:id="rId384" ref="C216"/>
    <hyperlink r:id="rId385" ref="B217"/>
    <hyperlink r:id="rId386" ref="C217"/>
  </hyperlinks>
  <drawing r:id="rId387"/>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FC5E8"/>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2" max="2" width="8.0"/>
    <col customWidth="1" min="3" max="3" width="15.57"/>
  </cols>
  <sheetData>
    <row r="1" ht="15.0" customHeight="1" outlineLevel="1">
      <c r="A1" s="1" t="s">
        <v>0</v>
      </c>
      <c r="B1" s="2" t="s">
        <v>1</v>
      </c>
      <c r="C1" s="2" t="s">
        <v>2</v>
      </c>
      <c r="D1" s="2"/>
      <c r="E1" s="3"/>
      <c r="F1" s="30" t="s">
        <v>1577</v>
      </c>
      <c r="G1" s="30" t="s">
        <v>4</v>
      </c>
      <c r="H1" s="30" t="s">
        <v>5</v>
      </c>
      <c r="I1" s="30" t="s">
        <v>6</v>
      </c>
      <c r="J1" s="30" t="s">
        <v>7</v>
      </c>
      <c r="K1" s="1" t="s">
        <v>8</v>
      </c>
      <c r="L1" s="7" t="s">
        <v>9</v>
      </c>
      <c r="N1" s="10" t="s">
        <v>14</v>
      </c>
      <c r="P1" s="167"/>
      <c r="Q1" s="167"/>
      <c r="R1" s="30"/>
      <c r="S1" s="20"/>
      <c r="T1" s="20"/>
      <c r="U1" s="20"/>
      <c r="V1" s="20"/>
      <c r="W1" s="20"/>
      <c r="X1" s="20"/>
      <c r="Y1" s="20"/>
      <c r="Z1" s="20"/>
      <c r="AA1" s="20"/>
      <c r="AB1" s="20"/>
      <c r="AC1" s="20"/>
      <c r="AD1" s="20"/>
    </row>
    <row r="2" ht="16.5" customHeight="1" outlineLevel="1">
      <c r="A2" s="21" t="s">
        <v>22</v>
      </c>
      <c r="B2" s="23"/>
      <c r="C2" s="325"/>
      <c r="D2" s="325"/>
      <c r="E2" s="3"/>
      <c r="F2" s="168">
        <v>43474.0</v>
      </c>
      <c r="G2" s="168">
        <v>43557.0</v>
      </c>
      <c r="H2" s="151">
        <f>G2-today()</f>
        <v>-178</v>
      </c>
      <c r="I2" s="168">
        <v>43474.0</v>
      </c>
      <c r="J2" s="168">
        <v>43646.0</v>
      </c>
      <c r="K2" s="23"/>
      <c r="L2" s="26">
        <f>CountIFS($E:$E,"=Dem",$A:$A,"=House")</f>
        <v>54</v>
      </c>
      <c r="M2" s="28">
        <f>CountIFS($E:$E,"=Rep",$A:$A,"=House")</f>
        <v>66</v>
      </c>
      <c r="N2" s="26">
        <f>CountIFS($E:$E,"=Dem",$A:$A,"=Senate")</f>
        <v>19</v>
      </c>
      <c r="O2" s="28">
        <f>CountIFS($E:$E,"=Rep",$A:$A,"=Senate")</f>
        <v>31</v>
      </c>
      <c r="P2" s="167"/>
      <c r="Q2" s="167"/>
      <c r="R2" s="30"/>
      <c r="S2" s="20"/>
      <c r="T2" s="20"/>
      <c r="U2" s="20"/>
      <c r="V2" s="20"/>
      <c r="W2" s="20"/>
      <c r="X2" s="20"/>
      <c r="Y2" s="20"/>
      <c r="Z2" s="20"/>
      <c r="AA2" s="20"/>
      <c r="AB2" s="20"/>
      <c r="AC2" s="20"/>
      <c r="AD2" s="20"/>
    </row>
    <row r="3">
      <c r="A3" s="30" t="s">
        <v>29</v>
      </c>
      <c r="B3" s="30" t="s">
        <v>30</v>
      </c>
      <c r="C3" s="2" t="s">
        <v>31</v>
      </c>
      <c r="D3" s="2" t="s">
        <v>32</v>
      </c>
      <c r="E3" s="3" t="s">
        <v>33</v>
      </c>
      <c r="F3" s="1" t="s">
        <v>10</v>
      </c>
      <c r="G3" s="1" t="s">
        <v>34</v>
      </c>
      <c r="H3" s="1" t="s">
        <v>34</v>
      </c>
      <c r="I3" s="1" t="s">
        <v>34</v>
      </c>
      <c r="J3" s="1" t="s">
        <v>34</v>
      </c>
      <c r="K3" s="1" t="s">
        <v>35</v>
      </c>
      <c r="L3" s="19" t="s">
        <v>36</v>
      </c>
      <c r="M3" s="19" t="s">
        <v>37</v>
      </c>
      <c r="N3" s="19" t="s">
        <v>38</v>
      </c>
      <c r="O3" s="17" t="s">
        <v>39</v>
      </c>
      <c r="P3" s="11" t="s">
        <v>40</v>
      </c>
      <c r="Q3" s="11" t="s">
        <v>41</v>
      </c>
      <c r="R3" s="17" t="s">
        <v>42</v>
      </c>
      <c r="S3" s="20"/>
      <c r="T3" s="20"/>
      <c r="U3" s="20"/>
      <c r="V3" s="20"/>
      <c r="W3" s="20"/>
      <c r="X3" s="20"/>
      <c r="Y3" s="20"/>
      <c r="Z3" s="20"/>
      <c r="AA3" s="20"/>
      <c r="AB3" s="20"/>
      <c r="AC3" s="20"/>
      <c r="AD3" s="20"/>
    </row>
    <row r="4">
      <c r="A4" s="14" t="s">
        <v>44</v>
      </c>
      <c r="B4" s="31">
        <v>1.0</v>
      </c>
      <c r="C4" s="35" t="s">
        <v>636</v>
      </c>
      <c r="D4" s="35" t="s">
        <v>9741</v>
      </c>
      <c r="E4" s="98" t="s">
        <v>53</v>
      </c>
      <c r="F4" s="219"/>
      <c r="G4" s="219"/>
      <c r="H4" s="336"/>
      <c r="I4" s="336"/>
      <c r="J4" s="336"/>
      <c r="K4" s="336"/>
      <c r="L4" s="89"/>
      <c r="M4" s="89" t="str">
        <f t="shared" ref="M4:M123" si="1">Concatenate(lower(C4),".",lower(D4),"@ncleg.net")</f>
        <v>ed.goodwin@ncleg.net</v>
      </c>
      <c r="N4" s="89"/>
      <c r="O4" s="89"/>
      <c r="P4" s="89"/>
      <c r="Q4" s="89"/>
      <c r="R4" s="89"/>
      <c r="T4" t="str">
        <f t="shared" ref="T4:T123" si="2">if(not(U4=""),"Representative","")</f>
        <v>Representative</v>
      </c>
      <c r="U4" t="str">
        <f t="shared" ref="U4:U123" si="3">if(E4="rep",D4,"")</f>
        <v>Goodwin</v>
      </c>
      <c r="V4" t="str">
        <f t="shared" ref="V4:V123" si="4">if(not(U4=""),M4,"")</f>
        <v>ed.goodwin@ncleg.net</v>
      </c>
    </row>
    <row r="5">
      <c r="A5" s="14" t="s">
        <v>44</v>
      </c>
      <c r="B5" s="31">
        <v>2.0</v>
      </c>
      <c r="C5" s="35" t="s">
        <v>839</v>
      </c>
      <c r="D5" s="35" t="s">
        <v>2847</v>
      </c>
      <c r="E5" s="51" t="s">
        <v>53</v>
      </c>
      <c r="F5" s="219"/>
      <c r="G5" s="219"/>
      <c r="H5" s="219"/>
      <c r="I5" s="336"/>
      <c r="J5" s="336"/>
      <c r="K5" s="336"/>
      <c r="L5" s="89"/>
      <c r="M5" s="89" t="str">
        <f t="shared" si="1"/>
        <v>larry.yarborough@ncleg.net</v>
      </c>
      <c r="N5" s="89"/>
      <c r="O5" s="89"/>
      <c r="P5" s="89"/>
      <c r="Q5" s="89"/>
      <c r="R5" s="89"/>
      <c r="T5" t="str">
        <f t="shared" si="2"/>
        <v>Representative</v>
      </c>
      <c r="U5" t="str">
        <f t="shared" si="3"/>
        <v>Yarborough</v>
      </c>
      <c r="V5" t="str">
        <f t="shared" si="4"/>
        <v>larry.yarborough@ncleg.net</v>
      </c>
    </row>
    <row r="6">
      <c r="A6" s="14" t="s">
        <v>44</v>
      </c>
      <c r="B6" s="31">
        <v>3.0</v>
      </c>
      <c r="C6" s="35" t="s">
        <v>2490</v>
      </c>
      <c r="D6" s="35" t="s">
        <v>9744</v>
      </c>
      <c r="E6" s="51" t="s">
        <v>53</v>
      </c>
      <c r="F6" s="219"/>
      <c r="G6" s="219"/>
      <c r="H6" s="219"/>
      <c r="I6" s="336"/>
      <c r="J6" s="336"/>
      <c r="K6" s="336"/>
      <c r="L6" s="89"/>
      <c r="M6" s="89" t="str">
        <f t="shared" si="1"/>
        <v>michael.speciale@ncleg.net</v>
      </c>
      <c r="N6" s="89"/>
      <c r="O6" s="89"/>
      <c r="P6" s="89"/>
      <c r="Q6" s="89"/>
      <c r="R6" s="89"/>
      <c r="T6" t="str">
        <f t="shared" si="2"/>
        <v>Representative</v>
      </c>
      <c r="U6" t="str">
        <f t="shared" si="3"/>
        <v>Speciale</v>
      </c>
      <c r="V6" t="str">
        <f t="shared" si="4"/>
        <v>michael.speciale@ncleg.net</v>
      </c>
    </row>
    <row r="7">
      <c r="A7" s="14" t="s">
        <v>44</v>
      </c>
      <c r="B7" s="31">
        <v>4.0</v>
      </c>
      <c r="C7" s="35" t="s">
        <v>455</v>
      </c>
      <c r="D7" s="35" t="s">
        <v>3679</v>
      </c>
      <c r="E7" s="51" t="s">
        <v>53</v>
      </c>
      <c r="F7" s="219"/>
      <c r="G7" s="219"/>
      <c r="H7" s="219"/>
      <c r="I7" s="336"/>
      <c r="J7" s="336"/>
      <c r="K7" s="336"/>
      <c r="L7" s="89"/>
      <c r="M7" s="89" t="str">
        <f t="shared" si="1"/>
        <v>jimmy.dixon@ncleg.net</v>
      </c>
      <c r="N7" s="89"/>
      <c r="O7" s="89"/>
      <c r="P7" s="89"/>
      <c r="Q7" s="89"/>
      <c r="R7" s="89"/>
      <c r="T7" t="str">
        <f t="shared" si="2"/>
        <v>Representative</v>
      </c>
      <c r="U7" t="str">
        <f t="shared" si="3"/>
        <v>Dixon</v>
      </c>
      <c r="V7" t="str">
        <f t="shared" si="4"/>
        <v>jimmy.dixon@ncleg.net</v>
      </c>
    </row>
    <row r="8">
      <c r="A8" s="14" t="s">
        <v>44</v>
      </c>
      <c r="B8" s="31">
        <v>5.0</v>
      </c>
      <c r="C8" s="74" t="s">
        <v>297</v>
      </c>
      <c r="D8" s="78" t="s">
        <v>2354</v>
      </c>
      <c r="E8" s="36" t="s">
        <v>49</v>
      </c>
      <c r="F8" s="219"/>
      <c r="G8" s="219"/>
      <c r="H8" s="336"/>
      <c r="I8" s="336"/>
      <c r="J8" s="336"/>
      <c r="K8" s="336"/>
      <c r="L8" s="89"/>
      <c r="M8" s="89" t="str">
        <f t="shared" si="1"/>
        <v>howard.hunter@ncleg.net</v>
      </c>
      <c r="N8" s="89"/>
      <c r="O8" s="89"/>
      <c r="P8" s="89"/>
      <c r="Q8" s="89"/>
      <c r="R8" s="89"/>
      <c r="T8" t="str">
        <f t="shared" si="2"/>
        <v/>
      </c>
      <c r="U8" t="str">
        <f t="shared" si="3"/>
        <v/>
      </c>
      <c r="V8" t="str">
        <f t="shared" si="4"/>
        <v/>
      </c>
    </row>
    <row r="9">
      <c r="A9" s="14" t="s">
        <v>44</v>
      </c>
      <c r="B9" s="31">
        <v>6.0</v>
      </c>
      <c r="C9" s="35" t="s">
        <v>1134</v>
      </c>
      <c r="D9" s="35" t="s">
        <v>9746</v>
      </c>
      <c r="E9" s="51" t="s">
        <v>53</v>
      </c>
      <c r="F9" s="219"/>
      <c r="G9" s="219"/>
      <c r="H9" s="336"/>
      <c r="I9" s="336"/>
      <c r="J9" s="336"/>
      <c r="K9" s="336"/>
      <c r="L9" s="89"/>
      <c r="M9" s="89" t="str">
        <f t="shared" si="1"/>
        <v>robert.hanig@ncleg.net</v>
      </c>
      <c r="N9" s="89"/>
      <c r="O9" s="89"/>
      <c r="P9" s="89"/>
      <c r="Q9" s="89"/>
      <c r="R9" s="89"/>
      <c r="T9" t="str">
        <f t="shared" si="2"/>
        <v>Representative</v>
      </c>
      <c r="U9" t="str">
        <f t="shared" si="3"/>
        <v>Hanig</v>
      </c>
      <c r="V9" t="str">
        <f t="shared" si="4"/>
        <v>robert.hanig@ncleg.net</v>
      </c>
    </row>
    <row r="10">
      <c r="A10" s="14" t="s">
        <v>44</v>
      </c>
      <c r="B10" s="31">
        <v>7.0</v>
      </c>
      <c r="C10" s="35" t="s">
        <v>432</v>
      </c>
      <c r="D10" s="35" t="s">
        <v>6297</v>
      </c>
      <c r="E10" s="51" t="s">
        <v>53</v>
      </c>
      <c r="F10" s="219"/>
      <c r="G10" s="219"/>
      <c r="H10" s="336"/>
      <c r="I10" s="336"/>
      <c r="J10" s="336"/>
      <c r="K10" s="336"/>
      <c r="L10" s="89"/>
      <c r="M10" s="89" t="str">
        <f t="shared" si="1"/>
        <v>lisa.barnes@ncleg.net</v>
      </c>
      <c r="N10" s="89"/>
      <c r="O10" s="89"/>
      <c r="P10" s="89"/>
      <c r="Q10" s="89"/>
      <c r="R10" s="89"/>
      <c r="T10" t="str">
        <f t="shared" si="2"/>
        <v>Representative</v>
      </c>
      <c r="U10" t="str">
        <f t="shared" si="3"/>
        <v>Barnes</v>
      </c>
      <c r="V10" t="str">
        <f t="shared" si="4"/>
        <v>lisa.barnes@ncleg.net</v>
      </c>
    </row>
    <row r="11">
      <c r="A11" s="14" t="s">
        <v>44</v>
      </c>
      <c r="B11" s="31">
        <v>8.0</v>
      </c>
      <c r="C11" s="74" t="s">
        <v>9748</v>
      </c>
      <c r="D11" s="74" t="s">
        <v>1451</v>
      </c>
      <c r="E11" s="36" t="s">
        <v>49</v>
      </c>
      <c r="F11" s="219"/>
      <c r="G11" s="219"/>
      <c r="H11" s="336"/>
      <c r="I11" s="336"/>
      <c r="J11" s="336"/>
      <c r="K11" s="336"/>
      <c r="L11" s="89"/>
      <c r="M11" s="89" t="str">
        <f t="shared" si="1"/>
        <v>kandie.smith@ncleg.net</v>
      </c>
      <c r="N11" s="89"/>
      <c r="O11" s="89"/>
      <c r="P11" s="89"/>
      <c r="Q11" s="89"/>
      <c r="R11" s="89"/>
      <c r="T11" t="str">
        <f t="shared" si="2"/>
        <v/>
      </c>
      <c r="U11" t="str">
        <f t="shared" si="3"/>
        <v/>
      </c>
      <c r="V11" t="str">
        <f t="shared" si="4"/>
        <v/>
      </c>
    </row>
    <row r="12">
      <c r="A12" s="14" t="s">
        <v>44</v>
      </c>
      <c r="B12" s="31">
        <v>9.0</v>
      </c>
      <c r="C12" s="35" t="s">
        <v>823</v>
      </c>
      <c r="D12" s="38" t="s">
        <v>3019</v>
      </c>
      <c r="E12" s="51" t="s">
        <v>53</v>
      </c>
      <c r="F12" s="219"/>
      <c r="G12" s="219"/>
      <c r="H12" s="336"/>
      <c r="I12" s="336"/>
      <c r="J12" s="336"/>
      <c r="K12" s="336"/>
      <c r="L12" s="89"/>
      <c r="M12" s="89" t="str">
        <f t="shared" si="1"/>
        <v>gregory.murphy@ncleg.net</v>
      </c>
      <c r="N12" s="89"/>
      <c r="O12" s="89"/>
      <c r="P12" s="89"/>
      <c r="Q12" s="89"/>
      <c r="R12" s="89"/>
      <c r="T12" t="str">
        <f t="shared" si="2"/>
        <v>Representative</v>
      </c>
      <c r="U12" t="str">
        <f t="shared" si="3"/>
        <v>Murphy</v>
      </c>
      <c r="V12" t="str">
        <f t="shared" si="4"/>
        <v>gregory.murphy@ncleg.net</v>
      </c>
    </row>
    <row r="13">
      <c r="A13" s="14" t="s">
        <v>44</v>
      </c>
      <c r="B13" s="31">
        <v>10.0</v>
      </c>
      <c r="C13" s="35" t="s">
        <v>278</v>
      </c>
      <c r="D13" s="38" t="s">
        <v>3007</v>
      </c>
      <c r="E13" s="51" t="s">
        <v>53</v>
      </c>
      <c r="F13" s="194" t="s">
        <v>176</v>
      </c>
      <c r="G13" s="219"/>
      <c r="H13" s="336"/>
      <c r="I13" s="336"/>
      <c r="J13" s="336"/>
      <c r="K13" s="336"/>
      <c r="L13" s="89"/>
      <c r="M13" s="89" t="str">
        <f t="shared" si="1"/>
        <v>john.bell@ncleg.net</v>
      </c>
      <c r="N13" s="89"/>
      <c r="O13" s="89"/>
      <c r="P13" s="89"/>
      <c r="Q13" s="89"/>
      <c r="R13" s="89"/>
      <c r="T13" t="str">
        <f t="shared" si="2"/>
        <v>Representative</v>
      </c>
      <c r="U13" t="str">
        <f t="shared" si="3"/>
        <v>Bell</v>
      </c>
      <c r="V13" t="str">
        <f t="shared" si="4"/>
        <v>john.bell@ncleg.net</v>
      </c>
    </row>
    <row r="14">
      <c r="A14" s="14" t="s">
        <v>44</v>
      </c>
      <c r="B14" s="31">
        <v>11.0</v>
      </c>
      <c r="C14" s="35" t="s">
        <v>6056</v>
      </c>
      <c r="D14" s="35" t="s">
        <v>1363</v>
      </c>
      <c r="E14" s="36" t="s">
        <v>49</v>
      </c>
      <c r="F14" s="219"/>
      <c r="G14" s="219"/>
      <c r="H14" s="336"/>
      <c r="I14" s="336"/>
      <c r="J14" s="336"/>
      <c r="K14" s="336"/>
      <c r="L14" s="89"/>
      <c r="M14" s="89" t="str">
        <f t="shared" si="1"/>
        <v>allison.dahle@ncleg.net</v>
      </c>
      <c r="N14" s="89"/>
      <c r="O14" s="89"/>
      <c r="P14" s="89"/>
      <c r="Q14" s="89"/>
      <c r="R14" s="89"/>
      <c r="T14" t="str">
        <f t="shared" si="2"/>
        <v/>
      </c>
      <c r="U14" t="str">
        <f t="shared" si="3"/>
        <v/>
      </c>
      <c r="V14" t="str">
        <f t="shared" si="4"/>
        <v/>
      </c>
    </row>
    <row r="15">
      <c r="A15" s="14" t="s">
        <v>44</v>
      </c>
      <c r="B15" s="31">
        <v>12.0</v>
      </c>
      <c r="C15" s="35" t="s">
        <v>173</v>
      </c>
      <c r="D15" s="35" t="s">
        <v>2018</v>
      </c>
      <c r="E15" s="51" t="s">
        <v>53</v>
      </c>
      <c r="F15" s="194" t="s">
        <v>9751</v>
      </c>
      <c r="G15" s="219"/>
      <c r="H15" s="336"/>
      <c r="I15" s="336"/>
      <c r="J15" s="336"/>
      <c r="K15" s="336"/>
      <c r="L15" s="89"/>
      <c r="M15" s="89" t="str">
        <f t="shared" si="1"/>
        <v>chris.humphrey@ncleg.net</v>
      </c>
      <c r="N15" s="89"/>
      <c r="O15" s="89"/>
      <c r="P15" s="89"/>
      <c r="Q15" s="89"/>
      <c r="R15" s="89"/>
      <c r="T15" t="str">
        <f t="shared" si="2"/>
        <v>Representative</v>
      </c>
      <c r="U15" t="str">
        <f t="shared" si="3"/>
        <v>Humphrey</v>
      </c>
      <c r="V15" t="str">
        <f t="shared" si="4"/>
        <v>chris.humphrey@ncleg.net</v>
      </c>
    </row>
    <row r="16">
      <c r="A16" s="14" t="s">
        <v>44</v>
      </c>
      <c r="B16" s="31">
        <v>13.0</v>
      </c>
      <c r="C16" s="35" t="s">
        <v>2570</v>
      </c>
      <c r="D16" s="35" t="s">
        <v>9753</v>
      </c>
      <c r="E16" s="51" t="s">
        <v>53</v>
      </c>
      <c r="F16" s="194" t="s">
        <v>7119</v>
      </c>
      <c r="G16" s="219"/>
      <c r="H16" s="336"/>
      <c r="I16" s="336"/>
      <c r="J16" s="336"/>
      <c r="K16" s="336"/>
      <c r="L16" s="89"/>
      <c r="M16" s="89" t="str">
        <f t="shared" si="1"/>
        <v>pat.mcelraft@ncleg.net</v>
      </c>
      <c r="N16" s="89"/>
      <c r="O16" s="89"/>
      <c r="P16" s="89"/>
      <c r="Q16" s="89"/>
      <c r="R16" s="89"/>
      <c r="T16" t="str">
        <f t="shared" si="2"/>
        <v>Representative</v>
      </c>
      <c r="U16" t="str">
        <f t="shared" si="3"/>
        <v>McElraft</v>
      </c>
      <c r="V16" t="str">
        <f t="shared" si="4"/>
        <v>pat.mcelraft@ncleg.net</v>
      </c>
    </row>
    <row r="17">
      <c r="A17" s="14" t="s">
        <v>44</v>
      </c>
      <c r="B17" s="31">
        <v>14.0</v>
      </c>
      <c r="C17" s="35" t="s">
        <v>98</v>
      </c>
      <c r="D17" s="35" t="s">
        <v>9754</v>
      </c>
      <c r="E17" s="51" t="s">
        <v>53</v>
      </c>
      <c r="F17" s="219"/>
      <c r="G17" s="219"/>
      <c r="H17" s="336"/>
      <c r="I17" s="336"/>
      <c r="J17" s="336"/>
      <c r="K17" s="336"/>
      <c r="L17" s="89"/>
      <c r="M17" s="89" t="str">
        <f t="shared" si="1"/>
        <v>george.cleveland@ncleg.net</v>
      </c>
      <c r="N17" s="89"/>
      <c r="O17" s="89"/>
      <c r="P17" s="89"/>
      <c r="Q17" s="89"/>
      <c r="R17" s="89"/>
      <c r="T17" t="str">
        <f t="shared" si="2"/>
        <v>Representative</v>
      </c>
      <c r="U17" t="str">
        <f t="shared" si="3"/>
        <v>Cleveland</v>
      </c>
      <c r="V17" t="str">
        <f t="shared" si="4"/>
        <v>george.cleveland@ncleg.net</v>
      </c>
    </row>
    <row r="18">
      <c r="A18" s="14" t="s">
        <v>44</v>
      </c>
      <c r="B18" s="31">
        <v>15.0</v>
      </c>
      <c r="C18" s="35" t="s">
        <v>1483</v>
      </c>
      <c r="D18" s="35" t="s">
        <v>9756</v>
      </c>
      <c r="E18" s="51" t="s">
        <v>53</v>
      </c>
      <c r="F18" s="219"/>
      <c r="G18" s="219"/>
      <c r="H18" s="336"/>
      <c r="I18" s="336"/>
      <c r="J18" s="336"/>
      <c r="K18" s="336"/>
      <c r="L18" s="89"/>
      <c r="M18" s="89" t="str">
        <f t="shared" si="1"/>
        <v>phil.shepard@ncleg.net</v>
      </c>
      <c r="N18" s="89"/>
      <c r="O18" s="89"/>
      <c r="P18" s="89"/>
      <c r="Q18" s="89"/>
      <c r="R18" s="89"/>
      <c r="T18" t="str">
        <f t="shared" si="2"/>
        <v>Representative</v>
      </c>
      <c r="U18" t="str">
        <f t="shared" si="3"/>
        <v>Shepard</v>
      </c>
      <c r="V18" t="str">
        <f t="shared" si="4"/>
        <v>phil.shepard@ncleg.net</v>
      </c>
    </row>
    <row r="19">
      <c r="A19" s="14" t="s">
        <v>44</v>
      </c>
      <c r="B19" s="31">
        <v>16.0</v>
      </c>
      <c r="C19" s="74" t="s">
        <v>3357</v>
      </c>
      <c r="D19" s="74" t="s">
        <v>1451</v>
      </c>
      <c r="E19" s="51" t="s">
        <v>53</v>
      </c>
      <c r="F19" s="219"/>
      <c r="G19" s="219"/>
      <c r="H19" s="336"/>
      <c r="I19" s="336"/>
      <c r="J19" s="336"/>
      <c r="K19" s="336"/>
      <c r="L19" s="89"/>
      <c r="M19" s="89" t="str">
        <f t="shared" si="1"/>
        <v>carson.smith@ncleg.net</v>
      </c>
      <c r="N19" s="89"/>
      <c r="O19" s="89"/>
      <c r="P19" s="89"/>
      <c r="Q19" s="89"/>
      <c r="R19" s="89"/>
      <c r="T19" t="str">
        <f t="shared" si="2"/>
        <v>Representative</v>
      </c>
      <c r="U19" t="str">
        <f t="shared" si="3"/>
        <v>Smith</v>
      </c>
      <c r="V19" t="str">
        <f t="shared" si="4"/>
        <v>carson.smith@ncleg.net</v>
      </c>
    </row>
    <row r="20">
      <c r="A20" s="14" t="s">
        <v>44</v>
      </c>
      <c r="B20" s="31">
        <v>17.0</v>
      </c>
      <c r="C20" s="35" t="s">
        <v>1000</v>
      </c>
      <c r="D20" s="35" t="s">
        <v>9758</v>
      </c>
      <c r="E20" s="51" t="s">
        <v>53</v>
      </c>
      <c r="F20" s="219"/>
      <c r="G20" s="219"/>
      <c r="H20" s="336"/>
      <c r="I20" s="336"/>
      <c r="J20" s="336"/>
      <c r="K20" s="336"/>
      <c r="L20" s="89"/>
      <c r="M20" s="89" t="str">
        <f t="shared" si="1"/>
        <v>frank.iler@ncleg.net</v>
      </c>
      <c r="N20" s="89"/>
      <c r="O20" s="89"/>
      <c r="P20" s="89"/>
      <c r="Q20" s="89"/>
      <c r="R20" s="89"/>
      <c r="T20" t="str">
        <f t="shared" si="2"/>
        <v>Representative</v>
      </c>
      <c r="U20" t="str">
        <f t="shared" si="3"/>
        <v>Iler</v>
      </c>
      <c r="V20" t="str">
        <f t="shared" si="4"/>
        <v>frank.iler@ncleg.net</v>
      </c>
    </row>
    <row r="21">
      <c r="A21" s="14" t="s">
        <v>44</v>
      </c>
      <c r="B21" s="31">
        <v>18.0</v>
      </c>
      <c r="C21" s="74" t="s">
        <v>7370</v>
      </c>
      <c r="D21" s="74" t="s">
        <v>1102</v>
      </c>
      <c r="E21" s="36" t="s">
        <v>49</v>
      </c>
      <c r="F21" s="194" t="s">
        <v>4802</v>
      </c>
      <c r="G21" s="219"/>
      <c r="H21" s="336"/>
      <c r="I21" s="336"/>
      <c r="J21" s="336"/>
      <c r="K21" s="336"/>
      <c r="L21" s="89"/>
      <c r="M21" s="89" t="str">
        <f t="shared" si="1"/>
        <v>deb.butler@ncleg.net</v>
      </c>
      <c r="N21" s="89"/>
      <c r="O21" s="89"/>
      <c r="P21" s="89"/>
      <c r="Q21" s="89"/>
      <c r="R21" s="89"/>
      <c r="T21" t="str">
        <f t="shared" si="2"/>
        <v/>
      </c>
      <c r="U21" t="str">
        <f t="shared" si="3"/>
        <v/>
      </c>
      <c r="V21" t="str">
        <f t="shared" si="4"/>
        <v/>
      </c>
    </row>
    <row r="22">
      <c r="A22" s="14" t="s">
        <v>44</v>
      </c>
      <c r="B22" s="31">
        <v>19.0</v>
      </c>
      <c r="C22" s="74" t="s">
        <v>1998</v>
      </c>
      <c r="D22" s="78" t="s">
        <v>1254</v>
      </c>
      <c r="E22" s="51" t="s">
        <v>53</v>
      </c>
      <c r="F22" s="219"/>
      <c r="G22" s="219"/>
      <c r="H22" s="336"/>
      <c r="I22" s="336"/>
      <c r="J22" s="336"/>
      <c r="K22" s="336"/>
      <c r="L22" s="89"/>
      <c r="M22" s="89" t="str">
        <f t="shared" si="1"/>
        <v>ted.davis@ncleg.net</v>
      </c>
      <c r="N22" s="89"/>
      <c r="O22" s="89"/>
      <c r="P22" s="89"/>
      <c r="Q22" s="89"/>
      <c r="R22" s="89"/>
      <c r="T22" t="str">
        <f t="shared" si="2"/>
        <v>Representative</v>
      </c>
      <c r="U22" t="str">
        <f t="shared" si="3"/>
        <v>Davis</v>
      </c>
      <c r="V22" t="str">
        <f t="shared" si="4"/>
        <v>ted.davis@ncleg.net</v>
      </c>
    </row>
    <row r="23">
      <c r="A23" s="14" t="s">
        <v>44</v>
      </c>
      <c r="B23" s="31">
        <v>20.0</v>
      </c>
      <c r="C23" s="74" t="s">
        <v>2202</v>
      </c>
      <c r="D23" s="74" t="s">
        <v>9760</v>
      </c>
      <c r="E23" s="51" t="s">
        <v>53</v>
      </c>
      <c r="F23" s="194" t="s">
        <v>9761</v>
      </c>
      <c r="G23" s="219"/>
      <c r="H23" s="336"/>
      <c r="I23" s="336"/>
      <c r="J23" s="336"/>
      <c r="K23" s="336"/>
      <c r="L23" s="89"/>
      <c r="M23" s="89" t="str">
        <f t="shared" si="1"/>
        <v>holly.grange@ncleg.net</v>
      </c>
      <c r="N23" s="89"/>
      <c r="O23" s="89"/>
      <c r="P23" s="89"/>
      <c r="Q23" s="89"/>
      <c r="R23" s="89"/>
      <c r="T23" t="str">
        <f t="shared" si="2"/>
        <v>Representative</v>
      </c>
      <c r="U23" t="str">
        <f t="shared" si="3"/>
        <v>Grange</v>
      </c>
      <c r="V23" t="str">
        <f t="shared" si="4"/>
        <v>holly.grange@ncleg.net</v>
      </c>
    </row>
    <row r="24">
      <c r="A24" s="14" t="s">
        <v>44</v>
      </c>
      <c r="B24" s="31">
        <v>21.0</v>
      </c>
      <c r="C24" s="35" t="s">
        <v>2609</v>
      </c>
      <c r="D24" s="35" t="s">
        <v>1451</v>
      </c>
      <c r="E24" s="36" t="s">
        <v>49</v>
      </c>
      <c r="F24" s="219"/>
      <c r="G24" s="219"/>
      <c r="H24" s="336"/>
      <c r="I24" s="336"/>
      <c r="J24" s="336"/>
      <c r="K24" s="336"/>
      <c r="L24" s="89"/>
      <c r="M24" s="89" t="str">
        <f t="shared" si="1"/>
        <v>raymond.smith@ncleg.net</v>
      </c>
      <c r="N24" s="89"/>
      <c r="O24" s="89"/>
      <c r="P24" s="89"/>
      <c r="Q24" s="89"/>
      <c r="R24" s="89"/>
      <c r="T24" t="str">
        <f t="shared" si="2"/>
        <v/>
      </c>
      <c r="U24" t="str">
        <f t="shared" si="3"/>
        <v/>
      </c>
      <c r="V24" t="str">
        <f t="shared" si="4"/>
        <v/>
      </c>
    </row>
    <row r="25">
      <c r="A25" s="14" t="s">
        <v>44</v>
      </c>
      <c r="B25" s="31">
        <v>22.0</v>
      </c>
      <c r="C25" s="35" t="s">
        <v>1058</v>
      </c>
      <c r="D25" s="35" t="s">
        <v>9763</v>
      </c>
      <c r="E25" s="51" t="s">
        <v>53</v>
      </c>
      <c r="F25" s="219"/>
      <c r="G25" s="219"/>
      <c r="H25" s="336"/>
      <c r="I25" s="336"/>
      <c r="J25" s="336"/>
      <c r="K25" s="336"/>
      <c r="L25" s="89"/>
      <c r="M25" s="89" t="str">
        <f t="shared" si="1"/>
        <v>william.brisson@ncleg.net</v>
      </c>
      <c r="N25" s="89"/>
      <c r="O25" s="89"/>
      <c r="P25" s="89"/>
      <c r="Q25" s="89"/>
      <c r="R25" s="89"/>
      <c r="T25" t="str">
        <f t="shared" si="2"/>
        <v>Representative</v>
      </c>
      <c r="U25" t="str">
        <f t="shared" si="3"/>
        <v>Brisson</v>
      </c>
      <c r="V25" t="str">
        <f t="shared" si="4"/>
        <v>william.brisson@ncleg.net</v>
      </c>
    </row>
    <row r="26">
      <c r="A26" s="14" t="s">
        <v>44</v>
      </c>
      <c r="B26" s="31">
        <v>23.0</v>
      </c>
      <c r="C26" s="35" t="s">
        <v>3698</v>
      </c>
      <c r="D26" s="35" t="s">
        <v>9766</v>
      </c>
      <c r="E26" s="36" t="s">
        <v>49</v>
      </c>
      <c r="F26" s="219"/>
      <c r="G26" s="219"/>
      <c r="H26" s="336"/>
      <c r="I26" s="336"/>
      <c r="J26" s="336"/>
      <c r="K26" s="336"/>
      <c r="L26" s="89"/>
      <c r="M26" s="89" t="str">
        <f t="shared" si="1"/>
        <v>shelly.willingham@ncleg.net</v>
      </c>
      <c r="N26" s="89"/>
      <c r="O26" s="89"/>
      <c r="P26" s="89"/>
      <c r="Q26" s="89"/>
      <c r="R26" s="89"/>
      <c r="T26" t="str">
        <f t="shared" si="2"/>
        <v/>
      </c>
      <c r="U26" t="str">
        <f t="shared" si="3"/>
        <v/>
      </c>
      <c r="V26" t="str">
        <f t="shared" si="4"/>
        <v/>
      </c>
    </row>
    <row r="27">
      <c r="A27" s="14" t="s">
        <v>44</v>
      </c>
      <c r="B27" s="31">
        <v>24.0</v>
      </c>
      <c r="C27" s="35" t="s">
        <v>837</v>
      </c>
      <c r="D27" s="35" t="s">
        <v>9767</v>
      </c>
      <c r="E27" s="36" t="s">
        <v>49</v>
      </c>
      <c r="F27" s="219"/>
      <c r="G27" s="219"/>
      <c r="H27" s="336"/>
      <c r="I27" s="336"/>
      <c r="J27" s="336"/>
      <c r="K27" s="336"/>
      <c r="L27" s="89"/>
      <c r="M27" s="89" t="str">
        <f t="shared" si="1"/>
        <v>jean.farmer-butterfield@ncleg.net</v>
      </c>
      <c r="N27" s="89"/>
      <c r="O27" s="89"/>
      <c r="P27" s="89"/>
      <c r="Q27" s="89"/>
      <c r="R27" s="89"/>
      <c r="T27" t="str">
        <f t="shared" si="2"/>
        <v/>
      </c>
      <c r="U27" t="str">
        <f t="shared" si="3"/>
        <v/>
      </c>
      <c r="V27" t="str">
        <f t="shared" si="4"/>
        <v/>
      </c>
    </row>
    <row r="28">
      <c r="A28" s="14" t="s">
        <v>44</v>
      </c>
      <c r="B28" s="31">
        <v>25.0</v>
      </c>
      <c r="C28" s="35" t="s">
        <v>930</v>
      </c>
      <c r="D28" s="35" t="s">
        <v>9768</v>
      </c>
      <c r="E28" s="36" t="s">
        <v>49</v>
      </c>
      <c r="F28" s="219"/>
      <c r="G28" s="219"/>
      <c r="H28" s="336"/>
      <c r="I28" s="336"/>
      <c r="J28" s="336"/>
      <c r="K28" s="336"/>
      <c r="L28" s="89"/>
      <c r="M28" s="89" t="str">
        <f t="shared" si="1"/>
        <v>james.gailliard@ncleg.net</v>
      </c>
      <c r="N28" s="89"/>
      <c r="O28" s="89"/>
      <c r="P28" s="89"/>
      <c r="Q28" s="89"/>
      <c r="R28" s="89"/>
      <c r="T28" t="str">
        <f t="shared" si="2"/>
        <v/>
      </c>
      <c r="U28" t="str">
        <f t="shared" si="3"/>
        <v/>
      </c>
      <c r="V28" t="str">
        <f t="shared" si="4"/>
        <v/>
      </c>
    </row>
    <row r="29">
      <c r="A29" s="14" t="s">
        <v>44</v>
      </c>
      <c r="B29" s="31">
        <v>26.0</v>
      </c>
      <c r="C29" s="74" t="s">
        <v>3404</v>
      </c>
      <c r="D29" s="74" t="s">
        <v>6034</v>
      </c>
      <c r="E29" s="51" t="s">
        <v>53</v>
      </c>
      <c r="F29" s="219"/>
      <c r="G29" s="219"/>
      <c r="H29" s="336"/>
      <c r="I29" s="336"/>
      <c r="J29" s="336"/>
      <c r="K29" s="336"/>
      <c r="L29" s="89"/>
      <c r="M29" s="89" t="str">
        <f t="shared" si="1"/>
        <v>donna.white@ncleg.net</v>
      </c>
      <c r="N29" s="89"/>
      <c r="O29" s="89"/>
      <c r="P29" s="89"/>
      <c r="Q29" s="89"/>
      <c r="R29" s="89"/>
      <c r="T29" t="str">
        <f t="shared" si="2"/>
        <v>Representative</v>
      </c>
      <c r="U29" t="str">
        <f t="shared" si="3"/>
        <v>White</v>
      </c>
      <c r="V29" t="str">
        <f t="shared" si="4"/>
        <v>donna.white@ncleg.net</v>
      </c>
    </row>
    <row r="30">
      <c r="A30" s="14" t="s">
        <v>44</v>
      </c>
      <c r="B30" s="31">
        <v>27.0</v>
      </c>
      <c r="C30" s="35" t="s">
        <v>2490</v>
      </c>
      <c r="D30" s="35" t="s">
        <v>9773</v>
      </c>
      <c r="E30" s="36" t="s">
        <v>49</v>
      </c>
      <c r="F30" s="219"/>
      <c r="G30" s="219"/>
      <c r="H30" s="336"/>
      <c r="I30" s="336"/>
      <c r="J30" s="336"/>
      <c r="K30" s="336"/>
      <c r="L30" s="89"/>
      <c r="M30" s="89" t="str">
        <f t="shared" si="1"/>
        <v>michael.wray@ncleg.net</v>
      </c>
      <c r="N30" s="89"/>
      <c r="O30" s="89"/>
      <c r="P30" s="89"/>
      <c r="Q30" s="89"/>
      <c r="R30" s="89"/>
      <c r="T30" t="str">
        <f t="shared" si="2"/>
        <v/>
      </c>
      <c r="U30" t="str">
        <f t="shared" si="3"/>
        <v/>
      </c>
      <c r="V30" t="str">
        <f t="shared" si="4"/>
        <v/>
      </c>
    </row>
    <row r="31">
      <c r="A31" s="14" t="s">
        <v>44</v>
      </c>
      <c r="B31" s="31">
        <v>28.0</v>
      </c>
      <c r="C31" s="74" t="s">
        <v>839</v>
      </c>
      <c r="D31" s="74" t="s">
        <v>4470</v>
      </c>
      <c r="E31" s="51" t="s">
        <v>53</v>
      </c>
      <c r="F31" s="219"/>
      <c r="G31" s="219"/>
      <c r="H31" s="336"/>
      <c r="I31" s="336"/>
      <c r="J31" s="336"/>
      <c r="K31" s="336"/>
      <c r="L31" s="89"/>
      <c r="M31" s="89" t="str">
        <f t="shared" si="1"/>
        <v>larry.strickland@ncleg.net</v>
      </c>
      <c r="N31" s="89"/>
      <c r="O31" s="89"/>
      <c r="P31" s="89"/>
      <c r="Q31" s="89"/>
      <c r="R31" s="89"/>
      <c r="T31" t="str">
        <f t="shared" si="2"/>
        <v>Representative</v>
      </c>
      <c r="U31" t="str">
        <f t="shared" si="3"/>
        <v>Strickland</v>
      </c>
      <c r="V31" t="str">
        <f t="shared" si="4"/>
        <v>larry.strickland@ncleg.net</v>
      </c>
    </row>
    <row r="32">
      <c r="A32" s="14" t="s">
        <v>44</v>
      </c>
      <c r="B32" s="31">
        <v>29.0</v>
      </c>
      <c r="C32" s="74" t="s">
        <v>6381</v>
      </c>
      <c r="D32" s="74" t="s">
        <v>4384</v>
      </c>
      <c r="E32" s="36" t="s">
        <v>49</v>
      </c>
      <c r="F32" s="219"/>
      <c r="G32" s="219"/>
      <c r="H32" s="336"/>
      <c r="I32" s="336"/>
      <c r="J32" s="336"/>
      <c r="K32" s="336"/>
      <c r="L32" s="89"/>
      <c r="M32" s="89" t="str">
        <f t="shared" si="1"/>
        <v>maryann.black@ncleg.net</v>
      </c>
      <c r="N32" s="89"/>
      <c r="O32" s="89"/>
      <c r="P32" s="89"/>
      <c r="Q32" s="89"/>
      <c r="R32" s="89"/>
      <c r="T32" t="str">
        <f t="shared" si="2"/>
        <v/>
      </c>
      <c r="U32" t="str">
        <f t="shared" si="3"/>
        <v/>
      </c>
      <c r="V32" t="str">
        <f t="shared" si="4"/>
        <v/>
      </c>
    </row>
    <row r="33">
      <c r="A33" s="14" t="s">
        <v>44</v>
      </c>
      <c r="B33" s="31">
        <v>30.0</v>
      </c>
      <c r="C33" s="74" t="s">
        <v>9776</v>
      </c>
      <c r="D33" s="74" t="s">
        <v>9777</v>
      </c>
      <c r="E33" s="36" t="s">
        <v>49</v>
      </c>
      <c r="F33" s="219"/>
      <c r="G33" s="219"/>
      <c r="H33" s="336"/>
      <c r="I33" s="336"/>
      <c r="J33" s="336"/>
      <c r="K33" s="336"/>
      <c r="L33" s="89"/>
      <c r="M33" s="89" t="str">
        <f t="shared" si="1"/>
        <v>marcia.morey@ncleg.net</v>
      </c>
      <c r="N33" s="89"/>
      <c r="O33" s="89"/>
      <c r="P33" s="89"/>
      <c r="Q33" s="89"/>
      <c r="R33" s="89"/>
      <c r="T33" t="str">
        <f t="shared" si="2"/>
        <v/>
      </c>
      <c r="U33" t="str">
        <f t="shared" si="3"/>
        <v/>
      </c>
      <c r="V33" t="str">
        <f t="shared" si="4"/>
        <v/>
      </c>
    </row>
    <row r="34">
      <c r="A34" s="14" t="s">
        <v>44</v>
      </c>
      <c r="B34" s="31">
        <v>31.0</v>
      </c>
      <c r="C34" s="35" t="s">
        <v>161</v>
      </c>
      <c r="D34" s="35" t="s">
        <v>9778</v>
      </c>
      <c r="E34" s="36" t="s">
        <v>49</v>
      </c>
      <c r="F34" s="219"/>
      <c r="G34" s="219"/>
      <c r="H34" s="336"/>
      <c r="I34" s="336"/>
      <c r="J34" s="336"/>
      <c r="K34" s="336"/>
      <c r="L34" s="89"/>
      <c r="M34" s="89" t="str">
        <f t="shared" si="1"/>
        <v>zack.forde-hawkins@ncleg.net</v>
      </c>
      <c r="N34" s="89"/>
      <c r="O34" s="89"/>
      <c r="P34" s="89"/>
      <c r="Q34" s="89"/>
      <c r="R34" s="89"/>
      <c r="T34" t="str">
        <f t="shared" si="2"/>
        <v/>
      </c>
      <c r="U34" t="str">
        <f t="shared" si="3"/>
        <v/>
      </c>
      <c r="V34" t="str">
        <f t="shared" si="4"/>
        <v/>
      </c>
    </row>
    <row r="35">
      <c r="A35" s="14" t="s">
        <v>44</v>
      </c>
      <c r="B35" s="31">
        <v>32.0</v>
      </c>
      <c r="C35" s="74" t="s">
        <v>1990</v>
      </c>
      <c r="D35" s="74" t="s">
        <v>9780</v>
      </c>
      <c r="E35" s="36" t="s">
        <v>49</v>
      </c>
      <c r="F35" s="219"/>
      <c r="G35" s="219"/>
      <c r="H35" s="336"/>
      <c r="I35" s="336"/>
      <c r="J35" s="336"/>
      <c r="K35" s="336"/>
      <c r="L35" s="89"/>
      <c r="M35" s="89" t="str">
        <f t="shared" si="1"/>
        <v>terry.garrison@ncleg.net</v>
      </c>
      <c r="N35" s="89"/>
      <c r="O35" s="89"/>
      <c r="P35" s="89"/>
      <c r="Q35" s="89"/>
      <c r="R35" s="89"/>
      <c r="T35" t="str">
        <f t="shared" si="2"/>
        <v/>
      </c>
      <c r="U35" t="str">
        <f t="shared" si="3"/>
        <v/>
      </c>
      <c r="V35" t="str">
        <f t="shared" si="4"/>
        <v/>
      </c>
    </row>
    <row r="36">
      <c r="A36" s="14" t="s">
        <v>44</v>
      </c>
      <c r="B36" s="31">
        <v>33.0</v>
      </c>
      <c r="C36" s="35" t="s">
        <v>2595</v>
      </c>
      <c r="D36" s="35" t="s">
        <v>9568</v>
      </c>
      <c r="E36" s="36" t="s">
        <v>49</v>
      </c>
      <c r="F36" s="219"/>
      <c r="G36" s="219"/>
      <c r="H36" s="336"/>
      <c r="I36" s="336"/>
      <c r="J36" s="336"/>
      <c r="K36" s="336"/>
      <c r="L36" s="89"/>
      <c r="M36" s="89" t="str">
        <f t="shared" si="1"/>
        <v>rosa.gill@ncleg.net</v>
      </c>
      <c r="N36" s="89"/>
      <c r="O36" s="89"/>
      <c r="P36" s="89"/>
      <c r="Q36" s="89"/>
      <c r="R36" s="89"/>
      <c r="T36" t="str">
        <f t="shared" si="2"/>
        <v/>
      </c>
      <c r="U36" t="str">
        <f t="shared" si="3"/>
        <v/>
      </c>
      <c r="V36" t="str">
        <f t="shared" si="4"/>
        <v/>
      </c>
    </row>
    <row r="37">
      <c r="A37" s="14" t="s">
        <v>44</v>
      </c>
      <c r="B37" s="31">
        <v>34.0</v>
      </c>
      <c r="C37" s="35" t="s">
        <v>67</v>
      </c>
      <c r="D37" s="35" t="s">
        <v>456</v>
      </c>
      <c r="E37" s="36" t="s">
        <v>49</v>
      </c>
      <c r="F37" s="219"/>
      <c r="G37" s="219"/>
      <c r="H37" s="336"/>
      <c r="I37" s="336"/>
      <c r="J37" s="336"/>
      <c r="K37" s="336"/>
      <c r="L37" s="89"/>
      <c r="M37" s="89" t="str">
        <f t="shared" si="1"/>
        <v>grier.martin@ncleg.net</v>
      </c>
      <c r="N37" s="89"/>
      <c r="O37" s="89"/>
      <c r="P37" s="89"/>
      <c r="Q37" s="89"/>
      <c r="R37" s="89"/>
      <c r="T37" t="str">
        <f t="shared" si="2"/>
        <v/>
      </c>
      <c r="U37" t="str">
        <f t="shared" si="3"/>
        <v/>
      </c>
      <c r="V37" t="str">
        <f t="shared" si="4"/>
        <v/>
      </c>
    </row>
    <row r="38">
      <c r="A38" s="14" t="s">
        <v>44</v>
      </c>
      <c r="B38" s="31">
        <v>35.0</v>
      </c>
      <c r="C38" s="35" t="s">
        <v>9786</v>
      </c>
      <c r="D38" s="35" t="s">
        <v>9787</v>
      </c>
      <c r="E38" s="36" t="s">
        <v>49</v>
      </c>
      <c r="F38" s="219"/>
      <c r="G38" s="219"/>
      <c r="H38" s="336"/>
      <c r="I38" s="336"/>
      <c r="J38" s="336"/>
      <c r="K38" s="336"/>
      <c r="L38" s="89"/>
      <c r="M38" s="89" t="str">
        <f t="shared" si="1"/>
        <v>terence.everitt@ncleg.net</v>
      </c>
      <c r="N38" s="89"/>
      <c r="O38" s="89"/>
      <c r="P38" s="89"/>
      <c r="Q38" s="89"/>
      <c r="R38" s="89"/>
      <c r="T38" t="str">
        <f t="shared" si="2"/>
        <v/>
      </c>
      <c r="U38" t="str">
        <f t="shared" si="3"/>
        <v/>
      </c>
      <c r="V38" t="str">
        <f t="shared" si="4"/>
        <v/>
      </c>
    </row>
    <row r="39">
      <c r="A39" s="14" t="s">
        <v>44</v>
      </c>
      <c r="B39" s="31">
        <v>36.0</v>
      </c>
      <c r="C39" s="35" t="s">
        <v>2133</v>
      </c>
      <c r="D39" s="35" t="s">
        <v>9788</v>
      </c>
      <c r="E39" s="36" t="s">
        <v>49</v>
      </c>
      <c r="F39" s="219"/>
      <c r="G39" s="219"/>
      <c r="H39" s="336"/>
      <c r="I39" s="336"/>
      <c r="J39" s="336"/>
      <c r="K39" s="336"/>
      <c r="L39" s="89"/>
      <c r="M39" s="89" t="str">
        <f t="shared" si="1"/>
        <v>julie.haefen@ncleg.net</v>
      </c>
      <c r="N39" s="89"/>
      <c r="O39" s="89"/>
      <c r="P39" s="89"/>
      <c r="Q39" s="89"/>
      <c r="R39" s="89"/>
      <c r="T39" t="str">
        <f t="shared" si="2"/>
        <v/>
      </c>
      <c r="U39" t="str">
        <f t="shared" si="3"/>
        <v/>
      </c>
      <c r="V39" t="str">
        <f t="shared" si="4"/>
        <v/>
      </c>
    </row>
    <row r="40">
      <c r="A40" s="14" t="s">
        <v>44</v>
      </c>
      <c r="B40" s="31">
        <v>37.0</v>
      </c>
      <c r="C40" s="74" t="s">
        <v>1756</v>
      </c>
      <c r="D40" s="74" t="s">
        <v>9789</v>
      </c>
      <c r="E40" s="36" t="s">
        <v>49</v>
      </c>
      <c r="F40" s="219"/>
      <c r="G40" s="219"/>
      <c r="H40" s="336"/>
      <c r="I40" s="336"/>
      <c r="J40" s="336"/>
      <c r="K40" s="336"/>
      <c r="L40" s="89"/>
      <c r="M40" s="89" t="str">
        <f t="shared" si="1"/>
        <v>sydney.batch@ncleg.net</v>
      </c>
      <c r="N40" s="89"/>
      <c r="O40" s="89"/>
      <c r="P40" s="89"/>
      <c r="Q40" s="89"/>
      <c r="R40" s="89"/>
      <c r="T40" t="str">
        <f t="shared" si="2"/>
        <v/>
      </c>
      <c r="U40" t="str">
        <f t="shared" si="3"/>
        <v/>
      </c>
      <c r="V40" t="str">
        <f t="shared" si="4"/>
        <v/>
      </c>
    </row>
    <row r="41">
      <c r="A41" s="14" t="s">
        <v>44</v>
      </c>
      <c r="B41" s="31">
        <v>38.0</v>
      </c>
      <c r="C41" s="74" t="s">
        <v>6647</v>
      </c>
      <c r="D41" s="74" t="s">
        <v>1090</v>
      </c>
      <c r="E41" s="36" t="s">
        <v>49</v>
      </c>
      <c r="F41" s="219"/>
      <c r="G41" s="219"/>
      <c r="H41" s="336"/>
      <c r="I41" s="336"/>
      <c r="J41" s="336"/>
      <c r="K41" s="336"/>
      <c r="L41" s="89"/>
      <c r="M41" s="89" t="str">
        <f t="shared" si="1"/>
        <v>yvonne.holley@ncleg.net</v>
      </c>
      <c r="N41" s="89"/>
      <c r="O41" s="89"/>
      <c r="P41" s="89"/>
      <c r="Q41" s="89"/>
      <c r="R41" s="89"/>
      <c r="T41" t="str">
        <f t="shared" si="2"/>
        <v/>
      </c>
      <c r="U41" t="str">
        <f t="shared" si="3"/>
        <v/>
      </c>
      <c r="V41" t="str">
        <f t="shared" si="4"/>
        <v/>
      </c>
    </row>
    <row r="42">
      <c r="A42" s="14" t="s">
        <v>44</v>
      </c>
      <c r="B42" s="31">
        <v>39.0</v>
      </c>
      <c r="C42" s="35" t="s">
        <v>3375</v>
      </c>
      <c r="D42" s="35" t="s">
        <v>567</v>
      </c>
      <c r="E42" s="36" t="s">
        <v>49</v>
      </c>
      <c r="F42" s="194" t="s">
        <v>9790</v>
      </c>
      <c r="G42" s="219"/>
      <c r="H42" s="336"/>
      <c r="I42" s="336"/>
      <c r="J42" s="336"/>
      <c r="K42" s="336"/>
      <c r="L42" s="89"/>
      <c r="M42" s="89" t="str">
        <f t="shared" si="1"/>
        <v>darren.jackson@ncleg.net</v>
      </c>
      <c r="N42" s="89"/>
      <c r="O42" s="89"/>
      <c r="P42" s="89"/>
      <c r="Q42" s="89"/>
      <c r="R42" s="89"/>
      <c r="T42" t="str">
        <f t="shared" si="2"/>
        <v/>
      </c>
      <c r="U42" t="str">
        <f t="shared" si="3"/>
        <v/>
      </c>
      <c r="V42" t="str">
        <f t="shared" si="4"/>
        <v/>
      </c>
    </row>
    <row r="43">
      <c r="A43" s="14" t="s">
        <v>44</v>
      </c>
      <c r="B43" s="31">
        <v>40.0</v>
      </c>
      <c r="C43" s="35" t="s">
        <v>622</v>
      </c>
      <c r="D43" s="35" t="s">
        <v>278</v>
      </c>
      <c r="E43" s="36" t="s">
        <v>49</v>
      </c>
      <c r="F43" s="219"/>
      <c r="G43" s="219"/>
      <c r="H43" s="336"/>
      <c r="I43" s="336"/>
      <c r="J43" s="336"/>
      <c r="K43" s="336"/>
      <c r="L43" s="89"/>
      <c r="M43" s="89" t="str">
        <f t="shared" si="1"/>
        <v>joe.john@ncleg.net</v>
      </c>
      <c r="N43" s="89"/>
      <c r="O43" s="89"/>
      <c r="P43" s="89"/>
      <c r="Q43" s="89"/>
      <c r="R43" s="89"/>
      <c r="T43" t="str">
        <f t="shared" si="2"/>
        <v/>
      </c>
      <c r="U43" t="str">
        <f t="shared" si="3"/>
        <v/>
      </c>
      <c r="V43" t="str">
        <f t="shared" si="4"/>
        <v/>
      </c>
    </row>
    <row r="44">
      <c r="A44" s="14" t="s">
        <v>44</v>
      </c>
      <c r="B44" s="31">
        <v>41.0</v>
      </c>
      <c r="C44" s="74" t="s">
        <v>2623</v>
      </c>
      <c r="D44" s="74" t="s">
        <v>9793</v>
      </c>
      <c r="E44" s="36" t="s">
        <v>49</v>
      </c>
      <c r="F44" s="219"/>
      <c r="G44" s="219"/>
      <c r="H44" s="336"/>
      <c r="I44" s="336"/>
      <c r="J44" s="336"/>
      <c r="K44" s="336"/>
      <c r="L44" s="89"/>
      <c r="M44" s="89" t="str">
        <f t="shared" si="1"/>
        <v>gale.adcock@ncleg.net</v>
      </c>
      <c r="N44" s="89"/>
      <c r="O44" s="89"/>
      <c r="P44" s="89"/>
      <c r="Q44" s="89"/>
      <c r="R44" s="89"/>
      <c r="T44" t="str">
        <f t="shared" si="2"/>
        <v/>
      </c>
      <c r="U44" t="str">
        <f t="shared" si="3"/>
        <v/>
      </c>
      <c r="V44" t="str">
        <f t="shared" si="4"/>
        <v/>
      </c>
    </row>
    <row r="45">
      <c r="A45" s="14" t="s">
        <v>44</v>
      </c>
      <c r="B45" s="31">
        <v>42.0</v>
      </c>
      <c r="C45" s="35" t="s">
        <v>6310</v>
      </c>
      <c r="D45" s="35" t="s">
        <v>4549</v>
      </c>
      <c r="E45" s="36" t="s">
        <v>49</v>
      </c>
      <c r="F45" s="219"/>
      <c r="G45" s="219"/>
      <c r="H45" s="336"/>
      <c r="I45" s="336"/>
      <c r="J45" s="336"/>
      <c r="K45" s="336"/>
      <c r="L45" s="89"/>
      <c r="M45" s="89" t="str">
        <f t="shared" si="1"/>
        <v>marvin.lucas@ncleg.net</v>
      </c>
      <c r="N45" s="89"/>
      <c r="O45" s="89"/>
      <c r="P45" s="89"/>
      <c r="Q45" s="89"/>
      <c r="R45" s="89"/>
      <c r="T45" t="str">
        <f t="shared" si="2"/>
        <v/>
      </c>
      <c r="U45" t="str">
        <f t="shared" si="3"/>
        <v/>
      </c>
      <c r="V45" t="str">
        <f t="shared" si="4"/>
        <v/>
      </c>
    </row>
    <row r="46">
      <c r="A46" s="14" t="s">
        <v>44</v>
      </c>
      <c r="B46" s="31">
        <v>43.0</v>
      </c>
      <c r="C46" s="35" t="s">
        <v>9794</v>
      </c>
      <c r="D46" s="35" t="s">
        <v>9795</v>
      </c>
      <c r="E46" s="36" t="s">
        <v>49</v>
      </c>
      <c r="F46" s="219"/>
      <c r="G46" s="219"/>
      <c r="H46" s="336"/>
      <c r="I46" s="336"/>
      <c r="J46" s="336"/>
      <c r="K46" s="336"/>
      <c r="L46" s="89"/>
      <c r="M46" s="89" t="str">
        <f t="shared" si="1"/>
        <v>elmer.floyd@ncleg.net</v>
      </c>
      <c r="N46" s="89"/>
      <c r="O46" s="89"/>
      <c r="P46" s="89"/>
      <c r="Q46" s="89"/>
      <c r="R46" s="89"/>
      <c r="T46" t="str">
        <f t="shared" si="2"/>
        <v/>
      </c>
      <c r="U46" t="str">
        <f t="shared" si="3"/>
        <v/>
      </c>
      <c r="V46" t="str">
        <f t="shared" si="4"/>
        <v/>
      </c>
    </row>
    <row r="47">
      <c r="A47" s="14" t="s">
        <v>44</v>
      </c>
      <c r="B47" s="31">
        <v>44.0</v>
      </c>
      <c r="C47" s="35" t="s">
        <v>1058</v>
      </c>
      <c r="D47" s="35" t="s">
        <v>1571</v>
      </c>
      <c r="E47" s="36" t="s">
        <v>49</v>
      </c>
      <c r="F47" s="219"/>
      <c r="G47" s="219"/>
      <c r="H47" s="336"/>
      <c r="I47" s="336"/>
      <c r="J47" s="336"/>
      <c r="K47" s="336"/>
      <c r="L47" s="89"/>
      <c r="M47" s="89" t="str">
        <f t="shared" si="1"/>
        <v>william.richardson@ncleg.net</v>
      </c>
      <c r="N47" s="89"/>
      <c r="O47" s="89"/>
      <c r="P47" s="89"/>
      <c r="Q47" s="89"/>
      <c r="R47" s="89"/>
      <c r="T47" t="str">
        <f t="shared" si="2"/>
        <v/>
      </c>
      <c r="U47" t="str">
        <f t="shared" si="3"/>
        <v/>
      </c>
      <c r="V47" t="str">
        <f t="shared" si="4"/>
        <v/>
      </c>
    </row>
    <row r="48">
      <c r="A48" s="14" t="s">
        <v>44</v>
      </c>
      <c r="B48" s="31">
        <v>45.0</v>
      </c>
      <c r="C48" s="74" t="s">
        <v>278</v>
      </c>
      <c r="D48" s="74" t="s">
        <v>9797</v>
      </c>
      <c r="E48" s="51" t="s">
        <v>53</v>
      </c>
      <c r="F48" s="194" t="s">
        <v>9798</v>
      </c>
      <c r="G48" s="219"/>
      <c r="H48" s="336"/>
      <c r="I48" s="336"/>
      <c r="J48" s="336"/>
      <c r="K48" s="336"/>
      <c r="L48" s="89"/>
      <c r="M48" s="89" t="str">
        <f t="shared" si="1"/>
        <v>john.szoka@ncleg.net</v>
      </c>
      <c r="N48" s="89"/>
      <c r="O48" s="89"/>
      <c r="P48" s="89"/>
      <c r="Q48" s="89"/>
      <c r="R48" s="89"/>
      <c r="T48" t="str">
        <f t="shared" si="2"/>
        <v>Representative</v>
      </c>
      <c r="U48" t="str">
        <f t="shared" si="3"/>
        <v>Szoka</v>
      </c>
      <c r="V48" t="str">
        <f t="shared" si="4"/>
        <v>john.szoka@ncleg.net</v>
      </c>
    </row>
    <row r="49">
      <c r="A49" s="14" t="s">
        <v>44</v>
      </c>
      <c r="B49" s="31">
        <v>46.0</v>
      </c>
      <c r="C49" s="74" t="s">
        <v>9800</v>
      </c>
      <c r="D49" s="74" t="s">
        <v>706</v>
      </c>
      <c r="E49" s="51" t="s">
        <v>53</v>
      </c>
      <c r="F49" s="194" t="s">
        <v>6450</v>
      </c>
      <c r="G49" s="219"/>
      <c r="H49" s="336"/>
      <c r="I49" s="336"/>
      <c r="J49" s="336"/>
      <c r="K49" s="336"/>
      <c r="L49" s="89"/>
      <c r="M49" s="89" t="str">
        <f t="shared" si="1"/>
        <v>brenden.jones@ncleg.net</v>
      </c>
      <c r="N49" s="89"/>
      <c r="O49" s="89"/>
      <c r="P49" s="89"/>
      <c r="Q49" s="89"/>
      <c r="R49" s="89"/>
      <c r="T49" t="str">
        <f t="shared" si="2"/>
        <v>Representative</v>
      </c>
      <c r="U49" t="str">
        <f t="shared" si="3"/>
        <v>Jones</v>
      </c>
      <c r="V49" t="str">
        <f t="shared" si="4"/>
        <v>brenden.jones@ncleg.net</v>
      </c>
    </row>
    <row r="50">
      <c r="A50" s="14" t="s">
        <v>44</v>
      </c>
      <c r="B50" s="31">
        <v>47.0</v>
      </c>
      <c r="C50" s="35" t="s">
        <v>1287</v>
      </c>
      <c r="D50" s="35" t="s">
        <v>5222</v>
      </c>
      <c r="E50" s="36" t="s">
        <v>49</v>
      </c>
      <c r="F50" s="219"/>
      <c r="G50" s="219"/>
      <c r="H50" s="336"/>
      <c r="I50" s="336"/>
      <c r="J50" s="336"/>
      <c r="K50" s="336"/>
      <c r="L50" s="89"/>
      <c r="M50" s="89" t="str">
        <f t="shared" si="1"/>
        <v>charles.graham@ncleg.net</v>
      </c>
      <c r="N50" s="89"/>
      <c r="O50" s="89"/>
      <c r="P50" s="89"/>
      <c r="Q50" s="89"/>
      <c r="R50" s="89"/>
      <c r="T50" t="str">
        <f t="shared" si="2"/>
        <v/>
      </c>
      <c r="U50" t="str">
        <f t="shared" si="3"/>
        <v/>
      </c>
      <c r="V50" t="str">
        <f t="shared" si="4"/>
        <v/>
      </c>
    </row>
    <row r="51">
      <c r="A51" s="14" t="s">
        <v>44</v>
      </c>
      <c r="B51" s="31">
        <v>48.0</v>
      </c>
      <c r="C51" s="35" t="s">
        <v>9808</v>
      </c>
      <c r="D51" s="35" t="s">
        <v>4752</v>
      </c>
      <c r="E51" s="36" t="s">
        <v>49</v>
      </c>
      <c r="F51" s="194" t="s">
        <v>4802</v>
      </c>
      <c r="G51" s="219"/>
      <c r="H51" s="336"/>
      <c r="I51" s="336"/>
      <c r="J51" s="336"/>
      <c r="K51" s="336"/>
      <c r="L51" s="89"/>
      <c r="M51" s="89" t="str">
        <f t="shared" si="1"/>
        <v>garland.pierce@ncleg.net</v>
      </c>
      <c r="N51" s="89"/>
      <c r="O51" s="89"/>
      <c r="P51" s="89"/>
      <c r="Q51" s="89"/>
      <c r="R51" s="89"/>
      <c r="T51" t="str">
        <f t="shared" si="2"/>
        <v/>
      </c>
      <c r="U51" t="str">
        <f t="shared" si="3"/>
        <v/>
      </c>
      <c r="V51" t="str">
        <f t="shared" si="4"/>
        <v/>
      </c>
    </row>
    <row r="52">
      <c r="A52" s="14" t="s">
        <v>44</v>
      </c>
      <c r="B52" s="31">
        <v>49.0</v>
      </c>
      <c r="C52" s="74" t="s">
        <v>3490</v>
      </c>
      <c r="D52" s="74" t="s">
        <v>164</v>
      </c>
      <c r="E52" s="36" t="s">
        <v>49</v>
      </c>
      <c r="F52" s="194" t="s">
        <v>4802</v>
      </c>
      <c r="G52" s="219"/>
      <c r="H52" s="336"/>
      <c r="I52" s="336"/>
      <c r="J52" s="336"/>
      <c r="K52" s="336"/>
      <c r="L52" s="89"/>
      <c r="M52" s="89" t="str">
        <f t="shared" si="1"/>
        <v>cynthia.ball@ncleg.net</v>
      </c>
      <c r="N52" s="89"/>
      <c r="O52" s="89"/>
      <c r="P52" s="89"/>
      <c r="Q52" s="89"/>
      <c r="R52" s="89"/>
      <c r="T52" t="str">
        <f t="shared" si="2"/>
        <v/>
      </c>
      <c r="U52" t="str">
        <f t="shared" si="3"/>
        <v/>
      </c>
      <c r="V52" t="str">
        <f t="shared" si="4"/>
        <v/>
      </c>
    </row>
    <row r="53">
      <c r="A53" s="14" t="s">
        <v>44</v>
      </c>
      <c r="B53" s="31">
        <v>50.0</v>
      </c>
      <c r="C53" s="35" t="s">
        <v>9809</v>
      </c>
      <c r="D53" s="35" t="s">
        <v>4840</v>
      </c>
      <c r="E53" s="36" t="s">
        <v>49</v>
      </c>
      <c r="F53" s="219"/>
      <c r="G53" s="219"/>
      <c r="H53" s="336"/>
      <c r="I53" s="336"/>
      <c r="J53" s="336"/>
      <c r="K53" s="336"/>
      <c r="L53" s="89"/>
      <c r="M53" s="89" t="str">
        <f t="shared" si="1"/>
        <v>graig.meyer@ncleg.net</v>
      </c>
      <c r="N53" s="89"/>
      <c r="O53" s="89"/>
      <c r="P53" s="89"/>
      <c r="Q53" s="89"/>
      <c r="R53" s="89"/>
      <c r="T53" t="str">
        <f t="shared" si="2"/>
        <v/>
      </c>
      <c r="U53" t="str">
        <f t="shared" si="3"/>
        <v/>
      </c>
      <c r="V53" t="str">
        <f t="shared" si="4"/>
        <v/>
      </c>
    </row>
    <row r="54">
      <c r="A54" s="14" t="s">
        <v>44</v>
      </c>
      <c r="B54" s="31">
        <v>51.0</v>
      </c>
      <c r="C54" s="74" t="s">
        <v>278</v>
      </c>
      <c r="D54" s="74" t="s">
        <v>7682</v>
      </c>
      <c r="E54" s="51" t="s">
        <v>53</v>
      </c>
      <c r="F54" s="219"/>
      <c r="G54" s="219"/>
      <c r="H54" s="336"/>
      <c r="I54" s="336"/>
      <c r="J54" s="336"/>
      <c r="K54" s="336"/>
      <c r="L54" s="89"/>
      <c r="M54" s="89" t="str">
        <f t="shared" si="1"/>
        <v>john.sauls@ncleg.net</v>
      </c>
      <c r="N54" s="89"/>
      <c r="O54" s="89"/>
      <c r="P54" s="89"/>
      <c r="Q54" s="89"/>
      <c r="R54" s="89"/>
      <c r="T54" t="str">
        <f t="shared" si="2"/>
        <v>Representative</v>
      </c>
      <c r="U54" t="str">
        <f t="shared" si="3"/>
        <v>Sauls</v>
      </c>
      <c r="V54" t="str">
        <f t="shared" si="4"/>
        <v>john.sauls@ncleg.net</v>
      </c>
    </row>
    <row r="55">
      <c r="A55" s="14" t="s">
        <v>44</v>
      </c>
      <c r="B55" s="31">
        <v>52.0</v>
      </c>
      <c r="C55" s="35" t="s">
        <v>930</v>
      </c>
      <c r="D55" s="38" t="s">
        <v>9812</v>
      </c>
      <c r="E55" s="51" t="s">
        <v>53</v>
      </c>
      <c r="F55" s="194" t="s">
        <v>7119</v>
      </c>
      <c r="G55" s="219"/>
      <c r="H55" s="336"/>
      <c r="I55" s="336"/>
      <c r="J55" s="336"/>
      <c r="K55" s="336"/>
      <c r="L55" s="89"/>
      <c r="M55" s="89" t="str">
        <f t="shared" si="1"/>
        <v>james.boles@ncleg.net</v>
      </c>
      <c r="N55" s="89"/>
      <c r="O55" s="89"/>
      <c r="P55" s="89"/>
      <c r="Q55" s="89"/>
      <c r="R55" s="89"/>
      <c r="T55" t="str">
        <f t="shared" si="2"/>
        <v>Representative</v>
      </c>
      <c r="U55" t="str">
        <f t="shared" si="3"/>
        <v>Boles</v>
      </c>
      <c r="V55" t="str">
        <f t="shared" si="4"/>
        <v>james.boles@ncleg.net</v>
      </c>
    </row>
    <row r="56">
      <c r="A56" s="14" t="s">
        <v>44</v>
      </c>
      <c r="B56" s="31">
        <v>53.0</v>
      </c>
      <c r="C56" s="35" t="s">
        <v>108</v>
      </c>
      <c r="D56" s="35" t="s">
        <v>1707</v>
      </c>
      <c r="E56" s="51" t="s">
        <v>53</v>
      </c>
      <c r="F56" s="219"/>
      <c r="G56" s="219"/>
      <c r="H56" s="336"/>
      <c r="I56" s="336"/>
      <c r="J56" s="336"/>
      <c r="K56" s="336"/>
      <c r="L56" s="89"/>
      <c r="M56" s="89" t="str">
        <f t="shared" si="1"/>
        <v>david.lewis@ncleg.net</v>
      </c>
      <c r="N56" s="89"/>
      <c r="O56" s="89"/>
      <c r="P56" s="89"/>
      <c r="Q56" s="89"/>
      <c r="R56" s="89"/>
      <c r="T56" t="str">
        <f t="shared" si="2"/>
        <v>Representative</v>
      </c>
      <c r="U56" t="str">
        <f t="shared" si="3"/>
        <v>Lewis</v>
      </c>
      <c r="V56" t="str">
        <f t="shared" si="4"/>
        <v>david.lewis@ncleg.net</v>
      </c>
    </row>
    <row r="57">
      <c r="A57" s="14" t="s">
        <v>44</v>
      </c>
      <c r="B57" s="31">
        <v>54.0</v>
      </c>
      <c r="C57" s="74" t="s">
        <v>1134</v>
      </c>
      <c r="D57" s="78" t="s">
        <v>9814</v>
      </c>
      <c r="E57" s="36" t="s">
        <v>49</v>
      </c>
      <c r="F57" s="194" t="s">
        <v>9815</v>
      </c>
      <c r="G57" s="219"/>
      <c r="H57" s="336"/>
      <c r="I57" s="336"/>
      <c r="J57" s="336"/>
      <c r="K57" s="336"/>
      <c r="L57" s="89"/>
      <c r="M57" s="89" t="str">
        <f t="shared" si="1"/>
        <v>robert.reives@ncleg.net</v>
      </c>
      <c r="N57" s="89"/>
      <c r="O57" s="89"/>
      <c r="P57" s="89"/>
      <c r="Q57" s="89"/>
      <c r="R57" s="89"/>
      <c r="T57" t="str">
        <f t="shared" si="2"/>
        <v/>
      </c>
      <c r="U57" t="str">
        <f t="shared" si="3"/>
        <v/>
      </c>
      <c r="V57" t="str">
        <f t="shared" si="4"/>
        <v/>
      </c>
    </row>
    <row r="58">
      <c r="A58" s="14" t="s">
        <v>44</v>
      </c>
      <c r="B58" s="31">
        <v>55.0</v>
      </c>
      <c r="C58" s="35" t="s">
        <v>91</v>
      </c>
      <c r="D58" s="35" t="s">
        <v>9817</v>
      </c>
      <c r="E58" s="51" t="s">
        <v>53</v>
      </c>
      <c r="F58" s="219"/>
      <c r="G58" s="219"/>
      <c r="H58" s="336"/>
      <c r="I58" s="336"/>
      <c r="J58" s="336"/>
      <c r="K58" s="336"/>
      <c r="L58" s="89"/>
      <c r="M58" s="89" t="str">
        <f t="shared" si="1"/>
        <v>mark.brody@ncleg.net</v>
      </c>
      <c r="N58" s="89"/>
      <c r="O58" s="89"/>
      <c r="P58" s="89"/>
      <c r="Q58" s="89"/>
      <c r="R58" s="89"/>
      <c r="T58" t="str">
        <f t="shared" si="2"/>
        <v>Representative</v>
      </c>
      <c r="U58" t="str">
        <f t="shared" si="3"/>
        <v>Brody</v>
      </c>
      <c r="V58" t="str">
        <f t="shared" si="4"/>
        <v>mark.brody@ncleg.net</v>
      </c>
    </row>
    <row r="59">
      <c r="A59" s="14" t="s">
        <v>44</v>
      </c>
      <c r="B59" s="31">
        <v>56.0</v>
      </c>
      <c r="C59" s="35" t="s">
        <v>9819</v>
      </c>
      <c r="D59" s="35" t="s">
        <v>9822</v>
      </c>
      <c r="E59" s="36" t="s">
        <v>49</v>
      </c>
      <c r="F59" s="219"/>
      <c r="G59" s="219"/>
      <c r="H59" s="336"/>
      <c r="I59" s="336"/>
      <c r="J59" s="336"/>
      <c r="K59" s="336"/>
      <c r="L59" s="89"/>
      <c r="M59" s="89" t="str">
        <f t="shared" si="1"/>
        <v>verla.insko@ncleg.net</v>
      </c>
      <c r="N59" s="89"/>
      <c r="O59" s="89"/>
      <c r="P59" s="89"/>
      <c r="Q59" s="89"/>
      <c r="R59" s="89"/>
      <c r="T59" t="str">
        <f t="shared" si="2"/>
        <v/>
      </c>
      <c r="U59" t="str">
        <f t="shared" si="3"/>
        <v/>
      </c>
      <c r="V59" t="str">
        <f t="shared" si="4"/>
        <v/>
      </c>
    </row>
    <row r="60">
      <c r="A60" s="14" t="s">
        <v>44</v>
      </c>
      <c r="B60" s="31">
        <v>57.0</v>
      </c>
      <c r="C60" s="35" t="s">
        <v>9823</v>
      </c>
      <c r="D60" s="35" t="s">
        <v>9824</v>
      </c>
      <c r="E60" s="36" t="s">
        <v>49</v>
      </c>
      <c r="F60" s="194" t="s">
        <v>9825</v>
      </c>
      <c r="G60" s="219"/>
      <c r="H60" s="336"/>
      <c r="I60" s="336"/>
      <c r="J60" s="336"/>
      <c r="K60" s="336"/>
      <c r="L60" s="89"/>
      <c r="M60" s="89" t="str">
        <f t="shared" si="1"/>
        <v>ashton.clemmons@ncleg.net</v>
      </c>
      <c r="N60" s="89"/>
      <c r="O60" s="89"/>
      <c r="P60" s="89"/>
      <c r="Q60" s="89"/>
      <c r="R60" s="89"/>
      <c r="T60" t="str">
        <f t="shared" si="2"/>
        <v/>
      </c>
      <c r="U60" t="str">
        <f t="shared" si="3"/>
        <v/>
      </c>
      <c r="V60" t="str">
        <f t="shared" si="4"/>
        <v/>
      </c>
    </row>
    <row r="61">
      <c r="A61" s="14" t="s">
        <v>44</v>
      </c>
      <c r="B61" s="31">
        <v>58.0</v>
      </c>
      <c r="C61" s="74" t="s">
        <v>9827</v>
      </c>
      <c r="D61" s="78" t="s">
        <v>9281</v>
      </c>
      <c r="E61" s="36" t="s">
        <v>49</v>
      </c>
      <c r="F61" s="194" t="s">
        <v>4802</v>
      </c>
      <c r="G61" s="219"/>
      <c r="H61" s="336"/>
      <c r="I61" s="336"/>
      <c r="J61" s="336"/>
      <c r="K61" s="336"/>
      <c r="L61" s="89"/>
      <c r="M61" s="89" t="str">
        <f t="shared" si="1"/>
        <v>amos.quick@ncleg.net</v>
      </c>
      <c r="N61" s="89"/>
      <c r="O61" s="89"/>
      <c r="P61" s="89"/>
      <c r="Q61" s="89"/>
      <c r="R61" s="89"/>
      <c r="T61" t="str">
        <f t="shared" si="2"/>
        <v/>
      </c>
      <c r="U61" t="str">
        <f t="shared" si="3"/>
        <v/>
      </c>
      <c r="V61" t="str">
        <f t="shared" si="4"/>
        <v/>
      </c>
    </row>
    <row r="62">
      <c r="A62" s="14" t="s">
        <v>44</v>
      </c>
      <c r="B62" s="31">
        <v>59.0</v>
      </c>
      <c r="C62" s="74" t="s">
        <v>1387</v>
      </c>
      <c r="D62" s="74" t="s">
        <v>9828</v>
      </c>
      <c r="E62" s="51" t="s">
        <v>53</v>
      </c>
      <c r="F62" s="194" t="s">
        <v>1188</v>
      </c>
      <c r="G62" s="219"/>
      <c r="H62" s="336"/>
      <c r="I62" s="336"/>
      <c r="J62" s="336"/>
      <c r="K62" s="336"/>
      <c r="L62" s="89"/>
      <c r="M62" s="89" t="str">
        <f t="shared" si="1"/>
        <v>jon.hardister@ncleg.net</v>
      </c>
      <c r="N62" s="89"/>
      <c r="O62" s="89"/>
      <c r="P62" s="89"/>
      <c r="Q62" s="89"/>
      <c r="R62" s="89"/>
      <c r="T62" t="str">
        <f t="shared" si="2"/>
        <v>Representative</v>
      </c>
      <c r="U62" t="str">
        <f t="shared" si="3"/>
        <v>Hardister</v>
      </c>
      <c r="V62" t="str">
        <f t="shared" si="4"/>
        <v>jon.hardister@ncleg.net</v>
      </c>
    </row>
    <row r="63">
      <c r="A63" s="14" t="s">
        <v>44</v>
      </c>
      <c r="B63" s="31">
        <v>60.0</v>
      </c>
      <c r="C63" s="74" t="s">
        <v>4931</v>
      </c>
      <c r="D63" s="74" t="s">
        <v>9829</v>
      </c>
      <c r="E63" s="36" t="s">
        <v>49</v>
      </c>
      <c r="F63" s="219"/>
      <c r="G63" s="219"/>
      <c r="H63" s="336"/>
      <c r="I63" s="336"/>
      <c r="J63" s="336"/>
      <c r="K63" s="336"/>
      <c r="L63" s="89"/>
      <c r="M63" s="89" t="str">
        <f t="shared" si="1"/>
        <v>cecil.brockman@ncleg.net</v>
      </c>
      <c r="N63" s="89"/>
      <c r="O63" s="89"/>
      <c r="P63" s="89"/>
      <c r="Q63" s="89"/>
      <c r="R63" s="89"/>
      <c r="T63" t="str">
        <f t="shared" si="2"/>
        <v/>
      </c>
      <c r="U63" t="str">
        <f t="shared" si="3"/>
        <v/>
      </c>
      <c r="V63" t="str">
        <f t="shared" si="4"/>
        <v/>
      </c>
    </row>
    <row r="64">
      <c r="A64" s="14" t="s">
        <v>44</v>
      </c>
      <c r="B64" s="31">
        <v>61.0</v>
      </c>
      <c r="C64" s="35" t="s">
        <v>278</v>
      </c>
      <c r="D64" s="35" t="s">
        <v>9831</v>
      </c>
      <c r="E64" s="51" t="s">
        <v>53</v>
      </c>
      <c r="F64" s="219"/>
      <c r="G64" s="219"/>
      <c r="H64" s="336"/>
      <c r="I64" s="336"/>
      <c r="J64" s="336"/>
      <c r="K64" s="336"/>
      <c r="L64" s="89"/>
      <c r="M64" s="89" t="str">
        <f t="shared" si="1"/>
        <v>john.faircloth@ncleg.net</v>
      </c>
      <c r="N64" s="89"/>
      <c r="O64" s="89"/>
      <c r="P64" s="89"/>
      <c r="Q64" s="89"/>
      <c r="R64" s="89"/>
      <c r="T64" t="str">
        <f t="shared" si="2"/>
        <v>Representative</v>
      </c>
      <c r="U64" t="str">
        <f t="shared" si="3"/>
        <v>Faircloth</v>
      </c>
      <c r="V64" t="str">
        <f t="shared" si="4"/>
        <v>john.faircloth@ncleg.net</v>
      </c>
    </row>
    <row r="65">
      <c r="A65" s="14" t="s">
        <v>44</v>
      </c>
      <c r="B65" s="31">
        <v>62.0</v>
      </c>
      <c r="C65" s="35" t="s">
        <v>278</v>
      </c>
      <c r="D65" s="35" t="s">
        <v>9835</v>
      </c>
      <c r="E65" s="51" t="s">
        <v>53</v>
      </c>
      <c r="F65" s="219"/>
      <c r="G65" s="219"/>
      <c r="H65" s="336"/>
      <c r="I65" s="336"/>
      <c r="J65" s="336"/>
      <c r="K65" s="336"/>
      <c r="L65" s="89"/>
      <c r="M65" s="89" t="str">
        <f t="shared" si="1"/>
        <v>john.blust@ncleg.net</v>
      </c>
      <c r="N65" s="89"/>
      <c r="O65" s="89"/>
      <c r="P65" s="89"/>
      <c r="Q65" s="89"/>
      <c r="R65" s="89"/>
      <c r="T65" t="str">
        <f t="shared" si="2"/>
        <v>Representative</v>
      </c>
      <c r="U65" t="str">
        <f t="shared" si="3"/>
        <v>Blust</v>
      </c>
      <c r="V65" t="str">
        <f t="shared" si="4"/>
        <v>john.blust@ncleg.net</v>
      </c>
    </row>
    <row r="66">
      <c r="A66" s="14" t="s">
        <v>44</v>
      </c>
      <c r="B66" s="31">
        <v>63.0</v>
      </c>
      <c r="C66" s="74" t="s">
        <v>1505</v>
      </c>
      <c r="D66" s="74" t="s">
        <v>5489</v>
      </c>
      <c r="E66" s="51" t="s">
        <v>53</v>
      </c>
      <c r="F66" s="219"/>
      <c r="G66" s="219"/>
      <c r="H66" s="336"/>
      <c r="I66" s="336"/>
      <c r="J66" s="336"/>
      <c r="K66" s="336"/>
      <c r="L66" s="89"/>
      <c r="M66" s="89" t="str">
        <f t="shared" si="1"/>
        <v>stephen.ross@ncleg.net</v>
      </c>
      <c r="N66" s="89"/>
      <c r="O66" s="89"/>
      <c r="P66" s="89"/>
      <c r="Q66" s="89"/>
      <c r="R66" s="89"/>
      <c r="T66" t="str">
        <f t="shared" si="2"/>
        <v>Representative</v>
      </c>
      <c r="U66" t="str">
        <f t="shared" si="3"/>
        <v>Ross</v>
      </c>
      <c r="V66" t="str">
        <f t="shared" si="4"/>
        <v>stephen.ross@ncleg.net</v>
      </c>
    </row>
    <row r="67">
      <c r="A67" s="14" t="s">
        <v>44</v>
      </c>
      <c r="B67" s="31">
        <v>64.0</v>
      </c>
      <c r="C67" s="35" t="s">
        <v>2194</v>
      </c>
      <c r="D67" s="35" t="s">
        <v>9837</v>
      </c>
      <c r="E67" s="51" t="s">
        <v>53</v>
      </c>
      <c r="F67" s="219"/>
      <c r="G67" s="219"/>
      <c r="H67" s="336"/>
      <c r="I67" s="336"/>
      <c r="J67" s="336"/>
      <c r="K67" s="336"/>
      <c r="L67" s="89"/>
      <c r="M67" s="89" t="str">
        <f t="shared" si="1"/>
        <v>dennis.riddell@ncleg.net</v>
      </c>
      <c r="N67" s="89"/>
      <c r="O67" s="89"/>
      <c r="P67" s="89"/>
      <c r="Q67" s="89"/>
      <c r="R67" s="89"/>
      <c r="T67" t="str">
        <f t="shared" si="2"/>
        <v>Representative</v>
      </c>
      <c r="U67" t="str">
        <f t="shared" si="3"/>
        <v>Riddell</v>
      </c>
      <c r="V67" t="str">
        <f t="shared" si="4"/>
        <v>dennis.riddell@ncleg.net</v>
      </c>
    </row>
    <row r="68">
      <c r="A68" s="14" t="s">
        <v>44</v>
      </c>
      <c r="B68" s="31">
        <v>65.0</v>
      </c>
      <c r="C68" s="35" t="s">
        <v>2105</v>
      </c>
      <c r="D68" s="35" t="s">
        <v>1256</v>
      </c>
      <c r="E68" s="51" t="s">
        <v>53</v>
      </c>
      <c r="F68" s="219"/>
      <c r="G68" s="219"/>
      <c r="H68" s="336"/>
      <c r="I68" s="336"/>
      <c r="J68" s="336"/>
      <c r="K68" s="336"/>
      <c r="L68" s="89"/>
      <c r="M68" s="89" t="str">
        <f t="shared" si="1"/>
        <v>jerry.carter@ncleg.net</v>
      </c>
      <c r="N68" s="89"/>
      <c r="O68" s="89"/>
      <c r="P68" s="89"/>
      <c r="Q68" s="89"/>
      <c r="R68" s="89"/>
      <c r="T68" t="str">
        <f t="shared" si="2"/>
        <v>Representative</v>
      </c>
      <c r="U68" t="str">
        <f t="shared" si="3"/>
        <v>Carter</v>
      </c>
      <c r="V68" t="str">
        <f t="shared" si="4"/>
        <v>jerry.carter@ncleg.net</v>
      </c>
    </row>
    <row r="69">
      <c r="A69" s="14" t="s">
        <v>44</v>
      </c>
      <c r="B69" s="31">
        <v>66.0</v>
      </c>
      <c r="C69" s="35" t="s">
        <v>1049</v>
      </c>
      <c r="D69" s="35" t="s">
        <v>9841</v>
      </c>
      <c r="E69" s="36" t="s">
        <v>49</v>
      </c>
      <c r="F69" s="219"/>
      <c r="G69" s="219"/>
      <c r="H69" s="336"/>
      <c r="I69" s="336"/>
      <c r="J69" s="336"/>
      <c r="K69" s="336"/>
      <c r="L69" s="89"/>
      <c r="M69" s="89" t="str">
        <f t="shared" si="1"/>
        <v>ken.goodman@ncleg.net</v>
      </c>
      <c r="N69" s="89"/>
      <c r="O69" s="89"/>
      <c r="P69" s="89"/>
      <c r="Q69" s="89"/>
      <c r="R69" s="89"/>
      <c r="T69" t="str">
        <f t="shared" si="2"/>
        <v/>
      </c>
      <c r="U69" t="str">
        <f t="shared" si="3"/>
        <v/>
      </c>
      <c r="V69" t="str">
        <f t="shared" si="4"/>
        <v/>
      </c>
    </row>
    <row r="70">
      <c r="A70" s="14" t="s">
        <v>44</v>
      </c>
      <c r="B70" s="31">
        <v>67.0</v>
      </c>
      <c r="C70" s="35" t="s">
        <v>2639</v>
      </c>
      <c r="D70" s="35" t="s">
        <v>9842</v>
      </c>
      <c r="E70" s="51" t="s">
        <v>53</v>
      </c>
      <c r="F70" s="219"/>
      <c r="G70" s="219"/>
      <c r="H70" s="336"/>
      <c r="I70" s="336"/>
      <c r="J70" s="336"/>
      <c r="K70" s="336"/>
      <c r="L70" s="89"/>
      <c r="M70" s="89" t="str">
        <f t="shared" si="1"/>
        <v>clayton.sasser@ncleg.net</v>
      </c>
      <c r="N70" s="89"/>
      <c r="O70" s="89"/>
      <c r="P70" s="89"/>
      <c r="Q70" s="89"/>
      <c r="R70" s="89"/>
      <c r="T70" t="str">
        <f t="shared" si="2"/>
        <v>Representative</v>
      </c>
      <c r="U70" t="str">
        <f t="shared" si="3"/>
        <v>Sasser</v>
      </c>
      <c r="V70" t="str">
        <f t="shared" si="4"/>
        <v>clayton.sasser@ncleg.net</v>
      </c>
    </row>
    <row r="71">
      <c r="A71" s="14" t="s">
        <v>44</v>
      </c>
      <c r="B71" s="31">
        <v>68.0</v>
      </c>
      <c r="C71" s="35" t="s">
        <v>373</v>
      </c>
      <c r="D71" s="35" t="s">
        <v>4897</v>
      </c>
      <c r="E71" s="51" t="s">
        <v>53</v>
      </c>
      <c r="F71" s="219"/>
      <c r="G71" s="219"/>
      <c r="H71" s="336"/>
      <c r="I71" s="336"/>
      <c r="J71" s="336"/>
      <c r="K71" s="336"/>
      <c r="L71" s="89"/>
      <c r="M71" s="89" t="str">
        <f t="shared" si="1"/>
        <v>craig.horn@ncleg.net</v>
      </c>
      <c r="N71" s="89"/>
      <c r="O71" s="89"/>
      <c r="P71" s="89"/>
      <c r="Q71" s="89"/>
      <c r="R71" s="89"/>
      <c r="T71" t="str">
        <f t="shared" si="2"/>
        <v>Representative</v>
      </c>
      <c r="U71" t="str">
        <f t="shared" si="3"/>
        <v>Horn</v>
      </c>
      <c r="V71" t="str">
        <f t="shared" si="4"/>
        <v>craig.horn@ncleg.net</v>
      </c>
    </row>
    <row r="72">
      <c r="A72" s="14" t="s">
        <v>44</v>
      </c>
      <c r="B72" s="31">
        <v>69.0</v>
      </c>
      <c r="C72" s="35" t="s">
        <v>4340</v>
      </c>
      <c r="D72" s="35" t="s">
        <v>9848</v>
      </c>
      <c r="E72" s="51" t="s">
        <v>53</v>
      </c>
      <c r="F72" s="219"/>
      <c r="G72" s="219"/>
      <c r="H72" s="336"/>
      <c r="I72" s="336"/>
      <c r="J72" s="336"/>
      <c r="K72" s="336"/>
      <c r="L72" s="89"/>
      <c r="M72" s="89" t="str">
        <f t="shared" si="1"/>
        <v>dean.arp@ncleg.net</v>
      </c>
      <c r="N72" s="89"/>
      <c r="O72" s="89"/>
      <c r="P72" s="89"/>
      <c r="Q72" s="89"/>
      <c r="R72" s="89"/>
      <c r="T72" t="str">
        <f t="shared" si="2"/>
        <v>Representative</v>
      </c>
      <c r="U72" t="str">
        <f t="shared" si="3"/>
        <v>Arp</v>
      </c>
      <c r="V72" t="str">
        <f t="shared" si="4"/>
        <v>dean.arp@ncleg.net</v>
      </c>
    </row>
    <row r="73">
      <c r="A73" s="14" t="s">
        <v>44</v>
      </c>
      <c r="B73" s="31">
        <v>70.0</v>
      </c>
      <c r="C73" s="35" t="s">
        <v>2570</v>
      </c>
      <c r="D73" s="35" t="s">
        <v>9851</v>
      </c>
      <c r="E73" s="51" t="s">
        <v>53</v>
      </c>
      <c r="F73" s="194" t="s">
        <v>9852</v>
      </c>
      <c r="G73" s="219"/>
      <c r="H73" s="336"/>
      <c r="I73" s="336"/>
      <c r="J73" s="336"/>
      <c r="K73" s="336"/>
      <c r="L73" s="89"/>
      <c r="M73" s="89" t="str">
        <f t="shared" si="1"/>
        <v>pat.hurley@ncleg.net</v>
      </c>
      <c r="N73" s="89"/>
      <c r="O73" s="89"/>
      <c r="P73" s="89"/>
      <c r="Q73" s="89"/>
      <c r="R73" s="89"/>
      <c r="T73" t="str">
        <f t="shared" si="2"/>
        <v>Representative</v>
      </c>
      <c r="U73" t="str">
        <f t="shared" si="3"/>
        <v>Hurley</v>
      </c>
      <c r="V73" t="str">
        <f t="shared" si="4"/>
        <v>pat.hurley@ncleg.net</v>
      </c>
    </row>
    <row r="74">
      <c r="A74" s="14" t="s">
        <v>44</v>
      </c>
      <c r="B74" s="31">
        <v>71.0</v>
      </c>
      <c r="C74" s="74" t="s">
        <v>9854</v>
      </c>
      <c r="D74" s="74" t="s">
        <v>1990</v>
      </c>
      <c r="E74" s="36" t="s">
        <v>49</v>
      </c>
      <c r="F74" s="219"/>
      <c r="G74" s="219"/>
      <c r="H74" s="336"/>
      <c r="I74" s="336"/>
      <c r="J74" s="336"/>
      <c r="K74" s="336"/>
      <c r="L74" s="89"/>
      <c r="M74" s="89" t="str">
        <f t="shared" si="1"/>
        <v>evelyn.terry@ncleg.net</v>
      </c>
      <c r="N74" s="89"/>
      <c r="O74" s="89"/>
      <c r="P74" s="89"/>
      <c r="Q74" s="89"/>
      <c r="R74" s="89"/>
      <c r="T74" t="str">
        <f t="shared" si="2"/>
        <v/>
      </c>
      <c r="U74" t="str">
        <f t="shared" si="3"/>
        <v/>
      </c>
      <c r="V74" t="str">
        <f t="shared" si="4"/>
        <v/>
      </c>
    </row>
    <row r="75">
      <c r="A75" s="14" t="s">
        <v>44</v>
      </c>
      <c r="B75" s="31">
        <v>72.0</v>
      </c>
      <c r="C75" s="74" t="s">
        <v>9857</v>
      </c>
      <c r="D75" s="78" t="s">
        <v>606</v>
      </c>
      <c r="E75" s="36" t="s">
        <v>49</v>
      </c>
      <c r="F75" s="194" t="s">
        <v>9825</v>
      </c>
      <c r="G75" s="219"/>
      <c r="H75" s="336"/>
      <c r="I75" s="336"/>
      <c r="J75" s="336"/>
      <c r="K75" s="336"/>
      <c r="L75" s="89"/>
      <c r="M75" s="89" t="str">
        <f t="shared" si="1"/>
        <v>derwin.montgomery@ncleg.net</v>
      </c>
      <c r="N75" s="89"/>
      <c r="O75" s="89"/>
      <c r="P75" s="89"/>
      <c r="Q75" s="89"/>
      <c r="R75" s="89"/>
      <c r="T75" t="str">
        <f t="shared" si="2"/>
        <v/>
      </c>
      <c r="U75" t="str">
        <f t="shared" si="3"/>
        <v/>
      </c>
      <c r="V75" t="str">
        <f t="shared" si="4"/>
        <v/>
      </c>
    </row>
    <row r="76">
      <c r="A76" s="14" t="s">
        <v>44</v>
      </c>
      <c r="B76" s="31">
        <v>73.0</v>
      </c>
      <c r="C76" s="35" t="s">
        <v>629</v>
      </c>
      <c r="D76" s="35" t="s">
        <v>9721</v>
      </c>
      <c r="E76" s="51" t="s">
        <v>53</v>
      </c>
      <c r="F76" s="219"/>
      <c r="G76" s="219"/>
      <c r="H76" s="336"/>
      <c r="I76" s="336"/>
      <c r="J76" s="336"/>
      <c r="K76" s="336"/>
      <c r="L76" s="89"/>
      <c r="M76" s="89" t="str">
        <f t="shared" si="1"/>
        <v>lee.zachary@ncleg.net</v>
      </c>
      <c r="N76" s="89"/>
      <c r="O76" s="89"/>
      <c r="P76" s="89"/>
      <c r="Q76" s="89"/>
      <c r="R76" s="89"/>
      <c r="T76" t="str">
        <f t="shared" si="2"/>
        <v>Representative</v>
      </c>
      <c r="U76" t="str">
        <f t="shared" si="3"/>
        <v>Zachary</v>
      </c>
      <c r="V76" t="str">
        <f t="shared" si="4"/>
        <v>lee.zachary@ncleg.net</v>
      </c>
    </row>
    <row r="77">
      <c r="A77" s="14" t="s">
        <v>44</v>
      </c>
      <c r="B77" s="31">
        <v>74.0</v>
      </c>
      <c r="C77" s="74" t="s">
        <v>2601</v>
      </c>
      <c r="D77" s="74" t="s">
        <v>6612</v>
      </c>
      <c r="E77" s="51" t="s">
        <v>53</v>
      </c>
      <c r="F77" s="219"/>
      <c r="G77" s="219"/>
      <c r="H77" s="336"/>
      <c r="I77" s="336"/>
      <c r="J77" s="336"/>
      <c r="K77" s="336"/>
      <c r="L77" s="89"/>
      <c r="M77" s="89" t="str">
        <f t="shared" si="1"/>
        <v>debra.conrad@ncleg.net</v>
      </c>
      <c r="N77" s="89"/>
      <c r="O77" s="89"/>
      <c r="P77" s="89"/>
      <c r="Q77" s="89"/>
      <c r="R77" s="89"/>
      <c r="T77" t="str">
        <f t="shared" si="2"/>
        <v>Representative</v>
      </c>
      <c r="U77" t="str">
        <f t="shared" si="3"/>
        <v>Conrad</v>
      </c>
      <c r="V77" t="str">
        <f t="shared" si="4"/>
        <v>debra.conrad@ncleg.net</v>
      </c>
    </row>
    <row r="78">
      <c r="A78" s="14" t="s">
        <v>44</v>
      </c>
      <c r="B78" s="31">
        <v>75.0</v>
      </c>
      <c r="C78" s="35" t="s">
        <v>407</v>
      </c>
      <c r="D78" s="35" t="s">
        <v>9862</v>
      </c>
      <c r="E78" s="51" t="s">
        <v>53</v>
      </c>
      <c r="F78" s="219"/>
      <c r="G78" s="219"/>
      <c r="H78" s="336"/>
      <c r="I78" s="336"/>
      <c r="J78" s="336"/>
      <c r="K78" s="336"/>
      <c r="L78" s="89"/>
      <c r="M78" s="89" t="str">
        <f t="shared" si="1"/>
        <v>donny.lambeth@ncleg.net</v>
      </c>
      <c r="N78" s="89"/>
      <c r="O78" s="89"/>
      <c r="P78" s="89"/>
      <c r="Q78" s="89"/>
      <c r="R78" s="89"/>
      <c r="T78" t="str">
        <f t="shared" si="2"/>
        <v>Representative</v>
      </c>
      <c r="U78" t="str">
        <f t="shared" si="3"/>
        <v>Lambeth</v>
      </c>
      <c r="V78" t="str">
        <f t="shared" si="4"/>
        <v>donny.lambeth@ncleg.net</v>
      </c>
    </row>
    <row r="79">
      <c r="A79" s="14" t="s">
        <v>44</v>
      </c>
      <c r="B79" s="31">
        <v>76.0</v>
      </c>
      <c r="C79" s="35" t="s">
        <v>4087</v>
      </c>
      <c r="D79" s="35" t="s">
        <v>4018</v>
      </c>
      <c r="E79" s="51" t="s">
        <v>53</v>
      </c>
      <c r="F79" s="219"/>
      <c r="G79" s="219"/>
      <c r="H79" s="336"/>
      <c r="I79" s="336"/>
      <c r="J79" s="336"/>
      <c r="K79" s="336"/>
      <c r="L79" s="89"/>
      <c r="M79" s="89" t="str">
        <f t="shared" si="1"/>
        <v>carl.ford@ncleg.net</v>
      </c>
      <c r="N79" s="89"/>
      <c r="O79" s="89"/>
      <c r="P79" s="89"/>
      <c r="Q79" s="89"/>
      <c r="R79" s="89"/>
      <c r="T79" t="str">
        <f t="shared" si="2"/>
        <v>Representative</v>
      </c>
      <c r="U79" t="str">
        <f t="shared" si="3"/>
        <v>Ford</v>
      </c>
      <c r="V79" t="str">
        <f t="shared" si="4"/>
        <v>carl.ford@ncleg.net</v>
      </c>
    </row>
    <row r="80">
      <c r="A80" s="14" t="s">
        <v>44</v>
      </c>
      <c r="B80" s="31">
        <v>77.0</v>
      </c>
      <c r="C80" s="35" t="s">
        <v>543</v>
      </c>
      <c r="D80" s="35" t="s">
        <v>646</v>
      </c>
      <c r="E80" s="51" t="s">
        <v>53</v>
      </c>
      <c r="F80" s="219"/>
      <c r="G80" s="219"/>
      <c r="H80" s="336"/>
      <c r="I80" s="336"/>
      <c r="J80" s="336"/>
      <c r="K80" s="336"/>
      <c r="L80" s="89"/>
      <c r="M80" s="89" t="str">
        <f t="shared" si="1"/>
        <v>harry.warren@ncleg.net</v>
      </c>
      <c r="N80" s="89"/>
      <c r="O80" s="89"/>
      <c r="P80" s="89"/>
      <c r="Q80" s="89"/>
      <c r="R80" s="89"/>
      <c r="T80" t="str">
        <f t="shared" si="2"/>
        <v>Representative</v>
      </c>
      <c r="U80" t="str">
        <f t="shared" si="3"/>
        <v>Warren</v>
      </c>
      <c r="V80" t="str">
        <f t="shared" si="4"/>
        <v>harry.warren@ncleg.net</v>
      </c>
    </row>
    <row r="81">
      <c r="A81" s="14" t="s">
        <v>44</v>
      </c>
      <c r="B81" s="31">
        <v>78.0</v>
      </c>
      <c r="C81" s="35" t="s">
        <v>241</v>
      </c>
      <c r="D81" s="35" t="s">
        <v>9871</v>
      </c>
      <c r="E81" s="51" t="s">
        <v>53</v>
      </c>
      <c r="F81" s="219"/>
      <c r="G81" s="219"/>
      <c r="H81" s="336"/>
      <c r="I81" s="336"/>
      <c r="J81" s="336"/>
      <c r="K81" s="336"/>
      <c r="L81" s="89"/>
      <c r="M81" s="89" t="str">
        <f t="shared" si="1"/>
        <v>allen.mcneill@ncleg.net</v>
      </c>
      <c r="N81" s="89"/>
      <c r="O81" s="89"/>
      <c r="P81" s="89"/>
      <c r="Q81" s="89"/>
      <c r="R81" s="89"/>
      <c r="T81" t="str">
        <f t="shared" si="2"/>
        <v>Representative</v>
      </c>
      <c r="U81" t="str">
        <f t="shared" si="3"/>
        <v>McNeill</v>
      </c>
      <c r="V81" t="str">
        <f t="shared" si="4"/>
        <v>allen.mcneill@ncleg.net</v>
      </c>
    </row>
    <row r="82">
      <c r="A82" s="14" t="s">
        <v>44</v>
      </c>
      <c r="B82" s="31">
        <v>79.0</v>
      </c>
      <c r="C82" s="35" t="s">
        <v>1617</v>
      </c>
      <c r="D82" s="35" t="s">
        <v>9872</v>
      </c>
      <c r="E82" s="51" t="s">
        <v>53</v>
      </c>
      <c r="F82" s="219"/>
      <c r="G82" s="219"/>
      <c r="H82" s="336"/>
      <c r="I82" s="336"/>
      <c r="J82" s="336"/>
      <c r="K82" s="336"/>
      <c r="L82" s="89"/>
      <c r="M82" s="89" t="str">
        <f t="shared" si="1"/>
        <v>keith.kidwell@ncleg.net</v>
      </c>
      <c r="N82" s="89"/>
      <c r="O82" s="89"/>
      <c r="P82" s="89"/>
      <c r="Q82" s="89"/>
      <c r="R82" s="89"/>
      <c r="T82" t="str">
        <f t="shared" si="2"/>
        <v>Representative</v>
      </c>
      <c r="U82" t="str">
        <f t="shared" si="3"/>
        <v>Kidwell</v>
      </c>
      <c r="V82" t="str">
        <f t="shared" si="4"/>
        <v>keith.kidwell@ncleg.net</v>
      </c>
    </row>
    <row r="83">
      <c r="A83" s="14" t="s">
        <v>44</v>
      </c>
      <c r="B83" s="31">
        <v>80.0</v>
      </c>
      <c r="C83" s="35" t="s">
        <v>1897</v>
      </c>
      <c r="D83" s="35" t="s">
        <v>7862</v>
      </c>
      <c r="E83" s="51" t="s">
        <v>53</v>
      </c>
      <c r="F83" s="194" t="s">
        <v>9873</v>
      </c>
      <c r="G83" s="219"/>
      <c r="H83" s="336"/>
      <c r="I83" s="336"/>
      <c r="J83" s="336"/>
      <c r="K83" s="336"/>
      <c r="L83" s="89"/>
      <c r="M83" s="89" t="str">
        <f t="shared" si="1"/>
        <v>steven.jarvis@ncleg.net</v>
      </c>
      <c r="N83" s="89"/>
      <c r="O83" s="89"/>
      <c r="P83" s="89"/>
      <c r="Q83" s="89"/>
      <c r="R83" s="89"/>
      <c r="T83" t="str">
        <f t="shared" si="2"/>
        <v>Representative</v>
      </c>
      <c r="U83" t="str">
        <f t="shared" si="3"/>
        <v>Jarvis</v>
      </c>
      <c r="V83" t="str">
        <f t="shared" si="4"/>
        <v>steven.jarvis@ncleg.net</v>
      </c>
    </row>
    <row r="84">
      <c r="A84" s="14" t="s">
        <v>44</v>
      </c>
      <c r="B84" s="31">
        <v>81.0</v>
      </c>
      <c r="C84" s="74" t="s">
        <v>839</v>
      </c>
      <c r="D84" s="74" t="s">
        <v>9874</v>
      </c>
      <c r="E84" s="51" t="s">
        <v>53</v>
      </c>
      <c r="F84" s="219"/>
      <c r="G84" s="219"/>
      <c r="H84" s="336"/>
      <c r="I84" s="336"/>
      <c r="J84" s="336"/>
      <c r="K84" s="336"/>
      <c r="L84" s="89"/>
      <c r="M84" s="89" t="str">
        <f t="shared" si="1"/>
        <v>larry.potts@ncleg.net</v>
      </c>
      <c r="N84" s="89"/>
      <c r="O84" s="89"/>
      <c r="P84" s="89"/>
      <c r="Q84" s="89"/>
      <c r="R84" s="89"/>
      <c r="T84" t="str">
        <f t="shared" si="2"/>
        <v>Representative</v>
      </c>
      <c r="U84" t="str">
        <f t="shared" si="3"/>
        <v>Potts</v>
      </c>
      <c r="V84" t="str">
        <f t="shared" si="4"/>
        <v>larry.potts@ncleg.net</v>
      </c>
    </row>
    <row r="85">
      <c r="A85" s="14" t="s">
        <v>44</v>
      </c>
      <c r="B85" s="31">
        <v>82.0</v>
      </c>
      <c r="C85" s="35" t="s">
        <v>839</v>
      </c>
      <c r="D85" s="35" t="s">
        <v>5003</v>
      </c>
      <c r="E85" s="51" t="s">
        <v>53</v>
      </c>
      <c r="F85" s="219"/>
      <c r="G85" s="219"/>
      <c r="H85" s="336"/>
      <c r="I85" s="336"/>
      <c r="J85" s="336"/>
      <c r="K85" s="336"/>
      <c r="L85" s="89"/>
      <c r="M85" s="89" t="str">
        <f t="shared" si="1"/>
        <v>larry.pittman@ncleg.net</v>
      </c>
      <c r="N85" s="89"/>
      <c r="O85" s="89"/>
      <c r="P85" s="89"/>
      <c r="Q85" s="89"/>
      <c r="R85" s="89"/>
      <c r="T85" t="str">
        <f t="shared" si="2"/>
        <v>Representative</v>
      </c>
      <c r="U85" t="str">
        <f t="shared" si="3"/>
        <v>Pittman</v>
      </c>
      <c r="V85" t="str">
        <f t="shared" si="4"/>
        <v>larry.pittman@ncleg.net</v>
      </c>
    </row>
    <row r="86">
      <c r="A86" s="14" t="s">
        <v>44</v>
      </c>
      <c r="B86" s="31">
        <v>83.0</v>
      </c>
      <c r="C86" s="35" t="s">
        <v>978</v>
      </c>
      <c r="D86" s="35" t="s">
        <v>118</v>
      </c>
      <c r="E86" s="51" t="s">
        <v>53</v>
      </c>
      <c r="F86" s="219"/>
      <c r="G86" s="219"/>
      <c r="H86" s="336"/>
      <c r="I86" s="336"/>
      <c r="J86" s="336"/>
      <c r="K86" s="336"/>
      <c r="L86" s="89"/>
      <c r="M86" s="89" t="str">
        <f t="shared" si="1"/>
        <v>linda.johnson@ncleg.net</v>
      </c>
      <c r="N86" s="89"/>
      <c r="O86" s="89"/>
      <c r="P86" s="89"/>
      <c r="Q86" s="89"/>
      <c r="R86" s="89"/>
      <c r="T86" t="str">
        <f t="shared" si="2"/>
        <v>Representative</v>
      </c>
      <c r="U86" t="str">
        <f t="shared" si="3"/>
        <v>Johnson</v>
      </c>
      <c r="V86" t="str">
        <f t="shared" si="4"/>
        <v>linda.johnson@ncleg.net</v>
      </c>
    </row>
    <row r="87">
      <c r="A87" s="14" t="s">
        <v>44</v>
      </c>
      <c r="B87" s="31">
        <v>84.0</v>
      </c>
      <c r="C87" s="74" t="s">
        <v>8157</v>
      </c>
      <c r="D87" s="74" t="s">
        <v>3193</v>
      </c>
      <c r="E87" s="51" t="s">
        <v>53</v>
      </c>
      <c r="F87" s="219"/>
      <c r="G87" s="219"/>
      <c r="H87" s="336"/>
      <c r="I87" s="336"/>
      <c r="J87" s="336"/>
      <c r="K87" s="336"/>
      <c r="L87" s="89"/>
      <c r="M87" s="89" t="str">
        <f t="shared" si="1"/>
        <v>rena.turner@ncleg.net</v>
      </c>
      <c r="N87" s="89"/>
      <c r="O87" s="89"/>
      <c r="P87" s="89"/>
      <c r="Q87" s="89"/>
      <c r="R87" s="89"/>
      <c r="T87" t="str">
        <f t="shared" si="2"/>
        <v>Representative</v>
      </c>
      <c r="U87" t="str">
        <f t="shared" si="3"/>
        <v>Turner</v>
      </c>
      <c r="V87" t="str">
        <f t="shared" si="4"/>
        <v>rena.turner@ncleg.net</v>
      </c>
    </row>
    <row r="88">
      <c r="A88" s="14" t="s">
        <v>44</v>
      </c>
      <c r="B88" s="31">
        <v>85.0</v>
      </c>
      <c r="C88" s="74" t="s">
        <v>180</v>
      </c>
      <c r="D88" s="74" t="s">
        <v>9879</v>
      </c>
      <c r="E88" s="51" t="s">
        <v>53</v>
      </c>
      <c r="F88" s="219"/>
      <c r="G88" s="219"/>
      <c r="H88" s="336"/>
      <c r="I88" s="336"/>
      <c r="J88" s="336"/>
      <c r="K88" s="336"/>
      <c r="L88" s="89"/>
      <c r="M88" s="89" t="str">
        <f t="shared" si="1"/>
        <v>josh.dobson@ncleg.net</v>
      </c>
      <c r="N88" s="89"/>
      <c r="O88" s="89"/>
      <c r="P88" s="89"/>
      <c r="Q88" s="89"/>
      <c r="R88" s="89"/>
      <c r="T88" t="str">
        <f t="shared" si="2"/>
        <v>Representative</v>
      </c>
      <c r="U88" t="str">
        <f t="shared" si="3"/>
        <v>Dobson</v>
      </c>
      <c r="V88" t="str">
        <f t="shared" si="4"/>
        <v>josh.dobson@ncleg.net</v>
      </c>
    </row>
    <row r="89">
      <c r="A89" s="14" t="s">
        <v>44</v>
      </c>
      <c r="B89" s="31">
        <v>86.0</v>
      </c>
      <c r="C89" s="35" t="s">
        <v>2045</v>
      </c>
      <c r="D89" s="35" t="s">
        <v>8389</v>
      </c>
      <c r="E89" s="51" t="s">
        <v>53</v>
      </c>
      <c r="F89" s="219"/>
      <c r="G89" s="219"/>
      <c r="H89" s="336"/>
      <c r="I89" s="336"/>
      <c r="J89" s="336"/>
      <c r="K89" s="336"/>
      <c r="L89" s="89"/>
      <c r="M89" s="89" t="str">
        <f t="shared" si="1"/>
        <v>hugh.blackwell@ncleg.net</v>
      </c>
      <c r="N89" s="89"/>
      <c r="O89" s="89"/>
      <c r="P89" s="89"/>
      <c r="Q89" s="89"/>
      <c r="R89" s="89"/>
      <c r="T89" t="str">
        <f t="shared" si="2"/>
        <v>Representative</v>
      </c>
      <c r="U89" t="str">
        <f t="shared" si="3"/>
        <v>Blackwell</v>
      </c>
      <c r="V89" t="str">
        <f t="shared" si="4"/>
        <v>hugh.blackwell@ncleg.net</v>
      </c>
    </row>
    <row r="90">
      <c r="A90" s="14" t="s">
        <v>44</v>
      </c>
      <c r="B90" s="31">
        <v>87.0</v>
      </c>
      <c r="C90" s="74" t="s">
        <v>9880</v>
      </c>
      <c r="D90" s="74" t="s">
        <v>293</v>
      </c>
      <c r="E90" s="51" t="s">
        <v>53</v>
      </c>
      <c r="F90" s="219"/>
      <c r="G90" s="219"/>
      <c r="H90" s="336"/>
      <c r="I90" s="336"/>
      <c r="J90" s="336"/>
      <c r="K90" s="336"/>
      <c r="L90" s="89"/>
      <c r="M90" s="89" t="str">
        <f t="shared" si="1"/>
        <v>destin.hall@ncleg.net</v>
      </c>
      <c r="N90" s="89"/>
      <c r="O90" s="89"/>
      <c r="P90" s="89"/>
      <c r="Q90" s="89"/>
      <c r="R90" s="89"/>
      <c r="T90" t="str">
        <f t="shared" si="2"/>
        <v>Representative</v>
      </c>
      <c r="U90" t="str">
        <f t="shared" si="3"/>
        <v>Hall</v>
      </c>
      <c r="V90" t="str">
        <f t="shared" si="4"/>
        <v>destin.hall@ncleg.net</v>
      </c>
    </row>
    <row r="91">
      <c r="A91" s="14" t="s">
        <v>44</v>
      </c>
      <c r="B91" s="31">
        <v>88.0</v>
      </c>
      <c r="C91" s="74" t="s">
        <v>514</v>
      </c>
      <c r="D91" s="74" t="s">
        <v>9881</v>
      </c>
      <c r="E91" s="36" t="s">
        <v>49</v>
      </c>
      <c r="F91" s="219"/>
      <c r="G91" s="219"/>
      <c r="H91" s="336"/>
      <c r="I91" s="336"/>
      <c r="J91" s="336"/>
      <c r="K91" s="336"/>
      <c r="L91" s="89"/>
      <c r="M91" s="89" t="str">
        <f t="shared" si="1"/>
        <v>mary.belk@ncleg.net</v>
      </c>
      <c r="N91" s="89"/>
      <c r="O91" s="89"/>
      <c r="P91" s="89"/>
      <c r="Q91" s="89"/>
      <c r="R91" s="89"/>
      <c r="T91" t="str">
        <f t="shared" si="2"/>
        <v/>
      </c>
      <c r="U91" t="str">
        <f t="shared" si="3"/>
        <v/>
      </c>
      <c r="V91" t="str">
        <f t="shared" si="4"/>
        <v/>
      </c>
    </row>
    <row r="92">
      <c r="A92" s="14" t="s">
        <v>44</v>
      </c>
      <c r="B92" s="31">
        <v>89.0</v>
      </c>
      <c r="C92" s="35" t="s">
        <v>2206</v>
      </c>
      <c r="D92" s="35" t="s">
        <v>9882</v>
      </c>
      <c r="E92" s="51" t="s">
        <v>53</v>
      </c>
      <c r="F92" s="219"/>
      <c r="G92" s="219"/>
      <c r="H92" s="336"/>
      <c r="I92" s="336"/>
      <c r="J92" s="336"/>
      <c r="K92" s="336"/>
      <c r="L92" s="89"/>
      <c r="M92" s="89" t="str">
        <f t="shared" si="1"/>
        <v>mitchell.setzer@ncleg.net</v>
      </c>
      <c r="N92" s="89"/>
      <c r="O92" s="89"/>
      <c r="P92" s="89"/>
      <c r="Q92" s="89"/>
      <c r="R92" s="89"/>
      <c r="T92" t="str">
        <f t="shared" si="2"/>
        <v>Representative</v>
      </c>
      <c r="U92" t="str">
        <f t="shared" si="3"/>
        <v>Setzer</v>
      </c>
      <c r="V92" t="str">
        <f t="shared" si="4"/>
        <v>mitchell.setzer@ncleg.net</v>
      </c>
    </row>
    <row r="93">
      <c r="A93" s="14" t="s">
        <v>44</v>
      </c>
      <c r="B93" s="31">
        <v>90.0</v>
      </c>
      <c r="C93" s="74" t="s">
        <v>210</v>
      </c>
      <c r="D93" s="74" t="s">
        <v>378</v>
      </c>
      <c r="E93" s="51" t="s">
        <v>53</v>
      </c>
      <c r="F93" s="194" t="s">
        <v>9883</v>
      </c>
      <c r="G93" s="219"/>
      <c r="H93" s="336"/>
      <c r="I93" s="336"/>
      <c r="J93" s="336"/>
      <c r="K93" s="336"/>
      <c r="L93" s="89"/>
      <c r="M93" s="89" t="str">
        <f t="shared" si="1"/>
        <v>sarah.stevens@ncleg.net</v>
      </c>
      <c r="N93" s="89"/>
      <c r="O93" s="89"/>
      <c r="P93" s="89"/>
      <c r="Q93" s="89"/>
      <c r="R93" s="89"/>
      <c r="T93" t="str">
        <f t="shared" si="2"/>
        <v>Representative</v>
      </c>
      <c r="U93" t="str">
        <f t="shared" si="3"/>
        <v>Stevens</v>
      </c>
      <c r="V93" t="str">
        <f t="shared" si="4"/>
        <v>sarah.stevens@ncleg.net</v>
      </c>
    </row>
    <row r="94">
      <c r="A94" s="14" t="s">
        <v>44</v>
      </c>
      <c r="B94" s="31">
        <v>91.0</v>
      </c>
      <c r="C94" s="74" t="s">
        <v>257</v>
      </c>
      <c r="D94" s="74" t="s">
        <v>293</v>
      </c>
      <c r="E94" s="51" t="s">
        <v>53</v>
      </c>
      <c r="F94" s="219"/>
      <c r="G94" s="219"/>
      <c r="H94" s="336"/>
      <c r="I94" s="336"/>
      <c r="J94" s="336"/>
      <c r="K94" s="336"/>
      <c r="L94" s="89"/>
      <c r="M94" s="89" t="str">
        <f t="shared" si="1"/>
        <v>kyle.hall@ncleg.net</v>
      </c>
      <c r="N94" s="89"/>
      <c r="O94" s="89"/>
      <c r="P94" s="89"/>
      <c r="Q94" s="89"/>
      <c r="R94" s="89"/>
      <c r="T94" t="str">
        <f t="shared" si="2"/>
        <v>Representative</v>
      </c>
      <c r="U94" t="str">
        <f t="shared" si="3"/>
        <v>Hall</v>
      </c>
      <c r="V94" t="str">
        <f t="shared" si="4"/>
        <v>kyle.hall@ncleg.net</v>
      </c>
    </row>
    <row r="95">
      <c r="A95" s="14" t="s">
        <v>44</v>
      </c>
      <c r="B95" s="31">
        <v>92.0</v>
      </c>
      <c r="C95" s="74" t="s">
        <v>9884</v>
      </c>
      <c r="D95" s="74" t="s">
        <v>1059</v>
      </c>
      <c r="E95" s="36" t="s">
        <v>49</v>
      </c>
      <c r="F95" s="219"/>
      <c r="G95" s="219"/>
      <c r="H95" s="336"/>
      <c r="I95" s="336"/>
      <c r="J95" s="336"/>
      <c r="K95" s="336"/>
      <c r="L95" s="89"/>
      <c r="M95" s="89" t="str">
        <f t="shared" si="1"/>
        <v>chaz.beasley@ncleg.net</v>
      </c>
      <c r="N95" s="89"/>
      <c r="O95" s="89"/>
      <c r="P95" s="89"/>
      <c r="Q95" s="89"/>
      <c r="R95" s="89"/>
      <c r="T95" t="str">
        <f t="shared" si="2"/>
        <v/>
      </c>
      <c r="U95" t="str">
        <f t="shared" si="3"/>
        <v/>
      </c>
      <c r="V95" t="str">
        <f t="shared" si="4"/>
        <v/>
      </c>
    </row>
    <row r="96">
      <c r="A96" s="14" t="s">
        <v>44</v>
      </c>
      <c r="B96" s="31">
        <v>93.0</v>
      </c>
      <c r="C96" s="35" t="s">
        <v>2250</v>
      </c>
      <c r="D96" s="35" t="s">
        <v>1054</v>
      </c>
      <c r="E96" s="36" t="s">
        <v>49</v>
      </c>
      <c r="F96" s="219"/>
      <c r="G96" s="219"/>
      <c r="H96" s="336"/>
      <c r="I96" s="336"/>
      <c r="J96" s="336"/>
      <c r="K96" s="336"/>
      <c r="L96" s="89"/>
      <c r="M96" s="89" t="str">
        <f t="shared" si="1"/>
        <v>ray.russell@ncleg.net</v>
      </c>
      <c r="N96" s="89"/>
      <c r="O96" s="89"/>
      <c r="P96" s="89"/>
      <c r="Q96" s="89"/>
      <c r="R96" s="89"/>
      <c r="T96" t="str">
        <f t="shared" si="2"/>
        <v/>
      </c>
      <c r="U96" t="str">
        <f t="shared" si="3"/>
        <v/>
      </c>
      <c r="V96" t="str">
        <f t="shared" si="4"/>
        <v/>
      </c>
    </row>
    <row r="97">
      <c r="A97" s="14" t="s">
        <v>44</v>
      </c>
      <c r="B97" s="31">
        <v>94.0</v>
      </c>
      <c r="C97" s="74" t="s">
        <v>2512</v>
      </c>
      <c r="D97" s="74" t="s">
        <v>9886</v>
      </c>
      <c r="E97" s="51" t="s">
        <v>53</v>
      </c>
      <c r="F97" s="219"/>
      <c r="G97" s="219"/>
      <c r="H97" s="336"/>
      <c r="I97" s="336"/>
      <c r="J97" s="336"/>
      <c r="K97" s="336"/>
      <c r="L97" s="89"/>
      <c r="M97" s="89" t="str">
        <f t="shared" si="1"/>
        <v>jeffrey.elmore@ncleg.net</v>
      </c>
      <c r="N97" s="89"/>
      <c r="O97" s="89"/>
      <c r="P97" s="89"/>
      <c r="Q97" s="89"/>
      <c r="R97" s="89"/>
      <c r="T97" t="str">
        <f t="shared" si="2"/>
        <v>Representative</v>
      </c>
      <c r="U97" t="str">
        <f t="shared" si="3"/>
        <v>Elmore</v>
      </c>
      <c r="V97" t="str">
        <f t="shared" si="4"/>
        <v>jeffrey.elmore@ncleg.net</v>
      </c>
    </row>
    <row r="98">
      <c r="A98" s="14" t="s">
        <v>44</v>
      </c>
      <c r="B98" s="31">
        <v>95.0</v>
      </c>
      <c r="C98" s="35" t="s">
        <v>278</v>
      </c>
      <c r="D98" s="35" t="s">
        <v>9888</v>
      </c>
      <c r="E98" s="51" t="s">
        <v>53</v>
      </c>
      <c r="F98" s="219"/>
      <c r="G98" s="219"/>
      <c r="H98" s="336"/>
      <c r="I98" s="336"/>
      <c r="J98" s="336"/>
      <c r="K98" s="336"/>
      <c r="L98" s="89"/>
      <c r="M98" s="89" t="str">
        <f t="shared" si="1"/>
        <v>john.fraley@ncleg.net</v>
      </c>
      <c r="N98" s="89"/>
      <c r="O98" s="89"/>
      <c r="P98" s="89"/>
      <c r="Q98" s="89"/>
      <c r="R98" s="89"/>
      <c r="T98" t="str">
        <f t="shared" si="2"/>
        <v>Representative</v>
      </c>
      <c r="U98" t="str">
        <f t="shared" si="3"/>
        <v>Fraley</v>
      </c>
      <c r="V98" t="str">
        <f t="shared" si="4"/>
        <v>john.fraley@ncleg.net</v>
      </c>
    </row>
    <row r="99">
      <c r="A99" s="14" t="s">
        <v>44</v>
      </c>
      <c r="B99" s="31">
        <v>96.0</v>
      </c>
      <c r="C99" s="35" t="s">
        <v>1013</v>
      </c>
      <c r="D99" s="35" t="s">
        <v>5375</v>
      </c>
      <c r="E99" s="51" t="s">
        <v>53</v>
      </c>
      <c r="F99" s="219"/>
      <c r="G99" s="219"/>
      <c r="H99" s="336"/>
      <c r="I99" s="336"/>
      <c r="J99" s="336"/>
      <c r="K99" s="336"/>
      <c r="L99" s="89"/>
      <c r="M99" s="89" t="str">
        <f t="shared" si="1"/>
        <v>jay.adams@ncleg.net</v>
      </c>
      <c r="N99" s="89"/>
      <c r="O99" s="89"/>
      <c r="P99" s="89"/>
      <c r="Q99" s="89"/>
      <c r="R99" s="89"/>
      <c r="T99" t="str">
        <f t="shared" si="2"/>
        <v>Representative</v>
      </c>
      <c r="U99" t="str">
        <f t="shared" si="3"/>
        <v>Adams</v>
      </c>
      <c r="V99" t="str">
        <f t="shared" si="4"/>
        <v>jay.adams@ncleg.net</v>
      </c>
    </row>
    <row r="100">
      <c r="A100" s="14" t="s">
        <v>44</v>
      </c>
      <c r="B100" s="31">
        <v>97.0</v>
      </c>
      <c r="C100" s="74" t="s">
        <v>1231</v>
      </c>
      <c r="D100" s="74" t="s">
        <v>2154</v>
      </c>
      <c r="E100" s="51" t="s">
        <v>53</v>
      </c>
      <c r="F100" s="219"/>
      <c r="G100" s="219"/>
      <c r="H100" s="336"/>
      <c r="I100" s="336"/>
      <c r="J100" s="336"/>
      <c r="K100" s="336"/>
      <c r="L100" s="89"/>
      <c r="M100" s="89" t="str">
        <f t="shared" si="1"/>
        <v>jason.saine@ncleg.net</v>
      </c>
      <c r="N100" s="89"/>
      <c r="O100" s="89"/>
      <c r="P100" s="89"/>
      <c r="Q100" s="89"/>
      <c r="R100" s="89"/>
      <c r="T100" t="str">
        <f t="shared" si="2"/>
        <v>Representative</v>
      </c>
      <c r="U100" t="str">
        <f t="shared" si="3"/>
        <v>Saine</v>
      </c>
      <c r="V100" t="str">
        <f t="shared" si="4"/>
        <v>jason.saine@ncleg.net</v>
      </c>
    </row>
    <row r="101">
      <c r="A101" s="14" t="s">
        <v>44</v>
      </c>
      <c r="B101" s="31">
        <v>98.0</v>
      </c>
      <c r="C101" s="38" t="s">
        <v>9891</v>
      </c>
      <c r="D101" s="38" t="s">
        <v>2063</v>
      </c>
      <c r="E101" s="100" t="s">
        <v>49</v>
      </c>
      <c r="F101" s="219"/>
      <c r="G101" s="219"/>
      <c r="H101" s="336"/>
      <c r="I101" s="336"/>
      <c r="J101" s="336"/>
      <c r="K101" s="336"/>
      <c r="L101" s="89"/>
      <c r="M101" s="89" t="str">
        <f t="shared" si="1"/>
        <v>christy .clark@ncleg.net</v>
      </c>
      <c r="N101" s="89"/>
      <c r="O101" s="89"/>
      <c r="P101" s="89"/>
      <c r="Q101" s="89"/>
      <c r="R101" s="89"/>
      <c r="T101" t="str">
        <f t="shared" si="2"/>
        <v/>
      </c>
      <c r="U101" t="str">
        <f t="shared" si="3"/>
        <v/>
      </c>
      <c r="V101" t="str">
        <f t="shared" si="4"/>
        <v/>
      </c>
    </row>
    <row r="102">
      <c r="A102" s="14" t="s">
        <v>44</v>
      </c>
      <c r="B102" s="31">
        <v>99.0</v>
      </c>
      <c r="C102" s="35" t="s">
        <v>9892</v>
      </c>
      <c r="D102" s="35" t="s">
        <v>9893</v>
      </c>
      <c r="E102" s="36" t="s">
        <v>49</v>
      </c>
      <c r="F102" s="219"/>
      <c r="G102" s="219"/>
      <c r="H102" s="336"/>
      <c r="I102" s="336"/>
      <c r="J102" s="336"/>
      <c r="K102" s="336"/>
      <c r="L102" s="89"/>
      <c r="M102" s="89" t="str">
        <f t="shared" si="1"/>
        <v>nasif.majeed@ncleg.net</v>
      </c>
      <c r="N102" s="89"/>
      <c r="O102" s="89"/>
      <c r="P102" s="89"/>
      <c r="Q102" s="89"/>
      <c r="R102" s="89"/>
      <c r="T102" t="str">
        <f t="shared" si="2"/>
        <v/>
      </c>
      <c r="U102" t="str">
        <f t="shared" si="3"/>
        <v/>
      </c>
      <c r="V102" t="str">
        <f t="shared" si="4"/>
        <v/>
      </c>
    </row>
    <row r="103">
      <c r="A103" s="14" t="s">
        <v>44</v>
      </c>
      <c r="B103" s="31">
        <v>100.0</v>
      </c>
      <c r="C103" s="74" t="s">
        <v>278</v>
      </c>
      <c r="D103" s="74" t="s">
        <v>9895</v>
      </c>
      <c r="E103" s="36" t="s">
        <v>49</v>
      </c>
      <c r="F103" s="219"/>
      <c r="G103" s="219"/>
      <c r="H103" s="336"/>
      <c r="I103" s="336"/>
      <c r="J103" s="336"/>
      <c r="K103" s="336"/>
      <c r="L103" s="89"/>
      <c r="M103" s="89" t="str">
        <f t="shared" si="1"/>
        <v>john.autry@ncleg.net</v>
      </c>
      <c r="N103" s="89"/>
      <c r="O103" s="89"/>
      <c r="P103" s="89"/>
      <c r="Q103" s="89"/>
      <c r="R103" s="89"/>
      <c r="T103" t="str">
        <f t="shared" si="2"/>
        <v/>
      </c>
      <c r="U103" t="str">
        <f t="shared" si="3"/>
        <v/>
      </c>
      <c r="V103" t="str">
        <f t="shared" si="4"/>
        <v/>
      </c>
    </row>
    <row r="104">
      <c r="A104" s="14" t="s">
        <v>44</v>
      </c>
      <c r="B104" s="31">
        <v>101.0</v>
      </c>
      <c r="C104" s="35" t="s">
        <v>3902</v>
      </c>
      <c r="D104" s="35" t="s">
        <v>2887</v>
      </c>
      <c r="E104" s="36" t="s">
        <v>49</v>
      </c>
      <c r="F104" s="219"/>
      <c r="G104" s="219"/>
      <c r="H104" s="336"/>
      <c r="I104" s="336"/>
      <c r="J104" s="336"/>
      <c r="K104" s="336"/>
      <c r="L104" s="89"/>
      <c r="M104" s="89" t="str">
        <f t="shared" si="1"/>
        <v>carolyn.logan@ncleg.net</v>
      </c>
      <c r="N104" s="89"/>
      <c r="O104" s="89"/>
      <c r="P104" s="89"/>
      <c r="Q104" s="89"/>
      <c r="R104" s="89"/>
      <c r="T104" t="str">
        <f t="shared" si="2"/>
        <v/>
      </c>
      <c r="U104" t="str">
        <f t="shared" si="3"/>
        <v/>
      </c>
      <c r="V104" t="str">
        <f t="shared" si="4"/>
        <v/>
      </c>
    </row>
    <row r="105">
      <c r="A105" s="14" t="s">
        <v>44</v>
      </c>
      <c r="B105" s="31">
        <v>102.0</v>
      </c>
      <c r="C105" s="35" t="s">
        <v>364</v>
      </c>
      <c r="D105" s="35" t="s">
        <v>2533</v>
      </c>
      <c r="E105" s="36" t="s">
        <v>49</v>
      </c>
      <c r="F105" s="219"/>
      <c r="G105" s="219"/>
      <c r="H105" s="336"/>
      <c r="I105" s="336"/>
      <c r="J105" s="336"/>
      <c r="K105" s="336"/>
      <c r="L105" s="89"/>
      <c r="M105" s="89" t="str">
        <f t="shared" si="1"/>
        <v>becky.carney@ncleg.net</v>
      </c>
      <c r="N105" s="89"/>
      <c r="O105" s="89"/>
      <c r="P105" s="89"/>
      <c r="Q105" s="89"/>
      <c r="R105" s="89"/>
      <c r="T105" t="str">
        <f t="shared" si="2"/>
        <v/>
      </c>
      <c r="U105" t="str">
        <f t="shared" si="3"/>
        <v/>
      </c>
      <c r="V105" t="str">
        <f t="shared" si="4"/>
        <v/>
      </c>
    </row>
    <row r="106">
      <c r="A106" s="14" t="s">
        <v>44</v>
      </c>
      <c r="B106" s="31">
        <v>103.0</v>
      </c>
      <c r="C106" s="38" t="s">
        <v>2383</v>
      </c>
      <c r="D106" s="38" t="s">
        <v>6693</v>
      </c>
      <c r="E106" s="100" t="s">
        <v>49</v>
      </c>
      <c r="F106" s="219"/>
      <c r="G106" s="219"/>
      <c r="H106" s="336"/>
      <c r="I106" s="336"/>
      <c r="J106" s="336"/>
      <c r="K106" s="336"/>
      <c r="L106" s="89"/>
      <c r="M106" s="89" t="str">
        <f t="shared" si="1"/>
        <v>rachel.hunt@ncleg.net</v>
      </c>
      <c r="N106" s="89"/>
      <c r="O106" s="89"/>
      <c r="P106" s="89"/>
      <c r="Q106" s="89"/>
      <c r="R106" s="89"/>
      <c r="T106" t="str">
        <f t="shared" si="2"/>
        <v/>
      </c>
      <c r="U106" t="str">
        <f t="shared" si="3"/>
        <v/>
      </c>
      <c r="V106" t="str">
        <f t="shared" si="4"/>
        <v/>
      </c>
    </row>
    <row r="107">
      <c r="A107" s="14" t="s">
        <v>44</v>
      </c>
      <c r="B107" s="31">
        <v>104.0</v>
      </c>
      <c r="C107" s="35" t="s">
        <v>2500</v>
      </c>
      <c r="D107" s="35" t="s">
        <v>9896</v>
      </c>
      <c r="E107" s="36" t="s">
        <v>49</v>
      </c>
      <c r="F107" s="219"/>
      <c r="G107" s="219"/>
      <c r="H107" s="336"/>
      <c r="I107" s="336"/>
      <c r="J107" s="336"/>
      <c r="K107" s="336"/>
      <c r="L107" s="89"/>
      <c r="M107" s="89" t="str">
        <f t="shared" si="1"/>
        <v>brandon.lofton@ncleg.net</v>
      </c>
      <c r="N107" s="89"/>
      <c r="O107" s="89"/>
      <c r="P107" s="89"/>
      <c r="Q107" s="89"/>
      <c r="R107" s="89"/>
      <c r="T107" t="str">
        <f t="shared" si="2"/>
        <v/>
      </c>
      <c r="U107" t="str">
        <f t="shared" si="3"/>
        <v/>
      </c>
      <c r="V107" t="str">
        <f t="shared" si="4"/>
        <v/>
      </c>
    </row>
    <row r="108">
      <c r="A108" s="14" t="s">
        <v>44</v>
      </c>
      <c r="B108" s="31">
        <v>105.0</v>
      </c>
      <c r="C108" s="35" t="s">
        <v>4969</v>
      </c>
      <c r="D108" s="35" t="s">
        <v>2362</v>
      </c>
      <c r="E108" s="36" t="s">
        <v>49</v>
      </c>
      <c r="F108" s="219"/>
      <c r="G108" s="219"/>
      <c r="H108" s="336"/>
      <c r="I108" s="336"/>
      <c r="J108" s="336"/>
      <c r="K108" s="336"/>
      <c r="L108" s="89"/>
      <c r="M108" s="89" t="str">
        <f t="shared" si="1"/>
        <v>wesley.harris@ncleg.net</v>
      </c>
      <c r="N108" s="89"/>
      <c r="O108" s="89"/>
      <c r="P108" s="89"/>
      <c r="Q108" s="89"/>
      <c r="R108" s="89"/>
      <c r="T108" t="str">
        <f t="shared" si="2"/>
        <v/>
      </c>
      <c r="U108" t="str">
        <f t="shared" si="3"/>
        <v/>
      </c>
      <c r="V108" t="str">
        <f t="shared" si="4"/>
        <v/>
      </c>
    </row>
    <row r="109">
      <c r="A109" s="14" t="s">
        <v>44</v>
      </c>
      <c r="B109" s="31">
        <v>106.0</v>
      </c>
      <c r="C109" s="35" t="s">
        <v>8423</v>
      </c>
      <c r="D109" s="35" t="s">
        <v>1583</v>
      </c>
      <c r="E109" s="36" t="s">
        <v>49</v>
      </c>
      <c r="F109" s="194" t="s">
        <v>4802</v>
      </c>
      <c r="G109" s="219"/>
      <c r="H109" s="336"/>
      <c r="I109" s="336"/>
      <c r="J109" s="336"/>
      <c r="K109" s="336"/>
      <c r="L109" s="89"/>
      <c r="M109" s="89" t="str">
        <f t="shared" si="1"/>
        <v>carla.cunningham@ncleg.net</v>
      </c>
      <c r="N109" s="89"/>
      <c r="O109" s="89"/>
      <c r="P109" s="89"/>
      <c r="Q109" s="89"/>
      <c r="R109" s="89"/>
      <c r="T109" t="str">
        <f t="shared" si="2"/>
        <v/>
      </c>
      <c r="U109" t="str">
        <f t="shared" si="3"/>
        <v/>
      </c>
      <c r="V109" t="str">
        <f t="shared" si="4"/>
        <v/>
      </c>
    </row>
    <row r="110">
      <c r="A110" s="14" t="s">
        <v>44</v>
      </c>
      <c r="B110" s="31">
        <v>107.0</v>
      </c>
      <c r="C110" s="35" t="s">
        <v>130</v>
      </c>
      <c r="D110" s="38" t="s">
        <v>9901</v>
      </c>
      <c r="E110" s="36" t="s">
        <v>49</v>
      </c>
      <c r="F110" s="219"/>
      <c r="G110" s="219"/>
      <c r="H110" s="336"/>
      <c r="I110" s="336"/>
      <c r="J110" s="336"/>
      <c r="K110" s="336"/>
      <c r="L110" s="89"/>
      <c r="M110" s="89" t="str">
        <f t="shared" si="1"/>
        <v>kelly.alexander,@ncleg.net</v>
      </c>
      <c r="N110" s="89"/>
      <c r="O110" s="89"/>
      <c r="P110" s="89"/>
      <c r="Q110" s="89"/>
      <c r="R110" s="89"/>
      <c r="T110" t="str">
        <f t="shared" si="2"/>
        <v/>
      </c>
      <c r="U110" t="str">
        <f t="shared" si="3"/>
        <v/>
      </c>
      <c r="V110" t="str">
        <f t="shared" si="4"/>
        <v/>
      </c>
    </row>
    <row r="111">
      <c r="A111" s="14" t="s">
        <v>44</v>
      </c>
      <c r="B111" s="31">
        <v>108.0</v>
      </c>
      <c r="C111" s="35" t="s">
        <v>278</v>
      </c>
      <c r="D111" s="35" t="s">
        <v>9903</v>
      </c>
      <c r="E111" s="51" t="s">
        <v>53</v>
      </c>
      <c r="F111" s="219"/>
      <c r="G111" s="219"/>
      <c r="H111" s="336"/>
      <c r="I111" s="336"/>
      <c r="J111" s="336"/>
      <c r="K111" s="336"/>
      <c r="L111" s="89"/>
      <c r="M111" s="89" t="str">
        <f t="shared" si="1"/>
        <v>john.torbett@ncleg.net</v>
      </c>
      <c r="N111" s="89"/>
      <c r="O111" s="89"/>
      <c r="P111" s="89"/>
      <c r="Q111" s="89"/>
      <c r="R111" s="89"/>
      <c r="T111" t="str">
        <f t="shared" si="2"/>
        <v>Representative</v>
      </c>
      <c r="U111" t="str">
        <f t="shared" si="3"/>
        <v>Torbett</v>
      </c>
      <c r="V111" t="str">
        <f t="shared" si="4"/>
        <v>john.torbett@ncleg.net</v>
      </c>
    </row>
    <row r="112">
      <c r="A112" s="14" t="s">
        <v>44</v>
      </c>
      <c r="B112" s="31">
        <v>109.0</v>
      </c>
      <c r="C112" s="35" t="s">
        <v>6243</v>
      </c>
      <c r="D112" s="35" t="s">
        <v>9904</v>
      </c>
      <c r="E112" s="51" t="s">
        <v>53</v>
      </c>
      <c r="F112" s="219"/>
      <c r="G112" s="219"/>
      <c r="H112" s="336"/>
      <c r="I112" s="336"/>
      <c r="J112" s="336"/>
      <c r="K112" s="336"/>
      <c r="L112" s="89"/>
      <c r="M112" s="89" t="str">
        <f t="shared" si="1"/>
        <v>dana.bumgardner@ncleg.net</v>
      </c>
      <c r="N112" s="89"/>
      <c r="O112" s="89"/>
      <c r="P112" s="89"/>
      <c r="Q112" s="89"/>
      <c r="R112" s="89"/>
      <c r="T112" t="str">
        <f t="shared" si="2"/>
        <v>Representative</v>
      </c>
      <c r="U112" t="str">
        <f t="shared" si="3"/>
        <v>Bumgardner</v>
      </c>
      <c r="V112" t="str">
        <f t="shared" si="4"/>
        <v>dana.bumgardner@ncleg.net</v>
      </c>
    </row>
    <row r="113">
      <c r="A113" s="14" t="s">
        <v>44</v>
      </c>
      <c r="B113" s="31">
        <v>110.0</v>
      </c>
      <c r="C113" s="35" t="s">
        <v>130</v>
      </c>
      <c r="D113" s="35" t="s">
        <v>3394</v>
      </c>
      <c r="E113" s="51" t="s">
        <v>53</v>
      </c>
      <c r="F113" s="219"/>
      <c r="G113" s="219"/>
      <c r="H113" s="336"/>
      <c r="I113" s="336"/>
      <c r="J113" s="336"/>
      <c r="K113" s="336"/>
      <c r="L113" s="89"/>
      <c r="M113" s="89" t="str">
        <f t="shared" si="1"/>
        <v>kelly.hastings@ncleg.net</v>
      </c>
      <c r="N113" s="89"/>
      <c r="O113" s="89"/>
      <c r="P113" s="89"/>
      <c r="Q113" s="89"/>
      <c r="R113" s="89"/>
      <c r="T113" t="str">
        <f t="shared" si="2"/>
        <v>Representative</v>
      </c>
      <c r="U113" t="str">
        <f t="shared" si="3"/>
        <v>Hastings</v>
      </c>
      <c r="V113" t="str">
        <f t="shared" si="4"/>
        <v>kelly.hastings@ncleg.net</v>
      </c>
    </row>
    <row r="114">
      <c r="A114" s="14" t="s">
        <v>44</v>
      </c>
      <c r="B114" s="31">
        <v>111.0</v>
      </c>
      <c r="C114" s="35" t="s">
        <v>225</v>
      </c>
      <c r="D114" s="35" t="s">
        <v>89</v>
      </c>
      <c r="E114" s="51" t="s">
        <v>53</v>
      </c>
      <c r="F114" s="194" t="s">
        <v>1056</v>
      </c>
      <c r="G114" s="219"/>
      <c r="H114" s="336"/>
      <c r="I114" s="336"/>
      <c r="J114" s="336"/>
      <c r="K114" s="336"/>
      <c r="L114" s="89"/>
      <c r="M114" s="89" t="str">
        <f t="shared" si="1"/>
        <v>tim.moore@ncleg.net</v>
      </c>
      <c r="N114" s="89"/>
      <c r="O114" s="89"/>
      <c r="P114" s="89"/>
      <c r="Q114" s="89"/>
      <c r="R114" s="89"/>
      <c r="T114" t="str">
        <f t="shared" si="2"/>
        <v>Representative</v>
      </c>
      <c r="U114" t="str">
        <f t="shared" si="3"/>
        <v>Moore</v>
      </c>
      <c r="V114" t="str">
        <f t="shared" si="4"/>
        <v>tim.moore@ncleg.net</v>
      </c>
    </row>
    <row r="115">
      <c r="A115" s="14" t="s">
        <v>44</v>
      </c>
      <c r="B115" s="31">
        <v>112.0</v>
      </c>
      <c r="C115" s="74" t="s">
        <v>108</v>
      </c>
      <c r="D115" s="74" t="s">
        <v>494</v>
      </c>
      <c r="E115" s="51" t="s">
        <v>53</v>
      </c>
      <c r="F115" s="219"/>
      <c r="G115" s="219"/>
      <c r="H115" s="336"/>
      <c r="I115" s="336"/>
      <c r="J115" s="336"/>
      <c r="K115" s="336"/>
      <c r="L115" s="89"/>
      <c r="M115" s="89" t="str">
        <f t="shared" si="1"/>
        <v>david.rogers@ncleg.net</v>
      </c>
      <c r="N115" s="89"/>
      <c r="O115" s="89"/>
      <c r="P115" s="89"/>
      <c r="Q115" s="89"/>
      <c r="R115" s="89"/>
      <c r="T115" t="str">
        <f t="shared" si="2"/>
        <v>Representative</v>
      </c>
      <c r="U115" t="str">
        <f t="shared" si="3"/>
        <v>Rogers</v>
      </c>
      <c r="V115" t="str">
        <f t="shared" si="4"/>
        <v>david.rogers@ncleg.net</v>
      </c>
    </row>
    <row r="116">
      <c r="A116" s="14" t="s">
        <v>44</v>
      </c>
      <c r="B116" s="31">
        <v>113.0</v>
      </c>
      <c r="C116" s="74" t="s">
        <v>8551</v>
      </c>
      <c r="D116" s="74" t="s">
        <v>3645</v>
      </c>
      <c r="E116" s="51" t="s">
        <v>53</v>
      </c>
      <c r="F116" s="219"/>
      <c r="G116" s="219"/>
      <c r="H116" s="336"/>
      <c r="I116" s="336"/>
      <c r="J116" s="336"/>
      <c r="K116" s="336"/>
      <c r="L116" s="89"/>
      <c r="M116" s="89" t="str">
        <f t="shared" si="1"/>
        <v>cody.henson@ncleg.net</v>
      </c>
      <c r="N116" s="89"/>
      <c r="O116" s="89"/>
      <c r="P116" s="89"/>
      <c r="Q116" s="89"/>
      <c r="R116" s="89"/>
      <c r="T116" t="str">
        <f t="shared" si="2"/>
        <v>Representative</v>
      </c>
      <c r="U116" t="str">
        <f t="shared" si="3"/>
        <v>Henson</v>
      </c>
      <c r="V116" t="str">
        <f t="shared" si="4"/>
        <v>cody.henson@ncleg.net</v>
      </c>
    </row>
    <row r="117">
      <c r="A117" s="14" t="s">
        <v>44</v>
      </c>
      <c r="B117" s="31">
        <v>114.0</v>
      </c>
      <c r="C117" s="35" t="s">
        <v>1446</v>
      </c>
      <c r="D117" s="35" t="s">
        <v>5307</v>
      </c>
      <c r="E117" s="36" t="s">
        <v>49</v>
      </c>
      <c r="F117" s="219"/>
      <c r="G117" s="219"/>
      <c r="H117" s="336"/>
      <c r="I117" s="336"/>
      <c r="J117" s="336"/>
      <c r="K117" s="336"/>
      <c r="L117" s="89"/>
      <c r="M117" s="89" t="str">
        <f t="shared" si="1"/>
        <v>susan.fisher@ncleg.net</v>
      </c>
      <c r="N117" s="89"/>
      <c r="O117" s="89"/>
      <c r="P117" s="89"/>
      <c r="Q117" s="89"/>
      <c r="R117" s="89"/>
      <c r="T117" t="str">
        <f t="shared" si="2"/>
        <v/>
      </c>
      <c r="U117" t="str">
        <f t="shared" si="3"/>
        <v/>
      </c>
      <c r="V117" t="str">
        <f t="shared" si="4"/>
        <v/>
      </c>
    </row>
    <row r="118">
      <c r="A118" s="14" t="s">
        <v>44</v>
      </c>
      <c r="B118" s="31">
        <v>115.0</v>
      </c>
      <c r="C118" s="35" t="s">
        <v>278</v>
      </c>
      <c r="D118" s="35" t="s">
        <v>9909</v>
      </c>
      <c r="E118" s="36" t="s">
        <v>49</v>
      </c>
      <c r="F118" s="219"/>
      <c r="G118" s="219"/>
      <c r="H118" s="336"/>
      <c r="I118" s="336"/>
      <c r="J118" s="336"/>
      <c r="K118" s="336"/>
      <c r="L118" s="89"/>
      <c r="M118" s="89" t="str">
        <f t="shared" si="1"/>
        <v>john.ager@ncleg.net</v>
      </c>
      <c r="N118" s="89"/>
      <c r="O118" s="89"/>
      <c r="P118" s="89"/>
      <c r="Q118" s="89"/>
      <c r="R118" s="89"/>
      <c r="T118" t="str">
        <f t="shared" si="2"/>
        <v/>
      </c>
      <c r="U118" t="str">
        <f t="shared" si="3"/>
        <v/>
      </c>
      <c r="V118" t="str">
        <f t="shared" si="4"/>
        <v/>
      </c>
    </row>
    <row r="119">
      <c r="A119" s="14" t="s">
        <v>44</v>
      </c>
      <c r="B119" s="31">
        <v>116.0</v>
      </c>
      <c r="C119" s="74" t="s">
        <v>1331</v>
      </c>
      <c r="D119" s="74" t="s">
        <v>3193</v>
      </c>
      <c r="E119" s="36" t="s">
        <v>49</v>
      </c>
      <c r="F119" s="219"/>
      <c r="G119" s="219"/>
      <c r="H119" s="336"/>
      <c r="I119" s="336"/>
      <c r="J119" s="336"/>
      <c r="K119" s="336"/>
      <c r="L119" s="89"/>
      <c r="M119" s="89" t="str">
        <f t="shared" si="1"/>
        <v>brian.turner@ncleg.net</v>
      </c>
      <c r="N119" s="89"/>
      <c r="O119" s="89"/>
      <c r="P119" s="89"/>
      <c r="Q119" s="89"/>
      <c r="R119" s="89"/>
      <c r="T119" t="str">
        <f t="shared" si="2"/>
        <v/>
      </c>
      <c r="U119" t="str">
        <f t="shared" si="3"/>
        <v/>
      </c>
      <c r="V119" t="str">
        <f t="shared" si="4"/>
        <v/>
      </c>
    </row>
    <row r="120">
      <c r="A120" s="14" t="s">
        <v>44</v>
      </c>
      <c r="B120" s="31">
        <v>117.0</v>
      </c>
      <c r="C120" s="35" t="s">
        <v>177</v>
      </c>
      <c r="D120" s="35" t="s">
        <v>9911</v>
      </c>
      <c r="E120" s="51" t="s">
        <v>53</v>
      </c>
      <c r="F120" s="219"/>
      <c r="G120" s="219"/>
      <c r="H120" s="336"/>
      <c r="I120" s="336"/>
      <c r="J120" s="336"/>
      <c r="K120" s="336"/>
      <c r="L120" s="89"/>
      <c r="M120" s="89" t="str">
        <f t="shared" si="1"/>
        <v>chuck.mcgrady@ncleg.net</v>
      </c>
      <c r="N120" s="89"/>
      <c r="O120" s="89"/>
      <c r="P120" s="89"/>
      <c r="Q120" s="89"/>
      <c r="R120" s="89"/>
      <c r="T120" t="str">
        <f t="shared" si="2"/>
        <v>Representative</v>
      </c>
      <c r="U120" t="str">
        <f t="shared" si="3"/>
        <v>McGrady</v>
      </c>
      <c r="V120" t="str">
        <f t="shared" si="4"/>
        <v>chuck.mcgrady@ncleg.net</v>
      </c>
    </row>
    <row r="121">
      <c r="A121" s="14" t="s">
        <v>44</v>
      </c>
      <c r="B121" s="31">
        <v>118.0</v>
      </c>
      <c r="C121" s="35" t="s">
        <v>3644</v>
      </c>
      <c r="D121" s="35" t="s">
        <v>9913</v>
      </c>
      <c r="E121" s="51" t="s">
        <v>53</v>
      </c>
      <c r="F121" s="219"/>
      <c r="G121" s="219"/>
      <c r="H121" s="336"/>
      <c r="I121" s="336"/>
      <c r="J121" s="336"/>
      <c r="K121" s="336"/>
      <c r="L121" s="89"/>
      <c r="M121" s="89" t="str">
        <f t="shared" si="1"/>
        <v>michele.presnell@ncleg.net</v>
      </c>
      <c r="N121" s="89"/>
      <c r="O121" s="89"/>
      <c r="P121" s="89"/>
      <c r="Q121" s="89"/>
      <c r="R121" s="89"/>
      <c r="T121" t="str">
        <f t="shared" si="2"/>
        <v>Representative</v>
      </c>
      <c r="U121" t="str">
        <f t="shared" si="3"/>
        <v>Presnell</v>
      </c>
      <c r="V121" t="str">
        <f t="shared" si="4"/>
        <v>michele.presnell@ncleg.net</v>
      </c>
    </row>
    <row r="122">
      <c r="A122" s="14" t="s">
        <v>44</v>
      </c>
      <c r="B122" s="31">
        <v>119.0</v>
      </c>
      <c r="C122" s="74" t="s">
        <v>622</v>
      </c>
      <c r="D122" s="74" t="s">
        <v>6262</v>
      </c>
      <c r="E122" s="36" t="s">
        <v>49</v>
      </c>
      <c r="F122" s="219"/>
      <c r="G122" s="219"/>
      <c r="H122" s="336"/>
      <c r="I122" s="336"/>
      <c r="J122" s="336"/>
      <c r="K122" s="336"/>
      <c r="L122" s="89"/>
      <c r="M122" s="89" t="str">
        <f t="shared" si="1"/>
        <v>joe.queen@ncleg.net</v>
      </c>
      <c r="N122" s="89"/>
      <c r="O122" s="89"/>
      <c r="P122" s="89"/>
      <c r="Q122" s="89"/>
      <c r="R122" s="89"/>
      <c r="T122" t="str">
        <f t="shared" si="2"/>
        <v/>
      </c>
      <c r="U122" t="str">
        <f t="shared" si="3"/>
        <v/>
      </c>
      <c r="V122" t="str">
        <f t="shared" si="4"/>
        <v/>
      </c>
    </row>
    <row r="123">
      <c r="A123" s="14" t="s">
        <v>44</v>
      </c>
      <c r="B123" s="164">
        <v>120.0</v>
      </c>
      <c r="C123" s="74" t="s">
        <v>971</v>
      </c>
      <c r="D123" s="74" t="s">
        <v>9914</v>
      </c>
      <c r="E123" s="51" t="s">
        <v>53</v>
      </c>
      <c r="F123" s="194" t="s">
        <v>7119</v>
      </c>
      <c r="G123" s="219"/>
      <c r="H123" s="336"/>
      <c r="I123" s="336"/>
      <c r="J123" s="336"/>
      <c r="K123" s="336"/>
      <c r="L123" s="89"/>
      <c r="M123" s="89" t="str">
        <f t="shared" si="1"/>
        <v>kevin.corbin@ncleg.net</v>
      </c>
      <c r="N123" s="89"/>
      <c r="O123" s="89"/>
      <c r="P123" s="89"/>
      <c r="Q123" s="89"/>
      <c r="R123" s="89"/>
      <c r="T123" t="str">
        <f t="shared" si="2"/>
        <v>Representative</v>
      </c>
      <c r="U123" t="str">
        <f t="shared" si="3"/>
        <v>Corbin</v>
      </c>
      <c r="V123" t="str">
        <f t="shared" si="4"/>
        <v>kevin.corbin@ncleg.net</v>
      </c>
    </row>
    <row r="124">
      <c r="A124" s="70"/>
      <c r="B124" s="70"/>
      <c r="C124" s="71"/>
      <c r="D124" s="71"/>
      <c r="E124" s="70"/>
      <c r="F124" s="70"/>
      <c r="G124" s="70"/>
      <c r="H124" s="70"/>
      <c r="I124" s="70"/>
      <c r="J124" s="70"/>
      <c r="K124" s="70"/>
      <c r="L124" s="70"/>
      <c r="M124" s="70"/>
      <c r="N124" s="70"/>
      <c r="O124" s="70"/>
      <c r="P124" s="70"/>
      <c r="Q124" s="70"/>
      <c r="R124" s="70"/>
      <c r="S124" s="70"/>
      <c r="T124" s="70"/>
      <c r="U124" s="70"/>
      <c r="V124" s="70"/>
      <c r="W124" s="70"/>
      <c r="X124" s="70"/>
      <c r="Y124" s="70"/>
      <c r="Z124" s="70"/>
      <c r="AA124" s="70"/>
      <c r="AB124" s="70"/>
      <c r="AC124" s="70"/>
      <c r="AD124" s="70"/>
      <c r="AE124" s="70"/>
      <c r="AF124" s="70"/>
      <c r="AG124" s="70"/>
      <c r="AH124" s="70"/>
    </row>
    <row r="125">
      <c r="A125" s="14" t="s">
        <v>286</v>
      </c>
      <c r="B125" s="31">
        <v>1.0</v>
      </c>
      <c r="C125" s="35" t="s">
        <v>419</v>
      </c>
      <c r="D125" s="35" t="s">
        <v>9915</v>
      </c>
      <c r="E125" s="51" t="s">
        <v>53</v>
      </c>
      <c r="G125" s="219"/>
      <c r="J125" s="336"/>
      <c r="K125" s="336"/>
      <c r="L125" s="89"/>
      <c r="M125" s="89" t="str">
        <f t="shared" ref="M125:M174" si="5">Concatenate(lower(C125),".",lower(D125),"@ncleg.net")</f>
        <v>bob.steinburg@ncleg.net</v>
      </c>
      <c r="N125" s="89"/>
      <c r="O125" s="89"/>
      <c r="P125" s="89"/>
      <c r="Q125" s="89"/>
      <c r="R125" s="89"/>
      <c r="T125" t="str">
        <f t="shared" ref="T125:T174" si="6">if(not(U125=""),"Senator","")</f>
        <v>Senator</v>
      </c>
      <c r="U125" t="str">
        <f t="shared" ref="U125:U174" si="7">if(E125="rep",D125,"")</f>
        <v>Steinburg</v>
      </c>
      <c r="V125" t="str">
        <f t="shared" ref="V125:V174" si="8">if(not(U125=""),M125,"")</f>
        <v>bob.steinburg@ncleg.net</v>
      </c>
    </row>
    <row r="126">
      <c r="A126" s="14" t="s">
        <v>286</v>
      </c>
      <c r="B126" s="31">
        <v>2.0</v>
      </c>
      <c r="C126" s="35" t="s">
        <v>6798</v>
      </c>
      <c r="D126" s="35" t="s">
        <v>9918</v>
      </c>
      <c r="E126" s="51" t="s">
        <v>53</v>
      </c>
      <c r="F126" s="14" t="s">
        <v>9919</v>
      </c>
      <c r="G126" s="219"/>
      <c r="J126" s="336"/>
      <c r="K126" s="336"/>
      <c r="L126" s="89"/>
      <c r="M126" s="89" t="str">
        <f t="shared" si="5"/>
        <v>norman.sanderson@ncleg.net</v>
      </c>
      <c r="N126" s="89"/>
      <c r="O126" s="89"/>
      <c r="P126" s="89"/>
      <c r="Q126" s="89"/>
      <c r="R126" s="89"/>
      <c r="T126" t="str">
        <f t="shared" si="6"/>
        <v>Senator</v>
      </c>
      <c r="U126" t="str">
        <f t="shared" si="7"/>
        <v>Sanderson</v>
      </c>
      <c r="V126" t="str">
        <f t="shared" si="8"/>
        <v>norman.sanderson@ncleg.net</v>
      </c>
    </row>
    <row r="127">
      <c r="A127" s="14" t="s">
        <v>286</v>
      </c>
      <c r="B127" s="31">
        <v>3.0</v>
      </c>
      <c r="C127" s="35" t="s">
        <v>3312</v>
      </c>
      <c r="D127" s="35" t="s">
        <v>1451</v>
      </c>
      <c r="E127" s="36" t="s">
        <v>49</v>
      </c>
      <c r="G127" s="219"/>
      <c r="J127" s="336"/>
      <c r="K127" s="336"/>
      <c r="L127" s="89"/>
      <c r="M127" s="89" t="str">
        <f t="shared" si="5"/>
        <v>erica.smith@ncleg.net</v>
      </c>
      <c r="N127" s="89"/>
      <c r="O127" s="89"/>
      <c r="P127" s="89"/>
      <c r="Q127" s="89"/>
      <c r="R127" s="89"/>
      <c r="T127" t="str">
        <f t="shared" si="6"/>
        <v/>
      </c>
      <c r="U127" t="str">
        <f t="shared" si="7"/>
        <v/>
      </c>
      <c r="V127" t="str">
        <f t="shared" si="8"/>
        <v/>
      </c>
    </row>
    <row r="128">
      <c r="A128" s="14" t="s">
        <v>286</v>
      </c>
      <c r="B128" s="31">
        <v>4.0</v>
      </c>
      <c r="C128" s="78" t="s">
        <v>1373</v>
      </c>
      <c r="D128" s="78" t="s">
        <v>9921</v>
      </c>
      <c r="E128" s="36" t="s">
        <v>49</v>
      </c>
      <c r="G128" s="219"/>
      <c r="J128" s="336"/>
      <c r="K128" s="336"/>
      <c r="L128" s="89"/>
      <c r="M128" s="89" t="str">
        <f t="shared" si="5"/>
        <v>milton.fitch@ncleg.net</v>
      </c>
      <c r="N128" s="89"/>
      <c r="O128" s="89"/>
      <c r="P128" s="89"/>
      <c r="Q128" s="89"/>
      <c r="R128" s="89"/>
      <c r="T128" t="str">
        <f t="shared" si="6"/>
        <v/>
      </c>
      <c r="U128" t="str">
        <f t="shared" si="7"/>
        <v/>
      </c>
      <c r="V128" t="str">
        <f t="shared" si="8"/>
        <v/>
      </c>
    </row>
    <row r="129">
      <c r="A129" s="14" t="s">
        <v>286</v>
      </c>
      <c r="B129" s="31">
        <v>5.0</v>
      </c>
      <c r="C129" s="35" t="s">
        <v>428</v>
      </c>
      <c r="D129" s="35" t="s">
        <v>1254</v>
      </c>
      <c r="E129" s="36" t="s">
        <v>49</v>
      </c>
      <c r="G129" s="219"/>
      <c r="J129" s="336"/>
      <c r="K129" s="336"/>
      <c r="L129" s="89"/>
      <c r="M129" s="89" t="str">
        <f t="shared" si="5"/>
        <v>don.davis@ncleg.net</v>
      </c>
      <c r="N129" s="89"/>
      <c r="O129" s="89"/>
      <c r="P129" s="89"/>
      <c r="Q129" s="89"/>
      <c r="R129" s="89"/>
      <c r="T129" t="str">
        <f t="shared" si="6"/>
        <v/>
      </c>
      <c r="U129" t="str">
        <f t="shared" si="7"/>
        <v/>
      </c>
      <c r="V129" t="str">
        <f t="shared" si="8"/>
        <v/>
      </c>
    </row>
    <row r="130">
      <c r="A130" s="14" t="s">
        <v>286</v>
      </c>
      <c r="B130" s="31">
        <v>6.0</v>
      </c>
      <c r="C130" s="35" t="s">
        <v>543</v>
      </c>
      <c r="D130" s="35" t="s">
        <v>447</v>
      </c>
      <c r="E130" s="51" t="s">
        <v>53</v>
      </c>
      <c r="F130" s="14" t="s">
        <v>9926</v>
      </c>
      <c r="G130" s="219"/>
      <c r="J130" s="336"/>
      <c r="K130" s="336"/>
      <c r="L130" s="89"/>
      <c r="M130" s="89" t="str">
        <f t="shared" si="5"/>
        <v>harry.brown@ncleg.net</v>
      </c>
      <c r="N130" s="89"/>
      <c r="O130" s="89"/>
      <c r="P130" s="89"/>
      <c r="Q130" s="89"/>
      <c r="R130" s="89"/>
      <c r="T130" t="str">
        <f t="shared" si="6"/>
        <v>Senator</v>
      </c>
      <c r="U130" t="str">
        <f t="shared" si="7"/>
        <v>Brown</v>
      </c>
      <c r="V130" t="str">
        <f t="shared" si="8"/>
        <v>harry.brown@ncleg.net</v>
      </c>
    </row>
    <row r="131">
      <c r="A131" s="14" t="s">
        <v>286</v>
      </c>
      <c r="B131" s="31">
        <v>7.0</v>
      </c>
      <c r="C131" s="14" t="s">
        <v>476</v>
      </c>
      <c r="D131" s="14" t="s">
        <v>1329</v>
      </c>
      <c r="E131" s="51" t="s">
        <v>53</v>
      </c>
      <c r="G131" s="194"/>
      <c r="J131" s="336"/>
      <c r="K131" s="336"/>
      <c r="L131" s="89"/>
      <c r="M131" s="89" t="str">
        <f t="shared" si="5"/>
        <v>jim.perry@ncleg.net</v>
      </c>
      <c r="N131" s="89"/>
      <c r="O131" s="89"/>
      <c r="P131" s="89"/>
      <c r="Q131" s="89"/>
      <c r="R131" s="89"/>
      <c r="T131" t="str">
        <f t="shared" si="6"/>
        <v>Senator</v>
      </c>
      <c r="U131" t="str">
        <f t="shared" si="7"/>
        <v>Perry</v>
      </c>
      <c r="V131" t="str">
        <f t="shared" si="8"/>
        <v>jim.perry@ncleg.net</v>
      </c>
    </row>
    <row r="132">
      <c r="A132" s="14" t="s">
        <v>286</v>
      </c>
      <c r="B132" s="31">
        <v>8.0</v>
      </c>
      <c r="C132" s="35" t="s">
        <v>325</v>
      </c>
      <c r="D132" s="35" t="s">
        <v>9927</v>
      </c>
      <c r="E132" s="51" t="s">
        <v>53</v>
      </c>
      <c r="G132" s="219"/>
      <c r="J132" s="336"/>
      <c r="K132" s="336"/>
      <c r="L132" s="89"/>
      <c r="M132" s="89" t="str">
        <f t="shared" si="5"/>
        <v>bill.rabon@ncleg.net</v>
      </c>
      <c r="N132" s="89"/>
      <c r="O132" s="89"/>
      <c r="P132" s="89"/>
      <c r="Q132" s="89"/>
      <c r="R132" s="89"/>
      <c r="T132" t="str">
        <f t="shared" si="6"/>
        <v>Senator</v>
      </c>
      <c r="U132" t="str">
        <f t="shared" si="7"/>
        <v>Rabon</v>
      </c>
      <c r="V132" t="str">
        <f t="shared" si="8"/>
        <v>bill.rabon@ncleg.net</v>
      </c>
    </row>
    <row r="133">
      <c r="A133" s="14" t="s">
        <v>286</v>
      </c>
      <c r="B133" s="31">
        <v>9.0</v>
      </c>
      <c r="C133" s="14" t="s">
        <v>1946</v>
      </c>
      <c r="D133" s="14" t="s">
        <v>6554</v>
      </c>
      <c r="E133" s="51" t="s">
        <v>53</v>
      </c>
      <c r="G133" s="194"/>
      <c r="J133" s="336"/>
      <c r="K133" s="336"/>
      <c r="L133" s="89"/>
      <c r="M133" s="89" t="str">
        <f t="shared" si="5"/>
        <v>harper.peterson@ncleg.net</v>
      </c>
      <c r="N133" s="89"/>
      <c r="O133" s="89"/>
      <c r="P133" s="89"/>
      <c r="Q133" s="89"/>
      <c r="R133" s="89"/>
      <c r="T133" t="str">
        <f t="shared" si="6"/>
        <v>Senator</v>
      </c>
      <c r="U133" t="str">
        <f t="shared" si="7"/>
        <v>Peterson</v>
      </c>
      <c r="V133" t="str">
        <f t="shared" si="8"/>
        <v>harper.peterson@ncleg.net</v>
      </c>
    </row>
    <row r="134">
      <c r="A134" s="14" t="s">
        <v>286</v>
      </c>
      <c r="B134" s="31">
        <v>10.0</v>
      </c>
      <c r="C134" s="35" t="s">
        <v>3805</v>
      </c>
      <c r="D134" s="35" t="s">
        <v>567</v>
      </c>
      <c r="E134" s="51" t="s">
        <v>53</v>
      </c>
      <c r="G134" s="219"/>
      <c r="J134" s="336"/>
      <c r="K134" s="336"/>
      <c r="L134" s="89"/>
      <c r="M134" s="89" t="str">
        <f t="shared" si="5"/>
        <v>brent.jackson@ncleg.net</v>
      </c>
      <c r="N134" s="89"/>
      <c r="O134" s="89"/>
      <c r="P134" s="89"/>
      <c r="Q134" s="89"/>
      <c r="R134" s="89"/>
      <c r="T134" t="str">
        <f t="shared" si="6"/>
        <v>Senator</v>
      </c>
      <c r="U134" t="str">
        <f t="shared" si="7"/>
        <v>Jackson</v>
      </c>
      <c r="V134" t="str">
        <f t="shared" si="8"/>
        <v>brent.jackson@ncleg.net</v>
      </c>
    </row>
    <row r="135">
      <c r="A135" s="14" t="s">
        <v>286</v>
      </c>
      <c r="B135" s="31">
        <v>11.0</v>
      </c>
      <c r="C135" s="35" t="s">
        <v>1291</v>
      </c>
      <c r="D135" s="35" t="s">
        <v>9937</v>
      </c>
      <c r="E135" s="51" t="s">
        <v>53</v>
      </c>
      <c r="G135" s="219"/>
      <c r="J135" s="336"/>
      <c r="K135" s="336"/>
      <c r="L135" s="89"/>
      <c r="M135" s="89" t="str">
        <f t="shared" si="5"/>
        <v>rick.horner@ncleg.net</v>
      </c>
      <c r="N135" s="89"/>
      <c r="O135" s="89"/>
      <c r="P135" s="89"/>
      <c r="Q135" s="89"/>
      <c r="R135" s="89"/>
      <c r="T135" t="str">
        <f t="shared" si="6"/>
        <v>Senator</v>
      </c>
      <c r="U135" t="str">
        <f t="shared" si="7"/>
        <v>Horner</v>
      </c>
      <c r="V135" t="str">
        <f t="shared" si="8"/>
        <v>rick.horner@ncleg.net</v>
      </c>
    </row>
    <row r="136">
      <c r="A136" s="14" t="s">
        <v>286</v>
      </c>
      <c r="B136" s="31">
        <v>12.0</v>
      </c>
      <c r="C136" s="35" t="s">
        <v>476</v>
      </c>
      <c r="D136" s="35" t="s">
        <v>9942</v>
      </c>
      <c r="E136" s="51" t="s">
        <v>53</v>
      </c>
      <c r="G136" s="219"/>
      <c r="J136" s="336"/>
      <c r="K136" s="336"/>
      <c r="L136" s="89"/>
      <c r="M136" s="89" t="str">
        <f t="shared" si="5"/>
        <v>jim.burgin@ncleg.net</v>
      </c>
      <c r="N136" s="89"/>
      <c r="O136" s="89"/>
      <c r="P136" s="89"/>
      <c r="Q136" s="89"/>
      <c r="R136" s="89"/>
      <c r="T136" t="str">
        <f t="shared" si="6"/>
        <v>Senator</v>
      </c>
      <c r="U136" t="str">
        <f t="shared" si="7"/>
        <v>Burgin</v>
      </c>
      <c r="V136" t="str">
        <f t="shared" si="8"/>
        <v>jim.burgin@ncleg.net</v>
      </c>
    </row>
    <row r="137">
      <c r="A137" s="14" t="s">
        <v>286</v>
      </c>
      <c r="B137" s="31">
        <v>13.0</v>
      </c>
      <c r="C137" s="78" t="s">
        <v>100</v>
      </c>
      <c r="D137" s="78" t="s">
        <v>3993</v>
      </c>
      <c r="E137" s="51" t="s">
        <v>53</v>
      </c>
      <c r="G137" s="219"/>
      <c r="J137" s="336"/>
      <c r="K137" s="336"/>
      <c r="L137" s="89"/>
      <c r="M137" s="89" t="str">
        <f t="shared" si="5"/>
        <v>danny.britt@ncleg.net</v>
      </c>
      <c r="N137" s="89"/>
      <c r="O137" s="89"/>
      <c r="P137" s="89"/>
      <c r="Q137" s="89"/>
      <c r="R137" s="89"/>
      <c r="T137" t="str">
        <f t="shared" si="6"/>
        <v>Senator</v>
      </c>
      <c r="U137" t="str">
        <f t="shared" si="7"/>
        <v>Britt</v>
      </c>
      <c r="V137" t="str">
        <f t="shared" si="8"/>
        <v>danny.britt@ncleg.net</v>
      </c>
    </row>
    <row r="138">
      <c r="A138" s="14" t="s">
        <v>286</v>
      </c>
      <c r="B138" s="31">
        <v>14.0</v>
      </c>
      <c r="C138" s="35" t="s">
        <v>239</v>
      </c>
      <c r="D138" s="35" t="s">
        <v>9953</v>
      </c>
      <c r="E138" s="36" t="s">
        <v>49</v>
      </c>
      <c r="F138" s="14" t="s">
        <v>9954</v>
      </c>
      <c r="G138" s="219"/>
      <c r="J138" s="336"/>
      <c r="K138" s="336"/>
      <c r="L138" s="89"/>
      <c r="M138" s="89" t="str">
        <f t="shared" si="5"/>
        <v>dan.blue@ncleg.net</v>
      </c>
      <c r="N138" s="89"/>
      <c r="O138" s="89"/>
      <c r="P138" s="89"/>
      <c r="Q138" s="89"/>
      <c r="R138" s="89"/>
      <c r="T138" t="str">
        <f t="shared" si="6"/>
        <v/>
      </c>
      <c r="U138" t="str">
        <f t="shared" si="7"/>
        <v/>
      </c>
      <c r="V138" t="str">
        <f t="shared" si="8"/>
        <v/>
      </c>
    </row>
    <row r="139">
      <c r="A139" s="14" t="s">
        <v>286</v>
      </c>
      <c r="B139" s="31">
        <v>15.0</v>
      </c>
      <c r="C139" s="14" t="s">
        <v>1013</v>
      </c>
      <c r="D139" s="14" t="s">
        <v>9955</v>
      </c>
      <c r="E139" s="51" t="s">
        <v>53</v>
      </c>
      <c r="F139" s="14" t="s">
        <v>2004</v>
      </c>
      <c r="G139" s="194"/>
      <c r="J139" s="336"/>
      <c r="K139" s="336"/>
      <c r="L139" s="89"/>
      <c r="M139" s="89" t="str">
        <f t="shared" si="5"/>
        <v>jay.chaudhuri@ncleg.net</v>
      </c>
      <c r="N139" s="89"/>
      <c r="O139" s="89"/>
      <c r="P139" s="89"/>
      <c r="Q139" s="89"/>
      <c r="R139" s="89"/>
      <c r="T139" t="str">
        <f t="shared" si="6"/>
        <v>Senator</v>
      </c>
      <c r="U139" t="str">
        <f t="shared" si="7"/>
        <v>Chaudhuri</v>
      </c>
      <c r="V139" t="str">
        <f t="shared" si="8"/>
        <v>jay.chaudhuri@ncleg.net</v>
      </c>
    </row>
    <row r="140">
      <c r="A140" s="14" t="s">
        <v>286</v>
      </c>
      <c r="B140" s="31">
        <v>16.0</v>
      </c>
      <c r="C140" s="35" t="s">
        <v>8163</v>
      </c>
      <c r="D140" s="35" t="s">
        <v>9957</v>
      </c>
      <c r="E140" s="36" t="s">
        <v>49</v>
      </c>
      <c r="G140" s="219"/>
      <c r="J140" s="336"/>
      <c r="K140" s="336"/>
      <c r="L140" s="89"/>
      <c r="M140" s="89" t="str">
        <f t="shared" si="5"/>
        <v>wiley.nickel@ncleg.net</v>
      </c>
      <c r="N140" s="89"/>
      <c r="O140" s="89"/>
      <c r="P140" s="89"/>
      <c r="Q140" s="89"/>
      <c r="R140" s="89"/>
      <c r="T140" t="str">
        <f t="shared" si="6"/>
        <v/>
      </c>
      <c r="U140" t="str">
        <f t="shared" si="7"/>
        <v/>
      </c>
      <c r="V140" t="str">
        <f t="shared" si="8"/>
        <v/>
      </c>
    </row>
    <row r="141">
      <c r="A141" s="14" t="s">
        <v>286</v>
      </c>
      <c r="B141" s="31">
        <v>17.0</v>
      </c>
      <c r="C141" s="35" t="s">
        <v>224</v>
      </c>
      <c r="D141" s="35" t="s">
        <v>9960</v>
      </c>
      <c r="E141" s="36" t="s">
        <v>49</v>
      </c>
      <c r="G141" s="219"/>
      <c r="J141" s="336"/>
      <c r="K141" s="336"/>
      <c r="L141" s="89"/>
      <c r="M141" s="89" t="str">
        <f t="shared" si="5"/>
        <v>sam.searcy@ncleg.net</v>
      </c>
      <c r="N141" s="89"/>
      <c r="O141" s="89"/>
      <c r="P141" s="89"/>
      <c r="Q141" s="89"/>
      <c r="R141" s="89"/>
      <c r="T141" t="str">
        <f t="shared" si="6"/>
        <v/>
      </c>
      <c r="U141" t="str">
        <f t="shared" si="7"/>
        <v/>
      </c>
      <c r="V141" t="str">
        <f t="shared" si="8"/>
        <v/>
      </c>
    </row>
    <row r="142">
      <c r="A142" s="14" t="s">
        <v>286</v>
      </c>
      <c r="B142" s="31">
        <v>18.0</v>
      </c>
      <c r="C142" s="14" t="s">
        <v>278</v>
      </c>
      <c r="D142" s="14" t="s">
        <v>9962</v>
      </c>
      <c r="E142" s="51" t="s">
        <v>53</v>
      </c>
      <c r="G142" s="194"/>
      <c r="J142" s="336"/>
      <c r="K142" s="336"/>
      <c r="L142" s="89"/>
      <c r="M142" s="89" t="str">
        <f t="shared" si="5"/>
        <v>john.m. alexander jr.@ncleg.net</v>
      </c>
      <c r="N142" s="89"/>
      <c r="O142" s="89"/>
      <c r="P142" s="89"/>
      <c r="Q142" s="89"/>
      <c r="R142" s="89"/>
      <c r="T142" t="str">
        <f t="shared" si="6"/>
        <v>Senator</v>
      </c>
      <c r="U142" t="str">
        <f t="shared" si="7"/>
        <v>M. Alexander Jr.</v>
      </c>
      <c r="V142" t="str">
        <f t="shared" si="8"/>
        <v>john.m. alexander jr.@ncleg.net</v>
      </c>
    </row>
    <row r="143">
      <c r="A143" s="14" t="s">
        <v>286</v>
      </c>
      <c r="B143" s="31">
        <v>19.0</v>
      </c>
      <c r="C143" s="38" t="s">
        <v>619</v>
      </c>
      <c r="D143" s="38" t="s">
        <v>9965</v>
      </c>
      <c r="E143" s="100" t="s">
        <v>49</v>
      </c>
      <c r="G143" s="219"/>
      <c r="J143" s="336"/>
      <c r="K143" s="336"/>
      <c r="L143" s="89"/>
      <c r="M143" s="89" t="str">
        <f t="shared" si="5"/>
        <v>kirk.deviere@ncleg.net</v>
      </c>
      <c r="N143" s="89"/>
      <c r="O143" s="89"/>
      <c r="P143" s="89"/>
      <c r="Q143" s="89"/>
      <c r="R143" s="89"/>
      <c r="T143" t="str">
        <f t="shared" si="6"/>
        <v/>
      </c>
      <c r="U143" t="str">
        <f t="shared" si="7"/>
        <v/>
      </c>
      <c r="V143" t="str">
        <f t="shared" si="8"/>
        <v/>
      </c>
    </row>
    <row r="144">
      <c r="A144" s="14" t="s">
        <v>286</v>
      </c>
      <c r="B144" s="31">
        <v>20.0</v>
      </c>
      <c r="C144" s="38" t="s">
        <v>9795</v>
      </c>
      <c r="D144" s="38" t="s">
        <v>9967</v>
      </c>
      <c r="E144" s="36" t="s">
        <v>49</v>
      </c>
      <c r="G144" s="219"/>
      <c r="J144" s="336"/>
      <c r="K144" s="336"/>
      <c r="L144" s="89"/>
      <c r="M144" s="89" t="str">
        <f t="shared" si="5"/>
        <v>floyd.mckissick@ncleg.net</v>
      </c>
      <c r="N144" s="89"/>
      <c r="O144" s="89"/>
      <c r="P144" s="89"/>
      <c r="Q144" s="89"/>
      <c r="R144" s="89"/>
      <c r="T144" t="str">
        <f t="shared" si="6"/>
        <v/>
      </c>
      <c r="U144" t="str">
        <f t="shared" si="7"/>
        <v/>
      </c>
      <c r="V144" t="str">
        <f t="shared" si="8"/>
        <v/>
      </c>
    </row>
    <row r="145">
      <c r="A145" s="14" t="s">
        <v>286</v>
      </c>
      <c r="B145" s="31">
        <v>21.0</v>
      </c>
      <c r="C145" s="35" t="s">
        <v>195</v>
      </c>
      <c r="D145" s="35" t="s">
        <v>2063</v>
      </c>
      <c r="E145" s="36" t="s">
        <v>49</v>
      </c>
      <c r="F145" s="14" t="s">
        <v>9973</v>
      </c>
      <c r="G145" s="219"/>
      <c r="J145" s="336"/>
      <c r="K145" s="336"/>
      <c r="L145" s="89"/>
      <c r="M145" s="89" t="str">
        <f t="shared" si="5"/>
        <v>ben.clark@ncleg.net</v>
      </c>
      <c r="N145" s="89"/>
      <c r="O145" s="89"/>
      <c r="P145" s="89"/>
      <c r="Q145" s="89"/>
      <c r="R145" s="89"/>
      <c r="T145" t="str">
        <f t="shared" si="6"/>
        <v/>
      </c>
      <c r="U145" t="str">
        <f t="shared" si="7"/>
        <v/>
      </c>
      <c r="V145" t="str">
        <f t="shared" si="8"/>
        <v/>
      </c>
    </row>
    <row r="146">
      <c r="A146" s="14" t="s">
        <v>286</v>
      </c>
      <c r="B146" s="31">
        <v>22.0</v>
      </c>
      <c r="C146" s="35" t="s">
        <v>157</v>
      </c>
      <c r="D146" s="35" t="s">
        <v>4966</v>
      </c>
      <c r="E146" s="36" t="s">
        <v>49</v>
      </c>
      <c r="G146" s="219"/>
      <c r="J146" s="336"/>
      <c r="K146" s="336"/>
      <c r="L146" s="89"/>
      <c r="M146" s="89" t="str">
        <f t="shared" si="5"/>
        <v>mike.woodard@ncleg.net</v>
      </c>
      <c r="N146" s="89"/>
      <c r="O146" s="89"/>
      <c r="P146" s="89"/>
      <c r="Q146" s="89"/>
      <c r="R146" s="89"/>
      <c r="T146" t="str">
        <f t="shared" si="6"/>
        <v/>
      </c>
      <c r="U146" t="str">
        <f t="shared" si="7"/>
        <v/>
      </c>
      <c r="V146" t="str">
        <f t="shared" si="8"/>
        <v/>
      </c>
    </row>
    <row r="147">
      <c r="A147" s="14" t="s">
        <v>286</v>
      </c>
      <c r="B147" s="31">
        <v>23.0</v>
      </c>
      <c r="C147" s="35" t="s">
        <v>2658</v>
      </c>
      <c r="D147" s="35" t="s">
        <v>9986</v>
      </c>
      <c r="E147" s="36" t="s">
        <v>49</v>
      </c>
      <c r="G147" s="219"/>
      <c r="J147" s="336"/>
      <c r="K147" s="336"/>
      <c r="L147" s="89"/>
      <c r="M147" s="89" t="str">
        <f t="shared" si="5"/>
        <v>valerie.foushee@ncleg.net</v>
      </c>
      <c r="N147" s="89"/>
      <c r="O147" s="89"/>
      <c r="P147" s="89"/>
      <c r="Q147" s="89"/>
      <c r="R147" s="89"/>
      <c r="T147" t="str">
        <f t="shared" si="6"/>
        <v/>
      </c>
      <c r="U147" t="str">
        <f t="shared" si="7"/>
        <v/>
      </c>
      <c r="V147" t="str">
        <f t="shared" si="8"/>
        <v/>
      </c>
    </row>
    <row r="148">
      <c r="A148" s="14" t="s">
        <v>286</v>
      </c>
      <c r="B148" s="31">
        <v>24.0</v>
      </c>
      <c r="C148" s="35" t="s">
        <v>1291</v>
      </c>
      <c r="D148" s="35" t="s">
        <v>7780</v>
      </c>
      <c r="E148" s="51" t="s">
        <v>53</v>
      </c>
      <c r="F148" s="14" t="s">
        <v>1188</v>
      </c>
      <c r="G148" s="219"/>
      <c r="J148" s="336"/>
      <c r="K148" s="336"/>
      <c r="L148" s="89"/>
      <c r="M148" s="89" t="str">
        <f t="shared" si="5"/>
        <v>rick.gunn@ncleg.net</v>
      </c>
      <c r="N148" s="89"/>
      <c r="O148" s="89"/>
      <c r="P148" s="89"/>
      <c r="Q148" s="89"/>
      <c r="R148" s="89"/>
      <c r="T148" t="str">
        <f t="shared" si="6"/>
        <v>Senator</v>
      </c>
      <c r="U148" t="str">
        <f t="shared" si="7"/>
        <v>Gunn</v>
      </c>
      <c r="V148" t="str">
        <f t="shared" si="8"/>
        <v>rick.gunn@ncleg.net</v>
      </c>
    </row>
    <row r="149">
      <c r="A149" s="14" t="s">
        <v>286</v>
      </c>
      <c r="B149" s="31">
        <v>25.0</v>
      </c>
      <c r="C149" s="35" t="s">
        <v>338</v>
      </c>
      <c r="D149" s="35" t="s">
        <v>9996</v>
      </c>
      <c r="E149" s="51" t="s">
        <v>53</v>
      </c>
      <c r="G149" s="219"/>
      <c r="J149" s="336"/>
      <c r="K149" s="336"/>
      <c r="L149" s="89"/>
      <c r="M149" s="89" t="str">
        <f t="shared" si="5"/>
        <v>tom.mcinnis@ncleg.net</v>
      </c>
      <c r="N149" s="89"/>
      <c r="O149" s="89"/>
      <c r="P149" s="89"/>
      <c r="Q149" s="89"/>
      <c r="R149" s="89"/>
      <c r="T149" t="str">
        <f t="shared" si="6"/>
        <v>Senator</v>
      </c>
      <c r="U149" t="str">
        <f t="shared" si="7"/>
        <v>McInnis</v>
      </c>
      <c r="V149" t="str">
        <f t="shared" si="8"/>
        <v>tom.mcinnis@ncleg.net</v>
      </c>
    </row>
    <row r="150">
      <c r="A150" s="14" t="s">
        <v>286</v>
      </c>
      <c r="B150" s="31">
        <v>26.0</v>
      </c>
      <c r="C150" s="14" t="s">
        <v>2105</v>
      </c>
      <c r="D150" s="14" t="s">
        <v>10000</v>
      </c>
      <c r="E150" s="51" t="s">
        <v>53</v>
      </c>
      <c r="F150" s="14" t="s">
        <v>1188</v>
      </c>
      <c r="G150" s="194"/>
      <c r="J150" s="336"/>
      <c r="K150" s="336"/>
      <c r="L150" s="89"/>
      <c r="M150" s="89" t="str">
        <f t="shared" si="5"/>
        <v>jerry.w. tillman@ncleg.net</v>
      </c>
      <c r="N150" s="89"/>
      <c r="O150" s="89"/>
      <c r="P150" s="89"/>
      <c r="Q150" s="89"/>
      <c r="R150" s="89"/>
      <c r="T150" t="str">
        <f t="shared" si="6"/>
        <v>Senator</v>
      </c>
      <c r="U150" t="str">
        <f t="shared" si="7"/>
        <v>W. Tillman</v>
      </c>
      <c r="V150" t="str">
        <f t="shared" si="8"/>
        <v>jerry.w. tillman@ncleg.net</v>
      </c>
    </row>
    <row r="151">
      <c r="A151" s="14" t="s">
        <v>286</v>
      </c>
      <c r="B151" s="31">
        <v>27.0</v>
      </c>
      <c r="C151" s="38" t="s">
        <v>2490</v>
      </c>
      <c r="D151" s="38" t="s">
        <v>463</v>
      </c>
      <c r="E151" s="100" t="s">
        <v>49</v>
      </c>
      <c r="G151" s="219"/>
      <c r="J151" s="336"/>
      <c r="K151" s="336"/>
      <c r="L151" s="89"/>
      <c r="M151" s="89" t="str">
        <f t="shared" si="5"/>
        <v>michael.garrett@ncleg.net</v>
      </c>
      <c r="N151" s="89"/>
      <c r="O151" s="89"/>
      <c r="P151" s="89"/>
      <c r="Q151" s="89"/>
      <c r="R151" s="89"/>
      <c r="T151" t="str">
        <f t="shared" si="6"/>
        <v/>
      </c>
      <c r="U151" t="str">
        <f t="shared" si="7"/>
        <v/>
      </c>
      <c r="V151" t="str">
        <f t="shared" si="8"/>
        <v/>
      </c>
    </row>
    <row r="152">
      <c r="A152" s="14" t="s">
        <v>286</v>
      </c>
      <c r="B152" s="31">
        <v>28.0</v>
      </c>
      <c r="C152" s="35" t="s">
        <v>10001</v>
      </c>
      <c r="D152" s="35" t="s">
        <v>3039</v>
      </c>
      <c r="E152" s="36" t="s">
        <v>49</v>
      </c>
      <c r="G152" s="219"/>
      <c r="J152" s="336"/>
      <c r="K152" s="336"/>
      <c r="L152" s="89"/>
      <c r="M152" s="89" t="str">
        <f t="shared" si="5"/>
        <v>gladys.robinson@ncleg.net</v>
      </c>
      <c r="N152" s="89"/>
      <c r="O152" s="89"/>
      <c r="P152" s="89"/>
      <c r="Q152" s="89"/>
      <c r="R152" s="89"/>
      <c r="T152" t="str">
        <f t="shared" si="6"/>
        <v/>
      </c>
      <c r="U152" t="str">
        <f t="shared" si="7"/>
        <v/>
      </c>
      <c r="V152" t="str">
        <f t="shared" si="8"/>
        <v/>
      </c>
    </row>
    <row r="153">
      <c r="A153" s="14" t="s">
        <v>286</v>
      </c>
      <c r="B153" s="31">
        <v>29.0</v>
      </c>
      <c r="C153" s="35" t="s">
        <v>1237</v>
      </c>
      <c r="D153" s="38" t="s">
        <v>10008</v>
      </c>
      <c r="E153" s="51" t="s">
        <v>53</v>
      </c>
      <c r="G153" s="219"/>
      <c r="J153" s="336"/>
      <c r="K153" s="336"/>
      <c r="L153" s="89"/>
      <c r="M153" s="89" t="str">
        <f t="shared" si="5"/>
        <v>eddie.gallimore@ncleg.net</v>
      </c>
      <c r="N153" s="89"/>
      <c r="O153" s="89"/>
      <c r="P153" s="89"/>
      <c r="Q153" s="89"/>
      <c r="R153" s="89"/>
      <c r="T153" t="str">
        <f t="shared" si="6"/>
        <v>Senator</v>
      </c>
      <c r="U153" t="str">
        <f t="shared" si="7"/>
        <v>Gallimore</v>
      </c>
      <c r="V153" t="str">
        <f t="shared" si="8"/>
        <v>eddie.gallimore@ncleg.net</v>
      </c>
    </row>
    <row r="154">
      <c r="A154" s="14" t="s">
        <v>286</v>
      </c>
      <c r="B154" s="31">
        <v>30.0</v>
      </c>
      <c r="C154" s="14" t="s">
        <v>5231</v>
      </c>
      <c r="D154" s="14" t="s">
        <v>10011</v>
      </c>
      <c r="E154" s="51" t="s">
        <v>53</v>
      </c>
      <c r="F154" s="14" t="s">
        <v>2875</v>
      </c>
      <c r="G154" s="194"/>
      <c r="J154" s="336"/>
      <c r="K154" s="336"/>
      <c r="L154" s="89"/>
      <c r="M154" s="89" t="str">
        <f t="shared" si="5"/>
        <v>philip.e. berger@ncleg.net</v>
      </c>
      <c r="N154" s="89"/>
      <c r="O154" s="89"/>
      <c r="P154" s="89"/>
      <c r="Q154" s="89"/>
      <c r="R154" s="89"/>
      <c r="T154" t="str">
        <f t="shared" si="6"/>
        <v>Senator</v>
      </c>
      <c r="U154" t="str">
        <f t="shared" si="7"/>
        <v>E. Berger</v>
      </c>
      <c r="V154" t="str">
        <f t="shared" si="8"/>
        <v>philip.e. berger@ncleg.net</v>
      </c>
    </row>
    <row r="155">
      <c r="A155" s="14" t="s">
        <v>286</v>
      </c>
      <c r="B155" s="31">
        <v>31.0</v>
      </c>
      <c r="C155" s="35" t="s">
        <v>2426</v>
      </c>
      <c r="D155" s="35" t="s">
        <v>10017</v>
      </c>
      <c r="E155" s="51" t="s">
        <v>53</v>
      </c>
      <c r="G155" s="219"/>
      <c r="J155" s="336"/>
      <c r="K155" s="336"/>
      <c r="L155" s="89"/>
      <c r="M155" s="89" t="str">
        <f t="shared" si="5"/>
        <v>joyce.krawiec@ncleg.net</v>
      </c>
      <c r="N155" s="89"/>
      <c r="O155" s="89"/>
      <c r="P155" s="89"/>
      <c r="Q155" s="89"/>
      <c r="R155" s="89"/>
      <c r="T155" t="str">
        <f t="shared" si="6"/>
        <v>Senator</v>
      </c>
      <c r="U155" t="str">
        <f t="shared" si="7"/>
        <v>Krawiec</v>
      </c>
      <c r="V155" t="str">
        <f t="shared" si="8"/>
        <v>joyce.krawiec@ncleg.net</v>
      </c>
    </row>
    <row r="156">
      <c r="A156" s="14" t="s">
        <v>286</v>
      </c>
      <c r="B156" s="31">
        <v>32.0</v>
      </c>
      <c r="C156" s="38" t="s">
        <v>679</v>
      </c>
      <c r="D156" s="38" t="s">
        <v>9285</v>
      </c>
      <c r="E156" s="36" t="s">
        <v>49</v>
      </c>
      <c r="G156" s="219"/>
      <c r="J156" s="336"/>
      <c r="K156" s="336"/>
      <c r="L156" s="89"/>
      <c r="M156" s="89" t="str">
        <f t="shared" si="5"/>
        <v>paul.lowe@ncleg.net</v>
      </c>
      <c r="N156" s="89"/>
      <c r="O156" s="89"/>
      <c r="P156" s="89"/>
      <c r="Q156" s="89"/>
      <c r="R156" s="89"/>
      <c r="T156" t="str">
        <f t="shared" si="6"/>
        <v/>
      </c>
      <c r="U156" t="str">
        <f t="shared" si="7"/>
        <v/>
      </c>
      <c r="V156" t="str">
        <f t="shared" si="8"/>
        <v/>
      </c>
    </row>
    <row r="157">
      <c r="A157" s="14" t="s">
        <v>286</v>
      </c>
      <c r="B157" s="31">
        <v>33.0</v>
      </c>
      <c r="C157" s="35" t="s">
        <v>4087</v>
      </c>
      <c r="D157" s="35" t="s">
        <v>4018</v>
      </c>
      <c r="E157" s="51" t="s">
        <v>53</v>
      </c>
      <c r="G157" s="219"/>
      <c r="J157" s="336"/>
      <c r="K157" s="336"/>
      <c r="L157" s="89"/>
      <c r="M157" s="89" t="str">
        <f t="shared" si="5"/>
        <v>carl.ford@ncleg.net</v>
      </c>
      <c r="N157" s="89"/>
      <c r="O157" s="89"/>
      <c r="P157" s="89"/>
      <c r="Q157" s="89"/>
      <c r="R157" s="89"/>
      <c r="T157" t="str">
        <f t="shared" si="6"/>
        <v>Senator</v>
      </c>
      <c r="U157" t="str">
        <f t="shared" si="7"/>
        <v>Ford</v>
      </c>
      <c r="V157" t="str">
        <f t="shared" si="8"/>
        <v>carl.ford@ncleg.net</v>
      </c>
    </row>
    <row r="158">
      <c r="A158" s="14" t="s">
        <v>286</v>
      </c>
      <c r="B158" s="31">
        <v>34.0</v>
      </c>
      <c r="C158" s="35" t="s">
        <v>10021</v>
      </c>
      <c r="D158" s="35" t="s">
        <v>5199</v>
      </c>
      <c r="E158" s="51" t="s">
        <v>53</v>
      </c>
      <c r="G158" s="219"/>
      <c r="J158" s="336"/>
      <c r="K158" s="336"/>
      <c r="L158" s="89"/>
      <c r="M158" s="89" t="str">
        <f t="shared" si="5"/>
        <v>vickie.sawyer@ncleg.net</v>
      </c>
      <c r="N158" s="89"/>
      <c r="O158" s="89"/>
      <c r="P158" s="89"/>
      <c r="Q158" s="89"/>
      <c r="R158" s="89"/>
      <c r="T158" t="str">
        <f t="shared" si="6"/>
        <v>Senator</v>
      </c>
      <c r="U158" t="str">
        <f t="shared" si="7"/>
        <v>Sawyer</v>
      </c>
      <c r="V158" t="str">
        <f t="shared" si="8"/>
        <v>vickie.sawyer@ncleg.net</v>
      </c>
    </row>
    <row r="159">
      <c r="A159" s="14" t="s">
        <v>286</v>
      </c>
      <c r="B159" s="31">
        <v>35.0</v>
      </c>
      <c r="C159" s="35" t="s">
        <v>1974</v>
      </c>
      <c r="D159" s="35" t="s">
        <v>118</v>
      </c>
      <c r="E159" s="51" t="s">
        <v>53</v>
      </c>
      <c r="G159" s="219"/>
      <c r="J159" s="336"/>
      <c r="K159" s="336"/>
      <c r="L159" s="89"/>
      <c r="M159" s="89" t="str">
        <f t="shared" si="5"/>
        <v>todd.johnson@ncleg.net</v>
      </c>
      <c r="N159" s="89"/>
      <c r="O159" s="89"/>
      <c r="P159" s="89"/>
      <c r="Q159" s="89"/>
      <c r="R159" s="89"/>
      <c r="T159" t="str">
        <f t="shared" si="6"/>
        <v>Senator</v>
      </c>
      <c r="U159" t="str">
        <f t="shared" si="7"/>
        <v>Johnson</v>
      </c>
      <c r="V159" t="str">
        <f t="shared" si="8"/>
        <v>todd.johnson@ncleg.net</v>
      </c>
    </row>
    <row r="160">
      <c r="A160" s="14" t="s">
        <v>286</v>
      </c>
      <c r="B160" s="31">
        <v>36.0</v>
      </c>
      <c r="C160" s="35" t="s">
        <v>679</v>
      </c>
      <c r="D160" s="35" t="s">
        <v>3038</v>
      </c>
      <c r="E160" s="51" t="s">
        <v>53</v>
      </c>
      <c r="G160" s="219"/>
      <c r="J160" s="336"/>
      <c r="K160" s="336"/>
      <c r="L160" s="89"/>
      <c r="M160" s="89" t="str">
        <f t="shared" si="5"/>
        <v>paul.newton@ncleg.net</v>
      </c>
      <c r="N160" s="89"/>
      <c r="O160" s="89"/>
      <c r="P160" s="89"/>
      <c r="Q160" s="89"/>
      <c r="R160" s="89"/>
      <c r="T160" t="str">
        <f t="shared" si="6"/>
        <v>Senator</v>
      </c>
      <c r="U160" t="str">
        <f t="shared" si="7"/>
        <v>Newton</v>
      </c>
      <c r="V160" t="str">
        <f t="shared" si="8"/>
        <v>paul.newton@ncleg.net</v>
      </c>
    </row>
    <row r="161">
      <c r="A161" s="14" t="s">
        <v>286</v>
      </c>
      <c r="B161" s="31">
        <v>37.0</v>
      </c>
      <c r="C161" s="35" t="s">
        <v>683</v>
      </c>
      <c r="D161" s="35" t="s">
        <v>567</v>
      </c>
      <c r="E161" s="36" t="s">
        <v>49</v>
      </c>
      <c r="G161" s="219"/>
      <c r="J161" s="336"/>
      <c r="K161" s="336"/>
      <c r="L161" s="89"/>
      <c r="M161" s="89" t="str">
        <f t="shared" si="5"/>
        <v>jeff.jackson@ncleg.net</v>
      </c>
      <c r="N161" s="89"/>
      <c r="O161" s="89"/>
      <c r="P161" s="89"/>
      <c r="Q161" s="89"/>
      <c r="R161" s="89"/>
      <c r="T161" t="str">
        <f t="shared" si="6"/>
        <v/>
      </c>
      <c r="U161" t="str">
        <f t="shared" si="7"/>
        <v/>
      </c>
      <c r="V161" t="str">
        <f t="shared" si="8"/>
        <v/>
      </c>
    </row>
    <row r="162">
      <c r="A162" s="14" t="s">
        <v>286</v>
      </c>
      <c r="B162" s="31">
        <v>38.0</v>
      </c>
      <c r="C162" s="35" t="s">
        <v>10032</v>
      </c>
      <c r="D162" s="35" t="s">
        <v>10033</v>
      </c>
      <c r="E162" s="36" t="s">
        <v>49</v>
      </c>
      <c r="G162" s="219"/>
      <c r="J162" s="336"/>
      <c r="K162" s="336"/>
      <c r="L162" s="89"/>
      <c r="M162" s="89" t="str">
        <f t="shared" si="5"/>
        <v>mujtaba.mohammed@ncleg.net</v>
      </c>
      <c r="N162" s="89"/>
      <c r="O162" s="89"/>
      <c r="P162" s="89"/>
      <c r="Q162" s="89"/>
      <c r="R162" s="89"/>
      <c r="T162" t="str">
        <f t="shared" si="6"/>
        <v/>
      </c>
      <c r="U162" t="str">
        <f t="shared" si="7"/>
        <v/>
      </c>
      <c r="V162" t="str">
        <f t="shared" si="8"/>
        <v/>
      </c>
    </row>
    <row r="163">
      <c r="A163" s="14" t="s">
        <v>286</v>
      </c>
      <c r="B163" s="31">
        <v>39.0</v>
      </c>
      <c r="C163" s="35" t="s">
        <v>239</v>
      </c>
      <c r="D163" s="35" t="s">
        <v>302</v>
      </c>
      <c r="E163" s="51" t="s">
        <v>53</v>
      </c>
      <c r="G163" s="219"/>
      <c r="J163" s="336"/>
      <c r="K163" s="336"/>
      <c r="L163" s="89"/>
      <c r="M163" s="89" t="str">
        <f t="shared" si="5"/>
        <v>dan.bishop@ncleg.net</v>
      </c>
      <c r="N163" s="89"/>
      <c r="O163" s="89"/>
      <c r="P163" s="89"/>
      <c r="Q163" s="89"/>
      <c r="R163" s="89"/>
      <c r="T163" t="str">
        <f t="shared" si="6"/>
        <v>Senator</v>
      </c>
      <c r="U163" t="str">
        <f t="shared" si="7"/>
        <v>Bishop</v>
      </c>
      <c r="V163" t="str">
        <f t="shared" si="8"/>
        <v>dan.bishop@ncleg.net</v>
      </c>
    </row>
    <row r="164">
      <c r="A164" s="14" t="s">
        <v>286</v>
      </c>
      <c r="B164" s="31">
        <v>40.0</v>
      </c>
      <c r="C164" s="35" t="s">
        <v>2426</v>
      </c>
      <c r="D164" s="35" t="s">
        <v>10052</v>
      </c>
      <c r="E164" s="36" t="s">
        <v>49</v>
      </c>
      <c r="G164" s="219"/>
      <c r="J164" s="336"/>
      <c r="K164" s="336"/>
      <c r="L164" s="89"/>
      <c r="M164" s="89" t="str">
        <f t="shared" si="5"/>
        <v>joyce.waddell@ncleg.net</v>
      </c>
      <c r="N164" s="89"/>
      <c r="O164" s="89"/>
      <c r="P164" s="89"/>
      <c r="Q164" s="89"/>
      <c r="R164" s="89"/>
      <c r="T164" t="str">
        <f t="shared" si="6"/>
        <v/>
      </c>
      <c r="U164" t="str">
        <f t="shared" si="7"/>
        <v/>
      </c>
      <c r="V164" t="str">
        <f t="shared" si="8"/>
        <v/>
      </c>
    </row>
    <row r="165">
      <c r="A165" s="14" t="s">
        <v>286</v>
      </c>
      <c r="B165" s="31">
        <v>41.0</v>
      </c>
      <c r="C165" s="35" t="s">
        <v>354</v>
      </c>
      <c r="D165" s="35" t="s">
        <v>1161</v>
      </c>
      <c r="E165" s="36" t="s">
        <v>49</v>
      </c>
      <c r="G165" s="219"/>
      <c r="J165" s="336"/>
      <c r="K165" s="336"/>
      <c r="L165" s="89"/>
      <c r="M165" s="89" t="str">
        <f t="shared" si="5"/>
        <v>natasha.marcus@ncleg.net</v>
      </c>
      <c r="N165" s="89"/>
      <c r="O165" s="89"/>
      <c r="P165" s="89"/>
      <c r="Q165" s="89"/>
      <c r="R165" s="89"/>
      <c r="T165" t="str">
        <f t="shared" si="6"/>
        <v/>
      </c>
      <c r="U165" t="str">
        <f t="shared" si="7"/>
        <v/>
      </c>
      <c r="V165" t="str">
        <f t="shared" si="8"/>
        <v/>
      </c>
    </row>
    <row r="166">
      <c r="A166" s="14" t="s">
        <v>286</v>
      </c>
      <c r="B166" s="31">
        <v>42.0</v>
      </c>
      <c r="C166" s="35" t="s">
        <v>109</v>
      </c>
      <c r="D166" s="35" t="s">
        <v>5673</v>
      </c>
      <c r="E166" s="51" t="s">
        <v>53</v>
      </c>
      <c r="G166" s="219"/>
      <c r="J166" s="336"/>
      <c r="K166" s="336"/>
      <c r="L166" s="89"/>
      <c r="M166" s="89" t="str">
        <f t="shared" si="5"/>
        <v>andy.wells@ncleg.net</v>
      </c>
      <c r="N166" s="89"/>
      <c r="O166" s="89"/>
      <c r="P166" s="89"/>
      <c r="Q166" s="89"/>
      <c r="R166" s="89"/>
      <c r="T166" t="str">
        <f t="shared" si="6"/>
        <v>Senator</v>
      </c>
      <c r="U166" t="str">
        <f t="shared" si="7"/>
        <v>Wells</v>
      </c>
      <c r="V166" t="str">
        <f t="shared" si="8"/>
        <v>andy.wells@ncleg.net</v>
      </c>
    </row>
    <row r="167">
      <c r="A167" s="14" t="s">
        <v>286</v>
      </c>
      <c r="B167" s="31">
        <v>43.0</v>
      </c>
      <c r="C167" s="35" t="s">
        <v>2724</v>
      </c>
      <c r="D167" s="35" t="s">
        <v>2748</v>
      </c>
      <c r="E167" s="51" t="s">
        <v>53</v>
      </c>
      <c r="G167" s="219"/>
      <c r="J167" s="336"/>
      <c r="K167" s="336"/>
      <c r="L167" s="89"/>
      <c r="M167" s="89" t="str">
        <f t="shared" si="5"/>
        <v>kathy.harrington@ncleg.net</v>
      </c>
      <c r="N167" s="89"/>
      <c r="O167" s="89"/>
      <c r="P167" s="89"/>
      <c r="Q167" s="89"/>
      <c r="R167" s="89"/>
      <c r="T167" t="str">
        <f t="shared" si="6"/>
        <v>Senator</v>
      </c>
      <c r="U167" t="str">
        <f t="shared" si="7"/>
        <v>Harrington</v>
      </c>
      <c r="V167" t="str">
        <f t="shared" si="8"/>
        <v>kathy.harrington@ncleg.net</v>
      </c>
    </row>
    <row r="168">
      <c r="A168" s="14" t="s">
        <v>286</v>
      </c>
      <c r="B168" s="31">
        <v>44.0</v>
      </c>
      <c r="C168" s="74" t="s">
        <v>1998</v>
      </c>
      <c r="D168" s="74" t="s">
        <v>505</v>
      </c>
      <c r="E168" s="51" t="s">
        <v>53</v>
      </c>
      <c r="G168" s="219"/>
      <c r="J168" s="336"/>
      <c r="K168" s="336"/>
      <c r="L168" s="89"/>
      <c r="M168" s="89" t="str">
        <f t="shared" si="5"/>
        <v>ted.alexander@ncleg.net</v>
      </c>
      <c r="N168" s="89"/>
      <c r="O168" s="89"/>
      <c r="P168" s="89"/>
      <c r="Q168" s="89"/>
      <c r="R168" s="89"/>
      <c r="T168" t="str">
        <f t="shared" si="6"/>
        <v>Senator</v>
      </c>
      <c r="U168" t="str">
        <f t="shared" si="7"/>
        <v>Alexander</v>
      </c>
      <c r="V168" t="str">
        <f t="shared" si="8"/>
        <v>ted.alexander@ncleg.net</v>
      </c>
    </row>
    <row r="169">
      <c r="A169" s="14" t="s">
        <v>286</v>
      </c>
      <c r="B169" s="31">
        <v>45.0</v>
      </c>
      <c r="C169" s="35" t="s">
        <v>5265</v>
      </c>
      <c r="D169" s="35" t="s">
        <v>5012</v>
      </c>
      <c r="E169" s="51" t="s">
        <v>53</v>
      </c>
      <c r="G169" s="219"/>
      <c r="J169" s="336"/>
      <c r="K169" s="336"/>
      <c r="L169" s="89"/>
      <c r="M169" s="89" t="str">
        <f t="shared" si="5"/>
        <v>deanna.ballard@ncleg.net</v>
      </c>
      <c r="N169" s="89"/>
      <c r="O169" s="89"/>
      <c r="P169" s="89"/>
      <c r="Q169" s="89"/>
      <c r="R169" s="89"/>
      <c r="T169" t="str">
        <f t="shared" si="6"/>
        <v>Senator</v>
      </c>
      <c r="U169" t="str">
        <f t="shared" si="7"/>
        <v>Ballard</v>
      </c>
      <c r="V169" t="str">
        <f t="shared" si="8"/>
        <v>deanna.ballard@ncleg.net</v>
      </c>
    </row>
    <row r="170">
      <c r="A170" s="14" t="s">
        <v>286</v>
      </c>
      <c r="B170" s="31">
        <v>46.0</v>
      </c>
      <c r="C170" s="35" t="s">
        <v>646</v>
      </c>
      <c r="D170" s="35" t="s">
        <v>552</v>
      </c>
      <c r="E170" s="51" t="s">
        <v>53</v>
      </c>
      <c r="G170" s="219"/>
      <c r="J170" s="336"/>
      <c r="K170" s="336"/>
      <c r="L170" s="89"/>
      <c r="M170" s="89" t="str">
        <f t="shared" si="5"/>
        <v>warren.daniel@ncleg.net</v>
      </c>
      <c r="N170" s="89"/>
      <c r="O170" s="89"/>
      <c r="P170" s="89"/>
      <c r="Q170" s="89"/>
      <c r="R170" s="89"/>
      <c r="T170" t="str">
        <f t="shared" si="6"/>
        <v>Senator</v>
      </c>
      <c r="U170" t="str">
        <f t="shared" si="7"/>
        <v>Daniel</v>
      </c>
      <c r="V170" t="str">
        <f t="shared" si="8"/>
        <v>warren.daniel@ncleg.net</v>
      </c>
    </row>
    <row r="171">
      <c r="A171" s="14" t="s">
        <v>286</v>
      </c>
      <c r="B171" s="31">
        <v>47.0</v>
      </c>
      <c r="C171" s="35" t="s">
        <v>588</v>
      </c>
      <c r="D171" s="35" t="s">
        <v>10078</v>
      </c>
      <c r="E171" s="51" t="s">
        <v>53</v>
      </c>
      <c r="F171" s="14" t="s">
        <v>10079</v>
      </c>
      <c r="G171" s="219"/>
      <c r="J171" s="336"/>
      <c r="K171" s="336"/>
      <c r="L171" s="89"/>
      <c r="M171" s="89" t="str">
        <f t="shared" si="5"/>
        <v>ralph.hise@ncleg.net</v>
      </c>
      <c r="N171" s="89"/>
      <c r="O171" s="89"/>
      <c r="P171" s="89"/>
      <c r="Q171" s="89"/>
      <c r="R171" s="89"/>
      <c r="T171" t="str">
        <f t="shared" si="6"/>
        <v>Senator</v>
      </c>
      <c r="U171" t="str">
        <f t="shared" si="7"/>
        <v>Hise</v>
      </c>
      <c r="V171" t="str">
        <f t="shared" si="8"/>
        <v>ralph.hise@ncleg.net</v>
      </c>
    </row>
    <row r="172">
      <c r="A172" s="14" t="s">
        <v>286</v>
      </c>
      <c r="B172" s="31">
        <v>48.0</v>
      </c>
      <c r="C172" s="35" t="s">
        <v>177</v>
      </c>
      <c r="D172" s="35" t="s">
        <v>6476</v>
      </c>
      <c r="E172" s="51" t="s">
        <v>53</v>
      </c>
      <c r="G172" s="219"/>
      <c r="J172" s="336"/>
      <c r="K172" s="336"/>
      <c r="L172" s="89"/>
      <c r="M172" s="89" t="str">
        <f t="shared" si="5"/>
        <v>chuck.edwards@ncleg.net</v>
      </c>
      <c r="N172" s="89"/>
      <c r="O172" s="89"/>
      <c r="P172" s="89"/>
      <c r="Q172" s="89"/>
      <c r="R172" s="89"/>
      <c r="T172" t="str">
        <f t="shared" si="6"/>
        <v>Senator</v>
      </c>
      <c r="U172" t="str">
        <f t="shared" si="7"/>
        <v>Edwards</v>
      </c>
      <c r="V172" t="str">
        <f t="shared" si="8"/>
        <v>chuck.edwards@ncleg.net</v>
      </c>
    </row>
    <row r="173">
      <c r="A173" s="14" t="s">
        <v>286</v>
      </c>
      <c r="B173" s="31">
        <v>49.0</v>
      </c>
      <c r="C173" s="35" t="s">
        <v>1990</v>
      </c>
      <c r="D173" s="38" t="s">
        <v>10089</v>
      </c>
      <c r="E173" s="36" t="s">
        <v>49</v>
      </c>
      <c r="G173" s="219"/>
      <c r="J173" s="336"/>
      <c r="K173" s="336"/>
      <c r="L173" s="89"/>
      <c r="M173" s="89" t="str">
        <f t="shared" si="5"/>
        <v>terry.vanduyn@ncleg.net</v>
      </c>
      <c r="N173" s="89"/>
      <c r="O173" s="89"/>
      <c r="P173" s="89"/>
      <c r="Q173" s="89"/>
      <c r="R173" s="89"/>
      <c r="T173" t="str">
        <f t="shared" si="6"/>
        <v/>
      </c>
      <c r="U173" t="str">
        <f t="shared" si="7"/>
        <v/>
      </c>
      <c r="V173" t="str">
        <f t="shared" si="8"/>
        <v/>
      </c>
    </row>
    <row r="174">
      <c r="A174" s="14" t="s">
        <v>286</v>
      </c>
      <c r="B174" s="31">
        <v>50.0</v>
      </c>
      <c r="C174" s="35" t="s">
        <v>476</v>
      </c>
      <c r="D174" s="35" t="s">
        <v>1254</v>
      </c>
      <c r="E174" s="51" t="s">
        <v>53</v>
      </c>
      <c r="G174" s="219"/>
      <c r="J174" s="336"/>
      <c r="K174" s="336"/>
      <c r="L174" s="89"/>
      <c r="M174" s="89" t="str">
        <f t="shared" si="5"/>
        <v>jim.davis@ncleg.net</v>
      </c>
      <c r="N174" s="89"/>
      <c r="O174" s="89"/>
      <c r="P174" s="89"/>
      <c r="Q174" s="89"/>
      <c r="R174" s="89"/>
      <c r="T174" t="str">
        <f t="shared" si="6"/>
        <v>Senator</v>
      </c>
      <c r="U174" t="str">
        <f t="shared" si="7"/>
        <v>Davis</v>
      </c>
      <c r="V174" t="str">
        <f t="shared" si="8"/>
        <v>jim.davis@ncleg.net</v>
      </c>
    </row>
    <row r="175">
      <c r="A175" s="70"/>
      <c r="B175" s="70"/>
      <c r="C175" s="71"/>
      <c r="D175" s="71"/>
      <c r="E175" s="70"/>
      <c r="F175" s="70"/>
      <c r="G175" s="70"/>
      <c r="H175" s="70"/>
      <c r="I175" s="70"/>
      <c r="J175" s="70"/>
      <c r="K175" s="70"/>
      <c r="L175" s="70"/>
      <c r="M175" s="70"/>
      <c r="N175" s="70"/>
      <c r="O175" s="70"/>
      <c r="P175" s="70"/>
      <c r="Q175" s="70"/>
      <c r="R175" s="70"/>
      <c r="S175" s="70"/>
      <c r="T175" s="70"/>
      <c r="U175" s="70"/>
      <c r="V175" s="70"/>
      <c r="W175" s="70"/>
      <c r="X175" s="70"/>
      <c r="Y175" s="70"/>
      <c r="Z175" s="70"/>
      <c r="AA175" s="70"/>
      <c r="AB175" s="70"/>
      <c r="AC175" s="70"/>
      <c r="AD175" s="70"/>
      <c r="AE175" s="70"/>
      <c r="AF175" s="70"/>
      <c r="AG175" s="70"/>
      <c r="AH175" s="70"/>
    </row>
    <row r="176">
      <c r="A176" s="14" t="s">
        <v>421</v>
      </c>
      <c r="C176" s="77" t="s">
        <v>3411</v>
      </c>
      <c r="D176" s="77" t="s">
        <v>1336</v>
      </c>
      <c r="E176" s="14" t="s">
        <v>49</v>
      </c>
      <c r="F176" s="138"/>
      <c r="L176" s="89"/>
      <c r="M176" s="89"/>
      <c r="N176" s="89"/>
      <c r="O176" s="89"/>
      <c r="P176" s="89"/>
      <c r="Q176" s="89"/>
      <c r="R176" s="89"/>
    </row>
    <row r="177">
      <c r="A177" s="70"/>
      <c r="B177" s="70"/>
      <c r="C177" s="71"/>
      <c r="D177" s="71"/>
      <c r="E177" s="70"/>
      <c r="F177" s="70"/>
      <c r="G177" s="70"/>
      <c r="H177" s="70"/>
      <c r="I177" s="70"/>
      <c r="J177" s="70"/>
      <c r="K177" s="70"/>
      <c r="L177" s="70"/>
      <c r="M177" s="70"/>
      <c r="N177" s="70"/>
      <c r="O177" s="70"/>
      <c r="P177" s="70"/>
      <c r="Q177" s="70"/>
      <c r="R177" s="70"/>
      <c r="S177" s="70"/>
      <c r="T177" s="70"/>
      <c r="U177" s="70"/>
      <c r="V177" s="70"/>
      <c r="W177" s="70"/>
      <c r="X177" s="70"/>
      <c r="Y177" s="70"/>
      <c r="Z177" s="70"/>
      <c r="AA177" s="70"/>
      <c r="AB177" s="70"/>
      <c r="AC177" s="70"/>
      <c r="AD177" s="70"/>
      <c r="AE177" s="70"/>
      <c r="AF177" s="70"/>
      <c r="AG177" s="70"/>
      <c r="AH177" s="70"/>
    </row>
    <row r="178">
      <c r="A178" s="14" t="s">
        <v>427</v>
      </c>
      <c r="B178" s="14">
        <v>1.0</v>
      </c>
      <c r="C178" s="77" t="s">
        <v>10096</v>
      </c>
      <c r="D178" s="77" t="s">
        <v>10097</v>
      </c>
      <c r="E178" s="14" t="s">
        <v>49</v>
      </c>
      <c r="F178" s="138"/>
      <c r="L178" s="89"/>
      <c r="M178" s="89"/>
      <c r="N178" s="89"/>
      <c r="O178" s="89"/>
      <c r="P178" s="89"/>
      <c r="Q178" s="89"/>
      <c r="R178" s="89"/>
    </row>
    <row r="179">
      <c r="A179" s="14" t="s">
        <v>427</v>
      </c>
      <c r="B179" s="14">
        <v>2.0</v>
      </c>
      <c r="C179" s="77" t="s">
        <v>98</v>
      </c>
      <c r="D179" s="77" t="s">
        <v>10098</v>
      </c>
      <c r="E179" s="14" t="s">
        <v>53</v>
      </c>
      <c r="F179" s="138"/>
      <c r="L179" s="89"/>
      <c r="M179" s="89"/>
      <c r="N179" s="89"/>
      <c r="O179" s="89"/>
      <c r="P179" s="89"/>
      <c r="Q179" s="89"/>
      <c r="R179" s="89"/>
    </row>
    <row r="180">
      <c r="A180" s="14" t="s">
        <v>427</v>
      </c>
      <c r="B180" s="14">
        <v>3.0</v>
      </c>
      <c r="C180" s="77" t="s">
        <v>669</v>
      </c>
      <c r="D180" s="77" t="s">
        <v>706</v>
      </c>
      <c r="E180" s="14" t="s">
        <v>53</v>
      </c>
      <c r="F180" s="138"/>
      <c r="L180" s="89"/>
      <c r="M180" s="89"/>
      <c r="N180" s="89"/>
      <c r="O180" s="89"/>
      <c r="P180" s="89"/>
      <c r="Q180" s="89"/>
      <c r="R180" s="89"/>
    </row>
    <row r="181">
      <c r="A181" s="14" t="s">
        <v>427</v>
      </c>
      <c r="B181" s="14">
        <v>4.0</v>
      </c>
      <c r="C181" s="77" t="s">
        <v>108</v>
      </c>
      <c r="D181" s="77" t="s">
        <v>906</v>
      </c>
      <c r="E181" s="14" t="s">
        <v>49</v>
      </c>
      <c r="F181" s="138"/>
      <c r="L181" s="89"/>
      <c r="M181" s="89"/>
      <c r="N181" s="89"/>
      <c r="O181" s="89"/>
      <c r="P181" s="89"/>
      <c r="Q181" s="89"/>
      <c r="R181" s="89"/>
    </row>
    <row r="182">
      <c r="A182" s="14" t="s">
        <v>427</v>
      </c>
      <c r="B182" s="14">
        <v>5.0</v>
      </c>
      <c r="C182" s="77" t="s">
        <v>270</v>
      </c>
      <c r="D182" s="77" t="s">
        <v>10103</v>
      </c>
      <c r="E182" s="14" t="s">
        <v>53</v>
      </c>
      <c r="F182" s="138"/>
      <c r="L182" s="89"/>
      <c r="M182" s="89"/>
      <c r="N182" s="89"/>
      <c r="O182" s="89"/>
      <c r="P182" s="89"/>
      <c r="Q182" s="89"/>
      <c r="R182" s="89"/>
    </row>
    <row r="183">
      <c r="A183" s="14" t="s">
        <v>427</v>
      </c>
      <c r="B183" s="14">
        <v>6.0</v>
      </c>
      <c r="C183" s="77" t="s">
        <v>91</v>
      </c>
      <c r="D183" s="77" t="s">
        <v>1275</v>
      </c>
      <c r="E183" s="14" t="s">
        <v>53</v>
      </c>
      <c r="F183" s="138"/>
      <c r="L183" s="89"/>
      <c r="M183" s="89"/>
      <c r="N183" s="89"/>
      <c r="O183" s="89"/>
      <c r="P183" s="89"/>
      <c r="Q183" s="89"/>
      <c r="R183" s="89"/>
    </row>
    <row r="184">
      <c r="A184" s="14" t="s">
        <v>427</v>
      </c>
      <c r="B184" s="14">
        <v>7.0</v>
      </c>
      <c r="C184" s="77" t="s">
        <v>108</v>
      </c>
      <c r="D184" s="77" t="s">
        <v>10104</v>
      </c>
      <c r="E184" s="14" t="s">
        <v>53</v>
      </c>
      <c r="F184" s="138"/>
      <c r="L184" s="89"/>
      <c r="M184" s="89"/>
      <c r="N184" s="89"/>
      <c r="O184" s="89"/>
      <c r="P184" s="89"/>
      <c r="Q184" s="89"/>
      <c r="R184" s="89"/>
    </row>
    <row r="185">
      <c r="A185" s="14" t="s">
        <v>427</v>
      </c>
      <c r="B185" s="14">
        <v>8.0</v>
      </c>
      <c r="C185" s="77" t="s">
        <v>1112</v>
      </c>
      <c r="D185" s="77" t="s">
        <v>6808</v>
      </c>
      <c r="E185" s="14" t="s">
        <v>53</v>
      </c>
      <c r="F185" s="138"/>
      <c r="L185" s="89"/>
      <c r="M185" s="89"/>
      <c r="N185" s="89"/>
      <c r="O185" s="89"/>
      <c r="P185" s="89"/>
      <c r="Q185" s="89"/>
      <c r="R185" s="89"/>
    </row>
    <row r="186">
      <c r="A186" s="14" t="s">
        <v>427</v>
      </c>
      <c r="B186" s="14">
        <v>9.0</v>
      </c>
      <c r="C186" s="77" t="s">
        <v>91</v>
      </c>
      <c r="D186" s="77" t="s">
        <v>2362</v>
      </c>
      <c r="E186" s="14" t="s">
        <v>53</v>
      </c>
      <c r="F186" s="138"/>
      <c r="L186" s="89"/>
      <c r="M186" s="89"/>
      <c r="N186" s="89"/>
      <c r="O186" s="89"/>
      <c r="P186" s="89"/>
      <c r="Q186" s="89"/>
      <c r="R186" s="89"/>
    </row>
    <row r="187">
      <c r="A187" s="14" t="s">
        <v>427</v>
      </c>
      <c r="B187" s="14">
        <v>10.0</v>
      </c>
      <c r="C187" s="77" t="s">
        <v>1914</v>
      </c>
      <c r="D187" s="77" t="s">
        <v>10106</v>
      </c>
      <c r="E187" s="14" t="s">
        <v>53</v>
      </c>
      <c r="F187" s="138"/>
      <c r="L187" s="89"/>
      <c r="M187" s="89"/>
      <c r="N187" s="89"/>
      <c r="O187" s="89"/>
      <c r="P187" s="89"/>
      <c r="Q187" s="89"/>
      <c r="R187" s="89"/>
    </row>
    <row r="188">
      <c r="A188" s="14" t="s">
        <v>427</v>
      </c>
      <c r="B188" s="14">
        <v>11.0</v>
      </c>
      <c r="C188" s="77" t="s">
        <v>91</v>
      </c>
      <c r="D188" s="77" t="s">
        <v>3090</v>
      </c>
      <c r="E188" s="14" t="s">
        <v>53</v>
      </c>
      <c r="F188" s="138"/>
      <c r="L188" s="89"/>
      <c r="M188" s="89"/>
      <c r="N188" s="89"/>
      <c r="O188" s="89"/>
      <c r="P188" s="89"/>
      <c r="Q188" s="89"/>
      <c r="R188" s="89"/>
    </row>
    <row r="189">
      <c r="A189" s="14" t="s">
        <v>427</v>
      </c>
      <c r="B189" s="14">
        <v>12.0</v>
      </c>
      <c r="C189" s="77" t="s">
        <v>598</v>
      </c>
      <c r="D189" s="77" t="s">
        <v>5375</v>
      </c>
      <c r="E189" s="14" t="s">
        <v>49</v>
      </c>
      <c r="F189" s="138"/>
      <c r="L189" s="89"/>
      <c r="M189" s="89"/>
      <c r="N189" s="89"/>
      <c r="O189" s="89"/>
      <c r="P189" s="89"/>
      <c r="Q189" s="89"/>
      <c r="R189" s="89"/>
    </row>
    <row r="190">
      <c r="A190" s="14" t="s">
        <v>427</v>
      </c>
      <c r="B190" s="14">
        <v>13.0</v>
      </c>
      <c r="C190" s="77" t="s">
        <v>1998</v>
      </c>
      <c r="D190" s="77" t="s">
        <v>10107</v>
      </c>
      <c r="E190" s="14" t="s">
        <v>53</v>
      </c>
      <c r="F190" s="138"/>
      <c r="L190" s="89"/>
      <c r="M190" s="89"/>
      <c r="N190" s="89"/>
      <c r="O190" s="89"/>
      <c r="P190" s="89"/>
      <c r="Q190" s="89"/>
      <c r="R190" s="89"/>
    </row>
    <row r="191">
      <c r="A191" s="70"/>
      <c r="B191" s="70"/>
      <c r="C191" s="71"/>
      <c r="D191" s="71"/>
      <c r="E191" s="70"/>
      <c r="F191" s="70"/>
      <c r="G191" s="70"/>
      <c r="H191" s="70"/>
      <c r="I191" s="70"/>
      <c r="J191" s="70"/>
      <c r="K191" s="70"/>
      <c r="L191" s="70"/>
      <c r="M191" s="70"/>
      <c r="N191" s="70"/>
      <c r="O191" s="70"/>
      <c r="P191" s="70"/>
      <c r="Q191" s="70"/>
      <c r="R191" s="70"/>
      <c r="S191" s="70"/>
      <c r="T191" s="70"/>
      <c r="U191" s="70"/>
      <c r="V191" s="70"/>
      <c r="W191" s="70"/>
      <c r="X191" s="70"/>
      <c r="Y191" s="70"/>
      <c r="Z191" s="70"/>
      <c r="AA191" s="70"/>
      <c r="AB191" s="70"/>
      <c r="AC191" s="70"/>
      <c r="AD191" s="70"/>
      <c r="AE191" s="70"/>
      <c r="AF191" s="70"/>
      <c r="AG191" s="70"/>
      <c r="AH191" s="70"/>
    </row>
    <row r="192">
      <c r="A192" s="14" t="s">
        <v>430</v>
      </c>
      <c r="B192" s="14" t="s">
        <v>431</v>
      </c>
      <c r="C192" s="77" t="s">
        <v>1112</v>
      </c>
      <c r="D192" s="77" t="s">
        <v>10112</v>
      </c>
      <c r="E192" s="14" t="s">
        <v>53</v>
      </c>
      <c r="F192" s="138"/>
      <c r="L192" s="89"/>
      <c r="M192" s="89"/>
      <c r="N192" s="89"/>
      <c r="O192" s="89"/>
      <c r="P192" s="89"/>
      <c r="Q192" s="89"/>
      <c r="R192" s="89"/>
    </row>
    <row r="193">
      <c r="A193" s="14" t="s">
        <v>430</v>
      </c>
      <c r="B193" s="14" t="s">
        <v>434</v>
      </c>
      <c r="C193" s="77" t="s">
        <v>6608</v>
      </c>
      <c r="D193" s="77" t="s">
        <v>10113</v>
      </c>
      <c r="E193" s="14" t="s">
        <v>53</v>
      </c>
      <c r="F193" s="138"/>
      <c r="L193" s="89"/>
      <c r="M193" s="89"/>
      <c r="N193" s="89"/>
      <c r="O193" s="89"/>
      <c r="P193" s="89"/>
      <c r="Q193" s="89"/>
      <c r="R193" s="89"/>
    </row>
    <row r="194">
      <c r="A194" s="70"/>
      <c r="B194" s="70"/>
      <c r="C194" s="71"/>
      <c r="D194" s="71"/>
      <c r="E194" s="70"/>
      <c r="F194" s="70"/>
      <c r="G194" s="70"/>
      <c r="H194" s="70"/>
      <c r="I194" s="70"/>
      <c r="J194" s="70"/>
      <c r="K194" s="70"/>
      <c r="L194" s="70"/>
      <c r="M194" s="70"/>
      <c r="N194" s="70"/>
      <c r="O194" s="70"/>
      <c r="P194" s="70"/>
      <c r="Q194" s="70"/>
      <c r="R194" s="70"/>
      <c r="S194" s="70"/>
      <c r="T194" s="70"/>
      <c r="U194" s="70"/>
      <c r="V194" s="70"/>
      <c r="W194" s="70"/>
      <c r="X194" s="70"/>
      <c r="Y194" s="70"/>
      <c r="Z194" s="70"/>
      <c r="AA194" s="70"/>
      <c r="AB194" s="70"/>
      <c r="AC194" s="70"/>
      <c r="AD194" s="70"/>
      <c r="AE194" s="70"/>
      <c r="AF194" s="70"/>
      <c r="AG194" s="70"/>
      <c r="AH194" s="70"/>
    </row>
    <row r="195">
      <c r="A195" s="14" t="s">
        <v>438</v>
      </c>
      <c r="C195" s="77" t="s">
        <v>180</v>
      </c>
      <c r="D195" s="77" t="s">
        <v>6244</v>
      </c>
      <c r="E195" s="14" t="s">
        <v>49</v>
      </c>
      <c r="F195" s="138"/>
      <c r="L195" s="89"/>
      <c r="M195" s="89"/>
      <c r="N195" s="89"/>
      <c r="O195" s="89"/>
      <c r="P195" s="89"/>
      <c r="Q195" s="89"/>
      <c r="R195" s="89"/>
    </row>
    <row r="196">
      <c r="A196" s="70"/>
      <c r="B196" s="70"/>
      <c r="C196" s="71"/>
      <c r="D196" s="71"/>
      <c r="E196" s="70"/>
      <c r="F196" s="70"/>
      <c r="G196" s="70"/>
      <c r="H196" s="70"/>
      <c r="I196" s="70"/>
      <c r="J196" s="70"/>
      <c r="K196" s="70"/>
      <c r="L196" s="70"/>
      <c r="M196" s="70"/>
      <c r="N196" s="70"/>
      <c r="O196" s="70"/>
      <c r="P196" s="70"/>
      <c r="Q196" s="70"/>
      <c r="R196" s="70"/>
      <c r="S196" s="70"/>
      <c r="T196" s="70"/>
      <c r="U196" s="70"/>
      <c r="V196" s="70"/>
      <c r="W196" s="70"/>
      <c r="X196" s="70"/>
      <c r="Y196" s="70"/>
      <c r="Z196" s="70"/>
      <c r="AA196" s="70"/>
      <c r="AB196" s="70"/>
      <c r="AC196" s="70"/>
      <c r="AD196" s="70"/>
      <c r="AE196" s="70"/>
      <c r="AF196" s="70"/>
      <c r="AG196" s="70"/>
      <c r="AH196" s="70"/>
    </row>
    <row r="197">
      <c r="C197" s="139"/>
      <c r="D197" s="139"/>
      <c r="F197" s="138"/>
    </row>
    <row r="198">
      <c r="C198" s="139"/>
      <c r="D198" s="139"/>
      <c r="F198" s="138"/>
    </row>
    <row r="199">
      <c r="C199" s="139"/>
      <c r="D199" s="139"/>
      <c r="F199" s="138"/>
    </row>
    <row r="200">
      <c r="C200" s="139"/>
      <c r="D200" s="139"/>
      <c r="F200" s="138"/>
    </row>
    <row r="201">
      <c r="C201" s="139"/>
      <c r="D201" s="139"/>
      <c r="F201" s="138"/>
    </row>
    <row r="202">
      <c r="C202" s="139"/>
      <c r="D202" s="139"/>
      <c r="F202" s="138"/>
    </row>
    <row r="203">
      <c r="C203" s="139"/>
      <c r="D203" s="139"/>
      <c r="F203" s="138"/>
    </row>
    <row r="204">
      <c r="C204" s="139"/>
      <c r="D204" s="139"/>
      <c r="F204" s="138"/>
    </row>
    <row r="205">
      <c r="C205" s="139"/>
      <c r="D205" s="139"/>
      <c r="F205" s="138"/>
    </row>
    <row r="206">
      <c r="C206" s="139"/>
      <c r="D206" s="139"/>
      <c r="F206" s="138"/>
    </row>
    <row r="207">
      <c r="C207" s="139"/>
      <c r="D207" s="139"/>
      <c r="F207" s="138"/>
    </row>
    <row r="208">
      <c r="C208" s="139"/>
      <c r="D208" s="139"/>
      <c r="F208" s="138"/>
    </row>
    <row r="209">
      <c r="C209" s="139"/>
      <c r="D209" s="139"/>
      <c r="F209" s="138"/>
    </row>
    <row r="210">
      <c r="C210" s="139"/>
      <c r="D210" s="139"/>
      <c r="F210" s="138"/>
    </row>
    <row r="211">
      <c r="C211" s="139"/>
      <c r="D211" s="139"/>
      <c r="F211" s="138"/>
    </row>
    <row r="212">
      <c r="C212" s="139"/>
      <c r="D212" s="139"/>
      <c r="F212" s="138"/>
    </row>
    <row r="213">
      <c r="C213" s="139"/>
      <c r="D213" s="139"/>
      <c r="F213" s="138"/>
    </row>
    <row r="214">
      <c r="C214" s="139"/>
      <c r="D214" s="139"/>
      <c r="F214" s="138"/>
    </row>
    <row r="215">
      <c r="C215" s="139"/>
      <c r="D215" s="139"/>
      <c r="F215" s="138"/>
    </row>
    <row r="216">
      <c r="C216" s="139"/>
      <c r="D216" s="139"/>
      <c r="F216" s="138"/>
    </row>
    <row r="217">
      <c r="C217" s="139"/>
      <c r="D217" s="139"/>
      <c r="F217" s="138"/>
    </row>
    <row r="218">
      <c r="C218" s="139"/>
      <c r="D218" s="139"/>
      <c r="F218" s="138"/>
    </row>
    <row r="219">
      <c r="C219" s="139"/>
      <c r="D219" s="139"/>
      <c r="F219" s="138"/>
    </row>
    <row r="220">
      <c r="C220" s="139"/>
      <c r="D220" s="139"/>
      <c r="F220" s="138"/>
    </row>
    <row r="221">
      <c r="C221" s="139"/>
      <c r="D221" s="139"/>
      <c r="F221" s="138"/>
    </row>
    <row r="222">
      <c r="C222" s="139"/>
      <c r="D222" s="139"/>
      <c r="F222" s="138"/>
    </row>
    <row r="223">
      <c r="C223" s="139"/>
      <c r="D223" s="139"/>
      <c r="F223" s="138"/>
    </row>
    <row r="224">
      <c r="C224" s="139"/>
      <c r="D224" s="139"/>
      <c r="F224" s="138"/>
    </row>
    <row r="225">
      <c r="C225" s="139"/>
      <c r="D225" s="139"/>
      <c r="F225" s="138"/>
    </row>
    <row r="226">
      <c r="C226" s="139"/>
      <c r="D226" s="139"/>
      <c r="F226" s="138"/>
    </row>
    <row r="227">
      <c r="C227" s="139"/>
      <c r="D227" s="139"/>
      <c r="F227" s="138"/>
    </row>
    <row r="228">
      <c r="C228" s="139"/>
      <c r="D228" s="139"/>
      <c r="F228" s="138"/>
    </row>
    <row r="229">
      <c r="C229" s="139"/>
      <c r="D229" s="139"/>
      <c r="F229" s="138"/>
    </row>
    <row r="230">
      <c r="C230" s="139"/>
      <c r="D230" s="139"/>
      <c r="F230" s="138"/>
    </row>
    <row r="231">
      <c r="C231" s="139"/>
      <c r="D231" s="139"/>
      <c r="F231" s="138"/>
    </row>
    <row r="232">
      <c r="C232" s="139"/>
      <c r="D232" s="139"/>
      <c r="F232" s="138"/>
    </row>
    <row r="233">
      <c r="C233" s="139"/>
      <c r="D233" s="139"/>
      <c r="F233" s="138"/>
    </row>
    <row r="234">
      <c r="C234" s="139"/>
      <c r="D234" s="139"/>
      <c r="F234" s="138"/>
    </row>
    <row r="235">
      <c r="C235" s="139"/>
      <c r="D235" s="139"/>
      <c r="F235" s="138"/>
    </row>
    <row r="236">
      <c r="C236" s="139"/>
      <c r="D236" s="139"/>
      <c r="F236" s="138"/>
    </row>
    <row r="237">
      <c r="C237" s="139"/>
      <c r="D237" s="139"/>
      <c r="F237" s="138"/>
    </row>
    <row r="238">
      <c r="C238" s="139"/>
      <c r="D238" s="139"/>
      <c r="F238" s="138"/>
    </row>
    <row r="239">
      <c r="C239" s="139"/>
      <c r="D239" s="139"/>
      <c r="F239" s="138"/>
    </row>
    <row r="240">
      <c r="C240" s="139"/>
      <c r="D240" s="139"/>
      <c r="F240" s="138"/>
    </row>
    <row r="241">
      <c r="C241" s="139"/>
      <c r="D241" s="139"/>
      <c r="F241" s="138"/>
    </row>
    <row r="242">
      <c r="C242" s="139"/>
      <c r="D242" s="139"/>
      <c r="F242" s="138"/>
    </row>
    <row r="243">
      <c r="C243" s="139"/>
      <c r="D243" s="139"/>
      <c r="F243" s="138"/>
    </row>
    <row r="244">
      <c r="C244" s="139"/>
      <c r="D244" s="139"/>
      <c r="F244" s="138"/>
    </row>
    <row r="245">
      <c r="C245" s="139"/>
      <c r="D245" s="139"/>
      <c r="F245" s="138"/>
    </row>
    <row r="246">
      <c r="C246" s="139"/>
      <c r="D246" s="139"/>
      <c r="F246" s="138"/>
    </row>
    <row r="247">
      <c r="C247" s="139"/>
      <c r="D247" s="139"/>
      <c r="F247" s="138"/>
    </row>
    <row r="248">
      <c r="C248" s="139"/>
      <c r="D248" s="139"/>
      <c r="F248" s="138"/>
    </row>
    <row r="249">
      <c r="C249" s="139"/>
      <c r="D249" s="139"/>
      <c r="F249" s="138"/>
    </row>
    <row r="250">
      <c r="C250" s="139"/>
      <c r="D250" s="139"/>
      <c r="F250" s="138"/>
    </row>
    <row r="251">
      <c r="C251" s="139"/>
      <c r="D251" s="139"/>
      <c r="F251" s="138"/>
    </row>
    <row r="252">
      <c r="C252" s="139"/>
      <c r="D252" s="139"/>
      <c r="F252" s="138"/>
    </row>
    <row r="253">
      <c r="C253" s="139"/>
      <c r="D253" s="139"/>
      <c r="F253" s="138"/>
    </row>
    <row r="254">
      <c r="C254" s="139"/>
      <c r="D254" s="139"/>
      <c r="F254" s="138"/>
    </row>
    <row r="255">
      <c r="C255" s="139"/>
      <c r="D255" s="139"/>
      <c r="F255" s="138"/>
    </row>
    <row r="256">
      <c r="C256" s="139"/>
      <c r="D256" s="139"/>
      <c r="F256" s="138"/>
    </row>
    <row r="257">
      <c r="C257" s="139"/>
      <c r="D257" s="139"/>
      <c r="F257" s="138"/>
    </row>
    <row r="258">
      <c r="C258" s="139"/>
      <c r="D258" s="139"/>
      <c r="F258" s="138"/>
    </row>
    <row r="259">
      <c r="C259" s="139"/>
      <c r="D259" s="139"/>
      <c r="F259" s="138"/>
    </row>
    <row r="260">
      <c r="C260" s="139"/>
      <c r="D260" s="139"/>
      <c r="F260" s="138"/>
    </row>
    <row r="261">
      <c r="C261" s="139"/>
      <c r="D261" s="139"/>
      <c r="F261" s="138"/>
    </row>
    <row r="262">
      <c r="C262" s="139"/>
      <c r="D262" s="139"/>
      <c r="F262" s="138"/>
    </row>
    <row r="263">
      <c r="C263" s="139"/>
      <c r="D263" s="139"/>
      <c r="F263" s="138"/>
    </row>
    <row r="264">
      <c r="C264" s="139"/>
      <c r="D264" s="139"/>
      <c r="F264" s="138"/>
    </row>
    <row r="265">
      <c r="C265" s="139"/>
      <c r="D265" s="139"/>
      <c r="F265" s="138"/>
    </row>
    <row r="266">
      <c r="C266" s="139"/>
      <c r="D266" s="139"/>
      <c r="F266" s="138"/>
    </row>
    <row r="267">
      <c r="C267" s="139"/>
      <c r="D267" s="139"/>
      <c r="F267" s="138"/>
    </row>
    <row r="268">
      <c r="C268" s="139"/>
      <c r="D268" s="139"/>
      <c r="F268" s="138"/>
    </row>
    <row r="269">
      <c r="C269" s="139"/>
      <c r="D269" s="139"/>
      <c r="F269" s="138"/>
    </row>
    <row r="270">
      <c r="C270" s="139"/>
      <c r="D270" s="139"/>
      <c r="F270" s="138"/>
    </row>
    <row r="271">
      <c r="C271" s="139"/>
      <c r="D271" s="139"/>
      <c r="F271" s="138"/>
    </row>
    <row r="272">
      <c r="C272" s="139"/>
      <c r="D272" s="139"/>
      <c r="F272" s="138"/>
    </row>
    <row r="273">
      <c r="C273" s="139"/>
      <c r="D273" s="139"/>
      <c r="F273" s="138"/>
    </row>
    <row r="274">
      <c r="C274" s="139"/>
      <c r="D274" s="139"/>
      <c r="F274" s="138"/>
    </row>
    <row r="275">
      <c r="C275" s="139"/>
      <c r="D275" s="139"/>
      <c r="F275" s="138"/>
    </row>
    <row r="276">
      <c r="C276" s="139"/>
      <c r="D276" s="139"/>
      <c r="F276" s="138"/>
    </row>
    <row r="277">
      <c r="C277" s="139"/>
      <c r="D277" s="139"/>
      <c r="F277" s="138"/>
    </row>
    <row r="278">
      <c r="C278" s="139"/>
      <c r="D278" s="139"/>
      <c r="F278" s="138"/>
    </row>
    <row r="279">
      <c r="C279" s="139"/>
      <c r="D279" s="139"/>
      <c r="F279" s="138"/>
    </row>
    <row r="280">
      <c r="C280" s="139"/>
      <c r="D280" s="139"/>
      <c r="F280" s="138"/>
    </row>
    <row r="281">
      <c r="C281" s="139"/>
      <c r="D281" s="139"/>
      <c r="F281" s="138"/>
    </row>
    <row r="282">
      <c r="C282" s="139"/>
      <c r="D282" s="139"/>
      <c r="F282" s="138"/>
    </row>
    <row r="283">
      <c r="C283" s="139"/>
      <c r="D283" s="139"/>
      <c r="F283" s="138"/>
    </row>
    <row r="284">
      <c r="C284" s="139"/>
      <c r="D284" s="139"/>
      <c r="F284" s="138"/>
    </row>
    <row r="285">
      <c r="C285" s="139"/>
      <c r="D285" s="139"/>
      <c r="F285" s="138"/>
    </row>
    <row r="286">
      <c r="C286" s="139"/>
      <c r="D286" s="139"/>
      <c r="F286" s="138"/>
    </row>
    <row r="287">
      <c r="C287" s="139"/>
      <c r="D287" s="139"/>
      <c r="F287" s="138"/>
    </row>
    <row r="288">
      <c r="C288" s="139"/>
      <c r="D288" s="139"/>
      <c r="F288" s="138"/>
    </row>
    <row r="289">
      <c r="C289" s="139"/>
      <c r="D289" s="139"/>
      <c r="F289" s="138"/>
    </row>
    <row r="290">
      <c r="C290" s="139"/>
      <c r="D290" s="139"/>
      <c r="F290" s="138"/>
    </row>
    <row r="291">
      <c r="C291" s="139"/>
      <c r="D291" s="139"/>
      <c r="F291" s="138"/>
    </row>
    <row r="292">
      <c r="C292" s="139"/>
      <c r="D292" s="139"/>
      <c r="F292" s="138"/>
    </row>
    <row r="293">
      <c r="C293" s="139"/>
      <c r="D293" s="139"/>
      <c r="F293" s="138"/>
    </row>
    <row r="294">
      <c r="C294" s="139"/>
      <c r="D294" s="139"/>
      <c r="F294" s="138"/>
    </row>
    <row r="295">
      <c r="C295" s="139"/>
      <c r="D295" s="139"/>
      <c r="F295" s="138"/>
    </row>
    <row r="296">
      <c r="C296" s="139"/>
      <c r="D296" s="139"/>
      <c r="F296" s="138"/>
    </row>
    <row r="297">
      <c r="C297" s="139"/>
      <c r="D297" s="139"/>
      <c r="F297" s="138"/>
    </row>
    <row r="298">
      <c r="C298" s="139"/>
      <c r="D298" s="139"/>
      <c r="F298" s="138"/>
    </row>
    <row r="299">
      <c r="C299" s="139"/>
      <c r="D299" s="139"/>
      <c r="F299" s="138"/>
    </row>
    <row r="300">
      <c r="C300" s="139"/>
      <c r="D300" s="139"/>
      <c r="F300" s="138"/>
    </row>
    <row r="301">
      <c r="C301" s="139"/>
      <c r="D301" s="139"/>
      <c r="F301" s="138"/>
    </row>
    <row r="302">
      <c r="C302" s="139"/>
      <c r="D302" s="139"/>
      <c r="F302" s="138"/>
    </row>
    <row r="303">
      <c r="C303" s="139"/>
      <c r="D303" s="139"/>
      <c r="F303" s="138"/>
    </row>
    <row r="304">
      <c r="C304" s="139"/>
      <c r="D304" s="139"/>
      <c r="F304" s="138"/>
    </row>
    <row r="305">
      <c r="C305" s="139"/>
      <c r="D305" s="139"/>
      <c r="F305" s="138"/>
    </row>
    <row r="306">
      <c r="C306" s="139"/>
      <c r="D306" s="139"/>
      <c r="F306" s="138"/>
    </row>
    <row r="307">
      <c r="C307" s="139"/>
      <c r="D307" s="139"/>
      <c r="F307" s="138"/>
    </row>
    <row r="308">
      <c r="C308" s="139"/>
      <c r="D308" s="139"/>
      <c r="F308" s="138"/>
    </row>
    <row r="309">
      <c r="C309" s="139"/>
      <c r="D309" s="139"/>
      <c r="F309" s="138"/>
    </row>
    <row r="310">
      <c r="C310" s="139"/>
      <c r="D310" s="139"/>
      <c r="F310" s="138"/>
    </row>
    <row r="311">
      <c r="C311" s="139"/>
      <c r="D311" s="139"/>
      <c r="F311" s="138"/>
    </row>
    <row r="312">
      <c r="C312" s="139"/>
      <c r="D312" s="139"/>
      <c r="F312" s="138"/>
    </row>
    <row r="313">
      <c r="C313" s="139"/>
      <c r="D313" s="139"/>
      <c r="F313" s="138"/>
    </row>
    <row r="314">
      <c r="C314" s="139"/>
      <c r="D314" s="139"/>
      <c r="F314" s="138"/>
    </row>
    <row r="315">
      <c r="C315" s="139"/>
      <c r="D315" s="139"/>
      <c r="F315" s="138"/>
    </row>
    <row r="316">
      <c r="C316" s="139"/>
      <c r="D316" s="139"/>
      <c r="F316" s="138"/>
    </row>
    <row r="317">
      <c r="C317" s="139"/>
      <c r="D317" s="139"/>
      <c r="F317" s="138"/>
    </row>
    <row r="318">
      <c r="C318" s="139"/>
      <c r="D318" s="139"/>
      <c r="F318" s="138"/>
    </row>
    <row r="319">
      <c r="C319" s="139"/>
      <c r="D319" s="139"/>
      <c r="F319" s="138"/>
    </row>
    <row r="320">
      <c r="C320" s="139"/>
      <c r="D320" s="139"/>
      <c r="F320" s="138"/>
    </row>
    <row r="321">
      <c r="C321" s="139"/>
      <c r="D321" s="139"/>
      <c r="F321" s="138"/>
    </row>
    <row r="322">
      <c r="C322" s="139"/>
      <c r="D322" s="139"/>
      <c r="F322" s="138"/>
    </row>
    <row r="323">
      <c r="C323" s="139"/>
      <c r="D323" s="139"/>
      <c r="F323" s="138"/>
    </row>
    <row r="324">
      <c r="C324" s="139"/>
      <c r="D324" s="139"/>
      <c r="F324" s="138"/>
    </row>
    <row r="325">
      <c r="C325" s="139"/>
      <c r="D325" s="139"/>
      <c r="F325" s="138"/>
    </row>
    <row r="326">
      <c r="C326" s="139"/>
      <c r="D326" s="139"/>
      <c r="F326" s="138"/>
    </row>
    <row r="327">
      <c r="C327" s="139"/>
      <c r="D327" s="139"/>
      <c r="F327" s="138"/>
    </row>
    <row r="328">
      <c r="C328" s="139"/>
      <c r="D328" s="139"/>
      <c r="F328" s="138"/>
    </row>
    <row r="329">
      <c r="C329" s="139"/>
      <c r="D329" s="139"/>
      <c r="F329" s="138"/>
    </row>
    <row r="330">
      <c r="C330" s="139"/>
      <c r="D330" s="139"/>
      <c r="F330" s="138"/>
    </row>
    <row r="331">
      <c r="C331" s="139"/>
      <c r="D331" s="139"/>
      <c r="F331" s="138"/>
    </row>
    <row r="332">
      <c r="C332" s="139"/>
      <c r="D332" s="139"/>
      <c r="F332" s="138"/>
    </row>
    <row r="333">
      <c r="C333" s="139"/>
      <c r="D333" s="139"/>
      <c r="F333" s="138"/>
    </row>
    <row r="334">
      <c r="C334" s="139"/>
      <c r="D334" s="139"/>
      <c r="F334" s="138"/>
    </row>
    <row r="335">
      <c r="C335" s="139"/>
      <c r="D335" s="139"/>
      <c r="F335" s="138"/>
    </row>
    <row r="336">
      <c r="C336" s="139"/>
      <c r="D336" s="139"/>
      <c r="F336" s="138"/>
    </row>
    <row r="337">
      <c r="C337" s="139"/>
      <c r="D337" s="139"/>
      <c r="F337" s="138"/>
    </row>
    <row r="338">
      <c r="C338" s="139"/>
      <c r="D338" s="139"/>
      <c r="F338" s="138"/>
    </row>
    <row r="339">
      <c r="C339" s="139"/>
      <c r="D339" s="139"/>
      <c r="F339" s="138"/>
    </row>
    <row r="340">
      <c r="C340" s="139"/>
      <c r="D340" s="139"/>
      <c r="F340" s="138"/>
    </row>
    <row r="341">
      <c r="C341" s="139"/>
      <c r="D341" s="139"/>
      <c r="F341" s="138"/>
    </row>
    <row r="342">
      <c r="C342" s="139"/>
      <c r="D342" s="139"/>
      <c r="F342" s="138"/>
    </row>
    <row r="343">
      <c r="C343" s="139"/>
      <c r="D343" s="139"/>
      <c r="F343" s="138"/>
    </row>
    <row r="344">
      <c r="C344" s="139"/>
      <c r="D344" s="139"/>
      <c r="F344" s="138"/>
    </row>
    <row r="345">
      <c r="C345" s="139"/>
      <c r="D345" s="139"/>
      <c r="F345" s="138"/>
    </row>
    <row r="346">
      <c r="C346" s="139"/>
      <c r="D346" s="139"/>
      <c r="F346" s="138"/>
    </row>
    <row r="347">
      <c r="C347" s="139"/>
      <c r="D347" s="139"/>
      <c r="F347" s="138"/>
    </row>
    <row r="348">
      <c r="C348" s="139"/>
      <c r="D348" s="139"/>
      <c r="F348" s="138"/>
    </row>
    <row r="349">
      <c r="C349" s="139"/>
      <c r="D349" s="139"/>
      <c r="F349" s="138"/>
    </row>
    <row r="350">
      <c r="C350" s="139"/>
      <c r="D350" s="139"/>
      <c r="F350" s="138"/>
    </row>
    <row r="351">
      <c r="C351" s="139"/>
      <c r="D351" s="139"/>
      <c r="F351" s="138"/>
    </row>
    <row r="352">
      <c r="C352" s="139"/>
      <c r="D352" s="139"/>
      <c r="F352" s="138"/>
    </row>
    <row r="353">
      <c r="C353" s="139"/>
      <c r="D353" s="139"/>
      <c r="F353" s="138"/>
    </row>
    <row r="354">
      <c r="C354" s="139"/>
      <c r="D354" s="139"/>
      <c r="F354" s="138"/>
    </row>
    <row r="355">
      <c r="C355" s="139"/>
      <c r="D355" s="139"/>
      <c r="F355" s="138"/>
    </row>
    <row r="356">
      <c r="C356" s="139"/>
      <c r="D356" s="139"/>
      <c r="F356" s="138"/>
    </row>
    <row r="357">
      <c r="C357" s="139"/>
      <c r="D357" s="139"/>
      <c r="F357" s="138"/>
    </row>
    <row r="358">
      <c r="C358" s="139"/>
      <c r="D358" s="139"/>
      <c r="F358" s="138"/>
    </row>
    <row r="359">
      <c r="C359" s="139"/>
      <c r="D359" s="139"/>
      <c r="F359" s="138"/>
    </row>
    <row r="360">
      <c r="C360" s="139"/>
      <c r="D360" s="139"/>
      <c r="F360" s="138"/>
    </row>
    <row r="361">
      <c r="C361" s="139"/>
      <c r="D361" s="139"/>
      <c r="F361" s="138"/>
    </row>
    <row r="362">
      <c r="C362" s="139"/>
      <c r="D362" s="139"/>
      <c r="F362" s="138"/>
    </row>
    <row r="363">
      <c r="C363" s="139"/>
      <c r="D363" s="139"/>
      <c r="F363" s="138"/>
    </row>
    <row r="364">
      <c r="C364" s="139"/>
      <c r="D364" s="139"/>
      <c r="F364" s="138"/>
    </row>
    <row r="365">
      <c r="C365" s="139"/>
      <c r="D365" s="139"/>
      <c r="F365" s="138"/>
    </row>
    <row r="366">
      <c r="C366" s="139"/>
      <c r="D366" s="139"/>
      <c r="F366" s="138"/>
    </row>
    <row r="367">
      <c r="C367" s="139"/>
      <c r="D367" s="139"/>
      <c r="F367" s="138"/>
    </row>
    <row r="368">
      <c r="C368" s="139"/>
      <c r="D368" s="139"/>
      <c r="F368" s="138"/>
    </row>
    <row r="369">
      <c r="C369" s="139"/>
      <c r="D369" s="139"/>
      <c r="F369" s="138"/>
    </row>
    <row r="370">
      <c r="C370" s="139"/>
      <c r="D370" s="139"/>
      <c r="F370" s="138"/>
    </row>
    <row r="371">
      <c r="C371" s="139"/>
      <c r="D371" s="139"/>
      <c r="F371" s="138"/>
    </row>
    <row r="372">
      <c r="C372" s="139"/>
      <c r="D372" s="139"/>
      <c r="F372" s="138"/>
    </row>
    <row r="373">
      <c r="C373" s="139"/>
      <c r="D373" s="139"/>
      <c r="F373" s="138"/>
    </row>
    <row r="374">
      <c r="C374" s="139"/>
      <c r="D374" s="139"/>
      <c r="F374" s="138"/>
    </row>
    <row r="375">
      <c r="C375" s="139"/>
      <c r="D375" s="139"/>
      <c r="F375" s="138"/>
    </row>
    <row r="376">
      <c r="C376" s="139"/>
      <c r="D376" s="139"/>
      <c r="F376" s="138"/>
    </row>
    <row r="377">
      <c r="C377" s="139"/>
      <c r="D377" s="139"/>
      <c r="F377" s="138"/>
    </row>
    <row r="378">
      <c r="C378" s="139"/>
      <c r="D378" s="139"/>
      <c r="F378" s="138"/>
    </row>
    <row r="379">
      <c r="C379" s="139"/>
      <c r="D379" s="139"/>
      <c r="F379" s="138"/>
    </row>
    <row r="380">
      <c r="C380" s="139"/>
      <c r="D380" s="139"/>
      <c r="F380" s="138"/>
    </row>
    <row r="381">
      <c r="C381" s="139"/>
      <c r="D381" s="139"/>
      <c r="F381" s="138"/>
    </row>
    <row r="382">
      <c r="C382" s="139"/>
      <c r="D382" s="139"/>
      <c r="F382" s="138"/>
    </row>
    <row r="383">
      <c r="C383" s="139"/>
      <c r="D383" s="139"/>
      <c r="F383" s="138"/>
    </row>
    <row r="384">
      <c r="C384" s="139"/>
      <c r="D384" s="139"/>
      <c r="F384" s="138"/>
    </row>
    <row r="385">
      <c r="C385" s="139"/>
      <c r="D385" s="139"/>
      <c r="F385" s="138"/>
    </row>
    <row r="386">
      <c r="C386" s="139"/>
      <c r="D386" s="139"/>
      <c r="F386" s="138"/>
    </row>
    <row r="387">
      <c r="C387" s="139"/>
      <c r="D387" s="139"/>
      <c r="F387" s="138"/>
    </row>
    <row r="388">
      <c r="C388" s="139"/>
      <c r="D388" s="139"/>
      <c r="F388" s="138"/>
    </row>
    <row r="389">
      <c r="C389" s="139"/>
      <c r="D389" s="139"/>
      <c r="F389" s="138"/>
    </row>
    <row r="390">
      <c r="C390" s="139"/>
      <c r="D390" s="139"/>
      <c r="F390" s="138"/>
    </row>
    <row r="391">
      <c r="C391" s="139"/>
      <c r="D391" s="139"/>
      <c r="F391" s="138"/>
    </row>
    <row r="392">
      <c r="C392" s="139"/>
      <c r="D392" s="139"/>
      <c r="F392" s="138"/>
    </row>
    <row r="393">
      <c r="C393" s="139"/>
      <c r="D393" s="139"/>
      <c r="F393" s="138"/>
    </row>
    <row r="394">
      <c r="C394" s="139"/>
      <c r="D394" s="139"/>
      <c r="F394" s="138"/>
    </row>
    <row r="395">
      <c r="C395" s="139"/>
      <c r="D395" s="139"/>
      <c r="F395" s="138"/>
    </row>
    <row r="396">
      <c r="C396" s="139"/>
      <c r="D396" s="139"/>
      <c r="F396" s="138"/>
    </row>
    <row r="397">
      <c r="C397" s="139"/>
      <c r="D397" s="139"/>
      <c r="F397" s="138"/>
    </row>
    <row r="398">
      <c r="C398" s="139"/>
      <c r="D398" s="139"/>
      <c r="F398" s="138"/>
    </row>
    <row r="399">
      <c r="C399" s="139"/>
      <c r="D399" s="139"/>
      <c r="F399" s="138"/>
    </row>
    <row r="400">
      <c r="C400" s="139"/>
      <c r="D400" s="139"/>
      <c r="F400" s="138"/>
    </row>
    <row r="401">
      <c r="C401" s="139"/>
      <c r="D401" s="139"/>
      <c r="F401" s="138"/>
    </row>
    <row r="402">
      <c r="C402" s="139"/>
      <c r="D402" s="139"/>
      <c r="F402" s="138"/>
    </row>
    <row r="403">
      <c r="C403" s="139"/>
      <c r="D403" s="139"/>
      <c r="F403" s="138"/>
    </row>
    <row r="404">
      <c r="C404" s="139"/>
      <c r="D404" s="139"/>
      <c r="F404" s="138"/>
    </row>
    <row r="405">
      <c r="C405" s="139"/>
      <c r="D405" s="139"/>
      <c r="F405" s="138"/>
    </row>
    <row r="406">
      <c r="C406" s="139"/>
      <c r="D406" s="139"/>
      <c r="F406" s="138"/>
    </row>
    <row r="407">
      <c r="C407" s="139"/>
      <c r="D407" s="139"/>
      <c r="F407" s="138"/>
    </row>
    <row r="408">
      <c r="C408" s="139"/>
      <c r="D408" s="139"/>
      <c r="F408" s="138"/>
    </row>
    <row r="409">
      <c r="C409" s="139"/>
      <c r="D409" s="139"/>
      <c r="F409" s="138"/>
    </row>
    <row r="410">
      <c r="C410" s="139"/>
      <c r="D410" s="139"/>
      <c r="F410" s="138"/>
    </row>
    <row r="411">
      <c r="C411" s="139"/>
      <c r="D411" s="139"/>
      <c r="F411" s="138"/>
    </row>
    <row r="412">
      <c r="C412" s="139"/>
      <c r="D412" s="139"/>
      <c r="F412" s="138"/>
    </row>
    <row r="413">
      <c r="C413" s="139"/>
      <c r="D413" s="139"/>
      <c r="F413" s="138"/>
    </row>
    <row r="414">
      <c r="C414" s="139"/>
      <c r="D414" s="139"/>
      <c r="F414" s="138"/>
    </row>
    <row r="415">
      <c r="C415" s="139"/>
      <c r="D415" s="139"/>
      <c r="F415" s="138"/>
    </row>
    <row r="416">
      <c r="C416" s="139"/>
      <c r="D416" s="139"/>
      <c r="F416" s="138"/>
    </row>
    <row r="417">
      <c r="C417" s="139"/>
      <c r="D417" s="139"/>
      <c r="F417" s="138"/>
    </row>
    <row r="418">
      <c r="C418" s="139"/>
      <c r="D418" s="139"/>
      <c r="F418" s="138"/>
    </row>
    <row r="419">
      <c r="C419" s="139"/>
      <c r="D419" s="139"/>
      <c r="F419" s="138"/>
    </row>
    <row r="420">
      <c r="C420" s="139"/>
      <c r="D420" s="139"/>
      <c r="F420" s="138"/>
    </row>
    <row r="421">
      <c r="C421" s="139"/>
      <c r="D421" s="139"/>
      <c r="F421" s="138"/>
    </row>
    <row r="422">
      <c r="C422" s="139"/>
      <c r="D422" s="139"/>
      <c r="F422" s="138"/>
    </row>
    <row r="423">
      <c r="C423" s="139"/>
      <c r="D423" s="139"/>
      <c r="F423" s="138"/>
    </row>
    <row r="424">
      <c r="C424" s="139"/>
      <c r="D424" s="139"/>
      <c r="F424" s="138"/>
    </row>
    <row r="425">
      <c r="C425" s="139"/>
      <c r="D425" s="139"/>
      <c r="F425" s="138"/>
    </row>
    <row r="426">
      <c r="C426" s="139"/>
      <c r="D426" s="139"/>
      <c r="F426" s="138"/>
    </row>
    <row r="427">
      <c r="C427" s="139"/>
      <c r="D427" s="139"/>
      <c r="F427" s="138"/>
    </row>
    <row r="428">
      <c r="C428" s="139"/>
      <c r="D428" s="139"/>
      <c r="F428" s="138"/>
    </row>
    <row r="429">
      <c r="C429" s="139"/>
      <c r="D429" s="139"/>
      <c r="F429" s="138"/>
    </row>
    <row r="430">
      <c r="C430" s="139"/>
      <c r="D430" s="139"/>
      <c r="F430" s="138"/>
    </row>
    <row r="431">
      <c r="C431" s="139"/>
      <c r="D431" s="139"/>
      <c r="F431" s="138"/>
    </row>
    <row r="432">
      <c r="C432" s="139"/>
      <c r="D432" s="139"/>
      <c r="F432" s="138"/>
    </row>
    <row r="433">
      <c r="C433" s="139"/>
      <c r="D433" s="139"/>
      <c r="F433" s="138"/>
    </row>
    <row r="434">
      <c r="C434" s="139"/>
      <c r="D434" s="139"/>
      <c r="F434" s="138"/>
    </row>
    <row r="435">
      <c r="C435" s="139"/>
      <c r="D435" s="139"/>
      <c r="F435" s="138"/>
    </row>
    <row r="436">
      <c r="C436" s="139"/>
      <c r="D436" s="139"/>
      <c r="F436" s="138"/>
    </row>
    <row r="437">
      <c r="C437" s="139"/>
      <c r="D437" s="139"/>
      <c r="F437" s="138"/>
    </row>
    <row r="438">
      <c r="C438" s="139"/>
      <c r="D438" s="139"/>
      <c r="F438" s="138"/>
    </row>
    <row r="439">
      <c r="C439" s="139"/>
      <c r="D439" s="139"/>
      <c r="F439" s="138"/>
    </row>
    <row r="440">
      <c r="C440" s="139"/>
      <c r="D440" s="139"/>
      <c r="F440" s="138"/>
    </row>
    <row r="441">
      <c r="C441" s="139"/>
      <c r="D441" s="139"/>
      <c r="F441" s="138"/>
    </row>
    <row r="442">
      <c r="C442" s="139"/>
      <c r="D442" s="139"/>
      <c r="F442" s="138"/>
    </row>
    <row r="443">
      <c r="C443" s="139"/>
      <c r="D443" s="139"/>
      <c r="F443" s="138"/>
    </row>
    <row r="444">
      <c r="C444" s="139"/>
      <c r="D444" s="139"/>
      <c r="F444" s="138"/>
    </row>
    <row r="445">
      <c r="C445" s="139"/>
      <c r="D445" s="139"/>
      <c r="F445" s="138"/>
    </row>
    <row r="446">
      <c r="C446" s="139"/>
      <c r="D446" s="139"/>
      <c r="F446" s="138"/>
    </row>
    <row r="447">
      <c r="C447" s="139"/>
      <c r="D447" s="139"/>
      <c r="F447" s="138"/>
    </row>
    <row r="448">
      <c r="C448" s="139"/>
      <c r="D448" s="139"/>
      <c r="F448" s="138"/>
    </row>
    <row r="449">
      <c r="C449" s="139"/>
      <c r="D449" s="139"/>
      <c r="F449" s="138"/>
    </row>
    <row r="450">
      <c r="C450" s="139"/>
      <c r="D450" s="139"/>
      <c r="F450" s="138"/>
    </row>
    <row r="451">
      <c r="C451" s="139"/>
      <c r="D451" s="139"/>
      <c r="F451" s="138"/>
    </row>
    <row r="452">
      <c r="C452" s="139"/>
      <c r="D452" s="139"/>
      <c r="F452" s="138"/>
    </row>
    <row r="453">
      <c r="C453" s="139"/>
      <c r="D453" s="139"/>
      <c r="F453" s="138"/>
    </row>
    <row r="454">
      <c r="C454" s="139"/>
      <c r="D454" s="139"/>
      <c r="F454" s="138"/>
    </row>
    <row r="455">
      <c r="C455" s="139"/>
      <c r="D455" s="139"/>
      <c r="F455" s="138"/>
    </row>
    <row r="456">
      <c r="C456" s="139"/>
      <c r="D456" s="139"/>
      <c r="F456" s="138"/>
    </row>
    <row r="457">
      <c r="C457" s="139"/>
      <c r="D457" s="139"/>
      <c r="F457" s="138"/>
    </row>
    <row r="458">
      <c r="C458" s="139"/>
      <c r="D458" s="139"/>
      <c r="F458" s="138"/>
    </row>
    <row r="459">
      <c r="C459" s="139"/>
      <c r="D459" s="139"/>
      <c r="F459" s="138"/>
    </row>
    <row r="460">
      <c r="C460" s="139"/>
      <c r="D460" s="139"/>
      <c r="F460" s="138"/>
    </row>
    <row r="461">
      <c r="C461" s="139"/>
      <c r="D461" s="139"/>
      <c r="F461" s="138"/>
    </row>
    <row r="462">
      <c r="C462" s="139"/>
      <c r="D462" s="139"/>
      <c r="F462" s="138"/>
    </row>
    <row r="463">
      <c r="C463" s="139"/>
      <c r="D463" s="139"/>
      <c r="F463" s="138"/>
    </row>
    <row r="464">
      <c r="C464" s="139"/>
      <c r="D464" s="139"/>
      <c r="F464" s="138"/>
    </row>
    <row r="465">
      <c r="C465" s="139"/>
      <c r="D465" s="139"/>
      <c r="F465" s="138"/>
    </row>
    <row r="466">
      <c r="C466" s="139"/>
      <c r="D466" s="139"/>
      <c r="F466" s="138"/>
    </row>
    <row r="467">
      <c r="C467" s="139"/>
      <c r="D467" s="139"/>
      <c r="F467" s="138"/>
    </row>
    <row r="468">
      <c r="C468" s="139"/>
      <c r="D468" s="139"/>
      <c r="F468" s="138"/>
    </row>
    <row r="469">
      <c r="C469" s="139"/>
      <c r="D469" s="139"/>
      <c r="F469" s="138"/>
    </row>
    <row r="470">
      <c r="C470" s="139"/>
      <c r="D470" s="139"/>
      <c r="F470" s="138"/>
    </row>
    <row r="471">
      <c r="C471" s="139"/>
      <c r="D471" s="139"/>
      <c r="F471" s="138"/>
    </row>
    <row r="472">
      <c r="C472" s="139"/>
      <c r="D472" s="139"/>
      <c r="F472" s="138"/>
    </row>
    <row r="473">
      <c r="C473" s="139"/>
      <c r="D473" s="139"/>
      <c r="F473" s="138"/>
    </row>
    <row r="474">
      <c r="C474" s="139"/>
      <c r="D474" s="139"/>
      <c r="F474" s="138"/>
    </row>
    <row r="475">
      <c r="C475" s="139"/>
      <c r="D475" s="139"/>
      <c r="F475" s="138"/>
    </row>
    <row r="476">
      <c r="C476" s="139"/>
      <c r="D476" s="139"/>
      <c r="F476" s="138"/>
    </row>
    <row r="477">
      <c r="C477" s="139"/>
      <c r="D477" s="139"/>
      <c r="F477" s="138"/>
    </row>
    <row r="478">
      <c r="C478" s="139"/>
      <c r="D478" s="139"/>
      <c r="F478" s="138"/>
    </row>
    <row r="479">
      <c r="C479" s="139"/>
      <c r="D479" s="139"/>
      <c r="F479" s="138"/>
    </row>
    <row r="480">
      <c r="C480" s="139"/>
      <c r="D480" s="139"/>
      <c r="F480" s="138"/>
    </row>
    <row r="481">
      <c r="C481" s="139"/>
      <c r="D481" s="139"/>
      <c r="F481" s="138"/>
    </row>
    <row r="482">
      <c r="C482" s="139"/>
      <c r="D482" s="139"/>
      <c r="F482" s="138"/>
    </row>
    <row r="483">
      <c r="C483" s="139"/>
      <c r="D483" s="139"/>
      <c r="F483" s="138"/>
    </row>
    <row r="484">
      <c r="C484" s="139"/>
      <c r="D484" s="139"/>
      <c r="F484" s="138"/>
    </row>
    <row r="485">
      <c r="C485" s="139"/>
      <c r="D485" s="139"/>
      <c r="F485" s="138"/>
    </row>
    <row r="486">
      <c r="C486" s="139"/>
      <c r="D486" s="139"/>
      <c r="F486" s="138"/>
    </row>
    <row r="487">
      <c r="C487" s="139"/>
      <c r="D487" s="139"/>
      <c r="F487" s="138"/>
    </row>
    <row r="488">
      <c r="C488" s="139"/>
      <c r="D488" s="139"/>
      <c r="F488" s="138"/>
    </row>
    <row r="489">
      <c r="C489" s="139"/>
      <c r="D489" s="139"/>
      <c r="F489" s="138"/>
    </row>
    <row r="490">
      <c r="C490" s="139"/>
      <c r="D490" s="139"/>
      <c r="F490" s="138"/>
    </row>
    <row r="491">
      <c r="C491" s="139"/>
      <c r="D491" s="139"/>
      <c r="F491" s="138"/>
    </row>
    <row r="492">
      <c r="C492" s="139"/>
      <c r="D492" s="139"/>
      <c r="F492" s="138"/>
    </row>
    <row r="493">
      <c r="C493" s="139"/>
      <c r="D493" s="139"/>
      <c r="F493" s="138"/>
    </row>
    <row r="494">
      <c r="C494" s="139"/>
      <c r="D494" s="139"/>
      <c r="F494" s="138"/>
    </row>
    <row r="495">
      <c r="C495" s="139"/>
      <c r="D495" s="139"/>
      <c r="F495" s="138"/>
    </row>
    <row r="496">
      <c r="C496" s="139"/>
      <c r="D496" s="139"/>
      <c r="F496" s="138"/>
    </row>
    <row r="497">
      <c r="C497" s="139"/>
      <c r="D497" s="139"/>
      <c r="F497" s="138"/>
    </row>
    <row r="498">
      <c r="C498" s="139"/>
      <c r="D498" s="139"/>
      <c r="F498" s="138"/>
    </row>
    <row r="499">
      <c r="C499" s="139"/>
      <c r="D499" s="139"/>
      <c r="F499" s="138"/>
    </row>
    <row r="500">
      <c r="C500" s="139"/>
      <c r="D500" s="139"/>
      <c r="F500" s="138"/>
    </row>
    <row r="501">
      <c r="C501" s="139"/>
      <c r="D501" s="139"/>
      <c r="F501" s="138"/>
    </row>
    <row r="502">
      <c r="C502" s="139"/>
      <c r="D502" s="139"/>
      <c r="F502" s="138"/>
    </row>
    <row r="503">
      <c r="C503" s="139"/>
      <c r="D503" s="139"/>
      <c r="F503" s="138"/>
    </row>
    <row r="504">
      <c r="C504" s="139"/>
      <c r="D504" s="139"/>
      <c r="F504" s="138"/>
    </row>
    <row r="505">
      <c r="C505" s="139"/>
      <c r="D505" s="139"/>
      <c r="F505" s="138"/>
    </row>
    <row r="506">
      <c r="C506" s="139"/>
      <c r="D506" s="139"/>
      <c r="F506" s="138"/>
    </row>
    <row r="507">
      <c r="C507" s="139"/>
      <c r="D507" s="139"/>
      <c r="F507" s="138"/>
    </row>
    <row r="508">
      <c r="C508" s="139"/>
      <c r="D508" s="139"/>
      <c r="F508" s="138"/>
    </row>
    <row r="509">
      <c r="C509" s="139"/>
      <c r="D509" s="139"/>
      <c r="F509" s="138"/>
    </row>
    <row r="510">
      <c r="C510" s="139"/>
      <c r="D510" s="139"/>
      <c r="F510" s="138"/>
    </row>
    <row r="511">
      <c r="C511" s="139"/>
      <c r="D511" s="139"/>
      <c r="F511" s="138"/>
    </row>
    <row r="512">
      <c r="C512" s="139"/>
      <c r="D512" s="139"/>
      <c r="F512" s="138"/>
    </row>
    <row r="513">
      <c r="C513" s="139"/>
      <c r="D513" s="139"/>
      <c r="F513" s="138"/>
    </row>
    <row r="514">
      <c r="C514" s="139"/>
      <c r="D514" s="139"/>
      <c r="F514" s="138"/>
    </row>
    <row r="515">
      <c r="C515" s="139"/>
      <c r="D515" s="139"/>
      <c r="F515" s="138"/>
    </row>
    <row r="516">
      <c r="C516" s="139"/>
      <c r="D516" s="139"/>
      <c r="F516" s="138"/>
    </row>
    <row r="517">
      <c r="C517" s="139"/>
      <c r="D517" s="139"/>
      <c r="F517" s="138"/>
    </row>
    <row r="518">
      <c r="C518" s="139"/>
      <c r="D518" s="139"/>
      <c r="F518" s="138"/>
    </row>
    <row r="519">
      <c r="C519" s="139"/>
      <c r="D519" s="139"/>
      <c r="F519" s="138"/>
    </row>
    <row r="520">
      <c r="C520" s="139"/>
      <c r="D520" s="139"/>
      <c r="F520" s="138"/>
    </row>
    <row r="521">
      <c r="C521" s="139"/>
      <c r="D521" s="139"/>
      <c r="F521" s="138"/>
    </row>
    <row r="522">
      <c r="C522" s="139"/>
      <c r="D522" s="139"/>
      <c r="F522" s="138"/>
    </row>
    <row r="523">
      <c r="C523" s="139"/>
      <c r="D523" s="139"/>
      <c r="F523" s="138"/>
    </row>
    <row r="524">
      <c r="C524" s="139"/>
      <c r="D524" s="139"/>
      <c r="F524" s="138"/>
    </row>
    <row r="525">
      <c r="C525" s="139"/>
      <c r="D525" s="139"/>
      <c r="F525" s="138"/>
    </row>
    <row r="526">
      <c r="C526" s="139"/>
      <c r="D526" s="139"/>
      <c r="F526" s="138"/>
    </row>
    <row r="527">
      <c r="C527" s="139"/>
      <c r="D527" s="139"/>
      <c r="F527" s="138"/>
    </row>
    <row r="528">
      <c r="C528" s="139"/>
      <c r="D528" s="139"/>
      <c r="F528" s="138"/>
    </row>
    <row r="529">
      <c r="C529" s="139"/>
      <c r="D529" s="139"/>
      <c r="F529" s="138"/>
    </row>
    <row r="530">
      <c r="C530" s="139"/>
      <c r="D530" s="139"/>
      <c r="F530" s="138"/>
    </row>
    <row r="531">
      <c r="C531" s="139"/>
      <c r="D531" s="139"/>
      <c r="F531" s="138"/>
    </row>
    <row r="532">
      <c r="C532" s="139"/>
      <c r="D532" s="139"/>
      <c r="F532" s="138"/>
    </row>
    <row r="533">
      <c r="C533" s="139"/>
      <c r="D533" s="139"/>
      <c r="F533" s="138"/>
    </row>
    <row r="534">
      <c r="C534" s="139"/>
      <c r="D534" s="139"/>
      <c r="F534" s="138"/>
    </row>
    <row r="535">
      <c r="C535" s="139"/>
      <c r="D535" s="139"/>
      <c r="F535" s="138"/>
    </row>
    <row r="536">
      <c r="C536" s="139"/>
      <c r="D536" s="139"/>
      <c r="F536" s="138"/>
    </row>
    <row r="537">
      <c r="C537" s="139"/>
      <c r="D537" s="139"/>
      <c r="F537" s="138"/>
    </row>
    <row r="538">
      <c r="C538" s="139"/>
      <c r="D538" s="139"/>
      <c r="F538" s="138"/>
    </row>
    <row r="539">
      <c r="C539" s="139"/>
      <c r="D539" s="139"/>
      <c r="F539" s="138"/>
    </row>
    <row r="540">
      <c r="C540" s="139"/>
      <c r="D540" s="139"/>
      <c r="F540" s="138"/>
    </row>
    <row r="541">
      <c r="C541" s="139"/>
      <c r="D541" s="139"/>
      <c r="F541" s="138"/>
    </row>
    <row r="542">
      <c r="C542" s="139"/>
      <c r="D542" s="139"/>
      <c r="F542" s="138"/>
    </row>
    <row r="543">
      <c r="C543" s="139"/>
      <c r="D543" s="139"/>
      <c r="F543" s="138"/>
    </row>
    <row r="544">
      <c r="C544" s="139"/>
      <c r="D544" s="139"/>
      <c r="F544" s="138"/>
    </row>
    <row r="545">
      <c r="C545" s="139"/>
      <c r="D545" s="139"/>
      <c r="F545" s="138"/>
    </row>
    <row r="546">
      <c r="C546" s="139"/>
      <c r="D546" s="139"/>
      <c r="F546" s="138"/>
    </row>
    <row r="547">
      <c r="C547" s="139"/>
      <c r="D547" s="139"/>
      <c r="F547" s="138"/>
    </row>
    <row r="548">
      <c r="C548" s="139"/>
      <c r="D548" s="139"/>
      <c r="F548" s="138"/>
    </row>
    <row r="549">
      <c r="C549" s="139"/>
      <c r="D549" s="139"/>
      <c r="F549" s="138"/>
    </row>
    <row r="550">
      <c r="C550" s="139"/>
      <c r="D550" s="139"/>
      <c r="F550" s="138"/>
    </row>
    <row r="551">
      <c r="C551" s="139"/>
      <c r="D551" s="139"/>
      <c r="F551" s="138"/>
    </row>
    <row r="552">
      <c r="C552" s="139"/>
      <c r="D552" s="139"/>
      <c r="F552" s="138"/>
    </row>
    <row r="553">
      <c r="C553" s="139"/>
      <c r="D553" s="139"/>
      <c r="F553" s="138"/>
    </row>
    <row r="554">
      <c r="C554" s="139"/>
      <c r="D554" s="139"/>
      <c r="F554" s="138"/>
    </row>
    <row r="555">
      <c r="C555" s="139"/>
      <c r="D555" s="139"/>
      <c r="F555" s="138"/>
    </row>
    <row r="556">
      <c r="C556" s="139"/>
      <c r="D556" s="139"/>
      <c r="F556" s="138"/>
    </row>
    <row r="557">
      <c r="C557" s="139"/>
      <c r="D557" s="139"/>
      <c r="F557" s="138"/>
    </row>
    <row r="558">
      <c r="C558" s="139"/>
      <c r="D558" s="139"/>
      <c r="F558" s="138"/>
    </row>
    <row r="559">
      <c r="C559" s="139"/>
      <c r="D559" s="139"/>
      <c r="F559" s="138"/>
    </row>
    <row r="560">
      <c r="C560" s="139"/>
      <c r="D560" s="139"/>
      <c r="F560" s="138"/>
    </row>
    <row r="561">
      <c r="C561" s="139"/>
      <c r="D561" s="139"/>
      <c r="F561" s="138"/>
    </row>
    <row r="562">
      <c r="C562" s="139"/>
      <c r="D562" s="139"/>
      <c r="F562" s="138"/>
    </row>
    <row r="563">
      <c r="C563" s="139"/>
      <c r="D563" s="139"/>
      <c r="F563" s="138"/>
    </row>
    <row r="564">
      <c r="C564" s="139"/>
      <c r="D564" s="139"/>
      <c r="F564" s="138"/>
    </row>
    <row r="565">
      <c r="C565" s="139"/>
      <c r="D565" s="139"/>
      <c r="F565" s="138"/>
    </row>
    <row r="566">
      <c r="C566" s="139"/>
      <c r="D566" s="139"/>
      <c r="F566" s="138"/>
    </row>
    <row r="567">
      <c r="C567" s="139"/>
      <c r="D567" s="139"/>
      <c r="F567" s="138"/>
    </row>
    <row r="568">
      <c r="C568" s="139"/>
      <c r="D568" s="139"/>
      <c r="F568" s="138"/>
    </row>
    <row r="569">
      <c r="C569" s="139"/>
      <c r="D569" s="139"/>
      <c r="F569" s="138"/>
    </row>
    <row r="570">
      <c r="C570" s="139"/>
      <c r="D570" s="139"/>
      <c r="F570" s="138"/>
    </row>
    <row r="571">
      <c r="C571" s="139"/>
      <c r="D571" s="139"/>
      <c r="F571" s="138"/>
    </row>
    <row r="572">
      <c r="C572" s="139"/>
      <c r="D572" s="139"/>
      <c r="F572" s="138"/>
    </row>
    <row r="573">
      <c r="C573" s="139"/>
      <c r="D573" s="139"/>
      <c r="F573" s="138"/>
    </row>
    <row r="574">
      <c r="C574" s="139"/>
      <c r="D574" s="139"/>
      <c r="F574" s="138"/>
    </row>
    <row r="575">
      <c r="C575" s="139"/>
      <c r="D575" s="139"/>
      <c r="F575" s="138"/>
    </row>
    <row r="576">
      <c r="C576" s="139"/>
      <c r="D576" s="139"/>
      <c r="F576" s="138"/>
    </row>
    <row r="577">
      <c r="C577" s="139"/>
      <c r="D577" s="139"/>
      <c r="F577" s="138"/>
    </row>
    <row r="578">
      <c r="C578" s="139"/>
      <c r="D578" s="139"/>
      <c r="F578" s="138"/>
    </row>
    <row r="579">
      <c r="C579" s="139"/>
      <c r="D579" s="139"/>
      <c r="F579" s="138"/>
    </row>
    <row r="580">
      <c r="C580" s="139"/>
      <c r="D580" s="139"/>
      <c r="F580" s="138"/>
    </row>
    <row r="581">
      <c r="C581" s="139"/>
      <c r="D581" s="139"/>
      <c r="F581" s="138"/>
    </row>
    <row r="582">
      <c r="C582" s="139"/>
      <c r="D582" s="139"/>
      <c r="F582" s="138"/>
    </row>
    <row r="583">
      <c r="C583" s="139"/>
      <c r="D583" s="139"/>
      <c r="F583" s="138"/>
    </row>
    <row r="584">
      <c r="C584" s="139"/>
      <c r="D584" s="139"/>
      <c r="F584" s="138"/>
    </row>
    <row r="585">
      <c r="C585" s="139"/>
      <c r="D585" s="139"/>
      <c r="F585" s="138"/>
    </row>
    <row r="586">
      <c r="C586" s="139"/>
      <c r="D586" s="139"/>
      <c r="F586" s="138"/>
    </row>
    <row r="587">
      <c r="C587" s="139"/>
      <c r="D587" s="139"/>
      <c r="F587" s="138"/>
    </row>
    <row r="588">
      <c r="C588" s="139"/>
      <c r="D588" s="139"/>
      <c r="F588" s="138"/>
    </row>
    <row r="589">
      <c r="C589" s="139"/>
      <c r="D589" s="139"/>
      <c r="F589" s="138"/>
    </row>
    <row r="590">
      <c r="C590" s="139"/>
      <c r="D590" s="139"/>
      <c r="F590" s="138"/>
    </row>
    <row r="591">
      <c r="C591" s="139"/>
      <c r="D591" s="139"/>
      <c r="F591" s="138"/>
    </row>
    <row r="592">
      <c r="C592" s="139"/>
      <c r="D592" s="139"/>
      <c r="F592" s="138"/>
    </row>
    <row r="593">
      <c r="C593" s="139"/>
      <c r="D593" s="139"/>
      <c r="F593" s="138"/>
    </row>
    <row r="594">
      <c r="C594" s="139"/>
      <c r="D594" s="139"/>
      <c r="F594" s="138"/>
    </row>
    <row r="595">
      <c r="C595" s="139"/>
      <c r="D595" s="139"/>
      <c r="F595" s="138"/>
    </row>
    <row r="596">
      <c r="C596" s="139"/>
      <c r="D596" s="139"/>
      <c r="F596" s="138"/>
    </row>
    <row r="597">
      <c r="C597" s="139"/>
      <c r="D597" s="139"/>
      <c r="F597" s="138"/>
    </row>
    <row r="598">
      <c r="C598" s="139"/>
      <c r="D598" s="139"/>
      <c r="F598" s="138"/>
    </row>
    <row r="599">
      <c r="C599" s="139"/>
      <c r="D599" s="139"/>
      <c r="F599" s="138"/>
    </row>
    <row r="600">
      <c r="C600" s="139"/>
      <c r="D600" s="139"/>
      <c r="F600" s="138"/>
    </row>
    <row r="601">
      <c r="C601" s="139"/>
      <c r="D601" s="139"/>
      <c r="F601" s="138"/>
    </row>
    <row r="602">
      <c r="C602" s="139"/>
      <c r="D602" s="139"/>
      <c r="F602" s="138"/>
    </row>
    <row r="603">
      <c r="C603" s="139"/>
      <c r="D603" s="139"/>
      <c r="F603" s="138"/>
    </row>
    <row r="604">
      <c r="C604" s="139"/>
      <c r="D604" s="139"/>
      <c r="F604" s="138"/>
    </row>
    <row r="605">
      <c r="C605" s="139"/>
      <c r="D605" s="139"/>
      <c r="F605" s="138"/>
    </row>
    <row r="606">
      <c r="C606" s="139"/>
      <c r="D606" s="139"/>
      <c r="F606" s="138"/>
    </row>
    <row r="607">
      <c r="C607" s="139"/>
      <c r="D607" s="139"/>
      <c r="F607" s="138"/>
    </row>
    <row r="608">
      <c r="C608" s="139"/>
      <c r="D608" s="139"/>
      <c r="F608" s="138"/>
    </row>
    <row r="609">
      <c r="C609" s="139"/>
      <c r="D609" s="139"/>
      <c r="F609" s="138"/>
    </row>
    <row r="610">
      <c r="C610" s="139"/>
      <c r="D610" s="139"/>
      <c r="F610" s="138"/>
    </row>
    <row r="611">
      <c r="C611" s="139"/>
      <c r="D611" s="139"/>
      <c r="F611" s="138"/>
    </row>
    <row r="612">
      <c r="C612" s="139"/>
      <c r="D612" s="139"/>
      <c r="F612" s="138"/>
    </row>
    <row r="613">
      <c r="C613" s="139"/>
      <c r="D613" s="139"/>
      <c r="F613" s="138"/>
    </row>
    <row r="614">
      <c r="C614" s="139"/>
      <c r="D614" s="139"/>
      <c r="F614" s="138"/>
    </row>
    <row r="615">
      <c r="C615" s="139"/>
      <c r="D615" s="139"/>
      <c r="F615" s="138"/>
    </row>
    <row r="616">
      <c r="C616" s="139"/>
      <c r="D616" s="139"/>
      <c r="F616" s="138"/>
    </row>
    <row r="617">
      <c r="C617" s="139"/>
      <c r="D617" s="139"/>
      <c r="F617" s="138"/>
    </row>
    <row r="618">
      <c r="C618" s="139"/>
      <c r="D618" s="139"/>
      <c r="F618" s="138"/>
    </row>
    <row r="619">
      <c r="C619" s="139"/>
      <c r="D619" s="139"/>
      <c r="F619" s="138"/>
    </row>
    <row r="620">
      <c r="C620" s="139"/>
      <c r="D620" s="139"/>
      <c r="F620" s="138"/>
    </row>
    <row r="621">
      <c r="C621" s="139"/>
      <c r="D621" s="139"/>
      <c r="F621" s="138"/>
    </row>
    <row r="622">
      <c r="C622" s="139"/>
      <c r="D622" s="139"/>
      <c r="F622" s="138"/>
    </row>
    <row r="623">
      <c r="C623" s="139"/>
      <c r="D623" s="139"/>
      <c r="F623" s="138"/>
    </row>
    <row r="624">
      <c r="C624" s="139"/>
      <c r="D624" s="139"/>
      <c r="F624" s="138"/>
    </row>
    <row r="625">
      <c r="C625" s="139"/>
      <c r="D625" s="139"/>
      <c r="F625" s="138"/>
    </row>
    <row r="626">
      <c r="C626" s="139"/>
      <c r="D626" s="139"/>
      <c r="F626" s="138"/>
    </row>
    <row r="627">
      <c r="C627" s="139"/>
      <c r="D627" s="139"/>
      <c r="F627" s="138"/>
    </row>
    <row r="628">
      <c r="C628" s="139"/>
      <c r="D628" s="139"/>
      <c r="F628" s="138"/>
    </row>
    <row r="629">
      <c r="C629" s="139"/>
      <c r="D629" s="139"/>
      <c r="F629" s="138"/>
    </row>
    <row r="630">
      <c r="C630" s="139"/>
      <c r="D630" s="139"/>
      <c r="F630" s="138"/>
    </row>
    <row r="631">
      <c r="C631" s="139"/>
      <c r="D631" s="139"/>
      <c r="F631" s="138"/>
    </row>
    <row r="632">
      <c r="C632" s="139"/>
      <c r="D632" s="139"/>
      <c r="F632" s="138"/>
    </row>
    <row r="633">
      <c r="C633" s="139"/>
      <c r="D633" s="139"/>
      <c r="F633" s="138"/>
    </row>
    <row r="634">
      <c r="C634" s="139"/>
      <c r="D634" s="139"/>
      <c r="F634" s="138"/>
    </row>
    <row r="635">
      <c r="C635" s="139"/>
      <c r="D635" s="139"/>
      <c r="F635" s="138"/>
    </row>
    <row r="636">
      <c r="C636" s="139"/>
      <c r="D636" s="139"/>
      <c r="F636" s="138"/>
    </row>
    <row r="637">
      <c r="C637" s="139"/>
      <c r="D637" s="139"/>
      <c r="F637" s="138"/>
    </row>
    <row r="638">
      <c r="C638" s="139"/>
      <c r="D638" s="139"/>
      <c r="F638" s="138"/>
    </row>
    <row r="639">
      <c r="C639" s="139"/>
      <c r="D639" s="139"/>
      <c r="F639" s="138"/>
    </row>
    <row r="640">
      <c r="C640" s="139"/>
      <c r="D640" s="139"/>
      <c r="F640" s="138"/>
    </row>
    <row r="641">
      <c r="C641" s="139"/>
      <c r="D641" s="139"/>
      <c r="F641" s="138"/>
    </row>
    <row r="642">
      <c r="C642" s="139"/>
      <c r="D642" s="139"/>
      <c r="F642" s="138"/>
    </row>
    <row r="643">
      <c r="C643" s="139"/>
      <c r="D643" s="139"/>
      <c r="F643" s="138"/>
    </row>
    <row r="644">
      <c r="C644" s="139"/>
      <c r="D644" s="139"/>
      <c r="F644" s="138"/>
    </row>
    <row r="645">
      <c r="C645" s="139"/>
      <c r="D645" s="139"/>
      <c r="F645" s="138"/>
    </row>
    <row r="646">
      <c r="C646" s="139"/>
      <c r="D646" s="139"/>
      <c r="F646" s="138"/>
    </row>
    <row r="647">
      <c r="C647" s="139"/>
      <c r="D647" s="139"/>
      <c r="F647" s="138"/>
    </row>
    <row r="648">
      <c r="C648" s="139"/>
      <c r="D648" s="139"/>
      <c r="F648" s="138"/>
    </row>
    <row r="649">
      <c r="C649" s="139"/>
      <c r="D649" s="139"/>
      <c r="F649" s="138"/>
    </row>
    <row r="650">
      <c r="C650" s="139"/>
      <c r="D650" s="139"/>
      <c r="F650" s="138"/>
    </row>
    <row r="651">
      <c r="C651" s="139"/>
      <c r="D651" s="139"/>
      <c r="F651" s="138"/>
    </row>
    <row r="652">
      <c r="C652" s="139"/>
      <c r="D652" s="139"/>
      <c r="F652" s="138"/>
    </row>
    <row r="653">
      <c r="C653" s="139"/>
      <c r="D653" s="139"/>
      <c r="F653" s="138"/>
    </row>
    <row r="654">
      <c r="C654" s="139"/>
      <c r="D654" s="139"/>
      <c r="F654" s="138"/>
    </row>
    <row r="655">
      <c r="C655" s="139"/>
      <c r="D655" s="139"/>
      <c r="F655" s="138"/>
    </row>
    <row r="656">
      <c r="C656" s="139"/>
      <c r="D656" s="139"/>
      <c r="F656" s="138"/>
    </row>
    <row r="657">
      <c r="C657" s="139"/>
      <c r="D657" s="139"/>
      <c r="F657" s="138"/>
    </row>
    <row r="658">
      <c r="C658" s="139"/>
      <c r="D658" s="139"/>
      <c r="F658" s="138"/>
    </row>
    <row r="659">
      <c r="C659" s="139"/>
      <c r="D659" s="139"/>
      <c r="F659" s="138"/>
    </row>
    <row r="660">
      <c r="C660" s="139"/>
      <c r="D660" s="139"/>
      <c r="F660" s="138"/>
    </row>
    <row r="661">
      <c r="C661" s="139"/>
      <c r="D661" s="139"/>
      <c r="F661" s="138"/>
    </row>
    <row r="662">
      <c r="C662" s="139"/>
      <c r="D662" s="139"/>
      <c r="F662" s="138"/>
    </row>
    <row r="663">
      <c r="C663" s="139"/>
      <c r="D663" s="139"/>
      <c r="F663" s="138"/>
    </row>
    <row r="664">
      <c r="C664" s="139"/>
      <c r="D664" s="139"/>
      <c r="F664" s="138"/>
    </row>
    <row r="665">
      <c r="C665" s="139"/>
      <c r="D665" s="139"/>
      <c r="F665" s="138"/>
    </row>
    <row r="666">
      <c r="C666" s="139"/>
      <c r="D666" s="139"/>
      <c r="F666" s="138"/>
    </row>
    <row r="667">
      <c r="C667" s="139"/>
      <c r="D667" s="139"/>
      <c r="F667" s="138"/>
    </row>
    <row r="668">
      <c r="C668" s="139"/>
      <c r="D668" s="139"/>
      <c r="F668" s="138"/>
    </row>
    <row r="669">
      <c r="C669" s="139"/>
      <c r="D669" s="139"/>
      <c r="F669" s="138"/>
    </row>
    <row r="670">
      <c r="C670" s="139"/>
      <c r="D670" s="139"/>
      <c r="F670" s="138"/>
    </row>
    <row r="671">
      <c r="C671" s="139"/>
      <c r="D671" s="139"/>
      <c r="F671" s="138"/>
    </row>
    <row r="672">
      <c r="C672" s="139"/>
      <c r="D672" s="139"/>
      <c r="F672" s="138"/>
    </row>
    <row r="673">
      <c r="C673" s="139"/>
      <c r="D673" s="139"/>
      <c r="F673" s="138"/>
    </row>
    <row r="674">
      <c r="C674" s="139"/>
      <c r="D674" s="139"/>
      <c r="F674" s="138"/>
    </row>
    <row r="675">
      <c r="C675" s="139"/>
      <c r="D675" s="139"/>
      <c r="F675" s="138"/>
    </row>
    <row r="676">
      <c r="C676" s="139"/>
      <c r="D676" s="139"/>
      <c r="F676" s="138"/>
    </row>
    <row r="677">
      <c r="C677" s="139"/>
      <c r="D677" s="139"/>
      <c r="F677" s="138"/>
    </row>
    <row r="678">
      <c r="C678" s="139"/>
      <c r="D678" s="139"/>
      <c r="F678" s="138"/>
    </row>
    <row r="679">
      <c r="C679" s="139"/>
      <c r="D679" s="139"/>
      <c r="F679" s="138"/>
    </row>
    <row r="680">
      <c r="C680" s="139"/>
      <c r="D680" s="139"/>
      <c r="F680" s="138"/>
    </row>
    <row r="681">
      <c r="C681" s="139"/>
      <c r="D681" s="139"/>
      <c r="F681" s="138"/>
    </row>
    <row r="682">
      <c r="C682" s="139"/>
      <c r="D682" s="139"/>
      <c r="F682" s="138"/>
    </row>
    <row r="683">
      <c r="C683" s="139"/>
      <c r="D683" s="139"/>
      <c r="F683" s="138"/>
    </row>
    <row r="684">
      <c r="C684" s="139"/>
      <c r="D684" s="139"/>
      <c r="F684" s="138"/>
    </row>
    <row r="685">
      <c r="C685" s="139"/>
      <c r="D685" s="139"/>
      <c r="F685" s="138"/>
    </row>
    <row r="686">
      <c r="C686" s="139"/>
      <c r="D686" s="139"/>
      <c r="F686" s="138"/>
    </row>
    <row r="687">
      <c r="C687" s="139"/>
      <c r="D687" s="139"/>
      <c r="F687" s="138"/>
    </row>
    <row r="688">
      <c r="C688" s="139"/>
      <c r="D688" s="139"/>
      <c r="F688" s="138"/>
    </row>
    <row r="689">
      <c r="C689" s="139"/>
      <c r="D689" s="139"/>
      <c r="F689" s="138"/>
    </row>
    <row r="690">
      <c r="C690" s="139"/>
      <c r="D690" s="139"/>
      <c r="F690" s="138"/>
    </row>
    <row r="691">
      <c r="C691" s="139"/>
      <c r="D691" s="139"/>
      <c r="F691" s="138"/>
    </row>
    <row r="692">
      <c r="C692" s="139"/>
      <c r="D692" s="139"/>
      <c r="F692" s="138"/>
    </row>
    <row r="693">
      <c r="C693" s="139"/>
      <c r="D693" s="139"/>
      <c r="F693" s="138"/>
    </row>
    <row r="694">
      <c r="C694" s="139"/>
      <c r="D694" s="139"/>
      <c r="F694" s="138"/>
    </row>
    <row r="695">
      <c r="C695" s="139"/>
      <c r="D695" s="139"/>
      <c r="F695" s="138"/>
    </row>
    <row r="696">
      <c r="C696" s="139"/>
      <c r="D696" s="139"/>
      <c r="F696" s="138"/>
    </row>
    <row r="697">
      <c r="C697" s="139"/>
      <c r="D697" s="139"/>
      <c r="F697" s="138"/>
    </row>
    <row r="698">
      <c r="C698" s="139"/>
      <c r="D698" s="139"/>
      <c r="F698" s="138"/>
    </row>
    <row r="699">
      <c r="C699" s="139"/>
      <c r="D699" s="139"/>
      <c r="F699" s="138"/>
    </row>
    <row r="700">
      <c r="C700" s="139"/>
      <c r="D700" s="139"/>
      <c r="F700" s="138"/>
    </row>
    <row r="701">
      <c r="C701" s="139"/>
      <c r="D701" s="139"/>
      <c r="F701" s="138"/>
    </row>
    <row r="702">
      <c r="C702" s="139"/>
      <c r="D702" s="139"/>
      <c r="F702" s="138"/>
    </row>
    <row r="703">
      <c r="C703" s="139"/>
      <c r="D703" s="139"/>
      <c r="F703" s="138"/>
    </row>
    <row r="704">
      <c r="C704" s="139"/>
      <c r="D704" s="139"/>
      <c r="F704" s="138"/>
    </row>
    <row r="705">
      <c r="C705" s="139"/>
      <c r="D705" s="139"/>
      <c r="F705" s="138"/>
    </row>
    <row r="706">
      <c r="C706" s="139"/>
      <c r="D706" s="139"/>
      <c r="F706" s="138"/>
    </row>
    <row r="707">
      <c r="C707" s="139"/>
      <c r="D707" s="139"/>
      <c r="F707" s="138"/>
    </row>
    <row r="708">
      <c r="C708" s="139"/>
      <c r="D708" s="139"/>
      <c r="F708" s="138"/>
    </row>
    <row r="709">
      <c r="C709" s="139"/>
      <c r="D709" s="139"/>
      <c r="F709" s="138"/>
    </row>
    <row r="710">
      <c r="C710" s="139"/>
      <c r="D710" s="139"/>
      <c r="F710" s="138"/>
    </row>
    <row r="711">
      <c r="C711" s="139"/>
      <c r="D711" s="139"/>
      <c r="F711" s="138"/>
    </row>
    <row r="712">
      <c r="C712" s="139"/>
      <c r="D712" s="139"/>
      <c r="F712" s="138"/>
    </row>
    <row r="713">
      <c r="C713" s="139"/>
      <c r="D713" s="139"/>
      <c r="F713" s="138"/>
    </row>
    <row r="714">
      <c r="C714" s="139"/>
      <c r="D714" s="139"/>
      <c r="F714" s="138"/>
    </row>
    <row r="715">
      <c r="C715" s="139"/>
      <c r="D715" s="139"/>
      <c r="F715" s="138"/>
    </row>
    <row r="716">
      <c r="C716" s="139"/>
      <c r="D716" s="139"/>
      <c r="F716" s="138"/>
    </row>
    <row r="717">
      <c r="C717" s="139"/>
      <c r="D717" s="139"/>
      <c r="F717" s="138"/>
    </row>
    <row r="718">
      <c r="C718" s="139"/>
      <c r="D718" s="139"/>
      <c r="F718" s="138"/>
    </row>
    <row r="719">
      <c r="C719" s="139"/>
      <c r="D719" s="139"/>
      <c r="F719" s="138"/>
    </row>
    <row r="720">
      <c r="C720" s="139"/>
      <c r="D720" s="139"/>
      <c r="F720" s="138"/>
    </row>
    <row r="721">
      <c r="C721" s="139"/>
      <c r="D721" s="139"/>
      <c r="F721" s="138"/>
    </row>
    <row r="722">
      <c r="C722" s="139"/>
      <c r="D722" s="139"/>
      <c r="F722" s="138"/>
    </row>
    <row r="723">
      <c r="C723" s="139"/>
      <c r="D723" s="139"/>
      <c r="F723" s="138"/>
    </row>
    <row r="724">
      <c r="C724" s="139"/>
      <c r="D724" s="139"/>
      <c r="F724" s="138"/>
    </row>
    <row r="725">
      <c r="C725" s="139"/>
      <c r="D725" s="139"/>
      <c r="F725" s="138"/>
    </row>
    <row r="726">
      <c r="C726" s="139"/>
      <c r="D726" s="139"/>
      <c r="F726" s="138"/>
    </row>
    <row r="727">
      <c r="C727" s="139"/>
      <c r="D727" s="139"/>
      <c r="F727" s="138"/>
    </row>
    <row r="728">
      <c r="C728" s="139"/>
      <c r="D728" s="139"/>
      <c r="F728" s="138"/>
    </row>
    <row r="729">
      <c r="C729" s="139"/>
      <c r="D729" s="139"/>
      <c r="F729" s="138"/>
    </row>
    <row r="730">
      <c r="C730" s="139"/>
      <c r="D730" s="139"/>
      <c r="F730" s="138"/>
    </row>
    <row r="731">
      <c r="C731" s="139"/>
      <c r="D731" s="139"/>
      <c r="F731" s="138"/>
    </row>
    <row r="732">
      <c r="C732" s="139"/>
      <c r="D732" s="139"/>
      <c r="F732" s="138"/>
    </row>
    <row r="733">
      <c r="C733" s="139"/>
      <c r="D733" s="139"/>
      <c r="F733" s="138"/>
    </row>
    <row r="734">
      <c r="C734" s="139"/>
      <c r="D734" s="139"/>
      <c r="F734" s="138"/>
    </row>
    <row r="735">
      <c r="C735" s="139"/>
      <c r="D735" s="139"/>
      <c r="F735" s="138"/>
    </row>
    <row r="736">
      <c r="C736" s="139"/>
      <c r="D736" s="139"/>
      <c r="F736" s="138"/>
    </row>
    <row r="737">
      <c r="C737" s="139"/>
      <c r="D737" s="139"/>
      <c r="F737" s="138"/>
    </row>
    <row r="738">
      <c r="C738" s="139"/>
      <c r="D738" s="139"/>
      <c r="F738" s="138"/>
    </row>
    <row r="739">
      <c r="C739" s="139"/>
      <c r="D739" s="139"/>
      <c r="F739" s="138"/>
    </row>
    <row r="740">
      <c r="C740" s="139"/>
      <c r="D740" s="139"/>
      <c r="F740" s="138"/>
    </row>
    <row r="741">
      <c r="C741" s="139"/>
      <c r="D741" s="139"/>
      <c r="F741" s="138"/>
    </row>
    <row r="742">
      <c r="C742" s="139"/>
      <c r="D742" s="139"/>
      <c r="F742" s="138"/>
    </row>
    <row r="743">
      <c r="C743" s="139"/>
      <c r="D743" s="139"/>
      <c r="F743" s="138"/>
    </row>
    <row r="744">
      <c r="C744" s="139"/>
      <c r="D744" s="139"/>
      <c r="F744" s="138"/>
    </row>
    <row r="745">
      <c r="C745" s="139"/>
      <c r="D745" s="139"/>
      <c r="F745" s="138"/>
    </row>
    <row r="746">
      <c r="C746" s="139"/>
      <c r="D746" s="139"/>
      <c r="F746" s="138"/>
    </row>
    <row r="747">
      <c r="C747" s="139"/>
      <c r="D747" s="139"/>
      <c r="F747" s="138"/>
    </row>
    <row r="748">
      <c r="C748" s="139"/>
      <c r="D748" s="139"/>
      <c r="F748" s="138"/>
    </row>
    <row r="749">
      <c r="C749" s="139"/>
      <c r="D749" s="139"/>
      <c r="F749" s="138"/>
    </row>
    <row r="750">
      <c r="C750" s="139"/>
      <c r="D750" s="139"/>
      <c r="F750" s="138"/>
    </row>
    <row r="751">
      <c r="C751" s="139"/>
      <c r="D751" s="139"/>
      <c r="F751" s="138"/>
    </row>
    <row r="752">
      <c r="C752" s="139"/>
      <c r="D752" s="139"/>
      <c r="F752" s="138"/>
    </row>
    <row r="753">
      <c r="C753" s="139"/>
      <c r="D753" s="139"/>
      <c r="F753" s="138"/>
    </row>
    <row r="754">
      <c r="C754" s="139"/>
      <c r="D754" s="139"/>
      <c r="F754" s="138"/>
    </row>
    <row r="755">
      <c r="C755" s="139"/>
      <c r="D755" s="139"/>
      <c r="F755" s="138"/>
    </row>
    <row r="756">
      <c r="C756" s="139"/>
      <c r="D756" s="139"/>
      <c r="F756" s="138"/>
    </row>
    <row r="757">
      <c r="C757" s="139"/>
      <c r="D757" s="139"/>
      <c r="F757" s="138"/>
    </row>
    <row r="758">
      <c r="C758" s="139"/>
      <c r="D758" s="139"/>
      <c r="F758" s="138"/>
    </row>
    <row r="759">
      <c r="C759" s="139"/>
      <c r="D759" s="139"/>
      <c r="F759" s="138"/>
    </row>
    <row r="760">
      <c r="C760" s="139"/>
      <c r="D760" s="139"/>
      <c r="F760" s="138"/>
    </row>
    <row r="761">
      <c r="C761" s="139"/>
      <c r="D761" s="139"/>
      <c r="F761" s="138"/>
    </row>
    <row r="762">
      <c r="C762" s="139"/>
      <c r="D762" s="139"/>
      <c r="F762" s="138"/>
    </row>
    <row r="763">
      <c r="C763" s="139"/>
      <c r="D763" s="139"/>
      <c r="F763" s="138"/>
    </row>
    <row r="764">
      <c r="C764" s="139"/>
      <c r="D764" s="139"/>
      <c r="F764" s="138"/>
    </row>
    <row r="765">
      <c r="C765" s="139"/>
      <c r="D765" s="139"/>
      <c r="F765" s="138"/>
    </row>
    <row r="766">
      <c r="C766" s="139"/>
      <c r="D766" s="139"/>
      <c r="F766" s="138"/>
    </row>
    <row r="767">
      <c r="C767" s="139"/>
      <c r="D767" s="139"/>
      <c r="F767" s="138"/>
    </row>
    <row r="768">
      <c r="C768" s="139"/>
      <c r="D768" s="139"/>
      <c r="F768" s="138"/>
    </row>
    <row r="769">
      <c r="C769" s="139"/>
      <c r="D769" s="139"/>
      <c r="F769" s="138"/>
    </row>
    <row r="770">
      <c r="C770" s="139"/>
      <c r="D770" s="139"/>
      <c r="F770" s="138"/>
    </row>
    <row r="771">
      <c r="C771" s="139"/>
      <c r="D771" s="139"/>
      <c r="F771" s="138"/>
    </row>
    <row r="772">
      <c r="C772" s="139"/>
      <c r="D772" s="139"/>
      <c r="F772" s="138"/>
    </row>
    <row r="773">
      <c r="C773" s="139"/>
      <c r="D773" s="139"/>
      <c r="F773" s="138"/>
    </row>
    <row r="774">
      <c r="C774" s="139"/>
      <c r="D774" s="139"/>
      <c r="F774" s="138"/>
    </row>
    <row r="775">
      <c r="C775" s="139"/>
      <c r="D775" s="139"/>
      <c r="F775" s="138"/>
    </row>
    <row r="776">
      <c r="C776" s="139"/>
      <c r="D776" s="139"/>
      <c r="F776" s="138"/>
    </row>
    <row r="777">
      <c r="C777" s="139"/>
      <c r="D777" s="139"/>
      <c r="F777" s="138"/>
    </row>
    <row r="778">
      <c r="C778" s="139"/>
      <c r="D778" s="139"/>
      <c r="F778" s="138"/>
    </row>
    <row r="779">
      <c r="C779" s="139"/>
      <c r="D779" s="139"/>
      <c r="F779" s="138"/>
    </row>
    <row r="780">
      <c r="C780" s="139"/>
      <c r="D780" s="139"/>
      <c r="F780" s="138"/>
    </row>
    <row r="781">
      <c r="C781" s="139"/>
      <c r="D781" s="139"/>
      <c r="F781" s="138"/>
    </row>
    <row r="782">
      <c r="C782" s="139"/>
      <c r="D782" s="139"/>
      <c r="F782" s="138"/>
    </row>
    <row r="783">
      <c r="C783" s="139"/>
      <c r="D783" s="139"/>
      <c r="F783" s="138"/>
    </row>
    <row r="784">
      <c r="C784" s="139"/>
      <c r="D784" s="139"/>
      <c r="F784" s="138"/>
    </row>
    <row r="785">
      <c r="C785" s="139"/>
      <c r="D785" s="139"/>
      <c r="F785" s="138"/>
    </row>
    <row r="786">
      <c r="C786" s="139"/>
      <c r="D786" s="139"/>
      <c r="F786" s="138"/>
    </row>
    <row r="787">
      <c r="C787" s="139"/>
      <c r="D787" s="139"/>
      <c r="F787" s="138"/>
    </row>
    <row r="788">
      <c r="C788" s="139"/>
      <c r="D788" s="139"/>
      <c r="F788" s="138"/>
    </row>
    <row r="789">
      <c r="C789" s="139"/>
      <c r="D789" s="139"/>
      <c r="F789" s="138"/>
    </row>
    <row r="790">
      <c r="C790" s="139"/>
      <c r="D790" s="139"/>
      <c r="F790" s="138"/>
    </row>
    <row r="791">
      <c r="C791" s="139"/>
      <c r="D791" s="139"/>
      <c r="F791" s="138"/>
    </row>
    <row r="792">
      <c r="C792" s="139"/>
      <c r="D792" s="139"/>
      <c r="F792" s="138"/>
    </row>
    <row r="793">
      <c r="C793" s="139"/>
      <c r="D793" s="139"/>
      <c r="F793" s="138"/>
    </row>
    <row r="794">
      <c r="C794" s="139"/>
      <c r="D794" s="139"/>
      <c r="F794" s="138"/>
    </row>
    <row r="795">
      <c r="C795" s="139"/>
      <c r="D795" s="139"/>
      <c r="F795" s="138"/>
    </row>
    <row r="796">
      <c r="C796" s="139"/>
      <c r="D796" s="139"/>
      <c r="F796" s="138"/>
    </row>
    <row r="797">
      <c r="C797" s="139"/>
      <c r="D797" s="139"/>
      <c r="F797" s="138"/>
    </row>
    <row r="798">
      <c r="C798" s="139"/>
      <c r="D798" s="139"/>
      <c r="F798" s="138"/>
    </row>
    <row r="799">
      <c r="C799" s="139"/>
      <c r="D799" s="139"/>
      <c r="F799" s="138"/>
    </row>
    <row r="800">
      <c r="C800" s="139"/>
      <c r="D800" s="139"/>
      <c r="F800" s="138"/>
    </row>
    <row r="801">
      <c r="C801" s="139"/>
      <c r="D801" s="139"/>
      <c r="F801" s="138"/>
    </row>
    <row r="802">
      <c r="C802" s="139"/>
      <c r="D802" s="139"/>
      <c r="F802" s="138"/>
    </row>
    <row r="803">
      <c r="C803" s="139"/>
      <c r="D803" s="139"/>
      <c r="F803" s="138"/>
    </row>
    <row r="804">
      <c r="C804" s="139"/>
      <c r="D804" s="139"/>
      <c r="F804" s="138"/>
    </row>
    <row r="805">
      <c r="C805" s="139"/>
      <c r="D805" s="139"/>
      <c r="F805" s="138"/>
    </row>
    <row r="806">
      <c r="C806" s="139"/>
      <c r="D806" s="139"/>
      <c r="F806" s="138"/>
    </row>
    <row r="807">
      <c r="C807" s="139"/>
      <c r="D807" s="139"/>
      <c r="F807" s="138"/>
    </row>
    <row r="808">
      <c r="C808" s="139"/>
      <c r="D808" s="139"/>
      <c r="F808" s="138"/>
    </row>
    <row r="809">
      <c r="C809" s="139"/>
      <c r="D809" s="139"/>
      <c r="F809" s="138"/>
    </row>
    <row r="810">
      <c r="C810" s="139"/>
      <c r="D810" s="139"/>
      <c r="F810" s="138"/>
    </row>
    <row r="811">
      <c r="C811" s="139"/>
      <c r="D811" s="139"/>
      <c r="F811" s="138"/>
    </row>
    <row r="812">
      <c r="C812" s="139"/>
      <c r="D812" s="139"/>
      <c r="F812" s="138"/>
    </row>
    <row r="813">
      <c r="C813" s="139"/>
      <c r="D813" s="139"/>
      <c r="F813" s="138"/>
    </row>
    <row r="814">
      <c r="C814" s="139"/>
      <c r="D814" s="139"/>
      <c r="F814" s="138"/>
    </row>
    <row r="815">
      <c r="C815" s="139"/>
      <c r="D815" s="139"/>
      <c r="F815" s="138"/>
    </row>
    <row r="816">
      <c r="C816" s="139"/>
      <c r="D816" s="139"/>
      <c r="F816" s="138"/>
    </row>
    <row r="817">
      <c r="C817" s="139"/>
      <c r="D817" s="139"/>
      <c r="F817" s="138"/>
    </row>
    <row r="818">
      <c r="C818" s="139"/>
      <c r="D818" s="139"/>
      <c r="F818" s="138"/>
    </row>
    <row r="819">
      <c r="C819" s="139"/>
      <c r="D819" s="139"/>
      <c r="F819" s="138"/>
    </row>
    <row r="820">
      <c r="C820" s="139"/>
      <c r="D820" s="139"/>
      <c r="F820" s="138"/>
    </row>
    <row r="821">
      <c r="C821" s="139"/>
      <c r="D821" s="139"/>
      <c r="F821" s="138"/>
    </row>
    <row r="822">
      <c r="C822" s="139"/>
      <c r="D822" s="139"/>
      <c r="F822" s="138"/>
    </row>
    <row r="823">
      <c r="C823" s="139"/>
      <c r="D823" s="139"/>
      <c r="F823" s="138"/>
    </row>
    <row r="824">
      <c r="C824" s="139"/>
      <c r="D824" s="139"/>
      <c r="F824" s="138"/>
    </row>
    <row r="825">
      <c r="C825" s="139"/>
      <c r="D825" s="139"/>
      <c r="F825" s="138"/>
    </row>
    <row r="826">
      <c r="C826" s="139"/>
      <c r="D826" s="139"/>
      <c r="F826" s="138"/>
    </row>
    <row r="827">
      <c r="C827" s="139"/>
      <c r="D827" s="139"/>
      <c r="F827" s="138"/>
    </row>
    <row r="828">
      <c r="C828" s="139"/>
      <c r="D828" s="139"/>
      <c r="F828" s="138"/>
    </row>
    <row r="829">
      <c r="C829" s="139"/>
      <c r="D829" s="139"/>
      <c r="F829" s="138"/>
    </row>
    <row r="830">
      <c r="C830" s="139"/>
      <c r="D830" s="139"/>
      <c r="F830" s="138"/>
    </row>
    <row r="831">
      <c r="C831" s="139"/>
      <c r="D831" s="139"/>
      <c r="F831" s="138"/>
    </row>
    <row r="832">
      <c r="C832" s="139"/>
      <c r="D832" s="139"/>
      <c r="F832" s="138"/>
    </row>
    <row r="833">
      <c r="C833" s="139"/>
      <c r="D833" s="139"/>
      <c r="F833" s="138"/>
    </row>
    <row r="834">
      <c r="C834" s="139"/>
      <c r="D834" s="139"/>
      <c r="F834" s="138"/>
    </row>
    <row r="835">
      <c r="C835" s="139"/>
      <c r="D835" s="139"/>
      <c r="F835" s="138"/>
    </row>
    <row r="836">
      <c r="C836" s="139"/>
      <c r="D836" s="139"/>
      <c r="F836" s="138"/>
    </row>
    <row r="837">
      <c r="C837" s="139"/>
      <c r="D837" s="139"/>
      <c r="F837" s="138"/>
    </row>
    <row r="838">
      <c r="C838" s="139"/>
      <c r="D838" s="139"/>
      <c r="F838" s="138"/>
    </row>
    <row r="839">
      <c r="C839" s="139"/>
      <c r="D839" s="139"/>
      <c r="F839" s="138"/>
    </row>
    <row r="840">
      <c r="C840" s="139"/>
      <c r="D840" s="139"/>
      <c r="F840" s="138"/>
    </row>
    <row r="841">
      <c r="C841" s="139"/>
      <c r="D841" s="139"/>
      <c r="F841" s="138"/>
    </row>
    <row r="842">
      <c r="C842" s="139"/>
      <c r="D842" s="139"/>
      <c r="F842" s="138"/>
    </row>
    <row r="843">
      <c r="C843" s="139"/>
      <c r="D843" s="139"/>
      <c r="F843" s="138"/>
    </row>
    <row r="844">
      <c r="C844" s="139"/>
      <c r="D844" s="139"/>
      <c r="F844" s="138"/>
    </row>
    <row r="845">
      <c r="C845" s="139"/>
      <c r="D845" s="139"/>
      <c r="F845" s="138"/>
    </row>
    <row r="846">
      <c r="C846" s="139"/>
      <c r="D846" s="139"/>
      <c r="F846" s="138"/>
    </row>
    <row r="847">
      <c r="C847" s="139"/>
      <c r="D847" s="139"/>
      <c r="F847" s="138"/>
    </row>
    <row r="848">
      <c r="C848" s="139"/>
      <c r="D848" s="139"/>
      <c r="F848" s="138"/>
    </row>
    <row r="849">
      <c r="C849" s="139"/>
      <c r="D849" s="139"/>
      <c r="F849" s="138"/>
    </row>
    <row r="850">
      <c r="C850" s="139"/>
      <c r="D850" s="139"/>
      <c r="F850" s="138"/>
    </row>
    <row r="851">
      <c r="C851" s="139"/>
      <c r="D851" s="139"/>
      <c r="F851" s="138"/>
    </row>
    <row r="852">
      <c r="C852" s="139"/>
      <c r="D852" s="139"/>
      <c r="F852" s="138"/>
    </row>
    <row r="853">
      <c r="C853" s="139"/>
      <c r="D853" s="139"/>
      <c r="F853" s="138"/>
    </row>
    <row r="854">
      <c r="C854" s="139"/>
      <c r="D854" s="139"/>
      <c r="F854" s="138"/>
    </row>
    <row r="855">
      <c r="C855" s="139"/>
      <c r="D855" s="139"/>
      <c r="F855" s="138"/>
    </row>
    <row r="856">
      <c r="C856" s="139"/>
      <c r="D856" s="139"/>
      <c r="F856" s="138"/>
    </row>
    <row r="857">
      <c r="C857" s="139"/>
      <c r="D857" s="139"/>
      <c r="F857" s="138"/>
    </row>
    <row r="858">
      <c r="C858" s="139"/>
      <c r="D858" s="139"/>
      <c r="F858" s="138"/>
    </row>
    <row r="859">
      <c r="C859" s="139"/>
      <c r="D859" s="139"/>
      <c r="F859" s="138"/>
    </row>
    <row r="860">
      <c r="C860" s="139"/>
      <c r="D860" s="139"/>
      <c r="F860" s="138"/>
    </row>
    <row r="861">
      <c r="C861" s="139"/>
      <c r="D861" s="139"/>
      <c r="F861" s="138"/>
    </row>
    <row r="862">
      <c r="C862" s="139"/>
      <c r="D862" s="139"/>
      <c r="F862" s="138"/>
    </row>
    <row r="863">
      <c r="C863" s="139"/>
      <c r="D863" s="139"/>
      <c r="F863" s="138"/>
    </row>
    <row r="864">
      <c r="C864" s="139"/>
      <c r="D864" s="139"/>
      <c r="F864" s="138"/>
    </row>
    <row r="865">
      <c r="C865" s="139"/>
      <c r="D865" s="139"/>
      <c r="F865" s="138"/>
    </row>
    <row r="866">
      <c r="C866" s="139"/>
      <c r="D866" s="139"/>
      <c r="F866" s="138"/>
    </row>
    <row r="867">
      <c r="C867" s="139"/>
      <c r="D867" s="139"/>
      <c r="F867" s="138"/>
    </row>
    <row r="868">
      <c r="C868" s="139"/>
      <c r="D868" s="139"/>
      <c r="F868" s="138"/>
    </row>
    <row r="869">
      <c r="C869" s="139"/>
      <c r="D869" s="139"/>
      <c r="F869" s="138"/>
    </row>
    <row r="870">
      <c r="C870" s="139"/>
      <c r="D870" s="139"/>
      <c r="F870" s="138"/>
    </row>
    <row r="871">
      <c r="C871" s="139"/>
      <c r="D871" s="139"/>
      <c r="F871" s="138"/>
    </row>
    <row r="872">
      <c r="C872" s="139"/>
      <c r="D872" s="139"/>
      <c r="F872" s="138"/>
    </row>
    <row r="873">
      <c r="C873" s="139"/>
      <c r="D873" s="139"/>
      <c r="F873" s="138"/>
    </row>
    <row r="874">
      <c r="C874" s="139"/>
      <c r="D874" s="139"/>
      <c r="F874" s="138"/>
    </row>
    <row r="875">
      <c r="C875" s="139"/>
      <c r="D875" s="139"/>
      <c r="F875" s="138"/>
    </row>
    <row r="876">
      <c r="C876" s="139"/>
      <c r="D876" s="139"/>
      <c r="F876" s="138"/>
    </row>
    <row r="877">
      <c r="C877" s="139"/>
      <c r="D877" s="139"/>
      <c r="F877" s="138"/>
    </row>
    <row r="878">
      <c r="C878" s="139"/>
      <c r="D878" s="139"/>
      <c r="F878" s="138"/>
    </row>
    <row r="879">
      <c r="C879" s="139"/>
      <c r="D879" s="139"/>
      <c r="F879" s="138"/>
    </row>
    <row r="880">
      <c r="C880" s="139"/>
      <c r="D880" s="139"/>
      <c r="F880" s="138"/>
    </row>
    <row r="881">
      <c r="C881" s="139"/>
      <c r="D881" s="139"/>
      <c r="F881" s="138"/>
    </row>
    <row r="882">
      <c r="C882" s="139"/>
      <c r="D882" s="139"/>
      <c r="F882" s="138"/>
    </row>
    <row r="883">
      <c r="C883" s="139"/>
      <c r="D883" s="139"/>
      <c r="F883" s="138"/>
    </row>
    <row r="884">
      <c r="C884" s="139"/>
      <c r="D884" s="139"/>
      <c r="F884" s="138"/>
    </row>
    <row r="885">
      <c r="C885" s="139"/>
      <c r="D885" s="139"/>
      <c r="F885" s="138"/>
    </row>
    <row r="886">
      <c r="C886" s="139"/>
      <c r="D886" s="139"/>
      <c r="F886" s="138"/>
    </row>
    <row r="887">
      <c r="C887" s="139"/>
      <c r="D887" s="139"/>
      <c r="F887" s="138"/>
    </row>
    <row r="888">
      <c r="C888" s="139"/>
      <c r="D888" s="139"/>
      <c r="F888" s="138"/>
    </row>
    <row r="889">
      <c r="C889" s="139"/>
      <c r="D889" s="139"/>
      <c r="F889" s="138"/>
    </row>
    <row r="890">
      <c r="C890" s="139"/>
      <c r="D890" s="139"/>
      <c r="F890" s="138"/>
    </row>
    <row r="891">
      <c r="C891" s="139"/>
      <c r="D891" s="139"/>
      <c r="F891" s="138"/>
    </row>
    <row r="892">
      <c r="C892" s="139"/>
      <c r="D892" s="139"/>
      <c r="F892" s="138"/>
    </row>
    <row r="893">
      <c r="C893" s="139"/>
      <c r="D893" s="139"/>
      <c r="F893" s="138"/>
    </row>
    <row r="894">
      <c r="C894" s="139"/>
      <c r="D894" s="139"/>
      <c r="F894" s="138"/>
    </row>
    <row r="895">
      <c r="C895" s="139"/>
      <c r="D895" s="139"/>
      <c r="F895" s="138"/>
    </row>
    <row r="896">
      <c r="C896" s="139"/>
      <c r="D896" s="139"/>
      <c r="F896" s="138"/>
    </row>
    <row r="897">
      <c r="C897" s="139"/>
      <c r="D897" s="139"/>
      <c r="F897" s="138"/>
    </row>
    <row r="898">
      <c r="C898" s="139"/>
      <c r="D898" s="139"/>
      <c r="F898" s="138"/>
    </row>
    <row r="899">
      <c r="C899" s="139"/>
      <c r="D899" s="139"/>
      <c r="F899" s="138"/>
    </row>
    <row r="900">
      <c r="C900" s="139"/>
      <c r="D900" s="139"/>
      <c r="F900" s="138"/>
    </row>
    <row r="901">
      <c r="C901" s="139"/>
      <c r="D901" s="139"/>
      <c r="F901" s="138"/>
    </row>
    <row r="902">
      <c r="C902" s="139"/>
      <c r="D902" s="139"/>
      <c r="F902" s="138"/>
    </row>
    <row r="903">
      <c r="C903" s="139"/>
      <c r="D903" s="139"/>
      <c r="F903" s="138"/>
    </row>
    <row r="904">
      <c r="C904" s="139"/>
      <c r="D904" s="139"/>
      <c r="F904" s="138"/>
    </row>
    <row r="905">
      <c r="C905" s="139"/>
      <c r="D905" s="139"/>
      <c r="F905" s="138"/>
    </row>
    <row r="906">
      <c r="C906" s="139"/>
      <c r="D906" s="139"/>
      <c r="F906" s="138"/>
    </row>
    <row r="907">
      <c r="C907" s="139"/>
      <c r="D907" s="139"/>
      <c r="F907" s="138"/>
    </row>
    <row r="908">
      <c r="C908" s="139"/>
      <c r="D908" s="139"/>
      <c r="F908" s="138"/>
    </row>
    <row r="909">
      <c r="C909" s="139"/>
      <c r="D909" s="139"/>
      <c r="F909" s="138"/>
    </row>
    <row r="910">
      <c r="C910" s="139"/>
      <c r="D910" s="139"/>
      <c r="F910" s="138"/>
    </row>
    <row r="911">
      <c r="C911" s="139"/>
      <c r="D911" s="139"/>
      <c r="F911" s="138"/>
    </row>
    <row r="912">
      <c r="C912" s="139"/>
      <c r="D912" s="139"/>
      <c r="F912" s="138"/>
    </row>
    <row r="913">
      <c r="C913" s="139"/>
      <c r="D913" s="139"/>
      <c r="F913" s="138"/>
    </row>
    <row r="914">
      <c r="C914" s="139"/>
      <c r="D914" s="139"/>
      <c r="F914" s="138"/>
    </row>
    <row r="915">
      <c r="C915" s="139"/>
      <c r="D915" s="139"/>
      <c r="F915" s="138"/>
    </row>
    <row r="916">
      <c r="C916" s="139"/>
      <c r="D916" s="139"/>
      <c r="F916" s="138"/>
    </row>
    <row r="917">
      <c r="C917" s="139"/>
      <c r="D917" s="139"/>
      <c r="F917" s="138"/>
    </row>
    <row r="918">
      <c r="C918" s="139"/>
      <c r="D918" s="139"/>
      <c r="F918" s="138"/>
    </row>
    <row r="919">
      <c r="C919" s="139"/>
      <c r="D919" s="139"/>
      <c r="F919" s="138"/>
    </row>
    <row r="920">
      <c r="C920" s="139"/>
      <c r="D920" s="139"/>
      <c r="F920" s="138"/>
    </row>
    <row r="921">
      <c r="C921" s="139"/>
      <c r="D921" s="139"/>
      <c r="F921" s="138"/>
    </row>
    <row r="922">
      <c r="C922" s="139"/>
      <c r="D922" s="139"/>
      <c r="F922" s="138"/>
    </row>
    <row r="923">
      <c r="C923" s="139"/>
      <c r="D923" s="139"/>
      <c r="F923" s="138"/>
    </row>
    <row r="924">
      <c r="C924" s="139"/>
      <c r="D924" s="139"/>
      <c r="F924" s="138"/>
    </row>
    <row r="925">
      <c r="C925" s="139"/>
      <c r="D925" s="139"/>
      <c r="F925" s="138"/>
    </row>
    <row r="926">
      <c r="C926" s="139"/>
      <c r="D926" s="139"/>
      <c r="F926" s="138"/>
    </row>
    <row r="927">
      <c r="C927" s="139"/>
      <c r="D927" s="139"/>
      <c r="F927" s="138"/>
    </row>
    <row r="928">
      <c r="C928" s="139"/>
      <c r="D928" s="139"/>
      <c r="F928" s="138"/>
    </row>
    <row r="929">
      <c r="C929" s="139"/>
      <c r="D929" s="139"/>
      <c r="F929" s="138"/>
    </row>
    <row r="930">
      <c r="C930" s="139"/>
      <c r="D930" s="139"/>
      <c r="F930" s="138"/>
    </row>
    <row r="931">
      <c r="C931" s="139"/>
      <c r="D931" s="139"/>
      <c r="F931" s="138"/>
    </row>
    <row r="932">
      <c r="C932" s="139"/>
      <c r="D932" s="139"/>
      <c r="F932" s="138"/>
    </row>
    <row r="933">
      <c r="C933" s="139"/>
      <c r="D933" s="139"/>
      <c r="F933" s="138"/>
    </row>
    <row r="934">
      <c r="C934" s="139"/>
      <c r="D934" s="139"/>
      <c r="F934" s="138"/>
    </row>
    <row r="935">
      <c r="C935" s="139"/>
      <c r="D935" s="139"/>
      <c r="F935" s="138"/>
    </row>
    <row r="936">
      <c r="C936" s="139"/>
      <c r="D936" s="139"/>
      <c r="F936" s="138"/>
    </row>
    <row r="937">
      <c r="C937" s="139"/>
      <c r="D937" s="139"/>
      <c r="F937" s="138"/>
    </row>
    <row r="938">
      <c r="C938" s="139"/>
      <c r="D938" s="139"/>
      <c r="F938" s="138"/>
    </row>
    <row r="939">
      <c r="C939" s="139"/>
      <c r="D939" s="139"/>
      <c r="F939" s="138"/>
    </row>
    <row r="940">
      <c r="C940" s="139"/>
      <c r="D940" s="139"/>
      <c r="F940" s="138"/>
    </row>
    <row r="941">
      <c r="C941" s="139"/>
      <c r="D941" s="139"/>
      <c r="F941" s="138"/>
    </row>
    <row r="942">
      <c r="C942" s="139"/>
      <c r="D942" s="139"/>
      <c r="F942" s="138"/>
    </row>
    <row r="943">
      <c r="C943" s="139"/>
      <c r="D943" s="139"/>
      <c r="F943" s="138"/>
    </row>
    <row r="944">
      <c r="C944" s="139"/>
      <c r="D944" s="139"/>
      <c r="F944" s="138"/>
    </row>
    <row r="945">
      <c r="C945" s="139"/>
      <c r="D945" s="139"/>
      <c r="F945" s="138"/>
    </row>
    <row r="946">
      <c r="C946" s="139"/>
      <c r="D946" s="139"/>
      <c r="F946" s="138"/>
    </row>
    <row r="947">
      <c r="C947" s="139"/>
      <c r="D947" s="139"/>
      <c r="F947" s="138"/>
    </row>
    <row r="948">
      <c r="C948" s="139"/>
      <c r="D948" s="139"/>
      <c r="F948" s="138"/>
    </row>
    <row r="949">
      <c r="C949" s="139"/>
      <c r="D949" s="139"/>
      <c r="F949" s="138"/>
    </row>
    <row r="950">
      <c r="C950" s="139"/>
      <c r="D950" s="139"/>
      <c r="F950" s="138"/>
    </row>
    <row r="951">
      <c r="C951" s="139"/>
      <c r="D951" s="139"/>
      <c r="F951" s="138"/>
    </row>
    <row r="952">
      <c r="C952" s="139"/>
      <c r="D952" s="139"/>
      <c r="F952" s="138"/>
    </row>
    <row r="953">
      <c r="C953" s="139"/>
      <c r="D953" s="139"/>
      <c r="F953" s="138"/>
    </row>
    <row r="954">
      <c r="C954" s="139"/>
      <c r="D954" s="139"/>
      <c r="F954" s="138"/>
    </row>
    <row r="955">
      <c r="C955" s="139"/>
      <c r="D955" s="139"/>
      <c r="F955" s="138"/>
    </row>
    <row r="956">
      <c r="C956" s="139"/>
      <c r="D956" s="139"/>
      <c r="F956" s="138"/>
    </row>
    <row r="957">
      <c r="C957" s="139"/>
      <c r="D957" s="139"/>
      <c r="F957" s="138"/>
    </row>
    <row r="958">
      <c r="C958" s="139"/>
      <c r="D958" s="139"/>
      <c r="F958" s="138"/>
    </row>
    <row r="959">
      <c r="C959" s="139"/>
      <c r="D959" s="139"/>
      <c r="F959" s="138"/>
    </row>
    <row r="960">
      <c r="C960" s="139"/>
      <c r="D960" s="139"/>
      <c r="F960" s="138"/>
    </row>
    <row r="961">
      <c r="C961" s="139"/>
      <c r="D961" s="139"/>
      <c r="F961" s="138"/>
    </row>
    <row r="962">
      <c r="C962" s="139"/>
      <c r="D962" s="139"/>
      <c r="F962" s="138"/>
    </row>
    <row r="963">
      <c r="C963" s="139"/>
      <c r="D963" s="139"/>
      <c r="F963" s="138"/>
    </row>
    <row r="964">
      <c r="C964" s="139"/>
      <c r="D964" s="139"/>
      <c r="F964" s="138"/>
    </row>
    <row r="965">
      <c r="C965" s="139"/>
      <c r="D965" s="139"/>
      <c r="F965" s="138"/>
    </row>
    <row r="966">
      <c r="C966" s="139"/>
      <c r="D966" s="139"/>
      <c r="F966" s="138"/>
    </row>
    <row r="967">
      <c r="C967" s="139"/>
      <c r="D967" s="139"/>
      <c r="F967" s="138"/>
    </row>
    <row r="968">
      <c r="C968" s="139"/>
      <c r="D968" s="139"/>
      <c r="F968" s="138"/>
    </row>
    <row r="969">
      <c r="C969" s="139"/>
      <c r="D969" s="139"/>
      <c r="F969" s="138"/>
    </row>
    <row r="970">
      <c r="C970" s="139"/>
      <c r="D970" s="139"/>
      <c r="F970" s="138"/>
    </row>
    <row r="971">
      <c r="C971" s="139"/>
      <c r="D971" s="139"/>
      <c r="F971" s="138"/>
    </row>
    <row r="972">
      <c r="C972" s="139"/>
      <c r="D972" s="139"/>
      <c r="F972" s="138"/>
    </row>
    <row r="973">
      <c r="C973" s="139"/>
      <c r="D973" s="139"/>
      <c r="F973" s="138"/>
    </row>
    <row r="974">
      <c r="C974" s="139"/>
      <c r="D974" s="139"/>
      <c r="F974" s="138"/>
    </row>
    <row r="975">
      <c r="C975" s="139"/>
      <c r="D975" s="139"/>
      <c r="F975" s="138"/>
    </row>
    <row r="976">
      <c r="C976" s="139"/>
      <c r="D976" s="139"/>
      <c r="F976" s="138"/>
    </row>
    <row r="977">
      <c r="C977" s="139"/>
      <c r="D977" s="139"/>
      <c r="F977" s="138"/>
    </row>
    <row r="978">
      <c r="C978" s="139"/>
      <c r="D978" s="139"/>
      <c r="F978" s="138"/>
    </row>
    <row r="979">
      <c r="C979" s="139"/>
      <c r="D979" s="139"/>
      <c r="F979" s="138"/>
    </row>
    <row r="980">
      <c r="C980" s="139"/>
      <c r="D980" s="139"/>
      <c r="F980" s="138"/>
    </row>
    <row r="981">
      <c r="C981" s="139"/>
      <c r="D981" s="139"/>
      <c r="F981" s="138"/>
    </row>
    <row r="982">
      <c r="C982" s="139"/>
      <c r="D982" s="139"/>
      <c r="F982" s="138"/>
    </row>
    <row r="983">
      <c r="C983" s="139"/>
      <c r="D983" s="139"/>
      <c r="F983" s="138"/>
    </row>
    <row r="984">
      <c r="C984" s="139"/>
      <c r="D984" s="139"/>
      <c r="F984" s="138"/>
    </row>
    <row r="985">
      <c r="C985" s="139"/>
      <c r="D985" s="139"/>
      <c r="F985" s="138"/>
    </row>
    <row r="986">
      <c r="C986" s="139"/>
      <c r="D986" s="139"/>
      <c r="F986" s="138"/>
    </row>
    <row r="987">
      <c r="C987" s="139"/>
      <c r="D987" s="139"/>
      <c r="F987" s="138"/>
    </row>
    <row r="988">
      <c r="C988" s="139"/>
      <c r="D988" s="139"/>
      <c r="F988" s="138"/>
    </row>
    <row r="989">
      <c r="C989" s="139"/>
      <c r="D989" s="139"/>
      <c r="F989" s="138"/>
    </row>
    <row r="990">
      <c r="C990" s="139"/>
      <c r="D990" s="139"/>
      <c r="F990" s="138"/>
    </row>
    <row r="991">
      <c r="C991" s="139"/>
      <c r="D991" s="139"/>
      <c r="F991" s="138"/>
    </row>
    <row r="992">
      <c r="C992" s="139"/>
      <c r="D992" s="139"/>
      <c r="F992" s="138"/>
    </row>
    <row r="993">
      <c r="C993" s="139"/>
      <c r="D993" s="139"/>
      <c r="F993" s="138"/>
    </row>
    <row r="994">
      <c r="C994" s="139"/>
      <c r="D994" s="139"/>
      <c r="F994" s="138"/>
    </row>
    <row r="995">
      <c r="C995" s="139"/>
      <c r="D995" s="139"/>
      <c r="F995" s="138"/>
    </row>
    <row r="996">
      <c r="C996" s="139"/>
      <c r="D996" s="139"/>
      <c r="F996" s="138"/>
    </row>
    <row r="997">
      <c r="C997" s="139"/>
      <c r="D997" s="139"/>
      <c r="F997" s="138"/>
    </row>
    <row r="998">
      <c r="C998" s="139"/>
      <c r="D998" s="139"/>
      <c r="F998" s="138"/>
    </row>
    <row r="999">
      <c r="C999" s="139"/>
      <c r="D999" s="139"/>
      <c r="F999" s="138"/>
    </row>
    <row r="1000">
      <c r="C1000" s="139"/>
      <c r="D1000" s="139"/>
      <c r="F1000" s="138"/>
    </row>
    <row r="1001">
      <c r="C1001" s="139"/>
      <c r="D1001" s="139"/>
      <c r="F1001" s="138"/>
    </row>
    <row r="1002">
      <c r="C1002" s="139"/>
      <c r="D1002" s="139"/>
      <c r="F1002" s="138"/>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conditionalFormatting sqref="E176:E190 E192:E195">
    <cfRule type="containsText" dxfId="0" priority="3" operator="containsText" text="dem">
      <formula>NOT(ISERROR(SEARCH(("dem"),(E176))))</formula>
    </cfRule>
  </conditionalFormatting>
  <conditionalFormatting sqref="E176:E190 E192:E195">
    <cfRule type="containsText" dxfId="1" priority="4" operator="containsText" text="rep">
      <formula>NOT(ISERROR(SEARCH(("rep"),(E176))))</formula>
    </cfRule>
  </conditionalFormatting>
  <hyperlinks>
    <hyperlink r:id="rId1" ref="C5"/>
    <hyperlink r:id="rId2" ref="C6"/>
    <hyperlink r:id="rId3" ref="C7"/>
    <hyperlink r:id="rId4" ref="C12"/>
    <hyperlink r:id="rId5" ref="C13"/>
    <hyperlink r:id="rId6" ref="C16"/>
    <hyperlink r:id="rId7" ref="C17"/>
    <hyperlink r:id="rId8" ref="C18"/>
    <hyperlink r:id="rId9" ref="C20"/>
    <hyperlink r:id="rId10" ref="C25"/>
    <hyperlink r:id="rId11" ref="C26"/>
    <hyperlink r:id="rId12" ref="C27"/>
    <hyperlink r:id="rId13" ref="C30"/>
    <hyperlink r:id="rId14" ref="C36"/>
    <hyperlink r:id="rId15" ref="C37"/>
    <hyperlink r:id="rId16" ref="C42"/>
    <hyperlink r:id="rId17" ref="C43"/>
    <hyperlink r:id="rId18" ref="C45"/>
    <hyperlink r:id="rId19" ref="C46"/>
    <hyperlink r:id="rId20" ref="C47"/>
    <hyperlink r:id="rId21" ref="C50"/>
    <hyperlink r:id="rId22" ref="C51"/>
    <hyperlink r:id="rId23" ref="C53"/>
    <hyperlink r:id="rId24" ref="C55"/>
    <hyperlink r:id="rId25" ref="C56"/>
    <hyperlink r:id="rId26" ref="C58"/>
    <hyperlink r:id="rId27" ref="C59"/>
    <hyperlink r:id="rId28" ref="C64"/>
    <hyperlink r:id="rId29" ref="C65"/>
    <hyperlink r:id="rId30" ref="C67"/>
    <hyperlink r:id="rId31" ref="C69"/>
    <hyperlink r:id="rId32" ref="C72"/>
    <hyperlink r:id="rId33" ref="C73"/>
    <hyperlink r:id="rId34" location="cite_note-3" ref="C75"/>
    <hyperlink r:id="rId35" ref="C76"/>
    <hyperlink r:id="rId36" ref="C78"/>
    <hyperlink r:id="rId37" ref="C79"/>
    <hyperlink r:id="rId38" ref="C80"/>
    <hyperlink r:id="rId39" ref="C81"/>
    <hyperlink r:id="rId40" ref="C85"/>
    <hyperlink r:id="rId41" ref="C86"/>
    <hyperlink r:id="rId42" ref="C89"/>
    <hyperlink r:id="rId43" ref="C92"/>
    <hyperlink r:id="rId44" ref="C98"/>
    <hyperlink r:id="rId45" ref="C99"/>
    <hyperlink r:id="rId46" ref="C105"/>
    <hyperlink r:id="rId47" ref="C109"/>
    <hyperlink r:id="rId48" ref="C110"/>
    <hyperlink r:id="rId49" ref="C111"/>
    <hyperlink r:id="rId50" ref="C112"/>
    <hyperlink r:id="rId51" ref="C113"/>
    <hyperlink r:id="rId52" ref="C114"/>
    <hyperlink r:id="rId53" ref="C117"/>
    <hyperlink r:id="rId54" ref="C118"/>
    <hyperlink r:id="rId55" ref="C120"/>
    <hyperlink r:id="rId56" ref="C121"/>
    <hyperlink r:id="rId57" ref="C126"/>
    <hyperlink r:id="rId58" ref="C127"/>
    <hyperlink r:id="rId59" ref="C129"/>
    <hyperlink r:id="rId60" ref="C130"/>
    <hyperlink r:id="rId61" ref="C132"/>
    <hyperlink r:id="rId62" ref="C134"/>
    <hyperlink r:id="rId63" ref="C135"/>
    <hyperlink r:id="rId64" ref="C138"/>
    <hyperlink r:id="rId65" ref="C145"/>
    <hyperlink r:id="rId66" ref="C146"/>
    <hyperlink r:id="rId67" ref="C147"/>
    <hyperlink r:id="rId68" ref="C148"/>
    <hyperlink r:id="rId69" ref="C149"/>
    <hyperlink r:id="rId70" ref="C152"/>
    <hyperlink r:id="rId71" ref="C155"/>
    <hyperlink r:id="rId72" ref="C160"/>
    <hyperlink r:id="rId73" ref="C161"/>
    <hyperlink r:id="rId74" ref="C163"/>
    <hyperlink r:id="rId75" ref="C164"/>
    <hyperlink r:id="rId76" ref="C166"/>
    <hyperlink r:id="rId77" ref="C167"/>
    <hyperlink r:id="rId78" ref="C169"/>
    <hyperlink r:id="rId79" ref="C170"/>
    <hyperlink r:id="rId80" ref="C171"/>
    <hyperlink r:id="rId81" ref="C172"/>
    <hyperlink r:id="rId82" ref="C173"/>
    <hyperlink r:id="rId83" ref="C174"/>
  </hyperlinks>
  <drawing r:id="rId84"/>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1" max="1" width="10.86"/>
    <col customWidth="1" min="2" max="2" width="15.0"/>
    <col customWidth="1" min="3" max="3" width="9.29"/>
    <col customWidth="1" min="4" max="4" width="14.43"/>
    <col customWidth="1" min="6" max="6" width="12.14"/>
    <col customWidth="1" min="7" max="7" width="22.29"/>
    <col customWidth="1" min="8" max="8" width="31.14"/>
    <col customWidth="1" min="9" max="9" width="30.71"/>
    <col customWidth="1" min="12" max="12" width="20.14"/>
  </cols>
  <sheetData>
    <row r="1" ht="15.0" customHeight="1" outlineLevel="1">
      <c r="A1" s="1" t="s">
        <v>0</v>
      </c>
      <c r="B1" s="1"/>
      <c r="C1" s="2" t="s">
        <v>1</v>
      </c>
      <c r="D1" s="2" t="s">
        <v>2</v>
      </c>
      <c r="E1" s="2" t="s">
        <v>2</v>
      </c>
      <c r="F1" s="3"/>
      <c r="G1" s="30" t="s">
        <v>1577</v>
      </c>
      <c r="H1" s="30" t="s">
        <v>4</v>
      </c>
      <c r="I1" s="30" t="s">
        <v>5</v>
      </c>
      <c r="J1" s="30" t="s">
        <v>6</v>
      </c>
      <c r="K1" s="30" t="s">
        <v>7</v>
      </c>
      <c r="L1" s="1" t="s">
        <v>8</v>
      </c>
      <c r="M1" s="7" t="s">
        <v>9</v>
      </c>
      <c r="O1" s="10" t="s">
        <v>14</v>
      </c>
      <c r="Q1" s="167"/>
      <c r="R1" s="167"/>
      <c r="S1" s="30"/>
      <c r="T1" s="20"/>
      <c r="U1" s="20"/>
      <c r="V1" s="654"/>
      <c r="W1" s="20"/>
      <c r="X1" s="20"/>
      <c r="Y1" s="20"/>
      <c r="Z1" s="20"/>
      <c r="AA1" s="20"/>
      <c r="AB1" s="20"/>
      <c r="AC1" s="20"/>
      <c r="AD1" s="20"/>
      <c r="AE1" s="20"/>
    </row>
    <row r="2" ht="16.5" customHeight="1" outlineLevel="1">
      <c r="A2" s="21" t="s">
        <v>492</v>
      </c>
      <c r="B2" s="21"/>
      <c r="C2" s="21" t="s">
        <v>9923</v>
      </c>
      <c r="D2" s="21" t="s">
        <v>2929</v>
      </c>
      <c r="E2" s="23"/>
      <c r="F2" s="3"/>
      <c r="G2" s="168">
        <v>43472.0</v>
      </c>
      <c r="H2" s="655">
        <v>43479.0</v>
      </c>
      <c r="I2" s="21">
        <f>H2-TODAY()</f>
        <v>-256</v>
      </c>
      <c r="J2" s="168">
        <v>43468.0</v>
      </c>
      <c r="K2" s="168">
        <v>43585.0</v>
      </c>
      <c r="L2" s="23"/>
      <c r="M2" s="26">
        <f>CountIFS($F:$F,"=Dem",$A:$A,"=House")</f>
        <v>14</v>
      </c>
      <c r="N2" s="28">
        <f>CountIFS($F:$F,"=Rep",$A:$A,"=House")</f>
        <v>80</v>
      </c>
      <c r="O2" s="26">
        <f>CountIFS($F:$F,"=Dem",$A:$A,"=Senate")</f>
        <v>10</v>
      </c>
      <c r="P2" s="28">
        <f>CountIFS($F:$F,"=Rep",$A:$A,"=Senate")</f>
        <v>37</v>
      </c>
      <c r="Q2" s="167"/>
      <c r="R2" s="167"/>
      <c r="S2" s="30"/>
      <c r="T2" s="20"/>
      <c r="U2" s="3" t="s">
        <v>2739</v>
      </c>
      <c r="Y2" s="20"/>
      <c r="Z2" s="20"/>
      <c r="AA2" s="20"/>
      <c r="AB2" s="20"/>
      <c r="AC2" s="20"/>
      <c r="AD2" s="20"/>
      <c r="AE2" s="20"/>
    </row>
    <row r="3">
      <c r="A3" s="30" t="s">
        <v>29</v>
      </c>
      <c r="B3" s="30" t="s">
        <v>1590</v>
      </c>
      <c r="C3" s="30" t="s">
        <v>30</v>
      </c>
      <c r="D3" s="2" t="s">
        <v>31</v>
      </c>
      <c r="E3" s="2" t="s">
        <v>32</v>
      </c>
      <c r="F3" s="3" t="s">
        <v>33</v>
      </c>
      <c r="G3" s="1" t="s">
        <v>10</v>
      </c>
      <c r="H3" s="1" t="s">
        <v>34</v>
      </c>
      <c r="I3" s="1" t="s">
        <v>34</v>
      </c>
      <c r="J3" s="1" t="s">
        <v>34</v>
      </c>
      <c r="K3" s="1" t="s">
        <v>34</v>
      </c>
      <c r="L3" s="1" t="s">
        <v>35</v>
      </c>
      <c r="M3" s="19" t="s">
        <v>36</v>
      </c>
      <c r="N3" s="19" t="s">
        <v>37</v>
      </c>
      <c r="O3" s="19" t="s">
        <v>38</v>
      </c>
      <c r="P3" s="17" t="s">
        <v>39</v>
      </c>
      <c r="Q3" s="11" t="s">
        <v>40</v>
      </c>
      <c r="R3" s="11" t="s">
        <v>41</v>
      </c>
      <c r="S3" s="17" t="s">
        <v>42</v>
      </c>
      <c r="T3" s="20"/>
      <c r="U3" s="30" t="s">
        <v>1590</v>
      </c>
      <c r="V3" s="2" t="s">
        <v>1591</v>
      </c>
      <c r="W3" s="30" t="s">
        <v>1592</v>
      </c>
      <c r="X3" s="30" t="s">
        <v>37</v>
      </c>
      <c r="Y3" s="20"/>
      <c r="Z3" s="20"/>
      <c r="AA3" s="20"/>
      <c r="AB3" s="20"/>
      <c r="AC3" s="20"/>
      <c r="AD3" s="20"/>
      <c r="AE3" s="20"/>
    </row>
    <row r="4">
      <c r="A4" s="14" t="s">
        <v>44</v>
      </c>
      <c r="B4" s="14" t="str">
        <f t="shared" ref="B4:B97" si="1">if(A4="House","Representative","Senator")</f>
        <v>Representative</v>
      </c>
      <c r="C4" s="330">
        <v>1.0</v>
      </c>
      <c r="D4" s="35" t="s">
        <v>1914</v>
      </c>
      <c r="E4" s="35" t="s">
        <v>9929</v>
      </c>
      <c r="F4" s="51" t="s">
        <v>53</v>
      </c>
      <c r="G4" s="31"/>
      <c r="H4" s="14" t="s">
        <v>9930</v>
      </c>
      <c r="I4" s="14" t="s">
        <v>9931</v>
      </c>
      <c r="J4" s="14" t="s">
        <v>9932</v>
      </c>
      <c r="K4" s="14" t="s">
        <v>9933</v>
      </c>
      <c r="M4" s="14" t="s">
        <v>9934</v>
      </c>
      <c r="N4" s="656" t="s">
        <v>9935</v>
      </c>
      <c r="O4" s="14"/>
      <c r="P4" s="14"/>
      <c r="U4" t="str">
        <f t="shared" ref="U4:U145" si="2">if(V4="","",if(A4="House","Representative","Senator"))</f>
        <v>Representative</v>
      </c>
      <c r="V4" s="139" t="str">
        <f>if(or(isnumber(search("chair",H4)),isnumber(search("chair",I4)),not(isblank(G4))),D4,cell.clearcontents)</f>
        <v>Patrick</v>
      </c>
      <c r="W4" t="str">
        <f t="shared" ref="W4:W97" si="3">if(V4="","",E4)</f>
        <v>Hatlestad</v>
      </c>
      <c r="X4" t="str">
        <f t="shared" ref="X4:X145" si="4">if(W4="","",N4)</f>
        <v>phatlestad@nd.gov</v>
      </c>
    </row>
    <row r="5">
      <c r="A5" s="14" t="s">
        <v>44</v>
      </c>
      <c r="B5" s="14" t="str">
        <f t="shared" si="1"/>
        <v>Representative</v>
      </c>
      <c r="D5" s="35" t="s">
        <v>108</v>
      </c>
      <c r="E5" s="35" t="s">
        <v>9939</v>
      </c>
      <c r="F5" s="51" t="s">
        <v>53</v>
      </c>
      <c r="G5" s="31"/>
      <c r="H5" s="14" t="s">
        <v>2184</v>
      </c>
      <c r="M5" s="14" t="s">
        <v>9940</v>
      </c>
      <c r="N5" s="656" t="s">
        <v>9941</v>
      </c>
      <c r="U5" t="str">
        <f t="shared" si="2"/>
        <v/>
      </c>
      <c r="V5" s="139"/>
      <c r="W5" t="str">
        <f t="shared" si="3"/>
        <v/>
      </c>
      <c r="X5" t="str">
        <f t="shared" si="4"/>
        <v/>
      </c>
    </row>
    <row r="6">
      <c r="A6" s="14" t="s">
        <v>44</v>
      </c>
      <c r="B6" s="14" t="str">
        <f t="shared" si="1"/>
        <v>Representative</v>
      </c>
      <c r="C6" s="330">
        <v>2.0</v>
      </c>
      <c r="D6" s="74" t="s">
        <v>392</v>
      </c>
      <c r="E6" s="74" t="s">
        <v>3961</v>
      </c>
      <c r="F6" s="51" t="s">
        <v>53</v>
      </c>
      <c r="G6" s="31"/>
      <c r="H6" s="14" t="s">
        <v>626</v>
      </c>
      <c r="M6" s="14" t="s">
        <v>9943</v>
      </c>
      <c r="N6" s="656" t="s">
        <v>9944</v>
      </c>
      <c r="U6" t="str">
        <f t="shared" si="2"/>
        <v/>
      </c>
      <c r="V6" s="139"/>
      <c r="W6" t="str">
        <f t="shared" si="3"/>
        <v/>
      </c>
      <c r="X6" t="str">
        <f t="shared" si="4"/>
        <v/>
      </c>
    </row>
    <row r="7">
      <c r="A7" s="14" t="s">
        <v>44</v>
      </c>
      <c r="B7" s="14" t="str">
        <f t="shared" si="1"/>
        <v>Representative</v>
      </c>
      <c r="D7" s="35" t="s">
        <v>2139</v>
      </c>
      <c r="E7" s="35" t="s">
        <v>9945</v>
      </c>
      <c r="F7" s="51" t="s">
        <v>53</v>
      </c>
      <c r="G7" s="31"/>
      <c r="H7" s="14" t="s">
        <v>515</v>
      </c>
      <c r="I7" s="59" t="s">
        <v>9946</v>
      </c>
      <c r="M7" s="14" t="s">
        <v>9947</v>
      </c>
      <c r="N7" s="656" t="s">
        <v>9948</v>
      </c>
      <c r="U7" t="str">
        <f t="shared" si="2"/>
        <v/>
      </c>
      <c r="V7" s="139"/>
      <c r="W7" t="str">
        <f t="shared" si="3"/>
        <v/>
      </c>
      <c r="X7" t="str">
        <f t="shared" si="4"/>
        <v/>
      </c>
    </row>
    <row r="8">
      <c r="A8" s="14" t="s">
        <v>44</v>
      </c>
      <c r="B8" s="14" t="str">
        <f t="shared" si="1"/>
        <v>Representative</v>
      </c>
      <c r="C8" s="330">
        <v>3.0</v>
      </c>
      <c r="D8" s="35" t="s">
        <v>683</v>
      </c>
      <c r="E8" s="35" t="s">
        <v>9949</v>
      </c>
      <c r="F8" s="51" t="s">
        <v>53</v>
      </c>
      <c r="G8" s="31"/>
      <c r="H8" s="14" t="s">
        <v>515</v>
      </c>
      <c r="I8" s="59" t="s">
        <v>9950</v>
      </c>
      <c r="M8" s="14" t="s">
        <v>9951</v>
      </c>
      <c r="N8" s="656" t="s">
        <v>9952</v>
      </c>
      <c r="U8" t="str">
        <f t="shared" si="2"/>
        <v/>
      </c>
      <c r="V8" s="139" t="str">
        <f t="shared" ref="V8:V97" si="5">if(or(isnumber(search("chair",H8)),isnumber(search("chair",I8)),not(isblank(G8))),D8,"")</f>
        <v/>
      </c>
      <c r="W8" t="str">
        <f t="shared" si="3"/>
        <v/>
      </c>
      <c r="X8" t="str">
        <f t="shared" si="4"/>
        <v/>
      </c>
    </row>
    <row r="9">
      <c r="A9" s="14" t="s">
        <v>44</v>
      </c>
      <c r="B9" s="14" t="str">
        <f t="shared" si="1"/>
        <v>Representative</v>
      </c>
      <c r="D9" s="74" t="s">
        <v>419</v>
      </c>
      <c r="E9" s="74" t="s">
        <v>9958</v>
      </c>
      <c r="F9" s="51" t="s">
        <v>53</v>
      </c>
      <c r="G9" s="31"/>
      <c r="H9" s="59" t="s">
        <v>781</v>
      </c>
      <c r="I9" s="59" t="s">
        <v>578</v>
      </c>
      <c r="M9" s="657" t="s">
        <v>9959</v>
      </c>
      <c r="N9" s="656" t="s">
        <v>9961</v>
      </c>
      <c r="U9" t="str">
        <f t="shared" si="2"/>
        <v/>
      </c>
      <c r="V9" s="139" t="str">
        <f t="shared" si="5"/>
        <v/>
      </c>
      <c r="W9" t="str">
        <f t="shared" si="3"/>
        <v/>
      </c>
      <c r="X9" t="str">
        <f t="shared" si="4"/>
        <v/>
      </c>
    </row>
    <row r="10">
      <c r="A10" s="14" t="s">
        <v>44</v>
      </c>
      <c r="B10" s="14" t="str">
        <f t="shared" si="1"/>
        <v>Representative</v>
      </c>
      <c r="C10" s="330">
        <v>4.0</v>
      </c>
      <c r="D10" s="74" t="s">
        <v>1990</v>
      </c>
      <c r="E10" s="74" t="s">
        <v>706</v>
      </c>
      <c r="F10" s="51" t="s">
        <v>53</v>
      </c>
      <c r="G10" s="31"/>
      <c r="H10" s="59" t="s">
        <v>781</v>
      </c>
      <c r="I10" s="14" t="s">
        <v>4125</v>
      </c>
      <c r="M10" s="657" t="s">
        <v>9963</v>
      </c>
      <c r="N10" s="656" t="s">
        <v>9964</v>
      </c>
      <c r="U10" t="str">
        <f t="shared" si="2"/>
        <v/>
      </c>
      <c r="V10" s="139" t="str">
        <f t="shared" si="5"/>
        <v/>
      </c>
      <c r="W10" t="str">
        <f t="shared" si="3"/>
        <v/>
      </c>
      <c r="X10" t="str">
        <f t="shared" si="4"/>
        <v/>
      </c>
    </row>
    <row r="11">
      <c r="A11" s="14" t="s">
        <v>44</v>
      </c>
      <c r="B11" s="14" t="str">
        <f t="shared" si="1"/>
        <v>Representative</v>
      </c>
      <c r="D11" s="78" t="s">
        <v>2639</v>
      </c>
      <c r="E11" s="78" t="s">
        <v>9966</v>
      </c>
      <c r="F11" s="51" t="s">
        <v>53</v>
      </c>
      <c r="G11" s="31"/>
      <c r="H11" s="59" t="s">
        <v>3561</v>
      </c>
      <c r="I11" s="59" t="s">
        <v>9946</v>
      </c>
      <c r="M11" s="658" t="s">
        <v>9968</v>
      </c>
      <c r="N11" s="656" t="s">
        <v>9970</v>
      </c>
      <c r="U11" t="str">
        <f t="shared" si="2"/>
        <v/>
      </c>
      <c r="V11" s="139" t="str">
        <f t="shared" si="5"/>
        <v/>
      </c>
      <c r="W11" t="str">
        <f t="shared" si="3"/>
        <v/>
      </c>
      <c r="X11" t="str">
        <f t="shared" si="4"/>
        <v/>
      </c>
    </row>
    <row r="12">
      <c r="A12" s="14" t="s">
        <v>44</v>
      </c>
      <c r="B12" s="14" t="str">
        <f t="shared" si="1"/>
        <v>Representative</v>
      </c>
      <c r="C12" s="330">
        <v>5.0</v>
      </c>
      <c r="D12" s="35" t="s">
        <v>1013</v>
      </c>
      <c r="E12" s="35" t="s">
        <v>5307</v>
      </c>
      <c r="F12" s="51" t="s">
        <v>53</v>
      </c>
      <c r="G12" s="31"/>
      <c r="H12" s="14" t="s">
        <v>2184</v>
      </c>
      <c r="I12" s="59" t="s">
        <v>9932</v>
      </c>
      <c r="M12" s="14" t="s">
        <v>9971</v>
      </c>
      <c r="N12" s="656" t="s">
        <v>9972</v>
      </c>
      <c r="U12" t="str">
        <f t="shared" si="2"/>
        <v/>
      </c>
      <c r="V12" s="139" t="str">
        <f t="shared" si="5"/>
        <v/>
      </c>
      <c r="W12" t="str">
        <f t="shared" si="3"/>
        <v/>
      </c>
      <c r="X12" t="str">
        <f t="shared" si="4"/>
        <v/>
      </c>
    </row>
    <row r="13">
      <c r="A13" s="14" t="s">
        <v>44</v>
      </c>
      <c r="B13" s="14" t="str">
        <f t="shared" si="1"/>
        <v>Representative</v>
      </c>
      <c r="D13" s="74" t="s">
        <v>45</v>
      </c>
      <c r="E13" s="74" t="s">
        <v>9974</v>
      </c>
      <c r="F13" s="51" t="s">
        <v>53</v>
      </c>
      <c r="G13" s="164" t="s">
        <v>9975</v>
      </c>
      <c r="H13" s="59" t="s">
        <v>9950</v>
      </c>
      <c r="I13" s="59" t="s">
        <v>9931</v>
      </c>
      <c r="M13" s="14" t="s">
        <v>9976</v>
      </c>
      <c r="N13" s="656" t="s">
        <v>9977</v>
      </c>
      <c r="U13" t="str">
        <f t="shared" si="2"/>
        <v>Representative</v>
      </c>
      <c r="V13" s="139" t="str">
        <f t="shared" si="5"/>
        <v>Scott</v>
      </c>
      <c r="W13" t="str">
        <f t="shared" si="3"/>
        <v>Louser</v>
      </c>
      <c r="X13" t="str">
        <f t="shared" si="4"/>
        <v>sclouser@nd.gov</v>
      </c>
    </row>
    <row r="14">
      <c r="A14" s="14" t="s">
        <v>44</v>
      </c>
      <c r="B14" s="14" t="str">
        <f t="shared" si="1"/>
        <v>Representative</v>
      </c>
      <c r="C14" s="330">
        <v>6.0</v>
      </c>
      <c r="D14" s="35" t="s">
        <v>4711</v>
      </c>
      <c r="E14" s="35" t="s">
        <v>3961</v>
      </c>
      <c r="F14" s="51" t="s">
        <v>53</v>
      </c>
      <c r="G14" s="31"/>
      <c r="H14" s="14" t="s">
        <v>9979</v>
      </c>
      <c r="I14" s="14" t="s">
        <v>9980</v>
      </c>
      <c r="M14" s="14" t="s">
        <v>9981</v>
      </c>
      <c r="N14" s="656" t="s">
        <v>9982</v>
      </c>
      <c r="U14" t="str">
        <f t="shared" si="2"/>
        <v/>
      </c>
      <c r="V14" s="139" t="str">
        <f t="shared" si="5"/>
        <v/>
      </c>
      <c r="W14" t="str">
        <f t="shared" si="3"/>
        <v/>
      </c>
      <c r="X14" t="str">
        <f t="shared" si="4"/>
        <v/>
      </c>
    </row>
    <row r="15">
      <c r="A15" s="14" t="s">
        <v>44</v>
      </c>
      <c r="B15" s="14" t="str">
        <f t="shared" si="1"/>
        <v>Representative</v>
      </c>
      <c r="D15" s="74" t="s">
        <v>373</v>
      </c>
      <c r="E15" s="74" t="s">
        <v>118</v>
      </c>
      <c r="F15" s="51" t="s">
        <v>53</v>
      </c>
      <c r="G15" s="31"/>
      <c r="H15" s="59" t="s">
        <v>9950</v>
      </c>
      <c r="I15" s="59" t="s">
        <v>9931</v>
      </c>
      <c r="M15" s="14" t="s">
        <v>9983</v>
      </c>
      <c r="N15" s="656" t="s">
        <v>9984</v>
      </c>
      <c r="U15" t="str">
        <f t="shared" si="2"/>
        <v/>
      </c>
      <c r="V15" s="139" t="str">
        <f t="shared" si="5"/>
        <v/>
      </c>
      <c r="W15" t="str">
        <f t="shared" si="3"/>
        <v/>
      </c>
      <c r="X15" t="str">
        <f t="shared" si="4"/>
        <v/>
      </c>
    </row>
    <row r="16">
      <c r="A16" s="14" t="s">
        <v>44</v>
      </c>
      <c r="B16" s="14" t="str">
        <f t="shared" si="1"/>
        <v>Representative</v>
      </c>
      <c r="C16" s="330">
        <v>7.0</v>
      </c>
      <c r="D16" s="35" t="s">
        <v>1291</v>
      </c>
      <c r="E16" s="35" t="s">
        <v>1715</v>
      </c>
      <c r="F16" s="51" t="s">
        <v>53</v>
      </c>
      <c r="G16" s="31"/>
      <c r="H16" s="14" t="s">
        <v>8269</v>
      </c>
      <c r="I16" s="14" t="s">
        <v>9988</v>
      </c>
      <c r="M16" s="14" t="s">
        <v>9989</v>
      </c>
      <c r="N16" s="656" t="s">
        <v>9990</v>
      </c>
      <c r="U16" t="str">
        <f t="shared" si="2"/>
        <v>Representative</v>
      </c>
      <c r="V16" s="139" t="str">
        <f t="shared" si="5"/>
        <v>Rick</v>
      </c>
      <c r="W16" t="str">
        <f t="shared" si="3"/>
        <v>Becker</v>
      </c>
      <c r="X16" t="str">
        <f t="shared" si="4"/>
        <v>rcbecker@nd.gov</v>
      </c>
    </row>
    <row r="17">
      <c r="A17" s="14" t="s">
        <v>44</v>
      </c>
      <c r="B17" s="14" t="str">
        <f t="shared" si="1"/>
        <v>Representative</v>
      </c>
      <c r="D17" s="74" t="s">
        <v>1231</v>
      </c>
      <c r="E17" s="74" t="s">
        <v>9991</v>
      </c>
      <c r="F17" s="51" t="s">
        <v>53</v>
      </c>
      <c r="G17" s="31"/>
      <c r="H17" s="59" t="s">
        <v>9932</v>
      </c>
      <c r="I17" s="14" t="s">
        <v>9992</v>
      </c>
      <c r="M17" s="14" t="s">
        <v>9993</v>
      </c>
      <c r="N17" s="656" t="s">
        <v>9994</v>
      </c>
      <c r="U17" t="str">
        <f t="shared" si="2"/>
        <v>Representative</v>
      </c>
      <c r="V17" s="139" t="str">
        <f t="shared" si="5"/>
        <v>Jason</v>
      </c>
      <c r="W17" t="str">
        <f t="shared" si="3"/>
        <v>Dockter</v>
      </c>
      <c r="X17" t="str">
        <f t="shared" si="4"/>
        <v>jddockter@nd.gov</v>
      </c>
    </row>
    <row r="18">
      <c r="A18" s="14" t="s">
        <v>44</v>
      </c>
      <c r="B18" s="14" t="str">
        <f t="shared" si="1"/>
        <v>Representative</v>
      </c>
      <c r="C18" s="330">
        <v>8.0</v>
      </c>
      <c r="D18" s="35" t="s">
        <v>683</v>
      </c>
      <c r="E18" s="35" t="s">
        <v>9997</v>
      </c>
      <c r="F18" s="51" t="s">
        <v>53</v>
      </c>
      <c r="G18" s="31"/>
      <c r="H18" s="14" t="s">
        <v>2614</v>
      </c>
      <c r="M18" s="14" t="s">
        <v>9998</v>
      </c>
      <c r="N18" s="656" t="s">
        <v>9999</v>
      </c>
      <c r="U18" t="str">
        <f t="shared" si="2"/>
        <v>Representative</v>
      </c>
      <c r="V18" s="139" t="str">
        <f t="shared" si="5"/>
        <v>Jeff</v>
      </c>
      <c r="W18" t="str">
        <f t="shared" si="3"/>
        <v>Delzer</v>
      </c>
      <c r="X18" t="str">
        <f t="shared" si="4"/>
        <v>jdelzer@nd.gov</v>
      </c>
    </row>
    <row r="19">
      <c r="A19" s="14" t="s">
        <v>44</v>
      </c>
      <c r="B19" s="14" t="str">
        <f t="shared" si="1"/>
        <v>Representative</v>
      </c>
      <c r="D19" s="35" t="s">
        <v>3659</v>
      </c>
      <c r="E19" s="35" t="s">
        <v>10002</v>
      </c>
      <c r="F19" s="51" t="s">
        <v>53</v>
      </c>
      <c r="G19" s="31"/>
      <c r="H19" s="59" t="s">
        <v>9950</v>
      </c>
      <c r="I19" s="59" t="s">
        <v>9931</v>
      </c>
      <c r="M19" s="14" t="s">
        <v>10003</v>
      </c>
      <c r="N19" s="656" t="s">
        <v>10004</v>
      </c>
      <c r="U19" t="str">
        <f t="shared" si="2"/>
        <v/>
      </c>
      <c r="V19" s="139" t="str">
        <f t="shared" si="5"/>
        <v/>
      </c>
      <c r="W19" t="str">
        <f t="shared" si="3"/>
        <v/>
      </c>
      <c r="X19" t="str">
        <f t="shared" si="4"/>
        <v/>
      </c>
    </row>
    <row r="20">
      <c r="A20" s="14" t="s">
        <v>44</v>
      </c>
      <c r="B20" s="14" t="str">
        <f t="shared" si="1"/>
        <v>Representative</v>
      </c>
      <c r="C20" s="330">
        <v>9.0</v>
      </c>
      <c r="D20" s="35" t="s">
        <v>273</v>
      </c>
      <c r="E20" s="35" t="s">
        <v>10005</v>
      </c>
      <c r="F20" s="100" t="s">
        <v>49</v>
      </c>
      <c r="G20" s="31"/>
      <c r="H20" s="14" t="s">
        <v>626</v>
      </c>
      <c r="M20" s="14" t="s">
        <v>10006</v>
      </c>
      <c r="N20" s="656" t="s">
        <v>10007</v>
      </c>
      <c r="U20" t="str">
        <f t="shared" si="2"/>
        <v/>
      </c>
      <c r="V20" s="139" t="str">
        <f t="shared" si="5"/>
        <v/>
      </c>
      <c r="W20" t="str">
        <f t="shared" si="3"/>
        <v/>
      </c>
      <c r="X20" t="str">
        <f t="shared" si="4"/>
        <v/>
      </c>
    </row>
    <row r="21">
      <c r="A21" s="14" t="s">
        <v>44</v>
      </c>
      <c r="B21" s="14" t="str">
        <f t="shared" si="1"/>
        <v>Representative</v>
      </c>
      <c r="D21" s="35" t="s">
        <v>6310</v>
      </c>
      <c r="E21" s="35" t="s">
        <v>3823</v>
      </c>
      <c r="F21" s="100" t="s">
        <v>49</v>
      </c>
      <c r="G21" s="31"/>
      <c r="H21" s="59" t="s">
        <v>9931</v>
      </c>
      <c r="I21" s="59" t="s">
        <v>578</v>
      </c>
      <c r="M21" s="14" t="s">
        <v>10009</v>
      </c>
      <c r="N21" s="656" t="s">
        <v>10010</v>
      </c>
      <c r="U21" t="str">
        <f t="shared" si="2"/>
        <v/>
      </c>
      <c r="V21" s="139" t="str">
        <f t="shared" si="5"/>
        <v/>
      </c>
      <c r="W21" t="str">
        <f t="shared" si="3"/>
        <v/>
      </c>
      <c r="X21" t="str">
        <f t="shared" si="4"/>
        <v/>
      </c>
    </row>
    <row r="22">
      <c r="A22" s="14" t="s">
        <v>44</v>
      </c>
      <c r="B22" s="14" t="str">
        <f t="shared" si="1"/>
        <v>Representative</v>
      </c>
      <c r="C22" s="330">
        <v>10.0</v>
      </c>
      <c r="D22" s="35" t="s">
        <v>177</v>
      </c>
      <c r="E22" s="35" t="s">
        <v>10013</v>
      </c>
      <c r="F22" s="51" t="s">
        <v>53</v>
      </c>
      <c r="G22" s="31"/>
      <c r="H22" s="14" t="s">
        <v>10014</v>
      </c>
      <c r="I22" s="14" t="s">
        <v>9980</v>
      </c>
      <c r="M22" s="14" t="s">
        <v>10015</v>
      </c>
      <c r="N22" s="656" t="s">
        <v>10016</v>
      </c>
      <c r="U22" t="str">
        <f t="shared" si="2"/>
        <v>Representative</v>
      </c>
      <c r="V22" s="139" t="str">
        <f t="shared" si="5"/>
        <v>Chuck</v>
      </c>
      <c r="W22" t="str">
        <f t="shared" si="3"/>
        <v>Damschen</v>
      </c>
      <c r="X22" t="str">
        <f t="shared" si="4"/>
        <v>cdamschen@nd.gov</v>
      </c>
    </row>
    <row r="23">
      <c r="A23" s="14" t="s">
        <v>44</v>
      </c>
      <c r="B23" s="14" t="str">
        <f t="shared" si="1"/>
        <v>Representative</v>
      </c>
      <c r="D23" s="35" t="s">
        <v>108</v>
      </c>
      <c r="E23" s="35" t="s">
        <v>10018</v>
      </c>
      <c r="F23" s="51" t="s">
        <v>53</v>
      </c>
      <c r="G23" s="31"/>
      <c r="H23" s="14" t="s">
        <v>626</v>
      </c>
      <c r="I23" s="14" t="s">
        <v>626</v>
      </c>
      <c r="M23" s="14" t="s">
        <v>10019</v>
      </c>
      <c r="N23" s="656" t="s">
        <v>10020</v>
      </c>
      <c r="U23" t="str">
        <f t="shared" si="2"/>
        <v/>
      </c>
      <c r="V23" s="139" t="str">
        <f t="shared" si="5"/>
        <v/>
      </c>
      <c r="W23" t="str">
        <f t="shared" si="3"/>
        <v/>
      </c>
      <c r="X23" t="str">
        <f t="shared" si="4"/>
        <v/>
      </c>
    </row>
    <row r="24">
      <c r="A24" s="14" t="s">
        <v>44</v>
      </c>
      <c r="B24" s="14" t="str">
        <f t="shared" si="1"/>
        <v>Representative</v>
      </c>
      <c r="C24" s="330">
        <v>11.0</v>
      </c>
      <c r="D24" s="35" t="s">
        <v>7349</v>
      </c>
      <c r="E24" s="35" t="s">
        <v>10024</v>
      </c>
      <c r="F24" s="100" t="s">
        <v>49</v>
      </c>
      <c r="G24" s="164" t="s">
        <v>10025</v>
      </c>
      <c r="H24" s="14" t="s">
        <v>2184</v>
      </c>
      <c r="I24" s="14" t="s">
        <v>9980</v>
      </c>
      <c r="M24" s="14" t="s">
        <v>10026</v>
      </c>
      <c r="N24" s="656" t="s">
        <v>10027</v>
      </c>
      <c r="U24" t="str">
        <f t="shared" si="2"/>
        <v>Representative</v>
      </c>
      <c r="V24" s="139" t="str">
        <f t="shared" si="5"/>
        <v>Gretchen</v>
      </c>
      <c r="W24" t="str">
        <f t="shared" si="3"/>
        <v>Dobervich</v>
      </c>
      <c r="X24" t="str">
        <f t="shared" si="4"/>
        <v>gdobervich@nd.gov</v>
      </c>
    </row>
    <row r="25">
      <c r="A25" s="14" t="s">
        <v>44</v>
      </c>
      <c r="B25" s="14" t="str">
        <f t="shared" si="1"/>
        <v>Representative</v>
      </c>
      <c r="D25" s="35" t="s">
        <v>1813</v>
      </c>
      <c r="E25" s="35" t="s">
        <v>10029</v>
      </c>
      <c r="F25" s="100" t="s">
        <v>49</v>
      </c>
      <c r="G25" s="31"/>
      <c r="H25" s="14" t="s">
        <v>515</v>
      </c>
      <c r="I25" s="59" t="s">
        <v>9946</v>
      </c>
      <c r="M25" s="14" t="s">
        <v>10030</v>
      </c>
      <c r="N25" s="656" t="s">
        <v>10031</v>
      </c>
      <c r="U25" t="str">
        <f t="shared" si="2"/>
        <v/>
      </c>
      <c r="V25" s="139" t="str">
        <f t="shared" si="5"/>
        <v/>
      </c>
      <c r="W25" t="str">
        <f t="shared" si="3"/>
        <v/>
      </c>
      <c r="X25" t="str">
        <f t="shared" si="4"/>
        <v/>
      </c>
    </row>
    <row r="26">
      <c r="A26" s="14" t="s">
        <v>44</v>
      </c>
      <c r="B26" s="14" t="str">
        <f t="shared" si="1"/>
        <v>Representative</v>
      </c>
      <c r="C26" s="330">
        <v>12.0</v>
      </c>
      <c r="D26" s="74" t="s">
        <v>476</v>
      </c>
      <c r="E26" s="74" t="s">
        <v>10034</v>
      </c>
      <c r="F26" s="51" t="s">
        <v>53</v>
      </c>
      <c r="G26" s="31"/>
      <c r="H26" s="59" t="s">
        <v>10035</v>
      </c>
      <c r="I26" s="14" t="s">
        <v>578</v>
      </c>
      <c r="M26" s="14" t="s">
        <v>10036</v>
      </c>
      <c r="N26" s="656" t="s">
        <v>10037</v>
      </c>
      <c r="U26" t="str">
        <f t="shared" si="2"/>
        <v>Representative</v>
      </c>
      <c r="V26" s="139" t="str">
        <f t="shared" si="5"/>
        <v>Jim</v>
      </c>
      <c r="W26" t="str">
        <f t="shared" si="3"/>
        <v>Grueneich</v>
      </c>
      <c r="X26" t="str">
        <f t="shared" si="4"/>
        <v>jgrueneich@nd.gov</v>
      </c>
    </row>
    <row r="27">
      <c r="A27" s="14" t="s">
        <v>44</v>
      </c>
      <c r="B27" s="14" t="str">
        <f t="shared" si="1"/>
        <v>Representative</v>
      </c>
      <c r="D27" s="74" t="s">
        <v>10038</v>
      </c>
      <c r="E27" s="74" t="s">
        <v>10039</v>
      </c>
      <c r="F27" s="51" t="s">
        <v>53</v>
      </c>
      <c r="G27" s="31"/>
      <c r="H27" s="59" t="s">
        <v>781</v>
      </c>
      <c r="M27" s="14" t="s">
        <v>10041</v>
      </c>
      <c r="N27" s="656" t="s">
        <v>10042</v>
      </c>
      <c r="U27" t="str">
        <f t="shared" si="2"/>
        <v/>
      </c>
      <c r="V27" s="139" t="str">
        <f t="shared" si="5"/>
        <v/>
      </c>
      <c r="W27" t="str">
        <f t="shared" si="3"/>
        <v/>
      </c>
      <c r="X27" t="str">
        <f t="shared" si="4"/>
        <v/>
      </c>
    </row>
    <row r="28">
      <c r="A28" s="14" t="s">
        <v>44</v>
      </c>
      <c r="B28" s="14" t="str">
        <f t="shared" si="1"/>
        <v>Representative</v>
      </c>
      <c r="C28" s="330">
        <v>13.0</v>
      </c>
      <c r="D28" s="35" t="s">
        <v>1973</v>
      </c>
      <c r="E28" s="35" t="s">
        <v>10043</v>
      </c>
      <c r="F28" s="51" t="s">
        <v>53</v>
      </c>
      <c r="G28" s="31"/>
      <c r="H28" s="14" t="s">
        <v>10044</v>
      </c>
      <c r="I28" s="59" t="s">
        <v>9946</v>
      </c>
      <c r="M28" s="14" t="s">
        <v>10045</v>
      </c>
      <c r="N28" s="656" t="s">
        <v>10046</v>
      </c>
      <c r="U28" t="str">
        <f t="shared" si="2"/>
        <v>Representative</v>
      </c>
      <c r="V28" s="139" t="str">
        <f t="shared" si="5"/>
        <v>Kim</v>
      </c>
      <c r="W28" t="str">
        <f t="shared" si="3"/>
        <v>Koppelman</v>
      </c>
      <c r="X28" t="str">
        <f t="shared" si="4"/>
        <v>kkoppelman@nd.gov</v>
      </c>
    </row>
    <row r="29">
      <c r="A29" s="14" t="s">
        <v>44</v>
      </c>
      <c r="B29" s="14" t="str">
        <f t="shared" si="1"/>
        <v>Representative</v>
      </c>
      <c r="D29" s="74" t="s">
        <v>10047</v>
      </c>
      <c r="E29" s="74" t="s">
        <v>10048</v>
      </c>
      <c r="F29" s="51" t="s">
        <v>53</v>
      </c>
      <c r="G29" s="31"/>
      <c r="H29" s="59" t="s">
        <v>9950</v>
      </c>
      <c r="I29" s="14" t="s">
        <v>10049</v>
      </c>
      <c r="M29" s="14" t="s">
        <v>10050</v>
      </c>
      <c r="N29" s="656" t="s">
        <v>10051</v>
      </c>
      <c r="U29" t="str">
        <f t="shared" si="2"/>
        <v/>
      </c>
      <c r="V29" s="139" t="str">
        <f t="shared" si="5"/>
        <v/>
      </c>
      <c r="W29" t="str">
        <f t="shared" si="3"/>
        <v/>
      </c>
      <c r="X29" t="str">
        <f t="shared" si="4"/>
        <v/>
      </c>
    </row>
    <row r="30">
      <c r="A30" s="14" t="s">
        <v>44</v>
      </c>
      <c r="B30" s="14" t="str">
        <f t="shared" si="1"/>
        <v>Representative</v>
      </c>
      <c r="C30" s="330">
        <v>14.0</v>
      </c>
      <c r="D30" s="35" t="s">
        <v>1387</v>
      </c>
      <c r="E30" s="35" t="s">
        <v>3823</v>
      </c>
      <c r="F30" s="51" t="s">
        <v>53</v>
      </c>
      <c r="G30" s="31"/>
      <c r="H30" s="14" t="s">
        <v>626</v>
      </c>
      <c r="M30" s="14" t="s">
        <v>10054</v>
      </c>
      <c r="N30" s="656" t="s">
        <v>10055</v>
      </c>
      <c r="U30" t="str">
        <f t="shared" si="2"/>
        <v/>
      </c>
      <c r="V30" s="139" t="str">
        <f t="shared" si="5"/>
        <v/>
      </c>
      <c r="W30" t="str">
        <f t="shared" si="3"/>
        <v/>
      </c>
      <c r="X30" t="str">
        <f t="shared" si="4"/>
        <v/>
      </c>
    </row>
    <row r="31">
      <c r="A31" s="14" t="s">
        <v>44</v>
      </c>
      <c r="B31" s="14" t="str">
        <f t="shared" si="1"/>
        <v>Representative</v>
      </c>
      <c r="D31" s="35" t="s">
        <v>1651</v>
      </c>
      <c r="E31" s="35" t="s">
        <v>10057</v>
      </c>
      <c r="F31" s="51" t="s">
        <v>53</v>
      </c>
      <c r="G31" s="31"/>
      <c r="H31" s="14" t="s">
        <v>10058</v>
      </c>
      <c r="I31" s="59" t="s">
        <v>578</v>
      </c>
      <c r="M31" s="14" t="s">
        <v>10059</v>
      </c>
      <c r="N31" s="656" t="s">
        <v>10060</v>
      </c>
      <c r="U31" t="str">
        <f t="shared" si="2"/>
        <v>Representative</v>
      </c>
      <c r="V31" s="139" t="str">
        <f t="shared" si="5"/>
        <v>Robin</v>
      </c>
      <c r="W31" t="str">
        <f t="shared" si="3"/>
        <v>Weisz</v>
      </c>
      <c r="X31" t="str">
        <f t="shared" si="4"/>
        <v>rweisz@nd.gov</v>
      </c>
    </row>
    <row r="32">
      <c r="A32" s="14" t="s">
        <v>44</v>
      </c>
      <c r="B32" s="14" t="str">
        <f t="shared" si="1"/>
        <v>Representative</v>
      </c>
      <c r="C32" s="330">
        <v>15.0</v>
      </c>
      <c r="D32" s="35" t="s">
        <v>2194</v>
      </c>
      <c r="E32" s="35" t="s">
        <v>118</v>
      </c>
      <c r="F32" s="51" t="s">
        <v>53</v>
      </c>
      <c r="G32" s="31"/>
      <c r="H32" s="14" t="s">
        <v>2736</v>
      </c>
      <c r="I32" s="14" t="s">
        <v>515</v>
      </c>
      <c r="M32" s="14" t="s">
        <v>10062</v>
      </c>
      <c r="N32" s="656" t="s">
        <v>10063</v>
      </c>
      <c r="U32" t="str">
        <f t="shared" si="2"/>
        <v>Representative</v>
      </c>
      <c r="V32" s="139" t="str">
        <f t="shared" si="5"/>
        <v>Dennis</v>
      </c>
      <c r="W32" t="str">
        <f t="shared" si="3"/>
        <v>Johnson</v>
      </c>
      <c r="X32" t="str">
        <f t="shared" si="4"/>
        <v>djohnson@nd.gov</v>
      </c>
    </row>
    <row r="33">
      <c r="A33" s="14" t="s">
        <v>44</v>
      </c>
      <c r="B33" s="14" t="str">
        <f t="shared" si="1"/>
        <v>Representative</v>
      </c>
      <c r="D33" s="74" t="s">
        <v>997</v>
      </c>
      <c r="E33" s="74" t="s">
        <v>10064</v>
      </c>
      <c r="F33" s="51" t="s">
        <v>53</v>
      </c>
      <c r="G33" s="31"/>
      <c r="H33" s="59" t="s">
        <v>3561</v>
      </c>
      <c r="I33" s="59" t="s">
        <v>578</v>
      </c>
      <c r="M33" s="14" t="s">
        <v>10065</v>
      </c>
      <c r="N33" s="656" t="s">
        <v>10066</v>
      </c>
      <c r="U33" t="str">
        <f t="shared" si="2"/>
        <v/>
      </c>
      <c r="V33" s="139" t="str">
        <f t="shared" si="5"/>
        <v/>
      </c>
      <c r="W33" t="str">
        <f t="shared" si="3"/>
        <v/>
      </c>
      <c r="X33" t="str">
        <f t="shared" si="4"/>
        <v/>
      </c>
    </row>
    <row r="34">
      <c r="A34" s="14" t="s">
        <v>44</v>
      </c>
      <c r="B34" s="14" t="str">
        <f t="shared" si="1"/>
        <v>Representative</v>
      </c>
      <c r="C34" s="330">
        <v>16.0</v>
      </c>
      <c r="D34" s="74" t="s">
        <v>195</v>
      </c>
      <c r="E34" s="74" t="s">
        <v>10043</v>
      </c>
      <c r="F34" s="51" t="s">
        <v>53</v>
      </c>
      <c r="G34" s="31"/>
      <c r="H34" s="59" t="s">
        <v>9932</v>
      </c>
      <c r="I34" s="59" t="s">
        <v>9950</v>
      </c>
      <c r="M34" s="14" t="s">
        <v>10067</v>
      </c>
      <c r="N34" s="656" t="s">
        <v>10068</v>
      </c>
      <c r="U34" t="str">
        <f t="shared" si="2"/>
        <v/>
      </c>
      <c r="V34" s="139" t="str">
        <f t="shared" si="5"/>
        <v/>
      </c>
      <c r="W34" t="str">
        <f t="shared" si="3"/>
        <v/>
      </c>
      <c r="X34" t="str">
        <f t="shared" si="4"/>
        <v/>
      </c>
    </row>
    <row r="35">
      <c r="A35" s="14" t="s">
        <v>44</v>
      </c>
      <c r="B35" s="14" t="str">
        <f t="shared" si="1"/>
        <v>Representative</v>
      </c>
      <c r="D35" s="74" t="s">
        <v>80</v>
      </c>
      <c r="E35" s="74" t="s">
        <v>10069</v>
      </c>
      <c r="F35" s="51" t="s">
        <v>53</v>
      </c>
      <c r="G35" s="31"/>
      <c r="H35" s="14" t="s">
        <v>515</v>
      </c>
      <c r="I35" s="59" t="s">
        <v>10070</v>
      </c>
      <c r="N35" s="656" t="s">
        <v>10071</v>
      </c>
      <c r="U35" t="str">
        <f t="shared" si="2"/>
        <v/>
      </c>
      <c r="V35" s="139" t="str">
        <f t="shared" si="5"/>
        <v/>
      </c>
      <c r="W35" t="str">
        <f t="shared" si="3"/>
        <v/>
      </c>
      <c r="X35" t="str">
        <f t="shared" si="4"/>
        <v/>
      </c>
    </row>
    <row r="36">
      <c r="A36" s="14" t="s">
        <v>44</v>
      </c>
      <c r="B36" s="14" t="str">
        <f t="shared" si="1"/>
        <v>Representative</v>
      </c>
      <c r="C36" s="330">
        <v>17.0</v>
      </c>
      <c r="D36" s="35" t="s">
        <v>91</v>
      </c>
      <c r="E36" s="35" t="s">
        <v>10073</v>
      </c>
      <c r="F36" s="51" t="s">
        <v>53</v>
      </c>
      <c r="G36" s="31"/>
      <c r="H36" s="14" t="s">
        <v>10074</v>
      </c>
      <c r="I36" s="14" t="s">
        <v>578</v>
      </c>
      <c r="M36" s="59" t="s">
        <v>10075</v>
      </c>
      <c r="N36" s="656" t="s">
        <v>10076</v>
      </c>
      <c r="U36" t="str">
        <f t="shared" si="2"/>
        <v>Representative</v>
      </c>
      <c r="V36" s="139" t="str">
        <f t="shared" si="5"/>
        <v>Mark</v>
      </c>
      <c r="W36" t="str">
        <f t="shared" si="3"/>
        <v>Owens</v>
      </c>
      <c r="X36" t="str">
        <f t="shared" si="4"/>
        <v>mowens@nd.gov</v>
      </c>
    </row>
    <row r="37">
      <c r="A37" s="14" t="s">
        <v>44</v>
      </c>
      <c r="B37" s="14" t="str">
        <f t="shared" si="1"/>
        <v>Representative</v>
      </c>
      <c r="D37" s="35" t="s">
        <v>91</v>
      </c>
      <c r="E37" s="35" t="s">
        <v>4757</v>
      </c>
      <c r="F37" s="51" t="s">
        <v>53</v>
      </c>
      <c r="G37" s="31"/>
      <c r="H37" s="14" t="s">
        <v>626</v>
      </c>
      <c r="M37" s="14" t="s">
        <v>10080</v>
      </c>
      <c r="N37" s="656" t="s">
        <v>10081</v>
      </c>
      <c r="U37" t="str">
        <f t="shared" si="2"/>
        <v/>
      </c>
      <c r="V37" s="139" t="str">
        <f t="shared" si="5"/>
        <v/>
      </c>
      <c r="W37" t="str">
        <f t="shared" si="3"/>
        <v/>
      </c>
      <c r="X37" t="str">
        <f t="shared" si="4"/>
        <v/>
      </c>
    </row>
    <row r="38">
      <c r="A38" s="14" t="s">
        <v>44</v>
      </c>
      <c r="B38" s="14" t="str">
        <f t="shared" si="1"/>
        <v>Representative</v>
      </c>
      <c r="C38" s="330">
        <v>18.0</v>
      </c>
      <c r="D38" s="35" t="s">
        <v>200</v>
      </c>
      <c r="E38" s="35" t="s">
        <v>10083</v>
      </c>
      <c r="F38" s="100" t="s">
        <v>49</v>
      </c>
      <c r="G38" s="164"/>
      <c r="H38" s="14" t="s">
        <v>626</v>
      </c>
      <c r="M38" s="14" t="s">
        <v>10084</v>
      </c>
      <c r="N38" s="656" t="s">
        <v>10085</v>
      </c>
      <c r="U38" t="str">
        <f t="shared" si="2"/>
        <v/>
      </c>
      <c r="V38" s="139" t="str">
        <f t="shared" si="5"/>
        <v/>
      </c>
      <c r="W38" t="str">
        <f t="shared" si="3"/>
        <v/>
      </c>
      <c r="X38" t="str">
        <f t="shared" si="4"/>
        <v/>
      </c>
    </row>
    <row r="39">
      <c r="A39" s="14" t="s">
        <v>44</v>
      </c>
      <c r="B39" s="14" t="str">
        <f t="shared" si="1"/>
        <v>Representative</v>
      </c>
      <c r="D39" s="74" t="s">
        <v>55</v>
      </c>
      <c r="E39" s="74" t="s">
        <v>10086</v>
      </c>
      <c r="F39" s="51" t="s">
        <v>53</v>
      </c>
      <c r="G39" s="31"/>
      <c r="H39" s="59" t="s">
        <v>9950</v>
      </c>
      <c r="I39" s="59" t="s">
        <v>781</v>
      </c>
      <c r="M39" s="14" t="s">
        <v>10087</v>
      </c>
      <c r="N39" s="656" t="s">
        <v>10088</v>
      </c>
      <c r="U39" t="str">
        <f t="shared" si="2"/>
        <v/>
      </c>
      <c r="V39" s="139" t="str">
        <f t="shared" si="5"/>
        <v/>
      </c>
      <c r="W39" t="str">
        <f t="shared" si="3"/>
        <v/>
      </c>
      <c r="X39" t="str">
        <f t="shared" si="4"/>
        <v/>
      </c>
    </row>
    <row r="40">
      <c r="A40" s="14" t="s">
        <v>44</v>
      </c>
      <c r="B40" s="14" t="str">
        <f t="shared" si="1"/>
        <v>Representative</v>
      </c>
      <c r="C40" s="330">
        <v>19.0</v>
      </c>
      <c r="D40" s="35" t="s">
        <v>199</v>
      </c>
      <c r="E40" s="35" t="s">
        <v>10092</v>
      </c>
      <c r="F40" s="51" t="s">
        <v>53</v>
      </c>
      <c r="G40" s="31"/>
      <c r="H40" s="59" t="s">
        <v>781</v>
      </c>
      <c r="I40" s="59" t="s">
        <v>578</v>
      </c>
      <c r="M40" s="14" t="s">
        <v>10093</v>
      </c>
      <c r="N40" s="656" t="s">
        <v>10094</v>
      </c>
      <c r="U40" t="str">
        <f t="shared" si="2"/>
        <v/>
      </c>
      <c r="V40" s="139" t="str">
        <f t="shared" si="5"/>
        <v/>
      </c>
      <c r="W40" t="str">
        <f t="shared" si="3"/>
        <v/>
      </c>
      <c r="X40" t="str">
        <f t="shared" si="4"/>
        <v/>
      </c>
    </row>
    <row r="41">
      <c r="A41" s="14" t="s">
        <v>44</v>
      </c>
      <c r="B41" s="14" t="str">
        <f t="shared" si="1"/>
        <v>Representative</v>
      </c>
      <c r="D41" s="35" t="s">
        <v>6418</v>
      </c>
      <c r="E41" s="35" t="s">
        <v>10099</v>
      </c>
      <c r="F41" s="51" t="s">
        <v>53</v>
      </c>
      <c r="G41" s="31"/>
      <c r="H41" s="14" t="s">
        <v>10100</v>
      </c>
      <c r="I41" s="14" t="s">
        <v>9932</v>
      </c>
      <c r="M41" s="14" t="s">
        <v>10101</v>
      </c>
      <c r="N41" s="656" t="s">
        <v>10102</v>
      </c>
      <c r="U41" t="str">
        <f t="shared" si="2"/>
        <v>Representative</v>
      </c>
      <c r="V41" s="139" t="str">
        <f t="shared" si="5"/>
        <v>Wayne</v>
      </c>
      <c r="W41" t="str">
        <f t="shared" si="3"/>
        <v>Trottier</v>
      </c>
      <c r="X41" t="str">
        <f t="shared" si="4"/>
        <v>wtrottier@nd.gov</v>
      </c>
    </row>
    <row r="42">
      <c r="A42" s="14" t="s">
        <v>44</v>
      </c>
      <c r="B42" s="14" t="str">
        <f t="shared" si="1"/>
        <v>Representative</v>
      </c>
      <c r="C42" s="330">
        <v>20.0</v>
      </c>
      <c r="D42" s="35" t="s">
        <v>1112</v>
      </c>
      <c r="E42" s="35" t="s">
        <v>10108</v>
      </c>
      <c r="F42" s="100" t="s">
        <v>49</v>
      </c>
      <c r="G42" s="31"/>
      <c r="H42" s="14" t="s">
        <v>626</v>
      </c>
      <c r="M42" s="14" t="s">
        <v>10109</v>
      </c>
      <c r="N42" s="656" t="s">
        <v>10110</v>
      </c>
      <c r="U42" t="str">
        <f t="shared" si="2"/>
        <v/>
      </c>
      <c r="V42" s="139" t="str">
        <f t="shared" si="5"/>
        <v/>
      </c>
      <c r="W42" t="str">
        <f t="shared" si="3"/>
        <v/>
      </c>
      <c r="X42" t="str">
        <f t="shared" si="4"/>
        <v/>
      </c>
    </row>
    <row r="43">
      <c r="A43" s="14" t="s">
        <v>44</v>
      </c>
      <c r="B43" s="14" t="str">
        <f t="shared" si="1"/>
        <v>Representative</v>
      </c>
      <c r="D43" s="74" t="s">
        <v>1107</v>
      </c>
      <c r="E43" s="74" t="s">
        <v>10114</v>
      </c>
      <c r="F43" s="51" t="s">
        <v>53</v>
      </c>
      <c r="G43" s="31"/>
      <c r="H43" s="14" t="s">
        <v>2184</v>
      </c>
      <c r="I43" s="59" t="s">
        <v>781</v>
      </c>
      <c r="M43" s="14" t="s">
        <v>10115</v>
      </c>
      <c r="N43" s="656" t="s">
        <v>10116</v>
      </c>
      <c r="U43" t="str">
        <f t="shared" si="2"/>
        <v/>
      </c>
      <c r="V43" s="139" t="str">
        <f t="shared" si="5"/>
        <v/>
      </c>
      <c r="W43" t="str">
        <f t="shared" si="3"/>
        <v/>
      </c>
      <c r="X43" t="str">
        <f t="shared" si="4"/>
        <v/>
      </c>
    </row>
    <row r="44">
      <c r="A44" s="14" t="s">
        <v>44</v>
      </c>
      <c r="B44" s="14" t="str">
        <f t="shared" si="1"/>
        <v>Representative</v>
      </c>
      <c r="C44" s="330">
        <v>21.0</v>
      </c>
      <c r="D44" s="38" t="s">
        <v>10117</v>
      </c>
      <c r="E44" s="38" t="s">
        <v>10118</v>
      </c>
      <c r="F44" s="100" t="s">
        <v>49</v>
      </c>
      <c r="G44" s="164"/>
      <c r="H44" s="14" t="s">
        <v>515</v>
      </c>
      <c r="I44" s="14" t="s">
        <v>4125</v>
      </c>
      <c r="M44" s="14" t="s">
        <v>10119</v>
      </c>
      <c r="N44" s="656" t="s">
        <v>10120</v>
      </c>
      <c r="U44" t="str">
        <f t="shared" si="2"/>
        <v/>
      </c>
      <c r="V44" s="139" t="str">
        <f t="shared" si="5"/>
        <v/>
      </c>
      <c r="W44" t="str">
        <f t="shared" si="3"/>
        <v/>
      </c>
      <c r="X44" t="str">
        <f t="shared" si="4"/>
        <v/>
      </c>
    </row>
    <row r="45">
      <c r="A45" s="14" t="s">
        <v>44</v>
      </c>
      <c r="B45" s="14" t="str">
        <f t="shared" si="1"/>
        <v>Representative</v>
      </c>
      <c r="D45" s="35" t="s">
        <v>514</v>
      </c>
      <c r="E45" s="35" t="s">
        <v>4699</v>
      </c>
      <c r="F45" s="100" t="s">
        <v>49</v>
      </c>
      <c r="G45" s="31"/>
      <c r="H45" s="59" t="s">
        <v>9950</v>
      </c>
      <c r="I45" s="14" t="s">
        <v>9980</v>
      </c>
      <c r="M45" s="14" t="s">
        <v>10123</v>
      </c>
      <c r="N45" s="656" t="s">
        <v>10124</v>
      </c>
      <c r="U45" t="str">
        <f t="shared" si="2"/>
        <v/>
      </c>
      <c r="V45" s="139" t="str">
        <f t="shared" si="5"/>
        <v/>
      </c>
      <c r="W45" t="str">
        <f t="shared" si="3"/>
        <v/>
      </c>
      <c r="X45" t="str">
        <f t="shared" si="4"/>
        <v/>
      </c>
    </row>
    <row r="46">
      <c r="A46" s="14" t="s">
        <v>44</v>
      </c>
      <c r="B46" s="14" t="str">
        <f t="shared" si="1"/>
        <v>Representative</v>
      </c>
      <c r="C46" s="330">
        <v>22.0</v>
      </c>
      <c r="D46" s="74" t="s">
        <v>2490</v>
      </c>
      <c r="E46" s="74" t="s">
        <v>8343</v>
      </c>
      <c r="F46" s="51" t="s">
        <v>53</v>
      </c>
      <c r="G46" s="31"/>
      <c r="H46" s="14" t="s">
        <v>626</v>
      </c>
      <c r="N46" s="656" t="s">
        <v>10126</v>
      </c>
      <c r="U46" t="str">
        <f t="shared" si="2"/>
        <v/>
      </c>
      <c r="V46" s="139" t="str">
        <f t="shared" si="5"/>
        <v/>
      </c>
      <c r="W46" t="str">
        <f t="shared" si="3"/>
        <v/>
      </c>
      <c r="X46" t="str">
        <f t="shared" si="4"/>
        <v/>
      </c>
    </row>
    <row r="47">
      <c r="A47" s="14" t="s">
        <v>44</v>
      </c>
      <c r="B47" s="14" t="str">
        <f t="shared" si="1"/>
        <v>Representative</v>
      </c>
      <c r="D47" s="74" t="s">
        <v>10127</v>
      </c>
      <c r="E47" s="74" t="s">
        <v>5368</v>
      </c>
      <c r="F47" s="51" t="s">
        <v>53</v>
      </c>
      <c r="G47" s="31"/>
      <c r="H47" s="14" t="s">
        <v>515</v>
      </c>
      <c r="I47" s="59" t="s">
        <v>9930</v>
      </c>
      <c r="M47" s="14" t="s">
        <v>10128</v>
      </c>
      <c r="N47" s="656" t="s">
        <v>10129</v>
      </c>
      <c r="U47" t="str">
        <f t="shared" si="2"/>
        <v>Representative</v>
      </c>
      <c r="V47" s="139" t="str">
        <f t="shared" si="5"/>
        <v>Brandy</v>
      </c>
      <c r="W47" t="str">
        <f t="shared" si="3"/>
        <v>Pyle</v>
      </c>
      <c r="X47" t="str">
        <f t="shared" si="4"/>
        <v>bpyle@nd.gov</v>
      </c>
    </row>
    <row r="48">
      <c r="A48" s="14" t="s">
        <v>44</v>
      </c>
      <c r="B48" s="14" t="str">
        <f t="shared" si="1"/>
        <v>Representative</v>
      </c>
      <c r="C48" s="330">
        <v>23.0</v>
      </c>
      <c r="D48" s="35" t="s">
        <v>325</v>
      </c>
      <c r="E48" s="35" t="s">
        <v>2761</v>
      </c>
      <c r="F48" s="51" t="s">
        <v>53</v>
      </c>
      <c r="G48" s="31"/>
      <c r="H48" s="59" t="s">
        <v>10070</v>
      </c>
      <c r="I48" s="14" t="s">
        <v>9980</v>
      </c>
      <c r="M48" s="14" t="s">
        <v>10131</v>
      </c>
      <c r="N48" s="656" t="s">
        <v>10132</v>
      </c>
      <c r="U48" t="str">
        <f t="shared" si="2"/>
        <v/>
      </c>
      <c r="V48" s="139" t="str">
        <f t="shared" si="5"/>
        <v/>
      </c>
      <c r="W48" t="str">
        <f t="shared" si="3"/>
        <v/>
      </c>
      <c r="X48" t="str">
        <f t="shared" si="4"/>
        <v/>
      </c>
    </row>
    <row r="49">
      <c r="A49" s="14" t="s">
        <v>44</v>
      </c>
      <c r="B49" s="14" t="str">
        <f t="shared" si="1"/>
        <v>Representative</v>
      </c>
      <c r="D49" s="35" t="s">
        <v>428</v>
      </c>
      <c r="E49" s="35" t="s">
        <v>10134</v>
      </c>
      <c r="F49" s="51" t="s">
        <v>53</v>
      </c>
      <c r="G49" s="164"/>
      <c r="H49" s="14" t="s">
        <v>626</v>
      </c>
      <c r="M49" s="14" t="s">
        <v>10135</v>
      </c>
      <c r="N49" s="656" t="s">
        <v>10136</v>
      </c>
      <c r="U49" t="str">
        <f t="shared" si="2"/>
        <v/>
      </c>
      <c r="V49" s="139" t="str">
        <f t="shared" si="5"/>
        <v/>
      </c>
      <c r="W49" t="str">
        <f t="shared" si="3"/>
        <v/>
      </c>
      <c r="X49" t="str">
        <f t="shared" si="4"/>
        <v/>
      </c>
    </row>
    <row r="50">
      <c r="A50" s="14" t="s">
        <v>44</v>
      </c>
      <c r="B50" s="14" t="str">
        <f t="shared" si="1"/>
        <v>Representative</v>
      </c>
      <c r="C50" s="330">
        <v>24.0</v>
      </c>
      <c r="D50" s="74" t="s">
        <v>552</v>
      </c>
      <c r="E50" s="74" t="s">
        <v>194</v>
      </c>
      <c r="F50" s="51" t="s">
        <v>53</v>
      </c>
      <c r="G50" s="31"/>
      <c r="H50" s="14" t="s">
        <v>515</v>
      </c>
      <c r="I50" s="59" t="s">
        <v>9950</v>
      </c>
      <c r="M50" s="14" t="s">
        <v>10137</v>
      </c>
      <c r="N50" s="656" t="s">
        <v>10138</v>
      </c>
      <c r="U50" t="str">
        <f t="shared" si="2"/>
        <v/>
      </c>
      <c r="V50" s="139" t="str">
        <f t="shared" si="5"/>
        <v/>
      </c>
      <c r="W50" t="str">
        <f t="shared" si="3"/>
        <v/>
      </c>
      <c r="X50" t="str">
        <f t="shared" si="4"/>
        <v/>
      </c>
    </row>
    <row r="51">
      <c r="A51" s="14" t="s">
        <v>44</v>
      </c>
      <c r="B51" s="14" t="str">
        <f t="shared" si="1"/>
        <v>Representative</v>
      </c>
      <c r="D51" s="35" t="s">
        <v>1402</v>
      </c>
      <c r="E51" s="35" t="s">
        <v>10139</v>
      </c>
      <c r="F51" s="51" t="s">
        <v>53</v>
      </c>
      <c r="G51" s="31"/>
      <c r="H51" s="14" t="s">
        <v>2184</v>
      </c>
      <c r="I51" s="59" t="s">
        <v>3561</v>
      </c>
      <c r="M51" s="14" t="s">
        <v>10140</v>
      </c>
      <c r="N51" s="656" t="s">
        <v>10141</v>
      </c>
      <c r="U51" t="str">
        <f t="shared" si="2"/>
        <v/>
      </c>
      <c r="V51" s="139" t="str">
        <f t="shared" si="5"/>
        <v/>
      </c>
      <c r="W51" t="str">
        <f t="shared" si="3"/>
        <v/>
      </c>
      <c r="X51" t="str">
        <f t="shared" si="4"/>
        <v/>
      </c>
    </row>
    <row r="52">
      <c r="A52" s="14" t="s">
        <v>44</v>
      </c>
      <c r="B52" s="14" t="str">
        <f t="shared" si="1"/>
        <v>Representative</v>
      </c>
      <c r="C52" s="330">
        <v>25.0</v>
      </c>
      <c r="D52" s="35" t="s">
        <v>10142</v>
      </c>
      <c r="E52" s="35" t="s">
        <v>10144</v>
      </c>
      <c r="F52" s="100" t="s">
        <v>49</v>
      </c>
      <c r="G52" s="31"/>
      <c r="H52" s="59" t="s">
        <v>10070</v>
      </c>
      <c r="I52" s="14" t="s">
        <v>9932</v>
      </c>
      <c r="M52" s="14" t="s">
        <v>10145</v>
      </c>
      <c r="N52" s="656" t="s">
        <v>10146</v>
      </c>
      <c r="U52" t="str">
        <f t="shared" si="2"/>
        <v/>
      </c>
      <c r="V52" s="139" t="str">
        <f t="shared" si="5"/>
        <v/>
      </c>
      <c r="W52" t="str">
        <f t="shared" si="3"/>
        <v/>
      </c>
      <c r="X52" t="str">
        <f t="shared" si="4"/>
        <v/>
      </c>
    </row>
    <row r="53">
      <c r="A53" s="14" t="s">
        <v>44</v>
      </c>
      <c r="B53" s="14" t="str">
        <f t="shared" si="1"/>
        <v>Representative</v>
      </c>
      <c r="D53" s="74" t="s">
        <v>1561</v>
      </c>
      <c r="E53" s="74" t="s">
        <v>10147</v>
      </c>
      <c r="F53" s="51" t="s">
        <v>53</v>
      </c>
      <c r="G53" s="31"/>
      <c r="H53" s="14" t="s">
        <v>10148</v>
      </c>
      <c r="M53" s="14" t="s">
        <v>10149</v>
      </c>
      <c r="N53" s="656" t="s">
        <v>10150</v>
      </c>
      <c r="U53" t="str">
        <f t="shared" si="2"/>
        <v>Representative</v>
      </c>
      <c r="V53" s="139" t="str">
        <f t="shared" si="5"/>
        <v>Cindy</v>
      </c>
      <c r="W53" t="str">
        <f t="shared" si="3"/>
        <v>Schreiber-Beck</v>
      </c>
      <c r="X53" t="str">
        <f t="shared" si="4"/>
        <v>cschreiberbeck@nd.gov</v>
      </c>
    </row>
    <row r="54">
      <c r="A54" s="14" t="s">
        <v>44</v>
      </c>
      <c r="B54" s="14" t="str">
        <f t="shared" si="1"/>
        <v>Representative</v>
      </c>
      <c r="C54" s="330">
        <v>26.0</v>
      </c>
      <c r="D54" s="35" t="s">
        <v>10151</v>
      </c>
      <c r="E54" s="35" t="s">
        <v>10152</v>
      </c>
      <c r="F54" s="51" t="s">
        <v>53</v>
      </c>
      <c r="G54" s="31"/>
      <c r="H54" s="59" t="s">
        <v>9932</v>
      </c>
      <c r="I54" s="59" t="s">
        <v>9946</v>
      </c>
      <c r="M54" s="14" t="s">
        <v>10153</v>
      </c>
      <c r="N54" s="656" t="s">
        <v>10154</v>
      </c>
      <c r="U54" t="str">
        <f t="shared" si="2"/>
        <v/>
      </c>
      <c r="V54" s="139" t="str">
        <f t="shared" si="5"/>
        <v/>
      </c>
      <c r="W54" t="str">
        <f t="shared" si="3"/>
        <v/>
      </c>
      <c r="X54" t="str">
        <f t="shared" si="4"/>
        <v/>
      </c>
    </row>
    <row r="55">
      <c r="A55" s="14" t="s">
        <v>44</v>
      </c>
      <c r="B55" s="14" t="str">
        <f t="shared" si="1"/>
        <v>Representative</v>
      </c>
      <c r="D55" s="74" t="s">
        <v>2724</v>
      </c>
      <c r="E55" s="74" t="s">
        <v>10156</v>
      </c>
      <c r="F55" s="51" t="s">
        <v>53</v>
      </c>
      <c r="G55" s="31"/>
      <c r="H55" s="14" t="s">
        <v>2184</v>
      </c>
      <c r="I55" s="59" t="s">
        <v>3561</v>
      </c>
      <c r="M55" s="14" t="s">
        <v>10157</v>
      </c>
      <c r="N55" s="656" t="s">
        <v>10158</v>
      </c>
      <c r="U55" t="str">
        <f t="shared" si="2"/>
        <v/>
      </c>
      <c r="V55" s="139" t="str">
        <f t="shared" si="5"/>
        <v/>
      </c>
      <c r="W55" t="str">
        <f t="shared" si="3"/>
        <v/>
      </c>
      <c r="X55" t="str">
        <f t="shared" si="4"/>
        <v/>
      </c>
    </row>
    <row r="56">
      <c r="A56" s="14" t="s">
        <v>44</v>
      </c>
      <c r="B56" s="14" t="str">
        <f t="shared" si="1"/>
        <v>Representative</v>
      </c>
      <c r="C56" s="330">
        <v>27.0</v>
      </c>
      <c r="D56" s="74" t="s">
        <v>561</v>
      </c>
      <c r="E56" s="74" t="s">
        <v>10159</v>
      </c>
      <c r="F56" s="51" t="s">
        <v>53</v>
      </c>
      <c r="G56" s="31"/>
      <c r="H56" s="14" t="s">
        <v>626</v>
      </c>
      <c r="M56" s="14" t="s">
        <v>10160</v>
      </c>
      <c r="N56" s="656" t="s">
        <v>10161</v>
      </c>
      <c r="U56" t="str">
        <f t="shared" si="2"/>
        <v/>
      </c>
      <c r="V56" s="139" t="str">
        <f t="shared" si="5"/>
        <v/>
      </c>
      <c r="W56" t="str">
        <f t="shared" si="3"/>
        <v/>
      </c>
      <c r="X56" t="str">
        <f t="shared" si="4"/>
        <v/>
      </c>
    </row>
    <row r="57">
      <c r="A57" s="14" t="s">
        <v>44</v>
      </c>
      <c r="B57" s="14" t="str">
        <f t="shared" si="1"/>
        <v>Representative</v>
      </c>
      <c r="D57" s="35" t="s">
        <v>2779</v>
      </c>
      <c r="E57" s="35" t="s">
        <v>10163</v>
      </c>
      <c r="F57" s="100" t="s">
        <v>49</v>
      </c>
      <c r="G57" s="31"/>
      <c r="H57" s="14" t="s">
        <v>2184</v>
      </c>
      <c r="I57" s="59" t="s">
        <v>10164</v>
      </c>
      <c r="M57" s="14" t="s">
        <v>10165</v>
      </c>
      <c r="N57" s="656" t="s">
        <v>10166</v>
      </c>
      <c r="U57" t="str">
        <f t="shared" si="2"/>
        <v/>
      </c>
      <c r="V57" s="139" t="str">
        <f t="shared" si="5"/>
        <v/>
      </c>
      <c r="W57" t="str">
        <f t="shared" si="3"/>
        <v/>
      </c>
      <c r="X57" t="str">
        <f t="shared" si="4"/>
        <v/>
      </c>
    </row>
    <row r="58">
      <c r="A58" s="14" t="s">
        <v>44</v>
      </c>
      <c r="B58" s="14" t="str">
        <f t="shared" si="1"/>
        <v>Representative</v>
      </c>
      <c r="C58" s="330">
        <v>28.0</v>
      </c>
      <c r="D58" s="35" t="s">
        <v>157</v>
      </c>
      <c r="E58" s="35" t="s">
        <v>10168</v>
      </c>
      <c r="F58" s="51" t="s">
        <v>53</v>
      </c>
      <c r="G58" s="31"/>
      <c r="H58" s="14" t="s">
        <v>626</v>
      </c>
      <c r="M58" s="14" t="s">
        <v>10169</v>
      </c>
      <c r="N58" s="656" t="s">
        <v>10170</v>
      </c>
      <c r="U58" t="str">
        <f t="shared" si="2"/>
        <v/>
      </c>
      <c r="V58" s="139" t="str">
        <f t="shared" si="5"/>
        <v/>
      </c>
      <c r="W58" t="str">
        <f t="shared" si="3"/>
        <v/>
      </c>
      <c r="X58" t="str">
        <f t="shared" si="4"/>
        <v/>
      </c>
    </row>
    <row r="59">
      <c r="A59" s="14" t="s">
        <v>44</v>
      </c>
      <c r="B59" s="14" t="str">
        <f t="shared" si="1"/>
        <v>Representative</v>
      </c>
      <c r="D59" s="74" t="s">
        <v>5184</v>
      </c>
      <c r="E59" s="74" t="s">
        <v>10171</v>
      </c>
      <c r="F59" s="51" t="s">
        <v>53</v>
      </c>
      <c r="G59" s="31"/>
      <c r="H59" s="59" t="s">
        <v>781</v>
      </c>
      <c r="I59" s="59" t="s">
        <v>9946</v>
      </c>
      <c r="M59" s="14" t="s">
        <v>10172</v>
      </c>
      <c r="N59" s="656" t="s">
        <v>10173</v>
      </c>
      <c r="U59" t="str">
        <f t="shared" si="2"/>
        <v/>
      </c>
      <c r="V59" s="139" t="str">
        <f t="shared" si="5"/>
        <v/>
      </c>
      <c r="W59" t="str">
        <f t="shared" si="3"/>
        <v/>
      </c>
      <c r="X59" t="str">
        <f t="shared" si="4"/>
        <v/>
      </c>
    </row>
    <row r="60">
      <c r="A60" s="14" t="s">
        <v>44</v>
      </c>
      <c r="B60" s="14" t="str">
        <f t="shared" si="1"/>
        <v>Representative</v>
      </c>
      <c r="C60" s="330">
        <v>29.0</v>
      </c>
      <c r="D60" s="35" t="s">
        <v>373</v>
      </c>
      <c r="E60" s="35" t="s">
        <v>10176</v>
      </c>
      <c r="F60" s="51" t="s">
        <v>53</v>
      </c>
      <c r="G60" s="31"/>
      <c r="H60" s="14" t="s">
        <v>2184</v>
      </c>
      <c r="I60" s="14" t="s">
        <v>10177</v>
      </c>
      <c r="M60" s="14" t="s">
        <v>10178</v>
      </c>
      <c r="N60" s="656" t="s">
        <v>10179</v>
      </c>
      <c r="U60" t="str">
        <f t="shared" si="2"/>
        <v>Representative</v>
      </c>
      <c r="V60" s="139" t="str">
        <f t="shared" si="5"/>
        <v>Craig</v>
      </c>
      <c r="W60" t="str">
        <f t="shared" si="3"/>
        <v>Headland</v>
      </c>
      <c r="X60" t="str">
        <f t="shared" si="4"/>
        <v>cheadland@nd.gov</v>
      </c>
    </row>
    <row r="61">
      <c r="A61" s="14" t="s">
        <v>44</v>
      </c>
      <c r="B61" s="14" t="str">
        <f t="shared" si="1"/>
        <v>Representative</v>
      </c>
      <c r="D61" s="35" t="s">
        <v>10180</v>
      </c>
      <c r="E61" s="35" t="s">
        <v>10181</v>
      </c>
      <c r="F61" s="51" t="s">
        <v>53</v>
      </c>
      <c r="G61" s="164" t="s">
        <v>176</v>
      </c>
      <c r="M61" s="14" t="s">
        <v>10182</v>
      </c>
      <c r="N61" s="656" t="s">
        <v>10183</v>
      </c>
      <c r="U61" t="str">
        <f t="shared" si="2"/>
        <v>Representative</v>
      </c>
      <c r="V61" s="139" t="str">
        <f t="shared" si="5"/>
        <v>Chet</v>
      </c>
      <c r="W61" t="str">
        <f t="shared" si="3"/>
        <v>Pollert</v>
      </c>
      <c r="X61" t="str">
        <f t="shared" si="4"/>
        <v>cpollert@nd.gov</v>
      </c>
    </row>
    <row r="62">
      <c r="A62" s="14" t="s">
        <v>44</v>
      </c>
      <c r="B62" s="14" t="str">
        <f t="shared" si="1"/>
        <v>Representative</v>
      </c>
      <c r="C62" s="330">
        <v>30.0</v>
      </c>
      <c r="D62" s="74" t="s">
        <v>3589</v>
      </c>
      <c r="E62" s="74" t="s">
        <v>10184</v>
      </c>
      <c r="F62" s="51" t="s">
        <v>53</v>
      </c>
      <c r="G62" s="31"/>
      <c r="H62" s="59" t="s">
        <v>10070</v>
      </c>
      <c r="I62" s="59" t="s">
        <v>9931</v>
      </c>
      <c r="M62" s="14" t="s">
        <v>10185</v>
      </c>
      <c r="N62" s="656" t="s">
        <v>10186</v>
      </c>
      <c r="U62" t="str">
        <f t="shared" si="2"/>
        <v/>
      </c>
      <c r="V62" s="139" t="str">
        <f t="shared" si="5"/>
        <v/>
      </c>
      <c r="W62" t="str">
        <f t="shared" si="3"/>
        <v/>
      </c>
      <c r="X62" t="str">
        <f t="shared" si="4"/>
        <v/>
      </c>
    </row>
    <row r="63">
      <c r="A63" s="14" t="s">
        <v>44</v>
      </c>
      <c r="B63" s="14" t="str">
        <f t="shared" si="1"/>
        <v>Representative</v>
      </c>
      <c r="D63" s="35" t="s">
        <v>157</v>
      </c>
      <c r="E63" s="35" t="s">
        <v>10188</v>
      </c>
      <c r="F63" s="51" t="s">
        <v>53</v>
      </c>
      <c r="G63" s="31"/>
      <c r="H63" s="14" t="s">
        <v>626</v>
      </c>
      <c r="M63" s="14" t="s">
        <v>10189</v>
      </c>
      <c r="N63" s="656" t="s">
        <v>10190</v>
      </c>
      <c r="U63" t="str">
        <f t="shared" si="2"/>
        <v/>
      </c>
      <c r="V63" s="139" t="str">
        <f t="shared" si="5"/>
        <v/>
      </c>
      <c r="W63" t="str">
        <f t="shared" si="3"/>
        <v/>
      </c>
      <c r="X63" t="str">
        <f t="shared" si="4"/>
        <v/>
      </c>
    </row>
    <row r="64">
      <c r="A64" s="14" t="s">
        <v>44</v>
      </c>
      <c r="B64" s="14" t="str">
        <f t="shared" si="1"/>
        <v>Representative</v>
      </c>
      <c r="C64" s="330">
        <v>31.0</v>
      </c>
      <c r="D64" s="35" t="s">
        <v>1153</v>
      </c>
      <c r="E64" s="35" t="s">
        <v>10192</v>
      </c>
      <c r="F64" s="51" t="s">
        <v>53</v>
      </c>
      <c r="G64" s="31"/>
      <c r="H64" s="59" t="s">
        <v>9950</v>
      </c>
      <c r="I64" s="14" t="s">
        <v>9980</v>
      </c>
      <c r="M64" s="14" t="s">
        <v>10193</v>
      </c>
      <c r="N64" s="656" t="s">
        <v>10194</v>
      </c>
      <c r="U64" t="str">
        <f t="shared" si="2"/>
        <v/>
      </c>
      <c r="V64" s="139" t="str">
        <f t="shared" si="5"/>
        <v/>
      </c>
      <c r="W64" t="str">
        <f t="shared" si="3"/>
        <v/>
      </c>
      <c r="X64" t="str">
        <f t="shared" si="4"/>
        <v/>
      </c>
    </row>
    <row r="65">
      <c r="A65" s="14" t="s">
        <v>44</v>
      </c>
      <c r="B65" s="14" t="str">
        <f t="shared" si="1"/>
        <v>Representative</v>
      </c>
      <c r="D65" s="35" t="s">
        <v>476</v>
      </c>
      <c r="E65" s="35" t="s">
        <v>5543</v>
      </c>
      <c r="F65" s="51" t="s">
        <v>53</v>
      </c>
      <c r="G65" s="31"/>
      <c r="H65" s="14" t="s">
        <v>626</v>
      </c>
      <c r="M65" s="14" t="s">
        <v>10196</v>
      </c>
      <c r="N65" s="656" t="s">
        <v>10197</v>
      </c>
      <c r="U65" t="str">
        <f t="shared" si="2"/>
        <v/>
      </c>
      <c r="V65" s="139" t="str">
        <f t="shared" si="5"/>
        <v/>
      </c>
      <c r="W65" t="str">
        <f t="shared" si="3"/>
        <v/>
      </c>
      <c r="X65" t="str">
        <f t="shared" si="4"/>
        <v/>
      </c>
    </row>
    <row r="66">
      <c r="A66" s="14" t="s">
        <v>44</v>
      </c>
      <c r="B66" s="14" t="str">
        <f t="shared" si="1"/>
        <v>Representative</v>
      </c>
      <c r="C66" s="330">
        <v>32.0</v>
      </c>
      <c r="D66" s="74" t="s">
        <v>2570</v>
      </c>
      <c r="E66" s="74" t="s">
        <v>10198</v>
      </c>
      <c r="F66" s="51" t="s">
        <v>53</v>
      </c>
      <c r="G66" s="31"/>
      <c r="H66" s="14" t="s">
        <v>515</v>
      </c>
      <c r="I66" s="59" t="s">
        <v>10070</v>
      </c>
      <c r="M66" s="14" t="s">
        <v>10199</v>
      </c>
      <c r="N66" s="656" t="s">
        <v>10200</v>
      </c>
      <c r="U66" t="str">
        <f t="shared" si="2"/>
        <v/>
      </c>
      <c r="V66" s="139" t="str">
        <f t="shared" si="5"/>
        <v/>
      </c>
      <c r="W66" t="str">
        <f t="shared" si="3"/>
        <v/>
      </c>
      <c r="X66" t="str">
        <f t="shared" si="4"/>
        <v/>
      </c>
    </row>
    <row r="67">
      <c r="A67" s="14" t="s">
        <v>44</v>
      </c>
      <c r="B67" s="14" t="str">
        <f t="shared" si="1"/>
        <v>Representative</v>
      </c>
      <c r="D67" s="35" t="s">
        <v>432</v>
      </c>
      <c r="E67" s="35" t="s">
        <v>4461</v>
      </c>
      <c r="F67" s="51" t="s">
        <v>53</v>
      </c>
      <c r="G67" s="31"/>
      <c r="H67" s="14" t="s">
        <v>626</v>
      </c>
      <c r="M67" s="14" t="s">
        <v>10201</v>
      </c>
      <c r="N67" s="656" t="s">
        <v>10202</v>
      </c>
      <c r="U67" t="str">
        <f t="shared" si="2"/>
        <v/>
      </c>
      <c r="V67" s="139" t="str">
        <f t="shared" si="5"/>
        <v/>
      </c>
      <c r="W67" t="str">
        <f t="shared" si="3"/>
        <v/>
      </c>
      <c r="X67" t="str">
        <f t="shared" si="4"/>
        <v/>
      </c>
    </row>
    <row r="68">
      <c r="A68" s="14" t="s">
        <v>44</v>
      </c>
      <c r="B68" s="14" t="str">
        <f t="shared" si="1"/>
        <v>Representative</v>
      </c>
      <c r="C68" s="330">
        <v>33.0</v>
      </c>
      <c r="D68" s="35" t="s">
        <v>199</v>
      </c>
      <c r="E68" s="35" t="s">
        <v>10204</v>
      </c>
      <c r="F68" s="51" t="s">
        <v>53</v>
      </c>
      <c r="G68" s="31"/>
      <c r="H68" s="14" t="s">
        <v>626</v>
      </c>
      <c r="M68" s="14" t="s">
        <v>10205</v>
      </c>
      <c r="N68" s="656" t="s">
        <v>10206</v>
      </c>
      <c r="U68" t="str">
        <f t="shared" si="2"/>
        <v/>
      </c>
      <c r="V68" s="139" t="str">
        <f t="shared" si="5"/>
        <v/>
      </c>
      <c r="W68" t="str">
        <f t="shared" si="3"/>
        <v/>
      </c>
      <c r="X68" t="str">
        <f t="shared" si="4"/>
        <v/>
      </c>
    </row>
    <row r="69">
      <c r="A69" s="14" t="s">
        <v>44</v>
      </c>
      <c r="B69" s="14" t="str">
        <f t="shared" si="1"/>
        <v>Representative</v>
      </c>
      <c r="D69" s="74" t="s">
        <v>325</v>
      </c>
      <c r="E69" s="74" t="s">
        <v>10207</v>
      </c>
      <c r="F69" s="51" t="s">
        <v>53</v>
      </c>
      <c r="G69" s="31"/>
      <c r="H69" s="14" t="s">
        <v>2184</v>
      </c>
      <c r="I69" s="59" t="s">
        <v>3561</v>
      </c>
      <c r="M69" s="14" t="s">
        <v>10208</v>
      </c>
      <c r="N69" s="656" t="s">
        <v>10209</v>
      </c>
      <c r="U69" t="str">
        <f t="shared" si="2"/>
        <v/>
      </c>
      <c r="V69" s="139" t="str">
        <f t="shared" si="5"/>
        <v/>
      </c>
      <c r="W69" t="str">
        <f t="shared" si="3"/>
        <v/>
      </c>
      <c r="X69" t="str">
        <f t="shared" si="4"/>
        <v/>
      </c>
    </row>
    <row r="70">
      <c r="A70" s="14" t="s">
        <v>44</v>
      </c>
      <c r="B70" s="14" t="str">
        <f t="shared" si="1"/>
        <v>Representative</v>
      </c>
      <c r="C70" s="330">
        <v>34.0</v>
      </c>
      <c r="D70" s="35" t="s">
        <v>1974</v>
      </c>
      <c r="E70" s="35" t="s">
        <v>2653</v>
      </c>
      <c r="F70" s="51" t="s">
        <v>53</v>
      </c>
      <c r="G70" s="31"/>
      <c r="H70" s="14" t="s">
        <v>10210</v>
      </c>
      <c r="I70" s="14" t="s">
        <v>9980</v>
      </c>
      <c r="M70" s="14" t="s">
        <v>10211</v>
      </c>
      <c r="N70" s="656" t="s">
        <v>10212</v>
      </c>
      <c r="U70" t="str">
        <f t="shared" si="2"/>
        <v>Representative</v>
      </c>
      <c r="V70" s="139" t="str">
        <f t="shared" si="5"/>
        <v>Todd</v>
      </c>
      <c r="W70" t="str">
        <f t="shared" si="3"/>
        <v>Porter</v>
      </c>
      <c r="X70" t="str">
        <f t="shared" si="4"/>
        <v>tkporter@nd.gov</v>
      </c>
    </row>
    <row r="71">
      <c r="A71" s="14" t="s">
        <v>44</v>
      </c>
      <c r="B71" s="14" t="str">
        <f t="shared" si="1"/>
        <v>Representative</v>
      </c>
      <c r="D71" s="35" t="s">
        <v>6305</v>
      </c>
      <c r="E71" s="35" t="s">
        <v>10213</v>
      </c>
      <c r="F71" s="51" t="s">
        <v>53</v>
      </c>
      <c r="G71" s="31"/>
      <c r="H71" s="59" t="s">
        <v>9932</v>
      </c>
      <c r="I71" s="59" t="s">
        <v>9946</v>
      </c>
      <c r="N71" s="656" t="s">
        <v>10214</v>
      </c>
      <c r="U71" t="str">
        <f t="shared" si="2"/>
        <v/>
      </c>
      <c r="V71" s="139" t="str">
        <f t="shared" si="5"/>
        <v/>
      </c>
      <c r="W71" t="str">
        <f t="shared" si="3"/>
        <v/>
      </c>
      <c r="X71" t="str">
        <f t="shared" si="4"/>
        <v/>
      </c>
    </row>
    <row r="72">
      <c r="A72" s="14" t="s">
        <v>44</v>
      </c>
      <c r="B72" s="14" t="str">
        <f t="shared" si="1"/>
        <v>Representative</v>
      </c>
      <c r="C72" s="330">
        <v>35.0</v>
      </c>
      <c r="D72" s="35" t="s">
        <v>1153</v>
      </c>
      <c r="E72" s="35" t="s">
        <v>10215</v>
      </c>
      <c r="F72" s="51" t="s">
        <v>53</v>
      </c>
      <c r="G72" s="31"/>
      <c r="H72" s="59" t="s">
        <v>9950</v>
      </c>
      <c r="I72" s="14" t="s">
        <v>10216</v>
      </c>
      <c r="N72" s="656" t="s">
        <v>10217</v>
      </c>
      <c r="U72" t="str">
        <f t="shared" si="2"/>
        <v>Representative</v>
      </c>
      <c r="V72" s="139" t="str">
        <f t="shared" si="5"/>
        <v>Karen</v>
      </c>
      <c r="W72" t="str">
        <f t="shared" si="3"/>
        <v>Karls</v>
      </c>
      <c r="X72" t="str">
        <f t="shared" si="4"/>
        <v>kkarls@nd.gov</v>
      </c>
    </row>
    <row r="73">
      <c r="A73" s="14" t="s">
        <v>44</v>
      </c>
      <c r="B73" s="14" t="str">
        <f t="shared" si="1"/>
        <v>Representative</v>
      </c>
      <c r="D73" s="35" t="s">
        <v>419</v>
      </c>
      <c r="E73" s="35" t="s">
        <v>10219</v>
      </c>
      <c r="F73" s="51" t="s">
        <v>53</v>
      </c>
      <c r="G73" s="31"/>
      <c r="H73" s="14" t="s">
        <v>626</v>
      </c>
      <c r="N73" s="656" t="s">
        <v>10220</v>
      </c>
      <c r="U73" t="str">
        <f t="shared" si="2"/>
        <v/>
      </c>
      <c r="V73" s="139" t="str">
        <f t="shared" si="5"/>
        <v/>
      </c>
      <c r="W73" t="str">
        <f t="shared" si="3"/>
        <v/>
      </c>
      <c r="X73" t="str">
        <f t="shared" si="4"/>
        <v/>
      </c>
    </row>
    <row r="74">
      <c r="A74" s="14" t="s">
        <v>44</v>
      </c>
      <c r="B74" s="14" t="str">
        <f t="shared" si="1"/>
        <v>Representative</v>
      </c>
      <c r="C74" s="330">
        <v>36.0</v>
      </c>
      <c r="D74" s="35" t="s">
        <v>157</v>
      </c>
      <c r="E74" s="35" t="s">
        <v>8712</v>
      </c>
      <c r="F74" s="51" t="s">
        <v>53</v>
      </c>
      <c r="G74" s="31"/>
      <c r="H74" s="14" t="s">
        <v>626</v>
      </c>
      <c r="N74" s="656" t="s">
        <v>10222</v>
      </c>
      <c r="U74" t="str">
        <f t="shared" si="2"/>
        <v/>
      </c>
      <c r="V74" s="139" t="str">
        <f t="shared" si="5"/>
        <v/>
      </c>
      <c r="W74" t="str">
        <f t="shared" si="3"/>
        <v/>
      </c>
      <c r="X74" t="str">
        <f t="shared" si="4"/>
        <v/>
      </c>
    </row>
    <row r="75">
      <c r="A75" s="14" t="s">
        <v>44</v>
      </c>
      <c r="B75" s="14" t="str">
        <f t="shared" si="1"/>
        <v>Representative</v>
      </c>
      <c r="D75" s="74" t="s">
        <v>3309</v>
      </c>
      <c r="E75" s="74" t="s">
        <v>10223</v>
      </c>
      <c r="F75" s="51" t="s">
        <v>53</v>
      </c>
      <c r="G75" s="31"/>
      <c r="H75" s="59" t="s">
        <v>781</v>
      </c>
      <c r="I75" s="59" t="s">
        <v>9946</v>
      </c>
      <c r="N75" s="656" t="s">
        <v>10225</v>
      </c>
      <c r="U75" t="str">
        <f t="shared" si="2"/>
        <v/>
      </c>
      <c r="V75" s="139" t="str">
        <f t="shared" si="5"/>
        <v/>
      </c>
      <c r="W75" t="str">
        <f t="shared" si="3"/>
        <v/>
      </c>
      <c r="X75" t="str">
        <f t="shared" si="4"/>
        <v/>
      </c>
    </row>
    <row r="76">
      <c r="A76" s="14" t="s">
        <v>44</v>
      </c>
      <c r="B76" s="14" t="str">
        <f t="shared" si="1"/>
        <v>Representative</v>
      </c>
      <c r="C76" s="330">
        <v>37.0</v>
      </c>
      <c r="D76" s="35" t="s">
        <v>157</v>
      </c>
      <c r="E76" s="35" t="s">
        <v>10226</v>
      </c>
      <c r="F76" s="51" t="s">
        <v>53</v>
      </c>
      <c r="G76" s="164"/>
      <c r="H76" s="59" t="s">
        <v>10070</v>
      </c>
      <c r="I76" s="14" t="s">
        <v>10227</v>
      </c>
      <c r="N76" s="656" t="s">
        <v>10228</v>
      </c>
      <c r="U76" t="str">
        <f t="shared" si="2"/>
        <v>Representative</v>
      </c>
      <c r="V76" s="139" t="str">
        <f t="shared" si="5"/>
        <v>Mike</v>
      </c>
      <c r="W76" t="str">
        <f t="shared" si="3"/>
        <v>Lefor</v>
      </c>
      <c r="X76" t="str">
        <f t="shared" si="4"/>
        <v>mlefor@nd.gov</v>
      </c>
    </row>
    <row r="77">
      <c r="A77" s="14" t="s">
        <v>44</v>
      </c>
      <c r="B77" s="14" t="str">
        <f t="shared" si="1"/>
        <v>Representative</v>
      </c>
      <c r="D77" s="35" t="s">
        <v>8805</v>
      </c>
      <c r="E77" s="35" t="s">
        <v>10230</v>
      </c>
      <c r="F77" s="51" t="s">
        <v>53</v>
      </c>
      <c r="G77" s="31"/>
      <c r="H77" s="59" t="s">
        <v>9932</v>
      </c>
      <c r="I77" s="14" t="s">
        <v>10231</v>
      </c>
      <c r="N77" s="656" t="s">
        <v>10232</v>
      </c>
      <c r="U77" t="str">
        <f t="shared" si="2"/>
        <v>Representative</v>
      </c>
      <c r="V77" s="139" t="str">
        <f t="shared" si="5"/>
        <v>Vicky</v>
      </c>
      <c r="W77" t="str">
        <f t="shared" si="3"/>
        <v>Steiner</v>
      </c>
      <c r="X77" t="str">
        <f t="shared" si="4"/>
        <v>vsteiner@nd.gov</v>
      </c>
    </row>
    <row r="78">
      <c r="A78" s="14" t="s">
        <v>44</v>
      </c>
      <c r="B78" s="14" t="str">
        <f t="shared" si="1"/>
        <v>Representative</v>
      </c>
      <c r="C78" s="330">
        <v>38.0</v>
      </c>
      <c r="D78" s="35" t="s">
        <v>839</v>
      </c>
      <c r="E78" s="35" t="s">
        <v>10234</v>
      </c>
      <c r="F78" s="51" t="s">
        <v>53</v>
      </c>
      <c r="G78" s="164"/>
      <c r="H78" s="14" t="s">
        <v>626</v>
      </c>
      <c r="N78" s="656" t="s">
        <v>10235</v>
      </c>
      <c r="U78" t="str">
        <f t="shared" si="2"/>
        <v/>
      </c>
      <c r="V78" s="139" t="str">
        <f t="shared" si="5"/>
        <v/>
      </c>
      <c r="W78" t="str">
        <f t="shared" si="3"/>
        <v/>
      </c>
      <c r="X78" t="str">
        <f t="shared" si="4"/>
        <v/>
      </c>
    </row>
    <row r="79">
      <c r="A79" s="14" t="s">
        <v>44</v>
      </c>
      <c r="B79" s="14" t="str">
        <f t="shared" si="1"/>
        <v>Representative</v>
      </c>
      <c r="D79" s="35" t="s">
        <v>239</v>
      </c>
      <c r="E79" s="35" t="s">
        <v>10237</v>
      </c>
      <c r="F79" s="51" t="s">
        <v>53</v>
      </c>
      <c r="G79" s="31"/>
      <c r="H79" s="14" t="s">
        <v>9931</v>
      </c>
      <c r="I79" s="14" t="s">
        <v>10238</v>
      </c>
      <c r="N79" s="656" t="s">
        <v>10239</v>
      </c>
      <c r="U79" t="str">
        <f t="shared" si="2"/>
        <v>Representative</v>
      </c>
      <c r="V79" s="139" t="str">
        <f t="shared" si="5"/>
        <v>Dan</v>
      </c>
      <c r="W79" t="str">
        <f t="shared" si="3"/>
        <v>Ruby</v>
      </c>
      <c r="X79" t="str">
        <f t="shared" si="4"/>
        <v>druby@nd.gov</v>
      </c>
    </row>
    <row r="80">
      <c r="A80" s="14" t="s">
        <v>44</v>
      </c>
      <c r="B80" s="14" t="str">
        <f t="shared" si="1"/>
        <v>Representative</v>
      </c>
      <c r="C80" s="330">
        <v>39.0</v>
      </c>
      <c r="D80" s="35" t="s">
        <v>1617</v>
      </c>
      <c r="E80" s="35" t="s">
        <v>10241</v>
      </c>
      <c r="F80" s="51" t="s">
        <v>53</v>
      </c>
      <c r="G80" s="31"/>
      <c r="H80" s="14" t="s">
        <v>10242</v>
      </c>
      <c r="N80" s="656" t="s">
        <v>10243</v>
      </c>
      <c r="U80" t="str">
        <f t="shared" si="2"/>
        <v>Representative</v>
      </c>
      <c r="V80" s="139" t="str">
        <f t="shared" si="5"/>
        <v>Keith</v>
      </c>
      <c r="W80" t="str">
        <f t="shared" si="3"/>
        <v>Kempenich</v>
      </c>
      <c r="X80" t="str">
        <f t="shared" si="4"/>
        <v>kkempenich@nd.gov</v>
      </c>
    </row>
    <row r="81">
      <c r="A81" s="14" t="s">
        <v>44</v>
      </c>
      <c r="B81" s="14" t="str">
        <f t="shared" si="1"/>
        <v>Representative</v>
      </c>
      <c r="D81" s="74" t="s">
        <v>7772</v>
      </c>
      <c r="E81" s="74" t="s">
        <v>10244</v>
      </c>
      <c r="F81" s="51" t="s">
        <v>53</v>
      </c>
      <c r="G81" s="31"/>
      <c r="H81" s="14" t="s">
        <v>515</v>
      </c>
      <c r="I81" s="59" t="s">
        <v>10070</v>
      </c>
      <c r="N81" s="656" t="s">
        <v>10245</v>
      </c>
      <c r="U81" t="str">
        <f t="shared" si="2"/>
        <v/>
      </c>
      <c r="V81" s="139" t="str">
        <f t="shared" si="5"/>
        <v/>
      </c>
      <c r="W81" t="str">
        <f t="shared" si="3"/>
        <v/>
      </c>
      <c r="X81" t="str">
        <f t="shared" si="4"/>
        <v/>
      </c>
    </row>
    <row r="82">
      <c r="A82" s="14" t="s">
        <v>44</v>
      </c>
      <c r="B82" s="14" t="str">
        <f t="shared" si="1"/>
        <v>Representative</v>
      </c>
      <c r="C82" s="330">
        <v>40.0</v>
      </c>
      <c r="D82" s="74" t="s">
        <v>896</v>
      </c>
      <c r="E82" s="74" t="s">
        <v>10237</v>
      </c>
      <c r="F82" s="51" t="s">
        <v>53</v>
      </c>
      <c r="G82" s="31"/>
      <c r="H82" s="59" t="s">
        <v>10070</v>
      </c>
      <c r="I82" s="14" t="s">
        <v>9980</v>
      </c>
      <c r="N82" s="656" t="s">
        <v>10246</v>
      </c>
      <c r="U82" t="str">
        <f t="shared" si="2"/>
        <v/>
      </c>
      <c r="V82" s="139" t="str">
        <f t="shared" si="5"/>
        <v/>
      </c>
      <c r="W82" t="str">
        <f t="shared" si="3"/>
        <v/>
      </c>
      <c r="X82" t="str">
        <f t="shared" si="4"/>
        <v/>
      </c>
    </row>
    <row r="83">
      <c r="A83" s="14" t="s">
        <v>44</v>
      </c>
      <c r="B83" s="14" t="str">
        <f t="shared" si="1"/>
        <v>Representative</v>
      </c>
      <c r="D83" s="74" t="s">
        <v>412</v>
      </c>
      <c r="E83" s="74" t="s">
        <v>10247</v>
      </c>
      <c r="F83" s="51" t="s">
        <v>53</v>
      </c>
      <c r="G83" s="31"/>
      <c r="H83" s="14" t="s">
        <v>626</v>
      </c>
      <c r="N83" s="656" t="s">
        <v>10248</v>
      </c>
      <c r="U83" t="str">
        <f t="shared" si="2"/>
        <v/>
      </c>
      <c r="V83" s="139" t="str">
        <f t="shared" si="5"/>
        <v/>
      </c>
      <c r="W83" t="str">
        <f t="shared" si="3"/>
        <v/>
      </c>
      <c r="X83" t="str">
        <f t="shared" si="4"/>
        <v/>
      </c>
    </row>
    <row r="84">
      <c r="A84" s="14" t="s">
        <v>44</v>
      </c>
      <c r="B84" s="14" t="str">
        <f t="shared" si="1"/>
        <v>Representative</v>
      </c>
      <c r="C84" s="330">
        <v>41.0</v>
      </c>
      <c r="D84" s="74" t="s">
        <v>760</v>
      </c>
      <c r="E84" s="74" t="s">
        <v>3961</v>
      </c>
      <c r="F84" s="100" t="s">
        <v>49</v>
      </c>
      <c r="G84" s="31"/>
      <c r="H84" s="14" t="s">
        <v>9950</v>
      </c>
      <c r="I84" s="59" t="s">
        <v>9931</v>
      </c>
      <c r="N84" s="656" t="s">
        <v>10250</v>
      </c>
      <c r="U84" t="str">
        <f t="shared" si="2"/>
        <v/>
      </c>
      <c r="V84" s="139" t="str">
        <f t="shared" si="5"/>
        <v/>
      </c>
      <c r="W84" t="str">
        <f t="shared" si="3"/>
        <v/>
      </c>
      <c r="X84" t="str">
        <f t="shared" si="4"/>
        <v/>
      </c>
    </row>
    <row r="85">
      <c r="A85" s="14" t="s">
        <v>44</v>
      </c>
      <c r="B85" s="14" t="str">
        <f t="shared" si="1"/>
        <v>Representative</v>
      </c>
      <c r="D85" s="38" t="s">
        <v>22</v>
      </c>
      <c r="E85" s="38" t="s">
        <v>10251</v>
      </c>
      <c r="F85" s="51" t="s">
        <v>53</v>
      </c>
      <c r="G85" s="164"/>
      <c r="H85" s="14" t="s">
        <v>515</v>
      </c>
      <c r="I85" s="14" t="s">
        <v>10252</v>
      </c>
      <c r="N85" s="656" t="s">
        <v>10253</v>
      </c>
      <c r="U85" t="str">
        <f t="shared" si="2"/>
        <v/>
      </c>
      <c r="V85" s="139" t="str">
        <f t="shared" si="5"/>
        <v/>
      </c>
      <c r="W85" t="str">
        <f t="shared" si="3"/>
        <v/>
      </c>
      <c r="X85" t="str">
        <f t="shared" si="4"/>
        <v/>
      </c>
    </row>
    <row r="86">
      <c r="A86" s="14" t="s">
        <v>44</v>
      </c>
      <c r="B86" s="14" t="str">
        <f t="shared" si="1"/>
        <v>Representative</v>
      </c>
      <c r="C86" s="330">
        <v>42.0</v>
      </c>
      <c r="D86" s="35" t="s">
        <v>3828</v>
      </c>
      <c r="E86" s="35" t="s">
        <v>10254</v>
      </c>
      <c r="F86" s="51" t="s">
        <v>53</v>
      </c>
      <c r="G86" s="31"/>
      <c r="H86" s="14" t="s">
        <v>2184</v>
      </c>
      <c r="I86" s="59" t="s">
        <v>9932</v>
      </c>
      <c r="N86" s="656" t="s">
        <v>10255</v>
      </c>
      <c r="U86" t="str">
        <f t="shared" si="2"/>
        <v/>
      </c>
      <c r="V86" s="139" t="str">
        <f t="shared" si="5"/>
        <v/>
      </c>
      <c r="W86" t="str">
        <f t="shared" si="3"/>
        <v/>
      </c>
      <c r="X86" t="str">
        <f t="shared" si="4"/>
        <v/>
      </c>
    </row>
    <row r="87">
      <c r="A87" s="14" t="s">
        <v>44</v>
      </c>
      <c r="B87" s="14" t="str">
        <f t="shared" si="1"/>
        <v>Representative</v>
      </c>
      <c r="D87" s="38" t="s">
        <v>1674</v>
      </c>
      <c r="E87" s="35" t="s">
        <v>10256</v>
      </c>
      <c r="F87" s="51" t="s">
        <v>53</v>
      </c>
      <c r="G87" s="31"/>
      <c r="H87" s="59" t="s">
        <v>9931</v>
      </c>
      <c r="I87" s="59" t="s">
        <v>578</v>
      </c>
      <c r="N87" s="656" t="s">
        <v>10257</v>
      </c>
      <c r="U87" t="str">
        <f t="shared" si="2"/>
        <v/>
      </c>
      <c r="V87" s="139" t="str">
        <f t="shared" si="5"/>
        <v/>
      </c>
      <c r="W87" t="str">
        <f t="shared" si="3"/>
        <v/>
      </c>
      <c r="X87" t="str">
        <f t="shared" si="4"/>
        <v/>
      </c>
    </row>
    <row r="88">
      <c r="A88" s="14" t="s">
        <v>44</v>
      </c>
      <c r="B88" s="14" t="str">
        <f t="shared" si="1"/>
        <v>Representative</v>
      </c>
      <c r="C88" s="330">
        <v>43.0</v>
      </c>
      <c r="D88" s="78" t="s">
        <v>10259</v>
      </c>
      <c r="E88" s="78" t="s">
        <v>10260</v>
      </c>
      <c r="F88" s="51" t="s">
        <v>53</v>
      </c>
      <c r="G88" s="31"/>
      <c r="H88" s="14" t="s">
        <v>9979</v>
      </c>
      <c r="I88" s="14" t="s">
        <v>9932</v>
      </c>
      <c r="N88" s="656" t="s">
        <v>10261</v>
      </c>
      <c r="U88" t="str">
        <f t="shared" si="2"/>
        <v/>
      </c>
      <c r="V88" s="139" t="str">
        <f t="shared" si="5"/>
        <v/>
      </c>
      <c r="W88" t="str">
        <f t="shared" si="3"/>
        <v/>
      </c>
      <c r="X88" t="str">
        <f t="shared" si="4"/>
        <v/>
      </c>
    </row>
    <row r="89">
      <c r="A89" s="14" t="s">
        <v>44</v>
      </c>
      <c r="B89" s="14" t="str">
        <f t="shared" si="1"/>
        <v>Representative</v>
      </c>
      <c r="D89" s="38" t="s">
        <v>514</v>
      </c>
      <c r="E89" s="38" t="s">
        <v>5375</v>
      </c>
      <c r="F89" s="100" t="s">
        <v>49</v>
      </c>
      <c r="G89" s="31"/>
      <c r="H89" s="14" t="s">
        <v>10262</v>
      </c>
      <c r="I89" s="14" t="s">
        <v>10263</v>
      </c>
      <c r="J89" s="14" t="s">
        <v>9931</v>
      </c>
      <c r="K89" s="14" t="s">
        <v>9933</v>
      </c>
      <c r="M89" s="657" t="s">
        <v>10264</v>
      </c>
      <c r="N89" s="656" t="s">
        <v>10265</v>
      </c>
      <c r="U89" t="str">
        <f t="shared" si="2"/>
        <v/>
      </c>
      <c r="V89" s="139" t="str">
        <f t="shared" si="5"/>
        <v/>
      </c>
      <c r="W89" t="str">
        <f t="shared" si="3"/>
        <v/>
      </c>
      <c r="X89" t="str">
        <f t="shared" si="4"/>
        <v/>
      </c>
    </row>
    <row r="90">
      <c r="A90" s="14" t="s">
        <v>44</v>
      </c>
      <c r="B90" s="14" t="str">
        <f t="shared" si="1"/>
        <v>Representative</v>
      </c>
      <c r="C90" s="330">
        <v>44.0</v>
      </c>
      <c r="D90" s="35" t="s">
        <v>2506</v>
      </c>
      <c r="E90" s="35" t="s">
        <v>10266</v>
      </c>
      <c r="F90" s="100" t="s">
        <v>49</v>
      </c>
      <c r="G90" s="164" t="s">
        <v>498</v>
      </c>
      <c r="N90" s="656" t="s">
        <v>10267</v>
      </c>
      <c r="U90" t="str">
        <f t="shared" si="2"/>
        <v>Representative</v>
      </c>
      <c r="V90" s="139" t="str">
        <f t="shared" si="5"/>
        <v>Joshua</v>
      </c>
      <c r="W90" t="str">
        <f t="shared" si="3"/>
        <v>Boschee</v>
      </c>
      <c r="X90" t="str">
        <f t="shared" si="4"/>
        <v>jboschee@nd.gov</v>
      </c>
    </row>
    <row r="91">
      <c r="A91" s="14" t="s">
        <v>44</v>
      </c>
      <c r="B91" s="14" t="str">
        <f t="shared" si="1"/>
        <v>Representative</v>
      </c>
      <c r="D91" s="74" t="s">
        <v>3636</v>
      </c>
      <c r="E91" s="74" t="s">
        <v>10270</v>
      </c>
      <c r="F91" s="100" t="s">
        <v>49</v>
      </c>
      <c r="G91" s="164" t="s">
        <v>10271</v>
      </c>
      <c r="H91" s="14" t="s">
        <v>10272</v>
      </c>
      <c r="I91" s="59" t="s">
        <v>578</v>
      </c>
      <c r="N91" s="656" t="s">
        <v>10273</v>
      </c>
      <c r="U91" t="str">
        <f t="shared" si="2"/>
        <v>Representative</v>
      </c>
      <c r="V91" s="139" t="str">
        <f t="shared" si="5"/>
        <v>Karla</v>
      </c>
      <c r="W91" t="str">
        <f t="shared" si="3"/>
        <v>Hanson</v>
      </c>
      <c r="X91" t="str">
        <f t="shared" si="4"/>
        <v>krhanson@nd.gov</v>
      </c>
    </row>
    <row r="92">
      <c r="A92" s="14" t="s">
        <v>44</v>
      </c>
      <c r="B92" s="14" t="str">
        <f t="shared" si="1"/>
        <v>Representative</v>
      </c>
      <c r="C92" s="330">
        <v>45.0</v>
      </c>
      <c r="D92" s="74" t="s">
        <v>514</v>
      </c>
      <c r="E92" s="74" t="s">
        <v>118</v>
      </c>
      <c r="F92" s="51" t="s">
        <v>53</v>
      </c>
      <c r="G92" s="31"/>
      <c r="H92" s="14" t="s">
        <v>515</v>
      </c>
      <c r="I92" s="59" t="s">
        <v>9946</v>
      </c>
      <c r="N92" s="656" t="s">
        <v>10274</v>
      </c>
      <c r="U92" t="str">
        <f t="shared" si="2"/>
        <v/>
      </c>
      <c r="V92" s="139" t="str">
        <f t="shared" si="5"/>
        <v/>
      </c>
      <c r="W92" t="str">
        <f t="shared" si="3"/>
        <v/>
      </c>
      <c r="X92" t="str">
        <f t="shared" si="4"/>
        <v/>
      </c>
    </row>
    <row r="93">
      <c r="A93" s="14" t="s">
        <v>44</v>
      </c>
      <c r="B93" s="14" t="str">
        <f t="shared" si="1"/>
        <v>Representative</v>
      </c>
      <c r="D93" s="35" t="s">
        <v>338</v>
      </c>
      <c r="E93" s="35" t="s">
        <v>10277</v>
      </c>
      <c r="F93" s="51" t="s">
        <v>53</v>
      </c>
      <c r="G93" s="31"/>
      <c r="H93" s="59" t="s">
        <v>9932</v>
      </c>
      <c r="I93" s="59" t="s">
        <v>578</v>
      </c>
      <c r="N93" s="656" t="s">
        <v>10279</v>
      </c>
      <c r="U93" t="str">
        <f t="shared" si="2"/>
        <v/>
      </c>
      <c r="V93" s="139" t="str">
        <f t="shared" si="5"/>
        <v/>
      </c>
      <c r="W93" t="str">
        <f t="shared" si="3"/>
        <v/>
      </c>
      <c r="X93" t="str">
        <f t="shared" si="4"/>
        <v/>
      </c>
    </row>
    <row r="94">
      <c r="A94" s="14" t="s">
        <v>44</v>
      </c>
      <c r="B94" s="14" t="str">
        <f t="shared" si="1"/>
        <v>Representative</v>
      </c>
      <c r="C94" s="330">
        <v>46.0</v>
      </c>
      <c r="D94" s="35" t="s">
        <v>476</v>
      </c>
      <c r="E94" s="35" t="s">
        <v>10284</v>
      </c>
      <c r="F94" s="51" t="s">
        <v>53</v>
      </c>
      <c r="G94" s="31"/>
      <c r="H94" s="14" t="s">
        <v>10285</v>
      </c>
      <c r="I94" s="14" t="s">
        <v>9931</v>
      </c>
      <c r="N94" s="656" t="s">
        <v>10286</v>
      </c>
      <c r="U94" t="str">
        <f t="shared" si="2"/>
        <v>Representative</v>
      </c>
      <c r="V94" s="139" t="str">
        <f t="shared" si="5"/>
        <v>Jim</v>
      </c>
      <c r="W94" t="str">
        <f t="shared" si="3"/>
        <v>Kasper</v>
      </c>
      <c r="X94" t="str">
        <f t="shared" si="4"/>
        <v>jkasper@nd.gov</v>
      </c>
    </row>
    <row r="95">
      <c r="A95" s="14" t="s">
        <v>44</v>
      </c>
      <c r="B95" s="14" t="str">
        <f t="shared" si="1"/>
        <v>Representative</v>
      </c>
      <c r="D95" s="74" t="s">
        <v>1891</v>
      </c>
      <c r="E95" s="74" t="s">
        <v>706</v>
      </c>
      <c r="F95" s="51" t="s">
        <v>53</v>
      </c>
      <c r="G95" s="164" t="s">
        <v>10287</v>
      </c>
      <c r="H95" s="14" t="s">
        <v>10070</v>
      </c>
      <c r="I95" s="59" t="s">
        <v>781</v>
      </c>
      <c r="N95" s="656" t="s">
        <v>10288</v>
      </c>
      <c r="U95" t="str">
        <f t="shared" si="2"/>
        <v>Representative</v>
      </c>
      <c r="V95" s="139" t="str">
        <f t="shared" si="5"/>
        <v>Shannon</v>
      </c>
      <c r="W95" t="str">
        <f t="shared" si="3"/>
        <v>Jones</v>
      </c>
      <c r="X95" t="str">
        <f t="shared" si="4"/>
        <v>sroersjones@nd.gov</v>
      </c>
    </row>
    <row r="96">
      <c r="A96" s="14" t="s">
        <v>44</v>
      </c>
      <c r="B96" s="14" t="str">
        <f t="shared" si="1"/>
        <v>Representative</v>
      </c>
      <c r="C96" s="330">
        <v>47.0</v>
      </c>
      <c r="D96" s="35" t="s">
        <v>98</v>
      </c>
      <c r="E96" s="35" t="s">
        <v>10294</v>
      </c>
      <c r="F96" s="51" t="s">
        <v>53</v>
      </c>
      <c r="G96" s="31"/>
      <c r="H96" s="59" t="s">
        <v>10070</v>
      </c>
      <c r="I96" s="14" t="s">
        <v>10296</v>
      </c>
      <c r="N96" s="656" t="s">
        <v>10297</v>
      </c>
      <c r="U96" t="str">
        <f t="shared" si="2"/>
        <v>Representative</v>
      </c>
      <c r="V96" s="139" t="str">
        <f t="shared" si="5"/>
        <v>George</v>
      </c>
      <c r="W96" t="str">
        <f t="shared" si="3"/>
        <v>Keiser</v>
      </c>
      <c r="X96" t="str">
        <f t="shared" si="4"/>
        <v>gkeiser@nd.gov</v>
      </c>
    </row>
    <row r="97">
      <c r="A97" s="14" t="s">
        <v>44</v>
      </c>
      <c r="B97" s="14" t="str">
        <f t="shared" si="1"/>
        <v>Representative</v>
      </c>
      <c r="D97" s="35" t="s">
        <v>572</v>
      </c>
      <c r="E97" s="35" t="s">
        <v>10300</v>
      </c>
      <c r="F97" s="51" t="s">
        <v>53</v>
      </c>
      <c r="G97" s="164" t="s">
        <v>1056</v>
      </c>
      <c r="N97" s="656" t="s">
        <v>10301</v>
      </c>
      <c r="U97" t="str">
        <f t="shared" si="2"/>
        <v>Representative</v>
      </c>
      <c r="V97" s="139" t="str">
        <f t="shared" si="5"/>
        <v>Lawrence</v>
      </c>
      <c r="W97" t="str">
        <f t="shared" si="3"/>
        <v>Klemin</v>
      </c>
      <c r="X97" t="str">
        <f t="shared" si="4"/>
        <v>lklemin@nd.gov</v>
      </c>
    </row>
    <row r="98">
      <c r="A98" s="70"/>
      <c r="B98" s="70"/>
      <c r="C98" s="70"/>
      <c r="D98" s="71"/>
      <c r="E98" s="71"/>
      <c r="F98" s="70"/>
      <c r="G98" s="70"/>
      <c r="H98" s="70"/>
      <c r="I98" s="70"/>
      <c r="J98" s="70"/>
      <c r="K98" s="70"/>
      <c r="L98" s="70"/>
      <c r="M98" s="70"/>
      <c r="N98" s="70"/>
      <c r="O98" s="70"/>
      <c r="P98" s="70"/>
      <c r="Q98" s="70"/>
      <c r="R98" s="70"/>
      <c r="S98" s="70"/>
      <c r="T98" s="70"/>
      <c r="U98" t="str">
        <f t="shared" si="2"/>
        <v/>
      </c>
      <c r="V98" s="71"/>
      <c r="W98" s="70"/>
      <c r="X98" t="str">
        <f t="shared" si="4"/>
        <v/>
      </c>
      <c r="Y98" s="70"/>
      <c r="Z98" s="70"/>
      <c r="AA98" s="70"/>
      <c r="AB98" s="70"/>
      <c r="AC98" s="70"/>
      <c r="AD98" s="70"/>
      <c r="AE98" s="70"/>
      <c r="AF98" s="70"/>
      <c r="AG98" s="70"/>
      <c r="AH98" s="70"/>
      <c r="AI98" s="70"/>
    </row>
    <row r="99">
      <c r="A99" s="14" t="s">
        <v>286</v>
      </c>
      <c r="B99" s="14" t="str">
        <f t="shared" ref="B99:B145" si="6">if(A99="House","Representative","Senator")</f>
        <v>Senator</v>
      </c>
      <c r="C99" s="31">
        <v>1.0</v>
      </c>
      <c r="D99" s="35" t="s">
        <v>2323</v>
      </c>
      <c r="E99" s="35" t="s">
        <v>10306</v>
      </c>
      <c r="F99" s="51" t="s">
        <v>53</v>
      </c>
      <c r="G99" s="31"/>
      <c r="H99" s="164" t="s">
        <v>626</v>
      </c>
      <c r="M99" s="657" t="s">
        <v>10307</v>
      </c>
      <c r="N99" s="656" t="s">
        <v>10308</v>
      </c>
      <c r="U99" t="str">
        <f t="shared" si="2"/>
        <v/>
      </c>
      <c r="V99" s="139" t="str">
        <f t="shared" ref="V99:V145" si="7">if(or(isnumber(search("chair",H99)),isnumber(search("chair",I99)),not(isblank(G99))),D99,"")</f>
        <v/>
      </c>
      <c r="W99" t="str">
        <f t="shared" ref="W99:W145" si="8">if(V99="","",E99)</f>
        <v/>
      </c>
      <c r="X99" t="str">
        <f t="shared" si="4"/>
        <v/>
      </c>
    </row>
    <row r="100">
      <c r="A100" s="14" t="s">
        <v>286</v>
      </c>
      <c r="B100" s="14" t="str">
        <f t="shared" si="6"/>
        <v>Senator</v>
      </c>
      <c r="C100" s="31">
        <v>2.0</v>
      </c>
      <c r="D100" s="35" t="s">
        <v>108</v>
      </c>
      <c r="E100" s="35" t="s">
        <v>10320</v>
      </c>
      <c r="F100" s="51" t="s">
        <v>53</v>
      </c>
      <c r="G100" s="31"/>
      <c r="H100" s="164" t="s">
        <v>515</v>
      </c>
      <c r="I100" s="14" t="s">
        <v>536</v>
      </c>
      <c r="M100" s="657" t="s">
        <v>10321</v>
      </c>
      <c r="N100" s="656" t="s">
        <v>10322</v>
      </c>
      <c r="U100" t="str">
        <f t="shared" si="2"/>
        <v>Senator</v>
      </c>
      <c r="V100" s="139" t="str">
        <f t="shared" si="7"/>
        <v>David</v>
      </c>
      <c r="W100" t="str">
        <f t="shared" si="8"/>
        <v>Rust</v>
      </c>
      <c r="X100" t="str">
        <f t="shared" si="4"/>
        <v>drust@nd.gov</v>
      </c>
    </row>
    <row r="101">
      <c r="A101" s="14" t="s">
        <v>286</v>
      </c>
      <c r="B101" s="14" t="str">
        <f t="shared" si="6"/>
        <v>Senator</v>
      </c>
      <c r="C101" s="31">
        <v>3.0</v>
      </c>
      <c r="D101" s="35" t="s">
        <v>10327</v>
      </c>
      <c r="E101" s="35" t="s">
        <v>10329</v>
      </c>
      <c r="F101" s="51" t="s">
        <v>53</v>
      </c>
      <c r="G101" s="31"/>
      <c r="H101" s="164" t="s">
        <v>2184</v>
      </c>
      <c r="I101" s="14" t="s">
        <v>10331</v>
      </c>
      <c r="L101" s="14" t="s">
        <v>3029</v>
      </c>
      <c r="M101" s="657" t="s">
        <v>10332</v>
      </c>
      <c r="N101" s="656" t="s">
        <v>10333</v>
      </c>
      <c r="U101" t="str">
        <f t="shared" si="2"/>
        <v>Senator</v>
      </c>
      <c r="V101" s="139" t="str">
        <f t="shared" si="7"/>
        <v>Oley</v>
      </c>
      <c r="W101" t="str">
        <f t="shared" si="8"/>
        <v>Larsen</v>
      </c>
      <c r="X101" t="str">
        <f t="shared" si="4"/>
        <v>olarsen@nd.gov</v>
      </c>
    </row>
    <row r="102">
      <c r="A102" s="14" t="s">
        <v>286</v>
      </c>
      <c r="B102" s="14" t="str">
        <f t="shared" si="6"/>
        <v>Senator</v>
      </c>
      <c r="C102" s="31">
        <v>4.0</v>
      </c>
      <c r="D102" s="35" t="s">
        <v>1581</v>
      </c>
      <c r="E102" s="35" t="s">
        <v>10334</v>
      </c>
      <c r="F102" s="51" t="s">
        <v>53</v>
      </c>
      <c r="G102" s="31"/>
      <c r="H102" s="164" t="s">
        <v>10335</v>
      </c>
      <c r="I102" s="14" t="s">
        <v>9946</v>
      </c>
      <c r="M102" s="657" t="s">
        <v>10337</v>
      </c>
      <c r="N102" s="656" t="s">
        <v>10338</v>
      </c>
      <c r="U102" t="str">
        <f t="shared" si="2"/>
        <v>Senator</v>
      </c>
      <c r="V102" s="139" t="str">
        <f t="shared" si="7"/>
        <v>Jordan</v>
      </c>
      <c r="W102" t="str">
        <f t="shared" si="8"/>
        <v>Kannianen</v>
      </c>
      <c r="X102" t="str">
        <f t="shared" si="4"/>
        <v>jkannianen@nd.gov</v>
      </c>
    </row>
    <row r="103">
      <c r="A103" s="14" t="s">
        <v>286</v>
      </c>
      <c r="B103" s="14" t="str">
        <f t="shared" si="6"/>
        <v>Senator</v>
      </c>
      <c r="C103" s="31">
        <v>5.0</v>
      </c>
      <c r="D103" s="35" t="s">
        <v>412</v>
      </c>
      <c r="E103" s="35" t="s">
        <v>10342</v>
      </c>
      <c r="F103" s="51" t="s">
        <v>53</v>
      </c>
      <c r="G103" s="31"/>
      <c r="H103" s="164" t="s">
        <v>10343</v>
      </c>
      <c r="I103" s="14" t="s">
        <v>10344</v>
      </c>
      <c r="M103" s="14" t="s">
        <v>10345</v>
      </c>
      <c r="N103" s="656" t="s">
        <v>10346</v>
      </c>
      <c r="U103" t="str">
        <f t="shared" si="2"/>
        <v>Senator</v>
      </c>
      <c r="V103" s="139" t="str">
        <f t="shared" si="7"/>
        <v>Randy</v>
      </c>
      <c r="W103" t="str">
        <f t="shared" si="8"/>
        <v>Burckhard</v>
      </c>
      <c r="X103" t="str">
        <f t="shared" si="4"/>
        <v>raburckhard@nd.gov</v>
      </c>
    </row>
    <row r="104">
      <c r="A104" s="14" t="s">
        <v>286</v>
      </c>
      <c r="B104" s="14" t="str">
        <f t="shared" si="6"/>
        <v>Senator</v>
      </c>
      <c r="C104" s="31">
        <v>6.0</v>
      </c>
      <c r="D104" s="35" t="s">
        <v>5855</v>
      </c>
      <c r="E104" s="35" t="s">
        <v>10347</v>
      </c>
      <c r="F104" s="51" t="s">
        <v>53</v>
      </c>
      <c r="G104" s="31"/>
      <c r="H104" s="164" t="s">
        <v>10348</v>
      </c>
      <c r="I104" s="164" t="s">
        <v>10349</v>
      </c>
      <c r="M104" s="657" t="s">
        <v>10350</v>
      </c>
      <c r="N104" s="656" t="s">
        <v>10351</v>
      </c>
      <c r="U104" t="str">
        <f t="shared" si="2"/>
        <v>Senator</v>
      </c>
      <c r="V104" s="139" t="str">
        <f t="shared" si="7"/>
        <v>Shawn</v>
      </c>
      <c r="W104" t="str">
        <f t="shared" si="8"/>
        <v>Vedaa</v>
      </c>
      <c r="X104" t="str">
        <f t="shared" si="4"/>
        <v>svedaa@nd.gov</v>
      </c>
    </row>
    <row r="105">
      <c r="A105" s="14" t="s">
        <v>286</v>
      </c>
      <c r="B105" s="14" t="str">
        <f t="shared" si="6"/>
        <v>Senator</v>
      </c>
      <c r="C105" s="31">
        <v>7.0</v>
      </c>
      <c r="D105" s="35" t="s">
        <v>1648</v>
      </c>
      <c r="E105" s="35" t="s">
        <v>10353</v>
      </c>
      <c r="F105" s="51" t="s">
        <v>53</v>
      </c>
      <c r="G105" s="31"/>
      <c r="H105" s="14" t="s">
        <v>626</v>
      </c>
      <c r="I105" s="14" t="s">
        <v>10354</v>
      </c>
      <c r="J105" s="164" t="s">
        <v>10355</v>
      </c>
      <c r="M105" s="14" t="s">
        <v>10356</v>
      </c>
      <c r="N105" s="656" t="s">
        <v>10357</v>
      </c>
      <c r="U105" t="str">
        <f t="shared" si="2"/>
        <v/>
      </c>
      <c r="V105" s="139" t="str">
        <f t="shared" si="7"/>
        <v/>
      </c>
      <c r="W105" t="str">
        <f t="shared" si="8"/>
        <v/>
      </c>
      <c r="X105" t="str">
        <f t="shared" si="4"/>
        <v/>
      </c>
    </row>
    <row r="106">
      <c r="A106" s="14" t="s">
        <v>286</v>
      </c>
      <c r="B106" s="14" t="str">
        <f t="shared" si="6"/>
        <v>Senator</v>
      </c>
      <c r="C106" s="31">
        <v>8.0</v>
      </c>
      <c r="D106" s="35" t="s">
        <v>297</v>
      </c>
      <c r="E106" s="38" t="s">
        <v>10359</v>
      </c>
      <c r="F106" s="51" t="s">
        <v>53</v>
      </c>
      <c r="G106" s="31"/>
      <c r="H106" s="164" t="s">
        <v>3561</v>
      </c>
      <c r="I106" s="14" t="s">
        <v>10360</v>
      </c>
      <c r="L106" s="14" t="s">
        <v>10361</v>
      </c>
      <c r="M106" s="657" t="s">
        <v>10362</v>
      </c>
      <c r="N106" s="656" t="s">
        <v>10363</v>
      </c>
      <c r="U106" t="str">
        <f t="shared" si="2"/>
        <v>Senator</v>
      </c>
      <c r="V106" s="139" t="str">
        <f t="shared" si="7"/>
        <v>Howard</v>
      </c>
      <c r="W106" t="str">
        <f t="shared" si="8"/>
        <v>Anderson Jr.</v>
      </c>
      <c r="X106" t="str">
        <f t="shared" si="4"/>
        <v>hcanderson@nd.gov</v>
      </c>
    </row>
    <row r="107">
      <c r="A107" s="14" t="s">
        <v>286</v>
      </c>
      <c r="B107" s="14" t="str">
        <f t="shared" si="6"/>
        <v>Senator</v>
      </c>
      <c r="C107" s="31">
        <v>9.0</v>
      </c>
      <c r="D107" s="35" t="s">
        <v>1112</v>
      </c>
      <c r="E107" s="35" t="s">
        <v>10368</v>
      </c>
      <c r="F107" s="100" t="s">
        <v>49</v>
      </c>
      <c r="G107" s="31"/>
      <c r="H107" s="164" t="s">
        <v>515</v>
      </c>
      <c r="I107" s="14" t="s">
        <v>10348</v>
      </c>
      <c r="J107" s="14" t="s">
        <v>10369</v>
      </c>
      <c r="L107" s="14" t="s">
        <v>10370</v>
      </c>
      <c r="M107" s="657" t="s">
        <v>10371</v>
      </c>
      <c r="N107" s="656" t="s">
        <v>10372</v>
      </c>
      <c r="U107" t="str">
        <f t="shared" si="2"/>
        <v/>
      </c>
      <c r="V107" s="139" t="str">
        <f t="shared" si="7"/>
        <v/>
      </c>
      <c r="W107" t="str">
        <f t="shared" si="8"/>
        <v/>
      </c>
      <c r="X107" t="str">
        <f t="shared" si="4"/>
        <v/>
      </c>
    </row>
    <row r="108">
      <c r="A108" s="14" t="s">
        <v>286</v>
      </c>
      <c r="B108" s="14" t="str">
        <f t="shared" si="6"/>
        <v>Senator</v>
      </c>
      <c r="C108" s="31">
        <v>10.0</v>
      </c>
      <c r="D108" s="35" t="s">
        <v>10373</v>
      </c>
      <c r="E108" s="35" t="s">
        <v>10376</v>
      </c>
      <c r="F108" s="51" t="s">
        <v>53</v>
      </c>
      <c r="G108" s="31"/>
      <c r="H108" s="164" t="s">
        <v>781</v>
      </c>
      <c r="I108" s="14" t="s">
        <v>2392</v>
      </c>
      <c r="L108" s="14" t="s">
        <v>3029</v>
      </c>
      <c r="M108" s="14" t="s">
        <v>10377</v>
      </c>
      <c r="N108" s="656" t="s">
        <v>10378</v>
      </c>
      <c r="U108" t="str">
        <f t="shared" si="2"/>
        <v>Senator</v>
      </c>
      <c r="V108" s="139" t="str">
        <f t="shared" si="7"/>
        <v>Janne</v>
      </c>
      <c r="W108" t="str">
        <f t="shared" si="8"/>
        <v>Myrdal</v>
      </c>
      <c r="X108" t="str">
        <f t="shared" si="4"/>
        <v>jmyrdal@nd.gov</v>
      </c>
    </row>
    <row r="109">
      <c r="A109" s="14" t="s">
        <v>286</v>
      </c>
      <c r="B109" s="14" t="str">
        <f t="shared" si="6"/>
        <v>Senator</v>
      </c>
      <c r="C109" s="31">
        <v>11.0</v>
      </c>
      <c r="D109" s="35" t="s">
        <v>225</v>
      </c>
      <c r="E109" s="35" t="s">
        <v>10380</v>
      </c>
      <c r="F109" s="100" t="s">
        <v>49</v>
      </c>
      <c r="G109" s="31"/>
      <c r="H109" s="31"/>
      <c r="L109" s="14" t="s">
        <v>3029</v>
      </c>
      <c r="M109" s="14" t="s">
        <v>10381</v>
      </c>
      <c r="N109" s="656" t="s">
        <v>10382</v>
      </c>
      <c r="U109" t="str">
        <f t="shared" si="2"/>
        <v/>
      </c>
      <c r="V109" s="139" t="str">
        <f t="shared" si="7"/>
        <v/>
      </c>
      <c r="W109" t="str">
        <f t="shared" si="8"/>
        <v/>
      </c>
      <c r="X109" t="str">
        <f t="shared" si="4"/>
        <v/>
      </c>
    </row>
    <row r="110">
      <c r="A110" s="14" t="s">
        <v>286</v>
      </c>
      <c r="B110" s="14" t="str">
        <f t="shared" si="6"/>
        <v>Senator</v>
      </c>
      <c r="C110" s="31">
        <v>12.0</v>
      </c>
      <c r="D110" s="35" t="s">
        <v>278</v>
      </c>
      <c r="E110" s="35" t="s">
        <v>10386</v>
      </c>
      <c r="F110" s="100" t="s">
        <v>49</v>
      </c>
      <c r="G110" s="164" t="s">
        <v>10271</v>
      </c>
      <c r="H110" s="31"/>
      <c r="L110" s="14" t="s">
        <v>3029</v>
      </c>
      <c r="M110" s="14" t="s">
        <v>10387</v>
      </c>
      <c r="N110" s="656" t="s">
        <v>10388</v>
      </c>
      <c r="U110" t="str">
        <f t="shared" si="2"/>
        <v>Senator</v>
      </c>
      <c r="V110" s="139" t="str">
        <f t="shared" si="7"/>
        <v>John</v>
      </c>
      <c r="W110" t="str">
        <f t="shared" si="8"/>
        <v>Grabinger</v>
      </c>
      <c r="X110" t="str">
        <f t="shared" si="4"/>
        <v>jgrabinger@nd.gov</v>
      </c>
    </row>
    <row r="111">
      <c r="A111" s="14" t="s">
        <v>286</v>
      </c>
      <c r="B111" s="14" t="str">
        <f t="shared" si="6"/>
        <v>Senator</v>
      </c>
      <c r="C111" s="31">
        <v>13.0</v>
      </c>
      <c r="D111" s="35" t="s">
        <v>2320</v>
      </c>
      <c r="E111" s="35" t="s">
        <v>629</v>
      </c>
      <c r="F111" s="51" t="s">
        <v>53</v>
      </c>
      <c r="G111" s="31"/>
      <c r="H111" s="31"/>
      <c r="M111" s="14" t="s">
        <v>10391</v>
      </c>
      <c r="N111" s="656" t="s">
        <v>10392</v>
      </c>
      <c r="U111" t="str">
        <f t="shared" si="2"/>
        <v/>
      </c>
      <c r="V111" s="139" t="str">
        <f t="shared" si="7"/>
        <v/>
      </c>
      <c r="W111" t="str">
        <f t="shared" si="8"/>
        <v/>
      </c>
      <c r="X111" t="str">
        <f t="shared" si="4"/>
        <v/>
      </c>
    </row>
    <row r="112">
      <c r="A112" s="14" t="s">
        <v>286</v>
      </c>
      <c r="B112" s="14" t="str">
        <f t="shared" si="6"/>
        <v>Senator</v>
      </c>
      <c r="C112" s="31">
        <v>14.0</v>
      </c>
      <c r="D112" s="35" t="s">
        <v>2105</v>
      </c>
      <c r="E112" s="35" t="s">
        <v>5381</v>
      </c>
      <c r="F112" s="51" t="s">
        <v>53</v>
      </c>
      <c r="G112" s="164" t="s">
        <v>10397</v>
      </c>
      <c r="H112" s="31"/>
      <c r="M112" s="14" t="s">
        <v>10398</v>
      </c>
      <c r="N112" s="656" t="s">
        <v>10399</v>
      </c>
      <c r="U112" t="str">
        <f t="shared" si="2"/>
        <v>Senator</v>
      </c>
      <c r="V112" s="139" t="str">
        <f t="shared" si="7"/>
        <v>Jerry</v>
      </c>
      <c r="W112" t="str">
        <f t="shared" si="8"/>
        <v>Klein</v>
      </c>
      <c r="X112" t="str">
        <f t="shared" si="4"/>
        <v>jklein@nd.gov</v>
      </c>
    </row>
    <row r="113">
      <c r="A113" s="14" t="s">
        <v>286</v>
      </c>
      <c r="B113" s="14" t="str">
        <f t="shared" si="6"/>
        <v>Senator</v>
      </c>
      <c r="C113" s="31">
        <v>15.0</v>
      </c>
      <c r="D113" s="35" t="s">
        <v>76</v>
      </c>
      <c r="E113" s="35" t="s">
        <v>10403</v>
      </c>
      <c r="F113" s="51" t="s">
        <v>53</v>
      </c>
      <c r="G113" s="31"/>
      <c r="H113" s="31"/>
      <c r="M113" s="14" t="s">
        <v>10404</v>
      </c>
      <c r="N113" s="656" t="s">
        <v>10405</v>
      </c>
      <c r="U113" t="str">
        <f t="shared" si="2"/>
        <v/>
      </c>
      <c r="V113" s="139" t="str">
        <f t="shared" si="7"/>
        <v/>
      </c>
      <c r="W113" t="str">
        <f t="shared" si="8"/>
        <v/>
      </c>
      <c r="X113" t="str">
        <f t="shared" si="4"/>
        <v/>
      </c>
    </row>
    <row r="114">
      <c r="A114" s="14" t="s">
        <v>286</v>
      </c>
      <c r="B114" s="14" t="str">
        <f t="shared" si="6"/>
        <v>Senator</v>
      </c>
      <c r="C114" s="31">
        <v>16.0</v>
      </c>
      <c r="D114" s="35" t="s">
        <v>108</v>
      </c>
      <c r="E114" s="35" t="s">
        <v>8063</v>
      </c>
      <c r="F114" s="51" t="s">
        <v>53</v>
      </c>
      <c r="G114" s="31"/>
      <c r="H114" s="31"/>
      <c r="M114" s="660" t="s">
        <v>10406</v>
      </c>
      <c r="N114" s="656" t="s">
        <v>10409</v>
      </c>
      <c r="U114" t="str">
        <f t="shared" si="2"/>
        <v/>
      </c>
      <c r="V114" s="139" t="str">
        <f t="shared" si="7"/>
        <v/>
      </c>
      <c r="W114" t="str">
        <f t="shared" si="8"/>
        <v/>
      </c>
      <c r="X114" t="str">
        <f t="shared" si="4"/>
        <v/>
      </c>
    </row>
    <row r="115">
      <c r="A115" s="14" t="s">
        <v>286</v>
      </c>
      <c r="B115" s="14" t="str">
        <f t="shared" si="6"/>
        <v>Senator</v>
      </c>
      <c r="C115" s="31">
        <v>17.0</v>
      </c>
      <c r="D115" s="35" t="s">
        <v>2250</v>
      </c>
      <c r="E115" s="35" t="s">
        <v>10413</v>
      </c>
      <c r="F115" s="51" t="s">
        <v>53</v>
      </c>
      <c r="G115" s="31"/>
      <c r="H115" s="31"/>
      <c r="M115" s="14" t="s">
        <v>10414</v>
      </c>
      <c r="N115" s="656" t="s">
        <v>10415</v>
      </c>
      <c r="U115" t="str">
        <f t="shared" si="2"/>
        <v/>
      </c>
      <c r="V115" s="139" t="str">
        <f t="shared" si="7"/>
        <v/>
      </c>
      <c r="W115" t="str">
        <f t="shared" si="8"/>
        <v/>
      </c>
      <c r="X115" t="str">
        <f t="shared" si="4"/>
        <v/>
      </c>
    </row>
    <row r="116">
      <c r="A116" s="14" t="s">
        <v>286</v>
      </c>
      <c r="B116" s="14" t="str">
        <f t="shared" si="6"/>
        <v>Senator</v>
      </c>
      <c r="C116" s="31">
        <v>18.0</v>
      </c>
      <c r="D116" s="35" t="s">
        <v>45</v>
      </c>
      <c r="E116" s="35" t="s">
        <v>4840</v>
      </c>
      <c r="F116" s="51" t="s">
        <v>53</v>
      </c>
      <c r="G116" s="31"/>
      <c r="H116" s="31"/>
      <c r="M116" s="14" t="s">
        <v>10418</v>
      </c>
      <c r="N116" s="656" t="s">
        <v>10419</v>
      </c>
      <c r="U116" t="str">
        <f t="shared" si="2"/>
        <v/>
      </c>
      <c r="V116" s="139" t="str">
        <f t="shared" si="7"/>
        <v/>
      </c>
      <c r="W116" t="str">
        <f t="shared" si="8"/>
        <v/>
      </c>
      <c r="X116" t="str">
        <f t="shared" si="4"/>
        <v/>
      </c>
    </row>
    <row r="117">
      <c r="A117" s="14" t="s">
        <v>286</v>
      </c>
      <c r="B117" s="14" t="str">
        <f t="shared" si="6"/>
        <v>Senator</v>
      </c>
      <c r="C117" s="31">
        <v>19.0</v>
      </c>
      <c r="D117" s="35" t="s">
        <v>1134</v>
      </c>
      <c r="E117" s="35" t="s">
        <v>10421</v>
      </c>
      <c r="F117" s="51" t="s">
        <v>53</v>
      </c>
      <c r="G117" s="31"/>
      <c r="H117" s="31"/>
      <c r="M117" s="14" t="s">
        <v>10422</v>
      </c>
      <c r="N117" s="656" t="s">
        <v>10423</v>
      </c>
      <c r="U117" t="str">
        <f t="shared" si="2"/>
        <v/>
      </c>
      <c r="V117" s="139" t="str">
        <f t="shared" si="7"/>
        <v/>
      </c>
      <c r="W117" t="str">
        <f t="shared" si="8"/>
        <v/>
      </c>
      <c r="X117" t="str">
        <f t="shared" si="4"/>
        <v/>
      </c>
    </row>
    <row r="118">
      <c r="A118" s="14" t="s">
        <v>286</v>
      </c>
      <c r="B118" s="14" t="str">
        <f t="shared" si="6"/>
        <v>Senator</v>
      </c>
      <c r="C118" s="31">
        <v>20.0</v>
      </c>
      <c r="D118" s="35" t="s">
        <v>10424</v>
      </c>
      <c r="E118" s="35" t="s">
        <v>10425</v>
      </c>
      <c r="F118" s="51" t="s">
        <v>53</v>
      </c>
      <c r="G118" s="31"/>
      <c r="H118" s="164" t="s">
        <v>781</v>
      </c>
      <c r="I118" s="14" t="s">
        <v>2184</v>
      </c>
      <c r="L118" s="14" t="s">
        <v>3029</v>
      </c>
      <c r="M118" s="14" t="s">
        <v>10426</v>
      </c>
      <c r="N118" s="656" t="s">
        <v>10427</v>
      </c>
      <c r="P118" s="14">
        <v>2017.0</v>
      </c>
      <c r="U118" t="str">
        <f t="shared" si="2"/>
        <v/>
      </c>
      <c r="V118" s="139" t="str">
        <f t="shared" si="7"/>
        <v/>
      </c>
      <c r="W118" t="str">
        <f t="shared" si="8"/>
        <v/>
      </c>
      <c r="X118" t="str">
        <f t="shared" si="4"/>
        <v/>
      </c>
    </row>
    <row r="119">
      <c r="A119" s="14" t="s">
        <v>286</v>
      </c>
      <c r="B119" s="14" t="str">
        <f t="shared" si="6"/>
        <v>Senator</v>
      </c>
      <c r="C119" s="661">
        <v>21.0</v>
      </c>
      <c r="D119" s="38" t="s">
        <v>2724</v>
      </c>
      <c r="E119" s="35" t="s">
        <v>4301</v>
      </c>
      <c r="F119" s="100" t="s">
        <v>49</v>
      </c>
      <c r="G119" s="31"/>
      <c r="H119" s="31"/>
      <c r="M119" s="14" t="s">
        <v>10432</v>
      </c>
      <c r="N119" s="656" t="s">
        <v>10433</v>
      </c>
      <c r="U119" t="str">
        <f t="shared" si="2"/>
        <v/>
      </c>
      <c r="V119" s="139" t="str">
        <f t="shared" si="7"/>
        <v/>
      </c>
      <c r="W119" t="str">
        <f t="shared" si="8"/>
        <v/>
      </c>
      <c r="X119" t="str">
        <f t="shared" si="4"/>
        <v/>
      </c>
    </row>
    <row r="120">
      <c r="A120" s="14" t="s">
        <v>286</v>
      </c>
      <c r="B120" s="14" t="str">
        <f t="shared" si="6"/>
        <v>Senator</v>
      </c>
      <c r="C120" s="31">
        <v>22.0</v>
      </c>
      <c r="D120" s="35" t="s">
        <v>199</v>
      </c>
      <c r="E120" s="35" t="s">
        <v>629</v>
      </c>
      <c r="F120" s="51" t="s">
        <v>53</v>
      </c>
      <c r="G120" s="31"/>
      <c r="H120" s="31"/>
      <c r="M120" s="14" t="s">
        <v>10435</v>
      </c>
      <c r="N120" s="656" t="s">
        <v>10436</v>
      </c>
      <c r="U120" t="str">
        <f t="shared" si="2"/>
        <v/>
      </c>
      <c r="V120" s="139" t="str">
        <f t="shared" si="7"/>
        <v/>
      </c>
      <c r="W120" t="str">
        <f t="shared" si="8"/>
        <v/>
      </c>
      <c r="X120" t="str">
        <f t="shared" si="4"/>
        <v/>
      </c>
    </row>
    <row r="121">
      <c r="A121" s="14" t="s">
        <v>286</v>
      </c>
      <c r="B121" s="14" t="str">
        <f t="shared" si="6"/>
        <v>Senator</v>
      </c>
      <c r="C121" s="661">
        <v>23.0</v>
      </c>
      <c r="D121" s="35" t="s">
        <v>2882</v>
      </c>
      <c r="E121" s="35" t="s">
        <v>10443</v>
      </c>
      <c r="F121" s="100" t="s">
        <v>49</v>
      </c>
      <c r="G121" s="164" t="s">
        <v>498</v>
      </c>
      <c r="H121" s="31"/>
      <c r="L121" s="14" t="s">
        <v>10444</v>
      </c>
      <c r="M121" s="14" t="s">
        <v>10445</v>
      </c>
      <c r="N121" s="656" t="s">
        <v>10446</v>
      </c>
      <c r="U121" t="str">
        <f t="shared" si="2"/>
        <v>Senator</v>
      </c>
      <c r="V121" s="139" t="str">
        <f t="shared" si="7"/>
        <v>Joan</v>
      </c>
      <c r="W121" t="str">
        <f t="shared" si="8"/>
        <v>Heckaman</v>
      </c>
      <c r="X121" t="str">
        <f t="shared" si="4"/>
        <v>jheckaman@nd.gov</v>
      </c>
    </row>
    <row r="122">
      <c r="A122" s="14" t="s">
        <v>286</v>
      </c>
      <c r="B122" s="14" t="str">
        <f t="shared" si="6"/>
        <v>Senator</v>
      </c>
      <c r="C122" s="31">
        <v>24.0</v>
      </c>
      <c r="D122" s="35" t="s">
        <v>839</v>
      </c>
      <c r="E122" s="35" t="s">
        <v>3039</v>
      </c>
      <c r="F122" s="100" t="s">
        <v>49</v>
      </c>
      <c r="G122" s="31"/>
      <c r="H122" s="31"/>
      <c r="M122" s="14" t="s">
        <v>10453</v>
      </c>
      <c r="N122" s="656" t="s">
        <v>10454</v>
      </c>
      <c r="U122" t="str">
        <f t="shared" si="2"/>
        <v/>
      </c>
      <c r="V122" s="139" t="str">
        <f t="shared" si="7"/>
        <v/>
      </c>
      <c r="W122" t="str">
        <f t="shared" si="8"/>
        <v/>
      </c>
      <c r="X122" t="str">
        <f t="shared" si="4"/>
        <v/>
      </c>
    </row>
    <row r="123">
      <c r="A123" s="14" t="s">
        <v>286</v>
      </c>
      <c r="B123" s="14" t="str">
        <f t="shared" si="6"/>
        <v>Senator</v>
      </c>
      <c r="C123" s="31">
        <v>25.0</v>
      </c>
      <c r="D123" s="35" t="s">
        <v>839</v>
      </c>
      <c r="E123" s="35" t="s">
        <v>10459</v>
      </c>
      <c r="F123" s="51" t="s">
        <v>53</v>
      </c>
      <c r="G123" s="31"/>
      <c r="H123" s="164" t="s">
        <v>781</v>
      </c>
      <c r="I123" s="14" t="s">
        <v>2226</v>
      </c>
      <c r="M123" s="14" t="s">
        <v>10461</v>
      </c>
      <c r="N123" s="656" t="s">
        <v>10462</v>
      </c>
      <c r="P123" s="14">
        <v>2011.0</v>
      </c>
      <c r="U123" t="str">
        <f t="shared" si="2"/>
        <v>Senator</v>
      </c>
      <c r="V123" s="139" t="str">
        <f t="shared" si="7"/>
        <v>Larry</v>
      </c>
      <c r="W123" t="str">
        <f t="shared" si="8"/>
        <v>Luick</v>
      </c>
      <c r="X123" t="str">
        <f t="shared" si="4"/>
        <v>lluick@nd.gov</v>
      </c>
    </row>
    <row r="124">
      <c r="A124" s="14" t="s">
        <v>286</v>
      </c>
      <c r="B124" s="14" t="str">
        <f t="shared" si="6"/>
        <v>Senator</v>
      </c>
      <c r="C124" s="31">
        <v>26.0</v>
      </c>
      <c r="D124" s="35" t="s">
        <v>476</v>
      </c>
      <c r="E124" s="35" t="s">
        <v>10469</v>
      </c>
      <c r="F124" s="100" t="s">
        <v>49</v>
      </c>
      <c r="G124" s="31"/>
      <c r="H124" s="31"/>
      <c r="M124" s="14" t="s">
        <v>10470</v>
      </c>
      <c r="N124" s="656" t="s">
        <v>10471</v>
      </c>
      <c r="U124" t="str">
        <f t="shared" si="2"/>
        <v/>
      </c>
      <c r="V124" s="139" t="str">
        <f t="shared" si="7"/>
        <v/>
      </c>
      <c r="W124" t="str">
        <f t="shared" si="8"/>
        <v/>
      </c>
      <c r="X124" t="str">
        <f t="shared" si="4"/>
        <v/>
      </c>
    </row>
    <row r="125">
      <c r="A125" s="14" t="s">
        <v>286</v>
      </c>
      <c r="B125" s="14" t="str">
        <f t="shared" si="6"/>
        <v>Senator</v>
      </c>
      <c r="C125" s="31">
        <v>27.0</v>
      </c>
      <c r="D125" s="35" t="s">
        <v>3074</v>
      </c>
      <c r="E125" s="35" t="s">
        <v>10473</v>
      </c>
      <c r="F125" s="51" t="s">
        <v>53</v>
      </c>
      <c r="G125" s="31"/>
      <c r="H125" s="164" t="s">
        <v>3561</v>
      </c>
      <c r="I125" s="14" t="s">
        <v>10474</v>
      </c>
      <c r="M125" s="14" t="s">
        <v>10475</v>
      </c>
      <c r="N125" s="656" t="s">
        <v>10476</v>
      </c>
      <c r="U125" t="str">
        <f t="shared" si="2"/>
        <v/>
      </c>
      <c r="V125" s="139" t="str">
        <f t="shared" si="7"/>
        <v/>
      </c>
      <c r="W125" t="str">
        <f t="shared" si="8"/>
        <v/>
      </c>
      <c r="X125" t="str">
        <f t="shared" si="4"/>
        <v/>
      </c>
    </row>
    <row r="126">
      <c r="A126" s="14" t="s">
        <v>286</v>
      </c>
      <c r="B126" s="14" t="str">
        <f t="shared" si="6"/>
        <v>Senator</v>
      </c>
      <c r="C126" s="31">
        <v>28.0</v>
      </c>
      <c r="D126" s="35" t="s">
        <v>1134</v>
      </c>
      <c r="E126" s="35" t="s">
        <v>10479</v>
      </c>
      <c r="F126" s="51" t="s">
        <v>53</v>
      </c>
      <c r="G126" s="31"/>
      <c r="H126" s="164" t="s">
        <v>626</v>
      </c>
      <c r="M126" s="14" t="s">
        <v>10480</v>
      </c>
      <c r="N126" s="656" t="s">
        <v>10481</v>
      </c>
      <c r="U126" t="str">
        <f t="shared" si="2"/>
        <v/>
      </c>
      <c r="V126" s="139" t="str">
        <f t="shared" si="7"/>
        <v/>
      </c>
      <c r="W126" t="str">
        <f t="shared" si="8"/>
        <v/>
      </c>
      <c r="X126" t="str">
        <f t="shared" si="4"/>
        <v/>
      </c>
    </row>
    <row r="127">
      <c r="A127" s="14" t="s">
        <v>286</v>
      </c>
      <c r="B127" s="14" t="str">
        <f t="shared" si="6"/>
        <v>Senator</v>
      </c>
      <c r="C127" s="31">
        <v>29.0</v>
      </c>
      <c r="D127" s="35" t="s">
        <v>1990</v>
      </c>
      <c r="E127" s="35" t="s">
        <v>10486</v>
      </c>
      <c r="F127" s="51" t="s">
        <v>53</v>
      </c>
      <c r="G127" s="31"/>
      <c r="H127" s="164" t="s">
        <v>10242</v>
      </c>
      <c r="M127" s="14" t="s">
        <v>10487</v>
      </c>
      <c r="N127" s="656" t="s">
        <v>10488</v>
      </c>
      <c r="U127" t="str">
        <f t="shared" si="2"/>
        <v>Senator</v>
      </c>
      <c r="V127" s="139" t="str">
        <f t="shared" si="7"/>
        <v>Terry</v>
      </c>
      <c r="W127" t="str">
        <f t="shared" si="8"/>
        <v>Wanzek</v>
      </c>
      <c r="X127" t="str">
        <f t="shared" si="4"/>
        <v>tmwanzek@nd.gov</v>
      </c>
    </row>
    <row r="128">
      <c r="A128" s="14" t="s">
        <v>286</v>
      </c>
      <c r="B128" s="14" t="str">
        <f t="shared" si="6"/>
        <v>Senator</v>
      </c>
      <c r="C128" s="31">
        <v>30.0</v>
      </c>
      <c r="D128" s="35" t="s">
        <v>5233</v>
      </c>
      <c r="E128" s="38" t="s">
        <v>1780</v>
      </c>
      <c r="F128" s="51" t="s">
        <v>53</v>
      </c>
      <c r="G128" s="31"/>
      <c r="H128" s="164" t="s">
        <v>877</v>
      </c>
      <c r="I128" s="14" t="s">
        <v>10489</v>
      </c>
      <c r="M128" s="657" t="s">
        <v>10490</v>
      </c>
      <c r="N128" s="656" t="s">
        <v>10491</v>
      </c>
      <c r="P128" s="14">
        <v>2013.0</v>
      </c>
      <c r="U128" t="str">
        <f t="shared" si="2"/>
        <v>Senator</v>
      </c>
      <c r="V128" s="139" t="str">
        <f t="shared" si="7"/>
        <v>Diane</v>
      </c>
      <c r="W128" t="str">
        <f t="shared" si="8"/>
        <v>Larson</v>
      </c>
      <c r="X128" t="str">
        <f t="shared" si="4"/>
        <v>dklarson@nd.gov</v>
      </c>
    </row>
    <row r="129">
      <c r="A129" s="14" t="s">
        <v>286</v>
      </c>
      <c r="B129" s="14" t="str">
        <f t="shared" si="6"/>
        <v>Senator</v>
      </c>
      <c r="C129" s="31">
        <v>31.0</v>
      </c>
      <c r="D129" s="35" t="s">
        <v>2139</v>
      </c>
      <c r="E129" s="35" t="s">
        <v>10496</v>
      </c>
      <c r="F129" s="51" t="s">
        <v>53</v>
      </c>
      <c r="G129" s="31"/>
      <c r="H129" s="31"/>
      <c r="M129" s="14" t="s">
        <v>10498</v>
      </c>
      <c r="N129" s="656" t="s">
        <v>10499</v>
      </c>
      <c r="U129" t="str">
        <f t="shared" si="2"/>
        <v/>
      </c>
      <c r="V129" s="139" t="str">
        <f t="shared" si="7"/>
        <v/>
      </c>
      <c r="W129" t="str">
        <f t="shared" si="8"/>
        <v/>
      </c>
      <c r="X129" t="str">
        <f t="shared" si="4"/>
        <v/>
      </c>
    </row>
    <row r="130">
      <c r="A130" s="14" t="s">
        <v>286</v>
      </c>
      <c r="B130" s="14" t="str">
        <f t="shared" si="6"/>
        <v>Senator</v>
      </c>
      <c r="C130" s="31">
        <v>32.0</v>
      </c>
      <c r="D130" s="35" t="s">
        <v>4711</v>
      </c>
      <c r="E130" s="35" t="s">
        <v>10410</v>
      </c>
      <c r="F130" s="51" t="s">
        <v>53</v>
      </c>
      <c r="G130" s="31"/>
      <c r="H130" s="31"/>
      <c r="M130" s="14" t="s">
        <v>10502</v>
      </c>
      <c r="N130" s="656" t="s">
        <v>10503</v>
      </c>
      <c r="U130" t="str">
        <f t="shared" si="2"/>
        <v/>
      </c>
      <c r="V130" s="139" t="str">
        <f t="shared" si="7"/>
        <v/>
      </c>
      <c r="W130" t="str">
        <f t="shared" si="8"/>
        <v/>
      </c>
      <c r="X130" t="str">
        <f t="shared" si="4"/>
        <v/>
      </c>
    </row>
    <row r="131">
      <c r="A131" s="14" t="s">
        <v>286</v>
      </c>
      <c r="B131" s="14" t="str">
        <f t="shared" si="6"/>
        <v>Senator</v>
      </c>
      <c r="C131" s="31">
        <v>33.0</v>
      </c>
      <c r="D131" s="35" t="s">
        <v>6166</v>
      </c>
      <c r="E131" s="35" t="s">
        <v>10506</v>
      </c>
      <c r="F131" s="51" t="s">
        <v>53</v>
      </c>
      <c r="G131" s="31"/>
      <c r="H131" s="31"/>
      <c r="M131" s="14" t="s">
        <v>10507</v>
      </c>
      <c r="N131" s="656" t="s">
        <v>10508</v>
      </c>
      <c r="U131" t="str">
        <f t="shared" si="2"/>
        <v/>
      </c>
      <c r="V131" s="139" t="str">
        <f t="shared" si="7"/>
        <v/>
      </c>
      <c r="W131" t="str">
        <f t="shared" si="8"/>
        <v/>
      </c>
      <c r="X131" t="str">
        <f t="shared" si="4"/>
        <v/>
      </c>
    </row>
    <row r="132">
      <c r="A132" s="14" t="s">
        <v>286</v>
      </c>
      <c r="B132" s="14" t="str">
        <f t="shared" si="6"/>
        <v>Senator</v>
      </c>
      <c r="C132" s="31">
        <v>34.0</v>
      </c>
      <c r="D132" s="35" t="s">
        <v>1402</v>
      </c>
      <c r="E132" s="35" t="s">
        <v>731</v>
      </c>
      <c r="F132" s="51" t="s">
        <v>53</v>
      </c>
      <c r="G132" s="31"/>
      <c r="H132" s="31"/>
      <c r="M132" s="14" t="s">
        <v>10514</v>
      </c>
      <c r="N132" s="656" t="s">
        <v>10515</v>
      </c>
      <c r="U132" t="str">
        <f t="shared" si="2"/>
        <v/>
      </c>
      <c r="V132" s="139" t="str">
        <f t="shared" si="7"/>
        <v/>
      </c>
      <c r="W132" t="str">
        <f t="shared" si="8"/>
        <v/>
      </c>
      <c r="X132" t="str">
        <f t="shared" si="4"/>
        <v/>
      </c>
    </row>
    <row r="133">
      <c r="A133" s="14" t="s">
        <v>286</v>
      </c>
      <c r="B133" s="14" t="str">
        <f t="shared" si="6"/>
        <v>Senator</v>
      </c>
      <c r="C133" s="661">
        <v>35.0</v>
      </c>
      <c r="D133" s="35" t="s">
        <v>2994</v>
      </c>
      <c r="E133" s="35" t="s">
        <v>10522</v>
      </c>
      <c r="F133" s="100" t="s">
        <v>49</v>
      </c>
      <c r="G133" s="164" t="s">
        <v>10025</v>
      </c>
      <c r="H133" s="31"/>
      <c r="L133" s="14" t="s">
        <v>3029</v>
      </c>
      <c r="M133" s="14" t="s">
        <v>10523</v>
      </c>
      <c r="N133" s="656" t="s">
        <v>10524</v>
      </c>
      <c r="O133" s="12" t="s">
        <v>10525</v>
      </c>
      <c r="U133" t="str">
        <f t="shared" si="2"/>
        <v>Senator</v>
      </c>
      <c r="V133" s="139" t="str">
        <f t="shared" si="7"/>
        <v>Erin</v>
      </c>
      <c r="W133" t="str">
        <f t="shared" si="8"/>
        <v>Oban</v>
      </c>
      <c r="X133" t="str">
        <f t="shared" si="4"/>
        <v>eoban@nd.gov</v>
      </c>
    </row>
    <row r="134">
      <c r="A134" s="14" t="s">
        <v>286</v>
      </c>
      <c r="B134" s="14" t="str">
        <f t="shared" si="6"/>
        <v>Senator</v>
      </c>
      <c r="C134" s="31">
        <v>36.0</v>
      </c>
      <c r="D134" s="35" t="s">
        <v>130</v>
      </c>
      <c r="E134" s="35" t="s">
        <v>3929</v>
      </c>
      <c r="F134" s="51" t="s">
        <v>53</v>
      </c>
      <c r="G134" s="31"/>
      <c r="H134" s="31"/>
      <c r="M134" s="662" t="s">
        <v>10529</v>
      </c>
      <c r="N134" s="656" t="s">
        <v>10532</v>
      </c>
      <c r="U134" t="str">
        <f t="shared" si="2"/>
        <v/>
      </c>
      <c r="V134" s="139" t="str">
        <f t="shared" si="7"/>
        <v/>
      </c>
      <c r="W134" t="str">
        <f t="shared" si="8"/>
        <v/>
      </c>
      <c r="X134" t="str">
        <f t="shared" si="4"/>
        <v/>
      </c>
    </row>
    <row r="135">
      <c r="A135" s="14" t="s">
        <v>286</v>
      </c>
      <c r="B135" s="14" t="str">
        <f t="shared" si="6"/>
        <v>Senator</v>
      </c>
      <c r="C135" s="31">
        <v>37.0</v>
      </c>
      <c r="D135" s="35" t="s">
        <v>345</v>
      </c>
      <c r="E135" s="35" t="s">
        <v>10538</v>
      </c>
      <c r="F135" s="51" t="s">
        <v>53</v>
      </c>
      <c r="G135" s="164" t="s">
        <v>176</v>
      </c>
      <c r="H135" s="31"/>
      <c r="M135" s="14" t="s">
        <v>10539</v>
      </c>
      <c r="N135" s="656" t="s">
        <v>10540</v>
      </c>
      <c r="U135" t="str">
        <f t="shared" si="2"/>
        <v>Senator</v>
      </c>
      <c r="V135" s="139" t="str">
        <f t="shared" si="7"/>
        <v>Rich</v>
      </c>
      <c r="W135" t="str">
        <f t="shared" si="8"/>
        <v>Wardner</v>
      </c>
      <c r="X135" t="str">
        <f t="shared" si="4"/>
        <v>rwardner@nd.gov</v>
      </c>
    </row>
    <row r="136">
      <c r="A136" s="14" t="s">
        <v>286</v>
      </c>
      <c r="B136" s="14" t="str">
        <f t="shared" si="6"/>
        <v>Senator</v>
      </c>
      <c r="C136" s="31">
        <v>38.0</v>
      </c>
      <c r="D136" s="35" t="s">
        <v>108</v>
      </c>
      <c r="E136" s="35" t="s">
        <v>10542</v>
      </c>
      <c r="F136" s="51" t="s">
        <v>53</v>
      </c>
      <c r="G136" s="164" t="s">
        <v>903</v>
      </c>
      <c r="H136" s="164" t="s">
        <v>626</v>
      </c>
      <c r="I136" s="14" t="s">
        <v>780</v>
      </c>
      <c r="M136" s="657" t="s">
        <v>10543</v>
      </c>
      <c r="N136" s="656" t="s">
        <v>10544</v>
      </c>
      <c r="U136" t="str">
        <f t="shared" si="2"/>
        <v>Senator</v>
      </c>
      <c r="V136" s="139" t="str">
        <f t="shared" si="7"/>
        <v>David</v>
      </c>
      <c r="W136" t="str">
        <f t="shared" si="8"/>
        <v>Hogue</v>
      </c>
      <c r="X136" t="str">
        <f t="shared" si="4"/>
        <v>dhogue@nd.gov</v>
      </c>
    </row>
    <row r="137">
      <c r="A137" s="14" t="s">
        <v>286</v>
      </c>
      <c r="B137" s="14" t="str">
        <f t="shared" si="6"/>
        <v>Senator</v>
      </c>
      <c r="C137" s="31">
        <v>39.0</v>
      </c>
      <c r="D137" s="35" t="s">
        <v>3296</v>
      </c>
      <c r="E137" s="35" t="s">
        <v>10546</v>
      </c>
      <c r="F137" s="51" t="s">
        <v>53</v>
      </c>
      <c r="G137" s="31"/>
      <c r="H137" s="31"/>
      <c r="M137" s="14" t="s">
        <v>10548</v>
      </c>
      <c r="N137" s="656" t="s">
        <v>10549</v>
      </c>
      <c r="U137" t="str">
        <f t="shared" si="2"/>
        <v/>
      </c>
      <c r="V137" s="139" t="str">
        <f t="shared" si="7"/>
        <v/>
      </c>
      <c r="W137" t="str">
        <f t="shared" si="8"/>
        <v/>
      </c>
      <c r="X137" t="str">
        <f t="shared" si="4"/>
        <v/>
      </c>
    </row>
    <row r="138">
      <c r="A138" s="14" t="s">
        <v>286</v>
      </c>
      <c r="B138" s="14" t="str">
        <f t="shared" si="6"/>
        <v>Senator</v>
      </c>
      <c r="C138" s="31">
        <v>40.0</v>
      </c>
      <c r="D138" s="35" t="s">
        <v>1153</v>
      </c>
      <c r="E138" s="35" t="s">
        <v>10553</v>
      </c>
      <c r="F138" s="51" t="s">
        <v>53</v>
      </c>
      <c r="G138" s="31"/>
      <c r="H138" s="31"/>
      <c r="M138" s="14" t="s">
        <v>10554</v>
      </c>
      <c r="N138" s="656" t="s">
        <v>10556</v>
      </c>
      <c r="U138" t="str">
        <f t="shared" si="2"/>
        <v/>
      </c>
      <c r="V138" s="139" t="str">
        <f t="shared" si="7"/>
        <v/>
      </c>
      <c r="W138" t="str">
        <f t="shared" si="8"/>
        <v/>
      </c>
      <c r="X138" t="str">
        <f t="shared" si="4"/>
        <v/>
      </c>
    </row>
    <row r="139">
      <c r="A139" s="14" t="s">
        <v>286</v>
      </c>
      <c r="B139" s="14" t="str">
        <f t="shared" si="6"/>
        <v>Senator</v>
      </c>
      <c r="C139" s="31">
        <v>41.0</v>
      </c>
      <c r="D139" s="35" t="s">
        <v>257</v>
      </c>
      <c r="E139" s="35" t="s">
        <v>10558</v>
      </c>
      <c r="F139" s="51" t="s">
        <v>53</v>
      </c>
      <c r="G139" s="31"/>
      <c r="H139" s="31"/>
      <c r="M139" s="14" t="s">
        <v>10559</v>
      </c>
      <c r="N139" s="656" t="s">
        <v>10560</v>
      </c>
      <c r="U139" t="str">
        <f t="shared" si="2"/>
        <v/>
      </c>
      <c r="V139" s="139" t="str">
        <f t="shared" si="7"/>
        <v/>
      </c>
      <c r="W139" t="str">
        <f t="shared" si="8"/>
        <v/>
      </c>
      <c r="X139" t="str">
        <f t="shared" si="4"/>
        <v/>
      </c>
    </row>
    <row r="140">
      <c r="A140" s="14" t="s">
        <v>286</v>
      </c>
      <c r="B140" s="14" t="str">
        <f t="shared" si="6"/>
        <v>Senator</v>
      </c>
      <c r="C140" s="31">
        <v>42.0</v>
      </c>
      <c r="D140" s="35" t="s">
        <v>4657</v>
      </c>
      <c r="E140" s="35" t="s">
        <v>10562</v>
      </c>
      <c r="F140" s="51" t="s">
        <v>53</v>
      </c>
      <c r="G140" s="31"/>
      <c r="H140" s="31"/>
      <c r="M140" s="14" t="s">
        <v>10563</v>
      </c>
      <c r="N140" s="656" t="s">
        <v>10564</v>
      </c>
      <c r="U140" t="str">
        <f t="shared" si="2"/>
        <v/>
      </c>
      <c r="V140" s="139" t="str">
        <f t="shared" si="7"/>
        <v/>
      </c>
      <c r="W140" t="str">
        <f t="shared" si="8"/>
        <v/>
      </c>
      <c r="X140" t="str">
        <f t="shared" si="4"/>
        <v/>
      </c>
    </row>
    <row r="141">
      <c r="A141" s="14" t="s">
        <v>286</v>
      </c>
      <c r="B141" s="14" t="str">
        <f t="shared" si="6"/>
        <v>Senator</v>
      </c>
      <c r="C141" s="31">
        <v>43.0</v>
      </c>
      <c r="D141" s="35" t="s">
        <v>10567</v>
      </c>
      <c r="E141" s="35" t="s">
        <v>10568</v>
      </c>
      <c r="F141" s="100" t="s">
        <v>49</v>
      </c>
      <c r="G141" s="31"/>
      <c r="H141" s="164" t="s">
        <v>781</v>
      </c>
      <c r="I141" s="14" t="s">
        <v>578</v>
      </c>
      <c r="L141" s="14" t="s">
        <v>3029</v>
      </c>
      <c r="M141" s="657" t="s">
        <v>10569</v>
      </c>
      <c r="N141" s="656" t="s">
        <v>10570</v>
      </c>
      <c r="U141" t="str">
        <f t="shared" si="2"/>
        <v/>
      </c>
      <c r="V141" s="139" t="str">
        <f t="shared" si="7"/>
        <v/>
      </c>
      <c r="W141" t="str">
        <f t="shared" si="8"/>
        <v/>
      </c>
      <c r="X141" t="str">
        <f t="shared" si="4"/>
        <v/>
      </c>
    </row>
    <row r="142">
      <c r="A142" s="14" t="s">
        <v>286</v>
      </c>
      <c r="B142" s="14" t="str">
        <f t="shared" si="6"/>
        <v>Senator</v>
      </c>
      <c r="C142" s="31">
        <v>44.0</v>
      </c>
      <c r="D142" s="35" t="s">
        <v>10571</v>
      </c>
      <c r="E142" s="35" t="s">
        <v>10572</v>
      </c>
      <c r="F142" s="100" t="s">
        <v>49</v>
      </c>
      <c r="G142" s="31"/>
      <c r="H142" s="31"/>
      <c r="M142" s="14" t="s">
        <v>10573</v>
      </c>
      <c r="N142" s="656" t="s">
        <v>10574</v>
      </c>
      <c r="U142" t="str">
        <f t="shared" si="2"/>
        <v/>
      </c>
      <c r="V142" s="139" t="str">
        <f t="shared" si="7"/>
        <v/>
      </c>
      <c r="W142" t="str">
        <f t="shared" si="8"/>
        <v/>
      </c>
      <c r="X142" t="str">
        <f t="shared" si="4"/>
        <v/>
      </c>
    </row>
    <row r="143">
      <c r="A143" s="14" t="s">
        <v>286</v>
      </c>
      <c r="B143" s="14" t="str">
        <f t="shared" si="6"/>
        <v>Senator</v>
      </c>
      <c r="C143" s="31">
        <v>45.0</v>
      </c>
      <c r="D143" s="35" t="s">
        <v>393</v>
      </c>
      <c r="E143" s="35" t="s">
        <v>10576</v>
      </c>
      <c r="F143" s="51" t="s">
        <v>53</v>
      </c>
      <c r="G143" s="31"/>
      <c r="H143" s="31"/>
      <c r="M143" s="14" t="s">
        <v>10577</v>
      </c>
      <c r="N143" s="656" t="s">
        <v>10578</v>
      </c>
      <c r="U143" t="str">
        <f t="shared" si="2"/>
        <v/>
      </c>
      <c r="V143" s="139" t="str">
        <f t="shared" si="7"/>
        <v/>
      </c>
      <c r="W143" t="str">
        <f t="shared" si="8"/>
        <v/>
      </c>
      <c r="X143" t="str">
        <f t="shared" si="4"/>
        <v/>
      </c>
    </row>
    <row r="144">
      <c r="A144" s="14" t="s">
        <v>286</v>
      </c>
      <c r="B144" s="14" t="str">
        <f t="shared" si="6"/>
        <v>Senator</v>
      </c>
      <c r="C144" s="31">
        <v>46.0</v>
      </c>
      <c r="D144" s="35" t="s">
        <v>476</v>
      </c>
      <c r="E144" s="35" t="s">
        <v>10473</v>
      </c>
      <c r="F144" s="51" t="s">
        <v>53</v>
      </c>
      <c r="G144" s="31"/>
      <c r="H144" s="31"/>
      <c r="M144" s="14" t="s">
        <v>10580</v>
      </c>
      <c r="N144" s="656" t="s">
        <v>10581</v>
      </c>
      <c r="U144" t="str">
        <f t="shared" si="2"/>
        <v/>
      </c>
      <c r="V144" s="139" t="str">
        <f t="shared" si="7"/>
        <v/>
      </c>
      <c r="W144" t="str">
        <f t="shared" si="8"/>
        <v/>
      </c>
      <c r="X144" t="str">
        <f t="shared" si="4"/>
        <v/>
      </c>
    </row>
    <row r="145">
      <c r="A145" s="14" t="s">
        <v>286</v>
      </c>
      <c r="B145" s="14" t="str">
        <f t="shared" si="6"/>
        <v>Senator</v>
      </c>
      <c r="C145" s="31">
        <v>47.0</v>
      </c>
      <c r="D145" s="35" t="s">
        <v>157</v>
      </c>
      <c r="E145" s="35" t="s">
        <v>6913</v>
      </c>
      <c r="F145" s="51" t="s">
        <v>53</v>
      </c>
      <c r="G145" s="31"/>
      <c r="H145" s="164" t="s">
        <v>517</v>
      </c>
      <c r="M145" s="657" t="s">
        <v>10582</v>
      </c>
      <c r="N145" s="656" t="s">
        <v>10583</v>
      </c>
      <c r="P145" s="14">
        <v>2019.0</v>
      </c>
      <c r="U145" t="str">
        <f t="shared" si="2"/>
        <v>Senator</v>
      </c>
      <c r="V145" s="139" t="str">
        <f t="shared" si="7"/>
        <v>Mike</v>
      </c>
      <c r="W145" t="str">
        <f t="shared" si="8"/>
        <v>Dwyer</v>
      </c>
      <c r="X145" t="str">
        <f t="shared" si="4"/>
        <v>madwyer@nd.gov</v>
      </c>
    </row>
    <row r="146">
      <c r="A146" s="70"/>
      <c r="B146" s="70"/>
      <c r="C146" s="302"/>
      <c r="D146" s="71"/>
      <c r="E146" s="71"/>
      <c r="F146" s="70"/>
      <c r="G146" s="70"/>
      <c r="H146" s="70"/>
      <c r="I146" s="70"/>
      <c r="J146" s="70"/>
      <c r="K146" s="70"/>
      <c r="L146" s="70"/>
      <c r="M146" s="70"/>
      <c r="N146" s="70"/>
      <c r="O146" s="70"/>
      <c r="P146" s="70"/>
      <c r="Q146" s="70"/>
      <c r="R146" s="70"/>
      <c r="S146" s="70"/>
      <c r="T146" s="70"/>
      <c r="U146" s="70"/>
      <c r="V146" s="71"/>
      <c r="W146" s="70"/>
      <c r="X146" s="70"/>
      <c r="Y146" s="70"/>
      <c r="Z146" s="70"/>
      <c r="AA146" s="70"/>
      <c r="AB146" s="70"/>
      <c r="AC146" s="70"/>
      <c r="AD146" s="70"/>
      <c r="AE146" s="70"/>
      <c r="AF146" s="70"/>
      <c r="AG146" s="70"/>
      <c r="AH146" s="70"/>
      <c r="AI146" s="70"/>
    </row>
    <row r="147">
      <c r="A147" s="14" t="s">
        <v>421</v>
      </c>
      <c r="B147" s="14"/>
      <c r="D147" s="77" t="s">
        <v>1146</v>
      </c>
      <c r="E147" s="77" t="s">
        <v>10586</v>
      </c>
      <c r="F147" s="51" t="s">
        <v>53</v>
      </c>
      <c r="V147" s="139"/>
    </row>
    <row r="148">
      <c r="A148" s="70"/>
      <c r="B148" s="70"/>
      <c r="C148" s="70"/>
      <c r="D148" s="71"/>
      <c r="E148" s="71"/>
      <c r="F148" s="70"/>
      <c r="G148" s="70"/>
      <c r="H148" s="70"/>
      <c r="I148" s="70"/>
      <c r="J148" s="70"/>
      <c r="K148" s="70"/>
      <c r="L148" s="70"/>
      <c r="M148" s="70"/>
      <c r="N148" s="70"/>
      <c r="O148" s="70"/>
      <c r="P148" s="70"/>
      <c r="Q148" s="70"/>
      <c r="R148" s="70"/>
      <c r="S148" s="70"/>
      <c r="T148" s="70"/>
      <c r="U148" s="70"/>
      <c r="V148" s="71"/>
      <c r="W148" s="70"/>
      <c r="X148" s="70"/>
      <c r="Y148" s="70"/>
      <c r="Z148" s="70"/>
      <c r="AA148" s="70"/>
      <c r="AB148" s="70"/>
      <c r="AC148" s="70"/>
      <c r="AD148" s="70"/>
      <c r="AE148" s="70"/>
      <c r="AF148" s="70"/>
      <c r="AG148" s="70"/>
      <c r="AH148" s="70"/>
      <c r="AI148" s="70"/>
    </row>
    <row r="149">
      <c r="A149" s="14" t="s">
        <v>427</v>
      </c>
      <c r="B149" s="14"/>
      <c r="C149" s="14">
        <v>1.0</v>
      </c>
      <c r="D149" s="77" t="s">
        <v>130</v>
      </c>
      <c r="E149" s="77" t="s">
        <v>3929</v>
      </c>
      <c r="F149" s="51" t="s">
        <v>53</v>
      </c>
      <c r="V149" s="139"/>
    </row>
    <row r="150">
      <c r="A150" s="70"/>
      <c r="B150" s="70"/>
      <c r="C150" s="70"/>
      <c r="D150" s="71"/>
      <c r="E150" s="71"/>
      <c r="F150" s="70"/>
      <c r="G150" s="70"/>
      <c r="H150" s="70"/>
      <c r="I150" s="70"/>
      <c r="J150" s="70"/>
      <c r="K150" s="70"/>
      <c r="L150" s="70"/>
      <c r="M150" s="70"/>
      <c r="N150" s="70"/>
      <c r="O150" s="70"/>
      <c r="P150" s="70"/>
      <c r="Q150" s="70"/>
      <c r="R150" s="70"/>
      <c r="S150" s="70"/>
      <c r="T150" s="70"/>
      <c r="U150" s="70"/>
      <c r="V150" s="71"/>
      <c r="W150" s="70"/>
      <c r="X150" s="70"/>
      <c r="Y150" s="70"/>
      <c r="Z150" s="70"/>
      <c r="AA150" s="70"/>
      <c r="AB150" s="70"/>
      <c r="AC150" s="70"/>
      <c r="AD150" s="70"/>
      <c r="AE150" s="70"/>
      <c r="AF150" s="70"/>
      <c r="AG150" s="70"/>
      <c r="AH150" s="70"/>
      <c r="AI150" s="70"/>
    </row>
    <row r="151">
      <c r="A151" s="14" t="s">
        <v>430</v>
      </c>
      <c r="B151" s="14"/>
      <c r="C151" s="14" t="s">
        <v>431</v>
      </c>
      <c r="D151" s="77" t="s">
        <v>278</v>
      </c>
      <c r="E151" s="77" t="s">
        <v>10588</v>
      </c>
      <c r="F151" s="51" t="s">
        <v>53</v>
      </c>
      <c r="V151" s="139"/>
    </row>
    <row r="152">
      <c r="A152" s="14" t="s">
        <v>430</v>
      </c>
      <c r="B152" s="14"/>
      <c r="C152" s="14" t="s">
        <v>434</v>
      </c>
      <c r="D152" s="77" t="s">
        <v>971</v>
      </c>
      <c r="E152" s="77" t="s">
        <v>10589</v>
      </c>
      <c r="F152" s="51" t="s">
        <v>53</v>
      </c>
      <c r="V152" s="139"/>
    </row>
    <row r="153">
      <c r="A153" s="70"/>
      <c r="B153" s="70"/>
      <c r="C153" s="70"/>
      <c r="D153" s="71"/>
      <c r="E153" s="71"/>
      <c r="F153" s="70"/>
      <c r="G153" s="70"/>
      <c r="H153" s="70"/>
      <c r="I153" s="70"/>
      <c r="J153" s="70"/>
      <c r="K153" s="70"/>
      <c r="L153" s="70"/>
      <c r="M153" s="70"/>
      <c r="N153" s="70"/>
      <c r="O153" s="70"/>
      <c r="P153" s="70"/>
      <c r="Q153" s="70"/>
      <c r="R153" s="70"/>
      <c r="S153" s="70"/>
      <c r="T153" s="70"/>
      <c r="U153" s="70"/>
      <c r="V153" s="71"/>
      <c r="W153" s="70"/>
      <c r="X153" s="70"/>
      <c r="Y153" s="70"/>
      <c r="Z153" s="70"/>
      <c r="AA153" s="70"/>
      <c r="AB153" s="70"/>
      <c r="AC153" s="70"/>
      <c r="AD153" s="70"/>
      <c r="AE153" s="70"/>
      <c r="AF153" s="70"/>
      <c r="AG153" s="70"/>
      <c r="AH153" s="70"/>
      <c r="AI153" s="70"/>
    </row>
    <row r="154">
      <c r="A154" s="14" t="s">
        <v>438</v>
      </c>
      <c r="B154" s="14"/>
      <c r="D154" s="77" t="s">
        <v>6418</v>
      </c>
      <c r="E154" s="77" t="s">
        <v>10590</v>
      </c>
      <c r="F154" s="51" t="s">
        <v>53</v>
      </c>
      <c r="V154" s="139"/>
    </row>
    <row r="155">
      <c r="A155" s="70"/>
      <c r="B155" s="70"/>
      <c r="C155" s="70"/>
      <c r="D155" s="71"/>
      <c r="E155" s="71"/>
      <c r="F155" s="70"/>
      <c r="G155" s="70"/>
      <c r="H155" s="70"/>
      <c r="I155" s="70"/>
      <c r="J155" s="70"/>
      <c r="K155" s="70"/>
      <c r="L155" s="70"/>
      <c r="M155" s="70"/>
      <c r="N155" s="70"/>
      <c r="O155" s="70"/>
      <c r="P155" s="70"/>
      <c r="Q155" s="70"/>
      <c r="R155" s="70"/>
      <c r="S155" s="70"/>
      <c r="T155" s="70"/>
      <c r="U155" s="70"/>
      <c r="V155" s="71"/>
      <c r="W155" s="70"/>
      <c r="X155" s="70"/>
      <c r="Y155" s="70"/>
      <c r="Z155" s="70"/>
      <c r="AA155" s="70"/>
      <c r="AB155" s="70"/>
      <c r="AC155" s="70"/>
      <c r="AD155" s="70"/>
      <c r="AE155" s="70"/>
      <c r="AF155" s="70"/>
      <c r="AG155" s="70"/>
      <c r="AH155" s="70"/>
      <c r="AI155" s="70"/>
    </row>
    <row r="156">
      <c r="D156" s="139"/>
      <c r="E156" s="139"/>
      <c r="V156" s="139"/>
    </row>
    <row r="157">
      <c r="D157" s="139"/>
      <c r="E157" s="139"/>
      <c r="V157" s="139"/>
    </row>
    <row r="158">
      <c r="D158" s="139"/>
      <c r="E158" s="139"/>
      <c r="V158" s="139"/>
    </row>
    <row r="159">
      <c r="D159" s="139"/>
      <c r="E159" s="139"/>
      <c r="V159" s="139"/>
    </row>
    <row r="160">
      <c r="D160" s="139"/>
      <c r="E160" s="139"/>
      <c r="V160" s="139"/>
    </row>
    <row r="161">
      <c r="D161" s="139"/>
      <c r="E161" s="139"/>
      <c r="V161" s="139"/>
    </row>
    <row r="162">
      <c r="D162" s="139"/>
      <c r="E162" s="139"/>
      <c r="V162" s="139"/>
    </row>
    <row r="163">
      <c r="D163" s="139"/>
      <c r="E163" s="139"/>
      <c r="V163" s="139"/>
    </row>
    <row r="164">
      <c r="D164" s="139"/>
      <c r="E164" s="139"/>
      <c r="V164" s="139"/>
    </row>
    <row r="165">
      <c r="D165" s="139"/>
      <c r="E165" s="139"/>
      <c r="V165" s="139"/>
    </row>
    <row r="166">
      <c r="D166" s="139"/>
      <c r="E166" s="139"/>
      <c r="V166" s="139"/>
    </row>
    <row r="167">
      <c r="D167" s="139"/>
      <c r="E167" s="139"/>
      <c r="V167" s="139"/>
    </row>
    <row r="168">
      <c r="D168" s="139"/>
      <c r="E168" s="139"/>
      <c r="V168" s="139"/>
    </row>
    <row r="169">
      <c r="D169" s="139"/>
      <c r="E169" s="139"/>
      <c r="V169" s="139"/>
    </row>
    <row r="170">
      <c r="D170" s="139"/>
      <c r="E170" s="139"/>
      <c r="V170" s="139"/>
    </row>
    <row r="171">
      <c r="D171" s="139"/>
      <c r="E171" s="139"/>
      <c r="V171" s="139"/>
    </row>
    <row r="172">
      <c r="D172" s="139"/>
      <c r="E172" s="139"/>
      <c r="V172" s="139"/>
    </row>
    <row r="173">
      <c r="D173" s="139"/>
      <c r="E173" s="139"/>
      <c r="V173" s="139"/>
    </row>
    <row r="174">
      <c r="D174" s="139"/>
      <c r="E174" s="139"/>
      <c r="V174" s="139"/>
    </row>
    <row r="175">
      <c r="D175" s="139"/>
      <c r="E175" s="139"/>
      <c r="V175" s="139"/>
    </row>
    <row r="176">
      <c r="D176" s="139"/>
      <c r="E176" s="139"/>
      <c r="V176" s="139"/>
    </row>
    <row r="177">
      <c r="D177" s="139"/>
      <c r="E177" s="139"/>
      <c r="V177" s="139"/>
    </row>
    <row r="178">
      <c r="D178" s="139"/>
      <c r="E178" s="139"/>
      <c r="V178" s="139"/>
    </row>
    <row r="179">
      <c r="D179" s="139"/>
      <c r="E179" s="139"/>
      <c r="V179" s="139"/>
    </row>
    <row r="180">
      <c r="D180" s="139"/>
      <c r="E180" s="139"/>
      <c r="V180" s="139"/>
    </row>
    <row r="181">
      <c r="D181" s="139"/>
      <c r="E181" s="139"/>
      <c r="V181" s="139"/>
    </row>
    <row r="182">
      <c r="D182" s="139"/>
      <c r="E182" s="139"/>
      <c r="V182" s="139"/>
    </row>
    <row r="183">
      <c r="D183" s="139"/>
      <c r="E183" s="139"/>
      <c r="V183" s="139"/>
    </row>
    <row r="184">
      <c r="D184" s="139"/>
      <c r="E184" s="139"/>
      <c r="V184" s="139"/>
    </row>
    <row r="185">
      <c r="D185" s="139"/>
      <c r="E185" s="139"/>
      <c r="V185" s="139"/>
    </row>
    <row r="186">
      <c r="D186" s="139"/>
      <c r="E186" s="139"/>
      <c r="V186" s="139"/>
    </row>
    <row r="187">
      <c r="D187" s="139"/>
      <c r="E187" s="139"/>
      <c r="V187" s="139"/>
    </row>
    <row r="188">
      <c r="D188" s="139"/>
      <c r="E188" s="139"/>
      <c r="V188" s="139"/>
    </row>
    <row r="189">
      <c r="D189" s="139"/>
      <c r="E189" s="139"/>
      <c r="V189" s="139"/>
    </row>
    <row r="190">
      <c r="D190" s="139"/>
      <c r="E190" s="139"/>
      <c r="V190" s="139"/>
    </row>
    <row r="191">
      <c r="D191" s="139"/>
      <c r="E191" s="139"/>
      <c r="V191" s="139"/>
    </row>
    <row r="192">
      <c r="D192" s="139"/>
      <c r="E192" s="139"/>
      <c r="V192" s="139"/>
    </row>
    <row r="193">
      <c r="D193" s="139"/>
      <c r="E193" s="139"/>
      <c r="V193" s="139"/>
    </row>
    <row r="194">
      <c r="D194" s="139"/>
      <c r="E194" s="139"/>
      <c r="V194" s="139"/>
    </row>
    <row r="195">
      <c r="D195" s="139"/>
      <c r="E195" s="139"/>
      <c r="V195" s="139"/>
    </row>
    <row r="196">
      <c r="D196" s="139"/>
      <c r="E196" s="139"/>
      <c r="V196" s="139"/>
    </row>
    <row r="197">
      <c r="D197" s="139"/>
      <c r="E197" s="139"/>
      <c r="V197" s="139"/>
    </row>
    <row r="198">
      <c r="D198" s="139"/>
      <c r="E198" s="139"/>
      <c r="V198" s="139"/>
    </row>
    <row r="199">
      <c r="D199" s="139"/>
      <c r="E199" s="139"/>
      <c r="V199" s="139"/>
    </row>
    <row r="200">
      <c r="D200" s="139"/>
      <c r="E200" s="139"/>
      <c r="V200" s="139"/>
    </row>
    <row r="201">
      <c r="D201" s="139"/>
      <c r="E201" s="139"/>
      <c r="V201" s="139"/>
    </row>
    <row r="202">
      <c r="D202" s="139"/>
      <c r="E202" s="139"/>
      <c r="V202" s="139"/>
    </row>
    <row r="203">
      <c r="D203" s="139"/>
      <c r="E203" s="139"/>
      <c r="V203" s="139"/>
    </row>
    <row r="204">
      <c r="D204" s="139"/>
      <c r="E204" s="139"/>
      <c r="V204" s="139"/>
    </row>
    <row r="205">
      <c r="D205" s="139"/>
      <c r="E205" s="139"/>
      <c r="V205" s="139"/>
    </row>
    <row r="206">
      <c r="D206" s="139"/>
      <c r="E206" s="139"/>
      <c r="V206" s="139"/>
    </row>
    <row r="207">
      <c r="D207" s="139"/>
      <c r="E207" s="139"/>
      <c r="V207" s="139"/>
    </row>
    <row r="208">
      <c r="D208" s="139"/>
      <c r="E208" s="139"/>
      <c r="V208" s="139"/>
    </row>
    <row r="209">
      <c r="D209" s="139"/>
      <c r="E209" s="139"/>
      <c r="V209" s="139"/>
    </row>
    <row r="210">
      <c r="D210" s="139"/>
      <c r="E210" s="139"/>
      <c r="V210" s="139"/>
    </row>
    <row r="211">
      <c r="D211" s="139"/>
      <c r="E211" s="139"/>
      <c r="V211" s="139"/>
    </row>
    <row r="212">
      <c r="D212" s="139"/>
      <c r="E212" s="139"/>
      <c r="V212" s="139"/>
    </row>
    <row r="213">
      <c r="D213" s="139"/>
      <c r="E213" s="139"/>
      <c r="V213" s="139"/>
    </row>
    <row r="214">
      <c r="D214" s="139"/>
      <c r="E214" s="139"/>
      <c r="V214" s="139"/>
    </row>
    <row r="215">
      <c r="D215" s="139"/>
      <c r="E215" s="139"/>
      <c r="V215" s="139"/>
    </row>
    <row r="216">
      <c r="D216" s="139"/>
      <c r="E216" s="139"/>
      <c r="V216" s="139"/>
    </row>
    <row r="217">
      <c r="D217" s="139"/>
      <c r="E217" s="139"/>
      <c r="V217" s="139"/>
    </row>
    <row r="218">
      <c r="D218" s="139"/>
      <c r="E218" s="139"/>
      <c r="V218" s="139"/>
    </row>
    <row r="219">
      <c r="D219" s="139"/>
      <c r="E219" s="139"/>
      <c r="V219" s="139"/>
    </row>
    <row r="220">
      <c r="D220" s="139"/>
      <c r="E220" s="139"/>
      <c r="V220" s="139"/>
    </row>
    <row r="221">
      <c r="D221" s="139"/>
      <c r="E221" s="139"/>
      <c r="V221" s="139"/>
    </row>
    <row r="222">
      <c r="D222" s="139"/>
      <c r="E222" s="139"/>
      <c r="V222" s="139"/>
    </row>
    <row r="223">
      <c r="D223" s="139"/>
      <c r="E223" s="139"/>
      <c r="V223" s="139"/>
    </row>
    <row r="224">
      <c r="D224" s="139"/>
      <c r="E224" s="139"/>
      <c r="V224" s="139"/>
    </row>
    <row r="225">
      <c r="D225" s="139"/>
      <c r="E225" s="139"/>
      <c r="V225" s="139"/>
    </row>
    <row r="226">
      <c r="D226" s="139"/>
      <c r="E226" s="139"/>
      <c r="V226" s="139"/>
    </row>
    <row r="227">
      <c r="D227" s="139"/>
      <c r="E227" s="139"/>
      <c r="V227" s="139"/>
    </row>
    <row r="228">
      <c r="D228" s="139"/>
      <c r="E228" s="139"/>
      <c r="V228" s="139"/>
    </row>
    <row r="229">
      <c r="D229" s="139"/>
      <c r="E229" s="139"/>
      <c r="V229" s="139"/>
    </row>
    <row r="230">
      <c r="D230" s="139"/>
      <c r="E230" s="139"/>
      <c r="V230" s="139"/>
    </row>
    <row r="231">
      <c r="D231" s="139"/>
      <c r="E231" s="139"/>
      <c r="V231" s="139"/>
    </row>
    <row r="232">
      <c r="D232" s="139"/>
      <c r="E232" s="139"/>
      <c r="V232" s="139"/>
    </row>
    <row r="233">
      <c r="D233" s="139"/>
      <c r="E233" s="139"/>
      <c r="V233" s="139"/>
    </row>
    <row r="234">
      <c r="D234" s="139"/>
      <c r="E234" s="139"/>
      <c r="V234" s="139"/>
    </row>
    <row r="235">
      <c r="D235" s="139"/>
      <c r="E235" s="139"/>
      <c r="V235" s="139"/>
    </row>
    <row r="236">
      <c r="D236" s="139"/>
      <c r="E236" s="139"/>
      <c r="V236" s="139"/>
    </row>
    <row r="237">
      <c r="D237" s="139"/>
      <c r="E237" s="139"/>
      <c r="V237" s="139"/>
    </row>
    <row r="238">
      <c r="D238" s="139"/>
      <c r="E238" s="139"/>
      <c r="V238" s="139"/>
    </row>
    <row r="239">
      <c r="D239" s="139"/>
      <c r="E239" s="139"/>
      <c r="V239" s="139"/>
    </row>
    <row r="240">
      <c r="D240" s="139"/>
      <c r="E240" s="139"/>
      <c r="V240" s="139"/>
    </row>
    <row r="241">
      <c r="D241" s="139"/>
      <c r="E241" s="139"/>
      <c r="V241" s="139"/>
    </row>
    <row r="242">
      <c r="D242" s="139"/>
      <c r="E242" s="139"/>
      <c r="V242" s="139"/>
    </row>
    <row r="243">
      <c r="D243" s="139"/>
      <c r="E243" s="139"/>
      <c r="V243" s="139"/>
    </row>
    <row r="244">
      <c r="D244" s="139"/>
      <c r="E244" s="139"/>
      <c r="V244" s="139"/>
    </row>
    <row r="245">
      <c r="D245" s="139"/>
      <c r="E245" s="139"/>
      <c r="V245" s="139"/>
    </row>
    <row r="246">
      <c r="D246" s="139"/>
      <c r="E246" s="139"/>
      <c r="V246" s="139"/>
    </row>
    <row r="247">
      <c r="D247" s="139"/>
      <c r="E247" s="139"/>
      <c r="V247" s="139"/>
    </row>
    <row r="248">
      <c r="D248" s="139"/>
      <c r="E248" s="139"/>
      <c r="V248" s="139"/>
    </row>
    <row r="249">
      <c r="D249" s="139"/>
      <c r="E249" s="139"/>
      <c r="V249" s="139"/>
    </row>
    <row r="250">
      <c r="D250" s="139"/>
      <c r="E250" s="139"/>
      <c r="V250" s="139"/>
    </row>
    <row r="251">
      <c r="D251" s="139"/>
      <c r="E251" s="139"/>
      <c r="V251" s="139"/>
    </row>
    <row r="252">
      <c r="D252" s="139"/>
      <c r="E252" s="139"/>
      <c r="V252" s="139"/>
    </row>
    <row r="253">
      <c r="D253" s="139"/>
      <c r="E253" s="139"/>
      <c r="V253" s="139"/>
    </row>
    <row r="254">
      <c r="D254" s="139"/>
      <c r="E254" s="139"/>
      <c r="V254" s="139"/>
    </row>
    <row r="255">
      <c r="D255" s="139"/>
      <c r="E255" s="139"/>
      <c r="V255" s="139"/>
    </row>
    <row r="256">
      <c r="D256" s="139"/>
      <c r="E256" s="139"/>
      <c r="V256" s="139"/>
    </row>
    <row r="257">
      <c r="D257" s="139"/>
      <c r="E257" s="139"/>
      <c r="V257" s="139"/>
    </row>
    <row r="258">
      <c r="D258" s="139"/>
      <c r="E258" s="139"/>
      <c r="V258" s="139"/>
    </row>
    <row r="259">
      <c r="D259" s="139"/>
      <c r="E259" s="139"/>
      <c r="V259" s="139"/>
    </row>
    <row r="260">
      <c r="D260" s="139"/>
      <c r="E260" s="139"/>
      <c r="V260" s="139"/>
    </row>
    <row r="261">
      <c r="D261" s="139"/>
      <c r="E261" s="139"/>
      <c r="V261" s="139"/>
    </row>
    <row r="262">
      <c r="D262" s="139"/>
      <c r="E262" s="139"/>
      <c r="V262" s="139"/>
    </row>
    <row r="263">
      <c r="D263" s="139"/>
      <c r="E263" s="139"/>
      <c r="V263" s="139"/>
    </row>
    <row r="264">
      <c r="D264" s="139"/>
      <c r="E264" s="139"/>
      <c r="V264" s="139"/>
    </row>
    <row r="265">
      <c r="D265" s="139"/>
      <c r="E265" s="139"/>
      <c r="V265" s="139"/>
    </row>
    <row r="266">
      <c r="D266" s="139"/>
      <c r="E266" s="139"/>
      <c r="V266" s="139"/>
    </row>
    <row r="267">
      <c r="D267" s="139"/>
      <c r="E267" s="139"/>
      <c r="V267" s="139"/>
    </row>
    <row r="268">
      <c r="D268" s="139"/>
      <c r="E268" s="139"/>
      <c r="V268" s="139"/>
    </row>
    <row r="269">
      <c r="D269" s="139"/>
      <c r="E269" s="139"/>
      <c r="V269" s="139"/>
    </row>
    <row r="270">
      <c r="D270" s="139"/>
      <c r="E270" s="139"/>
      <c r="V270" s="139"/>
    </row>
    <row r="271">
      <c r="D271" s="139"/>
      <c r="E271" s="139"/>
      <c r="V271" s="139"/>
    </row>
    <row r="272">
      <c r="D272" s="139"/>
      <c r="E272" s="139"/>
      <c r="V272" s="139"/>
    </row>
    <row r="273">
      <c r="D273" s="139"/>
      <c r="E273" s="139"/>
      <c r="V273" s="139"/>
    </row>
    <row r="274">
      <c r="D274" s="139"/>
      <c r="E274" s="139"/>
      <c r="V274" s="139"/>
    </row>
    <row r="275">
      <c r="D275" s="139"/>
      <c r="E275" s="139"/>
      <c r="V275" s="139"/>
    </row>
    <row r="276">
      <c r="D276" s="139"/>
      <c r="E276" s="139"/>
      <c r="V276" s="139"/>
    </row>
    <row r="277">
      <c r="D277" s="139"/>
      <c r="E277" s="139"/>
      <c r="V277" s="139"/>
    </row>
    <row r="278">
      <c r="D278" s="139"/>
      <c r="E278" s="139"/>
      <c r="V278" s="139"/>
    </row>
    <row r="279">
      <c r="D279" s="139"/>
      <c r="E279" s="139"/>
      <c r="V279" s="139"/>
    </row>
    <row r="280">
      <c r="D280" s="139"/>
      <c r="E280" s="139"/>
      <c r="V280" s="139"/>
    </row>
    <row r="281">
      <c r="D281" s="139"/>
      <c r="E281" s="139"/>
      <c r="V281" s="139"/>
    </row>
    <row r="282">
      <c r="D282" s="139"/>
      <c r="E282" s="139"/>
      <c r="V282" s="139"/>
    </row>
    <row r="283">
      <c r="D283" s="139"/>
      <c r="E283" s="139"/>
      <c r="V283" s="139"/>
    </row>
    <row r="284">
      <c r="D284" s="139"/>
      <c r="E284" s="139"/>
      <c r="V284" s="139"/>
    </row>
    <row r="285">
      <c r="D285" s="139"/>
      <c r="E285" s="139"/>
      <c r="V285" s="139"/>
    </row>
    <row r="286">
      <c r="D286" s="139"/>
      <c r="E286" s="139"/>
      <c r="V286" s="139"/>
    </row>
    <row r="287">
      <c r="D287" s="139"/>
      <c r="E287" s="139"/>
      <c r="V287" s="139"/>
    </row>
    <row r="288">
      <c r="D288" s="139"/>
      <c r="E288" s="139"/>
      <c r="V288" s="139"/>
    </row>
    <row r="289">
      <c r="D289" s="139"/>
      <c r="E289" s="139"/>
      <c r="V289" s="139"/>
    </row>
    <row r="290">
      <c r="D290" s="139"/>
      <c r="E290" s="139"/>
      <c r="V290" s="139"/>
    </row>
    <row r="291">
      <c r="D291" s="139"/>
      <c r="E291" s="139"/>
      <c r="V291" s="139"/>
    </row>
    <row r="292">
      <c r="D292" s="139"/>
      <c r="E292" s="139"/>
      <c r="V292" s="139"/>
    </row>
    <row r="293">
      <c r="D293" s="139"/>
      <c r="E293" s="139"/>
      <c r="V293" s="139"/>
    </row>
    <row r="294">
      <c r="D294" s="139"/>
      <c r="E294" s="139"/>
      <c r="V294" s="139"/>
    </row>
    <row r="295">
      <c r="D295" s="139"/>
      <c r="E295" s="139"/>
      <c r="V295" s="139"/>
    </row>
    <row r="296">
      <c r="D296" s="139"/>
      <c r="E296" s="139"/>
      <c r="V296" s="139"/>
    </row>
    <row r="297">
      <c r="D297" s="139"/>
      <c r="E297" s="139"/>
      <c r="V297" s="139"/>
    </row>
    <row r="298">
      <c r="D298" s="139"/>
      <c r="E298" s="139"/>
      <c r="V298" s="139"/>
    </row>
    <row r="299">
      <c r="D299" s="139"/>
      <c r="E299" s="139"/>
      <c r="V299" s="139"/>
    </row>
    <row r="300">
      <c r="D300" s="139"/>
      <c r="E300" s="139"/>
      <c r="V300" s="139"/>
    </row>
    <row r="301">
      <c r="D301" s="139"/>
      <c r="E301" s="139"/>
      <c r="V301" s="139"/>
    </row>
    <row r="302">
      <c r="D302" s="139"/>
      <c r="E302" s="139"/>
      <c r="V302" s="139"/>
    </row>
    <row r="303">
      <c r="D303" s="139"/>
      <c r="E303" s="139"/>
      <c r="V303" s="139"/>
    </row>
    <row r="304">
      <c r="D304" s="139"/>
      <c r="E304" s="139"/>
      <c r="V304" s="139"/>
    </row>
    <row r="305">
      <c r="D305" s="139"/>
      <c r="E305" s="139"/>
      <c r="V305" s="139"/>
    </row>
    <row r="306">
      <c r="D306" s="139"/>
      <c r="E306" s="139"/>
      <c r="V306" s="139"/>
    </row>
    <row r="307">
      <c r="D307" s="139"/>
      <c r="E307" s="139"/>
      <c r="V307" s="139"/>
    </row>
    <row r="308">
      <c r="D308" s="139"/>
      <c r="E308" s="139"/>
      <c r="V308" s="139"/>
    </row>
    <row r="309">
      <c r="D309" s="139"/>
      <c r="E309" s="139"/>
      <c r="V309" s="139"/>
    </row>
    <row r="310">
      <c r="D310" s="139"/>
      <c r="E310" s="139"/>
      <c r="V310" s="139"/>
    </row>
    <row r="311">
      <c r="D311" s="139"/>
      <c r="E311" s="139"/>
      <c r="V311" s="139"/>
    </row>
    <row r="312">
      <c r="D312" s="139"/>
      <c r="E312" s="139"/>
      <c r="V312" s="139"/>
    </row>
    <row r="313">
      <c r="D313" s="139"/>
      <c r="E313" s="139"/>
      <c r="V313" s="139"/>
    </row>
    <row r="314">
      <c r="D314" s="139"/>
      <c r="E314" s="139"/>
      <c r="V314" s="139"/>
    </row>
    <row r="315">
      <c r="D315" s="139"/>
      <c r="E315" s="139"/>
      <c r="V315" s="139"/>
    </row>
    <row r="316">
      <c r="D316" s="139"/>
      <c r="E316" s="139"/>
      <c r="V316" s="139"/>
    </row>
    <row r="317">
      <c r="D317" s="139"/>
      <c r="E317" s="139"/>
      <c r="V317" s="139"/>
    </row>
    <row r="318">
      <c r="D318" s="139"/>
      <c r="E318" s="139"/>
      <c r="V318" s="139"/>
    </row>
    <row r="319">
      <c r="D319" s="139"/>
      <c r="E319" s="139"/>
      <c r="V319" s="139"/>
    </row>
    <row r="320">
      <c r="D320" s="139"/>
      <c r="E320" s="139"/>
      <c r="V320" s="139"/>
    </row>
    <row r="321">
      <c r="D321" s="139"/>
      <c r="E321" s="139"/>
      <c r="V321" s="139"/>
    </row>
    <row r="322">
      <c r="D322" s="139"/>
      <c r="E322" s="139"/>
      <c r="V322" s="139"/>
    </row>
    <row r="323">
      <c r="D323" s="139"/>
      <c r="E323" s="139"/>
      <c r="V323" s="139"/>
    </row>
    <row r="324">
      <c r="D324" s="139"/>
      <c r="E324" s="139"/>
      <c r="V324" s="139"/>
    </row>
    <row r="325">
      <c r="D325" s="139"/>
      <c r="E325" s="139"/>
      <c r="V325" s="139"/>
    </row>
    <row r="326">
      <c r="D326" s="139"/>
      <c r="E326" s="139"/>
      <c r="V326" s="139"/>
    </row>
    <row r="327">
      <c r="D327" s="139"/>
      <c r="E327" s="139"/>
      <c r="V327" s="139"/>
    </row>
    <row r="328">
      <c r="D328" s="139"/>
      <c r="E328" s="139"/>
      <c r="V328" s="139"/>
    </row>
    <row r="329">
      <c r="D329" s="139"/>
      <c r="E329" s="139"/>
      <c r="V329" s="139"/>
    </row>
    <row r="330">
      <c r="D330" s="139"/>
      <c r="E330" s="139"/>
      <c r="V330" s="139"/>
    </row>
    <row r="331">
      <c r="D331" s="139"/>
      <c r="E331" s="139"/>
      <c r="V331" s="139"/>
    </row>
    <row r="332">
      <c r="D332" s="139"/>
      <c r="E332" s="139"/>
      <c r="V332" s="139"/>
    </row>
    <row r="333">
      <c r="D333" s="139"/>
      <c r="E333" s="139"/>
      <c r="V333" s="139"/>
    </row>
    <row r="334">
      <c r="D334" s="139"/>
      <c r="E334" s="139"/>
      <c r="V334" s="139"/>
    </row>
    <row r="335">
      <c r="D335" s="139"/>
      <c r="E335" s="139"/>
      <c r="V335" s="139"/>
    </row>
    <row r="336">
      <c r="D336" s="139"/>
      <c r="E336" s="139"/>
      <c r="V336" s="139"/>
    </row>
    <row r="337">
      <c r="D337" s="139"/>
      <c r="E337" s="139"/>
      <c r="V337" s="139"/>
    </row>
    <row r="338">
      <c r="D338" s="139"/>
      <c r="E338" s="139"/>
      <c r="V338" s="139"/>
    </row>
    <row r="339">
      <c r="D339" s="139"/>
      <c r="E339" s="139"/>
      <c r="V339" s="139"/>
    </row>
    <row r="340">
      <c r="D340" s="139"/>
      <c r="E340" s="139"/>
      <c r="V340" s="139"/>
    </row>
    <row r="341">
      <c r="D341" s="139"/>
      <c r="E341" s="139"/>
      <c r="V341" s="139"/>
    </row>
    <row r="342">
      <c r="D342" s="139"/>
      <c r="E342" s="139"/>
      <c r="V342" s="139"/>
    </row>
    <row r="343">
      <c r="D343" s="139"/>
      <c r="E343" s="139"/>
      <c r="V343" s="139"/>
    </row>
    <row r="344">
      <c r="D344" s="139"/>
      <c r="E344" s="139"/>
      <c r="V344" s="139"/>
    </row>
    <row r="345">
      <c r="D345" s="139"/>
      <c r="E345" s="139"/>
      <c r="V345" s="139"/>
    </row>
    <row r="346">
      <c r="D346" s="139"/>
      <c r="E346" s="139"/>
      <c r="V346" s="139"/>
    </row>
    <row r="347">
      <c r="D347" s="139"/>
      <c r="E347" s="139"/>
      <c r="V347" s="139"/>
    </row>
    <row r="348">
      <c r="D348" s="139"/>
      <c r="E348" s="139"/>
      <c r="V348" s="139"/>
    </row>
    <row r="349">
      <c r="D349" s="139"/>
      <c r="E349" s="139"/>
      <c r="V349" s="139"/>
    </row>
    <row r="350">
      <c r="D350" s="139"/>
      <c r="E350" s="139"/>
      <c r="V350" s="139"/>
    </row>
    <row r="351">
      <c r="D351" s="139"/>
      <c r="E351" s="139"/>
      <c r="V351" s="139"/>
    </row>
    <row r="352">
      <c r="D352" s="139"/>
      <c r="E352" s="139"/>
      <c r="V352" s="139"/>
    </row>
    <row r="353">
      <c r="D353" s="139"/>
      <c r="E353" s="139"/>
      <c r="V353" s="139"/>
    </row>
    <row r="354">
      <c r="D354" s="139"/>
      <c r="E354" s="139"/>
      <c r="V354" s="139"/>
    </row>
    <row r="355">
      <c r="D355" s="139"/>
      <c r="E355" s="139"/>
      <c r="V355" s="139"/>
    </row>
    <row r="356">
      <c r="D356" s="139"/>
      <c r="E356" s="139"/>
      <c r="V356" s="139"/>
    </row>
    <row r="357">
      <c r="D357" s="139"/>
      <c r="E357" s="139"/>
      <c r="V357" s="139"/>
    </row>
    <row r="358">
      <c r="D358" s="139"/>
      <c r="E358" s="139"/>
      <c r="V358" s="139"/>
    </row>
    <row r="359">
      <c r="D359" s="139"/>
      <c r="E359" s="139"/>
      <c r="V359" s="139"/>
    </row>
    <row r="360">
      <c r="D360" s="139"/>
      <c r="E360" s="139"/>
      <c r="V360" s="139"/>
    </row>
    <row r="361">
      <c r="D361" s="139"/>
      <c r="E361" s="139"/>
      <c r="V361" s="139"/>
    </row>
    <row r="362">
      <c r="D362" s="139"/>
      <c r="E362" s="139"/>
      <c r="V362" s="139"/>
    </row>
    <row r="363">
      <c r="D363" s="139"/>
      <c r="E363" s="139"/>
      <c r="V363" s="139"/>
    </row>
    <row r="364">
      <c r="D364" s="139"/>
      <c r="E364" s="139"/>
      <c r="V364" s="139"/>
    </row>
    <row r="365">
      <c r="D365" s="139"/>
      <c r="E365" s="139"/>
      <c r="V365" s="139"/>
    </row>
    <row r="366">
      <c r="D366" s="139"/>
      <c r="E366" s="139"/>
      <c r="V366" s="139"/>
    </row>
    <row r="367">
      <c r="D367" s="139"/>
      <c r="E367" s="139"/>
      <c r="V367" s="139"/>
    </row>
    <row r="368">
      <c r="D368" s="139"/>
      <c r="E368" s="139"/>
      <c r="V368" s="139"/>
    </row>
    <row r="369">
      <c r="D369" s="139"/>
      <c r="E369" s="139"/>
      <c r="V369" s="139"/>
    </row>
    <row r="370">
      <c r="D370" s="139"/>
      <c r="E370" s="139"/>
      <c r="V370" s="139"/>
    </row>
    <row r="371">
      <c r="D371" s="139"/>
      <c r="E371" s="139"/>
      <c r="V371" s="139"/>
    </row>
    <row r="372">
      <c r="D372" s="139"/>
      <c r="E372" s="139"/>
      <c r="V372" s="139"/>
    </row>
    <row r="373">
      <c r="D373" s="139"/>
      <c r="E373" s="139"/>
      <c r="V373" s="139"/>
    </row>
    <row r="374">
      <c r="D374" s="139"/>
      <c r="E374" s="139"/>
      <c r="V374" s="139"/>
    </row>
    <row r="375">
      <c r="D375" s="139"/>
      <c r="E375" s="139"/>
      <c r="V375" s="139"/>
    </row>
    <row r="376">
      <c r="D376" s="139"/>
      <c r="E376" s="139"/>
      <c r="V376" s="139"/>
    </row>
    <row r="377">
      <c r="D377" s="139"/>
      <c r="E377" s="139"/>
      <c r="V377" s="139"/>
    </row>
    <row r="378">
      <c r="D378" s="139"/>
      <c r="E378" s="139"/>
      <c r="V378" s="139"/>
    </row>
    <row r="379">
      <c r="D379" s="139"/>
      <c r="E379" s="139"/>
      <c r="V379" s="139"/>
    </row>
    <row r="380">
      <c r="D380" s="139"/>
      <c r="E380" s="139"/>
      <c r="V380" s="139"/>
    </row>
    <row r="381">
      <c r="D381" s="139"/>
      <c r="E381" s="139"/>
      <c r="V381" s="139"/>
    </row>
    <row r="382">
      <c r="D382" s="139"/>
      <c r="E382" s="139"/>
      <c r="V382" s="139"/>
    </row>
    <row r="383">
      <c r="D383" s="139"/>
      <c r="E383" s="139"/>
      <c r="V383" s="139"/>
    </row>
    <row r="384">
      <c r="D384" s="139"/>
      <c r="E384" s="139"/>
      <c r="V384" s="139"/>
    </row>
    <row r="385">
      <c r="D385" s="139"/>
      <c r="E385" s="139"/>
      <c r="V385" s="139"/>
    </row>
    <row r="386">
      <c r="D386" s="139"/>
      <c r="E386" s="139"/>
      <c r="V386" s="139"/>
    </row>
    <row r="387">
      <c r="D387" s="139"/>
      <c r="E387" s="139"/>
      <c r="V387" s="139"/>
    </row>
    <row r="388">
      <c r="D388" s="139"/>
      <c r="E388" s="139"/>
      <c r="V388" s="139"/>
    </row>
    <row r="389">
      <c r="D389" s="139"/>
      <c r="E389" s="139"/>
      <c r="V389" s="139"/>
    </row>
    <row r="390">
      <c r="D390" s="139"/>
      <c r="E390" s="139"/>
      <c r="V390" s="139"/>
    </row>
    <row r="391">
      <c r="D391" s="139"/>
      <c r="E391" s="139"/>
      <c r="V391" s="139"/>
    </row>
    <row r="392">
      <c r="D392" s="139"/>
      <c r="E392" s="139"/>
      <c r="V392" s="139"/>
    </row>
    <row r="393">
      <c r="D393" s="139"/>
      <c r="E393" s="139"/>
      <c r="V393" s="139"/>
    </row>
    <row r="394">
      <c r="D394" s="139"/>
      <c r="E394" s="139"/>
      <c r="V394" s="139"/>
    </row>
    <row r="395">
      <c r="D395" s="139"/>
      <c r="E395" s="139"/>
      <c r="V395" s="139"/>
    </row>
    <row r="396">
      <c r="D396" s="139"/>
      <c r="E396" s="139"/>
      <c r="V396" s="139"/>
    </row>
    <row r="397">
      <c r="D397" s="139"/>
      <c r="E397" s="139"/>
      <c r="V397" s="139"/>
    </row>
    <row r="398">
      <c r="D398" s="139"/>
      <c r="E398" s="139"/>
      <c r="V398" s="139"/>
    </row>
    <row r="399">
      <c r="D399" s="139"/>
      <c r="E399" s="139"/>
      <c r="V399" s="139"/>
    </row>
    <row r="400">
      <c r="D400" s="139"/>
      <c r="E400" s="139"/>
      <c r="V400" s="139"/>
    </row>
    <row r="401">
      <c r="D401" s="139"/>
      <c r="E401" s="139"/>
      <c r="V401" s="139"/>
    </row>
    <row r="402">
      <c r="D402" s="139"/>
      <c r="E402" s="139"/>
      <c r="V402" s="139"/>
    </row>
    <row r="403">
      <c r="D403" s="139"/>
      <c r="E403" s="139"/>
      <c r="V403" s="139"/>
    </row>
    <row r="404">
      <c r="D404" s="139"/>
      <c r="E404" s="139"/>
      <c r="V404" s="139"/>
    </row>
    <row r="405">
      <c r="D405" s="139"/>
      <c r="E405" s="139"/>
      <c r="V405" s="139"/>
    </row>
    <row r="406">
      <c r="D406" s="139"/>
      <c r="E406" s="139"/>
      <c r="V406" s="139"/>
    </row>
    <row r="407">
      <c r="D407" s="139"/>
      <c r="E407" s="139"/>
      <c r="V407" s="139"/>
    </row>
    <row r="408">
      <c r="D408" s="139"/>
      <c r="E408" s="139"/>
      <c r="V408" s="139"/>
    </row>
    <row r="409">
      <c r="D409" s="139"/>
      <c r="E409" s="139"/>
      <c r="V409" s="139"/>
    </row>
    <row r="410">
      <c r="D410" s="139"/>
      <c r="E410" s="139"/>
      <c r="V410" s="139"/>
    </row>
    <row r="411">
      <c r="D411" s="139"/>
      <c r="E411" s="139"/>
      <c r="V411" s="139"/>
    </row>
    <row r="412">
      <c r="D412" s="139"/>
      <c r="E412" s="139"/>
      <c r="V412" s="139"/>
    </row>
    <row r="413">
      <c r="D413" s="139"/>
      <c r="E413" s="139"/>
      <c r="V413" s="139"/>
    </row>
    <row r="414">
      <c r="D414" s="139"/>
      <c r="E414" s="139"/>
      <c r="V414" s="139"/>
    </row>
    <row r="415">
      <c r="D415" s="139"/>
      <c r="E415" s="139"/>
      <c r="V415" s="139"/>
    </row>
    <row r="416">
      <c r="D416" s="139"/>
      <c r="E416" s="139"/>
      <c r="V416" s="139"/>
    </row>
    <row r="417">
      <c r="D417" s="139"/>
      <c r="E417" s="139"/>
      <c r="V417" s="139"/>
    </row>
    <row r="418">
      <c r="D418" s="139"/>
      <c r="E418" s="139"/>
      <c r="V418" s="139"/>
    </row>
    <row r="419">
      <c r="D419" s="139"/>
      <c r="E419" s="139"/>
      <c r="V419" s="139"/>
    </row>
    <row r="420">
      <c r="D420" s="139"/>
      <c r="E420" s="139"/>
      <c r="V420" s="139"/>
    </row>
    <row r="421">
      <c r="D421" s="139"/>
      <c r="E421" s="139"/>
      <c r="V421" s="139"/>
    </row>
    <row r="422">
      <c r="D422" s="139"/>
      <c r="E422" s="139"/>
      <c r="V422" s="139"/>
    </row>
    <row r="423">
      <c r="D423" s="139"/>
      <c r="E423" s="139"/>
      <c r="V423" s="139"/>
    </row>
    <row r="424">
      <c r="D424" s="139"/>
      <c r="E424" s="139"/>
      <c r="V424" s="139"/>
    </row>
    <row r="425">
      <c r="D425" s="139"/>
      <c r="E425" s="139"/>
      <c r="V425" s="139"/>
    </row>
    <row r="426">
      <c r="D426" s="139"/>
      <c r="E426" s="139"/>
      <c r="V426" s="139"/>
    </row>
    <row r="427">
      <c r="D427" s="139"/>
      <c r="E427" s="139"/>
      <c r="V427" s="139"/>
    </row>
    <row r="428">
      <c r="D428" s="139"/>
      <c r="E428" s="139"/>
      <c r="V428" s="139"/>
    </row>
    <row r="429">
      <c r="D429" s="139"/>
      <c r="E429" s="139"/>
      <c r="V429" s="139"/>
    </row>
    <row r="430">
      <c r="D430" s="139"/>
      <c r="E430" s="139"/>
      <c r="V430" s="139"/>
    </row>
    <row r="431">
      <c r="D431" s="139"/>
      <c r="E431" s="139"/>
      <c r="V431" s="139"/>
    </row>
    <row r="432">
      <c r="D432" s="139"/>
      <c r="E432" s="139"/>
      <c r="V432" s="139"/>
    </row>
    <row r="433">
      <c r="D433" s="139"/>
      <c r="E433" s="139"/>
      <c r="V433" s="139"/>
    </row>
    <row r="434">
      <c r="D434" s="139"/>
      <c r="E434" s="139"/>
      <c r="V434" s="139"/>
    </row>
    <row r="435">
      <c r="D435" s="139"/>
      <c r="E435" s="139"/>
      <c r="V435" s="139"/>
    </row>
    <row r="436">
      <c r="D436" s="139"/>
      <c r="E436" s="139"/>
      <c r="V436" s="139"/>
    </row>
    <row r="437">
      <c r="D437" s="139"/>
      <c r="E437" s="139"/>
      <c r="V437" s="139"/>
    </row>
    <row r="438">
      <c r="D438" s="139"/>
      <c r="E438" s="139"/>
      <c r="V438" s="139"/>
    </row>
    <row r="439">
      <c r="D439" s="139"/>
      <c r="E439" s="139"/>
      <c r="V439" s="139"/>
    </row>
    <row r="440">
      <c r="D440" s="139"/>
      <c r="E440" s="139"/>
      <c r="V440" s="139"/>
    </row>
    <row r="441">
      <c r="D441" s="139"/>
      <c r="E441" s="139"/>
      <c r="V441" s="139"/>
    </row>
    <row r="442">
      <c r="D442" s="139"/>
      <c r="E442" s="139"/>
      <c r="V442" s="139"/>
    </row>
    <row r="443">
      <c r="D443" s="139"/>
      <c r="E443" s="139"/>
      <c r="V443" s="139"/>
    </row>
    <row r="444">
      <c r="D444" s="139"/>
      <c r="E444" s="139"/>
      <c r="V444" s="139"/>
    </row>
    <row r="445">
      <c r="D445" s="139"/>
      <c r="E445" s="139"/>
      <c r="V445" s="139"/>
    </row>
    <row r="446">
      <c r="D446" s="139"/>
      <c r="E446" s="139"/>
      <c r="V446" s="139"/>
    </row>
    <row r="447">
      <c r="D447" s="139"/>
      <c r="E447" s="139"/>
      <c r="V447" s="139"/>
    </row>
    <row r="448">
      <c r="D448" s="139"/>
      <c r="E448" s="139"/>
      <c r="V448" s="139"/>
    </row>
    <row r="449">
      <c r="D449" s="139"/>
      <c r="E449" s="139"/>
      <c r="V449" s="139"/>
    </row>
    <row r="450">
      <c r="D450" s="139"/>
      <c r="E450" s="139"/>
      <c r="V450" s="139"/>
    </row>
    <row r="451">
      <c r="D451" s="139"/>
      <c r="E451" s="139"/>
      <c r="V451" s="139"/>
    </row>
    <row r="452">
      <c r="D452" s="139"/>
      <c r="E452" s="139"/>
      <c r="V452" s="139"/>
    </row>
    <row r="453">
      <c r="D453" s="139"/>
      <c r="E453" s="139"/>
      <c r="V453" s="139"/>
    </row>
    <row r="454">
      <c r="D454" s="139"/>
      <c r="E454" s="139"/>
      <c r="V454" s="139"/>
    </row>
    <row r="455">
      <c r="D455" s="139"/>
      <c r="E455" s="139"/>
      <c r="V455" s="139"/>
    </row>
    <row r="456">
      <c r="D456" s="139"/>
      <c r="E456" s="139"/>
      <c r="V456" s="139"/>
    </row>
    <row r="457">
      <c r="D457" s="139"/>
      <c r="E457" s="139"/>
      <c r="V457" s="139"/>
    </row>
    <row r="458">
      <c r="D458" s="139"/>
      <c r="E458" s="139"/>
      <c r="V458" s="139"/>
    </row>
    <row r="459">
      <c r="D459" s="139"/>
      <c r="E459" s="139"/>
      <c r="V459" s="139"/>
    </row>
    <row r="460">
      <c r="D460" s="139"/>
      <c r="E460" s="139"/>
      <c r="V460" s="139"/>
    </row>
    <row r="461">
      <c r="D461" s="139"/>
      <c r="E461" s="139"/>
      <c r="V461" s="139"/>
    </row>
    <row r="462">
      <c r="D462" s="139"/>
      <c r="E462" s="139"/>
      <c r="V462" s="139"/>
    </row>
    <row r="463">
      <c r="D463" s="139"/>
      <c r="E463" s="139"/>
      <c r="V463" s="139"/>
    </row>
    <row r="464">
      <c r="D464" s="139"/>
      <c r="E464" s="139"/>
      <c r="V464" s="139"/>
    </row>
    <row r="465">
      <c r="D465" s="139"/>
      <c r="E465" s="139"/>
      <c r="V465" s="139"/>
    </row>
    <row r="466">
      <c r="D466" s="139"/>
      <c r="E466" s="139"/>
      <c r="V466" s="139"/>
    </row>
    <row r="467">
      <c r="D467" s="139"/>
      <c r="E467" s="139"/>
      <c r="V467" s="139"/>
    </row>
    <row r="468">
      <c r="D468" s="139"/>
      <c r="E468" s="139"/>
      <c r="V468" s="139"/>
    </row>
    <row r="469">
      <c r="D469" s="139"/>
      <c r="E469" s="139"/>
      <c r="V469" s="139"/>
    </row>
    <row r="470">
      <c r="D470" s="139"/>
      <c r="E470" s="139"/>
      <c r="V470" s="139"/>
    </row>
    <row r="471">
      <c r="D471" s="139"/>
      <c r="E471" s="139"/>
      <c r="V471" s="139"/>
    </row>
    <row r="472">
      <c r="D472" s="139"/>
      <c r="E472" s="139"/>
      <c r="V472" s="139"/>
    </row>
    <row r="473">
      <c r="D473" s="139"/>
      <c r="E473" s="139"/>
      <c r="V473" s="139"/>
    </row>
    <row r="474">
      <c r="D474" s="139"/>
      <c r="E474" s="139"/>
      <c r="V474" s="139"/>
    </row>
    <row r="475">
      <c r="D475" s="139"/>
      <c r="E475" s="139"/>
      <c r="V475" s="139"/>
    </row>
    <row r="476">
      <c r="D476" s="139"/>
      <c r="E476" s="139"/>
      <c r="V476" s="139"/>
    </row>
    <row r="477">
      <c r="D477" s="139"/>
      <c r="E477" s="139"/>
      <c r="V477" s="139"/>
    </row>
    <row r="478">
      <c r="D478" s="139"/>
      <c r="E478" s="139"/>
      <c r="V478" s="139"/>
    </row>
    <row r="479">
      <c r="D479" s="139"/>
      <c r="E479" s="139"/>
      <c r="V479" s="139"/>
    </row>
    <row r="480">
      <c r="D480" s="139"/>
      <c r="E480" s="139"/>
      <c r="V480" s="139"/>
    </row>
    <row r="481">
      <c r="D481" s="139"/>
      <c r="E481" s="139"/>
      <c r="V481" s="139"/>
    </row>
    <row r="482">
      <c r="D482" s="139"/>
      <c r="E482" s="139"/>
      <c r="V482" s="139"/>
    </row>
    <row r="483">
      <c r="D483" s="139"/>
      <c r="E483" s="139"/>
      <c r="V483" s="139"/>
    </row>
    <row r="484">
      <c r="D484" s="139"/>
      <c r="E484" s="139"/>
      <c r="V484" s="139"/>
    </row>
    <row r="485">
      <c r="D485" s="139"/>
      <c r="E485" s="139"/>
      <c r="V485" s="139"/>
    </row>
    <row r="486">
      <c r="D486" s="139"/>
      <c r="E486" s="139"/>
      <c r="V486" s="139"/>
    </row>
    <row r="487">
      <c r="D487" s="139"/>
      <c r="E487" s="139"/>
      <c r="V487" s="139"/>
    </row>
    <row r="488">
      <c r="D488" s="139"/>
      <c r="E488" s="139"/>
      <c r="V488" s="139"/>
    </row>
    <row r="489">
      <c r="D489" s="139"/>
      <c r="E489" s="139"/>
      <c r="V489" s="139"/>
    </row>
    <row r="490">
      <c r="D490" s="139"/>
      <c r="E490" s="139"/>
      <c r="V490" s="139"/>
    </row>
    <row r="491">
      <c r="D491" s="139"/>
      <c r="E491" s="139"/>
      <c r="V491" s="139"/>
    </row>
    <row r="492">
      <c r="D492" s="139"/>
      <c r="E492" s="139"/>
      <c r="V492" s="139"/>
    </row>
    <row r="493">
      <c r="D493" s="139"/>
      <c r="E493" s="139"/>
      <c r="V493" s="139"/>
    </row>
    <row r="494">
      <c r="D494" s="139"/>
      <c r="E494" s="139"/>
      <c r="V494" s="139"/>
    </row>
    <row r="495">
      <c r="D495" s="139"/>
      <c r="E495" s="139"/>
      <c r="V495" s="139"/>
    </row>
    <row r="496">
      <c r="D496" s="139"/>
      <c r="E496" s="139"/>
      <c r="V496" s="139"/>
    </row>
    <row r="497">
      <c r="D497" s="139"/>
      <c r="E497" s="139"/>
      <c r="V497" s="139"/>
    </row>
    <row r="498">
      <c r="D498" s="139"/>
      <c r="E498" s="139"/>
      <c r="V498" s="139"/>
    </row>
    <row r="499">
      <c r="D499" s="139"/>
      <c r="E499" s="139"/>
      <c r="V499" s="139"/>
    </row>
    <row r="500">
      <c r="D500" s="139"/>
      <c r="E500" s="139"/>
      <c r="V500" s="139"/>
    </row>
    <row r="501">
      <c r="D501" s="139"/>
      <c r="E501" s="139"/>
      <c r="V501" s="139"/>
    </row>
    <row r="502">
      <c r="D502" s="139"/>
      <c r="E502" s="139"/>
      <c r="V502" s="139"/>
    </row>
    <row r="503">
      <c r="D503" s="139"/>
      <c r="E503" s="139"/>
      <c r="V503" s="139"/>
    </row>
    <row r="504">
      <c r="D504" s="139"/>
      <c r="E504" s="139"/>
      <c r="V504" s="139"/>
    </row>
    <row r="505">
      <c r="D505" s="139"/>
      <c r="E505" s="139"/>
      <c r="V505" s="139"/>
    </row>
    <row r="506">
      <c r="D506" s="139"/>
      <c r="E506" s="139"/>
      <c r="V506" s="139"/>
    </row>
    <row r="507">
      <c r="D507" s="139"/>
      <c r="E507" s="139"/>
      <c r="V507" s="139"/>
    </row>
    <row r="508">
      <c r="D508" s="139"/>
      <c r="E508" s="139"/>
      <c r="V508" s="139"/>
    </row>
    <row r="509">
      <c r="D509" s="139"/>
      <c r="E509" s="139"/>
      <c r="V509" s="139"/>
    </row>
    <row r="510">
      <c r="D510" s="139"/>
      <c r="E510" s="139"/>
      <c r="V510" s="139"/>
    </row>
    <row r="511">
      <c r="D511" s="139"/>
      <c r="E511" s="139"/>
      <c r="V511" s="139"/>
    </row>
    <row r="512">
      <c r="D512" s="139"/>
      <c r="E512" s="139"/>
      <c r="V512" s="139"/>
    </row>
    <row r="513">
      <c r="D513" s="139"/>
      <c r="E513" s="139"/>
      <c r="V513" s="139"/>
    </row>
    <row r="514">
      <c r="D514" s="139"/>
      <c r="E514" s="139"/>
      <c r="V514" s="139"/>
    </row>
    <row r="515">
      <c r="D515" s="139"/>
      <c r="E515" s="139"/>
      <c r="V515" s="139"/>
    </row>
    <row r="516">
      <c r="D516" s="139"/>
      <c r="E516" s="139"/>
      <c r="V516" s="139"/>
    </row>
    <row r="517">
      <c r="D517" s="139"/>
      <c r="E517" s="139"/>
      <c r="V517" s="139"/>
    </row>
    <row r="518">
      <c r="D518" s="139"/>
      <c r="E518" s="139"/>
      <c r="V518" s="139"/>
    </row>
    <row r="519">
      <c r="D519" s="139"/>
      <c r="E519" s="139"/>
      <c r="V519" s="139"/>
    </row>
    <row r="520">
      <c r="D520" s="139"/>
      <c r="E520" s="139"/>
      <c r="V520" s="139"/>
    </row>
    <row r="521">
      <c r="D521" s="139"/>
      <c r="E521" s="139"/>
      <c r="V521" s="139"/>
    </row>
    <row r="522">
      <c r="D522" s="139"/>
      <c r="E522" s="139"/>
      <c r="V522" s="139"/>
    </row>
    <row r="523">
      <c r="D523" s="139"/>
      <c r="E523" s="139"/>
      <c r="V523" s="139"/>
    </row>
    <row r="524">
      <c r="D524" s="139"/>
      <c r="E524" s="139"/>
      <c r="V524" s="139"/>
    </row>
    <row r="525">
      <c r="D525" s="139"/>
      <c r="E525" s="139"/>
      <c r="V525" s="139"/>
    </row>
    <row r="526">
      <c r="D526" s="139"/>
      <c r="E526" s="139"/>
      <c r="V526" s="139"/>
    </row>
    <row r="527">
      <c r="D527" s="139"/>
      <c r="E527" s="139"/>
      <c r="V527" s="139"/>
    </row>
    <row r="528">
      <c r="D528" s="139"/>
      <c r="E528" s="139"/>
      <c r="V528" s="139"/>
    </row>
    <row r="529">
      <c r="D529" s="139"/>
      <c r="E529" s="139"/>
      <c r="V529" s="139"/>
    </row>
    <row r="530">
      <c r="D530" s="139"/>
      <c r="E530" s="139"/>
      <c r="V530" s="139"/>
    </row>
    <row r="531">
      <c r="D531" s="139"/>
      <c r="E531" s="139"/>
      <c r="V531" s="139"/>
    </row>
    <row r="532">
      <c r="D532" s="139"/>
      <c r="E532" s="139"/>
      <c r="V532" s="139"/>
    </row>
    <row r="533">
      <c r="D533" s="139"/>
      <c r="E533" s="139"/>
      <c r="V533" s="139"/>
    </row>
    <row r="534">
      <c r="D534" s="139"/>
      <c r="E534" s="139"/>
      <c r="V534" s="139"/>
    </row>
    <row r="535">
      <c r="D535" s="139"/>
      <c r="E535" s="139"/>
      <c r="V535" s="139"/>
    </row>
    <row r="536">
      <c r="D536" s="139"/>
      <c r="E536" s="139"/>
      <c r="V536" s="139"/>
    </row>
    <row r="537">
      <c r="D537" s="139"/>
      <c r="E537" s="139"/>
      <c r="V537" s="139"/>
    </row>
    <row r="538">
      <c r="D538" s="139"/>
      <c r="E538" s="139"/>
      <c r="V538" s="139"/>
    </row>
    <row r="539">
      <c r="D539" s="139"/>
      <c r="E539" s="139"/>
      <c r="V539" s="139"/>
    </row>
    <row r="540">
      <c r="D540" s="139"/>
      <c r="E540" s="139"/>
      <c r="V540" s="139"/>
    </row>
    <row r="541">
      <c r="D541" s="139"/>
      <c r="E541" s="139"/>
      <c r="V541" s="139"/>
    </row>
    <row r="542">
      <c r="D542" s="139"/>
      <c r="E542" s="139"/>
      <c r="V542" s="139"/>
    </row>
    <row r="543">
      <c r="D543" s="139"/>
      <c r="E543" s="139"/>
      <c r="V543" s="139"/>
    </row>
    <row r="544">
      <c r="D544" s="139"/>
      <c r="E544" s="139"/>
      <c r="V544" s="139"/>
    </row>
    <row r="545">
      <c r="D545" s="139"/>
      <c r="E545" s="139"/>
      <c r="V545" s="139"/>
    </row>
    <row r="546">
      <c r="D546" s="139"/>
      <c r="E546" s="139"/>
      <c r="V546" s="139"/>
    </row>
    <row r="547">
      <c r="D547" s="139"/>
      <c r="E547" s="139"/>
      <c r="V547" s="139"/>
    </row>
    <row r="548">
      <c r="D548" s="139"/>
      <c r="E548" s="139"/>
      <c r="V548" s="139"/>
    </row>
    <row r="549">
      <c r="D549" s="139"/>
      <c r="E549" s="139"/>
      <c r="V549" s="139"/>
    </row>
    <row r="550">
      <c r="D550" s="139"/>
      <c r="E550" s="139"/>
      <c r="V550" s="139"/>
    </row>
    <row r="551">
      <c r="D551" s="139"/>
      <c r="E551" s="139"/>
      <c r="V551" s="139"/>
    </row>
    <row r="552">
      <c r="D552" s="139"/>
      <c r="E552" s="139"/>
      <c r="V552" s="139"/>
    </row>
    <row r="553">
      <c r="D553" s="139"/>
      <c r="E553" s="139"/>
      <c r="V553" s="139"/>
    </row>
    <row r="554">
      <c r="D554" s="139"/>
      <c r="E554" s="139"/>
      <c r="V554" s="139"/>
    </row>
    <row r="555">
      <c r="D555" s="139"/>
      <c r="E555" s="139"/>
      <c r="V555" s="139"/>
    </row>
    <row r="556">
      <c r="D556" s="139"/>
      <c r="E556" s="139"/>
      <c r="V556" s="139"/>
    </row>
    <row r="557">
      <c r="D557" s="139"/>
      <c r="E557" s="139"/>
      <c r="V557" s="139"/>
    </row>
    <row r="558">
      <c r="D558" s="139"/>
      <c r="E558" s="139"/>
      <c r="V558" s="139"/>
    </row>
    <row r="559">
      <c r="D559" s="139"/>
      <c r="E559" s="139"/>
      <c r="V559" s="139"/>
    </row>
    <row r="560">
      <c r="D560" s="139"/>
      <c r="E560" s="139"/>
      <c r="V560" s="139"/>
    </row>
    <row r="561">
      <c r="D561" s="139"/>
      <c r="E561" s="139"/>
      <c r="V561" s="139"/>
    </row>
    <row r="562">
      <c r="D562" s="139"/>
      <c r="E562" s="139"/>
      <c r="V562" s="139"/>
    </row>
    <row r="563">
      <c r="D563" s="139"/>
      <c r="E563" s="139"/>
      <c r="V563" s="139"/>
    </row>
    <row r="564">
      <c r="D564" s="139"/>
      <c r="E564" s="139"/>
      <c r="V564" s="139"/>
    </row>
    <row r="565">
      <c r="D565" s="139"/>
      <c r="E565" s="139"/>
      <c r="V565" s="139"/>
    </row>
    <row r="566">
      <c r="D566" s="139"/>
      <c r="E566" s="139"/>
      <c r="V566" s="139"/>
    </row>
    <row r="567">
      <c r="D567" s="139"/>
      <c r="E567" s="139"/>
      <c r="V567" s="139"/>
    </row>
    <row r="568">
      <c r="D568" s="139"/>
      <c r="E568" s="139"/>
      <c r="V568" s="139"/>
    </row>
    <row r="569">
      <c r="D569" s="139"/>
      <c r="E569" s="139"/>
      <c r="V569" s="139"/>
    </row>
    <row r="570">
      <c r="D570" s="139"/>
      <c r="E570" s="139"/>
      <c r="V570" s="139"/>
    </row>
    <row r="571">
      <c r="D571" s="139"/>
      <c r="E571" s="139"/>
      <c r="V571" s="139"/>
    </row>
    <row r="572">
      <c r="D572" s="139"/>
      <c r="E572" s="139"/>
      <c r="V572" s="139"/>
    </row>
    <row r="573">
      <c r="D573" s="139"/>
      <c r="E573" s="139"/>
      <c r="V573" s="139"/>
    </row>
    <row r="574">
      <c r="D574" s="139"/>
      <c r="E574" s="139"/>
      <c r="V574" s="139"/>
    </row>
    <row r="575">
      <c r="D575" s="139"/>
      <c r="E575" s="139"/>
      <c r="V575" s="139"/>
    </row>
    <row r="576">
      <c r="D576" s="139"/>
      <c r="E576" s="139"/>
      <c r="V576" s="139"/>
    </row>
    <row r="577">
      <c r="D577" s="139"/>
      <c r="E577" s="139"/>
      <c r="V577" s="139"/>
    </row>
    <row r="578">
      <c r="D578" s="139"/>
      <c r="E578" s="139"/>
      <c r="V578" s="139"/>
    </row>
    <row r="579">
      <c r="D579" s="139"/>
      <c r="E579" s="139"/>
      <c r="V579" s="139"/>
    </row>
    <row r="580">
      <c r="D580" s="139"/>
      <c r="E580" s="139"/>
      <c r="V580" s="139"/>
    </row>
    <row r="581">
      <c r="D581" s="139"/>
      <c r="E581" s="139"/>
      <c r="V581" s="139"/>
    </row>
    <row r="582">
      <c r="D582" s="139"/>
      <c r="E582" s="139"/>
      <c r="V582" s="139"/>
    </row>
    <row r="583">
      <c r="D583" s="139"/>
      <c r="E583" s="139"/>
      <c r="V583" s="139"/>
    </row>
    <row r="584">
      <c r="D584" s="139"/>
      <c r="E584" s="139"/>
      <c r="V584" s="139"/>
    </row>
    <row r="585">
      <c r="D585" s="139"/>
      <c r="E585" s="139"/>
      <c r="V585" s="139"/>
    </row>
    <row r="586">
      <c r="D586" s="139"/>
      <c r="E586" s="139"/>
      <c r="V586" s="139"/>
    </row>
    <row r="587">
      <c r="D587" s="139"/>
      <c r="E587" s="139"/>
      <c r="V587" s="139"/>
    </row>
    <row r="588">
      <c r="D588" s="139"/>
      <c r="E588" s="139"/>
      <c r="V588" s="139"/>
    </row>
    <row r="589">
      <c r="D589" s="139"/>
      <c r="E589" s="139"/>
      <c r="V589" s="139"/>
    </row>
    <row r="590">
      <c r="D590" s="139"/>
      <c r="E590" s="139"/>
      <c r="V590" s="139"/>
    </row>
    <row r="591">
      <c r="D591" s="139"/>
      <c r="E591" s="139"/>
      <c r="V591" s="139"/>
    </row>
    <row r="592">
      <c r="D592" s="139"/>
      <c r="E592" s="139"/>
      <c r="V592" s="139"/>
    </row>
    <row r="593">
      <c r="D593" s="139"/>
      <c r="E593" s="139"/>
      <c r="V593" s="139"/>
    </row>
    <row r="594">
      <c r="D594" s="139"/>
      <c r="E594" s="139"/>
      <c r="V594" s="139"/>
    </row>
    <row r="595">
      <c r="D595" s="139"/>
      <c r="E595" s="139"/>
      <c r="V595" s="139"/>
    </row>
    <row r="596">
      <c r="D596" s="139"/>
      <c r="E596" s="139"/>
      <c r="V596" s="139"/>
    </row>
    <row r="597">
      <c r="D597" s="139"/>
      <c r="E597" s="139"/>
      <c r="V597" s="139"/>
    </row>
    <row r="598">
      <c r="D598" s="139"/>
      <c r="E598" s="139"/>
      <c r="V598" s="139"/>
    </row>
    <row r="599">
      <c r="D599" s="139"/>
      <c r="E599" s="139"/>
      <c r="V599" s="139"/>
    </row>
    <row r="600">
      <c r="D600" s="139"/>
      <c r="E600" s="139"/>
      <c r="V600" s="139"/>
    </row>
    <row r="601">
      <c r="D601" s="139"/>
      <c r="E601" s="139"/>
      <c r="V601" s="139"/>
    </row>
    <row r="602">
      <c r="D602" s="139"/>
      <c r="E602" s="139"/>
      <c r="V602" s="139"/>
    </row>
    <row r="603">
      <c r="D603" s="139"/>
      <c r="E603" s="139"/>
      <c r="V603" s="139"/>
    </row>
    <row r="604">
      <c r="D604" s="139"/>
      <c r="E604" s="139"/>
      <c r="V604" s="139"/>
    </row>
    <row r="605">
      <c r="D605" s="139"/>
      <c r="E605" s="139"/>
      <c r="V605" s="139"/>
    </row>
    <row r="606">
      <c r="D606" s="139"/>
      <c r="E606" s="139"/>
      <c r="V606" s="139"/>
    </row>
    <row r="607">
      <c r="D607" s="139"/>
      <c r="E607" s="139"/>
      <c r="V607" s="139"/>
    </row>
    <row r="608">
      <c r="D608" s="139"/>
      <c r="E608" s="139"/>
      <c r="V608" s="139"/>
    </row>
    <row r="609">
      <c r="D609" s="139"/>
      <c r="E609" s="139"/>
      <c r="V609" s="139"/>
    </row>
    <row r="610">
      <c r="D610" s="139"/>
      <c r="E610" s="139"/>
      <c r="V610" s="139"/>
    </row>
    <row r="611">
      <c r="D611" s="139"/>
      <c r="E611" s="139"/>
      <c r="V611" s="139"/>
    </row>
    <row r="612">
      <c r="D612" s="139"/>
      <c r="E612" s="139"/>
      <c r="V612" s="139"/>
    </row>
    <row r="613">
      <c r="D613" s="139"/>
      <c r="E613" s="139"/>
      <c r="V613" s="139"/>
    </row>
    <row r="614">
      <c r="D614" s="139"/>
      <c r="E614" s="139"/>
      <c r="V614" s="139"/>
    </row>
    <row r="615">
      <c r="D615" s="139"/>
      <c r="E615" s="139"/>
      <c r="V615" s="139"/>
    </row>
    <row r="616">
      <c r="D616" s="139"/>
      <c r="E616" s="139"/>
      <c r="V616" s="139"/>
    </row>
    <row r="617">
      <c r="D617" s="139"/>
      <c r="E617" s="139"/>
      <c r="V617" s="139"/>
    </row>
    <row r="618">
      <c r="D618" s="139"/>
      <c r="E618" s="139"/>
      <c r="V618" s="139"/>
    </row>
    <row r="619">
      <c r="D619" s="139"/>
      <c r="E619" s="139"/>
      <c r="V619" s="139"/>
    </row>
    <row r="620">
      <c r="D620" s="139"/>
      <c r="E620" s="139"/>
      <c r="V620" s="139"/>
    </row>
    <row r="621">
      <c r="D621" s="139"/>
      <c r="E621" s="139"/>
      <c r="V621" s="139"/>
    </row>
    <row r="622">
      <c r="D622" s="139"/>
      <c r="E622" s="139"/>
      <c r="V622" s="139"/>
    </row>
    <row r="623">
      <c r="D623" s="139"/>
      <c r="E623" s="139"/>
      <c r="V623" s="139"/>
    </row>
    <row r="624">
      <c r="D624" s="139"/>
      <c r="E624" s="139"/>
      <c r="V624" s="139"/>
    </row>
    <row r="625">
      <c r="D625" s="139"/>
      <c r="E625" s="139"/>
      <c r="V625" s="139"/>
    </row>
    <row r="626">
      <c r="D626" s="139"/>
      <c r="E626" s="139"/>
      <c r="V626" s="139"/>
    </row>
    <row r="627">
      <c r="D627" s="139"/>
      <c r="E627" s="139"/>
      <c r="V627" s="139"/>
    </row>
    <row r="628">
      <c r="D628" s="139"/>
      <c r="E628" s="139"/>
      <c r="V628" s="139"/>
    </row>
    <row r="629">
      <c r="D629" s="139"/>
      <c r="E629" s="139"/>
      <c r="V629" s="139"/>
    </row>
    <row r="630">
      <c r="D630" s="139"/>
      <c r="E630" s="139"/>
      <c r="V630" s="139"/>
    </row>
    <row r="631">
      <c r="D631" s="139"/>
      <c r="E631" s="139"/>
      <c r="V631" s="139"/>
    </row>
    <row r="632">
      <c r="D632" s="139"/>
      <c r="E632" s="139"/>
      <c r="V632" s="139"/>
    </row>
    <row r="633">
      <c r="D633" s="139"/>
      <c r="E633" s="139"/>
      <c r="V633" s="139"/>
    </row>
    <row r="634">
      <c r="D634" s="139"/>
      <c r="E634" s="139"/>
      <c r="V634" s="139"/>
    </row>
    <row r="635">
      <c r="D635" s="139"/>
      <c r="E635" s="139"/>
      <c r="V635" s="139"/>
    </row>
    <row r="636">
      <c r="D636" s="139"/>
      <c r="E636" s="139"/>
      <c r="V636" s="139"/>
    </row>
    <row r="637">
      <c r="D637" s="139"/>
      <c r="E637" s="139"/>
      <c r="V637" s="139"/>
    </row>
    <row r="638">
      <c r="D638" s="139"/>
      <c r="E638" s="139"/>
      <c r="V638" s="139"/>
    </row>
    <row r="639">
      <c r="D639" s="139"/>
      <c r="E639" s="139"/>
      <c r="V639" s="139"/>
    </row>
    <row r="640">
      <c r="D640" s="139"/>
      <c r="E640" s="139"/>
      <c r="V640" s="139"/>
    </row>
    <row r="641">
      <c r="D641" s="139"/>
      <c r="E641" s="139"/>
      <c r="V641" s="139"/>
    </row>
    <row r="642">
      <c r="D642" s="139"/>
      <c r="E642" s="139"/>
      <c r="V642" s="139"/>
    </row>
    <row r="643">
      <c r="D643" s="139"/>
      <c r="E643" s="139"/>
      <c r="V643" s="139"/>
    </row>
    <row r="644">
      <c r="D644" s="139"/>
      <c r="E644" s="139"/>
      <c r="V644" s="139"/>
    </row>
    <row r="645">
      <c r="D645" s="139"/>
      <c r="E645" s="139"/>
      <c r="V645" s="139"/>
    </row>
    <row r="646">
      <c r="D646" s="139"/>
      <c r="E646" s="139"/>
      <c r="V646" s="139"/>
    </row>
    <row r="647">
      <c r="D647" s="139"/>
      <c r="E647" s="139"/>
      <c r="V647" s="139"/>
    </row>
    <row r="648">
      <c r="D648" s="139"/>
      <c r="E648" s="139"/>
      <c r="V648" s="139"/>
    </row>
    <row r="649">
      <c r="D649" s="139"/>
      <c r="E649" s="139"/>
      <c r="V649" s="139"/>
    </row>
    <row r="650">
      <c r="D650" s="139"/>
      <c r="E650" s="139"/>
      <c r="V650" s="139"/>
    </row>
    <row r="651">
      <c r="D651" s="139"/>
      <c r="E651" s="139"/>
      <c r="V651" s="139"/>
    </row>
    <row r="652">
      <c r="D652" s="139"/>
      <c r="E652" s="139"/>
      <c r="V652" s="139"/>
    </row>
    <row r="653">
      <c r="D653" s="139"/>
      <c r="E653" s="139"/>
      <c r="V653" s="139"/>
    </row>
    <row r="654">
      <c r="D654" s="139"/>
      <c r="E654" s="139"/>
      <c r="V654" s="139"/>
    </row>
    <row r="655">
      <c r="D655" s="139"/>
      <c r="E655" s="139"/>
      <c r="V655" s="139"/>
    </row>
    <row r="656">
      <c r="D656" s="139"/>
      <c r="E656" s="139"/>
      <c r="V656" s="139"/>
    </row>
    <row r="657">
      <c r="D657" s="139"/>
      <c r="E657" s="139"/>
      <c r="V657" s="139"/>
    </row>
    <row r="658">
      <c r="D658" s="139"/>
      <c r="E658" s="139"/>
      <c r="V658" s="139"/>
    </row>
    <row r="659">
      <c r="D659" s="139"/>
      <c r="E659" s="139"/>
      <c r="V659" s="139"/>
    </row>
    <row r="660">
      <c r="D660" s="139"/>
      <c r="E660" s="139"/>
      <c r="V660" s="139"/>
    </row>
    <row r="661">
      <c r="D661" s="139"/>
      <c r="E661" s="139"/>
      <c r="V661" s="139"/>
    </row>
    <row r="662">
      <c r="D662" s="139"/>
      <c r="E662" s="139"/>
      <c r="V662" s="139"/>
    </row>
    <row r="663">
      <c r="D663" s="139"/>
      <c r="E663" s="139"/>
      <c r="V663" s="139"/>
    </row>
    <row r="664">
      <c r="D664" s="139"/>
      <c r="E664" s="139"/>
      <c r="V664" s="139"/>
    </row>
    <row r="665">
      <c r="D665" s="139"/>
      <c r="E665" s="139"/>
      <c r="V665" s="139"/>
    </row>
    <row r="666">
      <c r="D666" s="139"/>
      <c r="E666" s="139"/>
      <c r="V666" s="139"/>
    </row>
    <row r="667">
      <c r="D667" s="139"/>
      <c r="E667" s="139"/>
      <c r="V667" s="139"/>
    </row>
    <row r="668">
      <c r="D668" s="139"/>
      <c r="E668" s="139"/>
      <c r="V668" s="139"/>
    </row>
    <row r="669">
      <c r="D669" s="139"/>
      <c r="E669" s="139"/>
      <c r="V669" s="139"/>
    </row>
    <row r="670">
      <c r="D670" s="139"/>
      <c r="E670" s="139"/>
      <c r="V670" s="139"/>
    </row>
    <row r="671">
      <c r="D671" s="139"/>
      <c r="E671" s="139"/>
      <c r="V671" s="139"/>
    </row>
    <row r="672">
      <c r="D672" s="139"/>
      <c r="E672" s="139"/>
      <c r="V672" s="139"/>
    </row>
    <row r="673">
      <c r="D673" s="139"/>
      <c r="E673" s="139"/>
      <c r="V673" s="139"/>
    </row>
    <row r="674">
      <c r="D674" s="139"/>
      <c r="E674" s="139"/>
      <c r="V674" s="139"/>
    </row>
    <row r="675">
      <c r="D675" s="139"/>
      <c r="E675" s="139"/>
      <c r="V675" s="139"/>
    </row>
    <row r="676">
      <c r="D676" s="139"/>
      <c r="E676" s="139"/>
      <c r="V676" s="139"/>
    </row>
    <row r="677">
      <c r="D677" s="139"/>
      <c r="E677" s="139"/>
      <c r="V677" s="139"/>
    </row>
    <row r="678">
      <c r="D678" s="139"/>
      <c r="E678" s="139"/>
      <c r="V678" s="139"/>
    </row>
    <row r="679">
      <c r="D679" s="139"/>
      <c r="E679" s="139"/>
      <c r="V679" s="139"/>
    </row>
    <row r="680">
      <c r="D680" s="139"/>
      <c r="E680" s="139"/>
      <c r="V680" s="139"/>
    </row>
    <row r="681">
      <c r="D681" s="139"/>
      <c r="E681" s="139"/>
      <c r="V681" s="139"/>
    </row>
    <row r="682">
      <c r="D682" s="139"/>
      <c r="E682" s="139"/>
      <c r="V682" s="139"/>
    </row>
    <row r="683">
      <c r="D683" s="139"/>
      <c r="E683" s="139"/>
      <c r="V683" s="139"/>
    </row>
    <row r="684">
      <c r="D684" s="139"/>
      <c r="E684" s="139"/>
      <c r="V684" s="139"/>
    </row>
    <row r="685">
      <c r="D685" s="139"/>
      <c r="E685" s="139"/>
      <c r="V685" s="139"/>
    </row>
    <row r="686">
      <c r="D686" s="139"/>
      <c r="E686" s="139"/>
      <c r="V686" s="139"/>
    </row>
    <row r="687">
      <c r="D687" s="139"/>
      <c r="E687" s="139"/>
      <c r="V687" s="139"/>
    </row>
    <row r="688">
      <c r="D688" s="139"/>
      <c r="E688" s="139"/>
      <c r="V688" s="139"/>
    </row>
    <row r="689">
      <c r="D689" s="139"/>
      <c r="E689" s="139"/>
      <c r="V689" s="139"/>
    </row>
    <row r="690">
      <c r="D690" s="139"/>
      <c r="E690" s="139"/>
      <c r="V690" s="139"/>
    </row>
    <row r="691">
      <c r="D691" s="139"/>
      <c r="E691" s="139"/>
      <c r="V691" s="139"/>
    </row>
    <row r="692">
      <c r="D692" s="139"/>
      <c r="E692" s="139"/>
      <c r="V692" s="139"/>
    </row>
    <row r="693">
      <c r="D693" s="139"/>
      <c r="E693" s="139"/>
      <c r="V693" s="139"/>
    </row>
    <row r="694">
      <c r="D694" s="139"/>
      <c r="E694" s="139"/>
      <c r="V694" s="139"/>
    </row>
    <row r="695">
      <c r="D695" s="139"/>
      <c r="E695" s="139"/>
      <c r="V695" s="139"/>
    </row>
    <row r="696">
      <c r="D696" s="139"/>
      <c r="E696" s="139"/>
      <c r="V696" s="139"/>
    </row>
    <row r="697">
      <c r="D697" s="139"/>
      <c r="E697" s="139"/>
      <c r="V697" s="139"/>
    </row>
    <row r="698">
      <c r="D698" s="139"/>
      <c r="E698" s="139"/>
      <c r="V698" s="139"/>
    </row>
    <row r="699">
      <c r="D699" s="139"/>
      <c r="E699" s="139"/>
      <c r="V699" s="139"/>
    </row>
    <row r="700">
      <c r="D700" s="139"/>
      <c r="E700" s="139"/>
      <c r="V700" s="139"/>
    </row>
    <row r="701">
      <c r="D701" s="139"/>
      <c r="E701" s="139"/>
      <c r="V701" s="139"/>
    </row>
    <row r="702">
      <c r="D702" s="139"/>
      <c r="E702" s="139"/>
      <c r="V702" s="139"/>
    </row>
    <row r="703">
      <c r="D703" s="139"/>
      <c r="E703" s="139"/>
      <c r="V703" s="139"/>
    </row>
    <row r="704">
      <c r="D704" s="139"/>
      <c r="E704" s="139"/>
      <c r="V704" s="139"/>
    </row>
    <row r="705">
      <c r="D705" s="139"/>
      <c r="E705" s="139"/>
      <c r="V705" s="139"/>
    </row>
    <row r="706">
      <c r="D706" s="139"/>
      <c r="E706" s="139"/>
      <c r="V706" s="139"/>
    </row>
    <row r="707">
      <c r="D707" s="139"/>
      <c r="E707" s="139"/>
      <c r="V707" s="139"/>
    </row>
    <row r="708">
      <c r="D708" s="139"/>
      <c r="E708" s="139"/>
      <c r="V708" s="139"/>
    </row>
    <row r="709">
      <c r="D709" s="139"/>
      <c r="E709" s="139"/>
      <c r="V709" s="139"/>
    </row>
    <row r="710">
      <c r="D710" s="139"/>
      <c r="E710" s="139"/>
      <c r="V710" s="139"/>
    </row>
    <row r="711">
      <c r="D711" s="139"/>
      <c r="E711" s="139"/>
      <c r="V711" s="139"/>
    </row>
    <row r="712">
      <c r="D712" s="139"/>
      <c r="E712" s="139"/>
      <c r="V712" s="139"/>
    </row>
    <row r="713">
      <c r="D713" s="139"/>
      <c r="E713" s="139"/>
      <c r="V713" s="139"/>
    </row>
    <row r="714">
      <c r="D714" s="139"/>
      <c r="E714" s="139"/>
      <c r="V714" s="139"/>
    </row>
    <row r="715">
      <c r="D715" s="139"/>
      <c r="E715" s="139"/>
      <c r="V715" s="139"/>
    </row>
    <row r="716">
      <c r="D716" s="139"/>
      <c r="E716" s="139"/>
      <c r="V716" s="139"/>
    </row>
    <row r="717">
      <c r="D717" s="139"/>
      <c r="E717" s="139"/>
      <c r="V717" s="139"/>
    </row>
    <row r="718">
      <c r="D718" s="139"/>
      <c r="E718" s="139"/>
      <c r="V718" s="139"/>
    </row>
    <row r="719">
      <c r="D719" s="139"/>
      <c r="E719" s="139"/>
      <c r="V719" s="139"/>
    </row>
    <row r="720">
      <c r="D720" s="139"/>
      <c r="E720" s="139"/>
      <c r="V720" s="139"/>
    </row>
    <row r="721">
      <c r="D721" s="139"/>
      <c r="E721" s="139"/>
      <c r="V721" s="139"/>
    </row>
    <row r="722">
      <c r="D722" s="139"/>
      <c r="E722" s="139"/>
      <c r="V722" s="139"/>
    </row>
    <row r="723">
      <c r="D723" s="139"/>
      <c r="E723" s="139"/>
      <c r="V723" s="139"/>
    </row>
    <row r="724">
      <c r="D724" s="139"/>
      <c r="E724" s="139"/>
      <c r="V724" s="139"/>
    </row>
    <row r="725">
      <c r="D725" s="139"/>
      <c r="E725" s="139"/>
      <c r="V725" s="139"/>
    </row>
    <row r="726">
      <c r="D726" s="139"/>
      <c r="E726" s="139"/>
      <c r="V726" s="139"/>
    </row>
    <row r="727">
      <c r="D727" s="139"/>
      <c r="E727" s="139"/>
      <c r="V727" s="139"/>
    </row>
    <row r="728">
      <c r="D728" s="139"/>
      <c r="E728" s="139"/>
      <c r="V728" s="139"/>
    </row>
    <row r="729">
      <c r="D729" s="139"/>
      <c r="E729" s="139"/>
      <c r="V729" s="139"/>
    </row>
    <row r="730">
      <c r="D730" s="139"/>
      <c r="E730" s="139"/>
      <c r="V730" s="139"/>
    </row>
    <row r="731">
      <c r="D731" s="139"/>
      <c r="E731" s="139"/>
      <c r="V731" s="139"/>
    </row>
    <row r="732">
      <c r="D732" s="139"/>
      <c r="E732" s="139"/>
      <c r="V732" s="139"/>
    </row>
    <row r="733">
      <c r="D733" s="139"/>
      <c r="E733" s="139"/>
      <c r="V733" s="139"/>
    </row>
    <row r="734">
      <c r="D734" s="139"/>
      <c r="E734" s="139"/>
      <c r="V734" s="139"/>
    </row>
    <row r="735">
      <c r="D735" s="139"/>
      <c r="E735" s="139"/>
      <c r="V735" s="139"/>
    </row>
    <row r="736">
      <c r="D736" s="139"/>
      <c r="E736" s="139"/>
      <c r="V736" s="139"/>
    </row>
    <row r="737">
      <c r="D737" s="139"/>
      <c r="E737" s="139"/>
      <c r="V737" s="139"/>
    </row>
    <row r="738">
      <c r="D738" s="139"/>
      <c r="E738" s="139"/>
      <c r="V738" s="139"/>
    </row>
    <row r="739">
      <c r="D739" s="139"/>
      <c r="E739" s="139"/>
      <c r="V739" s="139"/>
    </row>
    <row r="740">
      <c r="D740" s="139"/>
      <c r="E740" s="139"/>
      <c r="V740" s="139"/>
    </row>
    <row r="741">
      <c r="D741" s="139"/>
      <c r="E741" s="139"/>
      <c r="V741" s="139"/>
    </row>
    <row r="742">
      <c r="D742" s="139"/>
      <c r="E742" s="139"/>
      <c r="V742" s="139"/>
    </row>
    <row r="743">
      <c r="D743" s="139"/>
      <c r="E743" s="139"/>
      <c r="V743" s="139"/>
    </row>
    <row r="744">
      <c r="D744" s="139"/>
      <c r="E744" s="139"/>
      <c r="V744" s="139"/>
    </row>
    <row r="745">
      <c r="D745" s="139"/>
      <c r="E745" s="139"/>
      <c r="V745" s="139"/>
    </row>
    <row r="746">
      <c r="D746" s="139"/>
      <c r="E746" s="139"/>
      <c r="V746" s="139"/>
    </row>
    <row r="747">
      <c r="D747" s="139"/>
      <c r="E747" s="139"/>
      <c r="V747" s="139"/>
    </row>
    <row r="748">
      <c r="D748" s="139"/>
      <c r="E748" s="139"/>
      <c r="V748" s="139"/>
    </row>
    <row r="749">
      <c r="D749" s="139"/>
      <c r="E749" s="139"/>
      <c r="V749" s="139"/>
    </row>
    <row r="750">
      <c r="D750" s="139"/>
      <c r="E750" s="139"/>
      <c r="V750" s="139"/>
    </row>
    <row r="751">
      <c r="D751" s="139"/>
      <c r="E751" s="139"/>
      <c r="V751" s="139"/>
    </row>
    <row r="752">
      <c r="D752" s="139"/>
      <c r="E752" s="139"/>
      <c r="V752" s="139"/>
    </row>
    <row r="753">
      <c r="D753" s="139"/>
      <c r="E753" s="139"/>
      <c r="V753" s="139"/>
    </row>
    <row r="754">
      <c r="D754" s="139"/>
      <c r="E754" s="139"/>
      <c r="V754" s="139"/>
    </row>
    <row r="755">
      <c r="D755" s="139"/>
      <c r="E755" s="139"/>
      <c r="V755" s="139"/>
    </row>
    <row r="756">
      <c r="D756" s="139"/>
      <c r="E756" s="139"/>
      <c r="V756" s="139"/>
    </row>
    <row r="757">
      <c r="D757" s="139"/>
      <c r="E757" s="139"/>
      <c r="V757" s="139"/>
    </row>
    <row r="758">
      <c r="D758" s="139"/>
      <c r="E758" s="139"/>
      <c r="V758" s="139"/>
    </row>
    <row r="759">
      <c r="D759" s="139"/>
      <c r="E759" s="139"/>
      <c r="V759" s="139"/>
    </row>
    <row r="760">
      <c r="D760" s="139"/>
      <c r="E760" s="139"/>
      <c r="V760" s="139"/>
    </row>
    <row r="761">
      <c r="D761" s="139"/>
      <c r="E761" s="139"/>
      <c r="V761" s="139"/>
    </row>
    <row r="762">
      <c r="D762" s="139"/>
      <c r="E762" s="139"/>
      <c r="V762" s="139"/>
    </row>
    <row r="763">
      <c r="D763" s="139"/>
      <c r="E763" s="139"/>
      <c r="V763" s="139"/>
    </row>
    <row r="764">
      <c r="D764" s="139"/>
      <c r="E764" s="139"/>
      <c r="V764" s="139"/>
    </row>
    <row r="765">
      <c r="D765" s="139"/>
      <c r="E765" s="139"/>
      <c r="V765" s="139"/>
    </row>
    <row r="766">
      <c r="D766" s="139"/>
      <c r="E766" s="139"/>
      <c r="V766" s="139"/>
    </row>
    <row r="767">
      <c r="D767" s="139"/>
      <c r="E767" s="139"/>
      <c r="V767" s="139"/>
    </row>
    <row r="768">
      <c r="D768" s="139"/>
      <c r="E768" s="139"/>
      <c r="V768" s="139"/>
    </row>
    <row r="769">
      <c r="D769" s="139"/>
      <c r="E769" s="139"/>
      <c r="V769" s="139"/>
    </row>
    <row r="770">
      <c r="D770" s="139"/>
      <c r="E770" s="139"/>
      <c r="V770" s="139"/>
    </row>
    <row r="771">
      <c r="D771" s="139"/>
      <c r="E771" s="139"/>
      <c r="V771" s="139"/>
    </row>
    <row r="772">
      <c r="D772" s="139"/>
      <c r="E772" s="139"/>
      <c r="V772" s="139"/>
    </row>
    <row r="773">
      <c r="D773" s="139"/>
      <c r="E773" s="139"/>
      <c r="V773" s="139"/>
    </row>
    <row r="774">
      <c r="D774" s="139"/>
      <c r="E774" s="139"/>
      <c r="V774" s="139"/>
    </row>
    <row r="775">
      <c r="D775" s="139"/>
      <c r="E775" s="139"/>
      <c r="V775" s="139"/>
    </row>
    <row r="776">
      <c r="D776" s="139"/>
      <c r="E776" s="139"/>
      <c r="V776" s="139"/>
    </row>
    <row r="777">
      <c r="D777" s="139"/>
      <c r="E777" s="139"/>
      <c r="V777" s="139"/>
    </row>
    <row r="778">
      <c r="D778" s="139"/>
      <c r="E778" s="139"/>
      <c r="V778" s="139"/>
    </row>
    <row r="779">
      <c r="D779" s="139"/>
      <c r="E779" s="139"/>
      <c r="V779" s="139"/>
    </row>
    <row r="780">
      <c r="D780" s="139"/>
      <c r="E780" s="139"/>
      <c r="V780" s="139"/>
    </row>
    <row r="781">
      <c r="D781" s="139"/>
      <c r="E781" s="139"/>
      <c r="V781" s="139"/>
    </row>
    <row r="782">
      <c r="D782" s="139"/>
      <c r="E782" s="139"/>
      <c r="V782" s="139"/>
    </row>
    <row r="783">
      <c r="D783" s="139"/>
      <c r="E783" s="139"/>
      <c r="V783" s="139"/>
    </row>
    <row r="784">
      <c r="D784" s="139"/>
      <c r="E784" s="139"/>
      <c r="V784" s="139"/>
    </row>
    <row r="785">
      <c r="D785" s="139"/>
      <c r="E785" s="139"/>
      <c r="V785" s="139"/>
    </row>
    <row r="786">
      <c r="D786" s="139"/>
      <c r="E786" s="139"/>
      <c r="V786" s="139"/>
    </row>
    <row r="787">
      <c r="D787" s="139"/>
      <c r="E787" s="139"/>
      <c r="V787" s="139"/>
    </row>
    <row r="788">
      <c r="D788" s="139"/>
      <c r="E788" s="139"/>
      <c r="V788" s="139"/>
    </row>
    <row r="789">
      <c r="D789" s="139"/>
      <c r="E789" s="139"/>
      <c r="V789" s="139"/>
    </row>
    <row r="790">
      <c r="D790" s="139"/>
      <c r="E790" s="139"/>
      <c r="V790" s="139"/>
    </row>
    <row r="791">
      <c r="D791" s="139"/>
      <c r="E791" s="139"/>
      <c r="V791" s="139"/>
    </row>
    <row r="792">
      <c r="D792" s="139"/>
      <c r="E792" s="139"/>
      <c r="V792" s="139"/>
    </row>
    <row r="793">
      <c r="D793" s="139"/>
      <c r="E793" s="139"/>
      <c r="V793" s="139"/>
    </row>
    <row r="794">
      <c r="D794" s="139"/>
      <c r="E794" s="139"/>
      <c r="V794" s="139"/>
    </row>
    <row r="795">
      <c r="D795" s="139"/>
      <c r="E795" s="139"/>
      <c r="V795" s="139"/>
    </row>
    <row r="796">
      <c r="D796" s="139"/>
      <c r="E796" s="139"/>
      <c r="V796" s="139"/>
    </row>
    <row r="797">
      <c r="D797" s="139"/>
      <c r="E797" s="139"/>
      <c r="V797" s="139"/>
    </row>
    <row r="798">
      <c r="D798" s="139"/>
      <c r="E798" s="139"/>
      <c r="V798" s="139"/>
    </row>
    <row r="799">
      <c r="D799" s="139"/>
      <c r="E799" s="139"/>
      <c r="V799" s="139"/>
    </row>
    <row r="800">
      <c r="D800" s="139"/>
      <c r="E800" s="139"/>
      <c r="V800" s="139"/>
    </row>
    <row r="801">
      <c r="D801" s="139"/>
      <c r="E801" s="139"/>
      <c r="V801" s="139"/>
    </row>
    <row r="802">
      <c r="D802" s="139"/>
      <c r="E802" s="139"/>
      <c r="V802" s="139"/>
    </row>
    <row r="803">
      <c r="D803" s="139"/>
      <c r="E803" s="139"/>
      <c r="V803" s="139"/>
    </row>
    <row r="804">
      <c r="D804" s="139"/>
      <c r="E804" s="139"/>
      <c r="V804" s="139"/>
    </row>
    <row r="805">
      <c r="D805" s="139"/>
      <c r="E805" s="139"/>
      <c r="V805" s="139"/>
    </row>
    <row r="806">
      <c r="D806" s="139"/>
      <c r="E806" s="139"/>
      <c r="V806" s="139"/>
    </row>
    <row r="807">
      <c r="D807" s="139"/>
      <c r="E807" s="139"/>
      <c r="V807" s="139"/>
    </row>
    <row r="808">
      <c r="D808" s="139"/>
      <c r="E808" s="139"/>
      <c r="V808" s="139"/>
    </row>
    <row r="809">
      <c r="D809" s="139"/>
      <c r="E809" s="139"/>
      <c r="V809" s="139"/>
    </row>
    <row r="810">
      <c r="D810" s="139"/>
      <c r="E810" s="139"/>
      <c r="V810" s="139"/>
    </row>
    <row r="811">
      <c r="D811" s="139"/>
      <c r="E811" s="139"/>
      <c r="V811" s="139"/>
    </row>
    <row r="812">
      <c r="D812" s="139"/>
      <c r="E812" s="139"/>
      <c r="V812" s="139"/>
    </row>
    <row r="813">
      <c r="D813" s="139"/>
      <c r="E813" s="139"/>
      <c r="V813" s="139"/>
    </row>
    <row r="814">
      <c r="D814" s="139"/>
      <c r="E814" s="139"/>
      <c r="V814" s="139"/>
    </row>
    <row r="815">
      <c r="D815" s="139"/>
      <c r="E815" s="139"/>
      <c r="V815" s="139"/>
    </row>
    <row r="816">
      <c r="D816" s="139"/>
      <c r="E816" s="139"/>
      <c r="V816" s="139"/>
    </row>
    <row r="817">
      <c r="D817" s="139"/>
      <c r="E817" s="139"/>
      <c r="V817" s="139"/>
    </row>
    <row r="818">
      <c r="D818" s="139"/>
      <c r="E818" s="139"/>
      <c r="V818" s="139"/>
    </row>
    <row r="819">
      <c r="D819" s="139"/>
      <c r="E819" s="139"/>
      <c r="V819" s="139"/>
    </row>
    <row r="820">
      <c r="D820" s="139"/>
      <c r="E820" s="139"/>
      <c r="V820" s="139"/>
    </row>
    <row r="821">
      <c r="D821" s="139"/>
      <c r="E821" s="139"/>
      <c r="V821" s="139"/>
    </row>
    <row r="822">
      <c r="D822" s="139"/>
      <c r="E822" s="139"/>
      <c r="V822" s="139"/>
    </row>
    <row r="823">
      <c r="D823" s="139"/>
      <c r="E823" s="139"/>
      <c r="V823" s="139"/>
    </row>
    <row r="824">
      <c r="D824" s="139"/>
      <c r="E824" s="139"/>
      <c r="V824" s="139"/>
    </row>
    <row r="825">
      <c r="D825" s="139"/>
      <c r="E825" s="139"/>
      <c r="V825" s="139"/>
    </row>
    <row r="826">
      <c r="D826" s="139"/>
      <c r="E826" s="139"/>
      <c r="V826" s="139"/>
    </row>
    <row r="827">
      <c r="D827" s="139"/>
      <c r="E827" s="139"/>
      <c r="V827" s="139"/>
    </row>
    <row r="828">
      <c r="D828" s="139"/>
      <c r="E828" s="139"/>
      <c r="V828" s="139"/>
    </row>
    <row r="829">
      <c r="D829" s="139"/>
      <c r="E829" s="139"/>
      <c r="V829" s="139"/>
    </row>
    <row r="830">
      <c r="D830" s="139"/>
      <c r="E830" s="139"/>
      <c r="V830" s="139"/>
    </row>
    <row r="831">
      <c r="D831" s="139"/>
      <c r="E831" s="139"/>
      <c r="V831" s="139"/>
    </row>
    <row r="832">
      <c r="D832" s="139"/>
      <c r="E832" s="139"/>
      <c r="V832" s="139"/>
    </row>
    <row r="833">
      <c r="D833" s="139"/>
      <c r="E833" s="139"/>
      <c r="V833" s="139"/>
    </row>
    <row r="834">
      <c r="D834" s="139"/>
      <c r="E834" s="139"/>
      <c r="V834" s="139"/>
    </row>
    <row r="835">
      <c r="D835" s="139"/>
      <c r="E835" s="139"/>
      <c r="V835" s="139"/>
    </row>
    <row r="836">
      <c r="D836" s="139"/>
      <c r="E836" s="139"/>
      <c r="V836" s="139"/>
    </row>
    <row r="837">
      <c r="D837" s="139"/>
      <c r="E837" s="139"/>
      <c r="V837" s="139"/>
    </row>
    <row r="838">
      <c r="D838" s="139"/>
      <c r="E838" s="139"/>
      <c r="V838" s="139"/>
    </row>
    <row r="839">
      <c r="D839" s="139"/>
      <c r="E839" s="139"/>
      <c r="V839" s="139"/>
    </row>
    <row r="840">
      <c r="D840" s="139"/>
      <c r="E840" s="139"/>
      <c r="V840" s="139"/>
    </row>
    <row r="841">
      <c r="D841" s="139"/>
      <c r="E841" s="139"/>
      <c r="V841" s="139"/>
    </row>
    <row r="842">
      <c r="D842" s="139"/>
      <c r="E842" s="139"/>
      <c r="V842" s="139"/>
    </row>
    <row r="843">
      <c r="D843" s="139"/>
      <c r="E843" s="139"/>
      <c r="V843" s="139"/>
    </row>
    <row r="844">
      <c r="D844" s="139"/>
      <c r="E844" s="139"/>
      <c r="V844" s="139"/>
    </row>
    <row r="845">
      <c r="D845" s="139"/>
      <c r="E845" s="139"/>
      <c r="V845" s="139"/>
    </row>
    <row r="846">
      <c r="D846" s="139"/>
      <c r="E846" s="139"/>
      <c r="V846" s="139"/>
    </row>
    <row r="847">
      <c r="D847" s="139"/>
      <c r="E847" s="139"/>
      <c r="V847" s="139"/>
    </row>
    <row r="848">
      <c r="D848" s="139"/>
      <c r="E848" s="139"/>
      <c r="V848" s="139"/>
    </row>
    <row r="849">
      <c r="D849" s="139"/>
      <c r="E849" s="139"/>
      <c r="V849" s="139"/>
    </row>
    <row r="850">
      <c r="D850" s="139"/>
      <c r="E850" s="139"/>
      <c r="V850" s="139"/>
    </row>
    <row r="851">
      <c r="D851" s="139"/>
      <c r="E851" s="139"/>
      <c r="V851" s="139"/>
    </row>
    <row r="852">
      <c r="D852" s="139"/>
      <c r="E852" s="139"/>
      <c r="V852" s="139"/>
    </row>
    <row r="853">
      <c r="D853" s="139"/>
      <c r="E853" s="139"/>
      <c r="V853" s="139"/>
    </row>
    <row r="854">
      <c r="D854" s="139"/>
      <c r="E854" s="139"/>
      <c r="V854" s="139"/>
    </row>
    <row r="855">
      <c r="D855" s="139"/>
      <c r="E855" s="139"/>
      <c r="V855" s="139"/>
    </row>
    <row r="856">
      <c r="D856" s="139"/>
      <c r="E856" s="139"/>
      <c r="V856" s="139"/>
    </row>
    <row r="857">
      <c r="D857" s="139"/>
      <c r="E857" s="139"/>
      <c r="V857" s="139"/>
    </row>
    <row r="858">
      <c r="D858" s="139"/>
      <c r="E858" s="139"/>
      <c r="V858" s="139"/>
    </row>
    <row r="859">
      <c r="D859" s="139"/>
      <c r="E859" s="139"/>
      <c r="V859" s="139"/>
    </row>
    <row r="860">
      <c r="D860" s="139"/>
      <c r="E860" s="139"/>
      <c r="V860" s="139"/>
    </row>
    <row r="861">
      <c r="D861" s="139"/>
      <c r="E861" s="139"/>
      <c r="V861" s="139"/>
    </row>
    <row r="862">
      <c r="D862" s="139"/>
      <c r="E862" s="139"/>
      <c r="V862" s="139"/>
    </row>
    <row r="863">
      <c r="D863" s="139"/>
      <c r="E863" s="139"/>
      <c r="V863" s="139"/>
    </row>
    <row r="864">
      <c r="D864" s="139"/>
      <c r="E864" s="139"/>
      <c r="V864" s="139"/>
    </row>
    <row r="865">
      <c r="D865" s="139"/>
      <c r="E865" s="139"/>
      <c r="V865" s="139"/>
    </row>
    <row r="866">
      <c r="D866" s="139"/>
      <c r="E866" s="139"/>
      <c r="V866" s="139"/>
    </row>
    <row r="867">
      <c r="D867" s="139"/>
      <c r="E867" s="139"/>
      <c r="V867" s="139"/>
    </row>
    <row r="868">
      <c r="D868" s="139"/>
      <c r="E868" s="139"/>
      <c r="V868" s="139"/>
    </row>
    <row r="869">
      <c r="D869" s="139"/>
      <c r="E869" s="139"/>
      <c r="V869" s="139"/>
    </row>
    <row r="870">
      <c r="D870" s="139"/>
      <c r="E870" s="139"/>
      <c r="V870" s="139"/>
    </row>
    <row r="871">
      <c r="D871" s="139"/>
      <c r="E871" s="139"/>
      <c r="V871" s="139"/>
    </row>
    <row r="872">
      <c r="D872" s="139"/>
      <c r="E872" s="139"/>
      <c r="V872" s="139"/>
    </row>
    <row r="873">
      <c r="D873" s="139"/>
      <c r="E873" s="139"/>
      <c r="V873" s="139"/>
    </row>
    <row r="874">
      <c r="D874" s="139"/>
      <c r="E874" s="139"/>
      <c r="V874" s="139"/>
    </row>
    <row r="875">
      <c r="D875" s="139"/>
      <c r="E875" s="139"/>
      <c r="V875" s="139"/>
    </row>
    <row r="876">
      <c r="D876" s="139"/>
      <c r="E876" s="139"/>
      <c r="V876" s="139"/>
    </row>
    <row r="877">
      <c r="D877" s="139"/>
      <c r="E877" s="139"/>
      <c r="V877" s="139"/>
    </row>
    <row r="878">
      <c r="D878" s="139"/>
      <c r="E878" s="139"/>
      <c r="V878" s="139"/>
    </row>
    <row r="879">
      <c r="D879" s="139"/>
      <c r="E879" s="139"/>
      <c r="V879" s="139"/>
    </row>
    <row r="880">
      <c r="D880" s="139"/>
      <c r="E880" s="139"/>
      <c r="V880" s="139"/>
    </row>
    <row r="881">
      <c r="D881" s="139"/>
      <c r="E881" s="139"/>
      <c r="V881" s="139"/>
    </row>
    <row r="882">
      <c r="D882" s="139"/>
      <c r="E882" s="139"/>
      <c r="V882" s="139"/>
    </row>
    <row r="883">
      <c r="D883" s="139"/>
      <c r="E883" s="139"/>
      <c r="V883" s="139"/>
    </row>
    <row r="884">
      <c r="D884" s="139"/>
      <c r="E884" s="139"/>
      <c r="V884" s="139"/>
    </row>
    <row r="885">
      <c r="D885" s="139"/>
      <c r="E885" s="139"/>
      <c r="V885" s="139"/>
    </row>
    <row r="886">
      <c r="D886" s="139"/>
      <c r="E886" s="139"/>
      <c r="V886" s="139"/>
    </row>
    <row r="887">
      <c r="D887" s="139"/>
      <c r="E887" s="139"/>
      <c r="V887" s="139"/>
    </row>
    <row r="888">
      <c r="D888" s="139"/>
      <c r="E888" s="139"/>
      <c r="V888" s="139"/>
    </row>
    <row r="889">
      <c r="D889" s="139"/>
      <c r="E889" s="139"/>
      <c r="V889" s="139"/>
    </row>
    <row r="890">
      <c r="D890" s="139"/>
      <c r="E890" s="139"/>
      <c r="V890" s="139"/>
    </row>
    <row r="891">
      <c r="D891" s="139"/>
      <c r="E891" s="139"/>
      <c r="V891" s="139"/>
    </row>
    <row r="892">
      <c r="D892" s="139"/>
      <c r="E892" s="139"/>
      <c r="V892" s="139"/>
    </row>
    <row r="893">
      <c r="D893" s="139"/>
      <c r="E893" s="139"/>
      <c r="V893" s="139"/>
    </row>
    <row r="894">
      <c r="D894" s="139"/>
      <c r="E894" s="139"/>
      <c r="V894" s="139"/>
    </row>
    <row r="895">
      <c r="D895" s="139"/>
      <c r="E895" s="139"/>
      <c r="V895" s="139"/>
    </row>
    <row r="896">
      <c r="D896" s="139"/>
      <c r="E896" s="139"/>
      <c r="V896" s="139"/>
    </row>
    <row r="897">
      <c r="D897" s="139"/>
      <c r="E897" s="139"/>
      <c r="V897" s="139"/>
    </row>
    <row r="898">
      <c r="D898" s="139"/>
      <c r="E898" s="139"/>
      <c r="V898" s="139"/>
    </row>
    <row r="899">
      <c r="D899" s="139"/>
      <c r="E899" s="139"/>
      <c r="V899" s="139"/>
    </row>
    <row r="900">
      <c r="D900" s="139"/>
      <c r="E900" s="139"/>
      <c r="V900" s="139"/>
    </row>
    <row r="901">
      <c r="D901" s="139"/>
      <c r="E901" s="139"/>
      <c r="V901" s="139"/>
    </row>
    <row r="902">
      <c r="D902" s="139"/>
      <c r="E902" s="139"/>
      <c r="V902" s="139"/>
    </row>
    <row r="903">
      <c r="D903" s="139"/>
      <c r="E903" s="139"/>
      <c r="V903" s="139"/>
    </row>
    <row r="904">
      <c r="D904" s="139"/>
      <c r="E904" s="139"/>
      <c r="V904" s="139"/>
    </row>
    <row r="905">
      <c r="D905" s="139"/>
      <c r="E905" s="139"/>
      <c r="V905" s="139"/>
    </row>
    <row r="906">
      <c r="D906" s="139"/>
      <c r="E906" s="139"/>
      <c r="V906" s="139"/>
    </row>
    <row r="907">
      <c r="D907" s="139"/>
      <c r="E907" s="139"/>
      <c r="V907" s="139"/>
    </row>
    <row r="908">
      <c r="D908" s="139"/>
      <c r="E908" s="139"/>
      <c r="V908" s="139"/>
    </row>
    <row r="909">
      <c r="D909" s="139"/>
      <c r="E909" s="139"/>
      <c r="V909" s="139"/>
    </row>
    <row r="910">
      <c r="D910" s="139"/>
      <c r="E910" s="139"/>
      <c r="V910" s="139"/>
    </row>
    <row r="911">
      <c r="D911" s="139"/>
      <c r="E911" s="139"/>
      <c r="V911" s="139"/>
    </row>
    <row r="912">
      <c r="D912" s="139"/>
      <c r="E912" s="139"/>
      <c r="V912" s="139"/>
    </row>
    <row r="913">
      <c r="D913" s="139"/>
      <c r="E913" s="139"/>
      <c r="V913" s="139"/>
    </row>
    <row r="914">
      <c r="D914" s="139"/>
      <c r="E914" s="139"/>
      <c r="V914" s="139"/>
    </row>
    <row r="915">
      <c r="D915" s="139"/>
      <c r="E915" s="139"/>
      <c r="V915" s="139"/>
    </row>
    <row r="916">
      <c r="D916" s="139"/>
      <c r="E916" s="139"/>
      <c r="V916" s="139"/>
    </row>
    <row r="917">
      <c r="D917" s="139"/>
      <c r="E917" s="139"/>
      <c r="V917" s="139"/>
    </row>
    <row r="918">
      <c r="D918" s="139"/>
      <c r="E918" s="139"/>
      <c r="V918" s="139"/>
    </row>
    <row r="919">
      <c r="D919" s="139"/>
      <c r="E919" s="139"/>
      <c r="V919" s="139"/>
    </row>
    <row r="920">
      <c r="D920" s="139"/>
      <c r="E920" s="139"/>
      <c r="V920" s="139"/>
    </row>
    <row r="921">
      <c r="D921" s="139"/>
      <c r="E921" s="139"/>
      <c r="V921" s="139"/>
    </row>
    <row r="922">
      <c r="D922" s="139"/>
      <c r="E922" s="139"/>
      <c r="V922" s="139"/>
    </row>
    <row r="923">
      <c r="D923" s="139"/>
      <c r="E923" s="139"/>
      <c r="V923" s="139"/>
    </row>
    <row r="924">
      <c r="D924" s="139"/>
      <c r="E924" s="139"/>
      <c r="V924" s="139"/>
    </row>
    <row r="925">
      <c r="D925" s="139"/>
      <c r="E925" s="139"/>
      <c r="V925" s="139"/>
    </row>
    <row r="926">
      <c r="D926" s="139"/>
      <c r="E926" s="139"/>
      <c r="V926" s="139"/>
    </row>
    <row r="927">
      <c r="D927" s="139"/>
      <c r="E927" s="139"/>
      <c r="V927" s="139"/>
    </row>
    <row r="928">
      <c r="D928" s="139"/>
      <c r="E928" s="139"/>
      <c r="V928" s="139"/>
    </row>
    <row r="929">
      <c r="D929" s="139"/>
      <c r="E929" s="139"/>
      <c r="V929" s="139"/>
    </row>
    <row r="930">
      <c r="D930" s="139"/>
      <c r="E930" s="139"/>
      <c r="V930" s="139"/>
    </row>
    <row r="931">
      <c r="D931" s="139"/>
      <c r="E931" s="139"/>
      <c r="V931" s="139"/>
    </row>
    <row r="932">
      <c r="D932" s="139"/>
      <c r="E932" s="139"/>
      <c r="V932" s="139"/>
    </row>
    <row r="933">
      <c r="D933" s="139"/>
      <c r="E933" s="139"/>
      <c r="V933" s="139"/>
    </row>
    <row r="934">
      <c r="D934" s="139"/>
      <c r="E934" s="139"/>
      <c r="V934" s="139"/>
    </row>
    <row r="935">
      <c r="D935" s="139"/>
      <c r="E935" s="139"/>
      <c r="V935" s="139"/>
    </row>
    <row r="936">
      <c r="D936" s="139"/>
      <c r="E936" s="139"/>
      <c r="V936" s="139"/>
    </row>
    <row r="937">
      <c r="D937" s="139"/>
      <c r="E937" s="139"/>
      <c r="V937" s="139"/>
    </row>
    <row r="938">
      <c r="D938" s="139"/>
      <c r="E938" s="139"/>
      <c r="V938" s="139"/>
    </row>
    <row r="939">
      <c r="D939" s="139"/>
      <c r="E939" s="139"/>
      <c r="V939" s="139"/>
    </row>
    <row r="940">
      <c r="D940" s="139"/>
      <c r="E940" s="139"/>
      <c r="V940" s="139"/>
    </row>
    <row r="941">
      <c r="D941" s="139"/>
      <c r="E941" s="139"/>
      <c r="V941" s="139"/>
    </row>
    <row r="942">
      <c r="D942" s="139"/>
      <c r="E942" s="139"/>
      <c r="V942" s="139"/>
    </row>
    <row r="943">
      <c r="D943" s="139"/>
      <c r="E943" s="139"/>
      <c r="V943" s="139"/>
    </row>
    <row r="944">
      <c r="D944" s="139"/>
      <c r="E944" s="139"/>
      <c r="V944" s="139"/>
    </row>
    <row r="945">
      <c r="D945" s="139"/>
      <c r="E945" s="139"/>
      <c r="V945" s="139"/>
    </row>
    <row r="946">
      <c r="D946" s="139"/>
      <c r="E946" s="139"/>
      <c r="V946" s="139"/>
    </row>
    <row r="947">
      <c r="D947" s="139"/>
      <c r="E947" s="139"/>
      <c r="V947" s="139"/>
    </row>
    <row r="948">
      <c r="D948" s="139"/>
      <c r="E948" s="139"/>
      <c r="V948" s="139"/>
    </row>
    <row r="949">
      <c r="D949" s="139"/>
      <c r="E949" s="139"/>
      <c r="V949" s="139"/>
    </row>
    <row r="950">
      <c r="D950" s="139"/>
      <c r="E950" s="139"/>
      <c r="V950" s="139"/>
    </row>
    <row r="951">
      <c r="D951" s="139"/>
      <c r="E951" s="139"/>
      <c r="V951" s="139"/>
    </row>
    <row r="952">
      <c r="D952" s="139"/>
      <c r="E952" s="139"/>
      <c r="V952" s="139"/>
    </row>
    <row r="953">
      <c r="D953" s="139"/>
      <c r="E953" s="139"/>
      <c r="V953" s="139"/>
    </row>
    <row r="954">
      <c r="D954" s="139"/>
      <c r="E954" s="139"/>
      <c r="V954" s="139"/>
    </row>
    <row r="955">
      <c r="D955" s="139"/>
      <c r="E955" s="139"/>
      <c r="V955" s="139"/>
    </row>
    <row r="956">
      <c r="D956" s="139"/>
      <c r="E956" s="139"/>
      <c r="V956" s="139"/>
    </row>
    <row r="957">
      <c r="D957" s="139"/>
      <c r="E957" s="139"/>
      <c r="V957" s="139"/>
    </row>
    <row r="958">
      <c r="D958" s="139"/>
      <c r="E958" s="139"/>
      <c r="V958" s="139"/>
    </row>
    <row r="959">
      <c r="D959" s="139"/>
      <c r="E959" s="139"/>
      <c r="V959" s="139"/>
    </row>
    <row r="960">
      <c r="D960" s="139"/>
      <c r="E960" s="139"/>
      <c r="V960" s="139"/>
    </row>
    <row r="961">
      <c r="D961" s="139"/>
      <c r="E961" s="139"/>
      <c r="V961" s="139"/>
    </row>
    <row r="962">
      <c r="D962" s="139"/>
      <c r="E962" s="139"/>
      <c r="V962" s="139"/>
    </row>
    <row r="963">
      <c r="D963" s="139"/>
      <c r="E963" s="139"/>
      <c r="V963" s="139"/>
    </row>
    <row r="964">
      <c r="D964" s="139"/>
      <c r="E964" s="139"/>
      <c r="V964" s="139"/>
    </row>
    <row r="965">
      <c r="D965" s="139"/>
      <c r="E965" s="139"/>
      <c r="V965" s="139"/>
    </row>
    <row r="966">
      <c r="D966" s="139"/>
      <c r="E966" s="139"/>
      <c r="V966" s="139"/>
    </row>
    <row r="967">
      <c r="D967" s="139"/>
      <c r="E967" s="139"/>
      <c r="V967" s="139"/>
    </row>
    <row r="968">
      <c r="D968" s="139"/>
      <c r="E968" s="139"/>
      <c r="V968" s="139"/>
    </row>
    <row r="969">
      <c r="D969" s="139"/>
      <c r="E969" s="139"/>
      <c r="V969" s="139"/>
    </row>
    <row r="970">
      <c r="D970" s="139"/>
      <c r="E970" s="139"/>
      <c r="V970" s="139"/>
    </row>
    <row r="971">
      <c r="D971" s="139"/>
      <c r="E971" s="139"/>
      <c r="V971" s="139"/>
    </row>
    <row r="972">
      <c r="D972" s="139"/>
      <c r="E972" s="139"/>
      <c r="V972" s="139"/>
    </row>
    <row r="973">
      <c r="D973" s="139"/>
      <c r="E973" s="139"/>
      <c r="V973" s="139"/>
    </row>
    <row r="974">
      <c r="D974" s="139"/>
      <c r="E974" s="139"/>
      <c r="V974" s="139"/>
    </row>
    <row r="975">
      <c r="D975" s="139"/>
      <c r="E975" s="139"/>
      <c r="V975" s="139"/>
    </row>
    <row r="976">
      <c r="D976" s="139"/>
      <c r="E976" s="139"/>
      <c r="V976" s="139"/>
    </row>
    <row r="977">
      <c r="D977" s="139"/>
      <c r="E977" s="139"/>
      <c r="V977" s="139"/>
    </row>
    <row r="978">
      <c r="D978" s="139"/>
      <c r="E978" s="139"/>
      <c r="V978" s="139"/>
    </row>
    <row r="979">
      <c r="D979" s="139"/>
      <c r="E979" s="139"/>
      <c r="V979" s="139"/>
    </row>
    <row r="980">
      <c r="D980" s="139"/>
      <c r="E980" s="139"/>
      <c r="V980" s="139"/>
    </row>
    <row r="981">
      <c r="D981" s="139"/>
      <c r="E981" s="139"/>
      <c r="V981" s="139"/>
    </row>
    <row r="982">
      <c r="D982" s="139"/>
      <c r="E982" s="139"/>
      <c r="V982" s="139"/>
    </row>
    <row r="983">
      <c r="D983" s="139"/>
      <c r="E983" s="139"/>
      <c r="V983" s="139"/>
    </row>
    <row r="984">
      <c r="D984" s="139"/>
      <c r="E984" s="139"/>
      <c r="V984" s="139"/>
    </row>
    <row r="985">
      <c r="D985" s="139"/>
      <c r="E985" s="139"/>
      <c r="V985" s="139"/>
    </row>
    <row r="986">
      <c r="D986" s="139"/>
      <c r="E986" s="139"/>
      <c r="V986" s="139"/>
    </row>
    <row r="987">
      <c r="D987" s="139"/>
      <c r="E987" s="139"/>
      <c r="V987" s="139"/>
    </row>
    <row r="988">
      <c r="D988" s="139"/>
      <c r="E988" s="139"/>
      <c r="V988" s="139"/>
    </row>
    <row r="989">
      <c r="D989" s="139"/>
      <c r="E989" s="139"/>
      <c r="V989" s="139"/>
    </row>
    <row r="990">
      <c r="D990" s="139"/>
      <c r="E990" s="139"/>
      <c r="V990" s="139"/>
    </row>
    <row r="991">
      <c r="D991" s="139"/>
      <c r="E991" s="139"/>
      <c r="V991" s="139"/>
    </row>
    <row r="992">
      <c r="D992" s="139"/>
      <c r="E992" s="139"/>
      <c r="V992" s="139"/>
    </row>
    <row r="993">
      <c r="D993" s="139"/>
      <c r="E993" s="139"/>
      <c r="V993" s="139"/>
    </row>
    <row r="994">
      <c r="D994" s="139"/>
      <c r="E994" s="139"/>
      <c r="V994" s="139"/>
    </row>
    <row r="995">
      <c r="D995" s="139"/>
      <c r="E995" s="139"/>
      <c r="V995" s="139"/>
    </row>
    <row r="996">
      <c r="D996" s="139"/>
      <c r="E996" s="139"/>
      <c r="V996" s="139"/>
    </row>
    <row r="997">
      <c r="D997" s="139"/>
      <c r="E997" s="139"/>
      <c r="V997" s="139"/>
    </row>
    <row r="998">
      <c r="D998" s="139"/>
      <c r="E998" s="139"/>
      <c r="V998" s="139"/>
    </row>
    <row r="999">
      <c r="D999" s="139"/>
      <c r="E999" s="139"/>
      <c r="V999" s="139"/>
    </row>
    <row r="1000">
      <c r="D1000" s="139"/>
      <c r="E1000" s="139"/>
      <c r="V1000" s="139"/>
    </row>
    <row r="1001">
      <c r="D1001" s="139"/>
      <c r="E1001" s="139"/>
      <c r="V1001" s="139"/>
    </row>
    <row r="1002">
      <c r="D1002" s="139"/>
      <c r="E1002" s="139"/>
      <c r="V1002" s="139"/>
    </row>
  </sheetData>
  <mergeCells count="50">
    <mergeCell ref="C24:C25"/>
    <mergeCell ref="C26:C27"/>
    <mergeCell ref="C28:C29"/>
    <mergeCell ref="C22:C23"/>
    <mergeCell ref="C20:C21"/>
    <mergeCell ref="C18:C19"/>
    <mergeCell ref="C8:C9"/>
    <mergeCell ref="C4:C5"/>
    <mergeCell ref="C6:C7"/>
    <mergeCell ref="C10:C11"/>
    <mergeCell ref="C16:C17"/>
    <mergeCell ref="C34:C35"/>
    <mergeCell ref="C36:C37"/>
    <mergeCell ref="C32:C33"/>
    <mergeCell ref="C30:C31"/>
    <mergeCell ref="O1:P1"/>
    <mergeCell ref="U2:X2"/>
    <mergeCell ref="M1:N1"/>
    <mergeCell ref="C78:C79"/>
    <mergeCell ref="C80:C81"/>
    <mergeCell ref="C68:C69"/>
    <mergeCell ref="C70:C71"/>
    <mergeCell ref="C88:C89"/>
    <mergeCell ref="C84:C85"/>
    <mergeCell ref="C86:C87"/>
    <mergeCell ref="C82:C83"/>
    <mergeCell ref="C76:C77"/>
    <mergeCell ref="C90:C91"/>
    <mergeCell ref="C74:C75"/>
    <mergeCell ref="C72:C73"/>
    <mergeCell ref="C44:C45"/>
    <mergeCell ref="C46:C47"/>
    <mergeCell ref="C48:C49"/>
    <mergeCell ref="C50:C51"/>
    <mergeCell ref="C60:C61"/>
    <mergeCell ref="C58:C59"/>
    <mergeCell ref="C54:C55"/>
    <mergeCell ref="C56:C57"/>
    <mergeCell ref="C62:C63"/>
    <mergeCell ref="C66:C67"/>
    <mergeCell ref="C64:C65"/>
    <mergeCell ref="C40:C41"/>
    <mergeCell ref="C42:C43"/>
    <mergeCell ref="C38:C39"/>
    <mergeCell ref="C52:C53"/>
    <mergeCell ref="C12:C13"/>
    <mergeCell ref="C14:C15"/>
    <mergeCell ref="C92:C93"/>
    <mergeCell ref="C96:C97"/>
    <mergeCell ref="C94:C95"/>
  </mergeCells>
  <conditionalFormatting sqref="F1:F3">
    <cfRule type="containsText" dxfId="0" priority="1" operator="containsText" text="Dem">
      <formula>NOT(ISERROR(SEARCH(("Dem"),(F1))))</formula>
    </cfRule>
  </conditionalFormatting>
  <conditionalFormatting sqref="F1:F3">
    <cfRule type="containsText" dxfId="1" priority="2" operator="containsText" text="Rep">
      <formula>NOT(ISERROR(SEARCH(("Rep"),(F1))))</formula>
    </cfRule>
  </conditionalFormatting>
  <conditionalFormatting sqref="G4:K97">
    <cfRule type="containsText" dxfId="2" priority="3" operator="containsText" text="chair">
      <formula>NOT(ISERROR(SEARCH(("chair"),(G4))))</formula>
    </cfRule>
  </conditionalFormatting>
  <hyperlinks>
    <hyperlink r:id="rId1" ref="D4"/>
    <hyperlink r:id="rId2" ref="D7"/>
    <hyperlink r:id="rId3" ref="D14"/>
    <hyperlink r:id="rId4" ref="D16"/>
    <hyperlink r:id="rId5" ref="D18"/>
    <hyperlink r:id="rId6" ref="D19"/>
    <hyperlink r:id="rId7" ref="D20"/>
    <hyperlink r:id="rId8" ref="D21"/>
    <hyperlink r:id="rId9" ref="D22"/>
    <hyperlink r:id="rId10" ref="D23"/>
    <hyperlink r:id="rId11" ref="D24"/>
    <hyperlink r:id="rId12" ref="D25"/>
    <hyperlink r:id="rId13" ref="D28"/>
    <hyperlink r:id="rId14" ref="D30"/>
    <hyperlink r:id="rId15" ref="D31"/>
    <hyperlink r:id="rId16" ref="D32"/>
    <hyperlink r:id="rId17" ref="D36"/>
    <hyperlink r:id="rId18" ref="D37"/>
    <hyperlink r:id="rId19" ref="D38"/>
    <hyperlink r:id="rId20" ref="D40"/>
    <hyperlink r:id="rId21" ref="D41"/>
    <hyperlink r:id="rId22" ref="D42"/>
    <hyperlink r:id="rId23" ref="D45"/>
    <hyperlink r:id="rId24" ref="D48"/>
    <hyperlink r:id="rId25" ref="D49"/>
    <hyperlink r:id="rId26" ref="D51"/>
    <hyperlink r:id="rId27" ref="D52"/>
    <hyperlink r:id="rId28" ref="D54"/>
    <hyperlink r:id="rId29" ref="D58"/>
    <hyperlink r:id="rId30" ref="D60"/>
    <hyperlink r:id="rId31" ref="D61"/>
    <hyperlink r:id="rId32" ref="D63"/>
    <hyperlink r:id="rId33" ref="D64"/>
    <hyperlink r:id="rId34" ref="D65"/>
    <hyperlink r:id="rId35" ref="D67"/>
    <hyperlink r:id="rId36" ref="D68"/>
    <hyperlink r:id="rId37" ref="D70"/>
    <hyperlink r:id="rId38" ref="D71"/>
    <hyperlink r:id="rId39" ref="D72"/>
    <hyperlink r:id="rId40" ref="D73"/>
    <hyperlink r:id="rId41" ref="D74"/>
    <hyperlink r:id="rId42" ref="D76"/>
    <hyperlink r:id="rId43" ref="D77"/>
    <hyperlink r:id="rId44" ref="D78"/>
    <hyperlink r:id="rId45" ref="D79"/>
    <hyperlink r:id="rId46" ref="D80"/>
    <hyperlink r:id="rId47" ref="D86"/>
    <hyperlink r:id="rId48" ref="D90"/>
    <hyperlink r:id="rId49" ref="D93"/>
    <hyperlink r:id="rId50" ref="D94"/>
    <hyperlink r:id="rId51" ref="D96"/>
    <hyperlink r:id="rId52" ref="D97"/>
    <hyperlink r:id="rId53" ref="D100"/>
    <hyperlink r:id="rId54" ref="D101"/>
    <hyperlink r:id="rId55" ref="D103"/>
    <hyperlink r:id="rId56" ref="D105"/>
    <hyperlink r:id="rId57" ref="D106"/>
    <hyperlink r:id="rId58" ref="D107"/>
    <hyperlink r:id="rId59" ref="D108"/>
    <hyperlink r:id="rId60" ref="D109"/>
    <hyperlink r:id="rId61" ref="D110"/>
    <hyperlink r:id="rId62" ref="D111"/>
    <hyperlink r:id="rId63" ref="D112"/>
    <hyperlink r:id="rId64" ref="D115"/>
    <hyperlink r:id="rId65" ref="D120"/>
    <hyperlink r:id="rId66" ref="D121"/>
    <hyperlink r:id="rId67" ref="D122"/>
    <hyperlink r:id="rId68" ref="D123"/>
    <hyperlink r:id="rId69" ref="D124"/>
    <hyperlink r:id="rId70" ref="D126"/>
    <hyperlink r:id="rId71" ref="D127"/>
    <hyperlink r:id="rId72" ref="D129"/>
    <hyperlink r:id="rId73" ref="D130"/>
    <hyperlink r:id="rId74" ref="D131"/>
    <hyperlink r:id="rId75" ref="D132"/>
    <hyperlink r:id="rId76" ref="D133"/>
    <hyperlink r:id="rId77" ref="D134"/>
    <hyperlink r:id="rId78" ref="D135"/>
    <hyperlink r:id="rId79" ref="D136"/>
    <hyperlink r:id="rId80" ref="D138"/>
    <hyperlink r:id="rId81" ref="D143"/>
  </hyperlinks>
  <drawing r:id="rId82"/>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FC5E8"/>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3" max="3" width="12.71"/>
  </cols>
  <sheetData>
    <row r="1" ht="15.0" customHeight="1" outlineLevel="1">
      <c r="A1" s="1" t="s">
        <v>0</v>
      </c>
      <c r="B1" s="2" t="s">
        <v>1</v>
      </c>
      <c r="C1" s="2" t="s">
        <v>2</v>
      </c>
      <c r="D1" s="2"/>
      <c r="E1" s="3"/>
      <c r="F1" s="30" t="s">
        <v>1577</v>
      </c>
      <c r="G1" s="30" t="s">
        <v>4</v>
      </c>
      <c r="H1" s="30" t="s">
        <v>5</v>
      </c>
      <c r="I1" s="30" t="s">
        <v>6</v>
      </c>
      <c r="J1" s="30" t="s">
        <v>7</v>
      </c>
      <c r="K1" s="1" t="s">
        <v>8</v>
      </c>
      <c r="L1" s="7" t="s">
        <v>9</v>
      </c>
      <c r="N1" s="10" t="s">
        <v>14</v>
      </c>
      <c r="P1" s="167"/>
      <c r="Q1" s="167"/>
      <c r="R1" s="30"/>
      <c r="S1" s="20"/>
      <c r="T1" s="20"/>
      <c r="U1" s="20"/>
      <c r="V1" s="20"/>
      <c r="W1" s="20"/>
      <c r="X1" s="20"/>
      <c r="Y1" s="20"/>
      <c r="Z1" s="20"/>
      <c r="AA1" s="20"/>
      <c r="AB1" s="20"/>
      <c r="AC1" s="20"/>
      <c r="AD1" s="20"/>
    </row>
    <row r="2" ht="16.5" customHeight="1" outlineLevel="1">
      <c r="A2" s="21" t="s">
        <v>786</v>
      </c>
      <c r="B2" s="436"/>
      <c r="C2" s="325"/>
      <c r="D2" s="325"/>
      <c r="E2" s="3"/>
      <c r="F2" s="168">
        <v>43472.0</v>
      </c>
      <c r="G2" s="168">
        <v>43830.0</v>
      </c>
      <c r="H2" s="151">
        <f>G2-today()</f>
        <v>95</v>
      </c>
      <c r="I2" s="168">
        <v>43472.0</v>
      </c>
      <c r="J2" s="168">
        <v>43830.0</v>
      </c>
      <c r="K2" s="23"/>
      <c r="L2" s="26">
        <f>CountIFS($E:$E,"=Dem",$A:$A,"=House")</f>
        <v>37</v>
      </c>
      <c r="M2" s="28">
        <f>CountIFS($E:$E,"=Rep",$A:$A,"=House")</f>
        <v>62</v>
      </c>
      <c r="N2" s="26">
        <f>CountIFS($E:$E,"=Dem",$A:$A,"=Senate")</f>
        <v>9</v>
      </c>
      <c r="O2" s="28">
        <f>CountIFS($E:$E,"=Rep",$A:$A,"=Senate")</f>
        <v>24</v>
      </c>
      <c r="P2" s="167"/>
      <c r="Q2" s="167"/>
      <c r="R2" s="30"/>
      <c r="S2" s="20"/>
      <c r="T2" s="20"/>
      <c r="U2" s="20"/>
      <c r="V2" s="20"/>
      <c r="W2" s="20"/>
      <c r="X2" s="20"/>
      <c r="Y2" s="20"/>
      <c r="Z2" s="20"/>
      <c r="AA2" s="20"/>
      <c r="AB2" s="20"/>
      <c r="AC2" s="20"/>
      <c r="AD2" s="20"/>
    </row>
    <row r="3">
      <c r="A3" s="30" t="s">
        <v>29</v>
      </c>
      <c r="B3" s="2" t="s">
        <v>30</v>
      </c>
      <c r="C3" s="2" t="s">
        <v>31</v>
      </c>
      <c r="D3" s="2" t="s">
        <v>32</v>
      </c>
      <c r="E3" s="3" t="s">
        <v>33</v>
      </c>
      <c r="F3" s="1" t="s">
        <v>10</v>
      </c>
      <c r="G3" s="1" t="s">
        <v>34</v>
      </c>
      <c r="H3" s="1" t="s">
        <v>34</v>
      </c>
      <c r="I3" s="1" t="s">
        <v>34</v>
      </c>
      <c r="J3" s="1" t="s">
        <v>34</v>
      </c>
      <c r="K3" s="1" t="s">
        <v>35</v>
      </c>
      <c r="L3" s="19" t="s">
        <v>36</v>
      </c>
      <c r="M3" s="19" t="s">
        <v>37</v>
      </c>
      <c r="N3" s="19" t="s">
        <v>38</v>
      </c>
      <c r="O3" s="17" t="s">
        <v>39</v>
      </c>
      <c r="P3" s="11" t="s">
        <v>40</v>
      </c>
      <c r="Q3" s="11" t="s">
        <v>41</v>
      </c>
      <c r="R3" s="17" t="s">
        <v>42</v>
      </c>
      <c r="S3" s="20"/>
      <c r="T3" s="20"/>
      <c r="U3" s="20"/>
      <c r="V3" s="20"/>
      <c r="W3" s="20"/>
      <c r="X3" s="20"/>
      <c r="Y3" s="20"/>
      <c r="Z3" s="20"/>
      <c r="AA3" s="20"/>
      <c r="AB3" s="20"/>
      <c r="AC3" s="20"/>
      <c r="AD3" s="20"/>
    </row>
    <row r="4">
      <c r="A4" s="14" t="s">
        <v>44</v>
      </c>
      <c r="B4" s="74">
        <v>1.0</v>
      </c>
      <c r="C4" s="35" t="s">
        <v>45</v>
      </c>
      <c r="D4" s="35" t="s">
        <v>10268</v>
      </c>
      <c r="E4" s="51" t="s">
        <v>53</v>
      </c>
      <c r="L4" s="659" t="s">
        <v>10269</v>
      </c>
      <c r="M4" t="str">
        <f t="shared" ref="M4:M102" si="1">Concatenate("district",B4,"@ohr.state.oh.us")</f>
        <v>district1@ohr.state.oh.us</v>
      </c>
    </row>
    <row r="5">
      <c r="A5" s="14" t="s">
        <v>44</v>
      </c>
      <c r="B5" s="74">
        <v>2.0</v>
      </c>
      <c r="C5" s="35" t="s">
        <v>91</v>
      </c>
      <c r="D5" s="35" t="s">
        <v>10276</v>
      </c>
      <c r="E5" s="51" t="s">
        <v>53</v>
      </c>
      <c r="L5" s="393" t="s">
        <v>10278</v>
      </c>
      <c r="M5" t="str">
        <f t="shared" si="1"/>
        <v>district2@ohr.state.oh.us</v>
      </c>
    </row>
    <row r="6">
      <c r="A6" s="14" t="s">
        <v>44</v>
      </c>
      <c r="B6" s="74">
        <v>3.0</v>
      </c>
      <c r="C6" s="35" t="s">
        <v>2846</v>
      </c>
      <c r="D6" s="35" t="s">
        <v>10281</v>
      </c>
      <c r="E6" s="51" t="s">
        <v>53</v>
      </c>
      <c r="L6" s="393" t="s">
        <v>10282</v>
      </c>
      <c r="M6" t="str">
        <f t="shared" si="1"/>
        <v>district3@ohr.state.oh.us</v>
      </c>
    </row>
    <row r="7">
      <c r="A7" s="14" t="s">
        <v>44</v>
      </c>
      <c r="B7" s="74">
        <v>4.0</v>
      </c>
      <c r="C7" s="35" t="s">
        <v>1134</v>
      </c>
      <c r="D7" s="35" t="s">
        <v>10289</v>
      </c>
      <c r="E7" s="51" t="s">
        <v>53</v>
      </c>
      <c r="L7" s="393" t="s">
        <v>10290</v>
      </c>
      <c r="M7" t="str">
        <f t="shared" si="1"/>
        <v>district4@ohr.state.oh.us</v>
      </c>
    </row>
    <row r="8">
      <c r="A8" s="14" t="s">
        <v>44</v>
      </c>
      <c r="B8" s="74">
        <v>5.0</v>
      </c>
      <c r="C8" s="35" t="s">
        <v>225</v>
      </c>
      <c r="D8" s="35" t="s">
        <v>10292</v>
      </c>
      <c r="E8" s="51" t="s">
        <v>53</v>
      </c>
      <c r="L8" s="393" t="s">
        <v>10293</v>
      </c>
      <c r="M8" t="str">
        <f t="shared" si="1"/>
        <v>district5@ohr.state.oh.us</v>
      </c>
    </row>
    <row r="9">
      <c r="A9" s="14" t="s">
        <v>44</v>
      </c>
      <c r="B9" s="74">
        <v>6.0</v>
      </c>
      <c r="C9" s="38" t="s">
        <v>1483</v>
      </c>
      <c r="D9" s="38" t="s">
        <v>3039</v>
      </c>
      <c r="E9" s="100" t="s">
        <v>49</v>
      </c>
      <c r="L9" s="393" t="s">
        <v>10295</v>
      </c>
      <c r="M9" t="str">
        <f t="shared" si="1"/>
        <v>district6@ohr.state.oh.us</v>
      </c>
    </row>
    <row r="10">
      <c r="A10" s="14" t="s">
        <v>44</v>
      </c>
      <c r="B10" s="74">
        <v>7.0</v>
      </c>
      <c r="C10" s="35" t="s">
        <v>338</v>
      </c>
      <c r="D10" s="35" t="s">
        <v>5022</v>
      </c>
      <c r="E10" s="51" t="s">
        <v>53</v>
      </c>
      <c r="F10" s="14" t="s">
        <v>1188</v>
      </c>
      <c r="L10" s="393" t="s">
        <v>10299</v>
      </c>
      <c r="M10" t="str">
        <f t="shared" si="1"/>
        <v>district7@ohr.state.oh.us</v>
      </c>
    </row>
    <row r="11">
      <c r="A11" s="14" t="s">
        <v>44</v>
      </c>
      <c r="B11" s="74">
        <v>8.0</v>
      </c>
      <c r="C11" s="35" t="s">
        <v>4892</v>
      </c>
      <c r="D11" s="35" t="s">
        <v>1451</v>
      </c>
      <c r="E11" s="36" t="s">
        <v>49</v>
      </c>
      <c r="F11" s="14" t="s">
        <v>10303</v>
      </c>
      <c r="L11" s="393" t="s">
        <v>10304</v>
      </c>
      <c r="M11" t="str">
        <f t="shared" si="1"/>
        <v>district8@ohr.state.oh.us</v>
      </c>
    </row>
    <row r="12">
      <c r="A12" s="14" t="s">
        <v>44</v>
      </c>
      <c r="B12" s="74">
        <v>9.0</v>
      </c>
      <c r="C12" s="35" t="s">
        <v>10305</v>
      </c>
      <c r="D12" s="35" t="s">
        <v>388</v>
      </c>
      <c r="E12" s="36" t="s">
        <v>49</v>
      </c>
      <c r="L12" s="393" t="s">
        <v>10309</v>
      </c>
      <c r="M12" t="str">
        <f t="shared" si="1"/>
        <v>district9@ohr.state.oh.us</v>
      </c>
    </row>
    <row r="13">
      <c r="A13" s="14" t="s">
        <v>44</v>
      </c>
      <c r="B13" s="74">
        <v>10.0</v>
      </c>
      <c r="C13" s="35" t="s">
        <v>10311</v>
      </c>
      <c r="D13" s="35" t="s">
        <v>5215</v>
      </c>
      <c r="E13" s="36" t="s">
        <v>49</v>
      </c>
      <c r="L13" s="393" t="s">
        <v>10312</v>
      </c>
      <c r="M13" t="str">
        <f t="shared" si="1"/>
        <v>district10@ohr.state.oh.us</v>
      </c>
    </row>
    <row r="14">
      <c r="A14" s="14" t="s">
        <v>44</v>
      </c>
      <c r="B14" s="74">
        <v>11.0</v>
      </c>
      <c r="C14" s="35" t="s">
        <v>2254</v>
      </c>
      <c r="D14" s="35" t="s">
        <v>10313</v>
      </c>
      <c r="E14" s="36" t="s">
        <v>49</v>
      </c>
      <c r="L14" s="393" t="s">
        <v>10315</v>
      </c>
      <c r="M14" t="str">
        <f t="shared" si="1"/>
        <v>district11@ohr.state.oh.us</v>
      </c>
    </row>
    <row r="15">
      <c r="A15" s="14" t="s">
        <v>44</v>
      </c>
      <c r="B15" s="74">
        <v>12.0</v>
      </c>
      <c r="C15" s="35" t="s">
        <v>10316</v>
      </c>
      <c r="D15" s="35" t="s">
        <v>3805</v>
      </c>
      <c r="E15" s="36" t="s">
        <v>49</v>
      </c>
      <c r="L15" s="393" t="s">
        <v>10317</v>
      </c>
      <c r="M15" t="str">
        <f t="shared" si="1"/>
        <v>district12@ohr.state.oh.us</v>
      </c>
    </row>
    <row r="16">
      <c r="A16" s="14" t="s">
        <v>44</v>
      </c>
      <c r="B16" s="74">
        <v>13.0</v>
      </c>
      <c r="C16" s="35" t="s">
        <v>2490</v>
      </c>
      <c r="D16" s="35" t="s">
        <v>10318</v>
      </c>
      <c r="E16" s="36" t="s">
        <v>49</v>
      </c>
      <c r="L16" s="393" t="s">
        <v>10319</v>
      </c>
      <c r="M16" t="str">
        <f t="shared" si="1"/>
        <v>district13@ohr.state.oh.us</v>
      </c>
    </row>
    <row r="17">
      <c r="A17" s="14" t="s">
        <v>44</v>
      </c>
      <c r="B17" s="74">
        <v>14.0</v>
      </c>
      <c r="C17" s="35" t="s">
        <v>10323</v>
      </c>
      <c r="D17" s="35" t="s">
        <v>5661</v>
      </c>
      <c r="E17" s="36" t="s">
        <v>49</v>
      </c>
      <c r="L17" s="393" t="s">
        <v>10324</v>
      </c>
      <c r="M17" t="str">
        <f t="shared" si="1"/>
        <v>district14@ohr.state.oh.us</v>
      </c>
    </row>
    <row r="18">
      <c r="A18" s="14" t="s">
        <v>44</v>
      </c>
      <c r="B18" s="74">
        <v>15.0</v>
      </c>
      <c r="C18" s="35" t="s">
        <v>683</v>
      </c>
      <c r="D18" s="35" t="s">
        <v>10325</v>
      </c>
      <c r="E18" s="36" t="s">
        <v>49</v>
      </c>
      <c r="L18" s="393" t="s">
        <v>10326</v>
      </c>
      <c r="M18" t="str">
        <f t="shared" si="1"/>
        <v>district15@ohr.state.oh.us</v>
      </c>
    </row>
    <row r="19">
      <c r="A19" s="14" t="s">
        <v>44</v>
      </c>
      <c r="B19" s="74">
        <v>16.0</v>
      </c>
      <c r="C19" s="35" t="s">
        <v>108</v>
      </c>
      <c r="D19" s="35" t="s">
        <v>10336</v>
      </c>
      <c r="E19" s="51" t="s">
        <v>53</v>
      </c>
      <c r="L19" s="393" t="s">
        <v>10339</v>
      </c>
      <c r="M19" t="str">
        <f t="shared" si="1"/>
        <v>district16@ohr.state.oh.us</v>
      </c>
    </row>
    <row r="20">
      <c r="A20" s="14" t="s">
        <v>44</v>
      </c>
      <c r="B20" s="74">
        <v>17.0</v>
      </c>
      <c r="C20" s="35" t="s">
        <v>69</v>
      </c>
      <c r="D20" s="35" t="s">
        <v>1501</v>
      </c>
      <c r="E20" s="36" t="s">
        <v>49</v>
      </c>
      <c r="L20" s="393" t="s">
        <v>10352</v>
      </c>
      <c r="M20" t="str">
        <f t="shared" si="1"/>
        <v>district17@ohr.state.oh.us</v>
      </c>
    </row>
    <row r="21">
      <c r="A21" s="14" t="s">
        <v>44</v>
      </c>
      <c r="B21" s="74">
        <v>18.0</v>
      </c>
      <c r="C21" s="35" t="s">
        <v>3074</v>
      </c>
      <c r="D21" s="35" t="s">
        <v>10364</v>
      </c>
      <c r="E21" s="36" t="s">
        <v>49</v>
      </c>
      <c r="L21" s="393" t="s">
        <v>10365</v>
      </c>
      <c r="M21" t="str">
        <f t="shared" si="1"/>
        <v>district18@ohr.state.oh.us</v>
      </c>
    </row>
    <row r="22">
      <c r="A22" s="14" t="s">
        <v>44</v>
      </c>
      <c r="B22" s="74">
        <v>19.0</v>
      </c>
      <c r="C22" s="35" t="s">
        <v>514</v>
      </c>
      <c r="D22" s="35" t="s">
        <v>10366</v>
      </c>
      <c r="E22" s="36" t="s">
        <v>49</v>
      </c>
      <c r="L22" s="393" t="s">
        <v>10367</v>
      </c>
      <c r="M22" t="str">
        <f t="shared" si="1"/>
        <v>district19@ohr.state.oh.us</v>
      </c>
    </row>
    <row r="23">
      <c r="A23" s="14" t="s">
        <v>44</v>
      </c>
      <c r="B23" s="74">
        <v>20.0</v>
      </c>
      <c r="C23" s="35" t="s">
        <v>1112</v>
      </c>
      <c r="D23" s="35" t="s">
        <v>447</v>
      </c>
      <c r="E23" s="36" t="s">
        <v>49</v>
      </c>
      <c r="L23" s="393" t="s">
        <v>10375</v>
      </c>
      <c r="M23" t="str">
        <f t="shared" si="1"/>
        <v>district20@ohr.state.oh.us</v>
      </c>
    </row>
    <row r="24">
      <c r="A24" s="14" t="s">
        <v>44</v>
      </c>
      <c r="B24" s="74">
        <v>21.0</v>
      </c>
      <c r="C24" s="35" t="s">
        <v>2842</v>
      </c>
      <c r="D24" s="35" t="s">
        <v>1736</v>
      </c>
      <c r="E24" s="36" t="s">
        <v>49</v>
      </c>
      <c r="L24" s="393" t="s">
        <v>10379</v>
      </c>
      <c r="M24" t="str">
        <f t="shared" si="1"/>
        <v>district21@ohr.state.oh.us</v>
      </c>
    </row>
    <row r="25">
      <c r="A25" s="14" t="s">
        <v>44</v>
      </c>
      <c r="B25" s="74">
        <v>22.0</v>
      </c>
      <c r="C25" s="35" t="s">
        <v>108</v>
      </c>
      <c r="D25" s="35" t="s">
        <v>10383</v>
      </c>
      <c r="E25" s="36" t="s">
        <v>49</v>
      </c>
      <c r="L25" s="393" t="s">
        <v>10384</v>
      </c>
      <c r="M25" t="str">
        <f t="shared" si="1"/>
        <v>district22@ohr.state.oh.us</v>
      </c>
    </row>
    <row r="26">
      <c r="A26" s="14" t="s">
        <v>44</v>
      </c>
      <c r="B26" s="74">
        <v>23.0</v>
      </c>
      <c r="C26" s="35" t="s">
        <v>292</v>
      </c>
      <c r="D26" s="35" t="s">
        <v>10389</v>
      </c>
      <c r="E26" s="51" t="s">
        <v>53</v>
      </c>
      <c r="L26" s="393" t="s">
        <v>10390</v>
      </c>
      <c r="M26" t="str">
        <f t="shared" si="1"/>
        <v>district23@ohr.state.oh.us</v>
      </c>
    </row>
    <row r="27">
      <c r="A27" s="14" t="s">
        <v>44</v>
      </c>
      <c r="B27" s="74">
        <v>24.0</v>
      </c>
      <c r="C27" s="35" t="s">
        <v>6056</v>
      </c>
      <c r="D27" s="35" t="s">
        <v>10393</v>
      </c>
      <c r="E27" s="36" t="s">
        <v>49</v>
      </c>
      <c r="L27" s="393" t="s">
        <v>10394</v>
      </c>
      <c r="M27" t="str">
        <f t="shared" si="1"/>
        <v>district24@ohr.state.oh.us</v>
      </c>
    </row>
    <row r="28">
      <c r="A28" s="14" t="s">
        <v>44</v>
      </c>
      <c r="B28" s="74">
        <v>25.0</v>
      </c>
      <c r="C28" s="35" t="s">
        <v>10396</v>
      </c>
      <c r="D28" s="35" t="s">
        <v>4892</v>
      </c>
      <c r="E28" s="36" t="s">
        <v>49</v>
      </c>
      <c r="L28" s="393" t="s">
        <v>10400</v>
      </c>
      <c r="M28" t="str">
        <f t="shared" si="1"/>
        <v>district25@ohr.state.oh.us</v>
      </c>
    </row>
    <row r="29">
      <c r="A29" s="14" t="s">
        <v>44</v>
      </c>
      <c r="B29" s="74">
        <v>26.0</v>
      </c>
      <c r="C29" s="35" t="s">
        <v>3312</v>
      </c>
      <c r="D29" s="35" t="s">
        <v>10401</v>
      </c>
      <c r="E29" s="36" t="s">
        <v>49</v>
      </c>
      <c r="L29" s="393" t="s">
        <v>10402</v>
      </c>
      <c r="M29" t="str">
        <f t="shared" si="1"/>
        <v>district26@ohr.state.oh.us</v>
      </c>
    </row>
    <row r="30">
      <c r="A30" s="14" t="s">
        <v>44</v>
      </c>
      <c r="B30" s="74">
        <v>27.0</v>
      </c>
      <c r="C30" s="35" t="s">
        <v>338</v>
      </c>
      <c r="D30" s="35" t="s">
        <v>10407</v>
      </c>
      <c r="E30" s="51" t="s">
        <v>53</v>
      </c>
      <c r="L30" s="393" t="s">
        <v>10408</v>
      </c>
      <c r="M30" t="str">
        <f t="shared" si="1"/>
        <v>district27@ohr.state.oh.us</v>
      </c>
    </row>
    <row r="31">
      <c r="A31" s="14" t="s">
        <v>44</v>
      </c>
      <c r="B31" s="74">
        <v>28.0</v>
      </c>
      <c r="C31" s="35" t="s">
        <v>235</v>
      </c>
      <c r="D31" s="35" t="s">
        <v>10410</v>
      </c>
      <c r="E31" s="51" t="s">
        <v>53</v>
      </c>
      <c r="L31" s="393" t="s">
        <v>10411</v>
      </c>
      <c r="M31" t="str">
        <f t="shared" si="1"/>
        <v>district28@ohr.state.oh.us</v>
      </c>
    </row>
    <row r="32">
      <c r="A32" s="14" t="s">
        <v>44</v>
      </c>
      <c r="B32" s="74">
        <v>29.0</v>
      </c>
      <c r="C32" s="35" t="s">
        <v>4971</v>
      </c>
      <c r="D32" s="35" t="s">
        <v>10416</v>
      </c>
      <c r="E32" s="51" t="s">
        <v>53</v>
      </c>
      <c r="L32" s="393" t="s">
        <v>10417</v>
      </c>
      <c r="M32" t="str">
        <f t="shared" si="1"/>
        <v>district29@ohr.state.oh.us</v>
      </c>
    </row>
    <row r="33">
      <c r="A33" s="14" t="s">
        <v>44</v>
      </c>
      <c r="B33" s="74">
        <v>30.0</v>
      </c>
      <c r="C33" s="35" t="s">
        <v>325</v>
      </c>
      <c r="D33" s="35" t="s">
        <v>10428</v>
      </c>
      <c r="E33" s="51" t="s">
        <v>53</v>
      </c>
      <c r="F33" s="14" t="s">
        <v>176</v>
      </c>
      <c r="L33" s="393" t="s">
        <v>10429</v>
      </c>
      <c r="M33" t="str">
        <f t="shared" si="1"/>
        <v>district30@ohr.state.oh.us</v>
      </c>
    </row>
    <row r="34">
      <c r="A34" s="14" t="s">
        <v>44</v>
      </c>
      <c r="B34" s="74">
        <v>31.0</v>
      </c>
      <c r="C34" s="35" t="s">
        <v>10430</v>
      </c>
      <c r="D34" s="35" t="s">
        <v>130</v>
      </c>
      <c r="E34" s="36" t="s">
        <v>49</v>
      </c>
      <c r="F34" s="14" t="s">
        <v>2004</v>
      </c>
      <c r="L34" s="393" t="s">
        <v>10434</v>
      </c>
      <c r="M34" t="str">
        <f t="shared" si="1"/>
        <v>district31@ohr.state.oh.us</v>
      </c>
    </row>
    <row r="35">
      <c r="A35" s="14" t="s">
        <v>44</v>
      </c>
      <c r="B35" s="74">
        <v>32.0</v>
      </c>
      <c r="C35" s="35" t="s">
        <v>2629</v>
      </c>
      <c r="D35" s="35" t="s">
        <v>608</v>
      </c>
      <c r="E35" s="36" t="s">
        <v>49</v>
      </c>
      <c r="L35" s="393" t="s">
        <v>10437</v>
      </c>
      <c r="M35" t="str">
        <f t="shared" si="1"/>
        <v>district32@ohr.state.oh.us</v>
      </c>
    </row>
    <row r="36">
      <c r="A36" s="14" t="s">
        <v>44</v>
      </c>
      <c r="B36" s="74">
        <v>33.0</v>
      </c>
      <c r="C36" s="35" t="s">
        <v>10438</v>
      </c>
      <c r="D36" s="35" t="s">
        <v>10439</v>
      </c>
      <c r="E36" s="36" t="s">
        <v>49</v>
      </c>
      <c r="L36" s="393" t="s">
        <v>10440</v>
      </c>
      <c r="M36" t="str">
        <f t="shared" si="1"/>
        <v>district33@ohr.state.oh.us</v>
      </c>
    </row>
    <row r="37">
      <c r="A37" s="14" t="s">
        <v>44</v>
      </c>
      <c r="B37" s="74">
        <v>34.0</v>
      </c>
      <c r="C37" s="35" t="s">
        <v>10441</v>
      </c>
      <c r="D37" s="35" t="s">
        <v>5459</v>
      </c>
      <c r="E37" s="36" t="s">
        <v>49</v>
      </c>
      <c r="F37" s="14" t="s">
        <v>1965</v>
      </c>
      <c r="L37" s="393" t="s">
        <v>10447</v>
      </c>
      <c r="M37" t="str">
        <f t="shared" si="1"/>
        <v>district34@ohr.state.oh.us</v>
      </c>
    </row>
    <row r="38">
      <c r="A38" s="14" t="s">
        <v>44</v>
      </c>
      <c r="B38" s="74">
        <v>35.0</v>
      </c>
      <c r="C38" s="35" t="s">
        <v>10449</v>
      </c>
      <c r="D38" s="35" t="s">
        <v>10451</v>
      </c>
      <c r="E38" s="36" t="s">
        <v>49</v>
      </c>
      <c r="L38" s="393" t="s">
        <v>10452</v>
      </c>
      <c r="M38" t="str">
        <f t="shared" si="1"/>
        <v>district35@ohr.state.oh.us</v>
      </c>
    </row>
    <row r="39">
      <c r="A39" s="14" t="s">
        <v>44</v>
      </c>
      <c r="B39" s="74">
        <v>36.0</v>
      </c>
      <c r="C39" s="35" t="s">
        <v>496</v>
      </c>
      <c r="D39" s="35" t="s">
        <v>10457</v>
      </c>
      <c r="E39" s="51" t="s">
        <v>53</v>
      </c>
      <c r="L39" s="393" t="s">
        <v>10458</v>
      </c>
      <c r="M39" t="str">
        <f t="shared" si="1"/>
        <v>district36@ohr.state.oh.us</v>
      </c>
    </row>
    <row r="40">
      <c r="A40" s="14" t="s">
        <v>44</v>
      </c>
      <c r="B40" s="74">
        <v>37.0</v>
      </c>
      <c r="C40" s="38" t="s">
        <v>8242</v>
      </c>
      <c r="D40" s="38" t="s">
        <v>9796</v>
      </c>
      <c r="E40" s="100" t="s">
        <v>49</v>
      </c>
      <c r="L40" s="393" t="s">
        <v>10460</v>
      </c>
      <c r="M40" t="str">
        <f t="shared" si="1"/>
        <v>district37@ohr.state.oh.us</v>
      </c>
    </row>
    <row r="41">
      <c r="A41" s="14" t="s">
        <v>44</v>
      </c>
      <c r="B41" s="74">
        <v>38.0</v>
      </c>
      <c r="C41" s="35" t="s">
        <v>325</v>
      </c>
      <c r="D41" s="35" t="s">
        <v>10463</v>
      </c>
      <c r="E41" s="51" t="s">
        <v>53</v>
      </c>
      <c r="L41" s="393" t="s">
        <v>10464</v>
      </c>
      <c r="M41" t="str">
        <f t="shared" si="1"/>
        <v>district38@ohr.state.oh.us</v>
      </c>
    </row>
    <row r="42">
      <c r="A42" s="14" t="s">
        <v>44</v>
      </c>
      <c r="B42" s="74">
        <v>39.0</v>
      </c>
      <c r="C42" s="35" t="s">
        <v>1242</v>
      </c>
      <c r="D42" s="35" t="s">
        <v>10467</v>
      </c>
      <c r="E42" s="36" t="s">
        <v>49</v>
      </c>
      <c r="F42" s="14" t="s">
        <v>498</v>
      </c>
      <c r="L42" s="393" t="s">
        <v>10468</v>
      </c>
      <c r="M42" t="str">
        <f t="shared" si="1"/>
        <v>district39@ohr.state.oh.us</v>
      </c>
    </row>
    <row r="43">
      <c r="A43" s="14" t="s">
        <v>44</v>
      </c>
      <c r="B43" s="74">
        <v>40.0</v>
      </c>
      <c r="C43" s="35" t="s">
        <v>1483</v>
      </c>
      <c r="D43" s="35" t="s">
        <v>3725</v>
      </c>
      <c r="E43" s="51" t="s">
        <v>53</v>
      </c>
      <c r="L43" s="393" t="s">
        <v>10472</v>
      </c>
      <c r="M43" t="str">
        <f t="shared" si="1"/>
        <v>district40@ohr.state.oh.us</v>
      </c>
    </row>
    <row r="44">
      <c r="A44" s="14" t="s">
        <v>44</v>
      </c>
      <c r="B44" s="74">
        <v>41.0</v>
      </c>
      <c r="C44" s="35" t="s">
        <v>476</v>
      </c>
      <c r="D44" s="35" t="s">
        <v>1102</v>
      </c>
      <c r="E44" s="51" t="s">
        <v>53</v>
      </c>
      <c r="L44" s="393" t="s">
        <v>10477</v>
      </c>
      <c r="M44" t="str">
        <f t="shared" si="1"/>
        <v>district41@ohr.state.oh.us</v>
      </c>
    </row>
    <row r="45">
      <c r="A45" s="14" t="s">
        <v>44</v>
      </c>
      <c r="B45" s="74">
        <v>42.0</v>
      </c>
      <c r="C45" s="35" t="s">
        <v>10478</v>
      </c>
      <c r="D45" s="35" t="s">
        <v>10483</v>
      </c>
      <c r="E45" s="51" t="s">
        <v>53</v>
      </c>
      <c r="L45" s="393" t="s">
        <v>10484</v>
      </c>
      <c r="M45" t="str">
        <f t="shared" si="1"/>
        <v>district42@ohr.state.oh.us</v>
      </c>
    </row>
    <row r="46">
      <c r="A46" s="14" t="s">
        <v>44</v>
      </c>
      <c r="B46" s="74">
        <v>43.0</v>
      </c>
      <c r="C46" s="35" t="s">
        <v>683</v>
      </c>
      <c r="D46" s="35" t="s">
        <v>10492</v>
      </c>
      <c r="E46" s="51" t="s">
        <v>53</v>
      </c>
      <c r="L46" s="393" t="s">
        <v>10494</v>
      </c>
      <c r="M46" t="str">
        <f t="shared" si="1"/>
        <v>district43@ohr.state.oh.us</v>
      </c>
    </row>
    <row r="47">
      <c r="A47" s="14" t="s">
        <v>44</v>
      </c>
      <c r="B47" s="74">
        <v>44.0</v>
      </c>
      <c r="C47" s="35" t="s">
        <v>6005</v>
      </c>
      <c r="D47" s="35" t="s">
        <v>10495</v>
      </c>
      <c r="E47" s="36" t="s">
        <v>49</v>
      </c>
      <c r="L47" s="393" t="s">
        <v>10497</v>
      </c>
      <c r="M47" t="str">
        <f t="shared" si="1"/>
        <v>district44@ohr.state.oh.us</v>
      </c>
    </row>
    <row r="48">
      <c r="A48" s="14" t="s">
        <v>44</v>
      </c>
      <c r="B48" s="74">
        <v>45.0</v>
      </c>
      <c r="C48" s="35" t="s">
        <v>432</v>
      </c>
      <c r="D48" s="35" t="s">
        <v>10500</v>
      </c>
      <c r="E48" s="36" t="s">
        <v>49</v>
      </c>
      <c r="L48" s="393" t="s">
        <v>10501</v>
      </c>
      <c r="M48" t="str">
        <f t="shared" si="1"/>
        <v>district45@ohr.state.oh.us</v>
      </c>
    </row>
    <row r="49">
      <c r="A49" s="14" t="s">
        <v>44</v>
      </c>
      <c r="B49" s="74">
        <v>46.0</v>
      </c>
      <c r="C49" s="35" t="s">
        <v>2490</v>
      </c>
      <c r="D49" s="35" t="s">
        <v>10504</v>
      </c>
      <c r="E49" s="36" t="s">
        <v>49</v>
      </c>
      <c r="L49" s="393" t="s">
        <v>10505</v>
      </c>
      <c r="M49" t="str">
        <f t="shared" si="1"/>
        <v>district46@ohr.state.oh.us</v>
      </c>
    </row>
    <row r="50">
      <c r="A50" s="14" t="s">
        <v>44</v>
      </c>
      <c r="B50" s="74">
        <v>47.0</v>
      </c>
      <c r="C50" s="35" t="s">
        <v>2525</v>
      </c>
      <c r="D50" s="35" t="s">
        <v>10509</v>
      </c>
      <c r="E50" s="51" t="s">
        <v>53</v>
      </c>
      <c r="L50" s="393" t="s">
        <v>10510</v>
      </c>
      <c r="M50" t="str">
        <f t="shared" si="1"/>
        <v>district47@ohr.state.oh.us</v>
      </c>
    </row>
    <row r="51">
      <c r="A51" s="14" t="s">
        <v>44</v>
      </c>
      <c r="B51" s="74">
        <v>48.0</v>
      </c>
      <c r="C51" s="35" t="s">
        <v>45</v>
      </c>
      <c r="D51" s="35" t="s">
        <v>10511</v>
      </c>
      <c r="E51" s="51" t="s">
        <v>53</v>
      </c>
      <c r="L51" s="393" t="s">
        <v>10512</v>
      </c>
      <c r="M51" t="str">
        <f t="shared" si="1"/>
        <v>district48@ohr.state.oh.us</v>
      </c>
    </row>
    <row r="52">
      <c r="A52" s="14" t="s">
        <v>44</v>
      </c>
      <c r="B52" s="74">
        <v>49.0</v>
      </c>
      <c r="C52" s="35" t="s">
        <v>338</v>
      </c>
      <c r="D52" s="35" t="s">
        <v>4286</v>
      </c>
      <c r="E52" s="36" t="s">
        <v>49</v>
      </c>
      <c r="L52" s="393" t="s">
        <v>10516</v>
      </c>
      <c r="M52" t="str">
        <f t="shared" si="1"/>
        <v>district49@ohr.state.oh.us</v>
      </c>
    </row>
    <row r="53">
      <c r="A53" s="14" t="s">
        <v>44</v>
      </c>
      <c r="B53" s="74">
        <v>50.0</v>
      </c>
      <c r="C53" s="35" t="s">
        <v>1797</v>
      </c>
      <c r="D53" s="35" t="s">
        <v>10517</v>
      </c>
      <c r="E53" s="51" t="s">
        <v>53</v>
      </c>
      <c r="L53" s="393" t="s">
        <v>10518</v>
      </c>
      <c r="M53" t="str">
        <f t="shared" si="1"/>
        <v>district50@ohr.state.oh.us</v>
      </c>
    </row>
    <row r="54">
      <c r="A54" s="14" t="s">
        <v>44</v>
      </c>
      <c r="B54" s="74">
        <v>51.0</v>
      </c>
      <c r="C54" s="38" t="s">
        <v>171</v>
      </c>
      <c r="D54" s="38" t="s">
        <v>10520</v>
      </c>
      <c r="E54" s="98" t="s">
        <v>53</v>
      </c>
      <c r="L54" s="393" t="s">
        <v>10521</v>
      </c>
      <c r="M54" t="str">
        <f t="shared" si="1"/>
        <v>district51@ohr.state.oh.us</v>
      </c>
    </row>
    <row r="55">
      <c r="A55" s="14" t="s">
        <v>44</v>
      </c>
      <c r="B55" s="74">
        <v>52.0</v>
      </c>
      <c r="C55" s="35" t="s">
        <v>98</v>
      </c>
      <c r="D55" s="35" t="s">
        <v>4054</v>
      </c>
      <c r="E55" s="51" t="s">
        <v>53</v>
      </c>
      <c r="L55" s="393" t="s">
        <v>10527</v>
      </c>
      <c r="M55" t="str">
        <f t="shared" si="1"/>
        <v>district52@ohr.state.oh.us</v>
      </c>
    </row>
    <row r="56">
      <c r="A56" s="14" t="s">
        <v>44</v>
      </c>
      <c r="B56" s="74">
        <v>53.0</v>
      </c>
      <c r="C56" s="35" t="s">
        <v>10528</v>
      </c>
      <c r="D56" s="35" t="s">
        <v>10530</v>
      </c>
      <c r="E56" s="51" t="s">
        <v>53</v>
      </c>
      <c r="L56" s="393" t="s">
        <v>10531</v>
      </c>
      <c r="M56" t="str">
        <f t="shared" si="1"/>
        <v>district53@ohr.state.oh.us</v>
      </c>
    </row>
    <row r="57">
      <c r="A57" s="14" t="s">
        <v>44</v>
      </c>
      <c r="B57" s="74">
        <v>54.0</v>
      </c>
      <c r="C57" s="35" t="s">
        <v>679</v>
      </c>
      <c r="D57" s="35" t="s">
        <v>10534</v>
      </c>
      <c r="E57" s="51" t="s">
        <v>53</v>
      </c>
      <c r="L57" s="393" t="s">
        <v>10535</v>
      </c>
      <c r="M57" t="str">
        <f t="shared" si="1"/>
        <v>district54@ohr.state.oh.us</v>
      </c>
    </row>
    <row r="58">
      <c r="A58" s="14" t="s">
        <v>44</v>
      </c>
      <c r="B58" s="74">
        <v>55.0</v>
      </c>
      <c r="C58" s="35" t="s">
        <v>3282</v>
      </c>
      <c r="D58" s="35" t="s">
        <v>4660</v>
      </c>
      <c r="E58" s="51" t="s">
        <v>53</v>
      </c>
      <c r="L58" s="393" t="s">
        <v>10536</v>
      </c>
      <c r="M58" t="str">
        <f t="shared" si="1"/>
        <v>district55@ohr.state.oh.us</v>
      </c>
    </row>
    <row r="59">
      <c r="A59" s="14" t="s">
        <v>44</v>
      </c>
      <c r="B59" s="74">
        <v>56.0</v>
      </c>
      <c r="C59" s="35" t="s">
        <v>622</v>
      </c>
      <c r="D59" s="35" t="s">
        <v>1501</v>
      </c>
      <c r="E59" s="36" t="s">
        <v>49</v>
      </c>
      <c r="L59" s="393" t="s">
        <v>10537</v>
      </c>
      <c r="M59" t="str">
        <f t="shared" si="1"/>
        <v>district56@ohr.state.oh.us</v>
      </c>
    </row>
    <row r="60">
      <c r="A60" s="14" t="s">
        <v>44</v>
      </c>
      <c r="B60" s="74">
        <v>57.0</v>
      </c>
      <c r="C60" s="35" t="s">
        <v>4711</v>
      </c>
      <c r="D60" s="35" t="s">
        <v>6244</v>
      </c>
      <c r="E60" s="51" t="s">
        <v>53</v>
      </c>
      <c r="L60" s="393" t="s">
        <v>10541</v>
      </c>
      <c r="M60" t="str">
        <f t="shared" si="1"/>
        <v>district57@ohr.state.oh.us</v>
      </c>
    </row>
    <row r="61">
      <c r="A61" s="14" t="s">
        <v>44</v>
      </c>
      <c r="B61" s="74">
        <v>58.0</v>
      </c>
      <c r="C61" s="35" t="s">
        <v>3644</v>
      </c>
      <c r="D61" s="35" t="s">
        <v>10545</v>
      </c>
      <c r="E61" s="36" t="s">
        <v>49</v>
      </c>
      <c r="L61" s="393" t="s">
        <v>10547</v>
      </c>
      <c r="M61" t="str">
        <f t="shared" si="1"/>
        <v>district58@ohr.state.oh.us</v>
      </c>
    </row>
    <row r="62">
      <c r="A62" s="14" t="s">
        <v>44</v>
      </c>
      <c r="B62" s="74">
        <v>59.0</v>
      </c>
      <c r="C62" s="38" t="s">
        <v>428</v>
      </c>
      <c r="D62" s="38" t="s">
        <v>4660</v>
      </c>
      <c r="E62" s="98" t="s">
        <v>53</v>
      </c>
      <c r="L62" s="393" t="s">
        <v>10550</v>
      </c>
      <c r="M62" t="str">
        <f t="shared" si="1"/>
        <v>district59@ohr.state.oh.us</v>
      </c>
    </row>
    <row r="63">
      <c r="A63" s="14" t="s">
        <v>44</v>
      </c>
      <c r="B63" s="74">
        <v>60.0</v>
      </c>
      <c r="C63" s="35" t="s">
        <v>278</v>
      </c>
      <c r="D63" s="35" t="s">
        <v>494</v>
      </c>
      <c r="E63" s="36" t="s">
        <v>49</v>
      </c>
      <c r="L63" s="393" t="s">
        <v>10552</v>
      </c>
      <c r="M63" t="str">
        <f t="shared" si="1"/>
        <v>district60@ohr.state.oh.us</v>
      </c>
    </row>
    <row r="64">
      <c r="A64" s="14" t="s">
        <v>44</v>
      </c>
      <c r="B64" s="74">
        <v>61.0</v>
      </c>
      <c r="C64" s="35" t="s">
        <v>283</v>
      </c>
      <c r="D64" s="35" t="s">
        <v>10555</v>
      </c>
      <c r="E64" s="51" t="s">
        <v>53</v>
      </c>
      <c r="L64" s="393" t="s">
        <v>10557</v>
      </c>
      <c r="M64" t="str">
        <f t="shared" si="1"/>
        <v>district61@ohr.state.oh.us</v>
      </c>
    </row>
    <row r="65">
      <c r="A65" s="14" t="s">
        <v>44</v>
      </c>
      <c r="B65" s="74">
        <v>62.0</v>
      </c>
      <c r="C65" s="35" t="s">
        <v>45</v>
      </c>
      <c r="D65" s="35" t="s">
        <v>10565</v>
      </c>
      <c r="E65" s="51" t="s">
        <v>53</v>
      </c>
      <c r="L65" s="393" t="s">
        <v>10566</v>
      </c>
      <c r="M65" t="str">
        <f t="shared" si="1"/>
        <v>district62@ohr.state.oh.us</v>
      </c>
    </row>
    <row r="66">
      <c r="A66" s="14" t="s">
        <v>44</v>
      </c>
      <c r="B66" s="74">
        <v>63.0</v>
      </c>
      <c r="C66" s="35" t="s">
        <v>3589</v>
      </c>
      <c r="D66" s="35" t="s">
        <v>379</v>
      </c>
      <c r="E66" s="36" t="s">
        <v>49</v>
      </c>
      <c r="L66" s="393" t="s">
        <v>10575</v>
      </c>
      <c r="M66" t="str">
        <f t="shared" si="1"/>
        <v>district63@ohr.state.oh.us</v>
      </c>
    </row>
    <row r="67">
      <c r="A67" s="14" t="s">
        <v>44</v>
      </c>
      <c r="B67" s="74">
        <v>64.0</v>
      </c>
      <c r="C67" s="35" t="s">
        <v>2490</v>
      </c>
      <c r="D67" s="35" t="s">
        <v>10256</v>
      </c>
      <c r="E67" s="36" t="s">
        <v>49</v>
      </c>
      <c r="L67" s="393" t="s">
        <v>10579</v>
      </c>
      <c r="M67" t="str">
        <f t="shared" si="1"/>
        <v>district64@ohr.state.oh.us</v>
      </c>
    </row>
    <row r="68">
      <c r="A68" s="14" t="s">
        <v>44</v>
      </c>
      <c r="B68" s="74">
        <v>65.0</v>
      </c>
      <c r="C68" s="35" t="s">
        <v>278</v>
      </c>
      <c r="D68" s="35" t="s">
        <v>1715</v>
      </c>
      <c r="E68" s="51" t="s">
        <v>53</v>
      </c>
      <c r="L68" s="393" t="s">
        <v>10585</v>
      </c>
      <c r="M68" t="str">
        <f t="shared" si="1"/>
        <v>district65@ohr.state.oh.us</v>
      </c>
    </row>
    <row r="69">
      <c r="A69" s="14" t="s">
        <v>44</v>
      </c>
      <c r="B69" s="74">
        <v>66.0</v>
      </c>
      <c r="C69" s="35" t="s">
        <v>1146</v>
      </c>
      <c r="D69" s="35" t="s">
        <v>2574</v>
      </c>
      <c r="E69" s="51" t="s">
        <v>53</v>
      </c>
      <c r="L69" s="393" t="s">
        <v>10591</v>
      </c>
      <c r="M69" t="str">
        <f t="shared" si="1"/>
        <v>district66@ohr.state.oh.us</v>
      </c>
    </row>
    <row r="70">
      <c r="A70" s="14" t="s">
        <v>44</v>
      </c>
      <c r="B70" s="74">
        <v>67.0</v>
      </c>
      <c r="C70" s="35" t="s">
        <v>10592</v>
      </c>
      <c r="D70" s="35" t="s">
        <v>1581</v>
      </c>
      <c r="E70" s="51" t="s">
        <v>53</v>
      </c>
      <c r="L70" s="393" t="s">
        <v>10593</v>
      </c>
      <c r="M70" t="str">
        <f t="shared" si="1"/>
        <v>district67@ohr.state.oh.us</v>
      </c>
    </row>
    <row r="71">
      <c r="A71" s="14" t="s">
        <v>44</v>
      </c>
      <c r="B71" s="74">
        <v>68.0</v>
      </c>
      <c r="C71" s="35" t="s">
        <v>1291</v>
      </c>
      <c r="D71" s="35" t="s">
        <v>10594</v>
      </c>
      <c r="E71" s="51" t="s">
        <v>53</v>
      </c>
      <c r="F71" s="14" t="s">
        <v>751</v>
      </c>
      <c r="L71" s="393" t="s">
        <v>10595</v>
      </c>
      <c r="M71" t="str">
        <f t="shared" si="1"/>
        <v>district68@ohr.state.oh.us</v>
      </c>
    </row>
    <row r="72">
      <c r="A72" s="14" t="s">
        <v>44</v>
      </c>
      <c r="B72" s="74">
        <v>69.0</v>
      </c>
      <c r="C72" s="35" t="s">
        <v>55</v>
      </c>
      <c r="D72" s="35" t="s">
        <v>10596</v>
      </c>
      <c r="E72" s="51" t="s">
        <v>53</v>
      </c>
      <c r="L72" s="393" t="s">
        <v>10597</v>
      </c>
      <c r="M72" t="str">
        <f t="shared" si="1"/>
        <v>district69@ohr.state.oh.us</v>
      </c>
    </row>
    <row r="73">
      <c r="A73" s="14" t="s">
        <v>44</v>
      </c>
      <c r="B73" s="74">
        <v>70.0</v>
      </c>
      <c r="C73" s="35" t="s">
        <v>10598</v>
      </c>
      <c r="D73" s="35" t="s">
        <v>10600</v>
      </c>
      <c r="E73" s="51" t="s">
        <v>53</v>
      </c>
      <c r="L73" s="393" t="s">
        <v>10601</v>
      </c>
      <c r="M73" t="str">
        <f t="shared" si="1"/>
        <v>district70@ohr.state.oh.us</v>
      </c>
    </row>
    <row r="74">
      <c r="A74" s="14" t="s">
        <v>44</v>
      </c>
      <c r="B74" s="74">
        <v>71.0</v>
      </c>
      <c r="C74" s="35" t="s">
        <v>45</v>
      </c>
      <c r="D74" s="35" t="s">
        <v>2780</v>
      </c>
      <c r="E74" s="51" t="s">
        <v>53</v>
      </c>
      <c r="L74" s="393" t="s">
        <v>10603</v>
      </c>
      <c r="M74" t="str">
        <f t="shared" si="1"/>
        <v>district71@ohr.state.oh.us</v>
      </c>
    </row>
    <row r="75">
      <c r="A75" s="14" t="s">
        <v>44</v>
      </c>
      <c r="B75" s="74">
        <v>72.0</v>
      </c>
      <c r="C75" s="35" t="s">
        <v>839</v>
      </c>
      <c r="D75" s="35" t="s">
        <v>10605</v>
      </c>
      <c r="E75" s="51" t="s">
        <v>53</v>
      </c>
      <c r="L75" s="393" t="s">
        <v>10606</v>
      </c>
      <c r="M75" t="str">
        <f t="shared" si="1"/>
        <v>district72@ohr.state.oh.us</v>
      </c>
    </row>
    <row r="76">
      <c r="A76" s="14" t="s">
        <v>44</v>
      </c>
      <c r="B76" s="74">
        <v>73.0</v>
      </c>
      <c r="C76" s="35" t="s">
        <v>1291</v>
      </c>
      <c r="D76" s="35" t="s">
        <v>10607</v>
      </c>
      <c r="E76" s="51" t="s">
        <v>53</v>
      </c>
      <c r="L76" s="393" t="s">
        <v>10608</v>
      </c>
      <c r="M76" t="str">
        <f t="shared" si="1"/>
        <v>district73@ohr.state.oh.us</v>
      </c>
    </row>
    <row r="77">
      <c r="A77" s="14" t="s">
        <v>44</v>
      </c>
      <c r="B77" s="74">
        <v>74.0</v>
      </c>
      <c r="C77" s="35" t="s">
        <v>325</v>
      </c>
      <c r="D77" s="35" t="s">
        <v>4340</v>
      </c>
      <c r="E77" s="51" t="s">
        <v>53</v>
      </c>
      <c r="L77" s="393" t="s">
        <v>10610</v>
      </c>
      <c r="M77" t="str">
        <f t="shared" si="1"/>
        <v>district74@ohr.state.oh.us</v>
      </c>
    </row>
    <row r="78">
      <c r="A78" s="14" t="s">
        <v>44</v>
      </c>
      <c r="B78" s="74">
        <v>75.0</v>
      </c>
      <c r="C78" s="35" t="s">
        <v>10611</v>
      </c>
      <c r="D78" s="35" t="s">
        <v>10612</v>
      </c>
      <c r="E78" s="36" t="s">
        <v>49</v>
      </c>
      <c r="L78" s="393" t="s">
        <v>10613</v>
      </c>
      <c r="M78" t="str">
        <f t="shared" si="1"/>
        <v>district75@ohr.state.oh.us</v>
      </c>
    </row>
    <row r="79">
      <c r="A79" s="14" t="s">
        <v>44</v>
      </c>
      <c r="B79" s="74">
        <v>76.0</v>
      </c>
      <c r="C79" s="35" t="s">
        <v>210</v>
      </c>
      <c r="D79" s="35" t="s">
        <v>10614</v>
      </c>
      <c r="E79" s="51" t="s">
        <v>53</v>
      </c>
      <c r="F79" s="14" t="s">
        <v>1479</v>
      </c>
      <c r="L79" s="393" t="s">
        <v>10615</v>
      </c>
      <c r="M79" t="str">
        <f t="shared" si="1"/>
        <v>district76@ohr.state.oh.us</v>
      </c>
    </row>
    <row r="80">
      <c r="A80" s="14" t="s">
        <v>44</v>
      </c>
      <c r="B80" s="74">
        <v>77.0</v>
      </c>
      <c r="C80" s="35" t="s">
        <v>225</v>
      </c>
      <c r="D80" s="35" t="s">
        <v>10617</v>
      </c>
      <c r="E80" s="51" t="s">
        <v>53</v>
      </c>
      <c r="L80" s="393" t="s">
        <v>10618</v>
      </c>
      <c r="M80" t="str">
        <f t="shared" si="1"/>
        <v>district77@ohr.state.oh.us</v>
      </c>
    </row>
    <row r="81">
      <c r="A81" s="14" t="s">
        <v>44</v>
      </c>
      <c r="B81" s="74">
        <v>78.0</v>
      </c>
      <c r="C81" s="35" t="s">
        <v>1813</v>
      </c>
      <c r="D81" s="35" t="s">
        <v>7232</v>
      </c>
      <c r="E81" s="51" t="s">
        <v>53</v>
      </c>
      <c r="L81" s="393" t="s">
        <v>10620</v>
      </c>
      <c r="M81" t="str">
        <f t="shared" si="1"/>
        <v>district78@ohr.state.oh.us</v>
      </c>
    </row>
    <row r="82">
      <c r="A82" s="14" t="s">
        <v>44</v>
      </c>
      <c r="B82" s="74">
        <v>79.0</v>
      </c>
      <c r="C82" s="35" t="s">
        <v>257</v>
      </c>
      <c r="D82" s="35" t="s">
        <v>4638</v>
      </c>
      <c r="E82" s="51" t="s">
        <v>53</v>
      </c>
      <c r="L82" s="393" t="s">
        <v>10621</v>
      </c>
      <c r="M82" t="str">
        <f t="shared" si="1"/>
        <v>district79@ohr.state.oh.us</v>
      </c>
    </row>
    <row r="83">
      <c r="A83" s="14" t="s">
        <v>44</v>
      </c>
      <c r="B83" s="74">
        <v>80.0</v>
      </c>
      <c r="C83" s="35" t="s">
        <v>10622</v>
      </c>
      <c r="D83" s="35" t="s">
        <v>3264</v>
      </c>
      <c r="E83" s="51" t="s">
        <v>53</v>
      </c>
      <c r="L83" s="393" t="s">
        <v>10623</v>
      </c>
      <c r="M83" t="str">
        <f t="shared" si="1"/>
        <v>district80@ohr.state.oh.us</v>
      </c>
    </row>
    <row r="84">
      <c r="A84" s="14" t="s">
        <v>44</v>
      </c>
      <c r="B84" s="74">
        <v>81.0</v>
      </c>
      <c r="C84" s="35" t="s">
        <v>476</v>
      </c>
      <c r="D84" s="35" t="s">
        <v>10625</v>
      </c>
      <c r="E84" s="51" t="s">
        <v>53</v>
      </c>
      <c r="L84" s="393" t="s">
        <v>10626</v>
      </c>
      <c r="M84" t="str">
        <f t="shared" si="1"/>
        <v>district81@ohr.state.oh.us</v>
      </c>
    </row>
    <row r="85">
      <c r="A85" s="14" t="s">
        <v>44</v>
      </c>
      <c r="B85" s="74">
        <v>82.0</v>
      </c>
      <c r="C85" s="35" t="s">
        <v>373</v>
      </c>
      <c r="D85" s="35" t="s">
        <v>10627</v>
      </c>
      <c r="E85" s="51" t="s">
        <v>53</v>
      </c>
      <c r="L85" s="393" t="s">
        <v>10628</v>
      </c>
      <c r="M85" t="str">
        <f t="shared" si="1"/>
        <v>district82@ohr.state.oh.us</v>
      </c>
    </row>
    <row r="86">
      <c r="A86" s="14" t="s">
        <v>44</v>
      </c>
      <c r="B86" s="74">
        <v>83.0</v>
      </c>
      <c r="C86" s="35" t="s">
        <v>1387</v>
      </c>
      <c r="D86" s="35" t="s">
        <v>10629</v>
      </c>
      <c r="E86" s="51" t="s">
        <v>53</v>
      </c>
      <c r="L86" s="393" t="s">
        <v>10630</v>
      </c>
      <c r="M86" t="str">
        <f t="shared" si="1"/>
        <v>district83@ohr.state.oh.us</v>
      </c>
    </row>
    <row r="87">
      <c r="A87" s="14" t="s">
        <v>44</v>
      </c>
      <c r="B87" s="74">
        <v>84.0</v>
      </c>
      <c r="C87" s="35" t="s">
        <v>1446</v>
      </c>
      <c r="D87" s="35" t="s">
        <v>10631</v>
      </c>
      <c r="E87" s="51" t="s">
        <v>53</v>
      </c>
      <c r="L87" s="393" t="s">
        <v>10632</v>
      </c>
      <c r="M87" t="str">
        <f t="shared" si="1"/>
        <v>district84@ohr.state.oh.us</v>
      </c>
    </row>
    <row r="88">
      <c r="A88" s="14" t="s">
        <v>44</v>
      </c>
      <c r="B88" s="74">
        <v>85.0</v>
      </c>
      <c r="C88" s="35" t="s">
        <v>6437</v>
      </c>
      <c r="D88" s="35" t="s">
        <v>9545</v>
      </c>
      <c r="E88" s="51" t="s">
        <v>53</v>
      </c>
      <c r="L88" s="393" t="s">
        <v>10634</v>
      </c>
      <c r="M88" t="str">
        <f t="shared" si="1"/>
        <v>district85@ohr.state.oh.us</v>
      </c>
    </row>
    <row r="89">
      <c r="A89" s="14" t="s">
        <v>44</v>
      </c>
      <c r="B89" s="74">
        <v>86.0</v>
      </c>
      <c r="C89" s="35" t="s">
        <v>273</v>
      </c>
      <c r="D89" s="35" t="s">
        <v>1571</v>
      </c>
      <c r="E89" s="51" t="s">
        <v>53</v>
      </c>
      <c r="L89" s="393" t="s">
        <v>10635</v>
      </c>
      <c r="M89" t="str">
        <f t="shared" si="1"/>
        <v>district86@ohr.state.oh.us</v>
      </c>
    </row>
    <row r="90">
      <c r="A90" s="14" t="s">
        <v>44</v>
      </c>
      <c r="B90" s="74">
        <v>87.0</v>
      </c>
      <c r="C90" s="35" t="s">
        <v>10636</v>
      </c>
      <c r="D90" s="35" t="s">
        <v>2891</v>
      </c>
      <c r="E90" s="51" t="s">
        <v>53</v>
      </c>
      <c r="L90" s="393" t="s">
        <v>10643</v>
      </c>
      <c r="M90" t="str">
        <f t="shared" si="1"/>
        <v>district87@ohr.state.oh.us</v>
      </c>
    </row>
    <row r="91">
      <c r="A91" s="14" t="s">
        <v>44</v>
      </c>
      <c r="B91" s="74">
        <v>88.0</v>
      </c>
      <c r="C91" s="35" t="s">
        <v>325</v>
      </c>
      <c r="D91" s="35" t="s">
        <v>10660</v>
      </c>
      <c r="E91" s="51" t="s">
        <v>53</v>
      </c>
      <c r="F91" s="14" t="s">
        <v>1693</v>
      </c>
      <c r="L91" s="393" t="s">
        <v>10661</v>
      </c>
      <c r="M91" t="str">
        <f t="shared" si="1"/>
        <v>district88@ohr.state.oh.us</v>
      </c>
    </row>
    <row r="92">
      <c r="A92" s="14" t="s">
        <v>44</v>
      </c>
      <c r="B92" s="74">
        <v>89.0</v>
      </c>
      <c r="C92" s="35" t="s">
        <v>55</v>
      </c>
      <c r="D92" s="35" t="s">
        <v>2070</v>
      </c>
      <c r="E92" s="51" t="s">
        <v>53</v>
      </c>
      <c r="L92" s="393" t="s">
        <v>10667</v>
      </c>
      <c r="M92" t="str">
        <f t="shared" si="1"/>
        <v>district89@ohr.state.oh.us</v>
      </c>
    </row>
    <row r="93">
      <c r="A93" s="14" t="s">
        <v>44</v>
      </c>
      <c r="B93" s="74">
        <v>90.0</v>
      </c>
      <c r="C93" s="35" t="s">
        <v>1331</v>
      </c>
      <c r="D93" s="35" t="s">
        <v>10668</v>
      </c>
      <c r="E93" s="51" t="s">
        <v>53</v>
      </c>
      <c r="L93" s="393" t="s">
        <v>10669</v>
      </c>
      <c r="M93" t="str">
        <f t="shared" si="1"/>
        <v>district90@ohr.state.oh.us</v>
      </c>
    </row>
    <row r="94">
      <c r="A94" s="14" t="s">
        <v>44</v>
      </c>
      <c r="B94" s="74">
        <v>91.0</v>
      </c>
      <c r="C94" s="74" t="s">
        <v>756</v>
      </c>
      <c r="D94" s="74" t="s">
        <v>10670</v>
      </c>
      <c r="E94" s="51" t="s">
        <v>53</v>
      </c>
      <c r="L94" s="393" t="s">
        <v>10671</v>
      </c>
      <c r="M94" t="str">
        <f t="shared" si="1"/>
        <v>district91@ohr.state.oh.us</v>
      </c>
    </row>
    <row r="95">
      <c r="A95" s="14" t="s">
        <v>44</v>
      </c>
      <c r="B95" s="74">
        <v>92.0</v>
      </c>
      <c r="C95" s="35" t="s">
        <v>199</v>
      </c>
      <c r="D95" s="35" t="s">
        <v>4427</v>
      </c>
      <c r="E95" s="51" t="s">
        <v>53</v>
      </c>
      <c r="L95" s="393" t="s">
        <v>10672</v>
      </c>
      <c r="M95" t="str">
        <f t="shared" si="1"/>
        <v>district92@ohr.state.oh.us</v>
      </c>
    </row>
    <row r="96">
      <c r="A96" s="14" t="s">
        <v>44</v>
      </c>
      <c r="B96" s="74">
        <v>93.0</v>
      </c>
      <c r="C96" s="35" t="s">
        <v>2780</v>
      </c>
      <c r="D96" s="35" t="s">
        <v>1451</v>
      </c>
      <c r="E96" s="51" t="s">
        <v>53</v>
      </c>
      <c r="F96" s="14" t="s">
        <v>1056</v>
      </c>
      <c r="L96" s="393" t="s">
        <v>10673</v>
      </c>
      <c r="M96" t="str">
        <f t="shared" si="1"/>
        <v>district93@ohr.state.oh.us</v>
      </c>
    </row>
    <row r="97">
      <c r="A97" s="14" t="s">
        <v>44</v>
      </c>
      <c r="B97" s="74">
        <v>94.0</v>
      </c>
      <c r="C97" s="35" t="s">
        <v>1013</v>
      </c>
      <c r="D97" s="35" t="s">
        <v>6476</v>
      </c>
      <c r="E97" s="51" t="s">
        <v>53</v>
      </c>
      <c r="L97" s="393" t="s">
        <v>10674</v>
      </c>
      <c r="M97" t="str">
        <f t="shared" si="1"/>
        <v>district94@ohr.state.oh.us</v>
      </c>
    </row>
    <row r="98">
      <c r="A98" s="14" t="s">
        <v>44</v>
      </c>
      <c r="B98" s="74">
        <v>95.0</v>
      </c>
      <c r="C98" s="35" t="s">
        <v>428</v>
      </c>
      <c r="D98" s="35" t="s">
        <v>706</v>
      </c>
      <c r="E98" s="51" t="s">
        <v>53</v>
      </c>
      <c r="L98" s="393" t="s">
        <v>10675</v>
      </c>
      <c r="M98" t="str">
        <f t="shared" si="1"/>
        <v>district95@ohr.state.oh.us</v>
      </c>
    </row>
    <row r="99">
      <c r="A99" s="14" t="s">
        <v>44</v>
      </c>
      <c r="B99" s="74">
        <v>96.0</v>
      </c>
      <c r="C99" s="35" t="s">
        <v>792</v>
      </c>
      <c r="D99" s="35" t="s">
        <v>10676</v>
      </c>
      <c r="E99" s="36" t="s">
        <v>49</v>
      </c>
      <c r="L99" s="393" t="s">
        <v>10677</v>
      </c>
      <c r="M99" t="str">
        <f t="shared" si="1"/>
        <v>district96@ohr.state.oh.us</v>
      </c>
    </row>
    <row r="100">
      <c r="A100" s="14" t="s">
        <v>44</v>
      </c>
      <c r="B100" s="74">
        <v>97.0</v>
      </c>
      <c r="C100" s="35" t="s">
        <v>1331</v>
      </c>
      <c r="D100" s="35" t="s">
        <v>485</v>
      </c>
      <c r="E100" s="51" t="s">
        <v>53</v>
      </c>
      <c r="L100" s="393" t="s">
        <v>10678</v>
      </c>
      <c r="M100" t="str">
        <f t="shared" si="1"/>
        <v>district97@ohr.state.oh.us</v>
      </c>
    </row>
    <row r="101">
      <c r="A101" s="14" t="s">
        <v>44</v>
      </c>
      <c r="B101" s="74">
        <v>98.0</v>
      </c>
      <c r="C101" s="35" t="s">
        <v>547</v>
      </c>
      <c r="D101" s="35" t="s">
        <v>10679</v>
      </c>
      <c r="E101" s="51" t="s">
        <v>53</v>
      </c>
      <c r="L101" s="393" t="s">
        <v>10680</v>
      </c>
      <c r="M101" t="str">
        <f t="shared" si="1"/>
        <v>district98@ohr.state.oh.us</v>
      </c>
    </row>
    <row r="102">
      <c r="A102" s="14" t="s">
        <v>44</v>
      </c>
      <c r="B102" s="74">
        <v>99.0</v>
      </c>
      <c r="C102" s="35" t="s">
        <v>278</v>
      </c>
      <c r="D102" s="35" t="s">
        <v>1510</v>
      </c>
      <c r="E102" s="36" t="s">
        <v>49</v>
      </c>
      <c r="L102" s="393" t="s">
        <v>10681</v>
      </c>
      <c r="M102" t="str">
        <f t="shared" si="1"/>
        <v>district99@ohr.state.oh.us</v>
      </c>
    </row>
    <row r="103">
      <c r="A103" s="70"/>
      <c r="B103" s="71"/>
      <c r="C103" s="71"/>
      <c r="D103" s="71"/>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row>
    <row r="104">
      <c r="A104" s="14" t="s">
        <v>286</v>
      </c>
      <c r="B104" s="35">
        <v>1.0</v>
      </c>
      <c r="C104" s="35" t="s">
        <v>1476</v>
      </c>
      <c r="D104" s="35" t="s">
        <v>10682</v>
      </c>
      <c r="E104" s="51" t="s">
        <v>53</v>
      </c>
      <c r="F104" s="31"/>
      <c r="G104" s="31"/>
      <c r="H104" s="31"/>
      <c r="I104" s="31"/>
      <c r="M104" t="str">
        <f t="shared" ref="M104:M112" si="2">Concatenate("sd0",B104,"@senate.state.oh.us")</f>
        <v>sd01@senate.state.oh.us</v>
      </c>
    </row>
    <row r="105">
      <c r="A105" s="14" t="s">
        <v>286</v>
      </c>
      <c r="B105" s="35">
        <v>2.0</v>
      </c>
      <c r="C105" s="35" t="s">
        <v>412</v>
      </c>
      <c r="D105" s="35" t="s">
        <v>2326</v>
      </c>
      <c r="E105" s="51" t="s">
        <v>53</v>
      </c>
      <c r="F105" s="164" t="s">
        <v>176</v>
      </c>
      <c r="G105" s="31"/>
      <c r="H105" s="31"/>
      <c r="I105" s="31"/>
      <c r="M105" t="str">
        <f t="shared" si="2"/>
        <v>sd02@senate.state.oh.us</v>
      </c>
    </row>
    <row r="106">
      <c r="A106" s="14" t="s">
        <v>286</v>
      </c>
      <c r="B106" s="35">
        <v>3.0</v>
      </c>
      <c r="C106" s="38" t="s">
        <v>3053</v>
      </c>
      <c r="D106" s="38" t="s">
        <v>10683</v>
      </c>
      <c r="E106" s="100" t="s">
        <v>49</v>
      </c>
      <c r="F106" s="31"/>
      <c r="G106" s="31"/>
      <c r="H106" s="31"/>
      <c r="I106" s="31"/>
      <c r="M106" t="str">
        <f t="shared" si="2"/>
        <v>sd03@senate.state.oh.us</v>
      </c>
    </row>
    <row r="107">
      <c r="A107" s="14" t="s">
        <v>286</v>
      </c>
      <c r="B107" s="35">
        <v>4.0</v>
      </c>
      <c r="C107" s="35" t="s">
        <v>325</v>
      </c>
      <c r="D107" s="35" t="s">
        <v>10684</v>
      </c>
      <c r="E107" s="51" t="s">
        <v>53</v>
      </c>
      <c r="F107" s="31"/>
      <c r="G107" s="31"/>
      <c r="H107" s="31"/>
      <c r="I107" s="31"/>
      <c r="M107" t="str">
        <f t="shared" si="2"/>
        <v>sd04@senate.state.oh.us</v>
      </c>
    </row>
    <row r="108">
      <c r="A108" s="14" t="s">
        <v>286</v>
      </c>
      <c r="B108" s="35">
        <v>5.0</v>
      </c>
      <c r="C108" s="35" t="s">
        <v>1505</v>
      </c>
      <c r="D108" s="35" t="s">
        <v>2286</v>
      </c>
      <c r="E108" s="51" t="s">
        <v>53</v>
      </c>
      <c r="F108" s="31"/>
      <c r="G108" s="31"/>
      <c r="H108" s="31"/>
      <c r="I108" s="31"/>
      <c r="M108" t="str">
        <f t="shared" si="2"/>
        <v>sd05@senate.state.oh.us</v>
      </c>
    </row>
    <row r="109">
      <c r="A109" s="14" t="s">
        <v>286</v>
      </c>
      <c r="B109" s="35">
        <v>6.0</v>
      </c>
      <c r="C109" s="35" t="s">
        <v>4750</v>
      </c>
      <c r="D109" s="35" t="s">
        <v>10685</v>
      </c>
      <c r="E109" s="51" t="s">
        <v>53</v>
      </c>
      <c r="F109" s="31"/>
      <c r="G109" s="31"/>
      <c r="H109" s="31"/>
      <c r="I109" s="31"/>
      <c r="M109" t="str">
        <f t="shared" si="2"/>
        <v>sd06@senate.state.oh.us</v>
      </c>
    </row>
    <row r="110">
      <c r="A110" s="14" t="s">
        <v>286</v>
      </c>
      <c r="B110" s="35">
        <v>7.0</v>
      </c>
      <c r="C110" s="35" t="s">
        <v>55</v>
      </c>
      <c r="D110" s="35" t="s">
        <v>62</v>
      </c>
      <c r="E110" s="51" t="s">
        <v>53</v>
      </c>
      <c r="F110" s="31"/>
      <c r="G110" s="31"/>
      <c r="H110" s="31"/>
      <c r="I110" s="31"/>
      <c r="M110" t="str">
        <f t="shared" si="2"/>
        <v>sd07@senate.state.oh.us</v>
      </c>
    </row>
    <row r="111">
      <c r="A111" s="14" t="s">
        <v>286</v>
      </c>
      <c r="B111" s="35">
        <v>8.0</v>
      </c>
      <c r="C111" s="35" t="s">
        <v>4971</v>
      </c>
      <c r="D111" s="35" t="s">
        <v>10686</v>
      </c>
      <c r="E111" s="51" t="s">
        <v>53</v>
      </c>
      <c r="F111" s="31"/>
      <c r="G111" s="31"/>
      <c r="H111" s="31"/>
      <c r="I111" s="31"/>
      <c r="M111" t="str">
        <f t="shared" si="2"/>
        <v>sd08@senate.state.oh.us</v>
      </c>
    </row>
    <row r="112">
      <c r="A112" s="14" t="s">
        <v>286</v>
      </c>
      <c r="B112" s="35">
        <v>9.0</v>
      </c>
      <c r="C112" s="35" t="s">
        <v>4931</v>
      </c>
      <c r="D112" s="35" t="s">
        <v>561</v>
      </c>
      <c r="E112" s="36" t="s">
        <v>49</v>
      </c>
      <c r="F112" s="164" t="s">
        <v>1965</v>
      </c>
      <c r="G112" s="31"/>
      <c r="H112" s="31"/>
      <c r="I112" s="31"/>
      <c r="M112" t="str">
        <f t="shared" si="2"/>
        <v>sd09@senate.state.oh.us</v>
      </c>
    </row>
    <row r="113">
      <c r="A113" s="14" t="s">
        <v>286</v>
      </c>
      <c r="B113" s="35">
        <v>10.0</v>
      </c>
      <c r="C113" s="35" t="s">
        <v>419</v>
      </c>
      <c r="D113" s="35" t="s">
        <v>10687</v>
      </c>
      <c r="E113" s="51" t="s">
        <v>53</v>
      </c>
      <c r="F113" s="31"/>
      <c r="G113" s="31"/>
      <c r="H113" s="31"/>
      <c r="I113" s="31"/>
      <c r="M113" t="str">
        <f t="shared" ref="M113:M136" si="3">Concatenate("sd",B113,"@senate.state.oh.us")</f>
        <v>sd10@senate.state.oh.us</v>
      </c>
    </row>
    <row r="114">
      <c r="A114" s="14" t="s">
        <v>286</v>
      </c>
      <c r="B114" s="35">
        <v>11.0</v>
      </c>
      <c r="C114" s="35" t="s">
        <v>493</v>
      </c>
      <c r="D114" s="35" t="s">
        <v>10690</v>
      </c>
      <c r="E114" s="36" t="s">
        <v>49</v>
      </c>
      <c r="F114" s="31"/>
      <c r="G114" s="31"/>
      <c r="H114" s="31"/>
      <c r="I114" s="31"/>
      <c r="M114" t="str">
        <f t="shared" si="3"/>
        <v>sd11@senate.state.oh.us</v>
      </c>
    </row>
    <row r="115">
      <c r="A115" s="14" t="s">
        <v>286</v>
      </c>
      <c r="B115" s="35">
        <v>12.0</v>
      </c>
      <c r="C115" s="35" t="s">
        <v>163</v>
      </c>
      <c r="D115" s="35" t="s">
        <v>2286</v>
      </c>
      <c r="E115" s="51" t="s">
        <v>53</v>
      </c>
      <c r="F115" s="164" t="s">
        <v>1188</v>
      </c>
      <c r="G115" s="31"/>
      <c r="H115" s="31"/>
      <c r="I115" s="31"/>
      <c r="M115" t="str">
        <f t="shared" si="3"/>
        <v>sd12@senate.state.oh.us</v>
      </c>
    </row>
    <row r="116">
      <c r="A116" s="14" t="s">
        <v>286</v>
      </c>
      <c r="B116" s="35">
        <v>13.0</v>
      </c>
      <c r="C116" s="35" t="s">
        <v>6305</v>
      </c>
      <c r="D116" s="35" t="s">
        <v>4660</v>
      </c>
      <c r="E116" s="51" t="s">
        <v>53</v>
      </c>
      <c r="F116" s="31"/>
      <c r="G116" s="31"/>
      <c r="H116" s="31"/>
      <c r="I116" s="31"/>
      <c r="M116" t="str">
        <f t="shared" si="3"/>
        <v>sd13@senate.state.oh.us</v>
      </c>
    </row>
    <row r="117">
      <c r="A117" s="14" t="s">
        <v>286</v>
      </c>
      <c r="B117" s="35">
        <v>14.0</v>
      </c>
      <c r="C117" s="35" t="s">
        <v>622</v>
      </c>
      <c r="D117" s="35" t="s">
        <v>10706</v>
      </c>
      <c r="E117" s="51" t="s">
        <v>53</v>
      </c>
      <c r="F117" s="31"/>
      <c r="G117" s="31"/>
      <c r="H117" s="31"/>
      <c r="I117" s="31"/>
      <c r="M117" t="str">
        <f t="shared" si="3"/>
        <v>sd14@senate.state.oh.us</v>
      </c>
    </row>
    <row r="118">
      <c r="A118" s="14" t="s">
        <v>286</v>
      </c>
      <c r="B118" s="35">
        <v>15.0</v>
      </c>
      <c r="C118" s="35" t="s">
        <v>10712</v>
      </c>
      <c r="D118" s="35" t="s">
        <v>373</v>
      </c>
      <c r="E118" s="36" t="s">
        <v>49</v>
      </c>
      <c r="F118" s="31"/>
      <c r="G118" s="31"/>
      <c r="H118" s="31"/>
      <c r="I118" s="31"/>
      <c r="M118" t="str">
        <f t="shared" si="3"/>
        <v>sd15@senate.state.oh.us</v>
      </c>
    </row>
    <row r="119">
      <c r="A119" s="14" t="s">
        <v>286</v>
      </c>
      <c r="B119" s="35">
        <v>16.0</v>
      </c>
      <c r="C119" s="35" t="s">
        <v>2254</v>
      </c>
      <c r="D119" s="35" t="s">
        <v>10724</v>
      </c>
      <c r="E119" s="51" t="s">
        <v>53</v>
      </c>
      <c r="F119" s="31"/>
      <c r="G119" s="31"/>
      <c r="H119" s="31"/>
      <c r="I119" s="31"/>
      <c r="M119" t="str">
        <f t="shared" si="3"/>
        <v>sd16@senate.state.oh.us</v>
      </c>
    </row>
    <row r="120">
      <c r="A120" s="14" t="s">
        <v>286</v>
      </c>
      <c r="B120" s="35">
        <v>17.0</v>
      </c>
      <c r="C120" s="35" t="s">
        <v>419</v>
      </c>
      <c r="D120" s="35" t="s">
        <v>6554</v>
      </c>
      <c r="E120" s="51" t="s">
        <v>53</v>
      </c>
      <c r="F120" s="164" t="s">
        <v>10731</v>
      </c>
      <c r="G120" s="31"/>
      <c r="H120" s="31"/>
      <c r="I120" s="31"/>
      <c r="M120" t="str">
        <f t="shared" si="3"/>
        <v>sd17@senate.state.oh.us</v>
      </c>
    </row>
    <row r="121">
      <c r="A121" s="14" t="s">
        <v>286</v>
      </c>
      <c r="B121" s="35">
        <v>18.0</v>
      </c>
      <c r="C121" s="35" t="s">
        <v>278</v>
      </c>
      <c r="D121" s="35" t="s">
        <v>10745</v>
      </c>
      <c r="E121" s="51" t="s">
        <v>53</v>
      </c>
      <c r="F121" s="31"/>
      <c r="G121" s="31"/>
      <c r="H121" s="31"/>
      <c r="I121" s="31"/>
      <c r="M121" t="str">
        <f t="shared" si="3"/>
        <v>sd18@senate.state.oh.us</v>
      </c>
    </row>
    <row r="122">
      <c r="A122" s="14" t="s">
        <v>286</v>
      </c>
      <c r="B122" s="35">
        <v>19.0</v>
      </c>
      <c r="C122" s="35" t="s">
        <v>80</v>
      </c>
      <c r="D122" s="35" t="s">
        <v>10754</v>
      </c>
      <c r="E122" s="51" t="s">
        <v>53</v>
      </c>
      <c r="F122" s="31"/>
      <c r="G122" s="31"/>
      <c r="H122" s="31"/>
      <c r="I122" s="31"/>
      <c r="M122" t="str">
        <f t="shared" si="3"/>
        <v>sd19@senate.state.oh.us</v>
      </c>
    </row>
    <row r="123">
      <c r="A123" s="14" t="s">
        <v>286</v>
      </c>
      <c r="B123" s="35">
        <v>20.0</v>
      </c>
      <c r="C123" s="35" t="s">
        <v>3163</v>
      </c>
      <c r="D123" s="35" t="s">
        <v>10764</v>
      </c>
      <c r="E123" s="51" t="s">
        <v>53</v>
      </c>
      <c r="F123" s="31"/>
      <c r="G123" s="31"/>
      <c r="H123" s="31"/>
      <c r="I123" s="31"/>
      <c r="M123" t="str">
        <f t="shared" si="3"/>
        <v>sd20@senate.state.oh.us</v>
      </c>
    </row>
    <row r="124">
      <c r="A124" s="14" t="s">
        <v>286</v>
      </c>
      <c r="B124" s="35">
        <v>21.0</v>
      </c>
      <c r="C124" s="35" t="s">
        <v>3576</v>
      </c>
      <c r="D124" s="35" t="s">
        <v>793</v>
      </c>
      <c r="E124" s="36" t="s">
        <v>49</v>
      </c>
      <c r="F124" s="31"/>
      <c r="G124" s="31"/>
      <c r="H124" s="31"/>
      <c r="I124" s="31"/>
      <c r="M124" t="str">
        <f t="shared" si="3"/>
        <v>sd21@senate.state.oh.us</v>
      </c>
    </row>
    <row r="125">
      <c r="A125" s="14" t="s">
        <v>286</v>
      </c>
      <c r="B125" s="35">
        <v>22.0</v>
      </c>
      <c r="C125" s="35" t="s">
        <v>839</v>
      </c>
      <c r="D125" s="35" t="s">
        <v>10774</v>
      </c>
      <c r="E125" s="51" t="s">
        <v>53</v>
      </c>
      <c r="F125" s="164" t="s">
        <v>1156</v>
      </c>
      <c r="G125" s="31"/>
      <c r="H125" s="31"/>
      <c r="I125" s="31"/>
      <c r="M125" t="str">
        <f t="shared" si="3"/>
        <v>sd22@senate.state.oh.us</v>
      </c>
    </row>
    <row r="126">
      <c r="A126" s="14" t="s">
        <v>286</v>
      </c>
      <c r="B126" s="35">
        <v>23.0</v>
      </c>
      <c r="C126" s="35" t="s">
        <v>10777</v>
      </c>
      <c r="D126" s="35" t="s">
        <v>4489</v>
      </c>
      <c r="E126" s="36" t="s">
        <v>49</v>
      </c>
      <c r="F126" s="31"/>
      <c r="G126" s="31"/>
      <c r="H126" s="31"/>
      <c r="I126" s="31"/>
      <c r="M126" t="str">
        <f t="shared" si="3"/>
        <v>sd23@senate.state.oh.us</v>
      </c>
    </row>
    <row r="127">
      <c r="A127" s="14" t="s">
        <v>286</v>
      </c>
      <c r="B127" s="35">
        <v>24.0</v>
      </c>
      <c r="C127" s="35" t="s">
        <v>163</v>
      </c>
      <c r="D127" s="35" t="s">
        <v>10784</v>
      </c>
      <c r="E127" s="51" t="s">
        <v>53</v>
      </c>
      <c r="F127" s="31"/>
      <c r="G127" s="31"/>
      <c r="H127" s="31"/>
      <c r="I127" s="31"/>
      <c r="M127" t="str">
        <f t="shared" si="3"/>
        <v>sd24@senate.state.oh.us</v>
      </c>
    </row>
    <row r="128">
      <c r="A128" s="14" t="s">
        <v>286</v>
      </c>
      <c r="B128" s="35">
        <v>25.0</v>
      </c>
      <c r="C128" s="35" t="s">
        <v>5745</v>
      </c>
      <c r="D128" s="35" t="s">
        <v>10791</v>
      </c>
      <c r="E128" s="36" t="s">
        <v>49</v>
      </c>
      <c r="F128" s="164" t="s">
        <v>498</v>
      </c>
      <c r="G128" s="31"/>
      <c r="H128" s="31"/>
      <c r="I128" s="31"/>
      <c r="M128" t="str">
        <f t="shared" si="3"/>
        <v>sd25@senate.state.oh.us</v>
      </c>
    </row>
    <row r="129">
      <c r="A129" s="14" t="s">
        <v>286</v>
      </c>
      <c r="B129" s="35">
        <v>26.0</v>
      </c>
      <c r="C129" s="35" t="s">
        <v>108</v>
      </c>
      <c r="D129" s="35" t="s">
        <v>1837</v>
      </c>
      <c r="E129" s="51" t="s">
        <v>53</v>
      </c>
      <c r="F129" s="31"/>
      <c r="G129" s="31"/>
      <c r="H129" s="31"/>
      <c r="I129" s="31"/>
      <c r="M129" t="str">
        <f t="shared" si="3"/>
        <v>sd26@senate.state.oh.us</v>
      </c>
    </row>
    <row r="130">
      <c r="A130" s="14" t="s">
        <v>286</v>
      </c>
      <c r="B130" s="35">
        <v>27.0</v>
      </c>
      <c r="C130" s="35" t="s">
        <v>10798</v>
      </c>
      <c r="D130" s="35" t="s">
        <v>10799</v>
      </c>
      <c r="E130" s="51" t="s">
        <v>53</v>
      </c>
      <c r="F130" s="31"/>
      <c r="G130" s="31"/>
      <c r="H130" s="31"/>
      <c r="I130" s="31"/>
      <c r="M130" t="str">
        <f t="shared" si="3"/>
        <v>sd27@senate.state.oh.us</v>
      </c>
    </row>
    <row r="131">
      <c r="A131" s="14" t="s">
        <v>286</v>
      </c>
      <c r="B131" s="35">
        <v>28.0</v>
      </c>
      <c r="C131" s="35" t="s">
        <v>3659</v>
      </c>
      <c r="D131" s="35" t="s">
        <v>5459</v>
      </c>
      <c r="E131" s="36" t="s">
        <v>49</v>
      </c>
      <c r="F131" s="164"/>
      <c r="G131" s="31"/>
      <c r="H131" s="31"/>
      <c r="I131" s="31"/>
      <c r="M131" t="str">
        <f t="shared" si="3"/>
        <v>sd28@senate.state.oh.us</v>
      </c>
    </row>
    <row r="132">
      <c r="A132" s="14" t="s">
        <v>286</v>
      </c>
      <c r="B132" s="35">
        <v>29.0</v>
      </c>
      <c r="C132" s="35" t="s">
        <v>619</v>
      </c>
      <c r="D132" s="35" t="s">
        <v>10810</v>
      </c>
      <c r="E132" s="51" t="s">
        <v>53</v>
      </c>
      <c r="F132" s="31"/>
      <c r="G132" s="31"/>
      <c r="H132" s="31"/>
      <c r="I132" s="31"/>
      <c r="M132" t="str">
        <f t="shared" si="3"/>
        <v>sd29@senate.state.oh.us</v>
      </c>
    </row>
    <row r="133">
      <c r="A133" s="14" t="s">
        <v>286</v>
      </c>
      <c r="B133" s="35">
        <v>30.0</v>
      </c>
      <c r="C133" s="35" t="s">
        <v>1000</v>
      </c>
      <c r="D133" s="35" t="s">
        <v>10817</v>
      </c>
      <c r="E133" s="51" t="s">
        <v>53</v>
      </c>
      <c r="F133" s="31"/>
      <c r="G133" s="31"/>
      <c r="H133" s="31"/>
      <c r="I133" s="31"/>
      <c r="M133" t="str">
        <f t="shared" si="3"/>
        <v>sd30@senate.state.oh.us</v>
      </c>
    </row>
    <row r="134">
      <c r="A134" s="14" t="s">
        <v>286</v>
      </c>
      <c r="B134" s="35">
        <v>31.0</v>
      </c>
      <c r="C134" s="35" t="s">
        <v>1013</v>
      </c>
      <c r="D134" s="35" t="s">
        <v>10821</v>
      </c>
      <c r="E134" s="51" t="s">
        <v>53</v>
      </c>
      <c r="F134" s="31"/>
      <c r="G134" s="31"/>
      <c r="H134" s="31"/>
      <c r="I134" s="31"/>
      <c r="M134" t="str">
        <f t="shared" si="3"/>
        <v>sd31@senate.state.oh.us</v>
      </c>
    </row>
    <row r="135">
      <c r="A135" s="14" t="s">
        <v>286</v>
      </c>
      <c r="B135" s="35">
        <v>32.0</v>
      </c>
      <c r="C135" s="35" t="s">
        <v>1276</v>
      </c>
      <c r="D135" s="35" t="s">
        <v>10256</v>
      </c>
      <c r="E135" s="36" t="s">
        <v>49</v>
      </c>
      <c r="F135" s="164" t="s">
        <v>2004</v>
      </c>
      <c r="G135" s="31"/>
      <c r="H135" s="31"/>
      <c r="I135" s="31"/>
      <c r="M135" t="str">
        <f t="shared" si="3"/>
        <v>sd32@senate.state.oh.us</v>
      </c>
    </row>
    <row r="136">
      <c r="A136" s="14" t="s">
        <v>286</v>
      </c>
      <c r="B136" s="35">
        <v>33.0</v>
      </c>
      <c r="C136" s="35" t="s">
        <v>2490</v>
      </c>
      <c r="D136" s="35" t="s">
        <v>10830</v>
      </c>
      <c r="E136" s="51" t="s">
        <v>53</v>
      </c>
      <c r="F136" s="31"/>
      <c r="G136" s="31"/>
      <c r="H136" s="31"/>
      <c r="I136" s="31"/>
      <c r="M136" t="str">
        <f t="shared" si="3"/>
        <v>sd33@senate.state.oh.us</v>
      </c>
    </row>
    <row r="137">
      <c r="A137" s="70"/>
      <c r="B137" s="71"/>
      <c r="C137" s="71"/>
      <c r="D137" s="71"/>
      <c r="E137" s="70"/>
      <c r="F137" s="70"/>
      <c r="G137" s="70"/>
      <c r="H137" s="70"/>
      <c r="I137" s="70"/>
      <c r="J137" s="70"/>
      <c r="K137" s="70"/>
      <c r="L137" s="70"/>
      <c r="M137" s="70"/>
      <c r="N137" s="70"/>
      <c r="O137" s="70"/>
      <c r="P137" s="70"/>
      <c r="Q137" s="70"/>
      <c r="R137" s="70"/>
      <c r="S137" s="70"/>
      <c r="T137" s="70"/>
      <c r="U137" s="70"/>
      <c r="V137" s="70"/>
      <c r="W137" s="70"/>
      <c r="X137" s="70"/>
      <c r="Y137" s="70"/>
      <c r="Z137" s="70"/>
      <c r="AA137" s="70"/>
      <c r="AB137" s="70"/>
      <c r="AC137" s="70"/>
      <c r="AD137" s="70"/>
      <c r="AE137" s="70"/>
      <c r="AF137" s="70"/>
      <c r="AG137" s="70"/>
      <c r="AH137" s="70"/>
    </row>
    <row r="138">
      <c r="A138" s="14" t="s">
        <v>421</v>
      </c>
      <c r="B138" s="139"/>
      <c r="C138" s="77" t="s">
        <v>157</v>
      </c>
      <c r="D138" s="77" t="s">
        <v>10833</v>
      </c>
      <c r="E138" s="51" t="s">
        <v>53</v>
      </c>
    </row>
    <row r="139">
      <c r="A139" s="70"/>
      <c r="B139" s="71"/>
      <c r="C139" s="71"/>
      <c r="D139" s="71"/>
      <c r="E139" s="70"/>
      <c r="F139" s="70"/>
      <c r="G139" s="70"/>
      <c r="H139" s="70"/>
      <c r="I139" s="70"/>
      <c r="J139" s="70"/>
      <c r="K139" s="70"/>
      <c r="L139" s="70"/>
      <c r="M139" s="70"/>
      <c r="N139" s="70"/>
      <c r="O139" s="70"/>
      <c r="P139" s="70"/>
      <c r="Q139" s="70"/>
      <c r="R139" s="70"/>
      <c r="S139" s="70"/>
      <c r="T139" s="70"/>
      <c r="U139" s="70"/>
      <c r="V139" s="70"/>
      <c r="W139" s="70"/>
      <c r="X139" s="70"/>
      <c r="Y139" s="70"/>
      <c r="Z139" s="70"/>
      <c r="AA139" s="70"/>
      <c r="AB139" s="70"/>
      <c r="AC139" s="70"/>
      <c r="AD139" s="70"/>
      <c r="AE139" s="70"/>
      <c r="AF139" s="70"/>
      <c r="AG139" s="70"/>
      <c r="AH139" s="70"/>
    </row>
    <row r="140">
      <c r="A140" s="14" t="s">
        <v>427</v>
      </c>
      <c r="B140" s="77">
        <v>1.0</v>
      </c>
      <c r="C140" s="77" t="s">
        <v>55</v>
      </c>
      <c r="D140" s="77" t="s">
        <v>10834</v>
      </c>
      <c r="E140" s="51" t="s">
        <v>53</v>
      </c>
    </row>
    <row r="141">
      <c r="A141" s="14" t="s">
        <v>427</v>
      </c>
      <c r="B141" s="77">
        <v>2.0</v>
      </c>
      <c r="C141" s="77" t="s">
        <v>2323</v>
      </c>
      <c r="D141" s="77" t="s">
        <v>10835</v>
      </c>
      <c r="E141" s="51" t="s">
        <v>53</v>
      </c>
    </row>
    <row r="142">
      <c r="A142" s="14" t="s">
        <v>427</v>
      </c>
      <c r="B142" s="77">
        <v>3.0</v>
      </c>
      <c r="C142" s="77" t="s">
        <v>2426</v>
      </c>
      <c r="D142" s="77" t="s">
        <v>10836</v>
      </c>
      <c r="E142" s="36" t="s">
        <v>49</v>
      </c>
    </row>
    <row r="143">
      <c r="A143" s="14" t="s">
        <v>427</v>
      </c>
      <c r="B143" s="77">
        <v>4.0</v>
      </c>
      <c r="C143" s="77" t="s">
        <v>476</v>
      </c>
      <c r="D143" s="77" t="s">
        <v>1581</v>
      </c>
      <c r="E143" s="51" t="s">
        <v>53</v>
      </c>
    </row>
    <row r="144">
      <c r="A144" s="14" t="s">
        <v>427</v>
      </c>
      <c r="B144" s="77">
        <v>5.0</v>
      </c>
      <c r="C144" s="77" t="s">
        <v>419</v>
      </c>
      <c r="D144" s="77" t="s">
        <v>10837</v>
      </c>
      <c r="E144" s="51" t="s">
        <v>53</v>
      </c>
    </row>
    <row r="145">
      <c r="A145" s="14" t="s">
        <v>427</v>
      </c>
      <c r="B145" s="77">
        <v>6.0</v>
      </c>
      <c r="C145" s="77" t="s">
        <v>325</v>
      </c>
      <c r="D145" s="77" t="s">
        <v>118</v>
      </c>
      <c r="E145" s="51" t="s">
        <v>53</v>
      </c>
    </row>
    <row r="146">
      <c r="A146" s="14" t="s">
        <v>427</v>
      </c>
      <c r="B146" s="77">
        <v>7.0</v>
      </c>
      <c r="C146" s="77" t="s">
        <v>419</v>
      </c>
      <c r="D146" s="77" t="s">
        <v>3968</v>
      </c>
      <c r="E146" s="51" t="s">
        <v>53</v>
      </c>
    </row>
    <row r="147">
      <c r="A147" s="14" t="s">
        <v>427</v>
      </c>
      <c r="B147" s="77">
        <v>8.0</v>
      </c>
      <c r="C147" s="77" t="s">
        <v>646</v>
      </c>
      <c r="D147" s="77" t="s">
        <v>10838</v>
      </c>
      <c r="E147" s="51" t="s">
        <v>53</v>
      </c>
    </row>
    <row r="148">
      <c r="A148" s="14" t="s">
        <v>427</v>
      </c>
      <c r="B148" s="77">
        <v>9.0</v>
      </c>
      <c r="C148" s="77" t="s">
        <v>10839</v>
      </c>
      <c r="D148" s="77" t="s">
        <v>10840</v>
      </c>
      <c r="E148" s="36" t="s">
        <v>49</v>
      </c>
    </row>
    <row r="149">
      <c r="A149" s="14" t="s">
        <v>427</v>
      </c>
      <c r="B149" s="77">
        <v>10.0</v>
      </c>
      <c r="C149" s="77" t="s">
        <v>157</v>
      </c>
      <c r="D149" s="77" t="s">
        <v>3193</v>
      </c>
      <c r="E149" s="51" t="s">
        <v>53</v>
      </c>
    </row>
    <row r="150">
      <c r="A150" s="14" t="s">
        <v>427</v>
      </c>
      <c r="B150" s="77">
        <v>11.0</v>
      </c>
      <c r="C150" s="77" t="s">
        <v>9776</v>
      </c>
      <c r="D150" s="77" t="s">
        <v>10841</v>
      </c>
      <c r="E150" s="36" t="s">
        <v>49</v>
      </c>
    </row>
    <row r="151">
      <c r="A151" s="14" t="s">
        <v>427</v>
      </c>
      <c r="B151" s="77">
        <v>12.0</v>
      </c>
      <c r="C151" s="77" t="s">
        <v>10842</v>
      </c>
      <c r="D151" s="77" t="s">
        <v>10764</v>
      </c>
      <c r="E151" s="51" t="s">
        <v>53</v>
      </c>
    </row>
    <row r="152">
      <c r="A152" s="14" t="s">
        <v>427</v>
      </c>
      <c r="B152" s="77">
        <v>13.0</v>
      </c>
      <c r="C152" s="77" t="s">
        <v>225</v>
      </c>
      <c r="D152" s="77" t="s">
        <v>2780</v>
      </c>
      <c r="E152" s="36" t="s">
        <v>49</v>
      </c>
    </row>
    <row r="153">
      <c r="A153" s="14" t="s">
        <v>427</v>
      </c>
      <c r="B153" s="77">
        <v>14.0</v>
      </c>
      <c r="C153" s="77" t="s">
        <v>108</v>
      </c>
      <c r="D153" s="77" t="s">
        <v>2426</v>
      </c>
      <c r="E153" s="51" t="s">
        <v>53</v>
      </c>
    </row>
    <row r="154">
      <c r="A154" s="14" t="s">
        <v>427</v>
      </c>
      <c r="B154" s="77">
        <v>15.0</v>
      </c>
      <c r="C154" s="77" t="s">
        <v>55</v>
      </c>
      <c r="D154" s="77" t="s">
        <v>5356</v>
      </c>
      <c r="E154" s="51" t="s">
        <v>53</v>
      </c>
    </row>
    <row r="155">
      <c r="A155" s="14" t="s">
        <v>427</v>
      </c>
      <c r="B155" s="77">
        <v>16.0</v>
      </c>
      <c r="C155" s="77" t="s">
        <v>496</v>
      </c>
      <c r="D155" s="77" t="s">
        <v>2496</v>
      </c>
      <c r="E155" s="51" t="s">
        <v>53</v>
      </c>
    </row>
    <row r="156">
      <c r="A156" s="70"/>
      <c r="B156" s="71"/>
      <c r="C156" s="71"/>
      <c r="D156" s="71"/>
      <c r="E156" s="70"/>
      <c r="F156" s="70"/>
      <c r="G156" s="70"/>
      <c r="H156" s="70"/>
      <c r="I156" s="70"/>
      <c r="J156" s="70"/>
      <c r="K156" s="70"/>
      <c r="L156" s="70"/>
      <c r="M156" s="70"/>
      <c r="N156" s="70"/>
      <c r="O156" s="70"/>
      <c r="P156" s="70"/>
      <c r="Q156" s="70"/>
      <c r="R156" s="70"/>
      <c r="S156" s="70"/>
      <c r="T156" s="70"/>
      <c r="U156" s="70"/>
      <c r="V156" s="70"/>
      <c r="W156" s="70"/>
      <c r="X156" s="70"/>
      <c r="Y156" s="70"/>
      <c r="Z156" s="70"/>
      <c r="AA156" s="70"/>
      <c r="AB156" s="70"/>
      <c r="AC156" s="70"/>
      <c r="AD156" s="70"/>
      <c r="AE156" s="70"/>
      <c r="AF156" s="70"/>
      <c r="AG156" s="70"/>
      <c r="AH156" s="70"/>
    </row>
    <row r="157">
      <c r="A157" s="14" t="s">
        <v>430</v>
      </c>
      <c r="B157" s="77" t="s">
        <v>431</v>
      </c>
      <c r="C157" s="77" t="s">
        <v>1476</v>
      </c>
      <c r="D157" s="77" t="s">
        <v>10843</v>
      </c>
      <c r="E157" s="51" t="s">
        <v>53</v>
      </c>
    </row>
    <row r="158">
      <c r="A158" s="14" t="s">
        <v>430</v>
      </c>
      <c r="B158" s="77" t="s">
        <v>434</v>
      </c>
      <c r="C158" s="77" t="s">
        <v>10844</v>
      </c>
      <c r="D158" s="77" t="s">
        <v>447</v>
      </c>
      <c r="E158" s="36" t="s">
        <v>49</v>
      </c>
    </row>
    <row r="159">
      <c r="A159" s="70"/>
      <c r="B159" s="71"/>
      <c r="C159" s="71"/>
      <c r="D159" s="71"/>
      <c r="E159" s="70"/>
      <c r="F159" s="70"/>
      <c r="G159" s="70"/>
      <c r="H159" s="70"/>
      <c r="I159" s="70"/>
      <c r="J159" s="70"/>
      <c r="K159" s="70"/>
      <c r="L159" s="70"/>
      <c r="M159" s="70"/>
      <c r="N159" s="70"/>
      <c r="O159" s="70"/>
      <c r="P159" s="70"/>
      <c r="Q159" s="70"/>
      <c r="R159" s="70"/>
      <c r="S159" s="70"/>
      <c r="T159" s="70"/>
      <c r="U159" s="70"/>
      <c r="V159" s="70"/>
      <c r="W159" s="70"/>
      <c r="X159" s="70"/>
      <c r="Y159" s="70"/>
      <c r="Z159" s="70"/>
      <c r="AA159" s="70"/>
      <c r="AB159" s="70"/>
      <c r="AC159" s="70"/>
      <c r="AD159" s="70"/>
      <c r="AE159" s="70"/>
      <c r="AF159" s="70"/>
      <c r="AG159" s="70"/>
      <c r="AH159" s="70"/>
    </row>
    <row r="160">
      <c r="A160" s="14" t="s">
        <v>438</v>
      </c>
      <c r="B160" s="139"/>
      <c r="C160" s="77" t="s">
        <v>76</v>
      </c>
      <c r="D160" s="77" t="s">
        <v>10845</v>
      </c>
      <c r="E160" s="51" t="s">
        <v>53</v>
      </c>
    </row>
    <row r="161">
      <c r="A161" s="70"/>
      <c r="B161" s="71"/>
      <c r="C161" s="71"/>
      <c r="D161" s="71"/>
      <c r="E161" s="70"/>
      <c r="F161" s="70"/>
      <c r="G161" s="70"/>
      <c r="H161" s="70"/>
      <c r="I161" s="70"/>
      <c r="J161" s="70"/>
      <c r="K161" s="70"/>
      <c r="L161" s="70"/>
      <c r="M161" s="70"/>
      <c r="N161" s="70"/>
      <c r="O161" s="70"/>
      <c r="P161" s="70"/>
      <c r="Q161" s="70"/>
      <c r="R161" s="70"/>
      <c r="S161" s="70"/>
      <c r="T161" s="70"/>
      <c r="U161" s="70"/>
      <c r="V161" s="70"/>
      <c r="W161" s="70"/>
      <c r="X161" s="70"/>
      <c r="Y161" s="70"/>
      <c r="Z161" s="70"/>
      <c r="AA161" s="70"/>
      <c r="AB161" s="70"/>
      <c r="AC161" s="70"/>
      <c r="AD161" s="70"/>
      <c r="AE161" s="70"/>
      <c r="AF161" s="70"/>
      <c r="AG161" s="70"/>
      <c r="AH161" s="70"/>
    </row>
    <row r="162">
      <c r="B162" s="139"/>
      <c r="C162" s="139"/>
      <c r="D162" s="139"/>
    </row>
    <row r="163">
      <c r="B163" s="139"/>
      <c r="C163" s="139"/>
      <c r="D163" s="139"/>
    </row>
    <row r="164">
      <c r="B164" s="139"/>
      <c r="C164" s="139"/>
      <c r="D164" s="139"/>
    </row>
    <row r="165">
      <c r="B165" s="139"/>
      <c r="C165" s="139"/>
      <c r="D165" s="139"/>
    </row>
    <row r="166">
      <c r="B166" s="139"/>
      <c r="C166" s="139"/>
      <c r="D166" s="139"/>
    </row>
    <row r="167">
      <c r="B167" s="139"/>
      <c r="C167" s="139"/>
      <c r="D167" s="139"/>
    </row>
    <row r="168">
      <c r="B168" s="139"/>
      <c r="C168" s="139"/>
      <c r="D168" s="139"/>
    </row>
    <row r="169">
      <c r="B169" s="139"/>
      <c r="C169" s="139"/>
      <c r="D169" s="139"/>
    </row>
    <row r="170">
      <c r="B170" s="139"/>
      <c r="C170" s="139"/>
      <c r="D170" s="139"/>
    </row>
    <row r="171">
      <c r="B171" s="139"/>
      <c r="C171" s="139"/>
      <c r="D171" s="139"/>
    </row>
    <row r="172">
      <c r="B172" s="139"/>
      <c r="C172" s="139"/>
      <c r="D172" s="139"/>
    </row>
    <row r="173">
      <c r="B173" s="139"/>
      <c r="C173" s="139"/>
      <c r="D173" s="139"/>
    </row>
    <row r="174">
      <c r="B174" s="139"/>
      <c r="C174" s="139"/>
      <c r="D174" s="139"/>
    </row>
    <row r="175">
      <c r="B175" s="139"/>
      <c r="C175" s="139"/>
      <c r="D175" s="139"/>
    </row>
    <row r="176">
      <c r="B176" s="139"/>
      <c r="C176" s="139"/>
      <c r="D176" s="139"/>
    </row>
    <row r="177">
      <c r="B177" s="139"/>
      <c r="C177" s="139"/>
      <c r="D177" s="139"/>
    </row>
    <row r="178">
      <c r="B178" s="139"/>
      <c r="C178" s="139"/>
      <c r="D178" s="139"/>
    </row>
    <row r="179">
      <c r="B179" s="139"/>
      <c r="C179" s="139"/>
      <c r="D179" s="139"/>
    </row>
    <row r="180">
      <c r="B180" s="139"/>
      <c r="C180" s="139"/>
      <c r="D180" s="139"/>
    </row>
    <row r="181">
      <c r="B181" s="139"/>
      <c r="C181" s="139"/>
      <c r="D181" s="139"/>
    </row>
    <row r="182">
      <c r="B182" s="139"/>
      <c r="C182" s="139"/>
      <c r="D182" s="139"/>
    </row>
    <row r="183">
      <c r="B183" s="139"/>
      <c r="C183" s="139"/>
      <c r="D183" s="139"/>
    </row>
    <row r="184">
      <c r="B184" s="139"/>
      <c r="C184" s="139"/>
      <c r="D184" s="139"/>
    </row>
    <row r="185">
      <c r="B185" s="139"/>
      <c r="C185" s="139"/>
      <c r="D185" s="139"/>
    </row>
    <row r="186">
      <c r="B186" s="139"/>
      <c r="C186" s="139"/>
      <c r="D186" s="139"/>
    </row>
    <row r="187">
      <c r="B187" s="139"/>
      <c r="C187" s="139"/>
      <c r="D187" s="139"/>
    </row>
    <row r="188">
      <c r="B188" s="139"/>
      <c r="C188" s="139"/>
      <c r="D188" s="139"/>
    </row>
    <row r="189">
      <c r="B189" s="139"/>
      <c r="C189" s="139"/>
      <c r="D189" s="139"/>
    </row>
    <row r="190">
      <c r="B190" s="139"/>
      <c r="C190" s="139"/>
      <c r="D190" s="139"/>
    </row>
    <row r="191">
      <c r="B191" s="139"/>
      <c r="C191" s="139"/>
      <c r="D191" s="139"/>
    </row>
    <row r="192">
      <c r="B192" s="139"/>
      <c r="C192" s="139"/>
      <c r="D192" s="139"/>
    </row>
    <row r="193">
      <c r="B193" s="139"/>
      <c r="C193" s="139"/>
      <c r="D193" s="139"/>
    </row>
    <row r="194">
      <c r="B194" s="139"/>
      <c r="C194" s="139"/>
      <c r="D194" s="139"/>
    </row>
    <row r="195">
      <c r="B195" s="139"/>
      <c r="C195" s="139"/>
      <c r="D195" s="139"/>
    </row>
    <row r="196">
      <c r="B196" s="139"/>
      <c r="C196" s="139"/>
      <c r="D196" s="139"/>
    </row>
    <row r="197">
      <c r="B197" s="139"/>
      <c r="C197" s="139"/>
      <c r="D197" s="139"/>
    </row>
    <row r="198">
      <c r="B198" s="139"/>
      <c r="C198" s="139"/>
      <c r="D198" s="139"/>
    </row>
    <row r="199">
      <c r="B199" s="139"/>
      <c r="C199" s="139"/>
      <c r="D199" s="139"/>
    </row>
    <row r="200">
      <c r="B200" s="139"/>
      <c r="C200" s="139"/>
      <c r="D200" s="139"/>
    </row>
    <row r="201">
      <c r="B201" s="139"/>
      <c r="C201" s="139"/>
      <c r="D201" s="139"/>
    </row>
    <row r="202">
      <c r="B202" s="139"/>
      <c r="C202" s="139"/>
      <c r="D202" s="139"/>
    </row>
    <row r="203">
      <c r="B203" s="139"/>
      <c r="C203" s="139"/>
      <c r="D203" s="139"/>
    </row>
    <row r="204">
      <c r="B204" s="139"/>
      <c r="C204" s="139"/>
      <c r="D204" s="139"/>
    </row>
    <row r="205">
      <c r="B205" s="139"/>
      <c r="C205" s="139"/>
      <c r="D205" s="139"/>
    </row>
    <row r="206">
      <c r="B206" s="139"/>
      <c r="C206" s="139"/>
      <c r="D206" s="139"/>
    </row>
    <row r="207">
      <c r="B207" s="139"/>
      <c r="C207" s="139"/>
      <c r="D207" s="139"/>
    </row>
    <row r="208">
      <c r="B208" s="139"/>
      <c r="C208" s="139"/>
      <c r="D208" s="139"/>
    </row>
    <row r="209">
      <c r="B209" s="139"/>
      <c r="C209" s="139"/>
      <c r="D209" s="139"/>
    </row>
    <row r="210">
      <c r="B210" s="139"/>
      <c r="C210" s="139"/>
      <c r="D210" s="139"/>
    </row>
    <row r="211">
      <c r="B211" s="139"/>
      <c r="C211" s="139"/>
      <c r="D211" s="139"/>
    </row>
    <row r="212">
      <c r="B212" s="139"/>
      <c r="C212" s="139"/>
      <c r="D212" s="139"/>
    </row>
    <row r="213">
      <c r="B213" s="139"/>
      <c r="C213" s="139"/>
      <c r="D213" s="139"/>
    </row>
    <row r="214">
      <c r="B214" s="139"/>
      <c r="C214" s="139"/>
      <c r="D214" s="139"/>
    </row>
    <row r="215">
      <c r="B215" s="139"/>
      <c r="C215" s="139"/>
      <c r="D215" s="139"/>
    </row>
    <row r="216">
      <c r="B216" s="139"/>
      <c r="C216" s="139"/>
      <c r="D216" s="139"/>
    </row>
    <row r="217">
      <c r="B217" s="139"/>
      <c r="C217" s="139"/>
      <c r="D217" s="139"/>
    </row>
    <row r="218">
      <c r="B218" s="139"/>
      <c r="C218" s="139"/>
      <c r="D218" s="139"/>
    </row>
    <row r="219">
      <c r="B219" s="139"/>
      <c r="C219" s="139"/>
      <c r="D219" s="139"/>
    </row>
    <row r="220">
      <c r="B220" s="139"/>
      <c r="C220" s="139"/>
      <c r="D220" s="139"/>
    </row>
    <row r="221">
      <c r="B221" s="139"/>
      <c r="C221" s="139"/>
      <c r="D221" s="139"/>
    </row>
    <row r="222">
      <c r="B222" s="139"/>
      <c r="C222" s="139"/>
      <c r="D222" s="139"/>
    </row>
    <row r="223">
      <c r="B223" s="139"/>
      <c r="C223" s="139"/>
      <c r="D223" s="139"/>
    </row>
    <row r="224">
      <c r="B224" s="139"/>
      <c r="C224" s="139"/>
      <c r="D224" s="139"/>
    </row>
    <row r="225">
      <c r="B225" s="139"/>
      <c r="C225" s="139"/>
      <c r="D225" s="139"/>
    </row>
    <row r="226">
      <c r="B226" s="139"/>
      <c r="C226" s="139"/>
      <c r="D226" s="139"/>
    </row>
    <row r="227">
      <c r="B227" s="139"/>
      <c r="C227" s="139"/>
      <c r="D227" s="139"/>
    </row>
    <row r="228">
      <c r="B228" s="139"/>
      <c r="C228" s="139"/>
      <c r="D228" s="139"/>
    </row>
    <row r="229">
      <c r="B229" s="139"/>
      <c r="C229" s="139"/>
      <c r="D229" s="139"/>
    </row>
    <row r="230">
      <c r="B230" s="139"/>
      <c r="C230" s="139"/>
      <c r="D230" s="139"/>
    </row>
    <row r="231">
      <c r="B231" s="139"/>
      <c r="C231" s="139"/>
      <c r="D231" s="139"/>
    </row>
    <row r="232">
      <c r="B232" s="139"/>
      <c r="C232" s="139"/>
      <c r="D232" s="139"/>
    </row>
    <row r="233">
      <c r="B233" s="139"/>
      <c r="C233" s="139"/>
      <c r="D233" s="139"/>
    </row>
    <row r="234">
      <c r="B234" s="139"/>
      <c r="C234" s="139"/>
      <c r="D234" s="139"/>
    </row>
    <row r="235">
      <c r="B235" s="139"/>
      <c r="C235" s="139"/>
      <c r="D235" s="139"/>
    </row>
    <row r="236">
      <c r="B236" s="139"/>
      <c r="C236" s="139"/>
      <c r="D236" s="139"/>
    </row>
    <row r="237">
      <c r="B237" s="139"/>
      <c r="C237" s="139"/>
      <c r="D237" s="139"/>
    </row>
    <row r="238">
      <c r="B238" s="139"/>
      <c r="C238" s="139"/>
      <c r="D238" s="139"/>
    </row>
    <row r="239">
      <c r="B239" s="139"/>
      <c r="C239" s="139"/>
      <c r="D239" s="139"/>
    </row>
    <row r="240">
      <c r="B240" s="139"/>
      <c r="C240" s="139"/>
      <c r="D240" s="139"/>
    </row>
    <row r="241">
      <c r="B241" s="139"/>
      <c r="C241" s="139"/>
      <c r="D241" s="139"/>
    </row>
    <row r="242">
      <c r="B242" s="139"/>
      <c r="C242" s="139"/>
      <c r="D242" s="139"/>
    </row>
    <row r="243">
      <c r="B243" s="139"/>
      <c r="C243" s="139"/>
      <c r="D243" s="139"/>
    </row>
    <row r="244">
      <c r="B244" s="139"/>
      <c r="C244" s="139"/>
      <c r="D244" s="139"/>
    </row>
    <row r="245">
      <c r="B245" s="139"/>
      <c r="C245" s="139"/>
      <c r="D245" s="139"/>
    </row>
    <row r="246">
      <c r="B246" s="139"/>
      <c r="C246" s="139"/>
      <c r="D246" s="139"/>
    </row>
    <row r="247">
      <c r="B247" s="139"/>
      <c r="C247" s="139"/>
      <c r="D247" s="139"/>
    </row>
    <row r="248">
      <c r="B248" s="139"/>
      <c r="C248" s="139"/>
      <c r="D248" s="139"/>
    </row>
    <row r="249">
      <c r="B249" s="139"/>
      <c r="C249" s="139"/>
      <c r="D249" s="139"/>
    </row>
    <row r="250">
      <c r="B250" s="139"/>
      <c r="C250" s="139"/>
      <c r="D250" s="139"/>
    </row>
    <row r="251">
      <c r="B251" s="139"/>
      <c r="C251" s="139"/>
      <c r="D251" s="139"/>
    </row>
    <row r="252">
      <c r="B252" s="139"/>
      <c r="C252" s="139"/>
      <c r="D252" s="139"/>
    </row>
    <row r="253">
      <c r="B253" s="139"/>
      <c r="C253" s="139"/>
      <c r="D253" s="139"/>
    </row>
    <row r="254">
      <c r="B254" s="139"/>
      <c r="C254" s="139"/>
      <c r="D254" s="139"/>
    </row>
    <row r="255">
      <c r="B255" s="139"/>
      <c r="C255" s="139"/>
      <c r="D255" s="139"/>
    </row>
    <row r="256">
      <c r="B256" s="139"/>
      <c r="C256" s="139"/>
      <c r="D256" s="139"/>
    </row>
    <row r="257">
      <c r="B257" s="139"/>
      <c r="C257" s="139"/>
      <c r="D257" s="139"/>
    </row>
    <row r="258">
      <c r="B258" s="139"/>
      <c r="C258" s="139"/>
      <c r="D258" s="139"/>
    </row>
    <row r="259">
      <c r="B259" s="139"/>
      <c r="C259" s="139"/>
      <c r="D259" s="139"/>
    </row>
    <row r="260">
      <c r="B260" s="139"/>
      <c r="C260" s="139"/>
      <c r="D260" s="139"/>
    </row>
    <row r="261">
      <c r="B261" s="139"/>
      <c r="C261" s="139"/>
      <c r="D261" s="139"/>
    </row>
    <row r="262">
      <c r="B262" s="139"/>
      <c r="C262" s="139"/>
      <c r="D262" s="139"/>
    </row>
    <row r="263">
      <c r="B263" s="139"/>
      <c r="C263" s="139"/>
      <c r="D263" s="139"/>
    </row>
    <row r="264">
      <c r="B264" s="139"/>
      <c r="C264" s="139"/>
      <c r="D264" s="139"/>
    </row>
    <row r="265">
      <c r="B265" s="139"/>
      <c r="C265" s="139"/>
      <c r="D265" s="139"/>
    </row>
    <row r="266">
      <c r="B266" s="139"/>
      <c r="C266" s="139"/>
      <c r="D266" s="139"/>
    </row>
    <row r="267">
      <c r="B267" s="139"/>
      <c r="C267" s="139"/>
      <c r="D267" s="139"/>
    </row>
    <row r="268">
      <c r="B268" s="139"/>
      <c r="C268" s="139"/>
      <c r="D268" s="139"/>
    </row>
    <row r="269">
      <c r="B269" s="139"/>
      <c r="C269" s="139"/>
      <c r="D269" s="139"/>
    </row>
    <row r="270">
      <c r="B270" s="139"/>
      <c r="C270" s="139"/>
      <c r="D270" s="139"/>
    </row>
    <row r="271">
      <c r="B271" s="139"/>
      <c r="C271" s="139"/>
      <c r="D271" s="139"/>
    </row>
    <row r="272">
      <c r="B272" s="139"/>
      <c r="C272" s="139"/>
      <c r="D272" s="139"/>
    </row>
    <row r="273">
      <c r="B273" s="139"/>
      <c r="C273" s="139"/>
      <c r="D273" s="139"/>
    </row>
    <row r="274">
      <c r="B274" s="139"/>
      <c r="C274" s="139"/>
      <c r="D274" s="139"/>
    </row>
    <row r="275">
      <c r="B275" s="139"/>
      <c r="C275" s="139"/>
      <c r="D275" s="139"/>
    </row>
    <row r="276">
      <c r="B276" s="139"/>
      <c r="C276" s="139"/>
      <c r="D276" s="139"/>
    </row>
    <row r="277">
      <c r="B277" s="139"/>
      <c r="C277" s="139"/>
      <c r="D277" s="139"/>
    </row>
    <row r="278">
      <c r="B278" s="139"/>
      <c r="C278" s="139"/>
      <c r="D278" s="139"/>
    </row>
    <row r="279">
      <c r="B279" s="139"/>
      <c r="C279" s="139"/>
      <c r="D279" s="139"/>
    </row>
    <row r="280">
      <c r="B280" s="139"/>
      <c r="C280" s="139"/>
      <c r="D280" s="139"/>
    </row>
    <row r="281">
      <c r="B281" s="139"/>
      <c r="C281" s="139"/>
      <c r="D281" s="139"/>
    </row>
    <row r="282">
      <c r="B282" s="139"/>
      <c r="C282" s="139"/>
      <c r="D282" s="139"/>
    </row>
    <row r="283">
      <c r="B283" s="139"/>
      <c r="C283" s="139"/>
      <c r="D283" s="139"/>
    </row>
    <row r="284">
      <c r="B284" s="139"/>
      <c r="C284" s="139"/>
      <c r="D284" s="139"/>
    </row>
    <row r="285">
      <c r="B285" s="139"/>
      <c r="C285" s="139"/>
      <c r="D285" s="139"/>
    </row>
    <row r="286">
      <c r="B286" s="139"/>
      <c r="C286" s="139"/>
      <c r="D286" s="139"/>
    </row>
    <row r="287">
      <c r="B287" s="139"/>
      <c r="C287" s="139"/>
      <c r="D287" s="139"/>
    </row>
    <row r="288">
      <c r="B288" s="139"/>
      <c r="C288" s="139"/>
      <c r="D288" s="139"/>
    </row>
    <row r="289">
      <c r="B289" s="139"/>
      <c r="C289" s="139"/>
      <c r="D289" s="139"/>
    </row>
    <row r="290">
      <c r="B290" s="139"/>
      <c r="C290" s="139"/>
      <c r="D290" s="139"/>
    </row>
    <row r="291">
      <c r="B291" s="139"/>
      <c r="C291" s="139"/>
      <c r="D291" s="139"/>
    </row>
    <row r="292">
      <c r="B292" s="139"/>
      <c r="C292" s="139"/>
      <c r="D292" s="139"/>
    </row>
    <row r="293">
      <c r="B293" s="139"/>
      <c r="C293" s="139"/>
      <c r="D293" s="139"/>
    </row>
    <row r="294">
      <c r="B294" s="139"/>
      <c r="C294" s="139"/>
      <c r="D294" s="139"/>
    </row>
    <row r="295">
      <c r="B295" s="139"/>
      <c r="C295" s="139"/>
      <c r="D295" s="139"/>
    </row>
    <row r="296">
      <c r="B296" s="139"/>
      <c r="C296" s="139"/>
      <c r="D296" s="139"/>
    </row>
    <row r="297">
      <c r="B297" s="139"/>
      <c r="C297" s="139"/>
      <c r="D297" s="139"/>
    </row>
    <row r="298">
      <c r="B298" s="139"/>
      <c r="C298" s="139"/>
      <c r="D298" s="139"/>
    </row>
    <row r="299">
      <c r="B299" s="139"/>
      <c r="C299" s="139"/>
      <c r="D299" s="139"/>
    </row>
    <row r="300">
      <c r="B300" s="139"/>
      <c r="C300" s="139"/>
      <c r="D300" s="139"/>
    </row>
    <row r="301">
      <c r="B301" s="139"/>
      <c r="C301" s="139"/>
      <c r="D301" s="139"/>
    </row>
    <row r="302">
      <c r="B302" s="139"/>
      <c r="C302" s="139"/>
      <c r="D302" s="139"/>
    </row>
    <row r="303">
      <c r="B303" s="139"/>
      <c r="C303" s="139"/>
      <c r="D303" s="139"/>
    </row>
    <row r="304">
      <c r="B304" s="139"/>
      <c r="C304" s="139"/>
      <c r="D304" s="139"/>
    </row>
    <row r="305">
      <c r="B305" s="139"/>
      <c r="C305" s="139"/>
      <c r="D305" s="139"/>
    </row>
    <row r="306">
      <c r="B306" s="139"/>
      <c r="C306" s="139"/>
      <c r="D306" s="139"/>
    </row>
    <row r="307">
      <c r="B307" s="139"/>
      <c r="C307" s="139"/>
      <c r="D307" s="139"/>
    </row>
    <row r="308">
      <c r="B308" s="139"/>
      <c r="C308" s="139"/>
      <c r="D308" s="139"/>
    </row>
    <row r="309">
      <c r="B309" s="139"/>
      <c r="C309" s="139"/>
      <c r="D309" s="139"/>
    </row>
    <row r="310">
      <c r="B310" s="139"/>
      <c r="C310" s="139"/>
      <c r="D310" s="139"/>
    </row>
    <row r="311">
      <c r="B311" s="139"/>
      <c r="C311" s="139"/>
      <c r="D311" s="139"/>
    </row>
    <row r="312">
      <c r="B312" s="139"/>
      <c r="C312" s="139"/>
      <c r="D312" s="139"/>
    </row>
    <row r="313">
      <c r="B313" s="139"/>
      <c r="C313" s="139"/>
      <c r="D313" s="139"/>
    </row>
    <row r="314">
      <c r="B314" s="139"/>
      <c r="C314" s="139"/>
      <c r="D314" s="139"/>
    </row>
    <row r="315">
      <c r="B315" s="139"/>
      <c r="C315" s="139"/>
      <c r="D315" s="139"/>
    </row>
    <row r="316">
      <c r="B316" s="139"/>
      <c r="C316" s="139"/>
      <c r="D316" s="139"/>
    </row>
    <row r="317">
      <c r="B317" s="139"/>
      <c r="C317" s="139"/>
      <c r="D317" s="139"/>
    </row>
    <row r="318">
      <c r="B318" s="139"/>
      <c r="C318" s="139"/>
      <c r="D318" s="139"/>
    </row>
    <row r="319">
      <c r="B319" s="139"/>
      <c r="C319" s="139"/>
      <c r="D319" s="139"/>
    </row>
    <row r="320">
      <c r="B320" s="139"/>
      <c r="C320" s="139"/>
      <c r="D320" s="139"/>
    </row>
    <row r="321">
      <c r="B321" s="139"/>
      <c r="C321" s="139"/>
      <c r="D321" s="139"/>
    </row>
    <row r="322">
      <c r="B322" s="139"/>
      <c r="C322" s="139"/>
      <c r="D322" s="139"/>
    </row>
    <row r="323">
      <c r="B323" s="139"/>
      <c r="C323" s="139"/>
      <c r="D323" s="139"/>
    </row>
    <row r="324">
      <c r="B324" s="139"/>
      <c r="C324" s="139"/>
      <c r="D324" s="139"/>
    </row>
    <row r="325">
      <c r="B325" s="139"/>
      <c r="C325" s="139"/>
      <c r="D325" s="139"/>
    </row>
    <row r="326">
      <c r="B326" s="139"/>
      <c r="C326" s="139"/>
      <c r="D326" s="139"/>
    </row>
    <row r="327">
      <c r="B327" s="139"/>
      <c r="C327" s="139"/>
      <c r="D327" s="139"/>
    </row>
    <row r="328">
      <c r="B328" s="139"/>
      <c r="C328" s="139"/>
      <c r="D328" s="139"/>
    </row>
    <row r="329">
      <c r="B329" s="139"/>
      <c r="C329" s="139"/>
      <c r="D329" s="139"/>
    </row>
    <row r="330">
      <c r="B330" s="139"/>
      <c r="C330" s="139"/>
      <c r="D330" s="139"/>
    </row>
    <row r="331">
      <c r="B331" s="139"/>
      <c r="C331" s="139"/>
      <c r="D331" s="139"/>
    </row>
    <row r="332">
      <c r="B332" s="139"/>
      <c r="C332" s="139"/>
      <c r="D332" s="139"/>
    </row>
    <row r="333">
      <c r="B333" s="139"/>
      <c r="C333" s="139"/>
      <c r="D333" s="139"/>
    </row>
    <row r="334">
      <c r="B334" s="139"/>
      <c r="C334" s="139"/>
      <c r="D334" s="139"/>
    </row>
    <row r="335">
      <c r="B335" s="139"/>
      <c r="C335" s="139"/>
      <c r="D335" s="139"/>
    </row>
    <row r="336">
      <c r="B336" s="139"/>
      <c r="C336" s="139"/>
      <c r="D336" s="139"/>
    </row>
    <row r="337">
      <c r="B337" s="139"/>
      <c r="C337" s="139"/>
      <c r="D337" s="139"/>
    </row>
    <row r="338">
      <c r="B338" s="139"/>
      <c r="C338" s="139"/>
      <c r="D338" s="139"/>
    </row>
    <row r="339">
      <c r="B339" s="139"/>
      <c r="C339" s="139"/>
      <c r="D339" s="139"/>
    </row>
    <row r="340">
      <c r="B340" s="139"/>
      <c r="C340" s="139"/>
      <c r="D340" s="139"/>
    </row>
    <row r="341">
      <c r="B341" s="139"/>
      <c r="C341" s="139"/>
      <c r="D341" s="139"/>
    </row>
    <row r="342">
      <c r="B342" s="139"/>
      <c r="C342" s="139"/>
      <c r="D342" s="139"/>
    </row>
    <row r="343">
      <c r="B343" s="139"/>
      <c r="C343" s="139"/>
      <c r="D343" s="139"/>
    </row>
    <row r="344">
      <c r="B344" s="139"/>
      <c r="C344" s="139"/>
      <c r="D344" s="139"/>
    </row>
    <row r="345">
      <c r="B345" s="139"/>
      <c r="C345" s="139"/>
      <c r="D345" s="139"/>
    </row>
    <row r="346">
      <c r="B346" s="139"/>
      <c r="C346" s="139"/>
      <c r="D346" s="139"/>
    </row>
    <row r="347">
      <c r="B347" s="139"/>
      <c r="C347" s="139"/>
      <c r="D347" s="139"/>
    </row>
    <row r="348">
      <c r="B348" s="139"/>
      <c r="C348" s="139"/>
      <c r="D348" s="139"/>
    </row>
    <row r="349">
      <c r="B349" s="139"/>
      <c r="C349" s="139"/>
      <c r="D349" s="139"/>
    </row>
    <row r="350">
      <c r="B350" s="139"/>
      <c r="C350" s="139"/>
      <c r="D350" s="139"/>
    </row>
    <row r="351">
      <c r="B351" s="139"/>
      <c r="C351" s="139"/>
      <c r="D351" s="139"/>
    </row>
    <row r="352">
      <c r="B352" s="139"/>
      <c r="C352" s="139"/>
      <c r="D352" s="139"/>
    </row>
    <row r="353">
      <c r="B353" s="139"/>
      <c r="C353" s="139"/>
      <c r="D353" s="139"/>
    </row>
    <row r="354">
      <c r="B354" s="139"/>
      <c r="C354" s="139"/>
      <c r="D354" s="139"/>
    </row>
    <row r="355">
      <c r="B355" s="139"/>
      <c r="C355" s="139"/>
      <c r="D355" s="139"/>
    </row>
    <row r="356">
      <c r="B356" s="139"/>
      <c r="C356" s="139"/>
      <c r="D356" s="139"/>
    </row>
    <row r="357">
      <c r="B357" s="139"/>
      <c r="C357" s="139"/>
      <c r="D357" s="139"/>
    </row>
    <row r="358">
      <c r="B358" s="139"/>
      <c r="C358" s="139"/>
      <c r="D358" s="139"/>
    </row>
    <row r="359">
      <c r="B359" s="139"/>
      <c r="C359" s="139"/>
      <c r="D359" s="139"/>
    </row>
    <row r="360">
      <c r="B360" s="139"/>
      <c r="C360" s="139"/>
      <c r="D360" s="139"/>
    </row>
    <row r="361">
      <c r="B361" s="139"/>
      <c r="C361" s="139"/>
      <c r="D361" s="139"/>
    </row>
    <row r="362">
      <c r="B362" s="139"/>
      <c r="C362" s="139"/>
      <c r="D362" s="139"/>
    </row>
    <row r="363">
      <c r="B363" s="139"/>
      <c r="C363" s="139"/>
      <c r="D363" s="139"/>
    </row>
    <row r="364">
      <c r="B364" s="139"/>
      <c r="C364" s="139"/>
      <c r="D364" s="139"/>
    </row>
    <row r="365">
      <c r="B365" s="139"/>
      <c r="C365" s="139"/>
      <c r="D365" s="139"/>
    </row>
    <row r="366">
      <c r="B366" s="139"/>
      <c r="C366" s="139"/>
      <c r="D366" s="139"/>
    </row>
    <row r="367">
      <c r="B367" s="139"/>
      <c r="C367" s="139"/>
      <c r="D367" s="139"/>
    </row>
    <row r="368">
      <c r="B368" s="139"/>
      <c r="C368" s="139"/>
      <c r="D368" s="139"/>
    </row>
    <row r="369">
      <c r="B369" s="139"/>
      <c r="C369" s="139"/>
      <c r="D369" s="139"/>
    </row>
    <row r="370">
      <c r="B370" s="139"/>
      <c r="C370" s="139"/>
      <c r="D370" s="139"/>
    </row>
    <row r="371">
      <c r="B371" s="139"/>
      <c r="C371" s="139"/>
      <c r="D371" s="139"/>
    </row>
    <row r="372">
      <c r="B372" s="139"/>
      <c r="C372" s="139"/>
      <c r="D372" s="139"/>
    </row>
    <row r="373">
      <c r="B373" s="139"/>
      <c r="C373" s="139"/>
      <c r="D373" s="139"/>
    </row>
    <row r="374">
      <c r="B374" s="139"/>
      <c r="C374" s="139"/>
      <c r="D374" s="139"/>
    </row>
    <row r="375">
      <c r="B375" s="139"/>
      <c r="C375" s="139"/>
      <c r="D375" s="139"/>
    </row>
    <row r="376">
      <c r="B376" s="139"/>
      <c r="C376" s="139"/>
      <c r="D376" s="139"/>
    </row>
    <row r="377">
      <c r="B377" s="139"/>
      <c r="C377" s="139"/>
      <c r="D377" s="139"/>
    </row>
    <row r="378">
      <c r="B378" s="139"/>
      <c r="C378" s="139"/>
      <c r="D378" s="139"/>
    </row>
    <row r="379">
      <c r="B379" s="139"/>
      <c r="C379" s="139"/>
      <c r="D379" s="139"/>
    </row>
    <row r="380">
      <c r="B380" s="139"/>
      <c r="C380" s="139"/>
      <c r="D380" s="139"/>
    </row>
    <row r="381">
      <c r="B381" s="139"/>
      <c r="C381" s="139"/>
      <c r="D381" s="139"/>
    </row>
    <row r="382">
      <c r="B382" s="139"/>
      <c r="C382" s="139"/>
      <c r="D382" s="139"/>
    </row>
    <row r="383">
      <c r="B383" s="139"/>
      <c r="C383" s="139"/>
      <c r="D383" s="139"/>
    </row>
    <row r="384">
      <c r="B384" s="139"/>
      <c r="C384" s="139"/>
      <c r="D384" s="139"/>
    </row>
    <row r="385">
      <c r="B385" s="139"/>
      <c r="C385" s="139"/>
      <c r="D385" s="139"/>
    </row>
    <row r="386">
      <c r="B386" s="139"/>
      <c r="C386" s="139"/>
      <c r="D386" s="139"/>
    </row>
    <row r="387">
      <c r="B387" s="139"/>
      <c r="C387" s="139"/>
      <c r="D387" s="139"/>
    </row>
    <row r="388">
      <c r="B388" s="139"/>
      <c r="C388" s="139"/>
      <c r="D388" s="139"/>
    </row>
    <row r="389">
      <c r="B389" s="139"/>
      <c r="C389" s="139"/>
      <c r="D389" s="139"/>
    </row>
    <row r="390">
      <c r="B390" s="139"/>
      <c r="C390" s="139"/>
      <c r="D390" s="139"/>
    </row>
    <row r="391">
      <c r="B391" s="139"/>
      <c r="C391" s="139"/>
      <c r="D391" s="139"/>
    </row>
    <row r="392">
      <c r="B392" s="139"/>
      <c r="C392" s="139"/>
      <c r="D392" s="139"/>
    </row>
    <row r="393">
      <c r="B393" s="139"/>
      <c r="C393" s="139"/>
      <c r="D393" s="139"/>
    </row>
    <row r="394">
      <c r="B394" s="139"/>
      <c r="C394" s="139"/>
      <c r="D394" s="139"/>
    </row>
    <row r="395">
      <c r="B395" s="139"/>
      <c r="C395" s="139"/>
      <c r="D395" s="139"/>
    </row>
    <row r="396">
      <c r="B396" s="139"/>
      <c r="C396" s="139"/>
      <c r="D396" s="139"/>
    </row>
    <row r="397">
      <c r="B397" s="139"/>
      <c r="C397" s="139"/>
      <c r="D397" s="139"/>
    </row>
    <row r="398">
      <c r="B398" s="139"/>
      <c r="C398" s="139"/>
      <c r="D398" s="139"/>
    </row>
    <row r="399">
      <c r="B399" s="139"/>
      <c r="C399" s="139"/>
      <c r="D399" s="139"/>
    </row>
    <row r="400">
      <c r="B400" s="139"/>
      <c r="C400" s="139"/>
      <c r="D400" s="139"/>
    </row>
    <row r="401">
      <c r="B401" s="139"/>
      <c r="C401" s="139"/>
      <c r="D401" s="139"/>
    </row>
    <row r="402">
      <c r="B402" s="139"/>
      <c r="C402" s="139"/>
      <c r="D402" s="139"/>
    </row>
    <row r="403">
      <c r="B403" s="139"/>
      <c r="C403" s="139"/>
      <c r="D403" s="139"/>
    </row>
    <row r="404">
      <c r="B404" s="139"/>
      <c r="C404" s="139"/>
      <c r="D404" s="139"/>
    </row>
    <row r="405">
      <c r="B405" s="139"/>
      <c r="C405" s="139"/>
      <c r="D405" s="139"/>
    </row>
    <row r="406">
      <c r="B406" s="139"/>
      <c r="C406" s="139"/>
      <c r="D406" s="139"/>
    </row>
    <row r="407">
      <c r="B407" s="139"/>
      <c r="C407" s="139"/>
      <c r="D407" s="139"/>
    </row>
    <row r="408">
      <c r="B408" s="139"/>
      <c r="C408" s="139"/>
      <c r="D408" s="139"/>
    </row>
    <row r="409">
      <c r="B409" s="139"/>
      <c r="C409" s="139"/>
      <c r="D409" s="139"/>
    </row>
    <row r="410">
      <c r="B410" s="139"/>
      <c r="C410" s="139"/>
      <c r="D410" s="139"/>
    </row>
    <row r="411">
      <c r="B411" s="139"/>
      <c r="C411" s="139"/>
      <c r="D411" s="139"/>
    </row>
    <row r="412">
      <c r="B412" s="139"/>
      <c r="C412" s="139"/>
      <c r="D412" s="139"/>
    </row>
    <row r="413">
      <c r="B413" s="139"/>
      <c r="C413" s="139"/>
      <c r="D413" s="139"/>
    </row>
    <row r="414">
      <c r="B414" s="139"/>
      <c r="C414" s="139"/>
      <c r="D414" s="139"/>
    </row>
    <row r="415">
      <c r="B415" s="139"/>
      <c r="C415" s="139"/>
      <c r="D415" s="139"/>
    </row>
    <row r="416">
      <c r="B416" s="139"/>
      <c r="C416" s="139"/>
      <c r="D416" s="139"/>
    </row>
    <row r="417">
      <c r="B417" s="139"/>
      <c r="C417" s="139"/>
      <c r="D417" s="139"/>
    </row>
    <row r="418">
      <c r="B418" s="139"/>
      <c r="C418" s="139"/>
      <c r="D418" s="139"/>
    </row>
    <row r="419">
      <c r="B419" s="139"/>
      <c r="C419" s="139"/>
      <c r="D419" s="139"/>
    </row>
    <row r="420">
      <c r="B420" s="139"/>
      <c r="C420" s="139"/>
      <c r="D420" s="139"/>
    </row>
    <row r="421">
      <c r="B421" s="139"/>
      <c r="C421" s="139"/>
      <c r="D421" s="139"/>
    </row>
    <row r="422">
      <c r="B422" s="139"/>
      <c r="C422" s="139"/>
      <c r="D422" s="139"/>
    </row>
    <row r="423">
      <c r="B423" s="139"/>
      <c r="C423" s="139"/>
      <c r="D423" s="139"/>
    </row>
    <row r="424">
      <c r="B424" s="139"/>
      <c r="C424" s="139"/>
      <c r="D424" s="139"/>
    </row>
    <row r="425">
      <c r="B425" s="139"/>
      <c r="C425" s="139"/>
      <c r="D425" s="139"/>
    </row>
    <row r="426">
      <c r="B426" s="139"/>
      <c r="C426" s="139"/>
      <c r="D426" s="139"/>
    </row>
    <row r="427">
      <c r="B427" s="139"/>
      <c r="C427" s="139"/>
      <c r="D427" s="139"/>
    </row>
    <row r="428">
      <c r="B428" s="139"/>
      <c r="C428" s="139"/>
      <c r="D428" s="139"/>
    </row>
    <row r="429">
      <c r="B429" s="139"/>
      <c r="C429" s="139"/>
      <c r="D429" s="139"/>
    </row>
    <row r="430">
      <c r="B430" s="139"/>
      <c r="C430" s="139"/>
      <c r="D430" s="139"/>
    </row>
    <row r="431">
      <c r="B431" s="139"/>
      <c r="C431" s="139"/>
      <c r="D431" s="139"/>
    </row>
    <row r="432">
      <c r="B432" s="139"/>
      <c r="C432" s="139"/>
      <c r="D432" s="139"/>
    </row>
    <row r="433">
      <c r="B433" s="139"/>
      <c r="C433" s="139"/>
      <c r="D433" s="139"/>
    </row>
    <row r="434">
      <c r="B434" s="139"/>
      <c r="C434" s="139"/>
      <c r="D434" s="139"/>
    </row>
    <row r="435">
      <c r="B435" s="139"/>
      <c r="C435" s="139"/>
      <c r="D435" s="139"/>
    </row>
    <row r="436">
      <c r="B436" s="139"/>
      <c r="C436" s="139"/>
      <c r="D436" s="139"/>
    </row>
    <row r="437">
      <c r="B437" s="139"/>
      <c r="C437" s="139"/>
      <c r="D437" s="139"/>
    </row>
    <row r="438">
      <c r="B438" s="139"/>
      <c r="C438" s="139"/>
      <c r="D438" s="139"/>
    </row>
    <row r="439">
      <c r="B439" s="139"/>
      <c r="C439" s="139"/>
      <c r="D439" s="139"/>
    </row>
    <row r="440">
      <c r="B440" s="139"/>
      <c r="C440" s="139"/>
      <c r="D440" s="139"/>
    </row>
    <row r="441">
      <c r="B441" s="139"/>
      <c r="C441" s="139"/>
      <c r="D441" s="139"/>
    </row>
    <row r="442">
      <c r="B442" s="139"/>
      <c r="C442" s="139"/>
      <c r="D442" s="139"/>
    </row>
    <row r="443">
      <c r="B443" s="139"/>
      <c r="C443" s="139"/>
      <c r="D443" s="139"/>
    </row>
    <row r="444">
      <c r="B444" s="139"/>
      <c r="C444" s="139"/>
      <c r="D444" s="139"/>
    </row>
    <row r="445">
      <c r="B445" s="139"/>
      <c r="C445" s="139"/>
      <c r="D445" s="139"/>
    </row>
    <row r="446">
      <c r="B446" s="139"/>
      <c r="C446" s="139"/>
      <c r="D446" s="139"/>
    </row>
    <row r="447">
      <c r="B447" s="139"/>
      <c r="C447" s="139"/>
      <c r="D447" s="139"/>
    </row>
    <row r="448">
      <c r="B448" s="139"/>
      <c r="C448" s="139"/>
      <c r="D448" s="139"/>
    </row>
    <row r="449">
      <c r="B449" s="139"/>
      <c r="C449" s="139"/>
      <c r="D449" s="139"/>
    </row>
    <row r="450">
      <c r="B450" s="139"/>
      <c r="C450" s="139"/>
      <c r="D450" s="139"/>
    </row>
    <row r="451">
      <c r="B451" s="139"/>
      <c r="C451" s="139"/>
      <c r="D451" s="139"/>
    </row>
    <row r="452">
      <c r="B452" s="139"/>
      <c r="C452" s="139"/>
      <c r="D452" s="139"/>
    </row>
    <row r="453">
      <c r="B453" s="139"/>
      <c r="C453" s="139"/>
      <c r="D453" s="139"/>
    </row>
    <row r="454">
      <c r="B454" s="139"/>
      <c r="C454" s="139"/>
      <c r="D454" s="139"/>
    </row>
    <row r="455">
      <c r="B455" s="139"/>
      <c r="C455" s="139"/>
      <c r="D455" s="139"/>
    </row>
    <row r="456">
      <c r="B456" s="139"/>
      <c r="C456" s="139"/>
      <c r="D456" s="139"/>
    </row>
    <row r="457">
      <c r="B457" s="139"/>
      <c r="C457" s="139"/>
      <c r="D457" s="139"/>
    </row>
    <row r="458">
      <c r="B458" s="139"/>
      <c r="C458" s="139"/>
      <c r="D458" s="139"/>
    </row>
    <row r="459">
      <c r="B459" s="139"/>
      <c r="C459" s="139"/>
      <c r="D459" s="139"/>
    </row>
    <row r="460">
      <c r="B460" s="139"/>
      <c r="C460" s="139"/>
      <c r="D460" s="139"/>
    </row>
    <row r="461">
      <c r="B461" s="139"/>
      <c r="C461" s="139"/>
      <c r="D461" s="139"/>
    </row>
    <row r="462">
      <c r="B462" s="139"/>
      <c r="C462" s="139"/>
      <c r="D462" s="139"/>
    </row>
    <row r="463">
      <c r="B463" s="139"/>
      <c r="C463" s="139"/>
      <c r="D463" s="139"/>
    </row>
    <row r="464">
      <c r="B464" s="139"/>
      <c r="C464" s="139"/>
      <c r="D464" s="139"/>
    </row>
    <row r="465">
      <c r="B465" s="139"/>
      <c r="C465" s="139"/>
      <c r="D465" s="139"/>
    </row>
    <row r="466">
      <c r="B466" s="139"/>
      <c r="C466" s="139"/>
      <c r="D466" s="139"/>
    </row>
    <row r="467">
      <c r="B467" s="139"/>
      <c r="C467" s="139"/>
      <c r="D467" s="139"/>
    </row>
    <row r="468">
      <c r="B468" s="139"/>
      <c r="C468" s="139"/>
      <c r="D468" s="139"/>
    </row>
    <row r="469">
      <c r="B469" s="139"/>
      <c r="C469" s="139"/>
      <c r="D469" s="139"/>
    </row>
    <row r="470">
      <c r="B470" s="139"/>
      <c r="C470" s="139"/>
      <c r="D470" s="139"/>
    </row>
    <row r="471">
      <c r="B471" s="139"/>
      <c r="C471" s="139"/>
      <c r="D471" s="139"/>
    </row>
    <row r="472">
      <c r="B472" s="139"/>
      <c r="C472" s="139"/>
      <c r="D472" s="139"/>
    </row>
    <row r="473">
      <c r="B473" s="139"/>
      <c r="C473" s="139"/>
      <c r="D473" s="139"/>
    </row>
    <row r="474">
      <c r="B474" s="139"/>
      <c r="C474" s="139"/>
      <c r="D474" s="139"/>
    </row>
    <row r="475">
      <c r="B475" s="139"/>
      <c r="C475" s="139"/>
      <c r="D475" s="139"/>
    </row>
    <row r="476">
      <c r="B476" s="139"/>
      <c r="C476" s="139"/>
      <c r="D476" s="139"/>
    </row>
    <row r="477">
      <c r="B477" s="139"/>
      <c r="C477" s="139"/>
      <c r="D477" s="139"/>
    </row>
    <row r="478">
      <c r="B478" s="139"/>
      <c r="C478" s="139"/>
      <c r="D478" s="139"/>
    </row>
    <row r="479">
      <c r="B479" s="139"/>
      <c r="C479" s="139"/>
      <c r="D479" s="139"/>
    </row>
    <row r="480">
      <c r="B480" s="139"/>
      <c r="C480" s="139"/>
      <c r="D480" s="139"/>
    </row>
    <row r="481">
      <c r="B481" s="139"/>
      <c r="C481" s="139"/>
      <c r="D481" s="139"/>
    </row>
    <row r="482">
      <c r="B482" s="139"/>
      <c r="C482" s="139"/>
      <c r="D482" s="139"/>
    </row>
    <row r="483">
      <c r="B483" s="139"/>
      <c r="C483" s="139"/>
      <c r="D483" s="139"/>
    </row>
    <row r="484">
      <c r="B484" s="139"/>
      <c r="C484" s="139"/>
      <c r="D484" s="139"/>
    </row>
    <row r="485">
      <c r="B485" s="139"/>
      <c r="C485" s="139"/>
      <c r="D485" s="139"/>
    </row>
    <row r="486">
      <c r="B486" s="139"/>
      <c r="C486" s="139"/>
      <c r="D486" s="139"/>
    </row>
    <row r="487">
      <c r="B487" s="139"/>
      <c r="C487" s="139"/>
      <c r="D487" s="139"/>
    </row>
    <row r="488">
      <c r="B488" s="139"/>
      <c r="C488" s="139"/>
      <c r="D488" s="139"/>
    </row>
    <row r="489">
      <c r="B489" s="139"/>
      <c r="C489" s="139"/>
      <c r="D489" s="139"/>
    </row>
    <row r="490">
      <c r="B490" s="139"/>
      <c r="C490" s="139"/>
      <c r="D490" s="139"/>
    </row>
    <row r="491">
      <c r="B491" s="139"/>
      <c r="C491" s="139"/>
      <c r="D491" s="139"/>
    </row>
    <row r="492">
      <c r="B492" s="139"/>
      <c r="C492" s="139"/>
      <c r="D492" s="139"/>
    </row>
    <row r="493">
      <c r="B493" s="139"/>
      <c r="C493" s="139"/>
      <c r="D493" s="139"/>
    </row>
    <row r="494">
      <c r="B494" s="139"/>
      <c r="C494" s="139"/>
      <c r="D494" s="139"/>
    </row>
    <row r="495">
      <c r="B495" s="139"/>
      <c r="C495" s="139"/>
      <c r="D495" s="139"/>
    </row>
    <row r="496">
      <c r="B496" s="139"/>
      <c r="C496" s="139"/>
      <c r="D496" s="139"/>
    </row>
    <row r="497">
      <c r="B497" s="139"/>
      <c r="C497" s="139"/>
      <c r="D497" s="139"/>
    </row>
    <row r="498">
      <c r="B498" s="139"/>
      <c r="C498" s="139"/>
      <c r="D498" s="139"/>
    </row>
    <row r="499">
      <c r="B499" s="139"/>
      <c r="C499" s="139"/>
      <c r="D499" s="139"/>
    </row>
    <row r="500">
      <c r="B500" s="139"/>
      <c r="C500" s="139"/>
      <c r="D500" s="139"/>
    </row>
    <row r="501">
      <c r="B501" s="139"/>
      <c r="C501" s="139"/>
      <c r="D501" s="139"/>
    </row>
    <row r="502">
      <c r="B502" s="139"/>
      <c r="C502" s="139"/>
      <c r="D502" s="139"/>
    </row>
    <row r="503">
      <c r="B503" s="139"/>
      <c r="C503" s="139"/>
      <c r="D503" s="139"/>
    </row>
    <row r="504">
      <c r="B504" s="139"/>
      <c r="C504" s="139"/>
      <c r="D504" s="139"/>
    </row>
    <row r="505">
      <c r="B505" s="139"/>
      <c r="C505" s="139"/>
      <c r="D505" s="139"/>
    </row>
    <row r="506">
      <c r="B506" s="139"/>
      <c r="C506" s="139"/>
      <c r="D506" s="139"/>
    </row>
    <row r="507">
      <c r="B507" s="139"/>
      <c r="C507" s="139"/>
      <c r="D507" s="139"/>
    </row>
    <row r="508">
      <c r="B508" s="139"/>
      <c r="C508" s="139"/>
      <c r="D508" s="139"/>
    </row>
    <row r="509">
      <c r="B509" s="139"/>
      <c r="C509" s="139"/>
      <c r="D509" s="139"/>
    </row>
    <row r="510">
      <c r="B510" s="139"/>
      <c r="C510" s="139"/>
      <c r="D510" s="139"/>
    </row>
    <row r="511">
      <c r="B511" s="139"/>
      <c r="C511" s="139"/>
      <c r="D511" s="139"/>
    </row>
    <row r="512">
      <c r="B512" s="139"/>
      <c r="C512" s="139"/>
      <c r="D512" s="139"/>
    </row>
    <row r="513">
      <c r="B513" s="139"/>
      <c r="C513" s="139"/>
      <c r="D513" s="139"/>
    </row>
    <row r="514">
      <c r="B514" s="139"/>
      <c r="C514" s="139"/>
      <c r="D514" s="139"/>
    </row>
    <row r="515">
      <c r="B515" s="139"/>
      <c r="C515" s="139"/>
      <c r="D515" s="139"/>
    </row>
    <row r="516">
      <c r="B516" s="139"/>
      <c r="C516" s="139"/>
      <c r="D516" s="139"/>
    </row>
    <row r="517">
      <c r="B517" s="139"/>
      <c r="C517" s="139"/>
      <c r="D517" s="139"/>
    </row>
    <row r="518">
      <c r="B518" s="139"/>
      <c r="C518" s="139"/>
      <c r="D518" s="139"/>
    </row>
    <row r="519">
      <c r="B519" s="139"/>
      <c r="C519" s="139"/>
      <c r="D519" s="139"/>
    </row>
    <row r="520">
      <c r="B520" s="139"/>
      <c r="C520" s="139"/>
      <c r="D520" s="139"/>
    </row>
    <row r="521">
      <c r="B521" s="139"/>
      <c r="C521" s="139"/>
      <c r="D521" s="139"/>
    </row>
    <row r="522">
      <c r="B522" s="139"/>
      <c r="C522" s="139"/>
      <c r="D522" s="139"/>
    </row>
    <row r="523">
      <c r="B523" s="139"/>
      <c r="C523" s="139"/>
      <c r="D523" s="139"/>
    </row>
    <row r="524">
      <c r="B524" s="139"/>
      <c r="C524" s="139"/>
      <c r="D524" s="139"/>
    </row>
    <row r="525">
      <c r="B525" s="139"/>
      <c r="C525" s="139"/>
      <c r="D525" s="139"/>
    </row>
    <row r="526">
      <c r="B526" s="139"/>
      <c r="C526" s="139"/>
      <c r="D526" s="139"/>
    </row>
    <row r="527">
      <c r="B527" s="139"/>
      <c r="C527" s="139"/>
      <c r="D527" s="139"/>
    </row>
    <row r="528">
      <c r="B528" s="139"/>
      <c r="C528" s="139"/>
      <c r="D528" s="139"/>
    </row>
    <row r="529">
      <c r="B529" s="139"/>
      <c r="C529" s="139"/>
      <c r="D529" s="139"/>
    </row>
    <row r="530">
      <c r="B530" s="139"/>
      <c r="C530" s="139"/>
      <c r="D530" s="139"/>
    </row>
    <row r="531">
      <c r="B531" s="139"/>
      <c r="C531" s="139"/>
      <c r="D531" s="139"/>
    </row>
    <row r="532">
      <c r="B532" s="139"/>
      <c r="C532" s="139"/>
      <c r="D532" s="139"/>
    </row>
    <row r="533">
      <c r="B533" s="139"/>
      <c r="C533" s="139"/>
      <c r="D533" s="139"/>
    </row>
    <row r="534">
      <c r="B534" s="139"/>
      <c r="C534" s="139"/>
      <c r="D534" s="139"/>
    </row>
    <row r="535">
      <c r="B535" s="139"/>
      <c r="C535" s="139"/>
      <c r="D535" s="139"/>
    </row>
    <row r="536">
      <c r="B536" s="139"/>
      <c r="C536" s="139"/>
      <c r="D536" s="139"/>
    </row>
    <row r="537">
      <c r="B537" s="139"/>
      <c r="C537" s="139"/>
      <c r="D537" s="139"/>
    </row>
    <row r="538">
      <c r="B538" s="139"/>
      <c r="C538" s="139"/>
      <c r="D538" s="139"/>
    </row>
    <row r="539">
      <c r="B539" s="139"/>
      <c r="C539" s="139"/>
      <c r="D539" s="139"/>
    </row>
    <row r="540">
      <c r="B540" s="139"/>
      <c r="C540" s="139"/>
      <c r="D540" s="139"/>
    </row>
    <row r="541">
      <c r="B541" s="139"/>
      <c r="C541" s="139"/>
      <c r="D541" s="139"/>
    </row>
    <row r="542">
      <c r="B542" s="139"/>
      <c r="C542" s="139"/>
      <c r="D542" s="139"/>
    </row>
    <row r="543">
      <c r="B543" s="139"/>
      <c r="C543" s="139"/>
      <c r="D543" s="139"/>
    </row>
    <row r="544">
      <c r="B544" s="139"/>
      <c r="C544" s="139"/>
      <c r="D544" s="139"/>
    </row>
    <row r="545">
      <c r="B545" s="139"/>
      <c r="C545" s="139"/>
      <c r="D545" s="139"/>
    </row>
    <row r="546">
      <c r="B546" s="139"/>
      <c r="C546" s="139"/>
      <c r="D546" s="139"/>
    </row>
    <row r="547">
      <c r="B547" s="139"/>
      <c r="C547" s="139"/>
      <c r="D547" s="139"/>
    </row>
    <row r="548">
      <c r="B548" s="139"/>
      <c r="C548" s="139"/>
      <c r="D548" s="139"/>
    </row>
    <row r="549">
      <c r="B549" s="139"/>
      <c r="C549" s="139"/>
      <c r="D549" s="139"/>
    </row>
    <row r="550">
      <c r="B550" s="139"/>
      <c r="C550" s="139"/>
      <c r="D550" s="139"/>
    </row>
    <row r="551">
      <c r="B551" s="139"/>
      <c r="C551" s="139"/>
      <c r="D551" s="139"/>
    </row>
    <row r="552">
      <c r="B552" s="139"/>
      <c r="C552" s="139"/>
      <c r="D552" s="139"/>
    </row>
    <row r="553">
      <c r="B553" s="139"/>
      <c r="C553" s="139"/>
      <c r="D553" s="139"/>
    </row>
    <row r="554">
      <c r="B554" s="139"/>
      <c r="C554" s="139"/>
      <c r="D554" s="139"/>
    </row>
    <row r="555">
      <c r="B555" s="139"/>
      <c r="C555" s="139"/>
      <c r="D555" s="139"/>
    </row>
    <row r="556">
      <c r="B556" s="139"/>
      <c r="C556" s="139"/>
      <c r="D556" s="139"/>
    </row>
    <row r="557">
      <c r="B557" s="139"/>
      <c r="C557" s="139"/>
      <c r="D557" s="139"/>
    </row>
    <row r="558">
      <c r="B558" s="139"/>
      <c r="C558" s="139"/>
      <c r="D558" s="139"/>
    </row>
    <row r="559">
      <c r="B559" s="139"/>
      <c r="C559" s="139"/>
      <c r="D559" s="139"/>
    </row>
    <row r="560">
      <c r="B560" s="139"/>
      <c r="C560" s="139"/>
      <c r="D560" s="139"/>
    </row>
    <row r="561">
      <c r="B561" s="139"/>
      <c r="C561" s="139"/>
      <c r="D561" s="139"/>
    </row>
    <row r="562">
      <c r="B562" s="139"/>
      <c r="C562" s="139"/>
      <c r="D562" s="139"/>
    </row>
    <row r="563">
      <c r="B563" s="139"/>
      <c r="C563" s="139"/>
      <c r="D563" s="139"/>
    </row>
    <row r="564">
      <c r="B564" s="139"/>
      <c r="C564" s="139"/>
      <c r="D564" s="139"/>
    </row>
    <row r="565">
      <c r="B565" s="139"/>
      <c r="C565" s="139"/>
      <c r="D565" s="139"/>
    </row>
    <row r="566">
      <c r="B566" s="139"/>
      <c r="C566" s="139"/>
      <c r="D566" s="139"/>
    </row>
    <row r="567">
      <c r="B567" s="139"/>
      <c r="C567" s="139"/>
      <c r="D567" s="139"/>
    </row>
    <row r="568">
      <c r="B568" s="139"/>
      <c r="C568" s="139"/>
      <c r="D568" s="139"/>
    </row>
    <row r="569">
      <c r="B569" s="139"/>
      <c r="C569" s="139"/>
      <c r="D569" s="139"/>
    </row>
    <row r="570">
      <c r="B570" s="139"/>
      <c r="C570" s="139"/>
      <c r="D570" s="139"/>
    </row>
    <row r="571">
      <c r="B571" s="139"/>
      <c r="C571" s="139"/>
      <c r="D571" s="139"/>
    </row>
    <row r="572">
      <c r="B572" s="139"/>
      <c r="C572" s="139"/>
      <c r="D572" s="139"/>
    </row>
    <row r="573">
      <c r="B573" s="139"/>
      <c r="C573" s="139"/>
      <c r="D573" s="139"/>
    </row>
    <row r="574">
      <c r="B574" s="139"/>
      <c r="C574" s="139"/>
      <c r="D574" s="139"/>
    </row>
    <row r="575">
      <c r="B575" s="139"/>
      <c r="C575" s="139"/>
      <c r="D575" s="139"/>
    </row>
    <row r="576">
      <c r="B576" s="139"/>
      <c r="C576" s="139"/>
      <c r="D576" s="139"/>
    </row>
    <row r="577">
      <c r="B577" s="139"/>
      <c r="C577" s="139"/>
      <c r="D577" s="139"/>
    </row>
    <row r="578">
      <c r="B578" s="139"/>
      <c r="C578" s="139"/>
      <c r="D578" s="139"/>
    </row>
    <row r="579">
      <c r="B579" s="139"/>
      <c r="C579" s="139"/>
      <c r="D579" s="139"/>
    </row>
    <row r="580">
      <c r="B580" s="139"/>
      <c r="C580" s="139"/>
      <c r="D580" s="139"/>
    </row>
    <row r="581">
      <c r="B581" s="139"/>
      <c r="C581" s="139"/>
      <c r="D581" s="139"/>
    </row>
    <row r="582">
      <c r="B582" s="139"/>
      <c r="C582" s="139"/>
      <c r="D582" s="139"/>
    </row>
    <row r="583">
      <c r="B583" s="139"/>
      <c r="C583" s="139"/>
      <c r="D583" s="139"/>
    </row>
    <row r="584">
      <c r="B584" s="139"/>
      <c r="C584" s="139"/>
      <c r="D584" s="139"/>
    </row>
    <row r="585">
      <c r="B585" s="139"/>
      <c r="C585" s="139"/>
      <c r="D585" s="139"/>
    </row>
    <row r="586">
      <c r="B586" s="139"/>
      <c r="C586" s="139"/>
      <c r="D586" s="139"/>
    </row>
    <row r="587">
      <c r="B587" s="139"/>
      <c r="C587" s="139"/>
      <c r="D587" s="139"/>
    </row>
    <row r="588">
      <c r="B588" s="139"/>
      <c r="C588" s="139"/>
      <c r="D588" s="139"/>
    </row>
    <row r="589">
      <c r="B589" s="139"/>
      <c r="C589" s="139"/>
      <c r="D589" s="139"/>
    </row>
    <row r="590">
      <c r="B590" s="139"/>
      <c r="C590" s="139"/>
      <c r="D590" s="139"/>
    </row>
    <row r="591">
      <c r="B591" s="139"/>
      <c r="C591" s="139"/>
      <c r="D591" s="139"/>
    </row>
    <row r="592">
      <c r="B592" s="139"/>
      <c r="C592" s="139"/>
      <c r="D592" s="139"/>
    </row>
    <row r="593">
      <c r="B593" s="139"/>
      <c r="C593" s="139"/>
      <c r="D593" s="139"/>
    </row>
    <row r="594">
      <c r="B594" s="139"/>
      <c r="C594" s="139"/>
      <c r="D594" s="139"/>
    </row>
    <row r="595">
      <c r="B595" s="139"/>
      <c r="C595" s="139"/>
      <c r="D595" s="139"/>
    </row>
    <row r="596">
      <c r="B596" s="139"/>
      <c r="C596" s="139"/>
      <c r="D596" s="139"/>
    </row>
    <row r="597">
      <c r="B597" s="139"/>
      <c r="C597" s="139"/>
      <c r="D597" s="139"/>
    </row>
    <row r="598">
      <c r="B598" s="139"/>
      <c r="C598" s="139"/>
      <c r="D598" s="139"/>
    </row>
    <row r="599">
      <c r="B599" s="139"/>
      <c r="C599" s="139"/>
      <c r="D599" s="139"/>
    </row>
    <row r="600">
      <c r="B600" s="139"/>
      <c r="C600" s="139"/>
      <c r="D600" s="139"/>
    </row>
    <row r="601">
      <c r="B601" s="139"/>
      <c r="C601" s="139"/>
      <c r="D601" s="139"/>
    </row>
    <row r="602">
      <c r="B602" s="139"/>
      <c r="C602" s="139"/>
      <c r="D602" s="139"/>
    </row>
    <row r="603">
      <c r="B603" s="139"/>
      <c r="C603" s="139"/>
      <c r="D603" s="139"/>
    </row>
    <row r="604">
      <c r="B604" s="139"/>
      <c r="C604" s="139"/>
      <c r="D604" s="139"/>
    </row>
    <row r="605">
      <c r="B605" s="139"/>
      <c r="C605" s="139"/>
      <c r="D605" s="139"/>
    </row>
    <row r="606">
      <c r="B606" s="139"/>
      <c r="C606" s="139"/>
      <c r="D606" s="139"/>
    </row>
    <row r="607">
      <c r="B607" s="139"/>
      <c r="C607" s="139"/>
      <c r="D607" s="139"/>
    </row>
    <row r="608">
      <c r="B608" s="139"/>
      <c r="C608" s="139"/>
      <c r="D608" s="139"/>
    </row>
    <row r="609">
      <c r="B609" s="139"/>
      <c r="C609" s="139"/>
      <c r="D609" s="139"/>
    </row>
    <row r="610">
      <c r="B610" s="139"/>
      <c r="C610" s="139"/>
      <c r="D610" s="139"/>
    </row>
    <row r="611">
      <c r="B611" s="139"/>
      <c r="C611" s="139"/>
      <c r="D611" s="139"/>
    </row>
    <row r="612">
      <c r="B612" s="139"/>
      <c r="C612" s="139"/>
      <c r="D612" s="139"/>
    </row>
    <row r="613">
      <c r="B613" s="139"/>
      <c r="C613" s="139"/>
      <c r="D613" s="139"/>
    </row>
    <row r="614">
      <c r="B614" s="139"/>
      <c r="C614" s="139"/>
      <c r="D614" s="139"/>
    </row>
    <row r="615">
      <c r="B615" s="139"/>
      <c r="C615" s="139"/>
      <c r="D615" s="139"/>
    </row>
    <row r="616">
      <c r="B616" s="139"/>
      <c r="C616" s="139"/>
      <c r="D616" s="139"/>
    </row>
    <row r="617">
      <c r="B617" s="139"/>
      <c r="C617" s="139"/>
      <c r="D617" s="139"/>
    </row>
    <row r="618">
      <c r="B618" s="139"/>
      <c r="C618" s="139"/>
      <c r="D618" s="139"/>
    </row>
    <row r="619">
      <c r="B619" s="139"/>
      <c r="C619" s="139"/>
      <c r="D619" s="139"/>
    </row>
    <row r="620">
      <c r="B620" s="139"/>
      <c r="C620" s="139"/>
      <c r="D620" s="139"/>
    </row>
    <row r="621">
      <c r="B621" s="139"/>
      <c r="C621" s="139"/>
      <c r="D621" s="139"/>
    </row>
    <row r="622">
      <c r="B622" s="139"/>
      <c r="C622" s="139"/>
      <c r="D622" s="139"/>
    </row>
    <row r="623">
      <c r="B623" s="139"/>
      <c r="C623" s="139"/>
      <c r="D623" s="139"/>
    </row>
    <row r="624">
      <c r="B624" s="139"/>
      <c r="C624" s="139"/>
      <c r="D624" s="139"/>
    </row>
    <row r="625">
      <c r="B625" s="139"/>
      <c r="C625" s="139"/>
      <c r="D625" s="139"/>
    </row>
    <row r="626">
      <c r="B626" s="139"/>
      <c r="C626" s="139"/>
      <c r="D626" s="139"/>
    </row>
    <row r="627">
      <c r="B627" s="139"/>
      <c r="C627" s="139"/>
      <c r="D627" s="139"/>
    </row>
    <row r="628">
      <c r="B628" s="139"/>
      <c r="C628" s="139"/>
      <c r="D628" s="139"/>
    </row>
    <row r="629">
      <c r="B629" s="139"/>
      <c r="C629" s="139"/>
      <c r="D629" s="139"/>
    </row>
    <row r="630">
      <c r="B630" s="139"/>
      <c r="C630" s="139"/>
      <c r="D630" s="139"/>
    </row>
    <row r="631">
      <c r="B631" s="139"/>
      <c r="C631" s="139"/>
      <c r="D631" s="139"/>
    </row>
    <row r="632">
      <c r="B632" s="139"/>
      <c r="C632" s="139"/>
      <c r="D632" s="139"/>
    </row>
    <row r="633">
      <c r="B633" s="139"/>
      <c r="C633" s="139"/>
      <c r="D633" s="139"/>
    </row>
    <row r="634">
      <c r="B634" s="139"/>
      <c r="C634" s="139"/>
      <c r="D634" s="139"/>
    </row>
    <row r="635">
      <c r="B635" s="139"/>
      <c r="C635" s="139"/>
      <c r="D635" s="139"/>
    </row>
    <row r="636">
      <c r="B636" s="139"/>
      <c r="C636" s="139"/>
      <c r="D636" s="139"/>
    </row>
    <row r="637">
      <c r="B637" s="139"/>
      <c r="C637" s="139"/>
      <c r="D637" s="139"/>
    </row>
    <row r="638">
      <c r="B638" s="139"/>
      <c r="C638" s="139"/>
      <c r="D638" s="139"/>
    </row>
    <row r="639">
      <c r="B639" s="139"/>
      <c r="C639" s="139"/>
      <c r="D639" s="139"/>
    </row>
    <row r="640">
      <c r="B640" s="139"/>
      <c r="C640" s="139"/>
      <c r="D640" s="139"/>
    </row>
    <row r="641">
      <c r="B641" s="139"/>
      <c r="C641" s="139"/>
      <c r="D641" s="139"/>
    </row>
    <row r="642">
      <c r="B642" s="139"/>
      <c r="C642" s="139"/>
      <c r="D642" s="139"/>
    </row>
    <row r="643">
      <c r="B643" s="139"/>
      <c r="C643" s="139"/>
      <c r="D643" s="139"/>
    </row>
    <row r="644">
      <c r="B644" s="139"/>
      <c r="C644" s="139"/>
      <c r="D644" s="139"/>
    </row>
    <row r="645">
      <c r="B645" s="139"/>
      <c r="C645" s="139"/>
      <c r="D645" s="139"/>
    </row>
    <row r="646">
      <c r="B646" s="139"/>
      <c r="C646" s="139"/>
      <c r="D646" s="139"/>
    </row>
    <row r="647">
      <c r="B647" s="139"/>
      <c r="C647" s="139"/>
      <c r="D647" s="139"/>
    </row>
    <row r="648">
      <c r="B648" s="139"/>
      <c r="C648" s="139"/>
      <c r="D648" s="139"/>
    </row>
    <row r="649">
      <c r="B649" s="139"/>
      <c r="C649" s="139"/>
      <c r="D649" s="139"/>
    </row>
    <row r="650">
      <c r="B650" s="139"/>
      <c r="C650" s="139"/>
      <c r="D650" s="139"/>
    </row>
    <row r="651">
      <c r="B651" s="139"/>
      <c r="C651" s="139"/>
      <c r="D651" s="139"/>
    </row>
    <row r="652">
      <c r="B652" s="139"/>
      <c r="C652" s="139"/>
      <c r="D652" s="139"/>
    </row>
    <row r="653">
      <c r="B653" s="139"/>
      <c r="C653" s="139"/>
      <c r="D653" s="139"/>
    </row>
    <row r="654">
      <c r="B654" s="139"/>
      <c r="C654" s="139"/>
      <c r="D654" s="139"/>
    </row>
    <row r="655">
      <c r="B655" s="139"/>
      <c r="C655" s="139"/>
      <c r="D655" s="139"/>
    </row>
    <row r="656">
      <c r="B656" s="139"/>
      <c r="C656" s="139"/>
      <c r="D656" s="139"/>
    </row>
    <row r="657">
      <c r="B657" s="139"/>
      <c r="C657" s="139"/>
      <c r="D657" s="139"/>
    </row>
    <row r="658">
      <c r="B658" s="139"/>
      <c r="C658" s="139"/>
      <c r="D658" s="139"/>
    </row>
    <row r="659">
      <c r="B659" s="139"/>
      <c r="C659" s="139"/>
      <c r="D659" s="139"/>
    </row>
    <row r="660">
      <c r="B660" s="139"/>
      <c r="C660" s="139"/>
      <c r="D660" s="139"/>
    </row>
    <row r="661">
      <c r="B661" s="139"/>
      <c r="C661" s="139"/>
      <c r="D661" s="139"/>
    </row>
    <row r="662">
      <c r="B662" s="139"/>
      <c r="C662" s="139"/>
      <c r="D662" s="139"/>
    </row>
    <row r="663">
      <c r="B663" s="139"/>
      <c r="C663" s="139"/>
      <c r="D663" s="139"/>
    </row>
    <row r="664">
      <c r="B664" s="139"/>
      <c r="C664" s="139"/>
      <c r="D664" s="139"/>
    </row>
    <row r="665">
      <c r="B665" s="139"/>
      <c r="C665" s="139"/>
      <c r="D665" s="139"/>
    </row>
    <row r="666">
      <c r="B666" s="139"/>
      <c r="C666" s="139"/>
      <c r="D666" s="139"/>
    </row>
    <row r="667">
      <c r="B667" s="139"/>
      <c r="C667" s="139"/>
      <c r="D667" s="139"/>
    </row>
    <row r="668">
      <c r="B668" s="139"/>
      <c r="C668" s="139"/>
      <c r="D668" s="139"/>
    </row>
    <row r="669">
      <c r="B669" s="139"/>
      <c r="C669" s="139"/>
      <c r="D669" s="139"/>
    </row>
    <row r="670">
      <c r="B670" s="139"/>
      <c r="C670" s="139"/>
      <c r="D670" s="139"/>
    </row>
    <row r="671">
      <c r="B671" s="139"/>
      <c r="C671" s="139"/>
      <c r="D671" s="139"/>
    </row>
    <row r="672">
      <c r="B672" s="139"/>
      <c r="C672" s="139"/>
      <c r="D672" s="139"/>
    </row>
    <row r="673">
      <c r="B673" s="139"/>
      <c r="C673" s="139"/>
      <c r="D673" s="139"/>
    </row>
    <row r="674">
      <c r="B674" s="139"/>
      <c r="C674" s="139"/>
      <c r="D674" s="139"/>
    </row>
    <row r="675">
      <c r="B675" s="139"/>
      <c r="C675" s="139"/>
      <c r="D675" s="139"/>
    </row>
    <row r="676">
      <c r="B676" s="139"/>
      <c r="C676" s="139"/>
      <c r="D676" s="139"/>
    </row>
    <row r="677">
      <c r="B677" s="139"/>
      <c r="C677" s="139"/>
      <c r="D677" s="139"/>
    </row>
    <row r="678">
      <c r="B678" s="139"/>
      <c r="C678" s="139"/>
      <c r="D678" s="139"/>
    </row>
    <row r="679">
      <c r="B679" s="139"/>
      <c r="C679" s="139"/>
      <c r="D679" s="139"/>
    </row>
    <row r="680">
      <c r="B680" s="139"/>
      <c r="C680" s="139"/>
      <c r="D680" s="139"/>
    </row>
    <row r="681">
      <c r="B681" s="139"/>
      <c r="C681" s="139"/>
      <c r="D681" s="139"/>
    </row>
    <row r="682">
      <c r="B682" s="139"/>
      <c r="C682" s="139"/>
      <c r="D682" s="139"/>
    </row>
    <row r="683">
      <c r="B683" s="139"/>
      <c r="C683" s="139"/>
      <c r="D683" s="139"/>
    </row>
    <row r="684">
      <c r="B684" s="139"/>
      <c r="C684" s="139"/>
      <c r="D684" s="139"/>
    </row>
    <row r="685">
      <c r="B685" s="139"/>
      <c r="C685" s="139"/>
      <c r="D685" s="139"/>
    </row>
    <row r="686">
      <c r="B686" s="139"/>
      <c r="C686" s="139"/>
      <c r="D686" s="139"/>
    </row>
    <row r="687">
      <c r="B687" s="139"/>
      <c r="C687" s="139"/>
      <c r="D687" s="139"/>
    </row>
    <row r="688">
      <c r="B688" s="139"/>
      <c r="C688" s="139"/>
      <c r="D688" s="139"/>
    </row>
    <row r="689">
      <c r="B689" s="139"/>
      <c r="C689" s="139"/>
      <c r="D689" s="139"/>
    </row>
    <row r="690">
      <c r="B690" s="139"/>
      <c r="C690" s="139"/>
      <c r="D690" s="139"/>
    </row>
    <row r="691">
      <c r="B691" s="139"/>
      <c r="C691" s="139"/>
      <c r="D691" s="139"/>
    </row>
    <row r="692">
      <c r="B692" s="139"/>
      <c r="C692" s="139"/>
      <c r="D692" s="139"/>
    </row>
    <row r="693">
      <c r="B693" s="139"/>
      <c r="C693" s="139"/>
      <c r="D693" s="139"/>
    </row>
    <row r="694">
      <c r="B694" s="139"/>
      <c r="C694" s="139"/>
      <c r="D694" s="139"/>
    </row>
    <row r="695">
      <c r="B695" s="139"/>
      <c r="C695" s="139"/>
      <c r="D695" s="139"/>
    </row>
    <row r="696">
      <c r="B696" s="139"/>
      <c r="C696" s="139"/>
      <c r="D696" s="139"/>
    </row>
    <row r="697">
      <c r="B697" s="139"/>
      <c r="C697" s="139"/>
      <c r="D697" s="139"/>
    </row>
    <row r="698">
      <c r="B698" s="139"/>
      <c r="C698" s="139"/>
      <c r="D698" s="139"/>
    </row>
    <row r="699">
      <c r="B699" s="139"/>
      <c r="C699" s="139"/>
      <c r="D699" s="139"/>
    </row>
    <row r="700">
      <c r="B700" s="139"/>
      <c r="C700" s="139"/>
      <c r="D700" s="139"/>
    </row>
    <row r="701">
      <c r="B701" s="139"/>
      <c r="C701" s="139"/>
      <c r="D701" s="139"/>
    </row>
    <row r="702">
      <c r="B702" s="139"/>
      <c r="C702" s="139"/>
      <c r="D702" s="139"/>
    </row>
    <row r="703">
      <c r="B703" s="139"/>
      <c r="C703" s="139"/>
      <c r="D703" s="139"/>
    </row>
    <row r="704">
      <c r="B704" s="139"/>
      <c r="C704" s="139"/>
      <c r="D704" s="139"/>
    </row>
    <row r="705">
      <c r="B705" s="139"/>
      <c r="C705" s="139"/>
      <c r="D705" s="139"/>
    </row>
    <row r="706">
      <c r="B706" s="139"/>
      <c r="C706" s="139"/>
      <c r="D706" s="139"/>
    </row>
    <row r="707">
      <c r="B707" s="139"/>
      <c r="C707" s="139"/>
      <c r="D707" s="139"/>
    </row>
    <row r="708">
      <c r="B708" s="139"/>
      <c r="C708" s="139"/>
      <c r="D708" s="139"/>
    </row>
    <row r="709">
      <c r="B709" s="139"/>
      <c r="C709" s="139"/>
      <c r="D709" s="139"/>
    </row>
    <row r="710">
      <c r="B710" s="139"/>
      <c r="C710" s="139"/>
      <c r="D710" s="139"/>
    </row>
    <row r="711">
      <c r="B711" s="139"/>
      <c r="C711" s="139"/>
      <c r="D711" s="139"/>
    </row>
    <row r="712">
      <c r="B712" s="139"/>
      <c r="C712" s="139"/>
      <c r="D712" s="139"/>
    </row>
    <row r="713">
      <c r="B713" s="139"/>
      <c r="C713" s="139"/>
      <c r="D713" s="139"/>
    </row>
    <row r="714">
      <c r="B714" s="139"/>
      <c r="C714" s="139"/>
      <c r="D714" s="139"/>
    </row>
    <row r="715">
      <c r="B715" s="139"/>
      <c r="C715" s="139"/>
      <c r="D715" s="139"/>
    </row>
    <row r="716">
      <c r="B716" s="139"/>
      <c r="C716" s="139"/>
      <c r="D716" s="139"/>
    </row>
    <row r="717">
      <c r="B717" s="139"/>
      <c r="C717" s="139"/>
      <c r="D717" s="139"/>
    </row>
    <row r="718">
      <c r="B718" s="139"/>
      <c r="C718" s="139"/>
      <c r="D718" s="139"/>
    </row>
    <row r="719">
      <c r="B719" s="139"/>
      <c r="C719" s="139"/>
      <c r="D719" s="139"/>
    </row>
    <row r="720">
      <c r="B720" s="139"/>
      <c r="C720" s="139"/>
      <c r="D720" s="139"/>
    </row>
    <row r="721">
      <c r="B721" s="139"/>
      <c r="C721" s="139"/>
      <c r="D721" s="139"/>
    </row>
    <row r="722">
      <c r="B722" s="139"/>
      <c r="C722" s="139"/>
      <c r="D722" s="139"/>
    </row>
    <row r="723">
      <c r="B723" s="139"/>
      <c r="C723" s="139"/>
      <c r="D723" s="139"/>
    </row>
    <row r="724">
      <c r="B724" s="139"/>
      <c r="C724" s="139"/>
      <c r="D724" s="139"/>
    </row>
    <row r="725">
      <c r="B725" s="139"/>
      <c r="C725" s="139"/>
      <c r="D725" s="139"/>
    </row>
    <row r="726">
      <c r="B726" s="139"/>
      <c r="C726" s="139"/>
      <c r="D726" s="139"/>
    </row>
    <row r="727">
      <c r="B727" s="139"/>
      <c r="C727" s="139"/>
      <c r="D727" s="139"/>
    </row>
    <row r="728">
      <c r="B728" s="139"/>
      <c r="C728" s="139"/>
      <c r="D728" s="139"/>
    </row>
    <row r="729">
      <c r="B729" s="139"/>
      <c r="C729" s="139"/>
      <c r="D729" s="139"/>
    </row>
    <row r="730">
      <c r="B730" s="139"/>
      <c r="C730" s="139"/>
      <c r="D730" s="139"/>
    </row>
    <row r="731">
      <c r="B731" s="139"/>
      <c r="C731" s="139"/>
      <c r="D731" s="139"/>
    </row>
    <row r="732">
      <c r="B732" s="139"/>
      <c r="C732" s="139"/>
      <c r="D732" s="139"/>
    </row>
    <row r="733">
      <c r="B733" s="139"/>
      <c r="C733" s="139"/>
      <c r="D733" s="139"/>
    </row>
    <row r="734">
      <c r="B734" s="139"/>
      <c r="C734" s="139"/>
      <c r="D734" s="139"/>
    </row>
    <row r="735">
      <c r="B735" s="139"/>
      <c r="C735" s="139"/>
      <c r="D735" s="139"/>
    </row>
    <row r="736">
      <c r="B736" s="139"/>
      <c r="C736" s="139"/>
      <c r="D736" s="139"/>
    </row>
    <row r="737">
      <c r="B737" s="139"/>
      <c r="C737" s="139"/>
      <c r="D737" s="139"/>
    </row>
    <row r="738">
      <c r="B738" s="139"/>
      <c r="C738" s="139"/>
      <c r="D738" s="139"/>
    </row>
    <row r="739">
      <c r="B739" s="139"/>
      <c r="C739" s="139"/>
      <c r="D739" s="139"/>
    </row>
    <row r="740">
      <c r="B740" s="139"/>
      <c r="C740" s="139"/>
      <c r="D740" s="139"/>
    </row>
    <row r="741">
      <c r="B741" s="139"/>
      <c r="C741" s="139"/>
      <c r="D741" s="139"/>
    </row>
    <row r="742">
      <c r="B742" s="139"/>
      <c r="C742" s="139"/>
      <c r="D742" s="139"/>
    </row>
    <row r="743">
      <c r="B743" s="139"/>
      <c r="C743" s="139"/>
      <c r="D743" s="139"/>
    </row>
    <row r="744">
      <c r="B744" s="139"/>
      <c r="C744" s="139"/>
      <c r="D744" s="139"/>
    </row>
    <row r="745">
      <c r="B745" s="139"/>
      <c r="C745" s="139"/>
      <c r="D745" s="139"/>
    </row>
    <row r="746">
      <c r="B746" s="139"/>
      <c r="C746" s="139"/>
      <c r="D746" s="139"/>
    </row>
    <row r="747">
      <c r="B747" s="139"/>
      <c r="C747" s="139"/>
      <c r="D747" s="139"/>
    </row>
    <row r="748">
      <c r="B748" s="139"/>
      <c r="C748" s="139"/>
      <c r="D748" s="139"/>
    </row>
    <row r="749">
      <c r="B749" s="139"/>
      <c r="C749" s="139"/>
      <c r="D749" s="139"/>
    </row>
    <row r="750">
      <c r="B750" s="139"/>
      <c r="C750" s="139"/>
      <c r="D750" s="139"/>
    </row>
    <row r="751">
      <c r="B751" s="139"/>
      <c r="C751" s="139"/>
      <c r="D751" s="139"/>
    </row>
    <row r="752">
      <c r="B752" s="139"/>
      <c r="C752" s="139"/>
      <c r="D752" s="139"/>
    </row>
    <row r="753">
      <c r="B753" s="139"/>
      <c r="C753" s="139"/>
      <c r="D753" s="139"/>
    </row>
    <row r="754">
      <c r="B754" s="139"/>
      <c r="C754" s="139"/>
      <c r="D754" s="139"/>
    </row>
    <row r="755">
      <c r="B755" s="139"/>
      <c r="C755" s="139"/>
      <c r="D755" s="139"/>
    </row>
    <row r="756">
      <c r="B756" s="139"/>
      <c r="C756" s="139"/>
      <c r="D756" s="139"/>
    </row>
    <row r="757">
      <c r="B757" s="139"/>
      <c r="C757" s="139"/>
      <c r="D757" s="139"/>
    </row>
    <row r="758">
      <c r="B758" s="139"/>
      <c r="C758" s="139"/>
      <c r="D758" s="139"/>
    </row>
    <row r="759">
      <c r="B759" s="139"/>
      <c r="C759" s="139"/>
      <c r="D759" s="139"/>
    </row>
    <row r="760">
      <c r="B760" s="139"/>
      <c r="C760" s="139"/>
      <c r="D760" s="139"/>
    </row>
    <row r="761">
      <c r="B761" s="139"/>
      <c r="C761" s="139"/>
      <c r="D761" s="139"/>
    </row>
    <row r="762">
      <c r="B762" s="139"/>
      <c r="C762" s="139"/>
      <c r="D762" s="139"/>
    </row>
    <row r="763">
      <c r="B763" s="139"/>
      <c r="C763" s="139"/>
      <c r="D763" s="139"/>
    </row>
    <row r="764">
      <c r="B764" s="139"/>
      <c r="C764" s="139"/>
      <c r="D764" s="139"/>
    </row>
    <row r="765">
      <c r="B765" s="139"/>
      <c r="C765" s="139"/>
      <c r="D765" s="139"/>
    </row>
    <row r="766">
      <c r="B766" s="139"/>
      <c r="C766" s="139"/>
      <c r="D766" s="139"/>
    </row>
    <row r="767">
      <c r="B767" s="139"/>
      <c r="C767" s="139"/>
      <c r="D767" s="139"/>
    </row>
    <row r="768">
      <c r="B768" s="139"/>
      <c r="C768" s="139"/>
      <c r="D768" s="139"/>
    </row>
    <row r="769">
      <c r="B769" s="139"/>
      <c r="C769" s="139"/>
      <c r="D769" s="139"/>
    </row>
    <row r="770">
      <c r="B770" s="139"/>
      <c r="C770" s="139"/>
      <c r="D770" s="139"/>
    </row>
    <row r="771">
      <c r="B771" s="139"/>
      <c r="C771" s="139"/>
      <c r="D771" s="139"/>
    </row>
    <row r="772">
      <c r="B772" s="139"/>
      <c r="C772" s="139"/>
      <c r="D772" s="139"/>
    </row>
    <row r="773">
      <c r="B773" s="139"/>
      <c r="C773" s="139"/>
      <c r="D773" s="139"/>
    </row>
    <row r="774">
      <c r="B774" s="139"/>
      <c r="C774" s="139"/>
      <c r="D774" s="139"/>
    </row>
    <row r="775">
      <c r="B775" s="139"/>
      <c r="C775" s="139"/>
      <c r="D775" s="139"/>
    </row>
    <row r="776">
      <c r="B776" s="139"/>
      <c r="C776" s="139"/>
      <c r="D776" s="139"/>
    </row>
    <row r="777">
      <c r="B777" s="139"/>
      <c r="C777" s="139"/>
      <c r="D777" s="139"/>
    </row>
    <row r="778">
      <c r="B778" s="139"/>
      <c r="C778" s="139"/>
      <c r="D778" s="139"/>
    </row>
    <row r="779">
      <c r="B779" s="139"/>
      <c r="C779" s="139"/>
      <c r="D779" s="139"/>
    </row>
    <row r="780">
      <c r="B780" s="139"/>
      <c r="C780" s="139"/>
      <c r="D780" s="139"/>
    </row>
    <row r="781">
      <c r="B781" s="139"/>
      <c r="C781" s="139"/>
      <c r="D781" s="139"/>
    </row>
    <row r="782">
      <c r="B782" s="139"/>
      <c r="C782" s="139"/>
      <c r="D782" s="139"/>
    </row>
    <row r="783">
      <c r="B783" s="139"/>
      <c r="C783" s="139"/>
      <c r="D783" s="139"/>
    </row>
    <row r="784">
      <c r="B784" s="139"/>
      <c r="C784" s="139"/>
      <c r="D784" s="139"/>
    </row>
    <row r="785">
      <c r="B785" s="139"/>
      <c r="C785" s="139"/>
      <c r="D785" s="139"/>
    </row>
    <row r="786">
      <c r="B786" s="139"/>
      <c r="C786" s="139"/>
      <c r="D786" s="139"/>
    </row>
    <row r="787">
      <c r="B787" s="139"/>
      <c r="C787" s="139"/>
      <c r="D787" s="139"/>
    </row>
    <row r="788">
      <c r="B788" s="139"/>
      <c r="C788" s="139"/>
      <c r="D788" s="139"/>
    </row>
    <row r="789">
      <c r="B789" s="139"/>
      <c r="C789" s="139"/>
      <c r="D789" s="139"/>
    </row>
    <row r="790">
      <c r="B790" s="139"/>
      <c r="C790" s="139"/>
      <c r="D790" s="139"/>
    </row>
    <row r="791">
      <c r="B791" s="139"/>
      <c r="C791" s="139"/>
      <c r="D791" s="139"/>
    </row>
    <row r="792">
      <c r="B792" s="139"/>
      <c r="C792" s="139"/>
      <c r="D792" s="139"/>
    </row>
    <row r="793">
      <c r="B793" s="139"/>
      <c r="C793" s="139"/>
      <c r="D793" s="139"/>
    </row>
    <row r="794">
      <c r="B794" s="139"/>
      <c r="C794" s="139"/>
      <c r="D794" s="139"/>
    </row>
    <row r="795">
      <c r="B795" s="139"/>
      <c r="C795" s="139"/>
      <c r="D795" s="139"/>
    </row>
    <row r="796">
      <c r="B796" s="139"/>
      <c r="C796" s="139"/>
      <c r="D796" s="139"/>
    </row>
    <row r="797">
      <c r="B797" s="139"/>
      <c r="C797" s="139"/>
      <c r="D797" s="139"/>
    </row>
    <row r="798">
      <c r="B798" s="139"/>
      <c r="C798" s="139"/>
      <c r="D798" s="139"/>
    </row>
    <row r="799">
      <c r="B799" s="139"/>
      <c r="C799" s="139"/>
      <c r="D799" s="139"/>
    </row>
    <row r="800">
      <c r="B800" s="139"/>
      <c r="C800" s="139"/>
      <c r="D800" s="139"/>
    </row>
    <row r="801">
      <c r="B801" s="139"/>
      <c r="C801" s="139"/>
      <c r="D801" s="139"/>
    </row>
    <row r="802">
      <c r="B802" s="139"/>
      <c r="C802" s="139"/>
      <c r="D802" s="139"/>
    </row>
    <row r="803">
      <c r="B803" s="139"/>
      <c r="C803" s="139"/>
      <c r="D803" s="139"/>
    </row>
    <row r="804">
      <c r="B804" s="139"/>
      <c r="C804" s="139"/>
      <c r="D804" s="139"/>
    </row>
    <row r="805">
      <c r="B805" s="139"/>
      <c r="C805" s="139"/>
      <c r="D805" s="139"/>
    </row>
    <row r="806">
      <c r="B806" s="139"/>
      <c r="C806" s="139"/>
      <c r="D806" s="139"/>
    </row>
    <row r="807">
      <c r="B807" s="139"/>
      <c r="C807" s="139"/>
      <c r="D807" s="139"/>
    </row>
    <row r="808">
      <c r="B808" s="139"/>
      <c r="C808" s="139"/>
      <c r="D808" s="139"/>
    </row>
    <row r="809">
      <c r="B809" s="139"/>
      <c r="C809" s="139"/>
      <c r="D809" s="139"/>
    </row>
    <row r="810">
      <c r="B810" s="139"/>
      <c r="C810" s="139"/>
      <c r="D810" s="139"/>
    </row>
    <row r="811">
      <c r="B811" s="139"/>
      <c r="C811" s="139"/>
      <c r="D811" s="139"/>
    </row>
    <row r="812">
      <c r="B812" s="139"/>
      <c r="C812" s="139"/>
      <c r="D812" s="139"/>
    </row>
    <row r="813">
      <c r="B813" s="139"/>
      <c r="C813" s="139"/>
      <c r="D813" s="139"/>
    </row>
    <row r="814">
      <c r="B814" s="139"/>
      <c r="C814" s="139"/>
      <c r="D814" s="139"/>
    </row>
    <row r="815">
      <c r="B815" s="139"/>
      <c r="C815" s="139"/>
      <c r="D815" s="139"/>
    </row>
    <row r="816">
      <c r="B816" s="139"/>
      <c r="C816" s="139"/>
      <c r="D816" s="139"/>
    </row>
    <row r="817">
      <c r="B817" s="139"/>
      <c r="C817" s="139"/>
      <c r="D817" s="139"/>
    </row>
    <row r="818">
      <c r="B818" s="139"/>
      <c r="C818" s="139"/>
      <c r="D818" s="139"/>
    </row>
    <row r="819">
      <c r="B819" s="139"/>
      <c r="C819" s="139"/>
      <c r="D819" s="139"/>
    </row>
    <row r="820">
      <c r="B820" s="139"/>
      <c r="C820" s="139"/>
      <c r="D820" s="139"/>
    </row>
    <row r="821">
      <c r="B821" s="139"/>
      <c r="C821" s="139"/>
      <c r="D821" s="139"/>
    </row>
    <row r="822">
      <c r="B822" s="139"/>
      <c r="C822" s="139"/>
      <c r="D822" s="139"/>
    </row>
    <row r="823">
      <c r="B823" s="139"/>
      <c r="C823" s="139"/>
      <c r="D823" s="139"/>
    </row>
    <row r="824">
      <c r="B824" s="139"/>
      <c r="C824" s="139"/>
      <c r="D824" s="139"/>
    </row>
    <row r="825">
      <c r="B825" s="139"/>
      <c r="C825" s="139"/>
      <c r="D825" s="139"/>
    </row>
    <row r="826">
      <c r="B826" s="139"/>
      <c r="C826" s="139"/>
      <c r="D826" s="139"/>
    </row>
    <row r="827">
      <c r="B827" s="139"/>
      <c r="C827" s="139"/>
      <c r="D827" s="139"/>
    </row>
    <row r="828">
      <c r="B828" s="139"/>
      <c r="C828" s="139"/>
      <c r="D828" s="139"/>
    </row>
    <row r="829">
      <c r="B829" s="139"/>
      <c r="C829" s="139"/>
      <c r="D829" s="139"/>
    </row>
    <row r="830">
      <c r="B830" s="139"/>
      <c r="C830" s="139"/>
      <c r="D830" s="139"/>
    </row>
    <row r="831">
      <c r="B831" s="139"/>
      <c r="C831" s="139"/>
      <c r="D831" s="139"/>
    </row>
    <row r="832">
      <c r="B832" s="139"/>
      <c r="C832" s="139"/>
      <c r="D832" s="139"/>
    </row>
    <row r="833">
      <c r="B833" s="139"/>
      <c r="C833" s="139"/>
      <c r="D833" s="139"/>
    </row>
    <row r="834">
      <c r="B834" s="139"/>
      <c r="C834" s="139"/>
      <c r="D834" s="139"/>
    </row>
    <row r="835">
      <c r="B835" s="139"/>
      <c r="C835" s="139"/>
      <c r="D835" s="139"/>
    </row>
    <row r="836">
      <c r="B836" s="139"/>
      <c r="C836" s="139"/>
      <c r="D836" s="139"/>
    </row>
    <row r="837">
      <c r="B837" s="139"/>
      <c r="C837" s="139"/>
      <c r="D837" s="139"/>
    </row>
    <row r="838">
      <c r="B838" s="139"/>
      <c r="C838" s="139"/>
      <c r="D838" s="139"/>
    </row>
    <row r="839">
      <c r="B839" s="139"/>
      <c r="C839" s="139"/>
      <c r="D839" s="139"/>
    </row>
    <row r="840">
      <c r="B840" s="139"/>
      <c r="C840" s="139"/>
      <c r="D840" s="139"/>
    </row>
    <row r="841">
      <c r="B841" s="139"/>
      <c r="C841" s="139"/>
      <c r="D841" s="139"/>
    </row>
    <row r="842">
      <c r="B842" s="139"/>
      <c r="C842" s="139"/>
      <c r="D842" s="139"/>
    </row>
    <row r="843">
      <c r="B843" s="139"/>
      <c r="C843" s="139"/>
      <c r="D843" s="139"/>
    </row>
    <row r="844">
      <c r="B844" s="139"/>
      <c r="C844" s="139"/>
      <c r="D844" s="139"/>
    </row>
    <row r="845">
      <c r="B845" s="139"/>
      <c r="C845" s="139"/>
      <c r="D845" s="139"/>
    </row>
    <row r="846">
      <c r="B846" s="139"/>
      <c r="C846" s="139"/>
      <c r="D846" s="139"/>
    </row>
    <row r="847">
      <c r="B847" s="139"/>
      <c r="C847" s="139"/>
      <c r="D847" s="139"/>
    </row>
    <row r="848">
      <c r="B848" s="139"/>
      <c r="C848" s="139"/>
      <c r="D848" s="139"/>
    </row>
    <row r="849">
      <c r="B849" s="139"/>
      <c r="C849" s="139"/>
      <c r="D849" s="139"/>
    </row>
    <row r="850">
      <c r="B850" s="139"/>
      <c r="C850" s="139"/>
      <c r="D850" s="139"/>
    </row>
    <row r="851">
      <c r="B851" s="139"/>
      <c r="C851" s="139"/>
      <c r="D851" s="139"/>
    </row>
    <row r="852">
      <c r="B852" s="139"/>
      <c r="C852" s="139"/>
      <c r="D852" s="139"/>
    </row>
    <row r="853">
      <c r="B853" s="139"/>
      <c r="C853" s="139"/>
      <c r="D853" s="139"/>
    </row>
    <row r="854">
      <c r="B854" s="139"/>
      <c r="C854" s="139"/>
      <c r="D854" s="139"/>
    </row>
    <row r="855">
      <c r="B855" s="139"/>
      <c r="C855" s="139"/>
      <c r="D855" s="139"/>
    </row>
    <row r="856">
      <c r="B856" s="139"/>
      <c r="C856" s="139"/>
      <c r="D856" s="139"/>
    </row>
    <row r="857">
      <c r="B857" s="139"/>
      <c r="C857" s="139"/>
      <c r="D857" s="139"/>
    </row>
    <row r="858">
      <c r="B858" s="139"/>
      <c r="C858" s="139"/>
      <c r="D858" s="139"/>
    </row>
    <row r="859">
      <c r="B859" s="139"/>
      <c r="C859" s="139"/>
      <c r="D859" s="139"/>
    </row>
    <row r="860">
      <c r="B860" s="139"/>
      <c r="C860" s="139"/>
      <c r="D860" s="139"/>
    </row>
    <row r="861">
      <c r="B861" s="139"/>
      <c r="C861" s="139"/>
      <c r="D861" s="139"/>
    </row>
    <row r="862">
      <c r="B862" s="139"/>
      <c r="C862" s="139"/>
      <c r="D862" s="139"/>
    </row>
    <row r="863">
      <c r="B863" s="139"/>
      <c r="C863" s="139"/>
      <c r="D863" s="139"/>
    </row>
    <row r="864">
      <c r="B864" s="139"/>
      <c r="C864" s="139"/>
      <c r="D864" s="139"/>
    </row>
    <row r="865">
      <c r="B865" s="139"/>
      <c r="C865" s="139"/>
      <c r="D865" s="139"/>
    </row>
    <row r="866">
      <c r="B866" s="139"/>
      <c r="C866" s="139"/>
      <c r="D866" s="139"/>
    </row>
    <row r="867">
      <c r="B867" s="139"/>
      <c r="C867" s="139"/>
      <c r="D867" s="139"/>
    </row>
    <row r="868">
      <c r="B868" s="139"/>
      <c r="C868" s="139"/>
      <c r="D868" s="139"/>
    </row>
    <row r="869">
      <c r="B869" s="139"/>
      <c r="C869" s="139"/>
      <c r="D869" s="139"/>
    </row>
    <row r="870">
      <c r="B870" s="139"/>
      <c r="C870" s="139"/>
      <c r="D870" s="139"/>
    </row>
    <row r="871">
      <c r="B871" s="139"/>
      <c r="C871" s="139"/>
      <c r="D871" s="139"/>
    </row>
    <row r="872">
      <c r="B872" s="139"/>
      <c r="C872" s="139"/>
      <c r="D872" s="139"/>
    </row>
    <row r="873">
      <c r="B873" s="139"/>
      <c r="C873" s="139"/>
      <c r="D873" s="139"/>
    </row>
    <row r="874">
      <c r="B874" s="139"/>
      <c r="C874" s="139"/>
      <c r="D874" s="139"/>
    </row>
    <row r="875">
      <c r="B875" s="139"/>
      <c r="C875" s="139"/>
      <c r="D875" s="139"/>
    </row>
    <row r="876">
      <c r="B876" s="139"/>
      <c r="C876" s="139"/>
      <c r="D876" s="139"/>
    </row>
    <row r="877">
      <c r="B877" s="139"/>
      <c r="C877" s="139"/>
      <c r="D877" s="139"/>
    </row>
    <row r="878">
      <c r="B878" s="139"/>
      <c r="C878" s="139"/>
      <c r="D878" s="139"/>
    </row>
    <row r="879">
      <c r="B879" s="139"/>
      <c r="C879" s="139"/>
      <c r="D879" s="139"/>
    </row>
    <row r="880">
      <c r="B880" s="139"/>
      <c r="C880" s="139"/>
      <c r="D880" s="139"/>
    </row>
    <row r="881">
      <c r="B881" s="139"/>
      <c r="C881" s="139"/>
      <c r="D881" s="139"/>
    </row>
    <row r="882">
      <c r="B882" s="139"/>
      <c r="C882" s="139"/>
      <c r="D882" s="139"/>
    </row>
    <row r="883">
      <c r="B883" s="139"/>
      <c r="C883" s="139"/>
      <c r="D883" s="139"/>
    </row>
    <row r="884">
      <c r="B884" s="139"/>
      <c r="C884" s="139"/>
      <c r="D884" s="139"/>
    </row>
    <row r="885">
      <c r="B885" s="139"/>
      <c r="C885" s="139"/>
      <c r="D885" s="139"/>
    </row>
    <row r="886">
      <c r="B886" s="139"/>
      <c r="C886" s="139"/>
      <c r="D886" s="139"/>
    </row>
    <row r="887">
      <c r="B887" s="139"/>
      <c r="C887" s="139"/>
      <c r="D887" s="139"/>
    </row>
    <row r="888">
      <c r="B888" s="139"/>
      <c r="C888" s="139"/>
      <c r="D888" s="139"/>
    </row>
    <row r="889">
      <c r="B889" s="139"/>
      <c r="C889" s="139"/>
      <c r="D889" s="139"/>
    </row>
    <row r="890">
      <c r="B890" s="139"/>
      <c r="C890" s="139"/>
      <c r="D890" s="139"/>
    </row>
    <row r="891">
      <c r="B891" s="139"/>
      <c r="C891" s="139"/>
      <c r="D891" s="139"/>
    </row>
    <row r="892">
      <c r="B892" s="139"/>
      <c r="C892" s="139"/>
      <c r="D892" s="139"/>
    </row>
    <row r="893">
      <c r="B893" s="139"/>
      <c r="C893" s="139"/>
      <c r="D893" s="139"/>
    </row>
    <row r="894">
      <c r="B894" s="139"/>
      <c r="C894" s="139"/>
      <c r="D894" s="139"/>
    </row>
    <row r="895">
      <c r="B895" s="139"/>
      <c r="C895" s="139"/>
      <c r="D895" s="139"/>
    </row>
    <row r="896">
      <c r="B896" s="139"/>
      <c r="C896" s="139"/>
      <c r="D896" s="139"/>
    </row>
    <row r="897">
      <c r="B897" s="139"/>
      <c r="C897" s="139"/>
      <c r="D897" s="139"/>
    </row>
    <row r="898">
      <c r="B898" s="139"/>
      <c r="C898" s="139"/>
      <c r="D898" s="139"/>
    </row>
    <row r="899">
      <c r="B899" s="139"/>
      <c r="C899" s="139"/>
      <c r="D899" s="139"/>
    </row>
    <row r="900">
      <c r="B900" s="139"/>
      <c r="C900" s="139"/>
      <c r="D900" s="139"/>
    </row>
    <row r="901">
      <c r="B901" s="139"/>
      <c r="C901" s="139"/>
      <c r="D901" s="139"/>
    </row>
    <row r="902">
      <c r="B902" s="139"/>
      <c r="C902" s="139"/>
      <c r="D902" s="139"/>
    </row>
    <row r="903">
      <c r="B903" s="139"/>
      <c r="C903" s="139"/>
      <c r="D903" s="139"/>
    </row>
    <row r="904">
      <c r="B904" s="139"/>
      <c r="C904" s="139"/>
      <c r="D904" s="139"/>
    </row>
    <row r="905">
      <c r="B905" s="139"/>
      <c r="C905" s="139"/>
      <c r="D905" s="139"/>
    </row>
    <row r="906">
      <c r="B906" s="139"/>
      <c r="C906" s="139"/>
      <c r="D906" s="139"/>
    </row>
    <row r="907">
      <c r="B907" s="139"/>
      <c r="C907" s="139"/>
      <c r="D907" s="139"/>
    </row>
    <row r="908">
      <c r="B908" s="139"/>
      <c r="C908" s="139"/>
      <c r="D908" s="139"/>
    </row>
    <row r="909">
      <c r="B909" s="139"/>
      <c r="C909" s="139"/>
      <c r="D909" s="139"/>
    </row>
    <row r="910">
      <c r="B910" s="139"/>
      <c r="C910" s="139"/>
      <c r="D910" s="139"/>
    </row>
    <row r="911">
      <c r="B911" s="139"/>
      <c r="C911" s="139"/>
      <c r="D911" s="139"/>
    </row>
    <row r="912">
      <c r="B912" s="139"/>
      <c r="C912" s="139"/>
      <c r="D912" s="139"/>
    </row>
    <row r="913">
      <c r="B913" s="139"/>
      <c r="C913" s="139"/>
      <c r="D913" s="139"/>
    </row>
    <row r="914">
      <c r="B914" s="139"/>
      <c r="C914" s="139"/>
      <c r="D914" s="139"/>
    </row>
    <row r="915">
      <c r="B915" s="139"/>
      <c r="C915" s="139"/>
      <c r="D915" s="139"/>
    </row>
    <row r="916">
      <c r="B916" s="139"/>
      <c r="C916" s="139"/>
      <c r="D916" s="139"/>
    </row>
    <row r="917">
      <c r="B917" s="139"/>
      <c r="C917" s="139"/>
      <c r="D917" s="139"/>
    </row>
    <row r="918">
      <c r="B918" s="139"/>
      <c r="C918" s="139"/>
      <c r="D918" s="139"/>
    </row>
    <row r="919">
      <c r="B919" s="139"/>
      <c r="C919" s="139"/>
      <c r="D919" s="139"/>
    </row>
    <row r="920">
      <c r="B920" s="139"/>
      <c r="C920" s="139"/>
      <c r="D920" s="139"/>
    </row>
    <row r="921">
      <c r="B921" s="139"/>
      <c r="C921" s="139"/>
      <c r="D921" s="139"/>
    </row>
    <row r="922">
      <c r="B922" s="139"/>
      <c r="C922" s="139"/>
      <c r="D922" s="139"/>
    </row>
    <row r="923">
      <c r="B923" s="139"/>
      <c r="C923" s="139"/>
      <c r="D923" s="139"/>
    </row>
    <row r="924">
      <c r="B924" s="139"/>
      <c r="C924" s="139"/>
      <c r="D924" s="139"/>
    </row>
    <row r="925">
      <c r="B925" s="139"/>
      <c r="C925" s="139"/>
      <c r="D925" s="139"/>
    </row>
    <row r="926">
      <c r="B926" s="139"/>
      <c r="C926" s="139"/>
      <c r="D926" s="139"/>
    </row>
    <row r="927">
      <c r="B927" s="139"/>
      <c r="C927" s="139"/>
      <c r="D927" s="139"/>
    </row>
    <row r="928">
      <c r="B928" s="139"/>
      <c r="C928" s="139"/>
      <c r="D928" s="139"/>
    </row>
    <row r="929">
      <c r="B929" s="139"/>
      <c r="C929" s="139"/>
      <c r="D929" s="139"/>
    </row>
    <row r="930">
      <c r="B930" s="139"/>
      <c r="C930" s="139"/>
      <c r="D930" s="139"/>
    </row>
    <row r="931">
      <c r="B931" s="139"/>
      <c r="C931" s="139"/>
      <c r="D931" s="139"/>
    </row>
    <row r="932">
      <c r="B932" s="139"/>
      <c r="C932" s="139"/>
      <c r="D932" s="139"/>
    </row>
    <row r="933">
      <c r="B933" s="139"/>
      <c r="C933" s="139"/>
      <c r="D933" s="139"/>
    </row>
    <row r="934">
      <c r="B934" s="139"/>
      <c r="C934" s="139"/>
      <c r="D934" s="139"/>
    </row>
    <row r="935">
      <c r="B935" s="139"/>
      <c r="C935" s="139"/>
      <c r="D935" s="139"/>
    </row>
    <row r="936">
      <c r="B936" s="139"/>
      <c r="C936" s="139"/>
      <c r="D936" s="139"/>
    </row>
    <row r="937">
      <c r="B937" s="139"/>
      <c r="C937" s="139"/>
      <c r="D937" s="139"/>
    </row>
    <row r="938">
      <c r="B938" s="139"/>
      <c r="C938" s="139"/>
      <c r="D938" s="139"/>
    </row>
    <row r="939">
      <c r="B939" s="139"/>
      <c r="C939" s="139"/>
      <c r="D939" s="139"/>
    </row>
    <row r="940">
      <c r="B940" s="139"/>
      <c r="C940" s="139"/>
      <c r="D940" s="139"/>
    </row>
    <row r="941">
      <c r="B941" s="139"/>
      <c r="C941" s="139"/>
      <c r="D941" s="139"/>
    </row>
    <row r="942">
      <c r="B942" s="139"/>
      <c r="C942" s="139"/>
      <c r="D942" s="139"/>
    </row>
    <row r="943">
      <c r="B943" s="139"/>
      <c r="C943" s="139"/>
      <c r="D943" s="139"/>
    </row>
    <row r="944">
      <c r="B944" s="139"/>
      <c r="C944" s="139"/>
      <c r="D944" s="139"/>
    </row>
    <row r="945">
      <c r="B945" s="139"/>
      <c r="C945" s="139"/>
      <c r="D945" s="139"/>
    </row>
    <row r="946">
      <c r="B946" s="139"/>
      <c r="C946" s="139"/>
      <c r="D946" s="139"/>
    </row>
    <row r="947">
      <c r="B947" s="139"/>
      <c r="C947" s="139"/>
      <c r="D947" s="139"/>
    </row>
    <row r="948">
      <c r="B948" s="139"/>
      <c r="C948" s="139"/>
      <c r="D948" s="139"/>
    </row>
    <row r="949">
      <c r="B949" s="139"/>
      <c r="C949" s="139"/>
      <c r="D949" s="139"/>
    </row>
    <row r="950">
      <c r="B950" s="139"/>
      <c r="C950" s="139"/>
      <c r="D950" s="139"/>
    </row>
    <row r="951">
      <c r="B951" s="139"/>
      <c r="C951" s="139"/>
      <c r="D951" s="139"/>
    </row>
    <row r="952">
      <c r="B952" s="139"/>
      <c r="C952" s="139"/>
      <c r="D952" s="139"/>
    </row>
    <row r="953">
      <c r="B953" s="139"/>
      <c r="C953" s="139"/>
      <c r="D953" s="139"/>
    </row>
    <row r="954">
      <c r="B954" s="139"/>
      <c r="C954" s="139"/>
      <c r="D954" s="139"/>
    </row>
    <row r="955">
      <c r="B955" s="139"/>
      <c r="C955" s="139"/>
      <c r="D955" s="139"/>
    </row>
    <row r="956">
      <c r="B956" s="139"/>
      <c r="C956" s="139"/>
      <c r="D956" s="139"/>
    </row>
    <row r="957">
      <c r="B957" s="139"/>
      <c r="C957" s="139"/>
      <c r="D957" s="139"/>
    </row>
    <row r="958">
      <c r="B958" s="139"/>
      <c r="C958" s="139"/>
      <c r="D958" s="139"/>
    </row>
    <row r="959">
      <c r="B959" s="139"/>
      <c r="C959" s="139"/>
      <c r="D959" s="139"/>
    </row>
    <row r="960">
      <c r="B960" s="139"/>
      <c r="C960" s="139"/>
      <c r="D960" s="139"/>
    </row>
    <row r="961">
      <c r="B961" s="139"/>
      <c r="C961" s="139"/>
      <c r="D961" s="139"/>
    </row>
    <row r="962">
      <c r="B962" s="139"/>
      <c r="C962" s="139"/>
      <c r="D962" s="139"/>
    </row>
    <row r="963">
      <c r="B963" s="139"/>
      <c r="C963" s="139"/>
      <c r="D963" s="139"/>
    </row>
    <row r="964">
      <c r="B964" s="139"/>
      <c r="C964" s="139"/>
      <c r="D964" s="139"/>
    </row>
    <row r="965">
      <c r="B965" s="139"/>
      <c r="C965" s="139"/>
      <c r="D965" s="139"/>
    </row>
    <row r="966">
      <c r="B966" s="139"/>
      <c r="C966" s="139"/>
      <c r="D966" s="139"/>
    </row>
    <row r="967">
      <c r="B967" s="139"/>
      <c r="C967" s="139"/>
      <c r="D967" s="139"/>
    </row>
    <row r="968">
      <c r="B968" s="139"/>
      <c r="C968" s="139"/>
      <c r="D968" s="139"/>
    </row>
    <row r="969">
      <c r="B969" s="139"/>
      <c r="C969" s="139"/>
      <c r="D969" s="139"/>
    </row>
    <row r="970">
      <c r="B970" s="139"/>
      <c r="C970" s="139"/>
      <c r="D970" s="139"/>
    </row>
    <row r="971">
      <c r="B971" s="139"/>
      <c r="C971" s="139"/>
      <c r="D971" s="139"/>
    </row>
    <row r="972">
      <c r="B972" s="139"/>
      <c r="C972" s="139"/>
      <c r="D972" s="139"/>
    </row>
    <row r="973">
      <c r="B973" s="139"/>
      <c r="C973" s="139"/>
      <c r="D973" s="139"/>
    </row>
    <row r="974">
      <c r="B974" s="139"/>
      <c r="C974" s="139"/>
      <c r="D974" s="139"/>
    </row>
    <row r="975">
      <c r="B975" s="139"/>
      <c r="C975" s="139"/>
      <c r="D975" s="139"/>
    </row>
    <row r="976">
      <c r="B976" s="139"/>
      <c r="C976" s="139"/>
      <c r="D976" s="139"/>
    </row>
    <row r="977">
      <c r="B977" s="139"/>
      <c r="C977" s="139"/>
      <c r="D977" s="139"/>
    </row>
    <row r="978">
      <c r="B978" s="139"/>
      <c r="C978" s="139"/>
      <c r="D978" s="139"/>
    </row>
    <row r="979">
      <c r="B979" s="139"/>
      <c r="C979" s="139"/>
      <c r="D979" s="139"/>
    </row>
    <row r="980">
      <c r="B980" s="139"/>
      <c r="C980" s="139"/>
      <c r="D980" s="139"/>
    </row>
    <row r="981">
      <c r="B981" s="139"/>
      <c r="C981" s="139"/>
      <c r="D981" s="139"/>
    </row>
    <row r="982">
      <c r="B982" s="139"/>
      <c r="C982" s="139"/>
      <c r="D982" s="139"/>
    </row>
    <row r="983">
      <c r="B983" s="139"/>
      <c r="C983" s="139"/>
      <c r="D983" s="139"/>
    </row>
    <row r="984">
      <c r="B984" s="139"/>
      <c r="C984" s="139"/>
      <c r="D984" s="139"/>
    </row>
    <row r="985">
      <c r="B985" s="139"/>
      <c r="C985" s="139"/>
      <c r="D985" s="139"/>
    </row>
    <row r="986">
      <c r="B986" s="139"/>
      <c r="C986" s="139"/>
      <c r="D986" s="139"/>
    </row>
    <row r="987">
      <c r="B987" s="139"/>
      <c r="C987" s="139"/>
      <c r="D987" s="139"/>
    </row>
    <row r="988">
      <c r="B988" s="139"/>
      <c r="C988" s="139"/>
      <c r="D988" s="139"/>
    </row>
    <row r="989">
      <c r="B989" s="139"/>
      <c r="C989" s="139"/>
      <c r="D989" s="139"/>
    </row>
    <row r="990">
      <c r="B990" s="139"/>
      <c r="C990" s="139"/>
      <c r="D990" s="139"/>
    </row>
    <row r="991">
      <c r="B991" s="139"/>
      <c r="C991" s="139"/>
      <c r="D991" s="139"/>
    </row>
    <row r="992">
      <c r="B992" s="139"/>
      <c r="C992" s="139"/>
      <c r="D992" s="139"/>
    </row>
    <row r="993">
      <c r="B993" s="139"/>
      <c r="C993" s="139"/>
      <c r="D993" s="139"/>
    </row>
    <row r="994">
      <c r="B994" s="139"/>
      <c r="C994" s="139"/>
      <c r="D994" s="139"/>
    </row>
    <row r="995">
      <c r="B995" s="139"/>
      <c r="C995" s="139"/>
      <c r="D995" s="139"/>
    </row>
    <row r="996">
      <c r="B996" s="139"/>
      <c r="C996" s="139"/>
      <c r="D996" s="139"/>
    </row>
    <row r="997">
      <c r="B997" s="139"/>
      <c r="C997" s="139"/>
      <c r="D997" s="139"/>
    </row>
    <row r="998">
      <c r="B998" s="139"/>
      <c r="C998" s="139"/>
      <c r="D998" s="139"/>
    </row>
    <row r="999">
      <c r="B999" s="139"/>
      <c r="C999" s="139"/>
      <c r="D999" s="139"/>
    </row>
    <row r="1000">
      <c r="B1000" s="139"/>
      <c r="C1000" s="139"/>
      <c r="D1000" s="139"/>
    </row>
    <row r="1001">
      <c r="B1001" s="139"/>
      <c r="C1001" s="139"/>
      <c r="D1001" s="139"/>
    </row>
    <row r="1002">
      <c r="B1002" s="139"/>
      <c r="C1002" s="139"/>
      <c r="D1002" s="139"/>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C4"/>
    <hyperlink r:id="rId2" ref="C5"/>
    <hyperlink r:id="rId3" ref="C6"/>
    <hyperlink r:id="rId4" ref="C7"/>
    <hyperlink r:id="rId5" ref="C8"/>
    <hyperlink r:id="rId6" ref="C10"/>
    <hyperlink r:id="rId7" ref="C11"/>
    <hyperlink r:id="rId8" ref="C12"/>
    <hyperlink r:id="rId9" ref="C14"/>
    <hyperlink r:id="rId10" ref="C19"/>
    <hyperlink r:id="rId11" ref="C20"/>
    <hyperlink r:id="rId12" ref="C21"/>
    <hyperlink r:id="rId13" ref="C23"/>
    <hyperlink r:id="rId14" ref="C25"/>
    <hyperlink r:id="rId15" ref="C26"/>
    <hyperlink r:id="rId16" ref="C28"/>
    <hyperlink r:id="rId17" ref="C30"/>
    <hyperlink r:id="rId18" ref="C31"/>
    <hyperlink r:id="rId19" ref="C32"/>
    <hyperlink r:id="rId20" ref="C33"/>
    <hyperlink r:id="rId21" ref="C34"/>
    <hyperlink r:id="rId22" ref="C35"/>
    <hyperlink r:id="rId23" ref="C37"/>
    <hyperlink r:id="rId24" ref="C38"/>
    <hyperlink r:id="rId25" ref="C39"/>
    <hyperlink r:id="rId26" ref="C42"/>
    <hyperlink r:id="rId27" ref="C44"/>
    <hyperlink r:id="rId28" ref="C45"/>
    <hyperlink r:id="rId29" ref="C46"/>
    <hyperlink r:id="rId30" ref="C49"/>
    <hyperlink r:id="rId31" ref="C50"/>
    <hyperlink r:id="rId32" ref="C52"/>
    <hyperlink r:id="rId33" ref="C55"/>
    <hyperlink r:id="rId34" ref="C56"/>
    <hyperlink r:id="rId35" ref="C57"/>
    <hyperlink r:id="rId36" ref="C60"/>
    <hyperlink r:id="rId37" ref="C61"/>
    <hyperlink r:id="rId38" ref="C63"/>
    <hyperlink r:id="rId39" ref="C65"/>
    <hyperlink r:id="rId40" ref="C66"/>
    <hyperlink r:id="rId41" ref="C67"/>
    <hyperlink r:id="rId42" ref="C68"/>
    <hyperlink r:id="rId43" ref="C69"/>
    <hyperlink r:id="rId44" ref="C71"/>
    <hyperlink r:id="rId45" ref="C72"/>
    <hyperlink r:id="rId46" ref="C73"/>
    <hyperlink r:id="rId47" ref="C74"/>
    <hyperlink r:id="rId48" ref="C75"/>
    <hyperlink r:id="rId49" ref="C76"/>
    <hyperlink r:id="rId50" ref="C77"/>
    <hyperlink r:id="rId51" ref="C79"/>
    <hyperlink r:id="rId52" ref="C80"/>
    <hyperlink r:id="rId53" ref="C81"/>
    <hyperlink r:id="rId54" ref="C82"/>
    <hyperlink r:id="rId55" ref="C84"/>
    <hyperlink r:id="rId56" ref="C85"/>
    <hyperlink r:id="rId57" ref="C88"/>
    <hyperlink r:id="rId58" ref="C90"/>
    <hyperlink r:id="rId59" ref="C91"/>
    <hyperlink r:id="rId60" ref="C92"/>
    <hyperlink r:id="rId61" ref="C95"/>
    <hyperlink r:id="rId62" ref="C96"/>
    <hyperlink r:id="rId63" ref="C97"/>
    <hyperlink r:id="rId64" ref="C99"/>
    <hyperlink r:id="rId65" ref="C100"/>
    <hyperlink r:id="rId66" ref="C102"/>
    <hyperlink r:id="rId67" ref="B104"/>
    <hyperlink r:id="rId68" ref="C104"/>
    <hyperlink r:id="rId69" ref="B105"/>
    <hyperlink r:id="rId70" ref="C105"/>
    <hyperlink r:id="rId71" ref="B106"/>
    <hyperlink r:id="rId72" ref="B107"/>
    <hyperlink r:id="rId73" ref="C107"/>
    <hyperlink r:id="rId74" ref="B108"/>
    <hyperlink r:id="rId75" ref="B109"/>
    <hyperlink r:id="rId76" ref="C109"/>
    <hyperlink r:id="rId77" ref="B110"/>
    <hyperlink r:id="rId78" ref="C110"/>
    <hyperlink r:id="rId79" ref="B111"/>
    <hyperlink r:id="rId80" ref="C111"/>
    <hyperlink r:id="rId81" ref="B112"/>
    <hyperlink r:id="rId82" ref="C112"/>
    <hyperlink r:id="rId83" ref="B113"/>
    <hyperlink r:id="rId84" ref="C113"/>
    <hyperlink r:id="rId85" ref="B114"/>
    <hyperlink r:id="rId86" ref="B115"/>
    <hyperlink r:id="rId87" ref="C115"/>
    <hyperlink r:id="rId88" ref="B116"/>
    <hyperlink r:id="rId89" ref="B117"/>
    <hyperlink r:id="rId90" ref="C117"/>
    <hyperlink r:id="rId91" ref="B118"/>
    <hyperlink r:id="rId92" ref="B119"/>
    <hyperlink r:id="rId93" ref="C119"/>
    <hyperlink r:id="rId94" ref="B120"/>
    <hyperlink r:id="rId95" ref="C120"/>
    <hyperlink r:id="rId96" ref="B121"/>
    <hyperlink r:id="rId97" ref="C121"/>
    <hyperlink r:id="rId98" ref="B122"/>
    <hyperlink r:id="rId99" ref="B123"/>
    <hyperlink r:id="rId100" ref="C123"/>
    <hyperlink r:id="rId101" ref="B124"/>
    <hyperlink r:id="rId102" ref="C124"/>
    <hyperlink r:id="rId103" ref="B125"/>
    <hyperlink r:id="rId104" ref="C125"/>
    <hyperlink r:id="rId105" ref="B126"/>
    <hyperlink r:id="rId106" ref="B127"/>
    <hyperlink r:id="rId107" ref="C127"/>
    <hyperlink r:id="rId108" ref="B128"/>
    <hyperlink r:id="rId109" ref="C128"/>
    <hyperlink r:id="rId110" ref="B129"/>
    <hyperlink r:id="rId111" ref="C129"/>
    <hyperlink r:id="rId112" ref="B130"/>
    <hyperlink r:id="rId113" ref="B131"/>
    <hyperlink r:id="rId114" ref="C131"/>
    <hyperlink r:id="rId115" ref="B132"/>
    <hyperlink r:id="rId116" ref="B133"/>
    <hyperlink r:id="rId117" ref="C133"/>
    <hyperlink r:id="rId118" ref="B134"/>
    <hyperlink r:id="rId119" ref="C134"/>
    <hyperlink r:id="rId120" ref="B135"/>
    <hyperlink r:id="rId121" ref="C135"/>
    <hyperlink r:id="rId122" ref="B136"/>
  </hyperlinks>
  <drawing r:id="rId123"/>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FC5E8"/>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2" max="2" width="10.57"/>
    <col customWidth="1" min="3" max="3" width="14.71"/>
  </cols>
  <sheetData>
    <row r="1" ht="15.0" customHeight="1" outlineLevel="1">
      <c r="A1" s="1" t="s">
        <v>0</v>
      </c>
      <c r="B1" s="2" t="s">
        <v>1</v>
      </c>
      <c r="C1" s="2" t="s">
        <v>2</v>
      </c>
      <c r="D1" s="2" t="s">
        <v>2</v>
      </c>
      <c r="E1" s="3"/>
      <c r="F1" s="30" t="s">
        <v>1577</v>
      </c>
      <c r="G1" s="30" t="s">
        <v>4</v>
      </c>
      <c r="H1" s="30" t="s">
        <v>5</v>
      </c>
      <c r="I1" s="30" t="s">
        <v>6</v>
      </c>
      <c r="J1" s="30" t="s">
        <v>7</v>
      </c>
      <c r="K1" s="1"/>
      <c r="L1" s="7" t="s">
        <v>9</v>
      </c>
      <c r="N1" s="10" t="s">
        <v>14</v>
      </c>
      <c r="P1" s="167"/>
      <c r="Q1" s="167"/>
      <c r="R1" s="30"/>
      <c r="S1" s="20"/>
      <c r="T1" s="20"/>
      <c r="U1" s="20"/>
      <c r="V1" s="20"/>
      <c r="W1" s="20"/>
      <c r="X1" s="20"/>
      <c r="Y1" s="20"/>
      <c r="Z1" s="20"/>
      <c r="AA1" s="20"/>
      <c r="AB1" s="20"/>
      <c r="AC1" s="20"/>
      <c r="AD1" s="20"/>
    </row>
    <row r="2" ht="16.5" customHeight="1" outlineLevel="1">
      <c r="A2" s="23"/>
      <c r="B2" s="23"/>
      <c r="C2" s="21" t="s">
        <v>2202</v>
      </c>
      <c r="D2" s="23"/>
      <c r="E2" s="3"/>
      <c r="F2" s="168"/>
      <c r="G2" s="168">
        <v>43482.0</v>
      </c>
      <c r="H2" s="79">
        <f>G2-TODAY()</f>
        <v>-253</v>
      </c>
      <c r="I2" s="168">
        <v>43500.0</v>
      </c>
      <c r="J2" s="168">
        <v>43616.0</v>
      </c>
      <c r="K2" s="23"/>
      <c r="L2" s="26">
        <f>CountIFS($E:$E,"=Dem",$A:$A,"=House")</f>
        <v>27</v>
      </c>
      <c r="M2" s="28">
        <f>CountIFS($E:$E,"=Rep",$A:$A,"=House")</f>
        <v>74</v>
      </c>
      <c r="N2" s="26">
        <f>CountIFS($E:$E,"=Dem",$A:$A,"=Senate")</f>
        <v>13</v>
      </c>
      <c r="O2" s="28">
        <f>CountIFS($E:$E,"=Rep",$A:$A,"=Senate")</f>
        <v>35</v>
      </c>
      <c r="P2" s="167"/>
      <c r="Q2" s="167"/>
      <c r="R2" s="30"/>
      <c r="S2" s="20"/>
      <c r="T2" s="20"/>
      <c r="U2" s="20"/>
      <c r="V2" s="20"/>
      <c r="W2" s="20"/>
      <c r="X2" s="20"/>
      <c r="Y2" s="20"/>
      <c r="Z2" s="20"/>
      <c r="AA2" s="20"/>
      <c r="AB2" s="20"/>
      <c r="AC2" s="20"/>
      <c r="AD2" s="20"/>
    </row>
    <row r="3">
      <c r="A3" s="30" t="s">
        <v>29</v>
      </c>
      <c r="B3" s="30" t="s">
        <v>30</v>
      </c>
      <c r="C3" s="2" t="s">
        <v>31</v>
      </c>
      <c r="D3" s="2" t="s">
        <v>32</v>
      </c>
      <c r="E3" s="3" t="s">
        <v>33</v>
      </c>
      <c r="F3" s="1" t="s">
        <v>10</v>
      </c>
      <c r="G3" s="1" t="s">
        <v>34</v>
      </c>
      <c r="H3" s="1" t="s">
        <v>34</v>
      </c>
      <c r="I3" s="1" t="s">
        <v>34</v>
      </c>
      <c r="J3" s="1" t="s">
        <v>34</v>
      </c>
      <c r="K3" s="1" t="s">
        <v>35</v>
      </c>
      <c r="L3" s="19" t="s">
        <v>36</v>
      </c>
      <c r="M3" s="19" t="s">
        <v>37</v>
      </c>
      <c r="N3" s="19" t="s">
        <v>38</v>
      </c>
      <c r="O3" s="17" t="s">
        <v>39</v>
      </c>
      <c r="P3" s="11" t="s">
        <v>40</v>
      </c>
      <c r="Q3" s="11" t="s">
        <v>41</v>
      </c>
      <c r="R3" s="17" t="s">
        <v>42</v>
      </c>
      <c r="S3" s="20"/>
      <c r="T3" s="20"/>
      <c r="U3" s="20"/>
      <c r="V3" s="20"/>
      <c r="W3" s="20"/>
      <c r="X3" s="20"/>
      <c r="Y3" s="20"/>
      <c r="Z3" s="20"/>
      <c r="AA3" s="20"/>
      <c r="AB3" s="20"/>
      <c r="AC3" s="20"/>
      <c r="AD3" s="20"/>
    </row>
    <row r="4">
      <c r="A4" s="14" t="s">
        <v>44</v>
      </c>
      <c r="B4" s="31">
        <v>1.0</v>
      </c>
      <c r="C4" s="35" t="s">
        <v>1421</v>
      </c>
      <c r="D4" s="35" t="s">
        <v>10688</v>
      </c>
      <c r="E4" s="36" t="s">
        <v>49</v>
      </c>
      <c r="F4" s="15"/>
      <c r="M4" t="str">
        <f t="shared" ref="M4:M104" si="1">Concatenate(lower(C4),".",lower(D4),"@okhouse.gov")</f>
        <v>johnny.tadlock@okhouse.gov</v>
      </c>
    </row>
    <row r="5">
      <c r="A5" s="14" t="s">
        <v>44</v>
      </c>
      <c r="B5" s="31">
        <v>2.0</v>
      </c>
      <c r="C5" s="35" t="s">
        <v>476</v>
      </c>
      <c r="D5" s="35" t="s">
        <v>4352</v>
      </c>
      <c r="E5" s="51" t="s">
        <v>53</v>
      </c>
      <c r="F5" s="12" t="s">
        <v>1693</v>
      </c>
      <c r="M5" t="str">
        <f t="shared" si="1"/>
        <v>jim.olsen@okhouse.gov</v>
      </c>
    </row>
    <row r="6">
      <c r="A6" s="14" t="s">
        <v>44</v>
      </c>
      <c r="B6" s="31">
        <v>3.0</v>
      </c>
      <c r="C6" s="74" t="s">
        <v>10691</v>
      </c>
      <c r="D6" s="74" t="s">
        <v>10692</v>
      </c>
      <c r="E6" s="51" t="s">
        <v>53</v>
      </c>
      <c r="F6" s="15"/>
      <c r="M6" t="str">
        <f t="shared" si="1"/>
        <v>lundy.kiger@okhouse.gov</v>
      </c>
    </row>
    <row r="7">
      <c r="A7" s="14" t="s">
        <v>44</v>
      </c>
      <c r="B7" s="31">
        <v>4.0</v>
      </c>
      <c r="C7" s="74" t="s">
        <v>163</v>
      </c>
      <c r="D7" s="74" t="s">
        <v>5154</v>
      </c>
      <c r="E7" s="36" t="s">
        <v>49</v>
      </c>
      <c r="F7" s="15"/>
      <c r="M7" t="str">
        <f t="shared" si="1"/>
        <v>matt.meredith@okhouse.gov</v>
      </c>
    </row>
    <row r="8">
      <c r="A8" s="14" t="s">
        <v>44</v>
      </c>
      <c r="B8" s="31">
        <v>5.0</v>
      </c>
      <c r="C8" s="74" t="s">
        <v>180</v>
      </c>
      <c r="D8" s="74" t="s">
        <v>4286</v>
      </c>
      <c r="E8" s="51" t="s">
        <v>53</v>
      </c>
      <c r="F8" s="12" t="s">
        <v>6450</v>
      </c>
      <c r="M8" t="str">
        <f t="shared" si="1"/>
        <v>josh.west@okhouse.gov</v>
      </c>
    </row>
    <row r="9">
      <c r="A9" s="14" t="s">
        <v>44</v>
      </c>
      <c r="B9" s="31">
        <v>6.0</v>
      </c>
      <c r="C9" s="35" t="s">
        <v>7567</v>
      </c>
      <c r="D9" s="35" t="s">
        <v>10693</v>
      </c>
      <c r="E9" s="36" t="s">
        <v>49</v>
      </c>
      <c r="F9" s="15"/>
      <c r="M9" t="str">
        <f t="shared" si="1"/>
        <v>rusty.cornwell@okhouse.gov</v>
      </c>
    </row>
    <row r="10">
      <c r="A10" s="14" t="s">
        <v>44</v>
      </c>
      <c r="B10" s="31">
        <v>7.0</v>
      </c>
      <c r="C10" s="35" t="s">
        <v>195</v>
      </c>
      <c r="D10" s="35" t="s">
        <v>10694</v>
      </c>
      <c r="E10" s="36" t="s">
        <v>49</v>
      </c>
      <c r="F10" s="15"/>
      <c r="M10" t="str">
        <f t="shared" si="1"/>
        <v>ben.loring@okhouse.gov</v>
      </c>
    </row>
    <row r="11">
      <c r="A11" s="14" t="s">
        <v>44</v>
      </c>
      <c r="B11" s="31">
        <v>8.0</v>
      </c>
      <c r="C11" s="74" t="s">
        <v>338</v>
      </c>
      <c r="D11" s="74" t="s">
        <v>10695</v>
      </c>
      <c r="E11" s="51" t="s">
        <v>53</v>
      </c>
      <c r="F11" s="15"/>
      <c r="M11" t="str">
        <f t="shared" si="1"/>
        <v>tom.gann@okhouse.gov</v>
      </c>
    </row>
    <row r="12">
      <c r="A12" s="14" t="s">
        <v>44</v>
      </c>
      <c r="B12" s="31">
        <v>9.0</v>
      </c>
      <c r="C12" s="74" t="s">
        <v>91</v>
      </c>
      <c r="D12" s="74" t="s">
        <v>10696</v>
      </c>
      <c r="E12" s="51" t="s">
        <v>53</v>
      </c>
      <c r="F12" s="15"/>
      <c r="M12" t="str">
        <f t="shared" si="1"/>
        <v>mark.lepak@okhouse.gov</v>
      </c>
    </row>
    <row r="13">
      <c r="A13" s="14" t="s">
        <v>44</v>
      </c>
      <c r="B13" s="31">
        <v>10.0</v>
      </c>
      <c r="C13" s="74" t="s">
        <v>10697</v>
      </c>
      <c r="D13" s="74" t="s">
        <v>6729</v>
      </c>
      <c r="E13" s="51" t="s">
        <v>53</v>
      </c>
      <c r="F13" s="15"/>
      <c r="M13" t="str">
        <f t="shared" si="1"/>
        <v>judd.strom@okhouse.gov</v>
      </c>
    </row>
    <row r="14">
      <c r="A14" s="14" t="s">
        <v>44</v>
      </c>
      <c r="B14" s="31">
        <v>11.0</v>
      </c>
      <c r="C14" s="74" t="s">
        <v>10699</v>
      </c>
      <c r="D14" s="74" t="s">
        <v>420</v>
      </c>
      <c r="E14" s="51" t="s">
        <v>53</v>
      </c>
      <c r="F14" s="15"/>
      <c r="M14" t="str">
        <f t="shared" si="1"/>
        <v>derrel.fincher@okhouse.gov</v>
      </c>
    </row>
    <row r="15">
      <c r="A15" s="14" t="s">
        <v>44</v>
      </c>
      <c r="B15" s="31">
        <v>12.0</v>
      </c>
      <c r="C15" s="74" t="s">
        <v>971</v>
      </c>
      <c r="D15" s="74" t="s">
        <v>10700</v>
      </c>
      <c r="E15" s="51" t="s">
        <v>53</v>
      </c>
      <c r="F15" s="15"/>
      <c r="M15" t="str">
        <f t="shared" si="1"/>
        <v>kevin.mcdugle@okhouse.gov</v>
      </c>
    </row>
    <row r="16">
      <c r="A16" s="14" t="s">
        <v>44</v>
      </c>
      <c r="B16" s="31">
        <v>13.0</v>
      </c>
      <c r="C16" s="74" t="s">
        <v>4422</v>
      </c>
      <c r="D16" s="74" t="s">
        <v>10701</v>
      </c>
      <c r="E16" s="51" t="s">
        <v>53</v>
      </c>
      <c r="F16" s="15"/>
      <c r="M16" t="str">
        <f t="shared" si="1"/>
        <v>avery.frix@okhouse.gov</v>
      </c>
    </row>
    <row r="17">
      <c r="A17" s="14" t="s">
        <v>44</v>
      </c>
      <c r="B17" s="31">
        <v>14.0</v>
      </c>
      <c r="C17" s="35" t="s">
        <v>173</v>
      </c>
      <c r="D17" s="35" t="s">
        <v>10702</v>
      </c>
      <c r="E17" s="51" t="s">
        <v>53</v>
      </c>
      <c r="F17" s="15"/>
      <c r="M17" t="str">
        <f t="shared" si="1"/>
        <v>chris.sneed@okhouse.gov</v>
      </c>
    </row>
    <row r="18">
      <c r="A18" s="14" t="s">
        <v>44</v>
      </c>
      <c r="B18" s="31">
        <v>15.0</v>
      </c>
      <c r="C18" s="74" t="s">
        <v>412</v>
      </c>
      <c r="D18" s="74" t="s">
        <v>10703</v>
      </c>
      <c r="E18" s="51" t="s">
        <v>53</v>
      </c>
      <c r="F18" s="15"/>
      <c r="M18" t="str">
        <f t="shared" si="1"/>
        <v>randy.randleman@okhouse.gov</v>
      </c>
    </row>
    <row r="19">
      <c r="A19" s="14" t="s">
        <v>44</v>
      </c>
      <c r="B19" s="31">
        <v>16.0</v>
      </c>
      <c r="C19" s="74" t="s">
        <v>45</v>
      </c>
      <c r="D19" s="74" t="s">
        <v>10704</v>
      </c>
      <c r="E19" s="51" t="s">
        <v>53</v>
      </c>
      <c r="F19" s="15"/>
      <c r="M19" t="str">
        <f t="shared" si="1"/>
        <v>scott.fetgatter@okhouse.gov</v>
      </c>
    </row>
    <row r="20">
      <c r="A20" s="14" t="s">
        <v>44</v>
      </c>
      <c r="B20" s="31">
        <v>17.0</v>
      </c>
      <c r="C20" s="74" t="s">
        <v>476</v>
      </c>
      <c r="D20" s="74" t="s">
        <v>10705</v>
      </c>
      <c r="E20" s="36" t="s">
        <v>49</v>
      </c>
      <c r="F20" s="15"/>
      <c r="M20" t="str">
        <f t="shared" si="1"/>
        <v>jim.grego@okhouse.gov</v>
      </c>
    </row>
    <row r="21">
      <c r="A21" s="14" t="s">
        <v>44</v>
      </c>
      <c r="B21" s="31">
        <v>18.0</v>
      </c>
      <c r="C21" s="74" t="s">
        <v>108</v>
      </c>
      <c r="D21" s="74" t="s">
        <v>1451</v>
      </c>
      <c r="E21" s="36" t="s">
        <v>49</v>
      </c>
      <c r="F21" s="15"/>
      <c r="M21" t="str">
        <f t="shared" si="1"/>
        <v>david.smith@okhouse.gov</v>
      </c>
    </row>
    <row r="22">
      <c r="A22" s="14" t="s">
        <v>44</v>
      </c>
      <c r="B22" s="31">
        <v>19.0</v>
      </c>
      <c r="C22" s="35" t="s">
        <v>786</v>
      </c>
      <c r="D22" s="35" t="s">
        <v>2018</v>
      </c>
      <c r="E22" s="51" t="s">
        <v>53</v>
      </c>
      <c r="F22" s="15"/>
      <c r="M22" t="str">
        <f t="shared" si="1"/>
        <v>justin.humphrey@okhouse.gov</v>
      </c>
    </row>
    <row r="23">
      <c r="A23" s="14" t="s">
        <v>44</v>
      </c>
      <c r="B23" s="31">
        <v>20.0</v>
      </c>
      <c r="C23" s="74" t="s">
        <v>10707</v>
      </c>
      <c r="D23" s="74" t="s">
        <v>2556</v>
      </c>
      <c r="E23" s="51" t="s">
        <v>53</v>
      </c>
      <c r="F23" s="12" t="s">
        <v>1693</v>
      </c>
      <c r="M23" t="str">
        <f t="shared" si="1"/>
        <v>sherrie.conley@okhouse.gov</v>
      </c>
    </row>
    <row r="24">
      <c r="A24" s="14" t="s">
        <v>44</v>
      </c>
      <c r="B24" s="31">
        <v>21.0</v>
      </c>
      <c r="C24" s="74" t="s">
        <v>5389</v>
      </c>
      <c r="D24" s="74" t="s">
        <v>788</v>
      </c>
      <c r="E24" s="51" t="s">
        <v>53</v>
      </c>
      <c r="F24" s="12" t="s">
        <v>10708</v>
      </c>
      <c r="M24" t="str">
        <f t="shared" si="1"/>
        <v>dustin.roberts@okhouse.gov</v>
      </c>
    </row>
    <row r="25">
      <c r="A25" s="14" t="s">
        <v>44</v>
      </c>
      <c r="B25" s="31">
        <v>22.0</v>
      </c>
      <c r="C25" s="74" t="s">
        <v>1287</v>
      </c>
      <c r="D25" s="74" t="s">
        <v>3274</v>
      </c>
      <c r="E25" s="51" t="s">
        <v>53</v>
      </c>
      <c r="F25" s="12" t="s">
        <v>254</v>
      </c>
      <c r="M25" t="str">
        <f t="shared" si="1"/>
        <v>charles.mccall@okhouse.gov</v>
      </c>
    </row>
    <row r="26">
      <c r="A26" s="14" t="s">
        <v>44</v>
      </c>
      <c r="B26" s="31">
        <v>23.0</v>
      </c>
      <c r="C26" s="74" t="s">
        <v>1990</v>
      </c>
      <c r="D26" s="74" t="s">
        <v>1919</v>
      </c>
      <c r="E26" s="51" t="s">
        <v>53</v>
      </c>
      <c r="F26" s="12" t="s">
        <v>1188</v>
      </c>
      <c r="M26" t="str">
        <f t="shared" si="1"/>
        <v>terry.o'donnell@okhouse.gov</v>
      </c>
    </row>
    <row r="27">
      <c r="A27" s="14" t="s">
        <v>44</v>
      </c>
      <c r="B27" s="31">
        <v>24.0</v>
      </c>
      <c r="C27" s="74" t="s">
        <v>2887</v>
      </c>
      <c r="D27" s="74" t="s">
        <v>5085</v>
      </c>
      <c r="E27" s="51" t="s">
        <v>53</v>
      </c>
      <c r="F27" s="15"/>
      <c r="M27" t="str">
        <f t="shared" si="1"/>
        <v>logan.phillips@okhouse.gov</v>
      </c>
    </row>
    <row r="28">
      <c r="A28" s="14" t="s">
        <v>44</v>
      </c>
      <c r="B28" s="31">
        <v>25.0</v>
      </c>
      <c r="C28" s="35" t="s">
        <v>10709</v>
      </c>
      <c r="D28" s="35" t="s">
        <v>6734</v>
      </c>
      <c r="E28" s="51" t="s">
        <v>53</v>
      </c>
      <c r="F28" s="15"/>
      <c r="M28" t="str">
        <f t="shared" si="1"/>
        <v>ronny.johns@okhouse.gov</v>
      </c>
    </row>
    <row r="29">
      <c r="A29" s="14" t="s">
        <v>44</v>
      </c>
      <c r="B29" s="31">
        <v>26.0</v>
      </c>
      <c r="C29" s="74" t="s">
        <v>10710</v>
      </c>
      <c r="D29" s="74" t="s">
        <v>10711</v>
      </c>
      <c r="E29" s="51" t="s">
        <v>53</v>
      </c>
      <c r="F29" s="15"/>
      <c r="M29" t="str">
        <f t="shared" si="1"/>
        <v>dell.kerbs@okhouse.gov</v>
      </c>
    </row>
    <row r="30">
      <c r="A30" s="14" t="s">
        <v>44</v>
      </c>
      <c r="B30" s="31">
        <v>27.0</v>
      </c>
      <c r="C30" s="74" t="s">
        <v>100</v>
      </c>
      <c r="D30" s="74" t="s">
        <v>2173</v>
      </c>
      <c r="E30" s="51" t="s">
        <v>53</v>
      </c>
      <c r="F30" s="15"/>
      <c r="M30" t="str">
        <f t="shared" si="1"/>
        <v>danny.sterling@okhouse.gov</v>
      </c>
    </row>
    <row r="31">
      <c r="A31" s="14" t="s">
        <v>44</v>
      </c>
      <c r="B31" s="31">
        <v>28.0</v>
      </c>
      <c r="C31" s="74" t="s">
        <v>161</v>
      </c>
      <c r="D31" s="74" t="s">
        <v>4255</v>
      </c>
      <c r="E31" s="51" t="s">
        <v>53</v>
      </c>
      <c r="F31" s="15"/>
      <c r="M31" t="str">
        <f t="shared" si="1"/>
        <v>zack.taylor@okhouse.gov</v>
      </c>
    </row>
    <row r="32">
      <c r="A32" s="14" t="s">
        <v>44</v>
      </c>
      <c r="B32" s="31">
        <v>29.0</v>
      </c>
      <c r="C32" s="74" t="s">
        <v>257</v>
      </c>
      <c r="D32" s="74" t="s">
        <v>10713</v>
      </c>
      <c r="E32" s="51" t="s">
        <v>53</v>
      </c>
      <c r="F32" s="15"/>
      <c r="M32" t="str">
        <f t="shared" si="1"/>
        <v>kyle.hilbert@okhouse.gov</v>
      </c>
    </row>
    <row r="33">
      <c r="A33" s="14" t="s">
        <v>44</v>
      </c>
      <c r="B33" s="31">
        <v>30.0</v>
      </c>
      <c r="C33" s="74" t="s">
        <v>91</v>
      </c>
      <c r="D33" s="74" t="s">
        <v>2924</v>
      </c>
      <c r="E33" s="51" t="s">
        <v>53</v>
      </c>
      <c r="F33" s="15"/>
      <c r="M33" t="str">
        <f t="shared" si="1"/>
        <v>mark.lawson@okhouse.gov</v>
      </c>
    </row>
    <row r="34">
      <c r="A34" s="14" t="s">
        <v>44</v>
      </c>
      <c r="B34" s="31">
        <v>31.0</v>
      </c>
      <c r="C34" s="35" t="s">
        <v>6928</v>
      </c>
      <c r="D34" s="35" t="s">
        <v>10714</v>
      </c>
      <c r="E34" s="51" t="s">
        <v>53</v>
      </c>
      <c r="F34" s="12" t="s">
        <v>10715</v>
      </c>
      <c r="M34" t="str">
        <f t="shared" si="1"/>
        <v>garry.mize@okhouse.gov</v>
      </c>
    </row>
    <row r="35">
      <c r="A35" s="14" t="s">
        <v>44</v>
      </c>
      <c r="B35" s="31">
        <v>32.0</v>
      </c>
      <c r="C35" s="74" t="s">
        <v>971</v>
      </c>
      <c r="D35" s="74" t="s">
        <v>2214</v>
      </c>
      <c r="E35" s="51" t="s">
        <v>53</v>
      </c>
      <c r="F35" s="15"/>
      <c r="M35" t="str">
        <f t="shared" si="1"/>
        <v>kevin.wallace@okhouse.gov</v>
      </c>
    </row>
    <row r="36">
      <c r="A36" s="14" t="s">
        <v>44</v>
      </c>
      <c r="B36" s="31">
        <v>33.0</v>
      </c>
      <c r="C36" s="74" t="s">
        <v>278</v>
      </c>
      <c r="D36" s="74" t="s">
        <v>10716</v>
      </c>
      <c r="E36" s="51" t="s">
        <v>53</v>
      </c>
      <c r="F36" s="15"/>
      <c r="M36" t="str">
        <f t="shared" si="1"/>
        <v>john.talley@okhouse.gov</v>
      </c>
    </row>
    <row r="37">
      <c r="A37" s="14" t="s">
        <v>44</v>
      </c>
      <c r="B37" s="31">
        <v>34.0</v>
      </c>
      <c r="C37" s="35" t="s">
        <v>10717</v>
      </c>
      <c r="D37" s="35" t="s">
        <v>10718</v>
      </c>
      <c r="E37" s="36" t="s">
        <v>49</v>
      </c>
      <c r="F37" s="15"/>
      <c r="M37" t="str">
        <f t="shared" si="1"/>
        <v>trish.ranson@okhouse.gov</v>
      </c>
    </row>
    <row r="38">
      <c r="A38" s="14" t="s">
        <v>44</v>
      </c>
      <c r="B38" s="31">
        <v>35.0</v>
      </c>
      <c r="C38" s="74" t="s">
        <v>3433</v>
      </c>
      <c r="D38" s="74" t="s">
        <v>4107</v>
      </c>
      <c r="E38" s="51" t="s">
        <v>53</v>
      </c>
      <c r="F38" s="15"/>
      <c r="M38" t="str">
        <f t="shared" si="1"/>
        <v>ty.burns@okhouse.gov</v>
      </c>
    </row>
    <row r="39">
      <c r="A39" s="14" t="s">
        <v>44</v>
      </c>
      <c r="B39" s="31">
        <v>36.0</v>
      </c>
      <c r="C39" s="74" t="s">
        <v>1276</v>
      </c>
      <c r="D39" s="74" t="s">
        <v>788</v>
      </c>
      <c r="E39" s="51" t="s">
        <v>53</v>
      </c>
      <c r="F39" s="15"/>
      <c r="M39" t="str">
        <f t="shared" si="1"/>
        <v>sean.roberts@okhouse.gov</v>
      </c>
    </row>
    <row r="40">
      <c r="A40" s="14" t="s">
        <v>44</v>
      </c>
      <c r="B40" s="31">
        <v>37.0</v>
      </c>
      <c r="C40" s="74" t="s">
        <v>1049</v>
      </c>
      <c r="D40" s="74" t="s">
        <v>10719</v>
      </c>
      <c r="E40" s="51" t="s">
        <v>53</v>
      </c>
      <c r="F40" s="15"/>
      <c r="M40" t="str">
        <f t="shared" si="1"/>
        <v>ken.luttrell@okhouse.gov</v>
      </c>
    </row>
    <row r="41">
      <c r="A41" s="14" t="s">
        <v>44</v>
      </c>
      <c r="B41" s="31">
        <v>38.0</v>
      </c>
      <c r="C41" s="74" t="s">
        <v>278</v>
      </c>
      <c r="D41" s="74" t="s">
        <v>10720</v>
      </c>
      <c r="E41" s="51" t="s">
        <v>53</v>
      </c>
      <c r="F41" s="12" t="s">
        <v>10708</v>
      </c>
      <c r="M41" t="str">
        <f t="shared" si="1"/>
        <v>john.pfeiffer@okhouse.gov</v>
      </c>
    </row>
    <row r="42">
      <c r="A42" s="14" t="s">
        <v>44</v>
      </c>
      <c r="B42" s="31">
        <v>39.0</v>
      </c>
      <c r="C42" s="74" t="s">
        <v>2780</v>
      </c>
      <c r="D42" s="74" t="s">
        <v>4546</v>
      </c>
      <c r="E42" s="51" t="s">
        <v>53</v>
      </c>
      <c r="F42" s="12" t="s">
        <v>1693</v>
      </c>
      <c r="M42" t="str">
        <f t="shared" si="1"/>
        <v>ryan.martinez@okhouse.gov</v>
      </c>
    </row>
    <row r="43">
      <c r="A43" s="14" t="s">
        <v>44</v>
      </c>
      <c r="B43" s="31">
        <v>40.0</v>
      </c>
      <c r="C43" s="74" t="s">
        <v>1626</v>
      </c>
      <c r="D43" s="74" t="s">
        <v>2230</v>
      </c>
      <c r="E43" s="51" t="s">
        <v>53</v>
      </c>
      <c r="F43" s="15"/>
      <c r="M43" t="str">
        <f t="shared" si="1"/>
        <v>chad.caldwell@okhouse.gov</v>
      </c>
    </row>
    <row r="44">
      <c r="A44" s="14" t="s">
        <v>44</v>
      </c>
      <c r="B44" s="31">
        <v>41.0</v>
      </c>
      <c r="C44" s="74" t="s">
        <v>932</v>
      </c>
      <c r="D44" s="74" t="s">
        <v>10721</v>
      </c>
      <c r="E44" s="51" t="s">
        <v>53</v>
      </c>
      <c r="F44" s="15"/>
      <c r="M44" t="str">
        <f t="shared" si="1"/>
        <v>denise.hader@okhouse.gov</v>
      </c>
    </row>
    <row r="45">
      <c r="A45" s="14" t="s">
        <v>44</v>
      </c>
      <c r="B45" s="31">
        <v>42.0</v>
      </c>
      <c r="C45" s="74" t="s">
        <v>3490</v>
      </c>
      <c r="D45" s="74" t="s">
        <v>10722</v>
      </c>
      <c r="E45" s="51" t="s">
        <v>53</v>
      </c>
      <c r="F45" s="15"/>
      <c r="M45" t="str">
        <f t="shared" si="1"/>
        <v>cynthia.roe@okhouse.gov</v>
      </c>
    </row>
    <row r="46">
      <c r="A46" s="14" t="s">
        <v>44</v>
      </c>
      <c r="B46" s="31">
        <v>43.0</v>
      </c>
      <c r="C46" s="74" t="s">
        <v>1013</v>
      </c>
      <c r="D46" s="74" t="s">
        <v>10723</v>
      </c>
      <c r="E46" s="51" t="s">
        <v>53</v>
      </c>
      <c r="F46" s="12" t="s">
        <v>10715</v>
      </c>
      <c r="M46" t="str">
        <f t="shared" si="1"/>
        <v>jay.steagall@okhouse.gov</v>
      </c>
    </row>
    <row r="47">
      <c r="A47" s="14" t="s">
        <v>44</v>
      </c>
      <c r="B47" s="31">
        <v>44.0</v>
      </c>
      <c r="C47" s="35" t="s">
        <v>1674</v>
      </c>
      <c r="D47" s="35" t="s">
        <v>10725</v>
      </c>
      <c r="E47" s="36" t="s">
        <v>49</v>
      </c>
      <c r="F47" s="12" t="s">
        <v>498</v>
      </c>
      <c r="M47" t="str">
        <f t="shared" si="1"/>
        <v>emily.virgin@okhouse.gov</v>
      </c>
    </row>
    <row r="48">
      <c r="A48" s="14" t="s">
        <v>44</v>
      </c>
      <c r="B48" s="31">
        <v>45.0</v>
      </c>
      <c r="C48" s="74" t="s">
        <v>10726</v>
      </c>
      <c r="D48" s="74" t="s">
        <v>3007</v>
      </c>
      <c r="E48" s="36" t="s">
        <v>49</v>
      </c>
      <c r="F48" s="15"/>
      <c r="M48" t="str">
        <f t="shared" si="1"/>
        <v>merleyn.bell@okhouse.gov</v>
      </c>
    </row>
    <row r="49">
      <c r="A49" s="14" t="s">
        <v>44</v>
      </c>
      <c r="B49" s="31">
        <v>46.0</v>
      </c>
      <c r="C49" s="74" t="s">
        <v>4829</v>
      </c>
      <c r="D49" s="74" t="s">
        <v>10727</v>
      </c>
      <c r="E49" s="36" t="s">
        <v>49</v>
      </c>
      <c r="F49" s="15"/>
      <c r="M49" t="str">
        <f t="shared" si="1"/>
        <v>jacob.rosecrants@okhouse.gov</v>
      </c>
    </row>
    <row r="50">
      <c r="A50" s="14" t="s">
        <v>44</v>
      </c>
      <c r="B50" s="31">
        <v>47.0</v>
      </c>
      <c r="C50" s="35" t="s">
        <v>1331</v>
      </c>
      <c r="D50" s="35" t="s">
        <v>485</v>
      </c>
      <c r="E50" s="51" t="s">
        <v>53</v>
      </c>
      <c r="F50" s="15"/>
      <c r="M50" t="str">
        <f t="shared" si="1"/>
        <v>brian.hill@okhouse.gov</v>
      </c>
    </row>
    <row r="51">
      <c r="A51" s="14" t="s">
        <v>44</v>
      </c>
      <c r="B51" s="31">
        <v>48.0</v>
      </c>
      <c r="C51" s="74" t="s">
        <v>2373</v>
      </c>
      <c r="D51" s="74" t="s">
        <v>10728</v>
      </c>
      <c r="E51" s="51" t="s">
        <v>53</v>
      </c>
      <c r="F51" s="12" t="s">
        <v>1693</v>
      </c>
      <c r="M51" t="str">
        <f t="shared" si="1"/>
        <v>tammy.townley@okhouse.gov</v>
      </c>
    </row>
    <row r="52">
      <c r="A52" s="14" t="s">
        <v>44</v>
      </c>
      <c r="B52" s="31">
        <v>49.0</v>
      </c>
      <c r="C52" s="74" t="s">
        <v>317</v>
      </c>
      <c r="D52" s="74" t="s">
        <v>10729</v>
      </c>
      <c r="E52" s="51" t="s">
        <v>53</v>
      </c>
      <c r="F52" s="15"/>
      <c r="M52" t="str">
        <f t="shared" si="1"/>
        <v>tommy.hardin@okhouse.gov</v>
      </c>
    </row>
    <row r="53">
      <c r="A53" s="14" t="s">
        <v>44</v>
      </c>
      <c r="B53" s="31">
        <v>50.0</v>
      </c>
      <c r="C53" s="74" t="s">
        <v>1161</v>
      </c>
      <c r="D53" s="74" t="s">
        <v>10730</v>
      </c>
      <c r="E53" s="51" t="s">
        <v>53</v>
      </c>
      <c r="F53" s="15"/>
      <c r="M53" t="str">
        <f t="shared" si="1"/>
        <v>marcus.mcentire@okhouse.gov</v>
      </c>
    </row>
    <row r="54">
      <c r="A54" s="14" t="s">
        <v>44</v>
      </c>
      <c r="B54" s="31">
        <v>51.0</v>
      </c>
      <c r="C54" s="74" t="s">
        <v>2323</v>
      </c>
      <c r="D54" s="74" t="s">
        <v>9812</v>
      </c>
      <c r="E54" s="51" t="s">
        <v>53</v>
      </c>
      <c r="F54" s="15"/>
      <c r="M54" t="str">
        <f t="shared" si="1"/>
        <v>brad.boles@okhouse.gov</v>
      </c>
    </row>
    <row r="55">
      <c r="A55" s="14" t="s">
        <v>44</v>
      </c>
      <c r="B55" s="31">
        <v>52.0</v>
      </c>
      <c r="C55" s="74" t="s">
        <v>1287</v>
      </c>
      <c r="D55" s="74" t="s">
        <v>10732</v>
      </c>
      <c r="E55" s="51" t="s">
        <v>53</v>
      </c>
      <c r="F55" s="15"/>
      <c r="M55" t="str">
        <f t="shared" si="1"/>
        <v>charles.ortega@okhouse.gov</v>
      </c>
    </row>
    <row r="56">
      <c r="A56" s="14" t="s">
        <v>44</v>
      </c>
      <c r="B56" s="31">
        <v>53.0</v>
      </c>
      <c r="C56" s="74" t="s">
        <v>91</v>
      </c>
      <c r="D56" s="74" t="s">
        <v>2906</v>
      </c>
      <c r="E56" s="51" t="s">
        <v>53</v>
      </c>
      <c r="F56" s="12" t="s">
        <v>10715</v>
      </c>
      <c r="M56" t="str">
        <f t="shared" si="1"/>
        <v>mark.mcbride@okhouse.gov</v>
      </c>
    </row>
    <row r="57">
      <c r="A57" s="14" t="s">
        <v>44</v>
      </c>
      <c r="B57" s="31">
        <v>54.0</v>
      </c>
      <c r="C57" s="74" t="s">
        <v>971</v>
      </c>
      <c r="D57" s="74" t="s">
        <v>4286</v>
      </c>
      <c r="E57" s="51" t="s">
        <v>53</v>
      </c>
      <c r="F57" s="15"/>
      <c r="M57" t="str">
        <f t="shared" si="1"/>
        <v>kevin.west@okhouse.gov</v>
      </c>
    </row>
    <row r="58">
      <c r="A58" s="14" t="s">
        <v>44</v>
      </c>
      <c r="B58" s="31">
        <v>55.0</v>
      </c>
      <c r="C58" s="74" t="s">
        <v>1974</v>
      </c>
      <c r="D58" s="74" t="s">
        <v>4411</v>
      </c>
      <c r="E58" s="51" t="s">
        <v>53</v>
      </c>
      <c r="F58" s="15"/>
      <c r="M58" t="str">
        <f t="shared" si="1"/>
        <v>todd.russ@okhouse.gov</v>
      </c>
    </row>
    <row r="59">
      <c r="A59" s="14" t="s">
        <v>44</v>
      </c>
      <c r="B59" s="31">
        <v>56.0</v>
      </c>
      <c r="C59" s="74" t="s">
        <v>108</v>
      </c>
      <c r="D59" s="74" t="s">
        <v>10733</v>
      </c>
      <c r="E59" s="36" t="s">
        <v>49</v>
      </c>
      <c r="F59" s="15"/>
      <c r="M59" t="str">
        <f t="shared" si="1"/>
        <v>david.perryman@okhouse.gov</v>
      </c>
    </row>
    <row r="60">
      <c r="A60" s="14" t="s">
        <v>44</v>
      </c>
      <c r="B60" s="31">
        <v>57.0</v>
      </c>
      <c r="C60" s="74" t="s">
        <v>4516</v>
      </c>
      <c r="D60" s="74" t="s">
        <v>3221</v>
      </c>
      <c r="E60" s="51" t="s">
        <v>53</v>
      </c>
      <c r="F60" s="12" t="s">
        <v>751</v>
      </c>
      <c r="M60" t="str">
        <f t="shared" si="1"/>
        <v>harold.wright@okhouse.gov</v>
      </c>
    </row>
    <row r="61">
      <c r="A61" s="14" t="s">
        <v>44</v>
      </c>
      <c r="B61" s="31">
        <v>58.0</v>
      </c>
      <c r="C61" s="74" t="s">
        <v>4087</v>
      </c>
      <c r="D61" s="74" t="s">
        <v>3038</v>
      </c>
      <c r="E61" s="51" t="s">
        <v>53</v>
      </c>
      <c r="F61" s="15"/>
      <c r="M61" t="str">
        <f t="shared" si="1"/>
        <v>carl.newton@okhouse.gov</v>
      </c>
    </row>
    <row r="62">
      <c r="A62" s="14" t="s">
        <v>44</v>
      </c>
      <c r="B62" s="31">
        <v>59.0</v>
      </c>
      <c r="C62" s="74" t="s">
        <v>157</v>
      </c>
      <c r="D62" s="74" t="s">
        <v>10280</v>
      </c>
      <c r="E62" s="51" t="s">
        <v>53</v>
      </c>
      <c r="F62" s="12" t="s">
        <v>6450</v>
      </c>
      <c r="M62" t="str">
        <f t="shared" si="1"/>
        <v>mike.sanders@okhouse.gov</v>
      </c>
    </row>
    <row r="63">
      <c r="A63" s="14" t="s">
        <v>44</v>
      </c>
      <c r="B63" s="31">
        <v>60.0</v>
      </c>
      <c r="C63" s="74" t="s">
        <v>2444</v>
      </c>
      <c r="D63" s="74" t="s">
        <v>553</v>
      </c>
      <c r="E63" s="51" t="s">
        <v>53</v>
      </c>
      <c r="F63" s="15"/>
      <c r="M63" t="str">
        <f t="shared" si="1"/>
        <v>rhonda.baker@okhouse.gov</v>
      </c>
    </row>
    <row r="64">
      <c r="A64" s="14" t="s">
        <v>44</v>
      </c>
      <c r="B64" s="31">
        <v>61.0</v>
      </c>
      <c r="C64" s="74" t="s">
        <v>10735</v>
      </c>
      <c r="D64" s="74" t="s">
        <v>10736</v>
      </c>
      <c r="E64" s="51" t="s">
        <v>53</v>
      </c>
      <c r="F64" s="15"/>
      <c r="M64" t="str">
        <f t="shared" si="1"/>
        <v>kenton.patzkowsky@okhouse.gov</v>
      </c>
    </row>
    <row r="65">
      <c r="A65" s="14" t="s">
        <v>44</v>
      </c>
      <c r="B65" s="31">
        <v>62.0</v>
      </c>
      <c r="C65" s="78" t="s">
        <v>552</v>
      </c>
      <c r="D65" s="78" t="s">
        <v>10737</v>
      </c>
      <c r="E65" s="51" t="s">
        <v>53</v>
      </c>
      <c r="F65" s="15"/>
      <c r="M65" t="str">
        <f t="shared" si="1"/>
        <v>daniel.pae@okhouse.gov</v>
      </c>
    </row>
    <row r="66">
      <c r="A66" s="14" t="s">
        <v>44</v>
      </c>
      <c r="B66" s="31">
        <v>63.0</v>
      </c>
      <c r="C66" s="74" t="s">
        <v>10738</v>
      </c>
      <c r="D66" s="74" t="s">
        <v>2230</v>
      </c>
      <c r="E66" s="51" t="s">
        <v>53</v>
      </c>
      <c r="F66" s="15"/>
      <c r="M66" t="str">
        <f t="shared" si="1"/>
        <v>hurchel.caldwell@okhouse.gov</v>
      </c>
    </row>
    <row r="67">
      <c r="A67" s="14" t="s">
        <v>44</v>
      </c>
      <c r="B67" s="31">
        <v>64.0</v>
      </c>
      <c r="C67" s="74" t="s">
        <v>10739</v>
      </c>
      <c r="D67" s="74" t="s">
        <v>10740</v>
      </c>
      <c r="E67" s="51" t="s">
        <v>53</v>
      </c>
      <c r="F67" s="15"/>
      <c r="M67" t="str">
        <f t="shared" si="1"/>
        <v>rande.worthen@okhouse.gov</v>
      </c>
    </row>
    <row r="68">
      <c r="A68" s="14" t="s">
        <v>44</v>
      </c>
      <c r="B68" s="31">
        <v>65.0</v>
      </c>
      <c r="C68" s="74" t="s">
        <v>2262</v>
      </c>
      <c r="D68" s="74" t="s">
        <v>10741</v>
      </c>
      <c r="E68" s="51" t="s">
        <v>53</v>
      </c>
      <c r="F68" s="15"/>
      <c r="M68" t="str">
        <f t="shared" si="1"/>
        <v>toni.hasenbeck@okhouse.gov</v>
      </c>
    </row>
    <row r="69">
      <c r="A69" s="14" t="s">
        <v>44</v>
      </c>
      <c r="B69" s="31">
        <v>66.0</v>
      </c>
      <c r="C69" s="74" t="s">
        <v>10742</v>
      </c>
      <c r="D69" s="74" t="s">
        <v>10743</v>
      </c>
      <c r="E69" s="51" t="s">
        <v>53</v>
      </c>
      <c r="F69" s="12" t="s">
        <v>1693</v>
      </c>
      <c r="M69" t="str">
        <f t="shared" si="1"/>
        <v>jadine.nollan@okhouse.gov</v>
      </c>
    </row>
    <row r="70">
      <c r="A70" s="14" t="s">
        <v>44</v>
      </c>
      <c r="B70" s="31">
        <v>67.0</v>
      </c>
      <c r="C70" s="74" t="s">
        <v>683</v>
      </c>
      <c r="D70" s="74" t="s">
        <v>10744</v>
      </c>
      <c r="E70" s="51" t="s">
        <v>53</v>
      </c>
      <c r="F70" s="15"/>
      <c r="M70" t="str">
        <f t="shared" si="1"/>
        <v>jeff.boatman@okhouse.gov</v>
      </c>
    </row>
    <row r="71">
      <c r="A71" s="14" t="s">
        <v>44</v>
      </c>
      <c r="B71" s="31">
        <v>68.0</v>
      </c>
      <c r="C71" s="74" t="s">
        <v>4810</v>
      </c>
      <c r="D71" s="74" t="s">
        <v>4539</v>
      </c>
      <c r="E71" s="51" t="s">
        <v>53</v>
      </c>
      <c r="F71" s="15"/>
      <c r="M71" t="str">
        <f t="shared" si="1"/>
        <v>lonnie.sims@okhouse.gov</v>
      </c>
    </row>
    <row r="72">
      <c r="A72" s="14" t="s">
        <v>44</v>
      </c>
      <c r="B72" s="31">
        <v>69.0</v>
      </c>
      <c r="C72" s="74" t="s">
        <v>3432</v>
      </c>
      <c r="D72" s="74" t="s">
        <v>10746</v>
      </c>
      <c r="E72" s="51" t="s">
        <v>53</v>
      </c>
      <c r="F72" s="12" t="s">
        <v>10715</v>
      </c>
      <c r="M72" t="str">
        <f t="shared" si="1"/>
        <v>sheila.dills@okhouse.gov</v>
      </c>
    </row>
    <row r="73">
      <c r="A73" s="14" t="s">
        <v>44</v>
      </c>
      <c r="B73" s="31">
        <v>70.0</v>
      </c>
      <c r="C73" s="74" t="s">
        <v>801</v>
      </c>
      <c r="D73" s="74" t="s">
        <v>2740</v>
      </c>
      <c r="E73" s="51" t="s">
        <v>53</v>
      </c>
      <c r="F73" s="15"/>
      <c r="M73" t="str">
        <f t="shared" si="1"/>
        <v>carol.bush@okhouse.gov</v>
      </c>
    </row>
    <row r="74">
      <c r="A74" s="14" t="s">
        <v>44</v>
      </c>
      <c r="B74" s="31">
        <v>71.0</v>
      </c>
      <c r="C74" s="74" t="s">
        <v>932</v>
      </c>
      <c r="D74" s="74" t="s">
        <v>6847</v>
      </c>
      <c r="E74" s="36" t="s">
        <v>49</v>
      </c>
      <c r="F74" s="15"/>
      <c r="M74" t="str">
        <f t="shared" si="1"/>
        <v>denise.brewer@okhouse.gov</v>
      </c>
    </row>
    <row r="75">
      <c r="A75" s="14" t="s">
        <v>44</v>
      </c>
      <c r="B75" s="31">
        <v>72.0</v>
      </c>
      <c r="C75" s="74" t="s">
        <v>10747</v>
      </c>
      <c r="D75" s="74" t="s">
        <v>3790</v>
      </c>
      <c r="E75" s="36" t="s">
        <v>49</v>
      </c>
      <c r="F75" s="15"/>
      <c r="M75" t="str">
        <f t="shared" si="1"/>
        <v>monroe.nichols@okhouse.gov</v>
      </c>
    </row>
    <row r="76">
      <c r="A76" s="14" t="s">
        <v>44</v>
      </c>
      <c r="B76" s="31">
        <v>73.0</v>
      </c>
      <c r="C76" s="74" t="s">
        <v>659</v>
      </c>
      <c r="D76" s="74" t="s">
        <v>9741</v>
      </c>
      <c r="E76" s="36" t="s">
        <v>49</v>
      </c>
      <c r="F76" s="15"/>
      <c r="M76" t="str">
        <f t="shared" si="1"/>
        <v>regina.goodwin@okhouse.gov</v>
      </c>
    </row>
    <row r="77">
      <c r="A77" s="14" t="s">
        <v>44</v>
      </c>
      <c r="B77" s="31">
        <v>74.0</v>
      </c>
      <c r="C77" s="74" t="s">
        <v>91</v>
      </c>
      <c r="D77" s="74" t="s">
        <v>10748</v>
      </c>
      <c r="E77" s="51" t="s">
        <v>53</v>
      </c>
      <c r="F77" s="15"/>
      <c r="M77" t="str">
        <f t="shared" si="1"/>
        <v>mark.vancuren@okhouse.gov</v>
      </c>
    </row>
    <row r="78">
      <c r="A78" s="14" t="s">
        <v>44</v>
      </c>
      <c r="B78" s="31">
        <v>75.0</v>
      </c>
      <c r="C78" s="74" t="s">
        <v>10749</v>
      </c>
      <c r="D78" s="74" t="s">
        <v>5016</v>
      </c>
      <c r="E78" s="51" t="s">
        <v>53</v>
      </c>
      <c r="F78" s="15"/>
      <c r="M78" t="str">
        <f t="shared" si="1"/>
        <v>t..marti@okhouse.gov</v>
      </c>
    </row>
    <row r="79">
      <c r="A79" s="14" t="s">
        <v>44</v>
      </c>
      <c r="B79" s="31">
        <v>76.0</v>
      </c>
      <c r="C79" s="74" t="s">
        <v>5489</v>
      </c>
      <c r="D79" s="74" t="s">
        <v>4018</v>
      </c>
      <c r="E79" s="51" t="s">
        <v>53</v>
      </c>
      <c r="F79" s="12" t="s">
        <v>2012</v>
      </c>
      <c r="M79" t="str">
        <f t="shared" si="1"/>
        <v>ross.ford@okhouse.gov</v>
      </c>
    </row>
    <row r="80">
      <c r="A80" s="14" t="s">
        <v>44</v>
      </c>
      <c r="B80" s="31">
        <v>77.0</v>
      </c>
      <c r="C80" s="74" t="s">
        <v>278</v>
      </c>
      <c r="D80" s="74" t="s">
        <v>1955</v>
      </c>
      <c r="E80" s="36" t="s">
        <v>49</v>
      </c>
      <c r="F80" s="15"/>
      <c r="M80" t="str">
        <f t="shared" si="1"/>
        <v>john.waldron@okhouse.gov</v>
      </c>
    </row>
    <row r="81">
      <c r="A81" s="14" t="s">
        <v>44</v>
      </c>
      <c r="B81" s="31">
        <v>78.0</v>
      </c>
      <c r="C81" s="74" t="s">
        <v>10750</v>
      </c>
      <c r="D81" s="74" t="s">
        <v>10751</v>
      </c>
      <c r="E81" s="36" t="s">
        <v>49</v>
      </c>
      <c r="F81" s="15"/>
      <c r="M81" t="str">
        <f t="shared" si="1"/>
        <v>meloyde.blancett@okhouse.gov</v>
      </c>
    </row>
    <row r="82">
      <c r="A82" s="14" t="s">
        <v>44</v>
      </c>
      <c r="B82" s="31">
        <v>79.0</v>
      </c>
      <c r="C82" s="74" t="s">
        <v>1884</v>
      </c>
      <c r="D82" s="74" t="s">
        <v>10752</v>
      </c>
      <c r="E82" s="36" t="s">
        <v>49</v>
      </c>
      <c r="F82" s="15"/>
      <c r="M82" t="str">
        <f t="shared" si="1"/>
        <v>melissa.provenzano@okhouse.gov</v>
      </c>
    </row>
    <row r="83">
      <c r="A83" s="14" t="s">
        <v>44</v>
      </c>
      <c r="B83" s="31">
        <v>80.0</v>
      </c>
      <c r="C83" s="35" t="s">
        <v>1513</v>
      </c>
      <c r="D83" s="35" t="s">
        <v>4758</v>
      </c>
      <c r="E83" s="51" t="s">
        <v>53</v>
      </c>
      <c r="F83" s="15"/>
      <c r="M83" t="str">
        <f t="shared" si="1"/>
        <v>stan.may@okhouse.gov</v>
      </c>
    </row>
    <row r="84">
      <c r="A84" s="14" t="s">
        <v>44</v>
      </c>
      <c r="B84" s="31">
        <v>81.0</v>
      </c>
      <c r="C84" s="74" t="s">
        <v>157</v>
      </c>
      <c r="D84" s="74" t="s">
        <v>10753</v>
      </c>
      <c r="E84" s="51" t="s">
        <v>53</v>
      </c>
      <c r="F84" s="12" t="s">
        <v>1693</v>
      </c>
      <c r="M84" t="str">
        <f t="shared" si="1"/>
        <v>mike.osburn@okhouse.gov</v>
      </c>
    </row>
    <row r="85">
      <c r="A85" s="14" t="s">
        <v>44</v>
      </c>
      <c r="B85" s="31">
        <v>82.0</v>
      </c>
      <c r="C85" s="74" t="s">
        <v>1648</v>
      </c>
      <c r="D85" s="74" t="s">
        <v>1501</v>
      </c>
      <c r="E85" s="51" t="s">
        <v>53</v>
      </c>
      <c r="F85" s="15"/>
      <c r="M85" t="str">
        <f t="shared" si="1"/>
        <v>nicole.miller@okhouse.gov</v>
      </c>
    </row>
    <row r="86">
      <c r="A86" s="14" t="s">
        <v>44</v>
      </c>
      <c r="B86" s="31">
        <v>83.0</v>
      </c>
      <c r="C86" s="74" t="s">
        <v>10755</v>
      </c>
      <c r="D86" s="74" t="s">
        <v>10756</v>
      </c>
      <c r="E86" s="36" t="s">
        <v>49</v>
      </c>
      <c r="F86" s="15"/>
      <c r="M86" t="str">
        <f t="shared" si="1"/>
        <v>chelsey.branham@okhouse.gov</v>
      </c>
    </row>
    <row r="87">
      <c r="A87" s="14" t="s">
        <v>44</v>
      </c>
      <c r="B87" s="31">
        <v>84.0</v>
      </c>
      <c r="C87" s="74" t="s">
        <v>2373</v>
      </c>
      <c r="D87" s="74" t="s">
        <v>4286</v>
      </c>
      <c r="E87" s="51" t="s">
        <v>53</v>
      </c>
      <c r="F87" s="12" t="s">
        <v>10757</v>
      </c>
      <c r="M87" t="str">
        <f t="shared" si="1"/>
        <v>tammy.west@okhouse.gov</v>
      </c>
    </row>
    <row r="88">
      <c r="A88" s="14" t="s">
        <v>44</v>
      </c>
      <c r="B88" s="31">
        <v>85.0</v>
      </c>
      <c r="C88" s="74" t="s">
        <v>2866</v>
      </c>
      <c r="D88" s="74" t="s">
        <v>7548</v>
      </c>
      <c r="E88" s="36" t="s">
        <v>49</v>
      </c>
      <c r="F88" s="12" t="s">
        <v>2029</v>
      </c>
      <c r="M88" t="str">
        <f t="shared" si="1"/>
        <v>cyndi.munson@okhouse.gov</v>
      </c>
    </row>
    <row r="89">
      <c r="A89" s="14" t="s">
        <v>44</v>
      </c>
      <c r="B89" s="31">
        <v>86.0</v>
      </c>
      <c r="C89" s="74" t="s">
        <v>108</v>
      </c>
      <c r="D89" s="74" t="s">
        <v>10729</v>
      </c>
      <c r="E89" s="51" t="s">
        <v>53</v>
      </c>
      <c r="F89" s="12" t="s">
        <v>1693</v>
      </c>
      <c r="M89" t="str">
        <f t="shared" si="1"/>
        <v>david.hardin@okhouse.gov</v>
      </c>
    </row>
    <row r="90">
      <c r="A90" s="14" t="s">
        <v>44</v>
      </c>
      <c r="B90" s="31">
        <v>87.0</v>
      </c>
      <c r="C90" s="74" t="s">
        <v>8672</v>
      </c>
      <c r="D90" s="74" t="s">
        <v>10758</v>
      </c>
      <c r="E90" s="36" t="s">
        <v>49</v>
      </c>
      <c r="F90" s="15"/>
      <c r="M90" t="str">
        <f t="shared" si="1"/>
        <v>collin.walke@okhouse.gov</v>
      </c>
    </row>
    <row r="91">
      <c r="A91" s="14" t="s">
        <v>44</v>
      </c>
      <c r="B91" s="31">
        <v>88.0</v>
      </c>
      <c r="C91" s="74" t="s">
        <v>1231</v>
      </c>
      <c r="D91" s="74" t="s">
        <v>10759</v>
      </c>
      <c r="E91" s="36" t="s">
        <v>49</v>
      </c>
      <c r="F91" s="15"/>
      <c r="M91" t="str">
        <f t="shared" si="1"/>
        <v>jason.dunnington@okhouse.gov</v>
      </c>
    </row>
    <row r="92">
      <c r="A92" s="14" t="s">
        <v>44</v>
      </c>
      <c r="B92" s="31">
        <v>89.0</v>
      </c>
      <c r="C92" s="74" t="s">
        <v>756</v>
      </c>
      <c r="D92" s="74" t="s">
        <v>1547</v>
      </c>
      <c r="E92" s="36" t="s">
        <v>49</v>
      </c>
      <c r="F92" s="15"/>
      <c r="M92" t="str">
        <f t="shared" si="1"/>
        <v>shane.stone@okhouse.gov</v>
      </c>
    </row>
    <row r="93">
      <c r="A93" s="14" t="s">
        <v>44</v>
      </c>
      <c r="B93" s="31">
        <v>90.0</v>
      </c>
      <c r="C93" s="74" t="s">
        <v>1387</v>
      </c>
      <c r="D93" s="74" t="s">
        <v>10760</v>
      </c>
      <c r="E93" s="51" t="s">
        <v>53</v>
      </c>
      <c r="F93" s="12" t="s">
        <v>176</v>
      </c>
      <c r="M93" t="str">
        <f t="shared" si="1"/>
        <v>jon.echols@okhouse.gov</v>
      </c>
    </row>
    <row r="94">
      <c r="A94" s="14" t="s">
        <v>44</v>
      </c>
      <c r="B94" s="31">
        <v>91.0</v>
      </c>
      <c r="C94" s="74" t="s">
        <v>173</v>
      </c>
      <c r="D94" s="74" t="s">
        <v>10761</v>
      </c>
      <c r="E94" s="51" t="s">
        <v>53</v>
      </c>
      <c r="F94" s="15"/>
      <c r="M94" t="str">
        <f t="shared" si="1"/>
        <v>chris.kannady@okhouse.gov</v>
      </c>
    </row>
    <row r="95">
      <c r="A95" s="14" t="s">
        <v>44</v>
      </c>
      <c r="B95" s="31">
        <v>92.0</v>
      </c>
      <c r="C95" s="74" t="s">
        <v>8857</v>
      </c>
      <c r="D95" s="74" t="s">
        <v>2763</v>
      </c>
      <c r="E95" s="36" t="s">
        <v>49</v>
      </c>
      <c r="F95" s="15"/>
      <c r="M95" t="str">
        <f t="shared" si="1"/>
        <v>forrest.bennett@okhouse.gov</v>
      </c>
    </row>
    <row r="96">
      <c r="A96" s="14" t="s">
        <v>44</v>
      </c>
      <c r="B96" s="31">
        <v>93.0</v>
      </c>
      <c r="C96" s="35" t="s">
        <v>1171</v>
      </c>
      <c r="D96" s="35" t="s">
        <v>10765</v>
      </c>
      <c r="E96" s="36" t="s">
        <v>49</v>
      </c>
      <c r="F96" s="15"/>
      <c r="M96" t="str">
        <f t="shared" si="1"/>
        <v>mickey.dollens@okhouse.gov</v>
      </c>
    </row>
    <row r="97">
      <c r="A97" s="14" t="s">
        <v>44</v>
      </c>
      <c r="B97" s="31">
        <v>94.0</v>
      </c>
      <c r="C97" s="35" t="s">
        <v>109</v>
      </c>
      <c r="D97" s="35" t="s">
        <v>5272</v>
      </c>
      <c r="E97" s="36" t="s">
        <v>49</v>
      </c>
      <c r="F97" s="15"/>
      <c r="M97" t="str">
        <f t="shared" si="1"/>
        <v>andy.fugate@okhouse.gov</v>
      </c>
    </row>
    <row r="98">
      <c r="A98" s="14" t="s">
        <v>44</v>
      </c>
      <c r="B98" s="31">
        <v>95.0</v>
      </c>
      <c r="C98" s="74" t="s">
        <v>130</v>
      </c>
      <c r="D98" s="74" t="s">
        <v>8022</v>
      </c>
      <c r="E98" s="51" t="s">
        <v>53</v>
      </c>
      <c r="F98" s="15"/>
      <c r="M98" t="str">
        <f t="shared" si="1"/>
        <v>kelly.albright@okhouse.gov</v>
      </c>
    </row>
    <row r="99">
      <c r="A99" s="14" t="s">
        <v>44</v>
      </c>
      <c r="B99" s="31">
        <v>96.0</v>
      </c>
      <c r="C99" s="35" t="s">
        <v>1707</v>
      </c>
      <c r="D99" s="35" t="s">
        <v>89</v>
      </c>
      <c r="E99" s="51" t="s">
        <v>53</v>
      </c>
      <c r="F99" s="12" t="s">
        <v>1693</v>
      </c>
      <c r="M99" t="str">
        <f t="shared" si="1"/>
        <v>lewis.moore@okhouse.gov</v>
      </c>
    </row>
    <row r="100">
      <c r="A100" s="14" t="s">
        <v>44</v>
      </c>
      <c r="B100" s="31">
        <v>97.0</v>
      </c>
      <c r="C100" s="74" t="s">
        <v>1231</v>
      </c>
      <c r="D100" s="74" t="s">
        <v>9285</v>
      </c>
      <c r="E100" s="36" t="s">
        <v>49</v>
      </c>
      <c r="F100" s="15"/>
      <c r="M100" t="str">
        <f t="shared" si="1"/>
        <v>jason.lowe@okhouse.gov</v>
      </c>
    </row>
    <row r="101">
      <c r="A101" s="14" t="s">
        <v>44</v>
      </c>
      <c r="B101" s="31">
        <v>98.0</v>
      </c>
      <c r="C101" s="74" t="s">
        <v>4340</v>
      </c>
      <c r="D101" s="74" t="s">
        <v>1254</v>
      </c>
      <c r="E101" s="51" t="s">
        <v>53</v>
      </c>
      <c r="F101" s="12" t="s">
        <v>1693</v>
      </c>
      <c r="M101" t="str">
        <f t="shared" si="1"/>
        <v>dean.davis@okhouse.gov</v>
      </c>
    </row>
    <row r="102">
      <c r="A102" s="14" t="s">
        <v>44</v>
      </c>
      <c r="B102" s="31">
        <v>99.0</v>
      </c>
      <c r="C102" s="74" t="s">
        <v>10768</v>
      </c>
      <c r="D102" s="74" t="s">
        <v>5003</v>
      </c>
      <c r="E102" s="36" t="s">
        <v>49</v>
      </c>
      <c r="F102" s="15"/>
      <c r="M102" t="str">
        <f t="shared" si="1"/>
        <v>ajay.pittman@okhouse.gov</v>
      </c>
    </row>
    <row r="103">
      <c r="A103" s="14" t="s">
        <v>44</v>
      </c>
      <c r="B103" s="31">
        <v>100.0</v>
      </c>
      <c r="C103" s="35" t="s">
        <v>2912</v>
      </c>
      <c r="D103" s="35" t="s">
        <v>3085</v>
      </c>
      <c r="E103" s="51" t="s">
        <v>53</v>
      </c>
      <c r="F103" s="15"/>
      <c r="M103" t="str">
        <f t="shared" si="1"/>
        <v>marilyn.stark@okhouse.gov</v>
      </c>
    </row>
    <row r="104">
      <c r="A104" s="14" t="s">
        <v>44</v>
      </c>
      <c r="B104" s="31">
        <v>101.0</v>
      </c>
      <c r="C104" s="74" t="s">
        <v>1134</v>
      </c>
      <c r="D104" s="74" t="s">
        <v>10769</v>
      </c>
      <c r="E104" s="51" t="s">
        <v>53</v>
      </c>
      <c r="F104" s="15"/>
      <c r="M104" t="str">
        <f t="shared" si="1"/>
        <v>robert.manger@okhouse.gov</v>
      </c>
    </row>
    <row r="105">
      <c r="A105" s="70"/>
      <c r="B105" s="70"/>
      <c r="C105" s="71"/>
      <c r="D105" s="71"/>
      <c r="E105" s="70"/>
      <c r="F105" s="184"/>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0"/>
      <c r="AH105" s="70"/>
    </row>
    <row r="106">
      <c r="A106" s="14" t="s">
        <v>286</v>
      </c>
      <c r="B106" s="165">
        <v>1.0</v>
      </c>
      <c r="C106" s="38" t="s">
        <v>10771</v>
      </c>
      <c r="D106" s="38" t="s">
        <v>10772</v>
      </c>
      <c r="E106" s="36" t="s">
        <v>49</v>
      </c>
      <c r="F106" s="663"/>
      <c r="G106" s="14" t="s">
        <v>732</v>
      </c>
      <c r="H106" s="112" t="s">
        <v>578</v>
      </c>
      <c r="I106" s="112" t="s">
        <v>10775</v>
      </c>
      <c r="J106" s="112" t="s">
        <v>519</v>
      </c>
      <c r="K106" s="112" t="s">
        <v>519</v>
      </c>
      <c r="M106" t="str">
        <f t="shared" ref="M106:M153" si="2">concatenate(lower(D106),"@oksenate.gov")</f>
        <v>bergstrom@oksenate.gov</v>
      </c>
    </row>
    <row r="107">
      <c r="A107" s="14" t="s">
        <v>286</v>
      </c>
      <c r="B107" s="165">
        <v>2.0</v>
      </c>
      <c r="C107" s="35" t="s">
        <v>4242</v>
      </c>
      <c r="D107" s="35" t="s">
        <v>10778</v>
      </c>
      <c r="E107" s="51" t="s">
        <v>53</v>
      </c>
      <c r="F107" s="663"/>
      <c r="G107" s="112" t="s">
        <v>10779</v>
      </c>
      <c r="H107" s="112" t="s">
        <v>515</v>
      </c>
      <c r="I107" s="112" t="s">
        <v>10780</v>
      </c>
      <c r="J107" s="112" t="s">
        <v>519</v>
      </c>
      <c r="L107" s="112" t="str">
        <f>if(isnumber(search($D107,$L$106)),"Rules","")</f>
        <v/>
      </c>
      <c r="M107" t="str">
        <f t="shared" si="2"/>
        <v>quinn@oksenate.gov</v>
      </c>
    </row>
    <row r="108">
      <c r="A108" s="14" t="s">
        <v>286</v>
      </c>
      <c r="B108" s="165">
        <v>3.0</v>
      </c>
      <c r="C108" s="35" t="s">
        <v>6418</v>
      </c>
      <c r="D108" s="35" t="s">
        <v>183</v>
      </c>
      <c r="E108" s="51" t="s">
        <v>53</v>
      </c>
      <c r="F108" s="663"/>
      <c r="G108" s="112" t="s">
        <v>732</v>
      </c>
      <c r="H108" s="112" t="s">
        <v>626</v>
      </c>
      <c r="I108" s="112" t="s">
        <v>10775</v>
      </c>
      <c r="K108" s="112" t="s">
        <v>519</v>
      </c>
      <c r="M108" t="str">
        <f t="shared" si="2"/>
        <v>shaw@oksenate.gov</v>
      </c>
    </row>
    <row r="109">
      <c r="A109" s="14" t="s">
        <v>286</v>
      </c>
      <c r="B109" s="165">
        <v>4.0</v>
      </c>
      <c r="C109" s="35" t="s">
        <v>91</v>
      </c>
      <c r="D109" s="35" t="s">
        <v>241</v>
      </c>
      <c r="E109" s="51" t="s">
        <v>53</v>
      </c>
      <c r="F109" s="663"/>
      <c r="G109" s="112" t="s">
        <v>10782</v>
      </c>
      <c r="H109" s="112" t="s">
        <v>578</v>
      </c>
      <c r="I109" s="112" t="s">
        <v>780</v>
      </c>
      <c r="J109" s="112" t="s">
        <v>10780</v>
      </c>
      <c r="M109" t="str">
        <f t="shared" si="2"/>
        <v>allen@oksenate.gov</v>
      </c>
    </row>
    <row r="110">
      <c r="A110" s="14" t="s">
        <v>286</v>
      </c>
      <c r="B110" s="165">
        <v>5.0</v>
      </c>
      <c r="C110" s="35" t="s">
        <v>2527</v>
      </c>
      <c r="D110" s="35" t="s">
        <v>10785</v>
      </c>
      <c r="E110" s="51" t="s">
        <v>53</v>
      </c>
      <c r="F110" s="663"/>
      <c r="G110" s="112" t="s">
        <v>601</v>
      </c>
      <c r="H110" s="112" t="s">
        <v>578</v>
      </c>
      <c r="I110" s="112" t="s">
        <v>10775</v>
      </c>
      <c r="J110" s="112" t="s">
        <v>519</v>
      </c>
      <c r="K110" s="112" t="s">
        <v>519</v>
      </c>
      <c r="M110" t="str">
        <f t="shared" si="2"/>
        <v>silk@oksenate.gov</v>
      </c>
    </row>
    <row r="111">
      <c r="A111" s="14" t="s">
        <v>286</v>
      </c>
      <c r="B111" s="165">
        <v>6.0</v>
      </c>
      <c r="C111" s="35" t="s">
        <v>108</v>
      </c>
      <c r="D111" s="35" t="s">
        <v>10786</v>
      </c>
      <c r="E111" s="51" t="s">
        <v>53</v>
      </c>
      <c r="F111" s="663"/>
      <c r="G111" s="112" t="s">
        <v>10782</v>
      </c>
      <c r="H111" s="112" t="s">
        <v>515</v>
      </c>
      <c r="I111" s="112" t="s">
        <v>10780</v>
      </c>
      <c r="J111" s="112" t="s">
        <v>519</v>
      </c>
      <c r="M111" t="str">
        <f t="shared" si="2"/>
        <v>bullard@oksenate.gov</v>
      </c>
    </row>
    <row r="112">
      <c r="A112" s="14" t="s">
        <v>286</v>
      </c>
      <c r="B112" s="165">
        <v>7.0</v>
      </c>
      <c r="C112" s="35" t="s">
        <v>839</v>
      </c>
      <c r="D112" s="35" t="s">
        <v>10364</v>
      </c>
      <c r="E112" s="51" t="s">
        <v>53</v>
      </c>
      <c r="F112" s="663"/>
      <c r="G112" s="112" t="s">
        <v>732</v>
      </c>
      <c r="H112" s="112" t="s">
        <v>578</v>
      </c>
      <c r="I112" s="112" t="s">
        <v>10787</v>
      </c>
      <c r="J112" s="112" t="s">
        <v>519</v>
      </c>
      <c r="K112" s="112" t="s">
        <v>519</v>
      </c>
      <c r="M112" t="str">
        <f t="shared" si="2"/>
        <v>boggs@oksenate.gov</v>
      </c>
    </row>
    <row r="113">
      <c r="A113" s="14" t="s">
        <v>286</v>
      </c>
      <c r="B113" s="165">
        <v>8.0</v>
      </c>
      <c r="C113" s="35" t="s">
        <v>1040</v>
      </c>
      <c r="D113" s="35" t="s">
        <v>59</v>
      </c>
      <c r="E113" s="51" t="s">
        <v>49</v>
      </c>
      <c r="F113" s="663"/>
      <c r="G113" s="112" t="s">
        <v>1264</v>
      </c>
      <c r="H113" s="407" t="s">
        <v>662</v>
      </c>
      <c r="I113" s="112" t="s">
        <v>780</v>
      </c>
      <c r="K113" s="112" t="s">
        <v>519</v>
      </c>
      <c r="M113" t="str">
        <f t="shared" si="2"/>
        <v>thompson@oksenate.gov</v>
      </c>
    </row>
    <row r="114">
      <c r="A114" s="14" t="s">
        <v>286</v>
      </c>
      <c r="B114" s="165">
        <v>9.0</v>
      </c>
      <c r="C114" s="38" t="s">
        <v>3086</v>
      </c>
      <c r="D114" s="38" t="s">
        <v>10788</v>
      </c>
      <c r="E114" s="36" t="s">
        <v>49</v>
      </c>
      <c r="F114" s="663"/>
      <c r="G114" s="14" t="s">
        <v>10782</v>
      </c>
      <c r="H114" s="14" t="s">
        <v>515</v>
      </c>
      <c r="I114" s="112" t="s">
        <v>626</v>
      </c>
      <c r="J114" s="112" t="s">
        <v>10787</v>
      </c>
      <c r="K114" s="112" t="s">
        <v>519</v>
      </c>
      <c r="M114" t="str">
        <f t="shared" si="2"/>
        <v>pemberton@oksenate.gov</v>
      </c>
    </row>
    <row r="115">
      <c r="A115" s="14" t="s">
        <v>286</v>
      </c>
      <c r="B115" s="165">
        <v>10.0</v>
      </c>
      <c r="C115" s="35" t="s">
        <v>325</v>
      </c>
      <c r="D115" s="35" t="s">
        <v>508</v>
      </c>
      <c r="E115" s="51" t="s">
        <v>53</v>
      </c>
      <c r="F115" s="663"/>
      <c r="G115" s="112" t="s">
        <v>601</v>
      </c>
      <c r="H115" s="112" t="s">
        <v>578</v>
      </c>
      <c r="I115" s="112" t="s">
        <v>10789</v>
      </c>
      <c r="J115" s="112" t="s">
        <v>519</v>
      </c>
      <c r="K115" s="112" t="s">
        <v>519</v>
      </c>
      <c r="M115" t="str">
        <f t="shared" si="2"/>
        <v>coleman@oksenate.gov</v>
      </c>
    </row>
    <row r="116">
      <c r="A116" s="14" t="s">
        <v>286</v>
      </c>
      <c r="B116" s="165">
        <v>11.0</v>
      </c>
      <c r="C116" s="35" t="s">
        <v>971</v>
      </c>
      <c r="D116" s="35" t="s">
        <v>2637</v>
      </c>
      <c r="E116" s="36" t="s">
        <v>49</v>
      </c>
      <c r="F116" s="663"/>
      <c r="G116" s="112" t="s">
        <v>10779</v>
      </c>
      <c r="H116" s="112" t="s">
        <v>732</v>
      </c>
      <c r="I116" s="112" t="s">
        <v>578</v>
      </c>
      <c r="J116" s="112" t="s">
        <v>626</v>
      </c>
      <c r="K116" s="112" t="s">
        <v>10780</v>
      </c>
      <c r="M116" t="str">
        <f t="shared" si="2"/>
        <v>matthews@oksenate.gov</v>
      </c>
    </row>
    <row r="117">
      <c r="A117" s="14" t="s">
        <v>286</v>
      </c>
      <c r="B117" s="165">
        <v>12.0</v>
      </c>
      <c r="C117" s="38" t="s">
        <v>930</v>
      </c>
      <c r="D117" s="38" t="s">
        <v>10790</v>
      </c>
      <c r="E117" s="51" t="s">
        <v>53</v>
      </c>
      <c r="F117" s="663"/>
      <c r="G117" s="407" t="s">
        <v>10782</v>
      </c>
      <c r="H117" s="407" t="s">
        <v>781</v>
      </c>
      <c r="I117" s="112" t="s">
        <v>10775</v>
      </c>
      <c r="K117" s="112" t="s">
        <v>519</v>
      </c>
      <c r="M117" t="str">
        <f t="shared" si="2"/>
        <v>leewright@oksenate.gov</v>
      </c>
    </row>
    <row r="118">
      <c r="A118" s="14" t="s">
        <v>286</v>
      </c>
      <c r="B118" s="165">
        <v>13.0</v>
      </c>
      <c r="C118" s="38" t="s">
        <v>997</v>
      </c>
      <c r="D118" s="38" t="s">
        <v>10793</v>
      </c>
      <c r="E118" s="36" t="s">
        <v>49</v>
      </c>
      <c r="F118" s="663"/>
      <c r="G118" s="14" t="s">
        <v>601</v>
      </c>
      <c r="H118" s="112" t="s">
        <v>578</v>
      </c>
      <c r="I118" s="112" t="s">
        <v>780</v>
      </c>
      <c r="J118" s="112" t="s">
        <v>10775</v>
      </c>
      <c r="K118" s="112" t="s">
        <v>519</v>
      </c>
      <c r="M118" t="str">
        <f t="shared" si="2"/>
        <v>mccortney@oksenate.gov</v>
      </c>
    </row>
    <row r="119">
      <c r="A119" s="14" t="s">
        <v>286</v>
      </c>
      <c r="B119" s="165">
        <v>14.0</v>
      </c>
      <c r="C119" s="35" t="s">
        <v>1000</v>
      </c>
      <c r="D119" s="35" t="s">
        <v>728</v>
      </c>
      <c r="E119" s="51" t="s">
        <v>53</v>
      </c>
      <c r="F119" s="663"/>
      <c r="G119" s="112" t="s">
        <v>601</v>
      </c>
      <c r="H119" s="112" t="s">
        <v>1264</v>
      </c>
      <c r="I119" s="112" t="s">
        <v>626</v>
      </c>
      <c r="J119" s="112" t="s">
        <v>780</v>
      </c>
      <c r="K119" s="112" t="s">
        <v>10787</v>
      </c>
      <c r="M119" t="str">
        <f t="shared" si="2"/>
        <v>simpson@oksenate.gov</v>
      </c>
    </row>
    <row r="120">
      <c r="A120" s="14" t="s">
        <v>286</v>
      </c>
      <c r="B120" s="165">
        <v>15.0</v>
      </c>
      <c r="C120" s="35" t="s">
        <v>1476</v>
      </c>
      <c r="D120" s="35" t="s">
        <v>402</v>
      </c>
      <c r="E120" s="51" t="s">
        <v>53</v>
      </c>
      <c r="F120" s="664" t="s">
        <v>1188</v>
      </c>
      <c r="G120" s="112" t="s">
        <v>601</v>
      </c>
      <c r="H120" s="112" t="s">
        <v>578</v>
      </c>
      <c r="I120" s="112" t="s">
        <v>10780</v>
      </c>
      <c r="J120" s="112" t="s">
        <v>519</v>
      </c>
      <c r="M120" t="str">
        <f t="shared" si="2"/>
        <v>standridge@oksenate.gov</v>
      </c>
    </row>
    <row r="121">
      <c r="A121" s="14" t="s">
        <v>286</v>
      </c>
      <c r="B121" s="165">
        <v>16.0</v>
      </c>
      <c r="C121" s="35" t="s">
        <v>514</v>
      </c>
      <c r="D121" s="35" t="s">
        <v>10796</v>
      </c>
      <c r="E121" s="36" t="s">
        <v>49</v>
      </c>
      <c r="F121" s="663"/>
      <c r="G121" s="112" t="s">
        <v>10782</v>
      </c>
      <c r="H121" s="112" t="s">
        <v>781</v>
      </c>
      <c r="I121" s="112" t="s">
        <v>10780</v>
      </c>
      <c r="J121" s="112" t="s">
        <v>519</v>
      </c>
      <c r="M121" t="str">
        <f t="shared" si="2"/>
        <v>boren@oksenate.gov</v>
      </c>
    </row>
    <row r="122">
      <c r="A122" s="14" t="s">
        <v>286</v>
      </c>
      <c r="B122" s="165">
        <v>17.0</v>
      </c>
      <c r="C122" s="35" t="s">
        <v>1813</v>
      </c>
      <c r="D122" s="35" t="s">
        <v>10797</v>
      </c>
      <c r="E122" s="51" t="s">
        <v>53</v>
      </c>
      <c r="F122" s="663"/>
      <c r="G122" s="112" t="s">
        <v>10779</v>
      </c>
      <c r="H122" s="112" t="s">
        <v>781</v>
      </c>
      <c r="I122" s="112" t="s">
        <v>10789</v>
      </c>
      <c r="J122" s="112" t="s">
        <v>519</v>
      </c>
      <c r="K122" s="112" t="s">
        <v>519</v>
      </c>
      <c r="M122" t="str">
        <f t="shared" si="2"/>
        <v>sharp@oksenate.gov</v>
      </c>
    </row>
    <row r="123">
      <c r="A123" s="14" t="s">
        <v>286</v>
      </c>
      <c r="B123" s="165">
        <v>18.0</v>
      </c>
      <c r="C123" s="35" t="s">
        <v>1973</v>
      </c>
      <c r="D123" s="35" t="s">
        <v>108</v>
      </c>
      <c r="E123" s="51" t="s">
        <v>53</v>
      </c>
      <c r="F123" s="664" t="s">
        <v>176</v>
      </c>
      <c r="G123" s="112"/>
      <c r="H123" s="112"/>
      <c r="I123" s="112" t="s">
        <v>519</v>
      </c>
      <c r="J123" s="112" t="s">
        <v>519</v>
      </c>
      <c r="K123" s="112"/>
      <c r="M123" t="str">
        <f t="shared" si="2"/>
        <v>david@oksenate.gov</v>
      </c>
    </row>
    <row r="124">
      <c r="A124" s="14" t="s">
        <v>286</v>
      </c>
      <c r="B124" s="165">
        <v>19.0</v>
      </c>
      <c r="C124" s="38" t="s">
        <v>2659</v>
      </c>
      <c r="D124" s="38" t="s">
        <v>10800</v>
      </c>
      <c r="E124" s="51" t="s">
        <v>53</v>
      </c>
      <c r="F124" s="663"/>
      <c r="G124" s="407" t="s">
        <v>515</v>
      </c>
      <c r="H124" s="112" t="s">
        <v>10789</v>
      </c>
      <c r="I124" s="112" t="s">
        <v>519</v>
      </c>
      <c r="J124" s="112" t="s">
        <v>519</v>
      </c>
      <c r="K124" s="112" t="s">
        <v>519</v>
      </c>
      <c r="M124" t="str">
        <f t="shared" si="2"/>
        <v>pederson@oksenate.gov</v>
      </c>
    </row>
    <row r="125">
      <c r="A125" s="14" t="s">
        <v>286</v>
      </c>
      <c r="B125" s="165">
        <v>20.0</v>
      </c>
      <c r="C125" s="35" t="s">
        <v>177</v>
      </c>
      <c r="D125" s="35" t="s">
        <v>293</v>
      </c>
      <c r="E125" s="51" t="s">
        <v>53</v>
      </c>
      <c r="F125" s="663"/>
      <c r="G125" s="112" t="s">
        <v>10782</v>
      </c>
      <c r="H125" s="112" t="s">
        <v>1264</v>
      </c>
      <c r="I125" s="112" t="s">
        <v>626</v>
      </c>
      <c r="J125" s="112" t="s">
        <v>10789</v>
      </c>
      <c r="K125" s="112" t="s">
        <v>519</v>
      </c>
      <c r="M125" t="str">
        <f t="shared" si="2"/>
        <v>hall@oksenate.gov</v>
      </c>
    </row>
    <row r="126">
      <c r="A126" s="14" t="s">
        <v>286</v>
      </c>
      <c r="B126" s="165">
        <v>21.0</v>
      </c>
      <c r="C126" s="38" t="s">
        <v>338</v>
      </c>
      <c r="D126" s="38" t="s">
        <v>10801</v>
      </c>
      <c r="E126" s="51" t="s">
        <v>53</v>
      </c>
      <c r="F126" s="663"/>
      <c r="G126" s="112" t="s">
        <v>626</v>
      </c>
      <c r="H126" s="112" t="s">
        <v>10789</v>
      </c>
      <c r="I126" s="112" t="s">
        <v>519</v>
      </c>
      <c r="K126" s="112" t="s">
        <v>519</v>
      </c>
      <c r="M126" t="str">
        <f t="shared" si="2"/>
        <v>dugger@oksenate.gov</v>
      </c>
    </row>
    <row r="127">
      <c r="A127" s="14" t="s">
        <v>286</v>
      </c>
      <c r="B127" s="165">
        <v>22.0</v>
      </c>
      <c r="C127" s="35" t="s">
        <v>2254</v>
      </c>
      <c r="D127" s="35" t="s">
        <v>10802</v>
      </c>
      <c r="E127" s="51" t="s">
        <v>53</v>
      </c>
      <c r="F127" s="663"/>
      <c r="G127" s="112" t="s">
        <v>732</v>
      </c>
      <c r="H127" s="112" t="s">
        <v>1264</v>
      </c>
      <c r="I127" s="112" t="s">
        <v>626</v>
      </c>
      <c r="J127" s="112" t="s">
        <v>10775</v>
      </c>
      <c r="K127" s="112" t="s">
        <v>519</v>
      </c>
      <c r="M127" t="str">
        <f t="shared" si="2"/>
        <v>bice@oksenate.gov</v>
      </c>
    </row>
    <row r="128">
      <c r="A128" s="14" t="s">
        <v>286</v>
      </c>
      <c r="B128" s="165">
        <v>23.0</v>
      </c>
      <c r="C128" s="38" t="s">
        <v>4810</v>
      </c>
      <c r="D128" s="38" t="s">
        <v>10803</v>
      </c>
      <c r="E128" s="51" t="s">
        <v>53</v>
      </c>
      <c r="F128" s="663"/>
      <c r="G128" s="14" t="s">
        <v>958</v>
      </c>
      <c r="H128" s="407" t="s">
        <v>781</v>
      </c>
      <c r="I128" s="112" t="s">
        <v>780</v>
      </c>
      <c r="J128" s="112" t="s">
        <v>10780</v>
      </c>
      <c r="M128" t="str">
        <f t="shared" si="2"/>
        <v>paxton@oksenate.gov</v>
      </c>
    </row>
    <row r="129">
      <c r="A129" s="14" t="s">
        <v>286</v>
      </c>
      <c r="B129" s="165">
        <v>24.0</v>
      </c>
      <c r="C129" s="35" t="s">
        <v>10598</v>
      </c>
      <c r="D129" s="35" t="s">
        <v>481</v>
      </c>
      <c r="E129" s="51" t="s">
        <v>53</v>
      </c>
      <c r="F129" s="663"/>
      <c r="G129" s="112" t="s">
        <v>732</v>
      </c>
      <c r="H129" s="112" t="s">
        <v>781</v>
      </c>
      <c r="I129" s="112" t="s">
        <v>10780</v>
      </c>
      <c r="J129" s="112" t="s">
        <v>519</v>
      </c>
      <c r="M129" t="str">
        <f t="shared" si="2"/>
        <v>weaver@oksenate.gov</v>
      </c>
    </row>
    <row r="130">
      <c r="A130" s="14" t="s">
        <v>286</v>
      </c>
      <c r="B130" s="165">
        <v>25.0</v>
      </c>
      <c r="C130" s="38" t="s">
        <v>622</v>
      </c>
      <c r="D130" s="38" t="s">
        <v>10804</v>
      </c>
      <c r="E130" s="51" t="s">
        <v>53</v>
      </c>
      <c r="F130" s="663"/>
      <c r="G130" s="407" t="s">
        <v>732</v>
      </c>
      <c r="H130" s="407" t="s">
        <v>515</v>
      </c>
      <c r="I130" s="112" t="s">
        <v>10775</v>
      </c>
      <c r="J130" s="112" t="s">
        <v>519</v>
      </c>
      <c r="K130" s="112" t="s">
        <v>519</v>
      </c>
      <c r="M130" t="str">
        <f t="shared" si="2"/>
        <v>newhouse@oksenate.gov</v>
      </c>
    </row>
    <row r="131">
      <c r="A131" s="14" t="s">
        <v>286</v>
      </c>
      <c r="B131" s="165">
        <v>26.0</v>
      </c>
      <c r="C131" s="35" t="s">
        <v>10806</v>
      </c>
      <c r="D131" s="35" t="s">
        <v>10807</v>
      </c>
      <c r="E131" s="51" t="s">
        <v>53</v>
      </c>
      <c r="F131" s="663"/>
      <c r="G131" s="112" t="s">
        <v>732</v>
      </c>
      <c r="H131" s="112" t="s">
        <v>781</v>
      </c>
      <c r="I131" s="112" t="s">
        <v>626</v>
      </c>
      <c r="J131" s="112" t="s">
        <v>780</v>
      </c>
      <c r="K131" s="112" t="s">
        <v>10780</v>
      </c>
      <c r="M131" t="str">
        <f t="shared" si="2"/>
        <v>jech@oksenate.gov</v>
      </c>
    </row>
    <row r="132">
      <c r="A132" s="14" t="s">
        <v>286</v>
      </c>
      <c r="B132" s="165">
        <v>27.0</v>
      </c>
      <c r="C132" s="38" t="s">
        <v>8242</v>
      </c>
      <c r="D132" s="38" t="s">
        <v>1352</v>
      </c>
      <c r="E132" s="51" t="s">
        <v>53</v>
      </c>
      <c r="F132" s="663"/>
      <c r="G132" s="407" t="s">
        <v>10782</v>
      </c>
      <c r="H132" s="407" t="s">
        <v>781</v>
      </c>
      <c r="I132" s="112" t="s">
        <v>10780</v>
      </c>
      <c r="J132" s="112" t="s">
        <v>519</v>
      </c>
      <c r="M132" t="str">
        <f t="shared" si="2"/>
        <v>murdock@oksenate.gov</v>
      </c>
    </row>
    <row r="133">
      <c r="A133" s="14" t="s">
        <v>286</v>
      </c>
      <c r="B133" s="165">
        <v>28.0</v>
      </c>
      <c r="C133" s="35" t="s">
        <v>1231</v>
      </c>
      <c r="D133" s="35" t="s">
        <v>10808</v>
      </c>
      <c r="E133" s="51" t="s">
        <v>53</v>
      </c>
      <c r="F133" s="663"/>
      <c r="G133" s="14" t="s">
        <v>601</v>
      </c>
      <c r="H133" s="14" t="s">
        <v>781</v>
      </c>
      <c r="I133" s="112" t="s">
        <v>601</v>
      </c>
      <c r="J133" s="112" t="s">
        <v>780</v>
      </c>
      <c r="K133" s="112" t="s">
        <v>10789</v>
      </c>
      <c r="M133" t="str">
        <f t="shared" si="2"/>
        <v>smalley@oksenate.gov</v>
      </c>
    </row>
    <row r="134">
      <c r="A134" s="14" t="s">
        <v>286</v>
      </c>
      <c r="B134" s="165">
        <v>29.0</v>
      </c>
      <c r="C134" s="38" t="s">
        <v>2133</v>
      </c>
      <c r="D134" s="38" t="s">
        <v>497</v>
      </c>
      <c r="E134" s="51" t="s">
        <v>53</v>
      </c>
      <c r="F134" s="663"/>
      <c r="G134" s="112" t="s">
        <v>626</v>
      </c>
      <c r="H134" s="112" t="s">
        <v>780</v>
      </c>
      <c r="I134" s="112" t="s">
        <v>10780</v>
      </c>
      <c r="M134" t="str">
        <f t="shared" si="2"/>
        <v>daniels@oksenate.gov</v>
      </c>
    </row>
    <row r="135">
      <c r="A135" s="14" t="s">
        <v>286</v>
      </c>
      <c r="B135" s="165">
        <v>30.0</v>
      </c>
      <c r="C135" s="35" t="s">
        <v>2318</v>
      </c>
      <c r="D135" s="35" t="s">
        <v>10809</v>
      </c>
      <c r="E135" s="36" t="s">
        <v>49</v>
      </c>
      <c r="F135" s="663"/>
      <c r="G135" s="112" t="s">
        <v>1264</v>
      </c>
      <c r="H135" s="112" t="s">
        <v>780</v>
      </c>
      <c r="I135" s="112" t="s">
        <v>10787</v>
      </c>
      <c r="J135" s="112" t="s">
        <v>519</v>
      </c>
      <c r="K135" s="112" t="s">
        <v>519</v>
      </c>
      <c r="M135" t="str">
        <f t="shared" si="2"/>
        <v>kirt@oksenate.gov</v>
      </c>
    </row>
    <row r="136">
      <c r="A136" s="14" t="s">
        <v>286</v>
      </c>
      <c r="B136" s="165">
        <v>31.0</v>
      </c>
      <c r="C136" s="38" t="s">
        <v>173</v>
      </c>
      <c r="D136" s="38" t="s">
        <v>7678</v>
      </c>
      <c r="E136" s="51" t="s">
        <v>53</v>
      </c>
      <c r="F136" s="663"/>
      <c r="G136" s="14" t="s">
        <v>10782</v>
      </c>
      <c r="H136" s="407" t="s">
        <v>515</v>
      </c>
      <c r="I136" s="112" t="s">
        <v>626</v>
      </c>
      <c r="J136" s="112" t="s">
        <v>10787</v>
      </c>
      <c r="K136" s="112" t="s">
        <v>519</v>
      </c>
      <c r="M136" t="str">
        <f t="shared" si="2"/>
        <v>kidd@oksenate.gov</v>
      </c>
    </row>
    <row r="137">
      <c r="A137" s="14" t="s">
        <v>286</v>
      </c>
      <c r="B137" s="165">
        <v>32.0</v>
      </c>
      <c r="C137" s="35" t="s">
        <v>278</v>
      </c>
      <c r="D137" s="35" t="s">
        <v>606</v>
      </c>
      <c r="E137" s="51" t="s">
        <v>53</v>
      </c>
      <c r="F137" s="663"/>
      <c r="G137" s="112" t="s">
        <v>10779</v>
      </c>
      <c r="H137" s="112" t="s">
        <v>1264</v>
      </c>
      <c r="I137" s="112" t="s">
        <v>626</v>
      </c>
      <c r="J137" s="112" t="s">
        <v>10789</v>
      </c>
      <c r="K137" s="112" t="s">
        <v>519</v>
      </c>
      <c r="M137" t="str">
        <f t="shared" si="2"/>
        <v>montgomery@oksenate.gov</v>
      </c>
    </row>
    <row r="138">
      <c r="A138" s="14" t="s">
        <v>286</v>
      </c>
      <c r="B138" s="165">
        <v>33.0</v>
      </c>
      <c r="C138" s="35" t="s">
        <v>6305</v>
      </c>
      <c r="D138" s="35" t="s">
        <v>10812</v>
      </c>
      <c r="E138" s="51" t="s">
        <v>53</v>
      </c>
      <c r="F138" s="663"/>
      <c r="G138" s="112" t="s">
        <v>732</v>
      </c>
      <c r="H138" s="112" t="s">
        <v>781</v>
      </c>
      <c r="I138" s="112" t="s">
        <v>10789</v>
      </c>
      <c r="J138" s="112" t="s">
        <v>519</v>
      </c>
      <c r="K138" s="112" t="s">
        <v>519</v>
      </c>
      <c r="M138" t="str">
        <f t="shared" si="2"/>
        <v>dahm@oksenate.gov</v>
      </c>
    </row>
    <row r="139">
      <c r="A139" s="14" t="s">
        <v>286</v>
      </c>
      <c r="B139" s="165">
        <v>34.0</v>
      </c>
      <c r="C139" s="38" t="s">
        <v>10813</v>
      </c>
      <c r="D139" s="38" t="s">
        <v>5140</v>
      </c>
      <c r="E139" s="36" t="s">
        <v>49</v>
      </c>
      <c r="F139" s="663"/>
      <c r="G139" s="14" t="s">
        <v>10782</v>
      </c>
      <c r="H139" s="407" t="s">
        <v>515</v>
      </c>
      <c r="I139" s="112" t="s">
        <v>626</v>
      </c>
      <c r="J139" s="112" t="s">
        <v>10787</v>
      </c>
      <c r="K139" s="112" t="s">
        <v>519</v>
      </c>
      <c r="M139" t="str">
        <f t="shared" si="2"/>
        <v>dossett@oksenate.gov</v>
      </c>
    </row>
    <row r="140">
      <c r="A140" s="14" t="s">
        <v>286</v>
      </c>
      <c r="B140" s="165">
        <v>35.0</v>
      </c>
      <c r="C140" s="35" t="s">
        <v>199</v>
      </c>
      <c r="D140" s="35" t="s">
        <v>10814</v>
      </c>
      <c r="E140" s="51" t="s">
        <v>53</v>
      </c>
      <c r="F140" s="663"/>
      <c r="G140" s="112" t="s">
        <v>10779</v>
      </c>
      <c r="H140" s="112" t="s">
        <v>515</v>
      </c>
      <c r="I140" s="112" t="s">
        <v>626</v>
      </c>
      <c r="J140" s="112" t="s">
        <v>780</v>
      </c>
      <c r="K140" s="112" t="s">
        <v>10775</v>
      </c>
      <c r="M140" t="str">
        <f t="shared" si="2"/>
        <v>stanislawski@oksenate.gov</v>
      </c>
    </row>
    <row r="141">
      <c r="A141" s="14" t="s">
        <v>286</v>
      </c>
      <c r="B141" s="165">
        <v>36.0</v>
      </c>
      <c r="C141" s="35" t="s">
        <v>278</v>
      </c>
      <c r="D141" s="35" t="s">
        <v>10815</v>
      </c>
      <c r="E141" s="51" t="s">
        <v>53</v>
      </c>
      <c r="F141" s="663"/>
      <c r="G141" s="112" t="s">
        <v>10779</v>
      </c>
      <c r="H141" s="112" t="s">
        <v>515</v>
      </c>
      <c r="I141" s="112" t="s">
        <v>10787</v>
      </c>
      <c r="J141" s="112" t="s">
        <v>519</v>
      </c>
      <c r="K141" s="112" t="s">
        <v>519</v>
      </c>
      <c r="M141" t="str">
        <f t="shared" si="2"/>
        <v>haste@oksenate.gov</v>
      </c>
    </row>
    <row r="142">
      <c r="A142" s="14" t="s">
        <v>286</v>
      </c>
      <c r="B142" s="165">
        <v>37.0</v>
      </c>
      <c r="C142" s="38" t="s">
        <v>6056</v>
      </c>
      <c r="D142" s="38" t="s">
        <v>10816</v>
      </c>
      <c r="E142" s="36" t="s">
        <v>49</v>
      </c>
      <c r="F142" s="663"/>
      <c r="G142" s="14" t="s">
        <v>601</v>
      </c>
      <c r="H142" s="14" t="s">
        <v>515</v>
      </c>
      <c r="I142" s="112" t="s">
        <v>626</v>
      </c>
      <c r="J142" s="112" t="s">
        <v>780</v>
      </c>
      <c r="K142" s="112" t="s">
        <v>519</v>
      </c>
      <c r="M142" t="str">
        <f t="shared" si="2"/>
        <v>ikley-freeman@oksenate.gov</v>
      </c>
    </row>
    <row r="143">
      <c r="A143" s="14" t="s">
        <v>286</v>
      </c>
      <c r="B143" s="165">
        <v>38.0</v>
      </c>
      <c r="C143" s="35" t="s">
        <v>3805</v>
      </c>
      <c r="D143" s="35" t="s">
        <v>297</v>
      </c>
      <c r="E143" s="51" t="s">
        <v>53</v>
      </c>
      <c r="F143" s="663"/>
      <c r="G143" s="112" t="s">
        <v>10782</v>
      </c>
      <c r="H143" s="112" t="s">
        <v>781</v>
      </c>
      <c r="I143" s="112" t="s">
        <v>10789</v>
      </c>
      <c r="J143" s="112" t="s">
        <v>519</v>
      </c>
      <c r="K143" s="112" t="s">
        <v>519</v>
      </c>
      <c r="M143" t="str">
        <f t="shared" si="2"/>
        <v>howard@oksenate.gov</v>
      </c>
    </row>
    <row r="144">
      <c r="A144" s="14" t="s">
        <v>286</v>
      </c>
      <c r="B144" s="165">
        <v>39.0</v>
      </c>
      <c r="C144" s="38" t="s">
        <v>76</v>
      </c>
      <c r="D144" s="38" t="s">
        <v>3306</v>
      </c>
      <c r="E144" s="51" t="s">
        <v>53</v>
      </c>
      <c r="F144" s="663"/>
      <c r="G144" s="14" t="s">
        <v>732</v>
      </c>
      <c r="H144" s="407" t="s">
        <v>1264</v>
      </c>
      <c r="I144" s="407" t="s">
        <v>626</v>
      </c>
      <c r="J144" s="112" t="s">
        <v>10780</v>
      </c>
      <c r="M144" t="str">
        <f t="shared" si="2"/>
        <v>rader@oksenate.gov</v>
      </c>
    </row>
    <row r="145">
      <c r="A145" s="14" t="s">
        <v>286</v>
      </c>
      <c r="B145" s="165">
        <v>40.0</v>
      </c>
      <c r="C145" s="35" t="s">
        <v>10818</v>
      </c>
      <c r="D145" s="35" t="s">
        <v>8268</v>
      </c>
      <c r="E145" s="36" t="s">
        <v>49</v>
      </c>
      <c r="F145" s="663"/>
      <c r="G145" s="112" t="s">
        <v>601</v>
      </c>
      <c r="H145" s="112" t="s">
        <v>515</v>
      </c>
      <c r="I145" s="112" t="s">
        <v>578</v>
      </c>
      <c r="J145" s="112" t="s">
        <v>519</v>
      </c>
      <c r="K145" s="112" t="s">
        <v>519</v>
      </c>
      <c r="M145" t="str">
        <f t="shared" si="2"/>
        <v>hicks@oksenate.gov</v>
      </c>
    </row>
    <row r="146">
      <c r="A146" s="14" t="s">
        <v>286</v>
      </c>
      <c r="B146" s="165">
        <v>41.0</v>
      </c>
      <c r="C146" s="38" t="s">
        <v>69</v>
      </c>
      <c r="D146" s="38" t="s">
        <v>6022</v>
      </c>
      <c r="E146" s="51" t="s">
        <v>53</v>
      </c>
      <c r="F146" s="663"/>
      <c r="G146" s="112" t="s">
        <v>578</v>
      </c>
      <c r="H146" s="112" t="s">
        <v>626</v>
      </c>
      <c r="I146" s="112" t="s">
        <v>10775</v>
      </c>
      <c r="K146" s="112" t="s">
        <v>519</v>
      </c>
      <c r="M146" t="str">
        <f t="shared" si="2"/>
        <v>pugh@oksenate.gov</v>
      </c>
    </row>
    <row r="147">
      <c r="A147" s="14" t="s">
        <v>286</v>
      </c>
      <c r="B147" s="165">
        <v>42.0</v>
      </c>
      <c r="C147" s="35" t="s">
        <v>2755</v>
      </c>
      <c r="D147" s="35" t="s">
        <v>3550</v>
      </c>
      <c r="E147" s="51" t="s">
        <v>53</v>
      </c>
      <c r="F147" s="663"/>
      <c r="G147" s="112" t="s">
        <v>10779</v>
      </c>
      <c r="H147" s="112" t="s">
        <v>1264</v>
      </c>
      <c r="I147" s="112" t="s">
        <v>10787</v>
      </c>
      <c r="J147" s="112" t="s">
        <v>519</v>
      </c>
      <c r="K147" s="112" t="s">
        <v>519</v>
      </c>
      <c r="M147" t="str">
        <f t="shared" si="2"/>
        <v>stanley@oksenate.gov</v>
      </c>
    </row>
    <row r="148">
      <c r="A148" s="14" t="s">
        <v>286</v>
      </c>
      <c r="B148" s="165">
        <v>43.0</v>
      </c>
      <c r="C148" s="38" t="s">
        <v>679</v>
      </c>
      <c r="D148" s="38" t="s">
        <v>45</v>
      </c>
      <c r="E148" s="51" t="s">
        <v>53</v>
      </c>
      <c r="F148" s="663"/>
      <c r="G148" s="14" t="s">
        <v>601</v>
      </c>
      <c r="H148" s="407" t="s">
        <v>515</v>
      </c>
      <c r="I148" s="112" t="s">
        <v>626</v>
      </c>
      <c r="J148" s="112" t="s">
        <v>10789</v>
      </c>
      <c r="K148" s="112" t="s">
        <v>519</v>
      </c>
      <c r="M148" t="str">
        <f t="shared" si="2"/>
        <v>scott@oksenate.gov</v>
      </c>
    </row>
    <row r="149">
      <c r="A149" s="14" t="s">
        <v>286</v>
      </c>
      <c r="B149" s="165">
        <v>44.0</v>
      </c>
      <c r="C149" s="35" t="s">
        <v>2490</v>
      </c>
      <c r="D149" s="35" t="s">
        <v>1141</v>
      </c>
      <c r="E149" s="36" t="s">
        <v>49</v>
      </c>
      <c r="F149" s="663"/>
      <c r="G149" s="112" t="s">
        <v>10779</v>
      </c>
      <c r="H149" s="112" t="s">
        <v>732</v>
      </c>
      <c r="I149" s="112" t="s">
        <v>781</v>
      </c>
      <c r="J149" s="112" t="s">
        <v>626</v>
      </c>
      <c r="K149" s="112" t="s">
        <v>10775</v>
      </c>
      <c r="M149" t="str">
        <f t="shared" si="2"/>
        <v>brooks@oksenate.gov</v>
      </c>
    </row>
    <row r="150">
      <c r="A150" s="14" t="s">
        <v>286</v>
      </c>
      <c r="B150" s="165">
        <v>45.0</v>
      </c>
      <c r="C150" s="38" t="s">
        <v>679</v>
      </c>
      <c r="D150" s="38" t="s">
        <v>10819</v>
      </c>
      <c r="E150" s="51" t="s">
        <v>53</v>
      </c>
      <c r="F150" s="663"/>
      <c r="G150" s="14" t="s">
        <v>601</v>
      </c>
      <c r="H150" s="407" t="s">
        <v>1264</v>
      </c>
      <c r="I150" s="112" t="s">
        <v>626</v>
      </c>
      <c r="J150" s="112" t="s">
        <v>10787</v>
      </c>
      <c r="K150" s="112" t="s">
        <v>519</v>
      </c>
      <c r="M150" t="str">
        <f t="shared" si="2"/>
        <v>rosino@oksenate.gov</v>
      </c>
    </row>
    <row r="151">
      <c r="A151" s="14" t="s">
        <v>286</v>
      </c>
      <c r="B151" s="165">
        <v>46.0</v>
      </c>
      <c r="C151" s="35" t="s">
        <v>1125</v>
      </c>
      <c r="D151" s="35" t="s">
        <v>9795</v>
      </c>
      <c r="E151" s="36" t="s">
        <v>49</v>
      </c>
      <c r="F151" s="664" t="s">
        <v>498</v>
      </c>
      <c r="G151" s="112" t="s">
        <v>781</v>
      </c>
      <c r="H151" s="112" t="s">
        <v>1264</v>
      </c>
      <c r="I151" s="112" t="s">
        <v>626</v>
      </c>
      <c r="J151" s="112" t="s">
        <v>10789</v>
      </c>
      <c r="K151" s="112" t="s">
        <v>519</v>
      </c>
      <c r="M151" t="str">
        <f t="shared" si="2"/>
        <v>floyd@oksenate.gov</v>
      </c>
    </row>
    <row r="152">
      <c r="A152" s="14" t="s">
        <v>286</v>
      </c>
      <c r="B152" s="165">
        <v>47.0</v>
      </c>
      <c r="C152" s="35" t="s">
        <v>997</v>
      </c>
      <c r="D152" s="35" t="s">
        <v>10822</v>
      </c>
      <c r="E152" s="51" t="s">
        <v>53</v>
      </c>
      <c r="F152" s="664" t="s">
        <v>903</v>
      </c>
      <c r="G152" s="112" t="s">
        <v>519</v>
      </c>
      <c r="H152" s="112" t="s">
        <v>519</v>
      </c>
      <c r="I152" s="112" t="s">
        <v>519</v>
      </c>
      <c r="J152" s="112" t="s">
        <v>519</v>
      </c>
      <c r="K152" s="112" t="s">
        <v>519</v>
      </c>
      <c r="M152" t="str">
        <f t="shared" si="2"/>
        <v>treat@oksenate.gov</v>
      </c>
    </row>
    <row r="153">
      <c r="A153" s="14" t="s">
        <v>286</v>
      </c>
      <c r="B153" s="165">
        <v>48.0</v>
      </c>
      <c r="C153" s="35" t="s">
        <v>98</v>
      </c>
      <c r="D153" s="35" t="s">
        <v>429</v>
      </c>
      <c r="E153" s="36" t="s">
        <v>49</v>
      </c>
      <c r="F153" s="663"/>
      <c r="G153" s="112" t="s">
        <v>601</v>
      </c>
      <c r="H153" s="112" t="s">
        <v>10775</v>
      </c>
      <c r="I153" s="112" t="s">
        <v>519</v>
      </c>
      <c r="J153" s="112" t="s">
        <v>10789</v>
      </c>
      <c r="K153" s="112" t="s">
        <v>519</v>
      </c>
      <c r="M153" t="str">
        <f t="shared" si="2"/>
        <v>young@oksenate.gov</v>
      </c>
    </row>
    <row r="154">
      <c r="A154" s="70"/>
      <c r="B154" s="70"/>
      <c r="C154" s="71"/>
      <c r="D154" s="71"/>
      <c r="E154" s="70"/>
      <c r="F154" s="184"/>
      <c r="G154" s="70"/>
      <c r="H154" s="70"/>
      <c r="I154" s="70"/>
      <c r="J154" s="70"/>
      <c r="K154" s="70"/>
      <c r="L154" s="70"/>
      <c r="M154" s="70"/>
      <c r="N154" s="70"/>
      <c r="O154" s="70"/>
      <c r="P154" s="70"/>
      <c r="Q154" s="70"/>
      <c r="R154" s="70"/>
      <c r="S154" s="70"/>
      <c r="T154" s="70"/>
      <c r="U154" s="70"/>
      <c r="V154" s="70"/>
      <c r="W154" s="70"/>
      <c r="X154" s="70"/>
      <c r="Y154" s="70"/>
      <c r="Z154" s="70"/>
      <c r="AA154" s="70"/>
      <c r="AB154" s="70"/>
      <c r="AC154" s="70"/>
      <c r="AD154" s="70"/>
      <c r="AE154" s="70"/>
      <c r="AF154" s="70"/>
      <c r="AG154" s="70"/>
      <c r="AH154" s="70"/>
    </row>
    <row r="155">
      <c r="A155" s="14" t="s">
        <v>421</v>
      </c>
      <c r="C155" s="77" t="s">
        <v>971</v>
      </c>
      <c r="D155" s="77" t="s">
        <v>10823</v>
      </c>
      <c r="E155" s="51" t="s">
        <v>53</v>
      </c>
      <c r="F155" s="15"/>
    </row>
    <row r="156">
      <c r="A156" s="70"/>
      <c r="B156" s="70"/>
      <c r="C156" s="71"/>
      <c r="D156" s="71"/>
      <c r="E156" s="70"/>
      <c r="F156" s="184"/>
      <c r="G156" s="70"/>
      <c r="H156" s="70"/>
      <c r="I156" s="70"/>
      <c r="J156" s="70"/>
      <c r="K156" s="70"/>
      <c r="L156" s="70"/>
      <c r="M156" s="70"/>
      <c r="N156" s="70"/>
      <c r="O156" s="70"/>
      <c r="P156" s="70"/>
      <c r="Q156" s="70"/>
      <c r="R156" s="70"/>
      <c r="S156" s="70"/>
      <c r="T156" s="70"/>
      <c r="U156" s="70"/>
      <c r="V156" s="70"/>
      <c r="W156" s="70"/>
      <c r="X156" s="70"/>
      <c r="Y156" s="70"/>
      <c r="Z156" s="70"/>
      <c r="AA156" s="70"/>
      <c r="AB156" s="70"/>
      <c r="AC156" s="70"/>
      <c r="AD156" s="70"/>
      <c r="AE156" s="70"/>
      <c r="AF156" s="70"/>
      <c r="AG156" s="70"/>
      <c r="AH156" s="70"/>
    </row>
    <row r="157">
      <c r="A157" s="14" t="s">
        <v>427</v>
      </c>
      <c r="B157" s="14">
        <v>1.0</v>
      </c>
      <c r="C157" s="77" t="s">
        <v>971</v>
      </c>
      <c r="D157" s="77" t="s">
        <v>10824</v>
      </c>
      <c r="E157" s="51" t="s">
        <v>53</v>
      </c>
      <c r="F157" s="15"/>
    </row>
    <row r="158">
      <c r="A158" s="14" t="s">
        <v>427</v>
      </c>
      <c r="B158" s="14">
        <v>2.0</v>
      </c>
      <c r="C158" s="77" t="s">
        <v>10825</v>
      </c>
      <c r="D158" s="77" t="s">
        <v>1497</v>
      </c>
      <c r="E158" s="51" t="s">
        <v>53</v>
      </c>
      <c r="F158" s="15"/>
    </row>
    <row r="159">
      <c r="A159" s="14" t="s">
        <v>427</v>
      </c>
      <c r="B159" s="14">
        <v>3.0</v>
      </c>
      <c r="C159" s="77" t="s">
        <v>1000</v>
      </c>
      <c r="D159" s="77" t="s">
        <v>4549</v>
      </c>
      <c r="E159" s="51" t="s">
        <v>53</v>
      </c>
      <c r="F159" s="15"/>
    </row>
    <row r="160">
      <c r="A160" s="14" t="s">
        <v>427</v>
      </c>
      <c r="B160" s="14">
        <v>4.0</v>
      </c>
      <c r="C160" s="77" t="s">
        <v>338</v>
      </c>
      <c r="D160" s="77" t="s">
        <v>7299</v>
      </c>
      <c r="E160" s="51" t="s">
        <v>53</v>
      </c>
      <c r="F160" s="15"/>
    </row>
    <row r="161">
      <c r="A161" s="14" t="s">
        <v>427</v>
      </c>
      <c r="B161" s="14">
        <v>5.0</v>
      </c>
      <c r="C161" s="77" t="s">
        <v>2598</v>
      </c>
      <c r="D161" s="77" t="s">
        <v>4897</v>
      </c>
      <c r="E161" s="36" t="s">
        <v>49</v>
      </c>
      <c r="F161" s="15"/>
    </row>
    <row r="162">
      <c r="A162" s="70"/>
      <c r="B162" s="70"/>
      <c r="C162" s="71"/>
      <c r="D162" s="71"/>
      <c r="E162" s="70"/>
      <c r="F162" s="184"/>
      <c r="G162" s="70"/>
      <c r="H162" s="70"/>
      <c r="I162" s="70"/>
      <c r="J162" s="70"/>
      <c r="K162" s="70"/>
      <c r="L162" s="70"/>
      <c r="M162" s="70"/>
      <c r="N162" s="70"/>
      <c r="O162" s="70"/>
      <c r="P162" s="70"/>
      <c r="Q162" s="70"/>
      <c r="R162" s="70"/>
      <c r="S162" s="70"/>
      <c r="T162" s="70"/>
      <c r="U162" s="70"/>
      <c r="V162" s="70"/>
      <c r="W162" s="70"/>
      <c r="X162" s="70"/>
      <c r="Y162" s="70"/>
      <c r="Z162" s="70"/>
      <c r="AA162" s="70"/>
      <c r="AB162" s="70"/>
      <c r="AC162" s="70"/>
      <c r="AD162" s="70"/>
      <c r="AE162" s="70"/>
      <c r="AF162" s="70"/>
      <c r="AG162" s="70"/>
      <c r="AH162" s="70"/>
    </row>
    <row r="163">
      <c r="A163" s="14" t="s">
        <v>430</v>
      </c>
      <c r="B163" s="14" t="s">
        <v>431</v>
      </c>
      <c r="C163" s="77" t="s">
        <v>476</v>
      </c>
      <c r="D163" s="77" t="s">
        <v>10826</v>
      </c>
      <c r="E163" s="51" t="s">
        <v>53</v>
      </c>
      <c r="F163" s="15"/>
    </row>
    <row r="164">
      <c r="A164" s="14" t="s">
        <v>430</v>
      </c>
      <c r="B164" s="14" t="s">
        <v>10827</v>
      </c>
      <c r="C164" s="77" t="s">
        <v>930</v>
      </c>
      <c r="D164" s="77" t="s">
        <v>10828</v>
      </c>
      <c r="E164" s="51" t="s">
        <v>53</v>
      </c>
      <c r="F164" s="15"/>
    </row>
    <row r="165">
      <c r="A165" s="70"/>
      <c r="B165" s="70"/>
      <c r="C165" s="71"/>
      <c r="D165" s="71"/>
      <c r="E165" s="70"/>
      <c r="F165" s="184"/>
      <c r="G165" s="70"/>
      <c r="H165" s="70"/>
      <c r="I165" s="70"/>
      <c r="J165" s="70"/>
      <c r="K165" s="70"/>
      <c r="L165" s="70"/>
      <c r="M165" s="70"/>
      <c r="N165" s="70"/>
      <c r="O165" s="70"/>
      <c r="P165" s="70"/>
      <c r="Q165" s="70"/>
      <c r="R165" s="70"/>
      <c r="S165" s="70"/>
      <c r="T165" s="70"/>
      <c r="U165" s="70"/>
      <c r="V165" s="70"/>
      <c r="W165" s="70"/>
      <c r="X165" s="70"/>
      <c r="Y165" s="70"/>
      <c r="Z165" s="70"/>
      <c r="AA165" s="70"/>
      <c r="AB165" s="70"/>
      <c r="AC165" s="70"/>
      <c r="AD165" s="70"/>
      <c r="AE165" s="70"/>
      <c r="AF165" s="70"/>
      <c r="AG165" s="70"/>
      <c r="AH165" s="70"/>
    </row>
    <row r="166">
      <c r="A166" s="14" t="s">
        <v>438</v>
      </c>
      <c r="C166" s="77" t="s">
        <v>157</v>
      </c>
      <c r="D166" s="77" t="s">
        <v>2354</v>
      </c>
      <c r="E166" s="51" t="s">
        <v>53</v>
      </c>
      <c r="F166" s="15"/>
    </row>
    <row r="167">
      <c r="A167" s="70"/>
      <c r="B167" s="70"/>
      <c r="C167" s="71"/>
      <c r="D167" s="71"/>
      <c r="E167" s="70"/>
      <c r="F167" s="184"/>
      <c r="G167" s="70"/>
      <c r="H167" s="70"/>
      <c r="I167" s="70"/>
      <c r="J167" s="70"/>
      <c r="K167" s="70"/>
      <c r="L167" s="70"/>
      <c r="M167" s="70"/>
      <c r="N167" s="70"/>
      <c r="O167" s="70"/>
      <c r="P167" s="70"/>
      <c r="Q167" s="70"/>
      <c r="R167" s="70"/>
      <c r="S167" s="70"/>
      <c r="T167" s="70"/>
      <c r="U167" s="70"/>
      <c r="V167" s="70"/>
      <c r="W167" s="70"/>
      <c r="X167" s="70"/>
      <c r="Y167" s="70"/>
      <c r="Z167" s="70"/>
      <c r="AA167" s="70"/>
      <c r="AB167" s="70"/>
      <c r="AC167" s="70"/>
      <c r="AD167" s="70"/>
      <c r="AE167" s="70"/>
      <c r="AF167" s="70"/>
      <c r="AG167" s="70"/>
      <c r="AH167" s="70"/>
    </row>
    <row r="168">
      <c r="C168" s="139"/>
      <c r="D168" s="139"/>
      <c r="F168" s="15"/>
    </row>
    <row r="169">
      <c r="C169" s="139"/>
      <c r="D169" s="139"/>
      <c r="F169" s="15"/>
    </row>
    <row r="170">
      <c r="C170" s="139"/>
      <c r="D170" s="139"/>
      <c r="F170" s="15"/>
    </row>
    <row r="171">
      <c r="C171" s="139"/>
      <c r="D171" s="139"/>
      <c r="F171" s="15"/>
    </row>
    <row r="172">
      <c r="C172" s="139"/>
      <c r="D172" s="139"/>
      <c r="F172" s="15"/>
    </row>
    <row r="173">
      <c r="C173" s="139"/>
      <c r="D173" s="139"/>
      <c r="F173" s="15"/>
    </row>
    <row r="174">
      <c r="C174" s="139"/>
      <c r="D174" s="139"/>
      <c r="F174" s="15"/>
    </row>
    <row r="175">
      <c r="C175" s="139"/>
      <c r="D175" s="139"/>
      <c r="F175" s="15"/>
    </row>
    <row r="176">
      <c r="C176" s="139"/>
      <c r="D176" s="139"/>
      <c r="F176" s="15"/>
    </row>
    <row r="177">
      <c r="C177" s="139"/>
      <c r="D177" s="139"/>
      <c r="F177" s="15"/>
    </row>
    <row r="178">
      <c r="C178" s="139"/>
      <c r="D178" s="139"/>
      <c r="F178" s="15"/>
    </row>
    <row r="179">
      <c r="C179" s="139"/>
      <c r="D179" s="139"/>
      <c r="F179" s="15"/>
    </row>
    <row r="180">
      <c r="C180" s="139"/>
      <c r="D180" s="139"/>
      <c r="F180" s="15"/>
    </row>
    <row r="181">
      <c r="C181" s="139"/>
      <c r="D181" s="139"/>
      <c r="F181" s="15"/>
    </row>
    <row r="182">
      <c r="C182" s="139"/>
      <c r="D182" s="139"/>
      <c r="F182" s="15"/>
    </row>
    <row r="183">
      <c r="C183" s="139"/>
      <c r="D183" s="139"/>
      <c r="F183" s="15"/>
    </row>
    <row r="184">
      <c r="C184" s="139"/>
      <c r="D184" s="139"/>
      <c r="F184" s="15"/>
    </row>
    <row r="185">
      <c r="C185" s="139"/>
      <c r="D185" s="139"/>
      <c r="F185" s="15"/>
    </row>
    <row r="186">
      <c r="C186" s="139"/>
      <c r="D186" s="139"/>
      <c r="F186" s="15"/>
    </row>
    <row r="187">
      <c r="C187" s="139"/>
      <c r="D187" s="139"/>
      <c r="F187" s="15"/>
    </row>
    <row r="188">
      <c r="C188" s="139"/>
      <c r="D188" s="139"/>
      <c r="F188" s="15"/>
    </row>
    <row r="189">
      <c r="C189" s="139"/>
      <c r="D189" s="139"/>
      <c r="F189" s="15"/>
    </row>
    <row r="190">
      <c r="C190" s="139"/>
      <c r="D190" s="139"/>
      <c r="F190" s="15"/>
    </row>
    <row r="191">
      <c r="C191" s="139"/>
      <c r="D191" s="139"/>
      <c r="F191" s="15"/>
    </row>
    <row r="192">
      <c r="C192" s="139"/>
      <c r="D192" s="139"/>
      <c r="F192" s="15"/>
    </row>
    <row r="193">
      <c r="C193" s="139"/>
      <c r="D193" s="139"/>
      <c r="F193" s="15"/>
    </row>
    <row r="194">
      <c r="C194" s="139"/>
      <c r="D194" s="139"/>
      <c r="F194" s="15"/>
    </row>
    <row r="195">
      <c r="C195" s="139"/>
      <c r="D195" s="139"/>
      <c r="F195" s="15"/>
    </row>
    <row r="196">
      <c r="C196" s="139"/>
      <c r="D196" s="139"/>
      <c r="F196" s="15"/>
    </row>
    <row r="197">
      <c r="C197" s="139"/>
      <c r="D197" s="139"/>
      <c r="F197" s="15"/>
    </row>
    <row r="198">
      <c r="C198" s="139"/>
      <c r="D198" s="139"/>
      <c r="F198" s="15"/>
    </row>
    <row r="199">
      <c r="C199" s="139"/>
      <c r="D199" s="139"/>
      <c r="F199" s="15"/>
    </row>
    <row r="200">
      <c r="C200" s="139"/>
      <c r="D200" s="139"/>
      <c r="F200" s="15"/>
    </row>
    <row r="201">
      <c r="C201" s="139"/>
      <c r="D201" s="139"/>
      <c r="F201" s="15"/>
    </row>
    <row r="202">
      <c r="C202" s="139"/>
      <c r="D202" s="139"/>
      <c r="F202" s="15"/>
    </row>
    <row r="203">
      <c r="C203" s="139"/>
      <c r="D203" s="139"/>
      <c r="F203" s="15"/>
    </row>
    <row r="204">
      <c r="C204" s="139"/>
      <c r="D204" s="139"/>
      <c r="F204" s="15"/>
    </row>
    <row r="205">
      <c r="C205" s="139"/>
      <c r="D205" s="139"/>
      <c r="F205" s="15"/>
    </row>
    <row r="206">
      <c r="C206" s="139"/>
      <c r="D206" s="139"/>
      <c r="F206" s="15"/>
    </row>
    <row r="207">
      <c r="C207" s="139"/>
      <c r="D207" s="139"/>
      <c r="F207" s="15"/>
    </row>
    <row r="208">
      <c r="C208" s="139"/>
      <c r="D208" s="139"/>
      <c r="F208" s="15"/>
    </row>
    <row r="209">
      <c r="C209" s="139"/>
      <c r="D209" s="139"/>
      <c r="F209" s="15"/>
    </row>
    <row r="210">
      <c r="C210" s="139"/>
      <c r="D210" s="139"/>
      <c r="F210" s="15"/>
    </row>
    <row r="211">
      <c r="C211" s="139"/>
      <c r="D211" s="139"/>
      <c r="F211" s="15"/>
    </row>
    <row r="212">
      <c r="C212" s="139"/>
      <c r="D212" s="139"/>
      <c r="F212" s="15"/>
    </row>
    <row r="213">
      <c r="C213" s="139"/>
      <c r="D213" s="139"/>
      <c r="F213" s="15"/>
    </row>
    <row r="214">
      <c r="C214" s="139"/>
      <c r="D214" s="139"/>
      <c r="F214" s="15"/>
    </row>
    <row r="215">
      <c r="C215" s="139"/>
      <c r="D215" s="139"/>
      <c r="F215" s="15"/>
    </row>
    <row r="216">
      <c r="C216" s="139"/>
      <c r="D216" s="139"/>
      <c r="F216" s="15"/>
    </row>
    <row r="217">
      <c r="C217" s="139"/>
      <c r="D217" s="139"/>
      <c r="F217" s="15"/>
    </row>
    <row r="218">
      <c r="C218" s="139"/>
      <c r="D218" s="139"/>
      <c r="F218" s="15"/>
    </row>
    <row r="219">
      <c r="C219" s="139"/>
      <c r="D219" s="139"/>
      <c r="F219" s="15"/>
    </row>
    <row r="220">
      <c r="C220" s="139"/>
      <c r="D220" s="139"/>
      <c r="F220" s="15"/>
    </row>
    <row r="221">
      <c r="C221" s="139"/>
      <c r="D221" s="139"/>
      <c r="F221" s="15"/>
    </row>
    <row r="222">
      <c r="C222" s="139"/>
      <c r="D222" s="139"/>
      <c r="F222" s="15"/>
    </row>
    <row r="223">
      <c r="C223" s="139"/>
      <c r="D223" s="139"/>
      <c r="F223" s="15"/>
    </row>
    <row r="224">
      <c r="C224" s="139"/>
      <c r="D224" s="139"/>
      <c r="F224" s="15"/>
    </row>
    <row r="225">
      <c r="C225" s="139"/>
      <c r="D225" s="139"/>
      <c r="F225" s="15"/>
    </row>
    <row r="226">
      <c r="C226" s="139"/>
      <c r="D226" s="139"/>
      <c r="F226" s="15"/>
    </row>
    <row r="227">
      <c r="C227" s="139"/>
      <c r="D227" s="139"/>
      <c r="F227" s="15"/>
    </row>
    <row r="228">
      <c r="C228" s="139"/>
      <c r="D228" s="139"/>
      <c r="F228" s="15"/>
    </row>
    <row r="229">
      <c r="C229" s="139"/>
      <c r="D229" s="139"/>
      <c r="F229" s="15"/>
    </row>
    <row r="230">
      <c r="C230" s="139"/>
      <c r="D230" s="139"/>
      <c r="F230" s="15"/>
    </row>
    <row r="231">
      <c r="C231" s="139"/>
      <c r="D231" s="139"/>
      <c r="F231" s="15"/>
    </row>
    <row r="232">
      <c r="C232" s="139"/>
      <c r="D232" s="139"/>
      <c r="F232" s="15"/>
    </row>
    <row r="233">
      <c r="C233" s="139"/>
      <c r="D233" s="139"/>
      <c r="F233" s="15"/>
    </row>
    <row r="234">
      <c r="C234" s="139"/>
      <c r="D234" s="139"/>
      <c r="F234" s="15"/>
    </row>
    <row r="235">
      <c r="C235" s="139"/>
      <c r="D235" s="139"/>
      <c r="F235" s="15"/>
    </row>
    <row r="236">
      <c r="C236" s="139"/>
      <c r="D236" s="139"/>
      <c r="F236" s="15"/>
    </row>
    <row r="237">
      <c r="C237" s="139"/>
      <c r="D237" s="139"/>
      <c r="F237" s="15"/>
    </row>
    <row r="238">
      <c r="C238" s="139"/>
      <c r="D238" s="139"/>
      <c r="F238" s="15"/>
    </row>
    <row r="239">
      <c r="C239" s="139"/>
      <c r="D239" s="139"/>
      <c r="F239" s="15"/>
    </row>
    <row r="240">
      <c r="C240" s="139"/>
      <c r="D240" s="139"/>
      <c r="F240" s="15"/>
    </row>
    <row r="241">
      <c r="C241" s="139"/>
      <c r="D241" s="139"/>
      <c r="F241" s="15"/>
    </row>
    <row r="242">
      <c r="C242" s="139"/>
      <c r="D242" s="139"/>
      <c r="F242" s="15"/>
    </row>
    <row r="243">
      <c r="C243" s="139"/>
      <c r="D243" s="139"/>
      <c r="F243" s="15"/>
    </row>
    <row r="244">
      <c r="C244" s="139"/>
      <c r="D244" s="139"/>
      <c r="F244" s="15"/>
    </row>
    <row r="245">
      <c r="C245" s="139"/>
      <c r="D245" s="139"/>
      <c r="F245" s="15"/>
    </row>
    <row r="246">
      <c r="C246" s="139"/>
      <c r="D246" s="139"/>
      <c r="F246" s="15"/>
    </row>
    <row r="247">
      <c r="C247" s="139"/>
      <c r="D247" s="139"/>
      <c r="F247" s="15"/>
    </row>
    <row r="248">
      <c r="C248" s="139"/>
      <c r="D248" s="139"/>
      <c r="F248" s="15"/>
    </row>
    <row r="249">
      <c r="C249" s="139"/>
      <c r="D249" s="139"/>
      <c r="F249" s="15"/>
    </row>
    <row r="250">
      <c r="C250" s="139"/>
      <c r="D250" s="139"/>
      <c r="F250" s="15"/>
    </row>
    <row r="251">
      <c r="C251" s="139"/>
      <c r="D251" s="139"/>
      <c r="F251" s="15"/>
    </row>
    <row r="252">
      <c r="C252" s="139"/>
      <c r="D252" s="139"/>
      <c r="F252" s="15"/>
    </row>
    <row r="253">
      <c r="C253" s="139"/>
      <c r="D253" s="139"/>
      <c r="F253" s="15"/>
    </row>
    <row r="254">
      <c r="C254" s="139"/>
      <c r="D254" s="139"/>
      <c r="F254" s="15"/>
    </row>
    <row r="255">
      <c r="C255" s="139"/>
      <c r="D255" s="139"/>
      <c r="F255" s="15"/>
    </row>
    <row r="256">
      <c r="C256" s="139"/>
      <c r="D256" s="139"/>
      <c r="F256" s="15"/>
    </row>
    <row r="257">
      <c r="C257" s="139"/>
      <c r="D257" s="139"/>
      <c r="F257" s="15"/>
    </row>
    <row r="258">
      <c r="C258" s="139"/>
      <c r="D258" s="139"/>
      <c r="F258" s="15"/>
    </row>
    <row r="259">
      <c r="C259" s="139"/>
      <c r="D259" s="139"/>
      <c r="F259" s="15"/>
    </row>
    <row r="260">
      <c r="C260" s="139"/>
      <c r="D260" s="139"/>
      <c r="F260" s="15"/>
    </row>
    <row r="261">
      <c r="C261" s="139"/>
      <c r="D261" s="139"/>
      <c r="F261" s="15"/>
    </row>
    <row r="262">
      <c r="C262" s="139"/>
      <c r="D262" s="139"/>
      <c r="F262" s="15"/>
    </row>
    <row r="263">
      <c r="C263" s="139"/>
      <c r="D263" s="139"/>
      <c r="F263" s="15"/>
    </row>
    <row r="264">
      <c r="C264" s="139"/>
      <c r="D264" s="139"/>
      <c r="F264" s="15"/>
    </row>
    <row r="265">
      <c r="C265" s="139"/>
      <c r="D265" s="139"/>
      <c r="F265" s="15"/>
    </row>
    <row r="266">
      <c r="C266" s="139"/>
      <c r="D266" s="139"/>
      <c r="F266" s="15"/>
    </row>
    <row r="267">
      <c r="C267" s="139"/>
      <c r="D267" s="139"/>
      <c r="F267" s="15"/>
    </row>
    <row r="268">
      <c r="C268" s="139"/>
      <c r="D268" s="139"/>
      <c r="F268" s="15"/>
    </row>
    <row r="269">
      <c r="C269" s="139"/>
      <c r="D269" s="139"/>
      <c r="F269" s="15"/>
    </row>
    <row r="270">
      <c r="C270" s="139"/>
      <c r="D270" s="139"/>
      <c r="F270" s="15"/>
    </row>
    <row r="271">
      <c r="C271" s="139"/>
      <c r="D271" s="139"/>
      <c r="F271" s="15"/>
    </row>
    <row r="272">
      <c r="C272" s="139"/>
      <c r="D272" s="139"/>
      <c r="F272" s="15"/>
    </row>
    <row r="273">
      <c r="C273" s="139"/>
      <c r="D273" s="139"/>
      <c r="F273" s="15"/>
    </row>
    <row r="274">
      <c r="C274" s="139"/>
      <c r="D274" s="139"/>
      <c r="F274" s="15"/>
    </row>
    <row r="275">
      <c r="C275" s="139"/>
      <c r="D275" s="139"/>
      <c r="F275" s="15"/>
    </row>
    <row r="276">
      <c r="C276" s="139"/>
      <c r="D276" s="139"/>
      <c r="F276" s="15"/>
    </row>
    <row r="277">
      <c r="C277" s="139"/>
      <c r="D277" s="139"/>
      <c r="F277" s="15"/>
    </row>
    <row r="278">
      <c r="C278" s="139"/>
      <c r="D278" s="139"/>
      <c r="F278" s="15"/>
    </row>
    <row r="279">
      <c r="C279" s="139"/>
      <c r="D279" s="139"/>
      <c r="F279" s="15"/>
    </row>
    <row r="280">
      <c r="C280" s="139"/>
      <c r="D280" s="139"/>
      <c r="F280" s="15"/>
    </row>
    <row r="281">
      <c r="C281" s="139"/>
      <c r="D281" s="139"/>
      <c r="F281" s="15"/>
    </row>
    <row r="282">
      <c r="C282" s="139"/>
      <c r="D282" s="139"/>
      <c r="F282" s="15"/>
    </row>
    <row r="283">
      <c r="C283" s="139"/>
      <c r="D283" s="139"/>
      <c r="F283" s="15"/>
    </row>
    <row r="284">
      <c r="C284" s="139"/>
      <c r="D284" s="139"/>
      <c r="F284" s="15"/>
    </row>
    <row r="285">
      <c r="C285" s="139"/>
      <c r="D285" s="139"/>
      <c r="F285" s="15"/>
    </row>
    <row r="286">
      <c r="C286" s="139"/>
      <c r="D286" s="139"/>
      <c r="F286" s="15"/>
    </row>
    <row r="287">
      <c r="C287" s="139"/>
      <c r="D287" s="139"/>
      <c r="F287" s="15"/>
    </row>
    <row r="288">
      <c r="C288" s="139"/>
      <c r="D288" s="139"/>
      <c r="F288" s="15"/>
    </row>
    <row r="289">
      <c r="C289" s="139"/>
      <c r="D289" s="139"/>
      <c r="F289" s="15"/>
    </row>
    <row r="290">
      <c r="C290" s="139"/>
      <c r="D290" s="139"/>
      <c r="F290" s="15"/>
    </row>
    <row r="291">
      <c r="C291" s="139"/>
      <c r="D291" s="139"/>
      <c r="F291" s="15"/>
    </row>
    <row r="292">
      <c r="C292" s="139"/>
      <c r="D292" s="139"/>
      <c r="F292" s="15"/>
    </row>
    <row r="293">
      <c r="C293" s="139"/>
      <c r="D293" s="139"/>
      <c r="F293" s="15"/>
    </row>
    <row r="294">
      <c r="C294" s="139"/>
      <c r="D294" s="139"/>
      <c r="F294" s="15"/>
    </row>
    <row r="295">
      <c r="C295" s="139"/>
      <c r="D295" s="139"/>
      <c r="F295" s="15"/>
    </row>
    <row r="296">
      <c r="C296" s="139"/>
      <c r="D296" s="139"/>
      <c r="F296" s="15"/>
    </row>
    <row r="297">
      <c r="C297" s="139"/>
      <c r="D297" s="139"/>
      <c r="F297" s="15"/>
    </row>
    <row r="298">
      <c r="C298" s="139"/>
      <c r="D298" s="139"/>
      <c r="F298" s="15"/>
    </row>
    <row r="299">
      <c r="C299" s="139"/>
      <c r="D299" s="139"/>
      <c r="F299" s="15"/>
    </row>
    <row r="300">
      <c r="C300" s="139"/>
      <c r="D300" s="139"/>
      <c r="F300" s="15"/>
    </row>
    <row r="301">
      <c r="C301" s="139"/>
      <c r="D301" s="139"/>
      <c r="F301" s="15"/>
    </row>
    <row r="302">
      <c r="C302" s="139"/>
      <c r="D302" s="139"/>
      <c r="F302" s="15"/>
    </row>
    <row r="303">
      <c r="C303" s="139"/>
      <c r="D303" s="139"/>
      <c r="F303" s="15"/>
    </row>
    <row r="304">
      <c r="C304" s="139"/>
      <c r="D304" s="139"/>
      <c r="F304" s="15"/>
    </row>
    <row r="305">
      <c r="C305" s="139"/>
      <c r="D305" s="139"/>
      <c r="F305" s="15"/>
    </row>
    <row r="306">
      <c r="C306" s="139"/>
      <c r="D306" s="139"/>
      <c r="F306" s="15"/>
    </row>
    <row r="307">
      <c r="C307" s="139"/>
      <c r="D307" s="139"/>
      <c r="F307" s="15"/>
    </row>
    <row r="308">
      <c r="C308" s="139"/>
      <c r="D308" s="139"/>
      <c r="F308" s="15"/>
    </row>
    <row r="309">
      <c r="C309" s="139"/>
      <c r="D309" s="139"/>
      <c r="F309" s="15"/>
    </row>
    <row r="310">
      <c r="C310" s="139"/>
      <c r="D310" s="139"/>
      <c r="F310" s="15"/>
    </row>
    <row r="311">
      <c r="C311" s="139"/>
      <c r="D311" s="139"/>
      <c r="F311" s="15"/>
    </row>
    <row r="312">
      <c r="C312" s="139"/>
      <c r="D312" s="139"/>
      <c r="F312" s="15"/>
    </row>
    <row r="313">
      <c r="C313" s="139"/>
      <c r="D313" s="139"/>
      <c r="F313" s="15"/>
    </row>
    <row r="314">
      <c r="C314" s="139"/>
      <c r="D314" s="139"/>
      <c r="F314" s="15"/>
    </row>
    <row r="315">
      <c r="C315" s="139"/>
      <c r="D315" s="139"/>
      <c r="F315" s="15"/>
    </row>
    <row r="316">
      <c r="C316" s="139"/>
      <c r="D316" s="139"/>
      <c r="F316" s="15"/>
    </row>
    <row r="317">
      <c r="C317" s="139"/>
      <c r="D317" s="139"/>
      <c r="F317" s="15"/>
    </row>
    <row r="318">
      <c r="C318" s="139"/>
      <c r="D318" s="139"/>
      <c r="F318" s="15"/>
    </row>
    <row r="319">
      <c r="C319" s="139"/>
      <c r="D319" s="139"/>
      <c r="F319" s="15"/>
    </row>
    <row r="320">
      <c r="C320" s="139"/>
      <c r="D320" s="139"/>
      <c r="F320" s="15"/>
    </row>
    <row r="321">
      <c r="C321" s="139"/>
      <c r="D321" s="139"/>
      <c r="F321" s="15"/>
    </row>
    <row r="322">
      <c r="C322" s="139"/>
      <c r="D322" s="139"/>
      <c r="F322" s="15"/>
    </row>
    <row r="323">
      <c r="C323" s="139"/>
      <c r="D323" s="139"/>
      <c r="F323" s="15"/>
    </row>
    <row r="324">
      <c r="C324" s="139"/>
      <c r="D324" s="139"/>
      <c r="F324" s="15"/>
    </row>
    <row r="325">
      <c r="C325" s="139"/>
      <c r="D325" s="139"/>
      <c r="F325" s="15"/>
    </row>
    <row r="326">
      <c r="C326" s="139"/>
      <c r="D326" s="139"/>
      <c r="F326" s="15"/>
    </row>
    <row r="327">
      <c r="C327" s="139"/>
      <c r="D327" s="139"/>
      <c r="F327" s="15"/>
    </row>
    <row r="328">
      <c r="C328" s="139"/>
      <c r="D328" s="139"/>
      <c r="F328" s="15"/>
    </row>
    <row r="329">
      <c r="C329" s="139"/>
      <c r="D329" s="139"/>
      <c r="F329" s="15"/>
    </row>
    <row r="330">
      <c r="C330" s="139"/>
      <c r="D330" s="139"/>
      <c r="F330" s="15"/>
    </row>
    <row r="331">
      <c r="C331" s="139"/>
      <c r="D331" s="139"/>
      <c r="F331" s="15"/>
    </row>
    <row r="332">
      <c r="C332" s="139"/>
      <c r="D332" s="139"/>
      <c r="F332" s="15"/>
    </row>
    <row r="333">
      <c r="C333" s="139"/>
      <c r="D333" s="139"/>
      <c r="F333" s="15"/>
    </row>
    <row r="334">
      <c r="C334" s="139"/>
      <c r="D334" s="139"/>
      <c r="F334" s="15"/>
    </row>
    <row r="335">
      <c r="C335" s="139"/>
      <c r="D335" s="139"/>
      <c r="F335" s="15"/>
    </row>
    <row r="336">
      <c r="C336" s="139"/>
      <c r="D336" s="139"/>
      <c r="F336" s="15"/>
    </row>
    <row r="337">
      <c r="C337" s="139"/>
      <c r="D337" s="139"/>
      <c r="F337" s="15"/>
    </row>
    <row r="338">
      <c r="C338" s="139"/>
      <c r="D338" s="139"/>
      <c r="F338" s="15"/>
    </row>
    <row r="339">
      <c r="C339" s="139"/>
      <c r="D339" s="139"/>
      <c r="F339" s="15"/>
    </row>
    <row r="340">
      <c r="C340" s="139"/>
      <c r="D340" s="139"/>
      <c r="F340" s="15"/>
    </row>
    <row r="341">
      <c r="C341" s="139"/>
      <c r="D341" s="139"/>
      <c r="F341" s="15"/>
    </row>
    <row r="342">
      <c r="C342" s="139"/>
      <c r="D342" s="139"/>
      <c r="F342" s="15"/>
    </row>
    <row r="343">
      <c r="C343" s="139"/>
      <c r="D343" s="139"/>
      <c r="F343" s="15"/>
    </row>
    <row r="344">
      <c r="C344" s="139"/>
      <c r="D344" s="139"/>
      <c r="F344" s="15"/>
    </row>
    <row r="345">
      <c r="C345" s="139"/>
      <c r="D345" s="139"/>
      <c r="F345" s="15"/>
    </row>
    <row r="346">
      <c r="C346" s="139"/>
      <c r="D346" s="139"/>
      <c r="F346" s="15"/>
    </row>
    <row r="347">
      <c r="C347" s="139"/>
      <c r="D347" s="139"/>
      <c r="F347" s="15"/>
    </row>
    <row r="348">
      <c r="C348" s="139"/>
      <c r="D348" s="139"/>
      <c r="F348" s="15"/>
    </row>
    <row r="349">
      <c r="C349" s="139"/>
      <c r="D349" s="139"/>
      <c r="F349" s="15"/>
    </row>
    <row r="350">
      <c r="C350" s="139"/>
      <c r="D350" s="139"/>
      <c r="F350" s="15"/>
    </row>
    <row r="351">
      <c r="C351" s="139"/>
      <c r="D351" s="139"/>
      <c r="F351" s="15"/>
    </row>
    <row r="352">
      <c r="C352" s="139"/>
      <c r="D352" s="139"/>
      <c r="F352" s="15"/>
    </row>
    <row r="353">
      <c r="C353" s="139"/>
      <c r="D353" s="139"/>
      <c r="F353" s="15"/>
    </row>
    <row r="354">
      <c r="C354" s="139"/>
      <c r="D354" s="139"/>
      <c r="F354" s="15"/>
    </row>
    <row r="355">
      <c r="C355" s="139"/>
      <c r="D355" s="139"/>
      <c r="F355" s="15"/>
    </row>
    <row r="356">
      <c r="C356" s="139"/>
      <c r="D356" s="139"/>
      <c r="F356" s="15"/>
    </row>
    <row r="357">
      <c r="C357" s="139"/>
      <c r="D357" s="139"/>
      <c r="F357" s="15"/>
    </row>
    <row r="358">
      <c r="C358" s="139"/>
      <c r="D358" s="139"/>
      <c r="F358" s="15"/>
    </row>
    <row r="359">
      <c r="C359" s="139"/>
      <c r="D359" s="139"/>
      <c r="F359" s="15"/>
    </row>
    <row r="360">
      <c r="C360" s="139"/>
      <c r="D360" s="139"/>
      <c r="F360" s="15"/>
    </row>
    <row r="361">
      <c r="C361" s="139"/>
      <c r="D361" s="139"/>
      <c r="F361" s="15"/>
    </row>
    <row r="362">
      <c r="C362" s="139"/>
      <c r="D362" s="139"/>
      <c r="F362" s="15"/>
    </row>
    <row r="363">
      <c r="C363" s="139"/>
      <c r="D363" s="139"/>
      <c r="F363" s="15"/>
    </row>
    <row r="364">
      <c r="C364" s="139"/>
      <c r="D364" s="139"/>
      <c r="F364" s="15"/>
    </row>
    <row r="365">
      <c r="C365" s="139"/>
      <c r="D365" s="139"/>
      <c r="F365" s="15"/>
    </row>
    <row r="366">
      <c r="C366" s="139"/>
      <c r="D366" s="139"/>
      <c r="F366" s="15"/>
    </row>
    <row r="367">
      <c r="C367" s="139"/>
      <c r="D367" s="139"/>
      <c r="F367" s="15"/>
    </row>
    <row r="368">
      <c r="C368" s="139"/>
      <c r="D368" s="139"/>
      <c r="F368" s="15"/>
    </row>
    <row r="369">
      <c r="C369" s="139"/>
      <c r="D369" s="139"/>
      <c r="F369" s="15"/>
    </row>
    <row r="370">
      <c r="C370" s="139"/>
      <c r="D370" s="139"/>
      <c r="F370" s="15"/>
    </row>
    <row r="371">
      <c r="C371" s="139"/>
      <c r="D371" s="139"/>
      <c r="F371" s="15"/>
    </row>
    <row r="372">
      <c r="C372" s="139"/>
      <c r="D372" s="139"/>
      <c r="F372" s="15"/>
    </row>
    <row r="373">
      <c r="C373" s="139"/>
      <c r="D373" s="139"/>
      <c r="F373" s="15"/>
    </row>
    <row r="374">
      <c r="C374" s="139"/>
      <c r="D374" s="139"/>
      <c r="F374" s="15"/>
    </row>
    <row r="375">
      <c r="C375" s="139"/>
      <c r="D375" s="139"/>
      <c r="F375" s="15"/>
    </row>
    <row r="376">
      <c r="C376" s="139"/>
      <c r="D376" s="139"/>
      <c r="F376" s="15"/>
    </row>
    <row r="377">
      <c r="C377" s="139"/>
      <c r="D377" s="139"/>
      <c r="F377" s="15"/>
    </row>
    <row r="378">
      <c r="C378" s="139"/>
      <c r="D378" s="139"/>
      <c r="F378" s="15"/>
    </row>
    <row r="379">
      <c r="C379" s="139"/>
      <c r="D379" s="139"/>
      <c r="F379" s="15"/>
    </row>
    <row r="380">
      <c r="C380" s="139"/>
      <c r="D380" s="139"/>
      <c r="F380" s="15"/>
    </row>
    <row r="381">
      <c r="C381" s="139"/>
      <c r="D381" s="139"/>
      <c r="F381" s="15"/>
    </row>
    <row r="382">
      <c r="C382" s="139"/>
      <c r="D382" s="139"/>
      <c r="F382" s="15"/>
    </row>
    <row r="383">
      <c r="C383" s="139"/>
      <c r="D383" s="139"/>
      <c r="F383" s="15"/>
    </row>
    <row r="384">
      <c r="C384" s="139"/>
      <c r="D384" s="139"/>
      <c r="F384" s="15"/>
    </row>
    <row r="385">
      <c r="C385" s="139"/>
      <c r="D385" s="139"/>
      <c r="F385" s="15"/>
    </row>
    <row r="386">
      <c r="C386" s="139"/>
      <c r="D386" s="139"/>
      <c r="F386" s="15"/>
    </row>
    <row r="387">
      <c r="C387" s="139"/>
      <c r="D387" s="139"/>
      <c r="F387" s="15"/>
    </row>
    <row r="388">
      <c r="C388" s="139"/>
      <c r="D388" s="139"/>
      <c r="F388" s="15"/>
    </row>
    <row r="389">
      <c r="C389" s="139"/>
      <c r="D389" s="139"/>
      <c r="F389" s="15"/>
    </row>
    <row r="390">
      <c r="C390" s="139"/>
      <c r="D390" s="139"/>
      <c r="F390" s="15"/>
    </row>
    <row r="391">
      <c r="C391" s="139"/>
      <c r="D391" s="139"/>
      <c r="F391" s="15"/>
    </row>
    <row r="392">
      <c r="C392" s="139"/>
      <c r="D392" s="139"/>
      <c r="F392" s="15"/>
    </row>
    <row r="393">
      <c r="C393" s="139"/>
      <c r="D393" s="139"/>
      <c r="F393" s="15"/>
    </row>
    <row r="394">
      <c r="C394" s="139"/>
      <c r="D394" s="139"/>
      <c r="F394" s="15"/>
    </row>
    <row r="395">
      <c r="C395" s="139"/>
      <c r="D395" s="139"/>
      <c r="F395" s="15"/>
    </row>
    <row r="396">
      <c r="C396" s="139"/>
      <c r="D396" s="139"/>
      <c r="F396" s="15"/>
    </row>
    <row r="397">
      <c r="C397" s="139"/>
      <c r="D397" s="139"/>
      <c r="F397" s="15"/>
    </row>
    <row r="398">
      <c r="C398" s="139"/>
      <c r="D398" s="139"/>
      <c r="F398" s="15"/>
    </row>
    <row r="399">
      <c r="C399" s="139"/>
      <c r="D399" s="139"/>
      <c r="F399" s="15"/>
    </row>
    <row r="400">
      <c r="C400" s="139"/>
      <c r="D400" s="139"/>
      <c r="F400" s="15"/>
    </row>
    <row r="401">
      <c r="C401" s="139"/>
      <c r="D401" s="139"/>
      <c r="F401" s="15"/>
    </row>
    <row r="402">
      <c r="C402" s="139"/>
      <c r="D402" s="139"/>
      <c r="F402" s="15"/>
    </row>
    <row r="403">
      <c r="C403" s="139"/>
      <c r="D403" s="139"/>
      <c r="F403" s="15"/>
    </row>
    <row r="404">
      <c r="C404" s="139"/>
      <c r="D404" s="139"/>
      <c r="F404" s="15"/>
    </row>
    <row r="405">
      <c r="C405" s="139"/>
      <c r="D405" s="139"/>
      <c r="F405" s="15"/>
    </row>
    <row r="406">
      <c r="C406" s="139"/>
      <c r="D406" s="139"/>
      <c r="F406" s="15"/>
    </row>
    <row r="407">
      <c r="C407" s="139"/>
      <c r="D407" s="139"/>
      <c r="F407" s="15"/>
    </row>
    <row r="408">
      <c r="C408" s="139"/>
      <c r="D408" s="139"/>
      <c r="F408" s="15"/>
    </row>
    <row r="409">
      <c r="C409" s="139"/>
      <c r="D409" s="139"/>
      <c r="F409" s="15"/>
    </row>
    <row r="410">
      <c r="C410" s="139"/>
      <c r="D410" s="139"/>
      <c r="F410" s="15"/>
    </row>
    <row r="411">
      <c r="C411" s="139"/>
      <c r="D411" s="139"/>
      <c r="F411" s="15"/>
    </row>
    <row r="412">
      <c r="C412" s="139"/>
      <c r="D412" s="139"/>
      <c r="F412" s="15"/>
    </row>
    <row r="413">
      <c r="C413" s="139"/>
      <c r="D413" s="139"/>
      <c r="F413" s="15"/>
    </row>
    <row r="414">
      <c r="C414" s="139"/>
      <c r="D414" s="139"/>
      <c r="F414" s="15"/>
    </row>
    <row r="415">
      <c r="C415" s="139"/>
      <c r="D415" s="139"/>
      <c r="F415" s="15"/>
    </row>
    <row r="416">
      <c r="C416" s="139"/>
      <c r="D416" s="139"/>
      <c r="F416" s="15"/>
    </row>
    <row r="417">
      <c r="C417" s="139"/>
      <c r="D417" s="139"/>
      <c r="F417" s="15"/>
    </row>
    <row r="418">
      <c r="C418" s="139"/>
      <c r="D418" s="139"/>
      <c r="F418" s="15"/>
    </row>
    <row r="419">
      <c r="C419" s="139"/>
      <c r="D419" s="139"/>
      <c r="F419" s="15"/>
    </row>
    <row r="420">
      <c r="C420" s="139"/>
      <c r="D420" s="139"/>
      <c r="F420" s="15"/>
    </row>
    <row r="421">
      <c r="C421" s="139"/>
      <c r="D421" s="139"/>
      <c r="F421" s="15"/>
    </row>
    <row r="422">
      <c r="C422" s="139"/>
      <c r="D422" s="139"/>
      <c r="F422" s="15"/>
    </row>
    <row r="423">
      <c r="C423" s="139"/>
      <c r="D423" s="139"/>
      <c r="F423" s="15"/>
    </row>
    <row r="424">
      <c r="C424" s="139"/>
      <c r="D424" s="139"/>
      <c r="F424" s="15"/>
    </row>
    <row r="425">
      <c r="C425" s="139"/>
      <c r="D425" s="139"/>
      <c r="F425" s="15"/>
    </row>
    <row r="426">
      <c r="C426" s="139"/>
      <c r="D426" s="139"/>
      <c r="F426" s="15"/>
    </row>
    <row r="427">
      <c r="C427" s="139"/>
      <c r="D427" s="139"/>
      <c r="F427" s="15"/>
    </row>
    <row r="428">
      <c r="C428" s="139"/>
      <c r="D428" s="139"/>
      <c r="F428" s="15"/>
    </row>
    <row r="429">
      <c r="C429" s="139"/>
      <c r="D429" s="139"/>
      <c r="F429" s="15"/>
    </row>
    <row r="430">
      <c r="C430" s="139"/>
      <c r="D430" s="139"/>
      <c r="F430" s="15"/>
    </row>
    <row r="431">
      <c r="C431" s="139"/>
      <c r="D431" s="139"/>
      <c r="F431" s="15"/>
    </row>
    <row r="432">
      <c r="C432" s="139"/>
      <c r="D432" s="139"/>
      <c r="F432" s="15"/>
    </row>
    <row r="433">
      <c r="C433" s="139"/>
      <c r="D433" s="139"/>
      <c r="F433" s="15"/>
    </row>
    <row r="434">
      <c r="C434" s="139"/>
      <c r="D434" s="139"/>
      <c r="F434" s="15"/>
    </row>
    <row r="435">
      <c r="C435" s="139"/>
      <c r="D435" s="139"/>
      <c r="F435" s="15"/>
    </row>
    <row r="436">
      <c r="C436" s="139"/>
      <c r="D436" s="139"/>
      <c r="F436" s="15"/>
    </row>
    <row r="437">
      <c r="C437" s="139"/>
      <c r="D437" s="139"/>
      <c r="F437" s="15"/>
    </row>
    <row r="438">
      <c r="C438" s="139"/>
      <c r="D438" s="139"/>
      <c r="F438" s="15"/>
    </row>
    <row r="439">
      <c r="C439" s="139"/>
      <c r="D439" s="139"/>
      <c r="F439" s="15"/>
    </row>
    <row r="440">
      <c r="C440" s="139"/>
      <c r="D440" s="139"/>
      <c r="F440" s="15"/>
    </row>
    <row r="441">
      <c r="C441" s="139"/>
      <c r="D441" s="139"/>
      <c r="F441" s="15"/>
    </row>
    <row r="442">
      <c r="C442" s="139"/>
      <c r="D442" s="139"/>
      <c r="F442" s="15"/>
    </row>
    <row r="443">
      <c r="C443" s="139"/>
      <c r="D443" s="139"/>
      <c r="F443" s="15"/>
    </row>
    <row r="444">
      <c r="C444" s="139"/>
      <c r="D444" s="139"/>
      <c r="F444" s="15"/>
    </row>
    <row r="445">
      <c r="C445" s="139"/>
      <c r="D445" s="139"/>
      <c r="F445" s="15"/>
    </row>
    <row r="446">
      <c r="C446" s="139"/>
      <c r="D446" s="139"/>
      <c r="F446" s="15"/>
    </row>
    <row r="447">
      <c r="C447" s="139"/>
      <c r="D447" s="139"/>
      <c r="F447" s="15"/>
    </row>
    <row r="448">
      <c r="C448" s="139"/>
      <c r="D448" s="139"/>
      <c r="F448" s="15"/>
    </row>
    <row r="449">
      <c r="C449" s="139"/>
      <c r="D449" s="139"/>
      <c r="F449" s="15"/>
    </row>
    <row r="450">
      <c r="C450" s="139"/>
      <c r="D450" s="139"/>
      <c r="F450" s="15"/>
    </row>
    <row r="451">
      <c r="C451" s="139"/>
      <c r="D451" s="139"/>
      <c r="F451" s="15"/>
    </row>
    <row r="452">
      <c r="C452" s="139"/>
      <c r="D452" s="139"/>
      <c r="F452" s="15"/>
    </row>
    <row r="453">
      <c r="C453" s="139"/>
      <c r="D453" s="139"/>
      <c r="F453" s="15"/>
    </row>
    <row r="454">
      <c r="C454" s="139"/>
      <c r="D454" s="139"/>
      <c r="F454" s="15"/>
    </row>
    <row r="455">
      <c r="C455" s="139"/>
      <c r="D455" s="139"/>
      <c r="F455" s="15"/>
    </row>
    <row r="456">
      <c r="C456" s="139"/>
      <c r="D456" s="139"/>
      <c r="F456" s="15"/>
    </row>
    <row r="457">
      <c r="C457" s="139"/>
      <c r="D457" s="139"/>
      <c r="F457" s="15"/>
    </row>
    <row r="458">
      <c r="C458" s="139"/>
      <c r="D458" s="139"/>
      <c r="F458" s="15"/>
    </row>
    <row r="459">
      <c r="C459" s="139"/>
      <c r="D459" s="139"/>
      <c r="F459" s="15"/>
    </row>
    <row r="460">
      <c r="C460" s="139"/>
      <c r="D460" s="139"/>
      <c r="F460" s="15"/>
    </row>
    <row r="461">
      <c r="C461" s="139"/>
      <c r="D461" s="139"/>
      <c r="F461" s="15"/>
    </row>
    <row r="462">
      <c r="C462" s="139"/>
      <c r="D462" s="139"/>
      <c r="F462" s="15"/>
    </row>
    <row r="463">
      <c r="C463" s="139"/>
      <c r="D463" s="139"/>
      <c r="F463" s="15"/>
    </row>
    <row r="464">
      <c r="C464" s="139"/>
      <c r="D464" s="139"/>
      <c r="F464" s="15"/>
    </row>
    <row r="465">
      <c r="C465" s="139"/>
      <c r="D465" s="139"/>
      <c r="F465" s="15"/>
    </row>
    <row r="466">
      <c r="C466" s="139"/>
      <c r="D466" s="139"/>
      <c r="F466" s="15"/>
    </row>
    <row r="467">
      <c r="C467" s="139"/>
      <c r="D467" s="139"/>
      <c r="F467" s="15"/>
    </row>
    <row r="468">
      <c r="C468" s="139"/>
      <c r="D468" s="139"/>
      <c r="F468" s="15"/>
    </row>
    <row r="469">
      <c r="C469" s="139"/>
      <c r="D469" s="139"/>
      <c r="F469" s="15"/>
    </row>
    <row r="470">
      <c r="C470" s="139"/>
      <c r="D470" s="139"/>
      <c r="F470" s="15"/>
    </row>
    <row r="471">
      <c r="C471" s="139"/>
      <c r="D471" s="139"/>
      <c r="F471" s="15"/>
    </row>
    <row r="472">
      <c r="C472" s="139"/>
      <c r="D472" s="139"/>
      <c r="F472" s="15"/>
    </row>
    <row r="473">
      <c r="C473" s="139"/>
      <c r="D473" s="139"/>
      <c r="F473" s="15"/>
    </row>
    <row r="474">
      <c r="C474" s="139"/>
      <c r="D474" s="139"/>
      <c r="F474" s="15"/>
    </row>
    <row r="475">
      <c r="C475" s="139"/>
      <c r="D475" s="139"/>
      <c r="F475" s="15"/>
    </row>
    <row r="476">
      <c r="C476" s="139"/>
      <c r="D476" s="139"/>
      <c r="F476" s="15"/>
    </row>
    <row r="477">
      <c r="C477" s="139"/>
      <c r="D477" s="139"/>
      <c r="F477" s="15"/>
    </row>
    <row r="478">
      <c r="C478" s="139"/>
      <c r="D478" s="139"/>
      <c r="F478" s="15"/>
    </row>
    <row r="479">
      <c r="C479" s="139"/>
      <c r="D479" s="139"/>
      <c r="F479" s="15"/>
    </row>
    <row r="480">
      <c r="C480" s="139"/>
      <c r="D480" s="139"/>
      <c r="F480" s="15"/>
    </row>
    <row r="481">
      <c r="C481" s="139"/>
      <c r="D481" s="139"/>
      <c r="F481" s="15"/>
    </row>
    <row r="482">
      <c r="C482" s="139"/>
      <c r="D482" s="139"/>
      <c r="F482" s="15"/>
    </row>
    <row r="483">
      <c r="C483" s="139"/>
      <c r="D483" s="139"/>
      <c r="F483" s="15"/>
    </row>
    <row r="484">
      <c r="C484" s="139"/>
      <c r="D484" s="139"/>
      <c r="F484" s="15"/>
    </row>
    <row r="485">
      <c r="C485" s="139"/>
      <c r="D485" s="139"/>
      <c r="F485" s="15"/>
    </row>
    <row r="486">
      <c r="C486" s="139"/>
      <c r="D486" s="139"/>
      <c r="F486" s="15"/>
    </row>
    <row r="487">
      <c r="C487" s="139"/>
      <c r="D487" s="139"/>
      <c r="F487" s="15"/>
    </row>
    <row r="488">
      <c r="C488" s="139"/>
      <c r="D488" s="139"/>
      <c r="F488" s="15"/>
    </row>
    <row r="489">
      <c r="C489" s="139"/>
      <c r="D489" s="139"/>
      <c r="F489" s="15"/>
    </row>
    <row r="490">
      <c r="C490" s="139"/>
      <c r="D490" s="139"/>
      <c r="F490" s="15"/>
    </row>
    <row r="491">
      <c r="C491" s="139"/>
      <c r="D491" s="139"/>
      <c r="F491" s="15"/>
    </row>
    <row r="492">
      <c r="C492" s="139"/>
      <c r="D492" s="139"/>
      <c r="F492" s="15"/>
    </row>
    <row r="493">
      <c r="C493" s="139"/>
      <c r="D493" s="139"/>
      <c r="F493" s="15"/>
    </row>
    <row r="494">
      <c r="C494" s="139"/>
      <c r="D494" s="139"/>
      <c r="F494" s="15"/>
    </row>
    <row r="495">
      <c r="C495" s="139"/>
      <c r="D495" s="139"/>
      <c r="F495" s="15"/>
    </row>
    <row r="496">
      <c r="C496" s="139"/>
      <c r="D496" s="139"/>
      <c r="F496" s="15"/>
    </row>
    <row r="497">
      <c r="C497" s="139"/>
      <c r="D497" s="139"/>
      <c r="F497" s="15"/>
    </row>
    <row r="498">
      <c r="C498" s="139"/>
      <c r="D498" s="139"/>
      <c r="F498" s="15"/>
    </row>
    <row r="499">
      <c r="C499" s="139"/>
      <c r="D499" s="139"/>
      <c r="F499" s="15"/>
    </row>
    <row r="500">
      <c r="C500" s="139"/>
      <c r="D500" s="139"/>
      <c r="F500" s="15"/>
    </row>
    <row r="501">
      <c r="C501" s="139"/>
      <c r="D501" s="139"/>
      <c r="F501" s="15"/>
    </row>
    <row r="502">
      <c r="C502" s="139"/>
      <c r="D502" s="139"/>
      <c r="F502" s="15"/>
    </row>
    <row r="503">
      <c r="C503" s="139"/>
      <c r="D503" s="139"/>
      <c r="F503" s="15"/>
    </row>
    <row r="504">
      <c r="C504" s="139"/>
      <c r="D504" s="139"/>
      <c r="F504" s="15"/>
    </row>
    <row r="505">
      <c r="C505" s="139"/>
      <c r="D505" s="139"/>
      <c r="F505" s="15"/>
    </row>
    <row r="506">
      <c r="C506" s="139"/>
      <c r="D506" s="139"/>
      <c r="F506" s="15"/>
    </row>
    <row r="507">
      <c r="C507" s="139"/>
      <c r="D507" s="139"/>
      <c r="F507" s="15"/>
    </row>
    <row r="508">
      <c r="C508" s="139"/>
      <c r="D508" s="139"/>
      <c r="F508" s="15"/>
    </row>
    <row r="509">
      <c r="C509" s="139"/>
      <c r="D509" s="139"/>
      <c r="F509" s="15"/>
    </row>
    <row r="510">
      <c r="C510" s="139"/>
      <c r="D510" s="139"/>
      <c r="F510" s="15"/>
    </row>
    <row r="511">
      <c r="C511" s="139"/>
      <c r="D511" s="139"/>
      <c r="F511" s="15"/>
    </row>
    <row r="512">
      <c r="C512" s="139"/>
      <c r="D512" s="139"/>
      <c r="F512" s="15"/>
    </row>
    <row r="513">
      <c r="C513" s="139"/>
      <c r="D513" s="139"/>
      <c r="F513" s="15"/>
    </row>
    <row r="514">
      <c r="C514" s="139"/>
      <c r="D514" s="139"/>
      <c r="F514" s="15"/>
    </row>
    <row r="515">
      <c r="C515" s="139"/>
      <c r="D515" s="139"/>
      <c r="F515" s="15"/>
    </row>
    <row r="516">
      <c r="C516" s="139"/>
      <c r="D516" s="139"/>
      <c r="F516" s="15"/>
    </row>
    <row r="517">
      <c r="C517" s="139"/>
      <c r="D517" s="139"/>
      <c r="F517" s="15"/>
    </row>
    <row r="518">
      <c r="C518" s="139"/>
      <c r="D518" s="139"/>
      <c r="F518" s="15"/>
    </row>
    <row r="519">
      <c r="C519" s="139"/>
      <c r="D519" s="139"/>
      <c r="F519" s="15"/>
    </row>
    <row r="520">
      <c r="C520" s="139"/>
      <c r="D520" s="139"/>
      <c r="F520" s="15"/>
    </row>
    <row r="521">
      <c r="C521" s="139"/>
      <c r="D521" s="139"/>
      <c r="F521" s="15"/>
    </row>
    <row r="522">
      <c r="C522" s="139"/>
      <c r="D522" s="139"/>
      <c r="F522" s="15"/>
    </row>
    <row r="523">
      <c r="C523" s="139"/>
      <c r="D523" s="139"/>
      <c r="F523" s="15"/>
    </row>
    <row r="524">
      <c r="C524" s="139"/>
      <c r="D524" s="139"/>
      <c r="F524" s="15"/>
    </row>
    <row r="525">
      <c r="C525" s="139"/>
      <c r="D525" s="139"/>
      <c r="F525" s="15"/>
    </row>
    <row r="526">
      <c r="C526" s="139"/>
      <c r="D526" s="139"/>
      <c r="F526" s="15"/>
    </row>
    <row r="527">
      <c r="C527" s="139"/>
      <c r="D527" s="139"/>
      <c r="F527" s="15"/>
    </row>
    <row r="528">
      <c r="C528" s="139"/>
      <c r="D528" s="139"/>
      <c r="F528" s="15"/>
    </row>
    <row r="529">
      <c r="C529" s="139"/>
      <c r="D529" s="139"/>
      <c r="F529" s="15"/>
    </row>
    <row r="530">
      <c r="C530" s="139"/>
      <c r="D530" s="139"/>
      <c r="F530" s="15"/>
    </row>
    <row r="531">
      <c r="C531" s="139"/>
      <c r="D531" s="139"/>
      <c r="F531" s="15"/>
    </row>
    <row r="532">
      <c r="C532" s="139"/>
      <c r="D532" s="139"/>
      <c r="F532" s="15"/>
    </row>
    <row r="533">
      <c r="C533" s="139"/>
      <c r="D533" s="139"/>
      <c r="F533" s="15"/>
    </row>
    <row r="534">
      <c r="C534" s="139"/>
      <c r="D534" s="139"/>
      <c r="F534" s="15"/>
    </row>
    <row r="535">
      <c r="C535" s="139"/>
      <c r="D535" s="139"/>
      <c r="F535" s="15"/>
    </row>
    <row r="536">
      <c r="C536" s="139"/>
      <c r="D536" s="139"/>
      <c r="F536" s="15"/>
    </row>
    <row r="537">
      <c r="C537" s="139"/>
      <c r="D537" s="139"/>
      <c r="F537" s="15"/>
    </row>
    <row r="538">
      <c r="C538" s="139"/>
      <c r="D538" s="139"/>
      <c r="F538" s="15"/>
    </row>
    <row r="539">
      <c r="C539" s="139"/>
      <c r="D539" s="139"/>
      <c r="F539" s="15"/>
    </row>
    <row r="540">
      <c r="C540" s="139"/>
      <c r="D540" s="139"/>
      <c r="F540" s="15"/>
    </row>
    <row r="541">
      <c r="C541" s="139"/>
      <c r="D541" s="139"/>
      <c r="F541" s="15"/>
    </row>
    <row r="542">
      <c r="C542" s="139"/>
      <c r="D542" s="139"/>
      <c r="F542" s="15"/>
    </row>
    <row r="543">
      <c r="C543" s="139"/>
      <c r="D543" s="139"/>
      <c r="F543" s="15"/>
    </row>
    <row r="544">
      <c r="C544" s="139"/>
      <c r="D544" s="139"/>
      <c r="F544" s="15"/>
    </row>
    <row r="545">
      <c r="C545" s="139"/>
      <c r="D545" s="139"/>
      <c r="F545" s="15"/>
    </row>
    <row r="546">
      <c r="C546" s="139"/>
      <c r="D546" s="139"/>
      <c r="F546" s="15"/>
    </row>
    <row r="547">
      <c r="C547" s="139"/>
      <c r="D547" s="139"/>
      <c r="F547" s="15"/>
    </row>
    <row r="548">
      <c r="C548" s="139"/>
      <c r="D548" s="139"/>
      <c r="F548" s="15"/>
    </row>
    <row r="549">
      <c r="C549" s="139"/>
      <c r="D549" s="139"/>
      <c r="F549" s="15"/>
    </row>
    <row r="550">
      <c r="C550" s="139"/>
      <c r="D550" s="139"/>
      <c r="F550" s="15"/>
    </row>
    <row r="551">
      <c r="C551" s="139"/>
      <c r="D551" s="139"/>
      <c r="F551" s="15"/>
    </row>
    <row r="552">
      <c r="C552" s="139"/>
      <c r="D552" s="139"/>
      <c r="F552" s="15"/>
    </row>
    <row r="553">
      <c r="C553" s="139"/>
      <c r="D553" s="139"/>
      <c r="F553" s="15"/>
    </row>
    <row r="554">
      <c r="C554" s="139"/>
      <c r="D554" s="139"/>
      <c r="F554" s="15"/>
    </row>
    <row r="555">
      <c r="C555" s="139"/>
      <c r="D555" s="139"/>
      <c r="F555" s="15"/>
    </row>
    <row r="556">
      <c r="C556" s="139"/>
      <c r="D556" s="139"/>
      <c r="F556" s="15"/>
    </row>
    <row r="557">
      <c r="C557" s="139"/>
      <c r="D557" s="139"/>
      <c r="F557" s="15"/>
    </row>
    <row r="558">
      <c r="C558" s="139"/>
      <c r="D558" s="139"/>
      <c r="F558" s="15"/>
    </row>
    <row r="559">
      <c r="C559" s="139"/>
      <c r="D559" s="139"/>
      <c r="F559" s="15"/>
    </row>
    <row r="560">
      <c r="C560" s="139"/>
      <c r="D560" s="139"/>
      <c r="F560" s="15"/>
    </row>
    <row r="561">
      <c r="C561" s="139"/>
      <c r="D561" s="139"/>
      <c r="F561" s="15"/>
    </row>
    <row r="562">
      <c r="C562" s="139"/>
      <c r="D562" s="139"/>
      <c r="F562" s="15"/>
    </row>
    <row r="563">
      <c r="C563" s="139"/>
      <c r="D563" s="139"/>
      <c r="F563" s="15"/>
    </row>
    <row r="564">
      <c r="C564" s="139"/>
      <c r="D564" s="139"/>
      <c r="F564" s="15"/>
    </row>
    <row r="565">
      <c r="C565" s="139"/>
      <c r="D565" s="139"/>
      <c r="F565" s="15"/>
    </row>
    <row r="566">
      <c r="C566" s="139"/>
      <c r="D566" s="139"/>
      <c r="F566" s="15"/>
    </row>
    <row r="567">
      <c r="C567" s="139"/>
      <c r="D567" s="139"/>
      <c r="F567" s="15"/>
    </row>
    <row r="568">
      <c r="C568" s="139"/>
      <c r="D568" s="139"/>
      <c r="F568" s="15"/>
    </row>
    <row r="569">
      <c r="C569" s="139"/>
      <c r="D569" s="139"/>
      <c r="F569" s="15"/>
    </row>
    <row r="570">
      <c r="C570" s="139"/>
      <c r="D570" s="139"/>
      <c r="F570" s="15"/>
    </row>
    <row r="571">
      <c r="C571" s="139"/>
      <c r="D571" s="139"/>
      <c r="F571" s="15"/>
    </row>
    <row r="572">
      <c r="C572" s="139"/>
      <c r="D572" s="139"/>
      <c r="F572" s="15"/>
    </row>
    <row r="573">
      <c r="C573" s="139"/>
      <c r="D573" s="139"/>
      <c r="F573" s="15"/>
    </row>
    <row r="574">
      <c r="C574" s="139"/>
      <c r="D574" s="139"/>
      <c r="F574" s="15"/>
    </row>
    <row r="575">
      <c r="C575" s="139"/>
      <c r="D575" s="139"/>
      <c r="F575" s="15"/>
    </row>
    <row r="576">
      <c r="C576" s="139"/>
      <c r="D576" s="139"/>
      <c r="F576" s="15"/>
    </row>
    <row r="577">
      <c r="C577" s="139"/>
      <c r="D577" s="139"/>
      <c r="F577" s="15"/>
    </row>
    <row r="578">
      <c r="C578" s="139"/>
      <c r="D578" s="139"/>
      <c r="F578" s="15"/>
    </row>
    <row r="579">
      <c r="C579" s="139"/>
      <c r="D579" s="139"/>
      <c r="F579" s="15"/>
    </row>
    <row r="580">
      <c r="C580" s="139"/>
      <c r="D580" s="139"/>
      <c r="F580" s="15"/>
    </row>
    <row r="581">
      <c r="C581" s="139"/>
      <c r="D581" s="139"/>
      <c r="F581" s="15"/>
    </row>
    <row r="582">
      <c r="C582" s="139"/>
      <c r="D582" s="139"/>
      <c r="F582" s="15"/>
    </row>
    <row r="583">
      <c r="C583" s="139"/>
      <c r="D583" s="139"/>
      <c r="F583" s="15"/>
    </row>
    <row r="584">
      <c r="C584" s="139"/>
      <c r="D584" s="139"/>
      <c r="F584" s="15"/>
    </row>
    <row r="585">
      <c r="C585" s="139"/>
      <c r="D585" s="139"/>
      <c r="F585" s="15"/>
    </row>
    <row r="586">
      <c r="C586" s="139"/>
      <c r="D586" s="139"/>
      <c r="F586" s="15"/>
    </row>
    <row r="587">
      <c r="C587" s="139"/>
      <c r="D587" s="139"/>
      <c r="F587" s="15"/>
    </row>
    <row r="588">
      <c r="C588" s="139"/>
      <c r="D588" s="139"/>
      <c r="F588" s="15"/>
    </row>
    <row r="589">
      <c r="C589" s="139"/>
      <c r="D589" s="139"/>
      <c r="F589" s="15"/>
    </row>
    <row r="590">
      <c r="C590" s="139"/>
      <c r="D590" s="139"/>
      <c r="F590" s="15"/>
    </row>
    <row r="591">
      <c r="C591" s="139"/>
      <c r="D591" s="139"/>
      <c r="F591" s="15"/>
    </row>
    <row r="592">
      <c r="C592" s="139"/>
      <c r="D592" s="139"/>
      <c r="F592" s="15"/>
    </row>
    <row r="593">
      <c r="C593" s="139"/>
      <c r="D593" s="139"/>
      <c r="F593" s="15"/>
    </row>
    <row r="594">
      <c r="C594" s="139"/>
      <c r="D594" s="139"/>
      <c r="F594" s="15"/>
    </row>
    <row r="595">
      <c r="C595" s="139"/>
      <c r="D595" s="139"/>
      <c r="F595" s="15"/>
    </row>
    <row r="596">
      <c r="C596" s="139"/>
      <c r="D596" s="139"/>
      <c r="F596" s="15"/>
    </row>
    <row r="597">
      <c r="C597" s="139"/>
      <c r="D597" s="139"/>
      <c r="F597" s="15"/>
    </row>
    <row r="598">
      <c r="C598" s="139"/>
      <c r="D598" s="139"/>
      <c r="F598" s="15"/>
    </row>
    <row r="599">
      <c r="C599" s="139"/>
      <c r="D599" s="139"/>
      <c r="F599" s="15"/>
    </row>
    <row r="600">
      <c r="C600" s="139"/>
      <c r="D600" s="139"/>
      <c r="F600" s="15"/>
    </row>
    <row r="601">
      <c r="C601" s="139"/>
      <c r="D601" s="139"/>
      <c r="F601" s="15"/>
    </row>
    <row r="602">
      <c r="C602" s="139"/>
      <c r="D602" s="139"/>
      <c r="F602" s="15"/>
    </row>
    <row r="603">
      <c r="C603" s="139"/>
      <c r="D603" s="139"/>
      <c r="F603" s="15"/>
    </row>
    <row r="604">
      <c r="C604" s="139"/>
      <c r="D604" s="139"/>
      <c r="F604" s="15"/>
    </row>
    <row r="605">
      <c r="C605" s="139"/>
      <c r="D605" s="139"/>
      <c r="F605" s="15"/>
    </row>
    <row r="606">
      <c r="C606" s="139"/>
      <c r="D606" s="139"/>
      <c r="F606" s="15"/>
    </row>
    <row r="607">
      <c r="C607" s="139"/>
      <c r="D607" s="139"/>
      <c r="F607" s="15"/>
    </row>
    <row r="608">
      <c r="C608" s="139"/>
      <c r="D608" s="139"/>
      <c r="F608" s="15"/>
    </row>
    <row r="609">
      <c r="C609" s="139"/>
      <c r="D609" s="139"/>
      <c r="F609" s="15"/>
    </row>
    <row r="610">
      <c r="C610" s="139"/>
      <c r="D610" s="139"/>
      <c r="F610" s="15"/>
    </row>
    <row r="611">
      <c r="C611" s="139"/>
      <c r="D611" s="139"/>
      <c r="F611" s="15"/>
    </row>
    <row r="612">
      <c r="C612" s="139"/>
      <c r="D612" s="139"/>
      <c r="F612" s="15"/>
    </row>
    <row r="613">
      <c r="C613" s="139"/>
      <c r="D613" s="139"/>
      <c r="F613" s="15"/>
    </row>
    <row r="614">
      <c r="C614" s="139"/>
      <c r="D614" s="139"/>
      <c r="F614" s="15"/>
    </row>
    <row r="615">
      <c r="C615" s="139"/>
      <c r="D615" s="139"/>
      <c r="F615" s="15"/>
    </row>
    <row r="616">
      <c r="C616" s="139"/>
      <c r="D616" s="139"/>
      <c r="F616" s="15"/>
    </row>
    <row r="617">
      <c r="C617" s="139"/>
      <c r="D617" s="139"/>
      <c r="F617" s="15"/>
    </row>
    <row r="618">
      <c r="C618" s="139"/>
      <c r="D618" s="139"/>
      <c r="F618" s="15"/>
    </row>
    <row r="619">
      <c r="C619" s="139"/>
      <c r="D619" s="139"/>
      <c r="F619" s="15"/>
    </row>
    <row r="620">
      <c r="C620" s="139"/>
      <c r="D620" s="139"/>
      <c r="F620" s="15"/>
    </row>
    <row r="621">
      <c r="C621" s="139"/>
      <c r="D621" s="139"/>
      <c r="F621" s="15"/>
    </row>
    <row r="622">
      <c r="C622" s="139"/>
      <c r="D622" s="139"/>
      <c r="F622" s="15"/>
    </row>
    <row r="623">
      <c r="C623" s="139"/>
      <c r="D623" s="139"/>
      <c r="F623" s="15"/>
    </row>
    <row r="624">
      <c r="C624" s="139"/>
      <c r="D624" s="139"/>
      <c r="F624" s="15"/>
    </row>
    <row r="625">
      <c r="C625" s="139"/>
      <c r="D625" s="139"/>
      <c r="F625" s="15"/>
    </row>
    <row r="626">
      <c r="C626" s="139"/>
      <c r="D626" s="139"/>
      <c r="F626" s="15"/>
    </row>
    <row r="627">
      <c r="C627" s="139"/>
      <c r="D627" s="139"/>
      <c r="F627" s="15"/>
    </row>
    <row r="628">
      <c r="C628" s="139"/>
      <c r="D628" s="139"/>
      <c r="F628" s="15"/>
    </row>
    <row r="629">
      <c r="C629" s="139"/>
      <c r="D629" s="139"/>
      <c r="F629" s="15"/>
    </row>
    <row r="630">
      <c r="C630" s="139"/>
      <c r="D630" s="139"/>
      <c r="F630" s="15"/>
    </row>
    <row r="631">
      <c r="C631" s="139"/>
      <c r="D631" s="139"/>
      <c r="F631" s="15"/>
    </row>
    <row r="632">
      <c r="C632" s="139"/>
      <c r="D632" s="139"/>
      <c r="F632" s="15"/>
    </row>
    <row r="633">
      <c r="C633" s="139"/>
      <c r="D633" s="139"/>
      <c r="F633" s="15"/>
    </row>
    <row r="634">
      <c r="C634" s="139"/>
      <c r="D634" s="139"/>
      <c r="F634" s="15"/>
    </row>
    <row r="635">
      <c r="C635" s="139"/>
      <c r="D635" s="139"/>
      <c r="F635" s="15"/>
    </row>
    <row r="636">
      <c r="C636" s="139"/>
      <c r="D636" s="139"/>
      <c r="F636" s="15"/>
    </row>
    <row r="637">
      <c r="C637" s="139"/>
      <c r="D637" s="139"/>
      <c r="F637" s="15"/>
    </row>
    <row r="638">
      <c r="C638" s="139"/>
      <c r="D638" s="139"/>
      <c r="F638" s="15"/>
    </row>
    <row r="639">
      <c r="C639" s="139"/>
      <c r="D639" s="139"/>
      <c r="F639" s="15"/>
    </row>
    <row r="640">
      <c r="C640" s="139"/>
      <c r="D640" s="139"/>
      <c r="F640" s="15"/>
    </row>
    <row r="641">
      <c r="C641" s="139"/>
      <c r="D641" s="139"/>
      <c r="F641" s="15"/>
    </row>
    <row r="642">
      <c r="C642" s="139"/>
      <c r="D642" s="139"/>
      <c r="F642" s="15"/>
    </row>
    <row r="643">
      <c r="C643" s="139"/>
      <c r="D643" s="139"/>
      <c r="F643" s="15"/>
    </row>
    <row r="644">
      <c r="C644" s="139"/>
      <c r="D644" s="139"/>
      <c r="F644" s="15"/>
    </row>
    <row r="645">
      <c r="C645" s="139"/>
      <c r="D645" s="139"/>
      <c r="F645" s="15"/>
    </row>
    <row r="646">
      <c r="C646" s="139"/>
      <c r="D646" s="139"/>
      <c r="F646" s="15"/>
    </row>
    <row r="647">
      <c r="C647" s="139"/>
      <c r="D647" s="139"/>
      <c r="F647" s="15"/>
    </row>
    <row r="648">
      <c r="C648" s="139"/>
      <c r="D648" s="139"/>
      <c r="F648" s="15"/>
    </row>
    <row r="649">
      <c r="C649" s="139"/>
      <c r="D649" s="139"/>
      <c r="F649" s="15"/>
    </row>
    <row r="650">
      <c r="C650" s="139"/>
      <c r="D650" s="139"/>
      <c r="F650" s="15"/>
    </row>
    <row r="651">
      <c r="C651" s="139"/>
      <c r="D651" s="139"/>
      <c r="F651" s="15"/>
    </row>
    <row r="652">
      <c r="C652" s="139"/>
      <c r="D652" s="139"/>
      <c r="F652" s="15"/>
    </row>
    <row r="653">
      <c r="C653" s="139"/>
      <c r="D653" s="139"/>
      <c r="F653" s="15"/>
    </row>
    <row r="654">
      <c r="C654" s="139"/>
      <c r="D654" s="139"/>
      <c r="F654" s="15"/>
    </row>
    <row r="655">
      <c r="C655" s="139"/>
      <c r="D655" s="139"/>
      <c r="F655" s="15"/>
    </row>
    <row r="656">
      <c r="C656" s="139"/>
      <c r="D656" s="139"/>
      <c r="F656" s="15"/>
    </row>
    <row r="657">
      <c r="C657" s="139"/>
      <c r="D657" s="139"/>
      <c r="F657" s="15"/>
    </row>
    <row r="658">
      <c r="C658" s="139"/>
      <c r="D658" s="139"/>
      <c r="F658" s="15"/>
    </row>
    <row r="659">
      <c r="C659" s="139"/>
      <c r="D659" s="139"/>
      <c r="F659" s="15"/>
    </row>
    <row r="660">
      <c r="C660" s="139"/>
      <c r="D660" s="139"/>
      <c r="F660" s="15"/>
    </row>
    <row r="661">
      <c r="C661" s="139"/>
      <c r="D661" s="139"/>
      <c r="F661" s="15"/>
    </row>
    <row r="662">
      <c r="C662" s="139"/>
      <c r="D662" s="139"/>
      <c r="F662" s="15"/>
    </row>
    <row r="663">
      <c r="C663" s="139"/>
      <c r="D663" s="139"/>
      <c r="F663" s="15"/>
    </row>
    <row r="664">
      <c r="C664" s="139"/>
      <c r="D664" s="139"/>
      <c r="F664" s="15"/>
    </row>
    <row r="665">
      <c r="C665" s="139"/>
      <c r="D665" s="139"/>
      <c r="F665" s="15"/>
    </row>
    <row r="666">
      <c r="C666" s="139"/>
      <c r="D666" s="139"/>
      <c r="F666" s="15"/>
    </row>
    <row r="667">
      <c r="C667" s="139"/>
      <c r="D667" s="139"/>
      <c r="F667" s="15"/>
    </row>
    <row r="668">
      <c r="C668" s="139"/>
      <c r="D668" s="139"/>
      <c r="F668" s="15"/>
    </row>
    <row r="669">
      <c r="C669" s="139"/>
      <c r="D669" s="139"/>
      <c r="F669" s="15"/>
    </row>
    <row r="670">
      <c r="C670" s="139"/>
      <c r="D670" s="139"/>
      <c r="F670" s="15"/>
    </row>
    <row r="671">
      <c r="C671" s="139"/>
      <c r="D671" s="139"/>
      <c r="F671" s="15"/>
    </row>
    <row r="672">
      <c r="C672" s="139"/>
      <c r="D672" s="139"/>
      <c r="F672" s="15"/>
    </row>
    <row r="673">
      <c r="C673" s="139"/>
      <c r="D673" s="139"/>
      <c r="F673" s="15"/>
    </row>
    <row r="674">
      <c r="C674" s="139"/>
      <c r="D674" s="139"/>
      <c r="F674" s="15"/>
    </row>
    <row r="675">
      <c r="C675" s="139"/>
      <c r="D675" s="139"/>
      <c r="F675" s="15"/>
    </row>
    <row r="676">
      <c r="C676" s="139"/>
      <c r="D676" s="139"/>
      <c r="F676" s="15"/>
    </row>
    <row r="677">
      <c r="C677" s="139"/>
      <c r="D677" s="139"/>
      <c r="F677" s="15"/>
    </row>
    <row r="678">
      <c r="C678" s="139"/>
      <c r="D678" s="139"/>
      <c r="F678" s="15"/>
    </row>
    <row r="679">
      <c r="C679" s="139"/>
      <c r="D679" s="139"/>
      <c r="F679" s="15"/>
    </row>
    <row r="680">
      <c r="C680" s="139"/>
      <c r="D680" s="139"/>
      <c r="F680" s="15"/>
    </row>
    <row r="681">
      <c r="C681" s="139"/>
      <c r="D681" s="139"/>
      <c r="F681" s="15"/>
    </row>
    <row r="682">
      <c r="C682" s="139"/>
      <c r="D682" s="139"/>
      <c r="F682" s="15"/>
    </row>
    <row r="683">
      <c r="C683" s="139"/>
      <c r="D683" s="139"/>
      <c r="F683" s="15"/>
    </row>
    <row r="684">
      <c r="C684" s="139"/>
      <c r="D684" s="139"/>
      <c r="F684" s="15"/>
    </row>
    <row r="685">
      <c r="C685" s="139"/>
      <c r="D685" s="139"/>
      <c r="F685" s="15"/>
    </row>
    <row r="686">
      <c r="C686" s="139"/>
      <c r="D686" s="139"/>
      <c r="F686" s="15"/>
    </row>
    <row r="687">
      <c r="C687" s="139"/>
      <c r="D687" s="139"/>
      <c r="F687" s="15"/>
    </row>
    <row r="688">
      <c r="C688" s="139"/>
      <c r="D688" s="139"/>
      <c r="F688" s="15"/>
    </row>
    <row r="689">
      <c r="C689" s="139"/>
      <c r="D689" s="139"/>
      <c r="F689" s="15"/>
    </row>
    <row r="690">
      <c r="C690" s="139"/>
      <c r="D690" s="139"/>
      <c r="F690" s="15"/>
    </row>
    <row r="691">
      <c r="C691" s="139"/>
      <c r="D691" s="139"/>
      <c r="F691" s="15"/>
    </row>
    <row r="692">
      <c r="C692" s="139"/>
      <c r="D692" s="139"/>
      <c r="F692" s="15"/>
    </row>
    <row r="693">
      <c r="C693" s="139"/>
      <c r="D693" s="139"/>
      <c r="F693" s="15"/>
    </row>
    <row r="694">
      <c r="C694" s="139"/>
      <c r="D694" s="139"/>
      <c r="F694" s="15"/>
    </row>
    <row r="695">
      <c r="C695" s="139"/>
      <c r="D695" s="139"/>
      <c r="F695" s="15"/>
    </row>
    <row r="696">
      <c r="C696" s="139"/>
      <c r="D696" s="139"/>
      <c r="F696" s="15"/>
    </row>
    <row r="697">
      <c r="C697" s="139"/>
      <c r="D697" s="139"/>
      <c r="F697" s="15"/>
    </row>
    <row r="698">
      <c r="C698" s="139"/>
      <c r="D698" s="139"/>
      <c r="F698" s="15"/>
    </row>
    <row r="699">
      <c r="C699" s="139"/>
      <c r="D699" s="139"/>
      <c r="F699" s="15"/>
    </row>
    <row r="700">
      <c r="C700" s="139"/>
      <c r="D700" s="139"/>
      <c r="F700" s="15"/>
    </row>
    <row r="701">
      <c r="C701" s="139"/>
      <c r="D701" s="139"/>
      <c r="F701" s="15"/>
    </row>
    <row r="702">
      <c r="C702" s="139"/>
      <c r="D702" s="139"/>
      <c r="F702" s="15"/>
    </row>
    <row r="703">
      <c r="C703" s="139"/>
      <c r="D703" s="139"/>
      <c r="F703" s="15"/>
    </row>
    <row r="704">
      <c r="C704" s="139"/>
      <c r="D704" s="139"/>
      <c r="F704" s="15"/>
    </row>
    <row r="705">
      <c r="C705" s="139"/>
      <c r="D705" s="139"/>
      <c r="F705" s="15"/>
    </row>
    <row r="706">
      <c r="C706" s="139"/>
      <c r="D706" s="139"/>
      <c r="F706" s="15"/>
    </row>
    <row r="707">
      <c r="C707" s="139"/>
      <c r="D707" s="139"/>
      <c r="F707" s="15"/>
    </row>
    <row r="708">
      <c r="C708" s="139"/>
      <c r="D708" s="139"/>
      <c r="F708" s="15"/>
    </row>
    <row r="709">
      <c r="C709" s="139"/>
      <c r="D709" s="139"/>
      <c r="F709" s="15"/>
    </row>
    <row r="710">
      <c r="C710" s="139"/>
      <c r="D710" s="139"/>
      <c r="F710" s="15"/>
    </row>
    <row r="711">
      <c r="C711" s="139"/>
      <c r="D711" s="139"/>
      <c r="F711" s="15"/>
    </row>
    <row r="712">
      <c r="C712" s="139"/>
      <c r="D712" s="139"/>
      <c r="F712" s="15"/>
    </row>
    <row r="713">
      <c r="C713" s="139"/>
      <c r="D713" s="139"/>
      <c r="F713" s="15"/>
    </row>
    <row r="714">
      <c r="C714" s="139"/>
      <c r="D714" s="139"/>
      <c r="F714" s="15"/>
    </row>
    <row r="715">
      <c r="C715" s="139"/>
      <c r="D715" s="139"/>
      <c r="F715" s="15"/>
    </row>
    <row r="716">
      <c r="C716" s="139"/>
      <c r="D716" s="139"/>
      <c r="F716" s="15"/>
    </row>
    <row r="717">
      <c r="C717" s="139"/>
      <c r="D717" s="139"/>
      <c r="F717" s="15"/>
    </row>
    <row r="718">
      <c r="C718" s="139"/>
      <c r="D718" s="139"/>
      <c r="F718" s="15"/>
    </row>
    <row r="719">
      <c r="C719" s="139"/>
      <c r="D719" s="139"/>
      <c r="F719" s="15"/>
    </row>
    <row r="720">
      <c r="C720" s="139"/>
      <c r="D720" s="139"/>
      <c r="F720" s="15"/>
    </row>
    <row r="721">
      <c r="C721" s="139"/>
      <c r="D721" s="139"/>
      <c r="F721" s="15"/>
    </row>
    <row r="722">
      <c r="C722" s="139"/>
      <c r="D722" s="139"/>
      <c r="F722" s="15"/>
    </row>
    <row r="723">
      <c r="C723" s="139"/>
      <c r="D723" s="139"/>
      <c r="F723" s="15"/>
    </row>
    <row r="724">
      <c r="C724" s="139"/>
      <c r="D724" s="139"/>
      <c r="F724" s="15"/>
    </row>
    <row r="725">
      <c r="C725" s="139"/>
      <c r="D725" s="139"/>
      <c r="F725" s="15"/>
    </row>
    <row r="726">
      <c r="C726" s="139"/>
      <c r="D726" s="139"/>
      <c r="F726" s="15"/>
    </row>
    <row r="727">
      <c r="C727" s="139"/>
      <c r="D727" s="139"/>
      <c r="F727" s="15"/>
    </row>
    <row r="728">
      <c r="C728" s="139"/>
      <c r="D728" s="139"/>
      <c r="F728" s="15"/>
    </row>
    <row r="729">
      <c r="C729" s="139"/>
      <c r="D729" s="139"/>
      <c r="F729" s="15"/>
    </row>
    <row r="730">
      <c r="C730" s="139"/>
      <c r="D730" s="139"/>
      <c r="F730" s="15"/>
    </row>
    <row r="731">
      <c r="C731" s="139"/>
      <c r="D731" s="139"/>
      <c r="F731" s="15"/>
    </row>
    <row r="732">
      <c r="C732" s="139"/>
      <c r="D732" s="139"/>
      <c r="F732" s="15"/>
    </row>
    <row r="733">
      <c r="C733" s="139"/>
      <c r="D733" s="139"/>
      <c r="F733" s="15"/>
    </row>
    <row r="734">
      <c r="C734" s="139"/>
      <c r="D734" s="139"/>
      <c r="F734" s="15"/>
    </row>
    <row r="735">
      <c r="C735" s="139"/>
      <c r="D735" s="139"/>
      <c r="F735" s="15"/>
    </row>
    <row r="736">
      <c r="C736" s="139"/>
      <c r="D736" s="139"/>
      <c r="F736" s="15"/>
    </row>
    <row r="737">
      <c r="C737" s="139"/>
      <c r="D737" s="139"/>
      <c r="F737" s="15"/>
    </row>
    <row r="738">
      <c r="C738" s="139"/>
      <c r="D738" s="139"/>
      <c r="F738" s="15"/>
    </row>
    <row r="739">
      <c r="C739" s="139"/>
      <c r="D739" s="139"/>
      <c r="F739" s="15"/>
    </row>
    <row r="740">
      <c r="C740" s="139"/>
      <c r="D740" s="139"/>
      <c r="F740" s="15"/>
    </row>
    <row r="741">
      <c r="C741" s="139"/>
      <c r="D741" s="139"/>
      <c r="F741" s="15"/>
    </row>
    <row r="742">
      <c r="C742" s="139"/>
      <c r="D742" s="139"/>
      <c r="F742" s="15"/>
    </row>
    <row r="743">
      <c r="C743" s="139"/>
      <c r="D743" s="139"/>
      <c r="F743" s="15"/>
    </row>
    <row r="744">
      <c r="C744" s="139"/>
      <c r="D744" s="139"/>
      <c r="F744" s="15"/>
    </row>
    <row r="745">
      <c r="C745" s="139"/>
      <c r="D745" s="139"/>
      <c r="F745" s="15"/>
    </row>
    <row r="746">
      <c r="C746" s="139"/>
      <c r="D746" s="139"/>
      <c r="F746" s="15"/>
    </row>
    <row r="747">
      <c r="C747" s="139"/>
      <c r="D747" s="139"/>
      <c r="F747" s="15"/>
    </row>
    <row r="748">
      <c r="C748" s="139"/>
      <c r="D748" s="139"/>
      <c r="F748" s="15"/>
    </row>
    <row r="749">
      <c r="C749" s="139"/>
      <c r="D749" s="139"/>
      <c r="F749" s="15"/>
    </row>
    <row r="750">
      <c r="C750" s="139"/>
      <c r="D750" s="139"/>
      <c r="F750" s="15"/>
    </row>
    <row r="751">
      <c r="C751" s="139"/>
      <c r="D751" s="139"/>
      <c r="F751" s="15"/>
    </row>
    <row r="752">
      <c r="C752" s="139"/>
      <c r="D752" s="139"/>
      <c r="F752" s="15"/>
    </row>
    <row r="753">
      <c r="C753" s="139"/>
      <c r="D753" s="139"/>
      <c r="F753" s="15"/>
    </row>
    <row r="754">
      <c r="C754" s="139"/>
      <c r="D754" s="139"/>
      <c r="F754" s="15"/>
    </row>
    <row r="755">
      <c r="C755" s="139"/>
      <c r="D755" s="139"/>
      <c r="F755" s="15"/>
    </row>
    <row r="756">
      <c r="C756" s="139"/>
      <c r="D756" s="139"/>
      <c r="F756" s="15"/>
    </row>
    <row r="757">
      <c r="C757" s="139"/>
      <c r="D757" s="139"/>
      <c r="F757" s="15"/>
    </row>
    <row r="758">
      <c r="C758" s="139"/>
      <c r="D758" s="139"/>
      <c r="F758" s="15"/>
    </row>
    <row r="759">
      <c r="C759" s="139"/>
      <c r="D759" s="139"/>
      <c r="F759" s="15"/>
    </row>
    <row r="760">
      <c r="C760" s="139"/>
      <c r="D760" s="139"/>
      <c r="F760" s="15"/>
    </row>
    <row r="761">
      <c r="C761" s="139"/>
      <c r="D761" s="139"/>
      <c r="F761" s="15"/>
    </row>
    <row r="762">
      <c r="C762" s="139"/>
      <c r="D762" s="139"/>
      <c r="F762" s="15"/>
    </row>
    <row r="763">
      <c r="C763" s="139"/>
      <c r="D763" s="139"/>
      <c r="F763" s="15"/>
    </row>
    <row r="764">
      <c r="C764" s="139"/>
      <c r="D764" s="139"/>
      <c r="F764" s="15"/>
    </row>
    <row r="765">
      <c r="C765" s="139"/>
      <c r="D765" s="139"/>
      <c r="F765" s="15"/>
    </row>
    <row r="766">
      <c r="C766" s="139"/>
      <c r="D766" s="139"/>
      <c r="F766" s="15"/>
    </row>
    <row r="767">
      <c r="C767" s="139"/>
      <c r="D767" s="139"/>
      <c r="F767" s="15"/>
    </row>
    <row r="768">
      <c r="C768" s="139"/>
      <c r="D768" s="139"/>
      <c r="F768" s="15"/>
    </row>
    <row r="769">
      <c r="C769" s="139"/>
      <c r="D769" s="139"/>
      <c r="F769" s="15"/>
    </row>
    <row r="770">
      <c r="C770" s="139"/>
      <c r="D770" s="139"/>
      <c r="F770" s="15"/>
    </row>
    <row r="771">
      <c r="C771" s="139"/>
      <c r="D771" s="139"/>
      <c r="F771" s="15"/>
    </row>
    <row r="772">
      <c r="C772" s="139"/>
      <c r="D772" s="139"/>
      <c r="F772" s="15"/>
    </row>
    <row r="773">
      <c r="C773" s="139"/>
      <c r="D773" s="139"/>
      <c r="F773" s="15"/>
    </row>
    <row r="774">
      <c r="C774" s="139"/>
      <c r="D774" s="139"/>
      <c r="F774" s="15"/>
    </row>
    <row r="775">
      <c r="C775" s="139"/>
      <c r="D775" s="139"/>
      <c r="F775" s="15"/>
    </row>
    <row r="776">
      <c r="C776" s="139"/>
      <c r="D776" s="139"/>
      <c r="F776" s="15"/>
    </row>
    <row r="777">
      <c r="C777" s="139"/>
      <c r="D777" s="139"/>
      <c r="F777" s="15"/>
    </row>
    <row r="778">
      <c r="C778" s="139"/>
      <c r="D778" s="139"/>
      <c r="F778" s="15"/>
    </row>
    <row r="779">
      <c r="C779" s="139"/>
      <c r="D779" s="139"/>
      <c r="F779" s="15"/>
    </row>
    <row r="780">
      <c r="C780" s="139"/>
      <c r="D780" s="139"/>
      <c r="F780" s="15"/>
    </row>
    <row r="781">
      <c r="C781" s="139"/>
      <c r="D781" s="139"/>
      <c r="F781" s="15"/>
    </row>
    <row r="782">
      <c r="C782" s="139"/>
      <c r="D782" s="139"/>
      <c r="F782" s="15"/>
    </row>
    <row r="783">
      <c r="C783" s="139"/>
      <c r="D783" s="139"/>
      <c r="F783" s="15"/>
    </row>
    <row r="784">
      <c r="C784" s="139"/>
      <c r="D784" s="139"/>
      <c r="F784" s="15"/>
    </row>
    <row r="785">
      <c r="C785" s="139"/>
      <c r="D785" s="139"/>
      <c r="F785" s="15"/>
    </row>
    <row r="786">
      <c r="C786" s="139"/>
      <c r="D786" s="139"/>
      <c r="F786" s="15"/>
    </row>
    <row r="787">
      <c r="C787" s="139"/>
      <c r="D787" s="139"/>
      <c r="F787" s="15"/>
    </row>
    <row r="788">
      <c r="C788" s="139"/>
      <c r="D788" s="139"/>
      <c r="F788" s="15"/>
    </row>
    <row r="789">
      <c r="C789" s="139"/>
      <c r="D789" s="139"/>
      <c r="F789" s="15"/>
    </row>
    <row r="790">
      <c r="C790" s="139"/>
      <c r="D790" s="139"/>
      <c r="F790" s="15"/>
    </row>
    <row r="791">
      <c r="C791" s="139"/>
      <c r="D791" s="139"/>
      <c r="F791" s="15"/>
    </row>
    <row r="792">
      <c r="C792" s="139"/>
      <c r="D792" s="139"/>
      <c r="F792" s="15"/>
    </row>
    <row r="793">
      <c r="C793" s="139"/>
      <c r="D793" s="139"/>
      <c r="F793" s="15"/>
    </row>
    <row r="794">
      <c r="C794" s="139"/>
      <c r="D794" s="139"/>
      <c r="F794" s="15"/>
    </row>
    <row r="795">
      <c r="C795" s="139"/>
      <c r="D795" s="139"/>
      <c r="F795" s="15"/>
    </row>
    <row r="796">
      <c r="C796" s="139"/>
      <c r="D796" s="139"/>
      <c r="F796" s="15"/>
    </row>
    <row r="797">
      <c r="C797" s="139"/>
      <c r="D797" s="139"/>
      <c r="F797" s="15"/>
    </row>
    <row r="798">
      <c r="C798" s="139"/>
      <c r="D798" s="139"/>
      <c r="F798" s="15"/>
    </row>
    <row r="799">
      <c r="C799" s="139"/>
      <c r="D799" s="139"/>
      <c r="F799" s="15"/>
    </row>
    <row r="800">
      <c r="C800" s="139"/>
      <c r="D800" s="139"/>
      <c r="F800" s="15"/>
    </row>
    <row r="801">
      <c r="C801" s="139"/>
      <c r="D801" s="139"/>
      <c r="F801" s="15"/>
    </row>
    <row r="802">
      <c r="C802" s="139"/>
      <c r="D802" s="139"/>
      <c r="F802" s="15"/>
    </row>
    <row r="803">
      <c r="C803" s="139"/>
      <c r="D803" s="139"/>
      <c r="F803" s="15"/>
    </row>
    <row r="804">
      <c r="C804" s="139"/>
      <c r="D804" s="139"/>
      <c r="F804" s="15"/>
    </row>
    <row r="805">
      <c r="C805" s="139"/>
      <c r="D805" s="139"/>
      <c r="F805" s="15"/>
    </row>
    <row r="806">
      <c r="C806" s="139"/>
      <c r="D806" s="139"/>
      <c r="F806" s="15"/>
    </row>
    <row r="807">
      <c r="C807" s="139"/>
      <c r="D807" s="139"/>
      <c r="F807" s="15"/>
    </row>
    <row r="808">
      <c r="C808" s="139"/>
      <c r="D808" s="139"/>
      <c r="F808" s="15"/>
    </row>
    <row r="809">
      <c r="C809" s="139"/>
      <c r="D809" s="139"/>
      <c r="F809" s="15"/>
    </row>
    <row r="810">
      <c r="C810" s="139"/>
      <c r="D810" s="139"/>
      <c r="F810" s="15"/>
    </row>
    <row r="811">
      <c r="C811" s="139"/>
      <c r="D811" s="139"/>
      <c r="F811" s="15"/>
    </row>
    <row r="812">
      <c r="C812" s="139"/>
      <c r="D812" s="139"/>
      <c r="F812" s="15"/>
    </row>
    <row r="813">
      <c r="C813" s="139"/>
      <c r="D813" s="139"/>
      <c r="F813" s="15"/>
    </row>
    <row r="814">
      <c r="C814" s="139"/>
      <c r="D814" s="139"/>
      <c r="F814" s="15"/>
    </row>
    <row r="815">
      <c r="C815" s="139"/>
      <c r="D815" s="139"/>
      <c r="F815" s="15"/>
    </row>
    <row r="816">
      <c r="C816" s="139"/>
      <c r="D816" s="139"/>
      <c r="F816" s="15"/>
    </row>
    <row r="817">
      <c r="C817" s="139"/>
      <c r="D817" s="139"/>
      <c r="F817" s="15"/>
    </row>
    <row r="818">
      <c r="C818" s="139"/>
      <c r="D818" s="139"/>
      <c r="F818" s="15"/>
    </row>
    <row r="819">
      <c r="C819" s="139"/>
      <c r="D819" s="139"/>
      <c r="F819" s="15"/>
    </row>
    <row r="820">
      <c r="C820" s="139"/>
      <c r="D820" s="139"/>
      <c r="F820" s="15"/>
    </row>
    <row r="821">
      <c r="C821" s="139"/>
      <c r="D821" s="139"/>
      <c r="F821" s="15"/>
    </row>
    <row r="822">
      <c r="C822" s="139"/>
      <c r="D822" s="139"/>
      <c r="F822" s="15"/>
    </row>
    <row r="823">
      <c r="C823" s="139"/>
      <c r="D823" s="139"/>
      <c r="F823" s="15"/>
    </row>
    <row r="824">
      <c r="C824" s="139"/>
      <c r="D824" s="139"/>
      <c r="F824" s="15"/>
    </row>
    <row r="825">
      <c r="C825" s="139"/>
      <c r="D825" s="139"/>
      <c r="F825" s="15"/>
    </row>
    <row r="826">
      <c r="C826" s="139"/>
      <c r="D826" s="139"/>
      <c r="F826" s="15"/>
    </row>
    <row r="827">
      <c r="C827" s="139"/>
      <c r="D827" s="139"/>
      <c r="F827" s="15"/>
    </row>
    <row r="828">
      <c r="C828" s="139"/>
      <c r="D828" s="139"/>
      <c r="F828" s="15"/>
    </row>
    <row r="829">
      <c r="C829" s="139"/>
      <c r="D829" s="139"/>
      <c r="F829" s="15"/>
    </row>
    <row r="830">
      <c r="C830" s="139"/>
      <c r="D830" s="139"/>
      <c r="F830" s="15"/>
    </row>
    <row r="831">
      <c r="C831" s="139"/>
      <c r="D831" s="139"/>
      <c r="F831" s="15"/>
    </row>
    <row r="832">
      <c r="C832" s="139"/>
      <c r="D832" s="139"/>
      <c r="F832" s="15"/>
    </row>
    <row r="833">
      <c r="C833" s="139"/>
      <c r="D833" s="139"/>
      <c r="F833" s="15"/>
    </row>
    <row r="834">
      <c r="C834" s="139"/>
      <c r="D834" s="139"/>
      <c r="F834" s="15"/>
    </row>
    <row r="835">
      <c r="C835" s="139"/>
      <c r="D835" s="139"/>
      <c r="F835" s="15"/>
    </row>
    <row r="836">
      <c r="C836" s="139"/>
      <c r="D836" s="139"/>
      <c r="F836" s="15"/>
    </row>
    <row r="837">
      <c r="C837" s="139"/>
      <c r="D837" s="139"/>
      <c r="F837" s="15"/>
    </row>
    <row r="838">
      <c r="C838" s="139"/>
      <c r="D838" s="139"/>
      <c r="F838" s="15"/>
    </row>
    <row r="839">
      <c r="C839" s="139"/>
      <c r="D839" s="139"/>
      <c r="F839" s="15"/>
    </row>
    <row r="840">
      <c r="C840" s="139"/>
      <c r="D840" s="139"/>
      <c r="F840" s="15"/>
    </row>
    <row r="841">
      <c r="C841" s="139"/>
      <c r="D841" s="139"/>
      <c r="F841" s="15"/>
    </row>
    <row r="842">
      <c r="C842" s="139"/>
      <c r="D842" s="139"/>
      <c r="F842" s="15"/>
    </row>
    <row r="843">
      <c r="C843" s="139"/>
      <c r="D843" s="139"/>
      <c r="F843" s="15"/>
    </row>
    <row r="844">
      <c r="C844" s="139"/>
      <c r="D844" s="139"/>
      <c r="F844" s="15"/>
    </row>
    <row r="845">
      <c r="C845" s="139"/>
      <c r="D845" s="139"/>
      <c r="F845" s="15"/>
    </row>
    <row r="846">
      <c r="C846" s="139"/>
      <c r="D846" s="139"/>
      <c r="F846" s="15"/>
    </row>
    <row r="847">
      <c r="C847" s="139"/>
      <c r="D847" s="139"/>
      <c r="F847" s="15"/>
    </row>
    <row r="848">
      <c r="C848" s="139"/>
      <c r="D848" s="139"/>
      <c r="F848" s="15"/>
    </row>
    <row r="849">
      <c r="C849" s="139"/>
      <c r="D849" s="139"/>
      <c r="F849" s="15"/>
    </row>
    <row r="850">
      <c r="C850" s="139"/>
      <c r="D850" s="139"/>
      <c r="F850" s="15"/>
    </row>
    <row r="851">
      <c r="C851" s="139"/>
      <c r="D851" s="139"/>
      <c r="F851" s="15"/>
    </row>
    <row r="852">
      <c r="C852" s="139"/>
      <c r="D852" s="139"/>
      <c r="F852" s="15"/>
    </row>
    <row r="853">
      <c r="C853" s="139"/>
      <c r="D853" s="139"/>
      <c r="F853" s="15"/>
    </row>
    <row r="854">
      <c r="C854" s="139"/>
      <c r="D854" s="139"/>
      <c r="F854" s="15"/>
    </row>
    <row r="855">
      <c r="C855" s="139"/>
      <c r="D855" s="139"/>
      <c r="F855" s="15"/>
    </row>
    <row r="856">
      <c r="C856" s="139"/>
      <c r="D856" s="139"/>
      <c r="F856" s="15"/>
    </row>
    <row r="857">
      <c r="C857" s="139"/>
      <c r="D857" s="139"/>
      <c r="F857" s="15"/>
    </row>
    <row r="858">
      <c r="C858" s="139"/>
      <c r="D858" s="139"/>
      <c r="F858" s="15"/>
    </row>
    <row r="859">
      <c r="C859" s="139"/>
      <c r="D859" s="139"/>
      <c r="F859" s="15"/>
    </row>
    <row r="860">
      <c r="C860" s="139"/>
      <c r="D860" s="139"/>
      <c r="F860" s="15"/>
    </row>
    <row r="861">
      <c r="C861" s="139"/>
      <c r="D861" s="139"/>
      <c r="F861" s="15"/>
    </row>
    <row r="862">
      <c r="C862" s="139"/>
      <c r="D862" s="139"/>
      <c r="F862" s="15"/>
    </row>
    <row r="863">
      <c r="C863" s="139"/>
      <c r="D863" s="139"/>
      <c r="F863" s="15"/>
    </row>
    <row r="864">
      <c r="C864" s="139"/>
      <c r="D864" s="139"/>
      <c r="F864" s="15"/>
    </row>
    <row r="865">
      <c r="C865" s="139"/>
      <c r="D865" s="139"/>
      <c r="F865" s="15"/>
    </row>
    <row r="866">
      <c r="C866" s="139"/>
      <c r="D866" s="139"/>
      <c r="F866" s="15"/>
    </row>
    <row r="867">
      <c r="C867" s="139"/>
      <c r="D867" s="139"/>
      <c r="F867" s="15"/>
    </row>
    <row r="868">
      <c r="C868" s="139"/>
      <c r="D868" s="139"/>
      <c r="F868" s="15"/>
    </row>
    <row r="869">
      <c r="C869" s="139"/>
      <c r="D869" s="139"/>
      <c r="F869" s="15"/>
    </row>
    <row r="870">
      <c r="C870" s="139"/>
      <c r="D870" s="139"/>
      <c r="F870" s="15"/>
    </row>
    <row r="871">
      <c r="C871" s="139"/>
      <c r="D871" s="139"/>
      <c r="F871" s="15"/>
    </row>
    <row r="872">
      <c r="C872" s="139"/>
      <c r="D872" s="139"/>
      <c r="F872" s="15"/>
    </row>
    <row r="873">
      <c r="C873" s="139"/>
      <c r="D873" s="139"/>
      <c r="F873" s="15"/>
    </row>
    <row r="874">
      <c r="C874" s="139"/>
      <c r="D874" s="139"/>
      <c r="F874" s="15"/>
    </row>
    <row r="875">
      <c r="C875" s="139"/>
      <c r="D875" s="139"/>
      <c r="F875" s="15"/>
    </row>
    <row r="876">
      <c r="C876" s="139"/>
      <c r="D876" s="139"/>
      <c r="F876" s="15"/>
    </row>
    <row r="877">
      <c r="C877" s="139"/>
      <c r="D877" s="139"/>
      <c r="F877" s="15"/>
    </row>
    <row r="878">
      <c r="C878" s="139"/>
      <c r="D878" s="139"/>
      <c r="F878" s="15"/>
    </row>
    <row r="879">
      <c r="C879" s="139"/>
      <c r="D879" s="139"/>
      <c r="F879" s="15"/>
    </row>
    <row r="880">
      <c r="C880" s="139"/>
      <c r="D880" s="139"/>
      <c r="F880" s="15"/>
    </row>
    <row r="881">
      <c r="C881" s="139"/>
      <c r="D881" s="139"/>
      <c r="F881" s="15"/>
    </row>
    <row r="882">
      <c r="C882" s="139"/>
      <c r="D882" s="139"/>
      <c r="F882" s="15"/>
    </row>
    <row r="883">
      <c r="C883" s="139"/>
      <c r="D883" s="139"/>
      <c r="F883" s="15"/>
    </row>
    <row r="884">
      <c r="C884" s="139"/>
      <c r="D884" s="139"/>
      <c r="F884" s="15"/>
    </row>
    <row r="885">
      <c r="C885" s="139"/>
      <c r="D885" s="139"/>
      <c r="F885" s="15"/>
    </row>
    <row r="886">
      <c r="C886" s="139"/>
      <c r="D886" s="139"/>
      <c r="F886" s="15"/>
    </row>
    <row r="887">
      <c r="C887" s="139"/>
      <c r="D887" s="139"/>
      <c r="F887" s="15"/>
    </row>
    <row r="888">
      <c r="C888" s="139"/>
      <c r="D888" s="139"/>
      <c r="F888" s="15"/>
    </row>
    <row r="889">
      <c r="C889" s="139"/>
      <c r="D889" s="139"/>
      <c r="F889" s="15"/>
    </row>
    <row r="890">
      <c r="C890" s="139"/>
      <c r="D890" s="139"/>
      <c r="F890" s="15"/>
    </row>
    <row r="891">
      <c r="C891" s="139"/>
      <c r="D891" s="139"/>
      <c r="F891" s="15"/>
    </row>
    <row r="892">
      <c r="C892" s="139"/>
      <c r="D892" s="139"/>
      <c r="F892" s="15"/>
    </row>
    <row r="893">
      <c r="C893" s="139"/>
      <c r="D893" s="139"/>
      <c r="F893" s="15"/>
    </row>
    <row r="894">
      <c r="C894" s="139"/>
      <c r="D894" s="139"/>
      <c r="F894" s="15"/>
    </row>
    <row r="895">
      <c r="C895" s="139"/>
      <c r="D895" s="139"/>
      <c r="F895" s="15"/>
    </row>
    <row r="896">
      <c r="C896" s="139"/>
      <c r="D896" s="139"/>
      <c r="F896" s="15"/>
    </row>
    <row r="897">
      <c r="C897" s="139"/>
      <c r="D897" s="139"/>
      <c r="F897" s="15"/>
    </row>
    <row r="898">
      <c r="C898" s="139"/>
      <c r="D898" s="139"/>
      <c r="F898" s="15"/>
    </row>
    <row r="899">
      <c r="C899" s="139"/>
      <c r="D899" s="139"/>
      <c r="F899" s="15"/>
    </row>
    <row r="900">
      <c r="C900" s="139"/>
      <c r="D900" s="139"/>
      <c r="F900" s="15"/>
    </row>
    <row r="901">
      <c r="C901" s="139"/>
      <c r="D901" s="139"/>
      <c r="F901" s="15"/>
    </row>
    <row r="902">
      <c r="C902" s="139"/>
      <c r="D902" s="139"/>
      <c r="F902" s="15"/>
    </row>
    <row r="903">
      <c r="C903" s="139"/>
      <c r="D903" s="139"/>
      <c r="F903" s="15"/>
    </row>
    <row r="904">
      <c r="C904" s="139"/>
      <c r="D904" s="139"/>
      <c r="F904" s="15"/>
    </row>
    <row r="905">
      <c r="C905" s="139"/>
      <c r="D905" s="139"/>
      <c r="F905" s="15"/>
    </row>
    <row r="906">
      <c r="C906" s="139"/>
      <c r="D906" s="139"/>
      <c r="F906" s="15"/>
    </row>
    <row r="907">
      <c r="C907" s="139"/>
      <c r="D907" s="139"/>
      <c r="F907" s="15"/>
    </row>
    <row r="908">
      <c r="C908" s="139"/>
      <c r="D908" s="139"/>
      <c r="F908" s="15"/>
    </row>
    <row r="909">
      <c r="C909" s="139"/>
      <c r="D909" s="139"/>
      <c r="F909" s="15"/>
    </row>
    <row r="910">
      <c r="C910" s="139"/>
      <c r="D910" s="139"/>
      <c r="F910" s="15"/>
    </row>
    <row r="911">
      <c r="C911" s="139"/>
      <c r="D911" s="139"/>
      <c r="F911" s="15"/>
    </row>
    <row r="912">
      <c r="C912" s="139"/>
      <c r="D912" s="139"/>
      <c r="F912" s="15"/>
    </row>
    <row r="913">
      <c r="C913" s="139"/>
      <c r="D913" s="139"/>
      <c r="F913" s="15"/>
    </row>
    <row r="914">
      <c r="C914" s="139"/>
      <c r="D914" s="139"/>
      <c r="F914" s="15"/>
    </row>
    <row r="915">
      <c r="C915" s="139"/>
      <c r="D915" s="139"/>
      <c r="F915" s="15"/>
    </row>
    <row r="916">
      <c r="C916" s="139"/>
      <c r="D916" s="139"/>
      <c r="F916" s="15"/>
    </row>
    <row r="917">
      <c r="C917" s="139"/>
      <c r="D917" s="139"/>
      <c r="F917" s="15"/>
    </row>
    <row r="918">
      <c r="C918" s="139"/>
      <c r="D918" s="139"/>
      <c r="F918" s="15"/>
    </row>
    <row r="919">
      <c r="C919" s="139"/>
      <c r="D919" s="139"/>
      <c r="F919" s="15"/>
    </row>
    <row r="920">
      <c r="C920" s="139"/>
      <c r="D920" s="139"/>
      <c r="F920" s="15"/>
    </row>
    <row r="921">
      <c r="C921" s="139"/>
      <c r="D921" s="139"/>
      <c r="F921" s="15"/>
    </row>
    <row r="922">
      <c r="C922" s="139"/>
      <c r="D922" s="139"/>
      <c r="F922" s="15"/>
    </row>
    <row r="923">
      <c r="C923" s="139"/>
      <c r="D923" s="139"/>
      <c r="F923" s="15"/>
    </row>
    <row r="924">
      <c r="C924" s="139"/>
      <c r="D924" s="139"/>
      <c r="F924" s="15"/>
    </row>
    <row r="925">
      <c r="C925" s="139"/>
      <c r="D925" s="139"/>
      <c r="F925" s="15"/>
    </row>
    <row r="926">
      <c r="C926" s="139"/>
      <c r="D926" s="139"/>
      <c r="F926" s="15"/>
    </row>
    <row r="927">
      <c r="C927" s="139"/>
      <c r="D927" s="139"/>
      <c r="F927" s="15"/>
    </row>
    <row r="928">
      <c r="C928" s="139"/>
      <c r="D928" s="139"/>
      <c r="F928" s="15"/>
    </row>
    <row r="929">
      <c r="C929" s="139"/>
      <c r="D929" s="139"/>
      <c r="F929" s="15"/>
    </row>
    <row r="930">
      <c r="C930" s="139"/>
      <c r="D930" s="139"/>
      <c r="F930" s="15"/>
    </row>
    <row r="931">
      <c r="C931" s="139"/>
      <c r="D931" s="139"/>
      <c r="F931" s="15"/>
    </row>
    <row r="932">
      <c r="C932" s="139"/>
      <c r="D932" s="139"/>
      <c r="F932" s="15"/>
    </row>
    <row r="933">
      <c r="C933" s="139"/>
      <c r="D933" s="139"/>
      <c r="F933" s="15"/>
    </row>
    <row r="934">
      <c r="C934" s="139"/>
      <c r="D934" s="139"/>
      <c r="F934" s="15"/>
    </row>
    <row r="935">
      <c r="C935" s="139"/>
      <c r="D935" s="139"/>
      <c r="F935" s="15"/>
    </row>
    <row r="936">
      <c r="C936" s="139"/>
      <c r="D936" s="139"/>
      <c r="F936" s="15"/>
    </row>
    <row r="937">
      <c r="C937" s="139"/>
      <c r="D937" s="139"/>
      <c r="F937" s="15"/>
    </row>
    <row r="938">
      <c r="C938" s="139"/>
      <c r="D938" s="139"/>
      <c r="F938" s="15"/>
    </row>
    <row r="939">
      <c r="C939" s="139"/>
      <c r="D939" s="139"/>
      <c r="F939" s="15"/>
    </row>
    <row r="940">
      <c r="C940" s="139"/>
      <c r="D940" s="139"/>
      <c r="F940" s="15"/>
    </row>
    <row r="941">
      <c r="C941" s="139"/>
      <c r="D941" s="139"/>
      <c r="F941" s="15"/>
    </row>
    <row r="942">
      <c r="C942" s="139"/>
      <c r="D942" s="139"/>
      <c r="F942" s="15"/>
    </row>
    <row r="943">
      <c r="C943" s="139"/>
      <c r="D943" s="139"/>
      <c r="F943" s="15"/>
    </row>
    <row r="944">
      <c r="C944" s="139"/>
      <c r="D944" s="139"/>
      <c r="F944" s="15"/>
    </row>
    <row r="945">
      <c r="C945" s="139"/>
      <c r="D945" s="139"/>
      <c r="F945" s="15"/>
    </row>
    <row r="946">
      <c r="C946" s="139"/>
      <c r="D946" s="139"/>
      <c r="F946" s="15"/>
    </row>
    <row r="947">
      <c r="C947" s="139"/>
      <c r="D947" s="139"/>
      <c r="F947" s="15"/>
    </row>
    <row r="948">
      <c r="C948" s="139"/>
      <c r="D948" s="139"/>
      <c r="F948" s="15"/>
    </row>
    <row r="949">
      <c r="C949" s="139"/>
      <c r="D949" s="139"/>
      <c r="F949" s="15"/>
    </row>
    <row r="950">
      <c r="C950" s="139"/>
      <c r="D950" s="139"/>
      <c r="F950" s="15"/>
    </row>
    <row r="951">
      <c r="C951" s="139"/>
      <c r="D951" s="139"/>
      <c r="F951" s="15"/>
    </row>
    <row r="952">
      <c r="C952" s="139"/>
      <c r="D952" s="139"/>
      <c r="F952" s="15"/>
    </row>
    <row r="953">
      <c r="C953" s="139"/>
      <c r="D953" s="139"/>
      <c r="F953" s="15"/>
    </row>
    <row r="954">
      <c r="C954" s="139"/>
      <c r="D954" s="139"/>
      <c r="F954" s="15"/>
    </row>
    <row r="955">
      <c r="C955" s="139"/>
      <c r="D955" s="139"/>
      <c r="F955" s="15"/>
    </row>
    <row r="956">
      <c r="C956" s="139"/>
      <c r="D956" s="139"/>
      <c r="F956" s="15"/>
    </row>
    <row r="957">
      <c r="C957" s="139"/>
      <c r="D957" s="139"/>
      <c r="F957" s="15"/>
    </row>
    <row r="958">
      <c r="C958" s="139"/>
      <c r="D958" s="139"/>
      <c r="F958" s="15"/>
    </row>
    <row r="959">
      <c r="C959" s="139"/>
      <c r="D959" s="139"/>
      <c r="F959" s="15"/>
    </row>
    <row r="960">
      <c r="C960" s="139"/>
      <c r="D960" s="139"/>
      <c r="F960" s="15"/>
    </row>
    <row r="961">
      <c r="C961" s="139"/>
      <c r="D961" s="139"/>
      <c r="F961" s="15"/>
    </row>
    <row r="962">
      <c r="C962" s="139"/>
      <c r="D962" s="139"/>
      <c r="F962" s="15"/>
    </row>
    <row r="963">
      <c r="C963" s="139"/>
      <c r="D963" s="139"/>
      <c r="F963" s="15"/>
    </row>
    <row r="964">
      <c r="C964" s="139"/>
      <c r="D964" s="139"/>
      <c r="F964" s="15"/>
    </row>
    <row r="965">
      <c r="C965" s="139"/>
      <c r="D965" s="139"/>
      <c r="F965" s="15"/>
    </row>
    <row r="966">
      <c r="C966" s="139"/>
      <c r="D966" s="139"/>
      <c r="F966" s="15"/>
    </row>
    <row r="967">
      <c r="C967" s="139"/>
      <c r="D967" s="139"/>
      <c r="F967" s="15"/>
    </row>
    <row r="968">
      <c r="C968" s="139"/>
      <c r="D968" s="139"/>
      <c r="F968" s="15"/>
    </row>
    <row r="969">
      <c r="C969" s="139"/>
      <c r="D969" s="139"/>
      <c r="F969" s="15"/>
    </row>
    <row r="970">
      <c r="C970" s="139"/>
      <c r="D970" s="139"/>
      <c r="F970" s="15"/>
    </row>
    <row r="971">
      <c r="C971" s="139"/>
      <c r="D971" s="139"/>
      <c r="F971" s="15"/>
    </row>
    <row r="972">
      <c r="C972" s="139"/>
      <c r="D972" s="139"/>
      <c r="F972" s="15"/>
    </row>
    <row r="973">
      <c r="C973" s="139"/>
      <c r="D973" s="139"/>
      <c r="F973" s="15"/>
    </row>
    <row r="974">
      <c r="C974" s="139"/>
      <c r="D974" s="139"/>
      <c r="F974" s="15"/>
    </row>
    <row r="975">
      <c r="C975" s="139"/>
      <c r="D975" s="139"/>
      <c r="F975" s="15"/>
    </row>
    <row r="976">
      <c r="C976" s="139"/>
      <c r="D976" s="139"/>
      <c r="F976" s="15"/>
    </row>
    <row r="977">
      <c r="C977" s="139"/>
      <c r="D977" s="139"/>
      <c r="F977" s="15"/>
    </row>
    <row r="978">
      <c r="C978" s="139"/>
      <c r="D978" s="139"/>
      <c r="F978" s="15"/>
    </row>
    <row r="979">
      <c r="C979" s="139"/>
      <c r="D979" s="139"/>
      <c r="F979" s="15"/>
    </row>
    <row r="980">
      <c r="C980" s="139"/>
      <c r="D980" s="139"/>
      <c r="F980" s="15"/>
    </row>
    <row r="981">
      <c r="C981" s="139"/>
      <c r="D981" s="139"/>
      <c r="F981" s="15"/>
    </row>
    <row r="982">
      <c r="C982" s="139"/>
      <c r="D982" s="139"/>
      <c r="F982" s="15"/>
    </row>
    <row r="983">
      <c r="C983" s="139"/>
      <c r="D983" s="139"/>
      <c r="F983" s="15"/>
    </row>
    <row r="984">
      <c r="C984" s="139"/>
      <c r="D984" s="139"/>
      <c r="F984" s="15"/>
    </row>
    <row r="985">
      <c r="C985" s="139"/>
      <c r="D985" s="139"/>
      <c r="F985" s="15"/>
    </row>
    <row r="986">
      <c r="C986" s="139"/>
      <c r="D986" s="139"/>
      <c r="F986" s="15"/>
    </row>
    <row r="987">
      <c r="C987" s="139"/>
      <c r="D987" s="139"/>
      <c r="F987" s="15"/>
    </row>
    <row r="988">
      <c r="C988" s="139"/>
      <c r="D988" s="139"/>
      <c r="F988" s="15"/>
    </row>
    <row r="989">
      <c r="C989" s="139"/>
      <c r="D989" s="139"/>
      <c r="F989" s="15"/>
    </row>
    <row r="990">
      <c r="C990" s="139"/>
      <c r="D990" s="139"/>
      <c r="F990" s="15"/>
    </row>
    <row r="991">
      <c r="C991" s="139"/>
      <c r="D991" s="139"/>
      <c r="F991" s="15"/>
    </row>
    <row r="992">
      <c r="C992" s="139"/>
      <c r="D992" s="139"/>
      <c r="F992" s="15"/>
    </row>
    <row r="993">
      <c r="C993" s="139"/>
      <c r="D993" s="139"/>
      <c r="F993" s="15"/>
    </row>
    <row r="994">
      <c r="C994" s="139"/>
      <c r="D994" s="139"/>
      <c r="F994" s="15"/>
    </row>
    <row r="995">
      <c r="C995" s="139"/>
      <c r="D995" s="139"/>
      <c r="F995" s="15"/>
    </row>
    <row r="996">
      <c r="C996" s="139"/>
      <c r="D996" s="139"/>
      <c r="F996" s="15"/>
    </row>
    <row r="997">
      <c r="C997" s="139"/>
      <c r="D997" s="139"/>
      <c r="F997" s="15"/>
    </row>
    <row r="998">
      <c r="C998" s="139"/>
      <c r="D998" s="139"/>
      <c r="F998" s="15"/>
    </row>
    <row r="999">
      <c r="C999" s="139"/>
      <c r="D999" s="139"/>
      <c r="F999" s="15"/>
    </row>
    <row r="1000">
      <c r="C1000" s="139"/>
      <c r="D1000" s="139"/>
      <c r="F1000" s="15"/>
    </row>
    <row r="1001">
      <c r="C1001" s="139"/>
      <c r="D1001" s="139"/>
      <c r="F1001" s="15"/>
    </row>
    <row r="1002">
      <c r="C1002" s="139"/>
      <c r="D1002" s="139"/>
      <c r="F1002" s="15"/>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C4"/>
    <hyperlink r:id="rId2" ref="C10"/>
    <hyperlink r:id="rId3" ref="C22"/>
    <hyperlink r:id="rId4" ref="C47"/>
    <hyperlink r:id="rId5" ref="C96"/>
    <hyperlink r:id="rId6" ref="C99"/>
    <hyperlink r:id="rId7" ref="C109"/>
    <hyperlink r:id="rId8" ref="C120"/>
    <hyperlink r:id="rId9" ref="C122"/>
    <hyperlink r:id="rId10" ref="C138"/>
    <hyperlink r:id="rId11" ref="C151"/>
  </hyperlinks>
  <drawing r:id="rId12"/>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2" max="2" width="9.29"/>
    <col customWidth="1" min="3" max="3" width="12.86"/>
    <col customWidth="1" min="5" max="5" width="7.86"/>
    <col customWidth="1" min="6" max="6" width="21.57"/>
  </cols>
  <sheetData>
    <row r="1" ht="15.0" customHeight="1" outlineLevel="1">
      <c r="A1" s="1" t="s">
        <v>0</v>
      </c>
      <c r="B1" s="2" t="s">
        <v>1</v>
      </c>
      <c r="C1" s="2" t="s">
        <v>2</v>
      </c>
      <c r="D1" s="2" t="s">
        <v>2</v>
      </c>
      <c r="E1" s="3"/>
      <c r="F1" s="30" t="s">
        <v>1577</v>
      </c>
      <c r="G1" s="30" t="s">
        <v>4</v>
      </c>
      <c r="H1" s="30" t="s">
        <v>5</v>
      </c>
      <c r="I1" s="30" t="s">
        <v>6</v>
      </c>
      <c r="J1" s="30" t="s">
        <v>7</v>
      </c>
      <c r="K1" s="1" t="s">
        <v>8</v>
      </c>
      <c r="L1" s="7" t="s">
        <v>9</v>
      </c>
      <c r="N1" s="10" t="s">
        <v>14</v>
      </c>
      <c r="P1" s="167"/>
      <c r="Q1" s="167"/>
      <c r="R1" s="30"/>
      <c r="S1" s="20"/>
      <c r="T1" s="20"/>
      <c r="U1" s="20"/>
      <c r="V1" s="20"/>
      <c r="W1" s="20"/>
      <c r="X1" s="20"/>
      <c r="Y1" s="20"/>
      <c r="Z1" s="20"/>
      <c r="AA1" s="20"/>
      <c r="AB1" s="20"/>
      <c r="AC1" s="20"/>
      <c r="AD1" s="20"/>
    </row>
    <row r="2" ht="16.5" customHeight="1" outlineLevel="1">
      <c r="A2" s="23"/>
      <c r="B2" s="436"/>
      <c r="C2" s="325"/>
      <c r="D2" s="325"/>
      <c r="E2" s="3"/>
      <c r="F2" s="168">
        <v>43416.0</v>
      </c>
      <c r="G2" s="655">
        <v>43483.0</v>
      </c>
      <c r="H2" s="79">
        <f>G2-TODAY()</f>
        <v>-252</v>
      </c>
      <c r="I2" s="168">
        <v>43479.0</v>
      </c>
      <c r="J2" s="168">
        <v>43646.0</v>
      </c>
      <c r="K2" s="23"/>
      <c r="L2" s="26">
        <f>CountIFS($E:$E,"=Dem",$A:$A,"=House")</f>
        <v>37</v>
      </c>
      <c r="M2" s="28">
        <f>CountIFS($E:$E,"=Rep",$A:$A,"=House")</f>
        <v>23</v>
      </c>
      <c r="N2" s="26">
        <f>CountIFS($E:$E,"=Dem",$A:$A,"=Senate")</f>
        <v>18</v>
      </c>
      <c r="O2" s="28">
        <f>CountIFS($E:$E,"=Rep",$A:$A,"=Senate")</f>
        <v>12</v>
      </c>
      <c r="P2" s="167"/>
      <c r="Q2" s="167"/>
      <c r="R2" s="30"/>
      <c r="S2" s="20"/>
      <c r="T2" s="20"/>
      <c r="U2" s="20"/>
      <c r="V2" s="20"/>
      <c r="W2" s="20"/>
      <c r="X2" s="20"/>
      <c r="Y2" s="20"/>
      <c r="Z2" s="20"/>
      <c r="AA2" s="20"/>
      <c r="AB2" s="20"/>
      <c r="AC2" s="20"/>
      <c r="AD2" s="20"/>
    </row>
    <row r="3">
      <c r="A3" s="30" t="s">
        <v>29</v>
      </c>
      <c r="B3" s="2" t="s">
        <v>30</v>
      </c>
      <c r="C3" s="2" t="s">
        <v>31</v>
      </c>
      <c r="D3" s="2" t="s">
        <v>32</v>
      </c>
      <c r="E3" s="3" t="s">
        <v>33</v>
      </c>
      <c r="F3" s="1" t="s">
        <v>10</v>
      </c>
      <c r="G3" s="1" t="s">
        <v>34</v>
      </c>
      <c r="H3" s="1" t="s">
        <v>34</v>
      </c>
      <c r="I3" s="1" t="s">
        <v>34</v>
      </c>
      <c r="J3" s="1" t="s">
        <v>34</v>
      </c>
      <c r="K3" s="1" t="s">
        <v>35</v>
      </c>
      <c r="L3" s="19" t="s">
        <v>36</v>
      </c>
      <c r="M3" s="19" t="s">
        <v>37</v>
      </c>
      <c r="N3" s="19" t="s">
        <v>38</v>
      </c>
      <c r="O3" s="17" t="s">
        <v>39</v>
      </c>
      <c r="P3" s="11" t="s">
        <v>40</v>
      </c>
      <c r="Q3" s="11" t="s">
        <v>41</v>
      </c>
      <c r="R3" s="17" t="s">
        <v>42</v>
      </c>
      <c r="S3" s="20"/>
      <c r="T3" s="20"/>
      <c r="U3" s="30" t="s">
        <v>1590</v>
      </c>
      <c r="V3" s="2" t="s">
        <v>1591</v>
      </c>
      <c r="W3" s="30" t="s">
        <v>1592</v>
      </c>
      <c r="X3" s="30" t="s">
        <v>37</v>
      </c>
      <c r="Y3" s="20"/>
      <c r="Z3" s="20"/>
      <c r="AA3" s="20"/>
      <c r="AB3" s="20"/>
      <c r="AC3" s="20"/>
      <c r="AD3" s="20"/>
    </row>
    <row r="4">
      <c r="A4" s="14" t="s">
        <v>44</v>
      </c>
      <c r="B4" s="263">
        <v>1.0</v>
      </c>
      <c r="C4" s="264" t="s">
        <v>108</v>
      </c>
      <c r="D4" s="264" t="s">
        <v>10689</v>
      </c>
      <c r="E4" s="384" t="s">
        <v>53</v>
      </c>
      <c r="F4" s="15"/>
      <c r="L4" s="89"/>
      <c r="M4" s="89" t="str">
        <f t="shared" ref="M4:M63" si="1">CONCATENATE("rep.",lower(C4),Lower(D4),"@oregonlegislature.gov")</f>
        <v>rep.davidbrocksmith@oregonlegislature.gov</v>
      </c>
      <c r="N4" s="89"/>
      <c r="O4" s="89"/>
      <c r="P4" s="89"/>
      <c r="Q4" s="89"/>
      <c r="R4" s="89"/>
      <c r="U4" t="str">
        <f t="shared" ref="U4:U63" si="2">if(V4="","",if(A4="House","Representative","Senator"))</f>
        <v/>
      </c>
      <c r="V4" s="139" t="str">
        <f>if(AND(not(isblank($F4)),not(isnumber(search("minority",$F4)))),$C4,if(or(isnumber(search("Judiciary (Chair)",$G4)),isnumber(search("Judiciary (Vice Chair)",$G4))),$C4,""))</f>
        <v/>
      </c>
      <c r="W4" t="str">
        <f t="shared" ref="W4:W63" si="3">if(V4="","",D4)</f>
        <v/>
      </c>
      <c r="X4" t="str">
        <f t="shared" ref="X4:X63" si="4">if(W4="","",M4)</f>
        <v/>
      </c>
    </row>
    <row r="5">
      <c r="A5" s="14" t="s">
        <v>44</v>
      </c>
      <c r="B5" s="263">
        <v>2.0</v>
      </c>
      <c r="C5" s="264" t="s">
        <v>199</v>
      </c>
      <c r="D5" s="264" t="s">
        <v>10698</v>
      </c>
      <c r="E5" s="384" t="s">
        <v>53</v>
      </c>
      <c r="F5" s="15"/>
      <c r="L5" s="89"/>
      <c r="M5" s="89" t="str">
        <f t="shared" si="1"/>
        <v>rep.garyleif@oregonlegislature.gov</v>
      </c>
      <c r="N5" s="89"/>
      <c r="O5" s="89"/>
      <c r="P5" s="89"/>
      <c r="Q5" s="89"/>
      <c r="R5" s="89"/>
      <c r="U5" t="str">
        <f t="shared" si="2"/>
        <v/>
      </c>
      <c r="V5" s="139" t="str">
        <f t="shared" ref="V5:V63" si="5">if(AND(not(isblank(F5)),not(isnumber(search("minority",F5)))),C5,if(or(isnumber(search("Judiciary (Chair)",G5)),isnumber(search("Judiciary (Vice Chair)",G5))),C5,""))</f>
        <v/>
      </c>
      <c r="W5" t="str">
        <f t="shared" si="3"/>
        <v/>
      </c>
      <c r="X5" t="str">
        <f t="shared" si="4"/>
        <v/>
      </c>
    </row>
    <row r="6">
      <c r="A6" s="14" t="s">
        <v>44</v>
      </c>
      <c r="B6" s="263">
        <v>3.0</v>
      </c>
      <c r="C6" s="264" t="s">
        <v>4087</v>
      </c>
      <c r="D6" s="264" t="s">
        <v>62</v>
      </c>
      <c r="E6" s="384" t="s">
        <v>53</v>
      </c>
      <c r="F6" s="12" t="s">
        <v>498</v>
      </c>
      <c r="L6" s="89"/>
      <c r="M6" s="89" t="str">
        <f t="shared" si="1"/>
        <v>rep.carlwilson@oregonlegislature.gov</v>
      </c>
      <c r="N6" s="89"/>
      <c r="O6" s="89"/>
      <c r="P6" s="89"/>
      <c r="Q6" s="89"/>
      <c r="R6" s="89"/>
      <c r="U6" t="str">
        <f t="shared" si="2"/>
        <v/>
      </c>
      <c r="V6" s="139" t="str">
        <f t="shared" si="5"/>
        <v/>
      </c>
      <c r="W6" t="str">
        <f t="shared" si="3"/>
        <v/>
      </c>
      <c r="X6" t="str">
        <f t="shared" si="4"/>
        <v/>
      </c>
    </row>
    <row r="7">
      <c r="A7" s="14" t="s">
        <v>44</v>
      </c>
      <c r="B7" s="263">
        <v>4.0</v>
      </c>
      <c r="C7" s="264" t="s">
        <v>7576</v>
      </c>
      <c r="D7" s="264" t="s">
        <v>3085</v>
      </c>
      <c r="E7" s="384" t="s">
        <v>53</v>
      </c>
      <c r="F7" s="15"/>
      <c r="L7" s="89"/>
      <c r="M7" s="89" t="str">
        <f t="shared" si="1"/>
        <v>rep.duanestark@oregonlegislature.gov</v>
      </c>
      <c r="N7" s="89"/>
      <c r="O7" s="89"/>
      <c r="P7" s="89"/>
      <c r="Q7" s="89"/>
      <c r="R7" s="89"/>
      <c r="U7" t="str">
        <f t="shared" si="2"/>
        <v/>
      </c>
      <c r="V7" s="139" t="str">
        <f t="shared" si="5"/>
        <v/>
      </c>
      <c r="W7" t="str">
        <f t="shared" si="3"/>
        <v/>
      </c>
      <c r="X7" t="str">
        <f t="shared" si="4"/>
        <v/>
      </c>
    </row>
    <row r="8">
      <c r="A8" s="14" t="s">
        <v>44</v>
      </c>
      <c r="B8" s="263">
        <v>5.0</v>
      </c>
      <c r="C8" s="264" t="s">
        <v>3657</v>
      </c>
      <c r="D8" s="264" t="s">
        <v>902</v>
      </c>
      <c r="E8" s="394" t="s">
        <v>49</v>
      </c>
      <c r="F8" s="15"/>
      <c r="L8" s="89"/>
      <c r="M8" s="89" t="str">
        <f t="shared" si="1"/>
        <v>rep.pammarsh@oregonlegislature.gov</v>
      </c>
      <c r="N8" s="89"/>
      <c r="O8" s="89"/>
      <c r="P8" s="89"/>
      <c r="Q8" s="89"/>
      <c r="R8" s="89"/>
      <c r="U8" t="str">
        <f t="shared" si="2"/>
        <v/>
      </c>
      <c r="V8" s="139" t="str">
        <f t="shared" si="5"/>
        <v/>
      </c>
      <c r="W8" t="str">
        <f t="shared" si="3"/>
        <v/>
      </c>
      <c r="X8" t="str">
        <f t="shared" si="4"/>
        <v/>
      </c>
    </row>
    <row r="9">
      <c r="A9" s="14" t="s">
        <v>44</v>
      </c>
      <c r="B9" s="263">
        <v>6.0</v>
      </c>
      <c r="C9" s="264" t="s">
        <v>1973</v>
      </c>
      <c r="D9" s="264" t="s">
        <v>10734</v>
      </c>
      <c r="E9" s="384" t="s">
        <v>53</v>
      </c>
      <c r="F9" s="15"/>
      <c r="L9" s="89"/>
      <c r="M9" s="89" t="str">
        <f t="shared" si="1"/>
        <v>rep.kimwallan@oregonlegislature.gov</v>
      </c>
      <c r="N9" s="89"/>
      <c r="O9" s="89"/>
      <c r="P9" s="89"/>
      <c r="Q9" s="89"/>
      <c r="R9" s="89"/>
      <c r="U9" t="str">
        <f t="shared" si="2"/>
        <v/>
      </c>
      <c r="V9" s="139" t="str">
        <f t="shared" si="5"/>
        <v/>
      </c>
      <c r="W9" t="str">
        <f t="shared" si="3"/>
        <v/>
      </c>
      <c r="X9" t="str">
        <f t="shared" si="4"/>
        <v/>
      </c>
    </row>
    <row r="10">
      <c r="A10" s="14" t="s">
        <v>44</v>
      </c>
      <c r="B10" s="263">
        <v>7.0</v>
      </c>
      <c r="C10" s="264" t="s">
        <v>3463</v>
      </c>
      <c r="D10" s="264" t="s">
        <v>8638</v>
      </c>
      <c r="E10" s="384" t="s">
        <v>53</v>
      </c>
      <c r="F10" s="15"/>
      <c r="L10" s="89"/>
      <c r="M10" s="89" t="str">
        <f t="shared" si="1"/>
        <v>rep.cedrichayden@oregonlegislature.gov</v>
      </c>
      <c r="N10" s="89"/>
      <c r="O10" s="89"/>
      <c r="P10" s="89"/>
      <c r="Q10" s="89"/>
      <c r="R10" s="89"/>
      <c r="U10" t="str">
        <f t="shared" si="2"/>
        <v/>
      </c>
      <c r="V10" s="139" t="str">
        <f t="shared" si="5"/>
        <v/>
      </c>
      <c r="W10" t="str">
        <f t="shared" si="3"/>
        <v/>
      </c>
      <c r="X10" t="str">
        <f t="shared" si="4"/>
        <v/>
      </c>
    </row>
    <row r="11">
      <c r="A11" s="14" t="s">
        <v>44</v>
      </c>
      <c r="B11" s="263">
        <v>8.0</v>
      </c>
      <c r="C11" s="264" t="s">
        <v>679</v>
      </c>
      <c r="D11" s="264" t="s">
        <v>10762</v>
      </c>
      <c r="E11" s="394" t="s">
        <v>49</v>
      </c>
      <c r="F11" s="12" t="s">
        <v>751</v>
      </c>
      <c r="G11" s="14" t="s">
        <v>10763</v>
      </c>
      <c r="L11" s="89"/>
      <c r="M11" s="89" t="str">
        <f t="shared" si="1"/>
        <v>rep.paulholvey@oregonlegislature.gov</v>
      </c>
      <c r="N11" s="89"/>
      <c r="O11" s="89"/>
      <c r="P11" s="89"/>
      <c r="Q11" s="89"/>
      <c r="R11" s="89"/>
      <c r="U11" t="str">
        <f t="shared" si="2"/>
        <v>Representative</v>
      </c>
      <c r="V11" s="139" t="str">
        <f t="shared" si="5"/>
        <v>Paul</v>
      </c>
      <c r="W11" t="str">
        <f t="shared" si="3"/>
        <v>Holvey</v>
      </c>
      <c r="X11" t="str">
        <f t="shared" si="4"/>
        <v>rep.paulholvey@oregonlegislature.gov</v>
      </c>
    </row>
    <row r="12">
      <c r="A12" s="14" t="s">
        <v>44</v>
      </c>
      <c r="B12" s="263">
        <v>9.0</v>
      </c>
      <c r="C12" s="264" t="s">
        <v>10766</v>
      </c>
      <c r="D12" s="264" t="s">
        <v>10767</v>
      </c>
      <c r="E12" s="394" t="s">
        <v>49</v>
      </c>
      <c r="F12" s="15"/>
      <c r="L12" s="89"/>
      <c r="M12" s="89" t="str">
        <f t="shared" si="1"/>
        <v>rep.caddymckeown@oregonlegislature.gov</v>
      </c>
      <c r="N12" s="89"/>
      <c r="O12" s="89"/>
      <c r="P12" s="89"/>
      <c r="Q12" s="89"/>
      <c r="R12" s="89"/>
      <c r="U12" t="str">
        <f t="shared" si="2"/>
        <v/>
      </c>
      <c r="V12" s="139" t="str">
        <f t="shared" si="5"/>
        <v/>
      </c>
      <c r="W12" t="str">
        <f t="shared" si="3"/>
        <v/>
      </c>
      <c r="X12" t="str">
        <f t="shared" si="4"/>
        <v/>
      </c>
    </row>
    <row r="13">
      <c r="A13" s="14" t="s">
        <v>44</v>
      </c>
      <c r="B13" s="263">
        <v>10.0</v>
      </c>
      <c r="C13" s="264" t="s">
        <v>108</v>
      </c>
      <c r="D13" s="264" t="s">
        <v>10770</v>
      </c>
      <c r="E13" s="394" t="s">
        <v>49</v>
      </c>
      <c r="F13" s="15"/>
      <c r="G13" s="14" t="s">
        <v>10773</v>
      </c>
      <c r="L13" s="89"/>
      <c r="M13" s="89" t="str">
        <f t="shared" si="1"/>
        <v>rep.davidgomberg@oregonlegislature.gov</v>
      </c>
      <c r="N13" s="89"/>
      <c r="O13" s="89"/>
      <c r="P13" s="89"/>
      <c r="Q13" s="89"/>
      <c r="R13" s="89"/>
      <c r="U13" t="str">
        <f t="shared" si="2"/>
        <v/>
      </c>
      <c r="V13" s="139" t="str">
        <f t="shared" si="5"/>
        <v/>
      </c>
      <c r="W13" t="str">
        <f t="shared" si="3"/>
        <v/>
      </c>
      <c r="X13" t="str">
        <f t="shared" si="4"/>
        <v/>
      </c>
    </row>
    <row r="14">
      <c r="A14" s="14" t="s">
        <v>44</v>
      </c>
      <c r="B14" s="263">
        <v>11.0</v>
      </c>
      <c r="C14" s="264" t="s">
        <v>4242</v>
      </c>
      <c r="D14" s="264" t="s">
        <v>10776</v>
      </c>
      <c r="E14" s="394" t="s">
        <v>49</v>
      </c>
      <c r="F14" s="15"/>
      <c r="L14" s="89"/>
      <c r="M14" s="89" t="str">
        <f t="shared" si="1"/>
        <v>rep.martywilde@oregonlegislature.gov</v>
      </c>
      <c r="N14" s="89"/>
      <c r="O14" s="89"/>
      <c r="P14" s="89"/>
      <c r="Q14" s="89"/>
      <c r="R14" s="89"/>
      <c r="U14" t="str">
        <f t="shared" si="2"/>
        <v/>
      </c>
      <c r="V14" s="139" t="str">
        <f t="shared" si="5"/>
        <v/>
      </c>
      <c r="W14" t="str">
        <f t="shared" si="3"/>
        <v/>
      </c>
      <c r="X14" t="str">
        <f t="shared" si="4"/>
        <v/>
      </c>
    </row>
    <row r="15">
      <c r="A15" s="14" t="s">
        <v>44</v>
      </c>
      <c r="B15" s="263">
        <v>12.0</v>
      </c>
      <c r="C15" s="264" t="s">
        <v>278</v>
      </c>
      <c r="D15" s="264" t="s">
        <v>10781</v>
      </c>
      <c r="E15" s="394" t="s">
        <v>49</v>
      </c>
      <c r="F15" s="15"/>
      <c r="G15" s="14" t="s">
        <v>10783</v>
      </c>
      <c r="L15" s="89"/>
      <c r="M15" s="89" t="str">
        <f t="shared" si="1"/>
        <v>rep.johnlively@oregonlegislature.gov</v>
      </c>
      <c r="N15" s="89"/>
      <c r="O15" s="89"/>
      <c r="P15" s="89"/>
      <c r="Q15" s="89"/>
      <c r="R15" s="89"/>
      <c r="U15" t="str">
        <f t="shared" si="2"/>
        <v/>
      </c>
      <c r="V15" s="139" t="str">
        <f t="shared" si="5"/>
        <v/>
      </c>
      <c r="W15" t="str">
        <f t="shared" si="3"/>
        <v/>
      </c>
      <c r="X15" t="str">
        <f t="shared" si="4"/>
        <v/>
      </c>
    </row>
    <row r="16">
      <c r="A16" s="14" t="s">
        <v>44</v>
      </c>
      <c r="B16" s="263">
        <v>13.0</v>
      </c>
      <c r="C16" s="264" t="s">
        <v>123</v>
      </c>
      <c r="D16" s="264" t="s">
        <v>10792</v>
      </c>
      <c r="E16" s="394" t="s">
        <v>49</v>
      </c>
      <c r="F16" s="15"/>
      <c r="G16" s="14" t="s">
        <v>10794</v>
      </c>
      <c r="L16" s="89"/>
      <c r="M16" s="89" t="str">
        <f t="shared" si="1"/>
        <v>rep.nancynathanson@oregonlegislature.gov</v>
      </c>
      <c r="N16" s="89"/>
      <c r="O16" s="89"/>
      <c r="P16" s="89"/>
      <c r="Q16" s="89"/>
      <c r="R16" s="89"/>
      <c r="U16" t="str">
        <f t="shared" si="2"/>
        <v/>
      </c>
      <c r="V16" s="139" t="str">
        <f t="shared" si="5"/>
        <v/>
      </c>
      <c r="W16" t="str">
        <f t="shared" si="3"/>
        <v/>
      </c>
      <c r="X16" t="str">
        <f t="shared" si="4"/>
        <v/>
      </c>
    </row>
    <row r="17">
      <c r="A17" s="14" t="s">
        <v>44</v>
      </c>
      <c r="B17" s="263">
        <v>14.0</v>
      </c>
      <c r="C17" s="264" t="s">
        <v>2133</v>
      </c>
      <c r="D17" s="264" t="s">
        <v>10795</v>
      </c>
      <c r="E17" s="394" t="s">
        <v>49</v>
      </c>
      <c r="F17" s="15"/>
      <c r="L17" s="89"/>
      <c r="M17" s="89" t="str">
        <f t="shared" si="1"/>
        <v>rep.juliefahey@oregonlegislature.gov</v>
      </c>
      <c r="N17" s="89"/>
      <c r="O17" s="89"/>
      <c r="P17" s="89"/>
      <c r="Q17" s="89"/>
      <c r="R17" s="89"/>
      <c r="U17" t="str">
        <f t="shared" si="2"/>
        <v/>
      </c>
      <c r="V17" s="139" t="str">
        <f t="shared" si="5"/>
        <v/>
      </c>
      <c r="W17" t="str">
        <f t="shared" si="3"/>
        <v/>
      </c>
      <c r="X17" t="str">
        <f t="shared" si="4"/>
        <v/>
      </c>
    </row>
    <row r="18">
      <c r="A18" s="14" t="s">
        <v>44</v>
      </c>
      <c r="B18" s="263">
        <v>15.0</v>
      </c>
      <c r="C18" s="264" t="s">
        <v>3698</v>
      </c>
      <c r="D18" s="264" t="s">
        <v>1254</v>
      </c>
      <c r="E18" s="384" t="s">
        <v>53</v>
      </c>
      <c r="F18" s="15"/>
      <c r="L18" s="89"/>
      <c r="M18" s="89" t="str">
        <f t="shared" si="1"/>
        <v>rep.shellydavis@oregonlegislature.gov</v>
      </c>
      <c r="N18" s="89"/>
      <c r="O18" s="89"/>
      <c r="P18" s="89"/>
      <c r="Q18" s="89"/>
      <c r="R18" s="89"/>
      <c r="U18" t="str">
        <f t="shared" si="2"/>
        <v/>
      </c>
      <c r="V18" s="139" t="str">
        <f t="shared" si="5"/>
        <v/>
      </c>
      <c r="W18" t="str">
        <f t="shared" si="3"/>
        <v/>
      </c>
      <c r="X18" t="str">
        <f t="shared" si="4"/>
        <v/>
      </c>
    </row>
    <row r="19">
      <c r="A19" s="14" t="s">
        <v>44</v>
      </c>
      <c r="B19" s="263">
        <v>16.0</v>
      </c>
      <c r="C19" s="264" t="s">
        <v>239</v>
      </c>
      <c r="D19" s="264" t="s">
        <v>10805</v>
      </c>
      <c r="E19" s="394" t="s">
        <v>49</v>
      </c>
      <c r="F19" s="15"/>
      <c r="L19" s="89"/>
      <c r="M19" s="89" t="str">
        <f t="shared" si="1"/>
        <v>rep.danrayfield@oregonlegislature.gov</v>
      </c>
      <c r="N19" s="89"/>
      <c r="O19" s="89"/>
      <c r="P19" s="89"/>
      <c r="Q19" s="89"/>
      <c r="R19" s="89"/>
      <c r="U19" t="str">
        <f t="shared" si="2"/>
        <v/>
      </c>
      <c r="V19" s="139" t="str">
        <f t="shared" si="5"/>
        <v/>
      </c>
      <c r="W19" t="str">
        <f t="shared" si="3"/>
        <v/>
      </c>
      <c r="X19" t="str">
        <f t="shared" si="4"/>
        <v/>
      </c>
    </row>
    <row r="20">
      <c r="A20" s="14" t="s">
        <v>44</v>
      </c>
      <c r="B20" s="263">
        <v>17.0</v>
      </c>
      <c r="C20" s="264" t="s">
        <v>10707</v>
      </c>
      <c r="D20" s="264" t="s">
        <v>10811</v>
      </c>
      <c r="E20" s="384" t="s">
        <v>53</v>
      </c>
      <c r="F20" s="12" t="s">
        <v>2004</v>
      </c>
      <c r="L20" s="89"/>
      <c r="M20" s="89" t="str">
        <f t="shared" si="1"/>
        <v>rep.sherriesprenger@oregonlegislature.gov</v>
      </c>
      <c r="N20" s="89"/>
      <c r="O20" s="89"/>
      <c r="P20" s="89"/>
      <c r="Q20" s="89"/>
      <c r="R20" s="89"/>
      <c r="U20" t="str">
        <f t="shared" si="2"/>
        <v/>
      </c>
      <c r="V20" s="139" t="str">
        <f t="shared" si="5"/>
        <v/>
      </c>
      <c r="W20" t="str">
        <f t="shared" si="3"/>
        <v/>
      </c>
      <c r="X20" t="str">
        <f t="shared" si="4"/>
        <v/>
      </c>
    </row>
    <row r="21">
      <c r="A21" s="14" t="s">
        <v>44</v>
      </c>
      <c r="B21" s="263">
        <v>18.0</v>
      </c>
      <c r="C21" s="264" t="s">
        <v>1291</v>
      </c>
      <c r="D21" s="264" t="s">
        <v>1707</v>
      </c>
      <c r="E21" s="384" t="s">
        <v>53</v>
      </c>
      <c r="F21" s="15"/>
      <c r="L21" s="89"/>
      <c r="M21" s="89" t="str">
        <f t="shared" si="1"/>
        <v>rep.ricklewis@oregonlegislature.gov</v>
      </c>
      <c r="N21" s="89"/>
      <c r="O21" s="89"/>
      <c r="P21" s="89"/>
      <c r="Q21" s="89"/>
      <c r="R21" s="89"/>
      <c r="U21" t="str">
        <f t="shared" si="2"/>
        <v/>
      </c>
      <c r="V21" s="139" t="str">
        <f t="shared" si="5"/>
        <v/>
      </c>
      <c r="W21" t="str">
        <f t="shared" si="3"/>
        <v/>
      </c>
      <c r="X21" t="str">
        <f t="shared" si="4"/>
        <v/>
      </c>
    </row>
    <row r="22">
      <c r="A22" s="14" t="s">
        <v>44</v>
      </c>
      <c r="B22" s="263">
        <v>19.0</v>
      </c>
      <c r="C22" s="264" t="s">
        <v>10820</v>
      </c>
      <c r="D22" s="264" t="s">
        <v>9812</v>
      </c>
      <c r="E22" s="384" t="s">
        <v>53</v>
      </c>
      <c r="F22" s="15"/>
      <c r="L22" s="89"/>
      <c r="M22" s="89" t="str">
        <f t="shared" si="1"/>
        <v>rep.denycboles@oregonlegislature.gov</v>
      </c>
      <c r="N22" s="89"/>
      <c r="O22" s="89"/>
      <c r="P22" s="89"/>
      <c r="Q22" s="89"/>
      <c r="R22" s="89"/>
      <c r="U22" t="str">
        <f t="shared" si="2"/>
        <v/>
      </c>
      <c r="V22" s="139" t="str">
        <f t="shared" si="5"/>
        <v/>
      </c>
      <c r="W22" t="str">
        <f t="shared" si="3"/>
        <v/>
      </c>
      <c r="X22" t="str">
        <f t="shared" si="4"/>
        <v/>
      </c>
    </row>
    <row r="23">
      <c r="A23" s="14" t="s">
        <v>44</v>
      </c>
      <c r="B23" s="263">
        <v>20.0</v>
      </c>
      <c r="C23" s="264" t="s">
        <v>679</v>
      </c>
      <c r="D23" s="264" t="s">
        <v>1332</v>
      </c>
      <c r="E23" s="394" t="s">
        <v>49</v>
      </c>
      <c r="F23" s="15"/>
      <c r="G23" s="14" t="s">
        <v>10829</v>
      </c>
      <c r="L23" s="89"/>
      <c r="M23" s="89" t="str">
        <f t="shared" si="1"/>
        <v>rep.paulevans@oregonlegislature.gov</v>
      </c>
      <c r="N23" s="89"/>
      <c r="O23" s="89"/>
      <c r="P23" s="89"/>
      <c r="Q23" s="89"/>
      <c r="R23" s="89"/>
      <c r="U23" t="str">
        <f t="shared" si="2"/>
        <v/>
      </c>
      <c r="V23" s="139" t="str">
        <f t="shared" si="5"/>
        <v/>
      </c>
      <c r="W23" t="str">
        <f t="shared" si="3"/>
        <v/>
      </c>
      <c r="X23" t="str">
        <f t="shared" si="4"/>
        <v/>
      </c>
    </row>
    <row r="24">
      <c r="A24" s="14" t="s">
        <v>44</v>
      </c>
      <c r="B24" s="263">
        <v>21.0</v>
      </c>
      <c r="C24" s="264" t="s">
        <v>1331</v>
      </c>
      <c r="D24" s="264" t="s">
        <v>10831</v>
      </c>
      <c r="E24" s="394" t="s">
        <v>49</v>
      </c>
      <c r="F24" s="15"/>
      <c r="G24" s="14" t="s">
        <v>10832</v>
      </c>
      <c r="L24" s="89"/>
      <c r="M24" s="89" t="str">
        <f t="shared" si="1"/>
        <v>rep.brianclem@oregonlegislature.gov</v>
      </c>
      <c r="N24" s="89"/>
      <c r="O24" s="89"/>
      <c r="P24" s="89"/>
      <c r="Q24" s="89"/>
      <c r="R24" s="89"/>
      <c r="U24" t="str">
        <f t="shared" si="2"/>
        <v/>
      </c>
      <c r="V24" s="139" t="str">
        <f t="shared" si="5"/>
        <v/>
      </c>
      <c r="W24" t="str">
        <f t="shared" si="3"/>
        <v/>
      </c>
      <c r="X24" t="str">
        <f t="shared" si="4"/>
        <v/>
      </c>
    </row>
    <row r="25">
      <c r="A25" s="14" t="s">
        <v>44</v>
      </c>
      <c r="B25" s="263">
        <v>22.0</v>
      </c>
      <c r="C25" s="264" t="s">
        <v>493</v>
      </c>
      <c r="D25" s="264" t="s">
        <v>7861</v>
      </c>
      <c r="E25" s="394" t="s">
        <v>49</v>
      </c>
      <c r="F25" s="15"/>
      <c r="L25" s="89"/>
      <c r="M25" s="89" t="str">
        <f t="shared" si="1"/>
        <v>rep.teresaleon@oregonlegislature.gov</v>
      </c>
      <c r="N25" s="89"/>
      <c r="O25" s="89"/>
      <c r="P25" s="89"/>
      <c r="Q25" s="89"/>
      <c r="R25" s="89"/>
      <c r="U25" t="str">
        <f t="shared" si="2"/>
        <v/>
      </c>
      <c r="V25" s="139" t="str">
        <f t="shared" si="5"/>
        <v/>
      </c>
      <c r="W25" t="str">
        <f t="shared" si="3"/>
        <v/>
      </c>
      <c r="X25" t="str">
        <f t="shared" si="4"/>
        <v/>
      </c>
    </row>
    <row r="26">
      <c r="A26" s="14" t="s">
        <v>44</v>
      </c>
      <c r="B26" s="263">
        <v>23.0</v>
      </c>
      <c r="C26" s="264" t="s">
        <v>157</v>
      </c>
      <c r="D26" s="264" t="s">
        <v>10846</v>
      </c>
      <c r="E26" s="384" t="s">
        <v>53</v>
      </c>
      <c r="F26" s="15"/>
      <c r="L26" s="89"/>
      <c r="M26" s="89" t="str">
        <f t="shared" si="1"/>
        <v>rep.mikenearman@oregonlegislature.gov</v>
      </c>
      <c r="N26" s="89"/>
      <c r="O26" s="89"/>
      <c r="P26" s="89"/>
      <c r="Q26" s="89"/>
      <c r="R26" s="89"/>
      <c r="U26" t="str">
        <f t="shared" si="2"/>
        <v/>
      </c>
      <c r="V26" s="139" t="str">
        <f t="shared" si="5"/>
        <v/>
      </c>
      <c r="W26" t="str">
        <f t="shared" si="3"/>
        <v/>
      </c>
      <c r="X26" t="str">
        <f t="shared" si="4"/>
        <v/>
      </c>
    </row>
    <row r="27">
      <c r="A27" s="14" t="s">
        <v>44</v>
      </c>
      <c r="B27" s="263">
        <v>24.0</v>
      </c>
      <c r="C27" s="264" t="s">
        <v>1813</v>
      </c>
      <c r="D27" s="264" t="s">
        <v>10847</v>
      </c>
      <c r="E27" s="384" t="s">
        <v>53</v>
      </c>
      <c r="F27" s="15"/>
      <c r="L27" s="89"/>
      <c r="M27" s="89" t="str">
        <f t="shared" si="1"/>
        <v>rep.ronnoble@oregonlegislature.gov</v>
      </c>
      <c r="N27" s="89"/>
      <c r="O27" s="89"/>
      <c r="P27" s="89"/>
      <c r="Q27" s="89"/>
      <c r="R27" s="89"/>
      <c r="U27" t="str">
        <f t="shared" si="2"/>
        <v/>
      </c>
      <c r="V27" s="139" t="str">
        <f t="shared" si="5"/>
        <v/>
      </c>
      <c r="W27" t="str">
        <f t="shared" si="3"/>
        <v/>
      </c>
      <c r="X27" t="str">
        <f t="shared" si="4"/>
        <v/>
      </c>
    </row>
    <row r="28">
      <c r="A28" s="14" t="s">
        <v>44</v>
      </c>
      <c r="B28" s="263">
        <v>25.0</v>
      </c>
      <c r="C28" s="264" t="s">
        <v>325</v>
      </c>
      <c r="D28" s="264" t="s">
        <v>10848</v>
      </c>
      <c r="E28" s="384" t="s">
        <v>53</v>
      </c>
      <c r="F28" s="15"/>
      <c r="L28" s="89"/>
      <c r="M28" s="89" t="str">
        <f t="shared" si="1"/>
        <v>rep.billpost@oregonlegislature.gov</v>
      </c>
      <c r="N28" s="89"/>
      <c r="O28" s="89"/>
      <c r="P28" s="89"/>
      <c r="Q28" s="89"/>
      <c r="R28" s="89"/>
      <c r="U28" t="str">
        <f t="shared" si="2"/>
        <v/>
      </c>
      <c r="V28" s="139" t="str">
        <f t="shared" si="5"/>
        <v/>
      </c>
      <c r="W28" t="str">
        <f t="shared" si="3"/>
        <v/>
      </c>
      <c r="X28" t="str">
        <f t="shared" si="4"/>
        <v/>
      </c>
    </row>
    <row r="29">
      <c r="A29" s="14" t="s">
        <v>44</v>
      </c>
      <c r="B29" s="263">
        <v>26.0</v>
      </c>
      <c r="C29" s="264" t="s">
        <v>10849</v>
      </c>
      <c r="D29" s="264" t="s">
        <v>10850</v>
      </c>
      <c r="E29" s="394" t="s">
        <v>49</v>
      </c>
      <c r="F29" s="15"/>
      <c r="L29" s="89"/>
      <c r="M29" s="89" t="str">
        <f t="shared" si="1"/>
        <v>rep.cournteyneron@oregonlegislature.gov</v>
      </c>
      <c r="N29" s="89"/>
      <c r="O29" s="89"/>
      <c r="P29" s="89"/>
      <c r="Q29" s="89"/>
      <c r="R29" s="89"/>
      <c r="U29" t="str">
        <f t="shared" si="2"/>
        <v/>
      </c>
      <c r="V29" s="139" t="str">
        <f t="shared" si="5"/>
        <v/>
      </c>
      <c r="W29" t="str">
        <f t="shared" si="3"/>
        <v/>
      </c>
      <c r="X29" t="str">
        <f t="shared" si="4"/>
        <v/>
      </c>
    </row>
    <row r="30">
      <c r="A30" s="14" t="s">
        <v>44</v>
      </c>
      <c r="B30" s="263">
        <v>27.0</v>
      </c>
      <c r="C30" s="264" t="s">
        <v>3212</v>
      </c>
      <c r="D30" s="264" t="s">
        <v>10851</v>
      </c>
      <c r="E30" s="394" t="s">
        <v>49</v>
      </c>
      <c r="F30" s="15"/>
      <c r="L30" s="89"/>
      <c r="M30" s="89" t="str">
        <f t="shared" si="1"/>
        <v>rep.sherimalstrom@oregonlegislature.gov</v>
      </c>
      <c r="N30" s="89"/>
      <c r="O30" s="89"/>
      <c r="P30" s="89"/>
      <c r="Q30" s="89"/>
      <c r="R30" s="89"/>
      <c r="U30" t="str">
        <f t="shared" si="2"/>
        <v/>
      </c>
      <c r="V30" s="139" t="str">
        <f t="shared" si="5"/>
        <v/>
      </c>
      <c r="W30" t="str">
        <f t="shared" si="3"/>
        <v/>
      </c>
      <c r="X30" t="str">
        <f t="shared" si="4"/>
        <v/>
      </c>
    </row>
    <row r="31">
      <c r="A31" s="14" t="s">
        <v>44</v>
      </c>
      <c r="B31" s="263">
        <v>28.0</v>
      </c>
      <c r="C31" s="264" t="s">
        <v>683</v>
      </c>
      <c r="D31" s="264" t="s">
        <v>5094</v>
      </c>
      <c r="E31" s="394" t="s">
        <v>49</v>
      </c>
      <c r="F31" s="15"/>
      <c r="G31" s="14" t="s">
        <v>10852</v>
      </c>
      <c r="L31" s="89"/>
      <c r="M31" s="89" t="str">
        <f t="shared" si="1"/>
        <v>rep.jeffbarker@oregonlegislature.gov</v>
      </c>
      <c r="N31" s="89"/>
      <c r="O31" s="89"/>
      <c r="P31" s="89"/>
      <c r="Q31" s="89"/>
      <c r="R31" s="89"/>
      <c r="U31" t="str">
        <f t="shared" si="2"/>
        <v>Representative</v>
      </c>
      <c r="V31" s="139" t="str">
        <f t="shared" si="5"/>
        <v>Jeff</v>
      </c>
      <c r="W31" t="str">
        <f t="shared" si="3"/>
        <v>Barker</v>
      </c>
      <c r="X31" t="str">
        <f t="shared" si="4"/>
        <v>rep.jeffbarker@oregonlegislature.gov</v>
      </c>
    </row>
    <row r="32">
      <c r="A32" s="14" t="s">
        <v>44</v>
      </c>
      <c r="B32" s="263">
        <v>29.0</v>
      </c>
      <c r="C32" s="264" t="s">
        <v>1446</v>
      </c>
      <c r="D32" s="264" t="s">
        <v>10853</v>
      </c>
      <c r="E32" s="394" t="s">
        <v>49</v>
      </c>
      <c r="F32" s="15"/>
      <c r="L32" s="89"/>
      <c r="M32" s="89" t="str">
        <f t="shared" si="1"/>
        <v>rep.susanmclain@oregonlegislature.gov</v>
      </c>
      <c r="N32" s="89"/>
      <c r="O32" s="89"/>
      <c r="P32" s="89"/>
      <c r="Q32" s="89"/>
      <c r="R32" s="89"/>
      <c r="U32" t="str">
        <f t="shared" si="2"/>
        <v/>
      </c>
      <c r="V32" s="139" t="str">
        <f t="shared" si="5"/>
        <v/>
      </c>
      <c r="W32" t="str">
        <f t="shared" si="3"/>
        <v/>
      </c>
      <c r="X32" t="str">
        <f t="shared" si="4"/>
        <v/>
      </c>
    </row>
    <row r="33">
      <c r="A33" s="14" t="s">
        <v>44</v>
      </c>
      <c r="B33" s="263">
        <v>30.0</v>
      </c>
      <c r="C33" s="264" t="s">
        <v>10854</v>
      </c>
      <c r="D33" s="264" t="s">
        <v>10855</v>
      </c>
      <c r="E33" s="394" t="s">
        <v>49</v>
      </c>
      <c r="F33" s="15"/>
      <c r="L33" s="89"/>
      <c r="M33" s="89" t="str">
        <f t="shared" si="1"/>
        <v>rep.janeensollman@oregonlegislature.gov</v>
      </c>
      <c r="N33" s="89"/>
      <c r="O33" s="89"/>
      <c r="P33" s="89"/>
      <c r="Q33" s="89"/>
      <c r="R33" s="89"/>
      <c r="U33" t="str">
        <f t="shared" si="2"/>
        <v/>
      </c>
      <c r="V33" s="139" t="str">
        <f t="shared" si="5"/>
        <v/>
      </c>
      <c r="W33" t="str">
        <f t="shared" si="3"/>
        <v/>
      </c>
      <c r="X33" t="str">
        <f t="shared" si="4"/>
        <v/>
      </c>
    </row>
    <row r="34">
      <c r="A34" s="14" t="s">
        <v>44</v>
      </c>
      <c r="B34" s="263">
        <v>31.0</v>
      </c>
      <c r="C34" s="264" t="s">
        <v>1130</v>
      </c>
      <c r="D34" s="264" t="s">
        <v>10856</v>
      </c>
      <c r="E34" s="394" t="s">
        <v>49</v>
      </c>
      <c r="F34" s="15"/>
      <c r="L34" s="89"/>
      <c r="M34" s="89" t="str">
        <f t="shared" si="1"/>
        <v>rep.bradleywitt@oregonlegislature.gov</v>
      </c>
      <c r="N34" s="89"/>
      <c r="O34" s="89"/>
      <c r="P34" s="89"/>
      <c r="Q34" s="89"/>
      <c r="R34" s="89"/>
      <c r="U34" t="str">
        <f t="shared" si="2"/>
        <v/>
      </c>
      <c r="V34" s="139" t="str">
        <f t="shared" si="5"/>
        <v/>
      </c>
      <c r="W34" t="str">
        <f t="shared" si="3"/>
        <v/>
      </c>
      <c r="X34" t="str">
        <f t="shared" si="4"/>
        <v/>
      </c>
    </row>
    <row r="35">
      <c r="A35" s="14" t="s">
        <v>44</v>
      </c>
      <c r="B35" s="263">
        <v>32.0</v>
      </c>
      <c r="C35" s="264" t="s">
        <v>258</v>
      </c>
      <c r="D35" s="264" t="s">
        <v>2206</v>
      </c>
      <c r="E35" s="394" t="s">
        <v>49</v>
      </c>
      <c r="F35" s="15"/>
      <c r="L35" s="89"/>
      <c r="M35" s="89" t="str">
        <f t="shared" si="1"/>
        <v>rep.tiffanymitchell@oregonlegislature.gov</v>
      </c>
      <c r="N35" s="89"/>
      <c r="O35" s="89"/>
      <c r="P35" s="89"/>
      <c r="Q35" s="89"/>
      <c r="R35" s="89"/>
      <c r="U35" t="str">
        <f t="shared" si="2"/>
        <v/>
      </c>
      <c r="V35" s="139" t="str">
        <f t="shared" si="5"/>
        <v/>
      </c>
      <c r="W35" t="str">
        <f t="shared" si="3"/>
        <v/>
      </c>
      <c r="X35" t="str">
        <f t="shared" si="4"/>
        <v/>
      </c>
    </row>
    <row r="36">
      <c r="A36" s="14" t="s">
        <v>44</v>
      </c>
      <c r="B36" s="263">
        <v>33.0</v>
      </c>
      <c r="C36" s="264" t="s">
        <v>492</v>
      </c>
      <c r="D36" s="264" t="s">
        <v>10857</v>
      </c>
      <c r="E36" s="394" t="s">
        <v>49</v>
      </c>
      <c r="F36" s="15"/>
      <c r="G36" s="14" t="s">
        <v>10858</v>
      </c>
      <c r="H36" s="14" t="s">
        <v>10859</v>
      </c>
      <c r="L36" s="89"/>
      <c r="M36" s="89" t="str">
        <f t="shared" si="1"/>
        <v>rep.mitchgreenlick@oregonlegislature.gov</v>
      </c>
      <c r="N36" s="89"/>
      <c r="O36" s="89"/>
      <c r="P36" s="89"/>
      <c r="Q36" s="89"/>
      <c r="R36" s="89"/>
      <c r="U36" t="str">
        <f t="shared" si="2"/>
        <v/>
      </c>
      <c r="V36" s="139" t="str">
        <f t="shared" si="5"/>
        <v/>
      </c>
      <c r="W36" t="str">
        <f t="shared" si="3"/>
        <v/>
      </c>
      <c r="X36" t="str">
        <f t="shared" si="4"/>
        <v/>
      </c>
    </row>
    <row r="37">
      <c r="A37" s="14" t="s">
        <v>44</v>
      </c>
      <c r="B37" s="263">
        <v>34.0</v>
      </c>
      <c r="C37" s="264" t="s">
        <v>1049</v>
      </c>
      <c r="D37" s="264" t="s">
        <v>10860</v>
      </c>
      <c r="E37" s="394" t="s">
        <v>49</v>
      </c>
      <c r="F37" s="15"/>
      <c r="G37" s="14" t="s">
        <v>10861</v>
      </c>
      <c r="L37" s="89"/>
      <c r="M37" s="89" t="str">
        <f t="shared" si="1"/>
        <v>rep.kenhelm@oregonlegislature.gov</v>
      </c>
      <c r="N37" s="89"/>
      <c r="O37" s="89"/>
      <c r="P37" s="89"/>
      <c r="Q37" s="89"/>
      <c r="R37" s="89"/>
      <c r="U37" t="str">
        <f t="shared" si="2"/>
        <v/>
      </c>
      <c r="V37" s="139" t="str">
        <f t="shared" si="5"/>
        <v/>
      </c>
      <c r="W37" t="str">
        <f t="shared" si="3"/>
        <v/>
      </c>
      <c r="X37" t="str">
        <f t="shared" si="4"/>
        <v/>
      </c>
    </row>
    <row r="38">
      <c r="A38" s="14" t="s">
        <v>44</v>
      </c>
      <c r="B38" s="263">
        <v>35.0</v>
      </c>
      <c r="C38" s="264" t="s">
        <v>3040</v>
      </c>
      <c r="D38" s="264" t="s">
        <v>9550</v>
      </c>
      <c r="E38" s="394" t="s">
        <v>49</v>
      </c>
      <c r="F38" s="15"/>
      <c r="G38" s="14" t="s">
        <v>1047</v>
      </c>
      <c r="L38" s="89"/>
      <c r="M38" s="89" t="str">
        <f t="shared" si="1"/>
        <v>rep.margaretdoherty@oregonlegislature.gov</v>
      </c>
      <c r="N38" s="89"/>
      <c r="O38" s="89"/>
      <c r="P38" s="89"/>
      <c r="Q38" s="89"/>
      <c r="R38" s="89"/>
      <c r="U38" t="str">
        <f t="shared" si="2"/>
        <v/>
      </c>
      <c r="V38" s="139" t="str">
        <f t="shared" si="5"/>
        <v/>
      </c>
      <c r="W38" t="str">
        <f t="shared" si="3"/>
        <v/>
      </c>
      <c r="X38" t="str">
        <f t="shared" si="4"/>
        <v/>
      </c>
    </row>
    <row r="39">
      <c r="A39" s="14" t="s">
        <v>44</v>
      </c>
      <c r="B39" s="263">
        <v>36.0</v>
      </c>
      <c r="C39" s="264" t="s">
        <v>191</v>
      </c>
      <c r="D39" s="264" t="s">
        <v>2789</v>
      </c>
      <c r="E39" s="394" t="s">
        <v>49</v>
      </c>
      <c r="F39" s="12" t="s">
        <v>9648</v>
      </c>
      <c r="G39" s="14" t="s">
        <v>10862</v>
      </c>
      <c r="L39" s="89"/>
      <c r="M39" s="89" t="str">
        <f t="shared" si="1"/>
        <v>rep.jenniferwilliamson@oregonlegislature.gov</v>
      </c>
      <c r="N39" s="89"/>
      <c r="O39" s="89"/>
      <c r="P39" s="89"/>
      <c r="Q39" s="89"/>
      <c r="R39" s="89"/>
      <c r="U39" t="str">
        <f t="shared" si="2"/>
        <v>Representative</v>
      </c>
      <c r="V39" s="139" t="str">
        <f t="shared" si="5"/>
        <v>Jennifer</v>
      </c>
      <c r="W39" t="str">
        <f t="shared" si="3"/>
        <v>Williamson</v>
      </c>
      <c r="X39" t="str">
        <f t="shared" si="4"/>
        <v>rep.jenniferwilliamson@oregonlegislature.gov</v>
      </c>
    </row>
    <row r="40">
      <c r="A40" s="14" t="s">
        <v>44</v>
      </c>
      <c r="B40" s="263">
        <v>37.0</v>
      </c>
      <c r="C40" s="264" t="s">
        <v>2383</v>
      </c>
      <c r="D40" s="264" t="s">
        <v>10863</v>
      </c>
      <c r="E40" s="384" t="s">
        <v>53</v>
      </c>
      <c r="F40" s="15"/>
      <c r="L40" s="89"/>
      <c r="M40" s="89" t="str">
        <f t="shared" si="1"/>
        <v>rep.rachelprusak@oregonlegislature.gov</v>
      </c>
      <c r="N40" s="89"/>
      <c r="O40" s="89"/>
      <c r="P40" s="89"/>
      <c r="Q40" s="89"/>
      <c r="R40" s="89"/>
      <c r="U40" t="str">
        <f t="shared" si="2"/>
        <v/>
      </c>
      <c r="V40" s="139" t="str">
        <f t="shared" si="5"/>
        <v/>
      </c>
      <c r="W40" t="str">
        <f t="shared" si="3"/>
        <v/>
      </c>
      <c r="X40" t="str">
        <f t="shared" si="4"/>
        <v/>
      </c>
    </row>
    <row r="41">
      <c r="A41" s="14" t="s">
        <v>44</v>
      </c>
      <c r="B41" s="263">
        <v>38.0</v>
      </c>
      <c r="C41" s="264" t="s">
        <v>1162</v>
      </c>
      <c r="D41" s="264" t="s">
        <v>10864</v>
      </c>
      <c r="E41" s="394" t="s">
        <v>49</v>
      </c>
      <c r="F41" s="15"/>
      <c r="L41" s="89"/>
      <c r="M41" s="89" t="str">
        <f t="shared" si="1"/>
        <v>rep.andreasalinas@oregonlegislature.gov</v>
      </c>
      <c r="N41" s="89"/>
      <c r="O41" s="89"/>
      <c r="P41" s="89"/>
      <c r="Q41" s="89"/>
      <c r="R41" s="89"/>
      <c r="U41" t="str">
        <f t="shared" si="2"/>
        <v/>
      </c>
      <c r="V41" s="139" t="str">
        <f t="shared" si="5"/>
        <v/>
      </c>
      <c r="W41" t="str">
        <f t="shared" si="3"/>
        <v/>
      </c>
      <c r="X41" t="str">
        <f t="shared" si="4"/>
        <v/>
      </c>
    </row>
    <row r="42">
      <c r="A42" s="14" t="s">
        <v>44</v>
      </c>
      <c r="B42" s="263">
        <v>39.0</v>
      </c>
      <c r="C42" s="264" t="s">
        <v>2551</v>
      </c>
      <c r="D42" s="264" t="s">
        <v>10865</v>
      </c>
      <c r="E42" s="384" t="s">
        <v>53</v>
      </c>
      <c r="F42" s="15"/>
      <c r="L42" s="89"/>
      <c r="M42" s="89" t="str">
        <f t="shared" si="1"/>
        <v>rep.christinedrazan@oregonlegislature.gov</v>
      </c>
      <c r="N42" s="89"/>
      <c r="O42" s="89"/>
      <c r="P42" s="89"/>
      <c r="Q42" s="89"/>
      <c r="R42" s="89"/>
      <c r="U42" t="str">
        <f t="shared" si="2"/>
        <v/>
      </c>
      <c r="V42" s="139" t="str">
        <f t="shared" si="5"/>
        <v/>
      </c>
      <c r="W42" t="str">
        <f t="shared" si="3"/>
        <v/>
      </c>
      <c r="X42" t="str">
        <f t="shared" si="4"/>
        <v/>
      </c>
    </row>
    <row r="43">
      <c r="A43" s="14" t="s">
        <v>44</v>
      </c>
      <c r="B43" s="263">
        <v>40.0</v>
      </c>
      <c r="C43" s="264" t="s">
        <v>91</v>
      </c>
      <c r="D43" s="264" t="s">
        <v>10866</v>
      </c>
      <c r="E43" s="394" t="s">
        <v>49</v>
      </c>
      <c r="F43" s="15"/>
      <c r="L43" s="89"/>
      <c r="M43" s="89" t="str">
        <f t="shared" si="1"/>
        <v>rep.markmeek@oregonlegislature.gov</v>
      </c>
      <c r="N43" s="89"/>
      <c r="O43" s="89"/>
      <c r="P43" s="89"/>
      <c r="Q43" s="89"/>
      <c r="R43" s="89"/>
      <c r="U43" t="str">
        <f t="shared" si="2"/>
        <v/>
      </c>
      <c r="V43" s="139" t="str">
        <f t="shared" si="5"/>
        <v/>
      </c>
      <c r="W43" t="str">
        <f t="shared" si="3"/>
        <v/>
      </c>
      <c r="X43" t="str">
        <f t="shared" si="4"/>
        <v/>
      </c>
    </row>
    <row r="44">
      <c r="A44" s="14" t="s">
        <v>44</v>
      </c>
      <c r="B44" s="263">
        <v>41.0</v>
      </c>
      <c r="C44" s="264" t="s">
        <v>5034</v>
      </c>
      <c r="D44" s="264" t="s">
        <v>10867</v>
      </c>
      <c r="E44" s="394" t="s">
        <v>49</v>
      </c>
      <c r="F44" s="15"/>
      <c r="L44" s="89"/>
      <c r="M44" s="89" t="str">
        <f t="shared" si="1"/>
        <v>rep.karinpower@oregonlegislature.gov</v>
      </c>
      <c r="N44" s="89"/>
      <c r="O44" s="89"/>
      <c r="P44" s="89"/>
      <c r="Q44" s="89"/>
      <c r="R44" s="89"/>
      <c r="U44" t="str">
        <f t="shared" si="2"/>
        <v/>
      </c>
      <c r="V44" s="139" t="str">
        <f t="shared" si="5"/>
        <v/>
      </c>
      <c r="W44" t="str">
        <f t="shared" si="3"/>
        <v/>
      </c>
      <c r="X44" t="str">
        <f t="shared" si="4"/>
        <v/>
      </c>
    </row>
    <row r="45">
      <c r="A45" s="14" t="s">
        <v>44</v>
      </c>
      <c r="B45" s="263">
        <v>42.0</v>
      </c>
      <c r="C45" s="264" t="s">
        <v>1476</v>
      </c>
      <c r="D45" s="264" t="s">
        <v>10868</v>
      </c>
      <c r="E45" s="394" t="s">
        <v>49</v>
      </c>
      <c r="F45" s="15"/>
      <c r="L45" s="89"/>
      <c r="M45" s="89" t="str">
        <f t="shared" si="1"/>
        <v>rep.robnosse@oregonlegislature.gov</v>
      </c>
      <c r="N45" s="89"/>
      <c r="O45" s="89"/>
      <c r="P45" s="89"/>
      <c r="Q45" s="89"/>
      <c r="R45" s="89"/>
      <c r="U45" t="str">
        <f t="shared" si="2"/>
        <v/>
      </c>
      <c r="V45" s="139" t="str">
        <f t="shared" si="5"/>
        <v/>
      </c>
      <c r="W45" t="str">
        <f t="shared" si="3"/>
        <v/>
      </c>
      <c r="X45" t="str">
        <f t="shared" si="4"/>
        <v/>
      </c>
    </row>
    <row r="46">
      <c r="A46" s="14" t="s">
        <v>44</v>
      </c>
      <c r="B46" s="263">
        <v>43.0</v>
      </c>
      <c r="C46" s="264" t="s">
        <v>10870</v>
      </c>
      <c r="D46" s="264" t="s">
        <v>2337</v>
      </c>
      <c r="E46" s="394" t="s">
        <v>49</v>
      </c>
      <c r="F46" s="15"/>
      <c r="L46" s="89"/>
      <c r="M46" s="89" t="str">
        <f t="shared" si="1"/>
        <v>rep.tawnasanchez@oregonlegislature.gov</v>
      </c>
      <c r="N46" s="89"/>
      <c r="O46" s="89"/>
      <c r="P46" s="89"/>
      <c r="Q46" s="89"/>
      <c r="R46" s="89"/>
      <c r="U46" t="str">
        <f t="shared" si="2"/>
        <v/>
      </c>
      <c r="V46" s="139" t="str">
        <f t="shared" si="5"/>
        <v/>
      </c>
      <c r="W46" t="str">
        <f t="shared" si="3"/>
        <v/>
      </c>
      <c r="X46" t="str">
        <f t="shared" si="4"/>
        <v/>
      </c>
    </row>
    <row r="47">
      <c r="A47" s="14" t="s">
        <v>44</v>
      </c>
      <c r="B47" s="263">
        <v>44.0</v>
      </c>
      <c r="C47" s="264" t="s">
        <v>3053</v>
      </c>
      <c r="D47" s="264" t="s">
        <v>10871</v>
      </c>
      <c r="E47" s="394" t="s">
        <v>49</v>
      </c>
      <c r="F47" s="12" t="s">
        <v>254</v>
      </c>
      <c r="L47" s="89"/>
      <c r="M47" s="89" t="str">
        <f t="shared" si="1"/>
        <v>rep.tinakotek@oregonlegislature.gov</v>
      </c>
      <c r="N47" s="89"/>
      <c r="O47" s="89"/>
      <c r="P47" s="89"/>
      <c r="Q47" s="89"/>
      <c r="R47" s="89"/>
      <c r="U47" t="str">
        <f t="shared" si="2"/>
        <v>Representative</v>
      </c>
      <c r="V47" s="139" t="str">
        <f t="shared" si="5"/>
        <v>Tina</v>
      </c>
      <c r="W47" t="str">
        <f t="shared" si="3"/>
        <v>Kotek</v>
      </c>
      <c r="X47" t="str">
        <f t="shared" si="4"/>
        <v>rep.tinakotek@oregonlegislature.gov</v>
      </c>
    </row>
    <row r="48">
      <c r="A48" s="14" t="s">
        <v>44</v>
      </c>
      <c r="B48" s="263">
        <v>45.0</v>
      </c>
      <c r="C48" s="264" t="s">
        <v>384</v>
      </c>
      <c r="D48" s="264" t="s">
        <v>10883</v>
      </c>
      <c r="E48" s="394" t="s">
        <v>49</v>
      </c>
      <c r="F48" s="12" t="s">
        <v>1188</v>
      </c>
      <c r="L48" s="89"/>
      <c r="M48" s="89" t="str">
        <f t="shared" si="1"/>
        <v>rep.barbarawarner@oregonlegislature.gov</v>
      </c>
      <c r="N48" s="89"/>
      <c r="O48" s="89"/>
      <c r="P48" s="89"/>
      <c r="Q48" s="89"/>
      <c r="R48" s="89"/>
      <c r="U48" t="str">
        <f t="shared" si="2"/>
        <v>Representative</v>
      </c>
      <c r="V48" s="139" t="str">
        <f t="shared" si="5"/>
        <v>Barbara</v>
      </c>
      <c r="W48" t="str">
        <f t="shared" si="3"/>
        <v>Warner</v>
      </c>
      <c r="X48" t="str">
        <f t="shared" si="4"/>
        <v>rep.barbarawarner@oregonlegislature.gov</v>
      </c>
    </row>
    <row r="49">
      <c r="A49" s="14" t="s">
        <v>44</v>
      </c>
      <c r="B49" s="263">
        <v>46.0</v>
      </c>
      <c r="C49" s="264" t="s">
        <v>10902</v>
      </c>
      <c r="D49" s="264" t="s">
        <v>10914</v>
      </c>
      <c r="E49" s="394" t="s">
        <v>49</v>
      </c>
      <c r="F49" s="15"/>
      <c r="G49" s="14" t="s">
        <v>10917</v>
      </c>
      <c r="L49" s="89"/>
      <c r="M49" s="89" t="str">
        <f t="shared" si="1"/>
        <v>rep.alissakeny-guyer@oregonlegislature.gov</v>
      </c>
      <c r="N49" s="89"/>
      <c r="O49" s="89"/>
      <c r="P49" s="89"/>
      <c r="Q49" s="89"/>
      <c r="R49" s="89"/>
      <c r="U49" t="str">
        <f t="shared" si="2"/>
        <v/>
      </c>
      <c r="V49" s="139" t="str">
        <f t="shared" si="5"/>
        <v/>
      </c>
      <c r="W49" t="str">
        <f t="shared" si="3"/>
        <v/>
      </c>
      <c r="X49" t="str">
        <f t="shared" si="4"/>
        <v/>
      </c>
    </row>
    <row r="50">
      <c r="A50" s="14" t="s">
        <v>44</v>
      </c>
      <c r="B50" s="263">
        <v>47.0</v>
      </c>
      <c r="C50" s="264" t="s">
        <v>941</v>
      </c>
      <c r="D50" s="264" t="s">
        <v>562</v>
      </c>
      <c r="E50" s="394" t="s">
        <v>49</v>
      </c>
      <c r="F50" s="15"/>
      <c r="L50" s="89"/>
      <c r="M50" s="89" t="str">
        <f t="shared" si="1"/>
        <v>rep.diegohernandez@oregonlegislature.gov</v>
      </c>
      <c r="N50" s="89"/>
      <c r="O50" s="89"/>
      <c r="P50" s="89"/>
      <c r="Q50" s="89"/>
      <c r="R50" s="89"/>
      <c r="U50" t="str">
        <f t="shared" si="2"/>
        <v/>
      </c>
      <c r="V50" s="139" t="str">
        <f t="shared" si="5"/>
        <v/>
      </c>
      <c r="W50" t="str">
        <f t="shared" si="3"/>
        <v/>
      </c>
      <c r="X50" t="str">
        <f t="shared" si="4"/>
        <v/>
      </c>
    </row>
    <row r="51">
      <c r="A51" s="14" t="s">
        <v>44</v>
      </c>
      <c r="B51" s="263">
        <v>48.0</v>
      </c>
      <c r="C51" s="264" t="s">
        <v>683</v>
      </c>
      <c r="D51" s="264" t="s">
        <v>4632</v>
      </c>
      <c r="E51" s="394" t="s">
        <v>49</v>
      </c>
      <c r="F51" s="15"/>
      <c r="G51" s="14" t="s">
        <v>11027</v>
      </c>
      <c r="L51" s="89"/>
      <c r="M51" s="89" t="str">
        <f t="shared" si="1"/>
        <v>rep.jeffreardon@oregonlegislature.gov</v>
      </c>
      <c r="N51" s="89"/>
      <c r="O51" s="89"/>
      <c r="P51" s="89"/>
      <c r="Q51" s="89"/>
      <c r="R51" s="89"/>
      <c r="U51" t="str">
        <f t="shared" si="2"/>
        <v/>
      </c>
      <c r="V51" s="139" t="str">
        <f t="shared" si="5"/>
        <v/>
      </c>
      <c r="W51" t="str">
        <f t="shared" si="3"/>
        <v/>
      </c>
      <c r="X51" t="str">
        <f t="shared" si="4"/>
        <v/>
      </c>
    </row>
    <row r="52">
      <c r="A52" s="14" t="s">
        <v>44</v>
      </c>
      <c r="B52" s="263">
        <v>49.0</v>
      </c>
      <c r="C52" s="264" t="s">
        <v>173</v>
      </c>
      <c r="D52" s="264" t="s">
        <v>11038</v>
      </c>
      <c r="E52" s="394" t="s">
        <v>49</v>
      </c>
      <c r="F52" s="15"/>
      <c r="L52" s="89"/>
      <c r="M52" s="89" t="str">
        <f t="shared" si="1"/>
        <v>rep.chrisgorsek@oregonlegislature.gov</v>
      </c>
      <c r="N52" s="89"/>
      <c r="O52" s="89"/>
      <c r="P52" s="89"/>
      <c r="Q52" s="89"/>
      <c r="R52" s="89"/>
      <c r="U52" t="str">
        <f t="shared" si="2"/>
        <v/>
      </c>
      <c r="V52" s="139" t="str">
        <f t="shared" si="5"/>
        <v/>
      </c>
      <c r="W52" t="str">
        <f t="shared" si="3"/>
        <v/>
      </c>
      <c r="X52" t="str">
        <f t="shared" si="4"/>
        <v/>
      </c>
    </row>
    <row r="53">
      <c r="A53" s="14" t="s">
        <v>44</v>
      </c>
      <c r="B53" s="263">
        <v>50.0</v>
      </c>
      <c r="C53" s="264" t="s">
        <v>8423</v>
      </c>
      <c r="D53" s="264" t="s">
        <v>11075</v>
      </c>
      <c r="E53" s="394" t="s">
        <v>49</v>
      </c>
      <c r="F53" s="15"/>
      <c r="L53" s="89"/>
      <c r="M53" s="89" t="str">
        <f t="shared" si="1"/>
        <v>rep.carlapiluso@oregonlegislature.gov</v>
      </c>
      <c r="N53" s="89"/>
      <c r="O53" s="89"/>
      <c r="P53" s="89"/>
      <c r="Q53" s="89"/>
      <c r="R53" s="89"/>
      <c r="U53" t="str">
        <f t="shared" si="2"/>
        <v/>
      </c>
      <c r="V53" s="139" t="str">
        <f t="shared" si="5"/>
        <v/>
      </c>
      <c r="W53" t="str">
        <f t="shared" si="3"/>
        <v/>
      </c>
      <c r="X53" t="str">
        <f t="shared" si="4"/>
        <v/>
      </c>
    </row>
    <row r="54">
      <c r="A54" s="14" t="s">
        <v>44</v>
      </c>
      <c r="B54" s="263">
        <v>51.0</v>
      </c>
      <c r="C54" s="264" t="s">
        <v>11086</v>
      </c>
      <c r="D54" s="264" t="s">
        <v>11097</v>
      </c>
      <c r="E54" s="394" t="s">
        <v>49</v>
      </c>
      <c r="F54" s="15"/>
      <c r="L54" s="89"/>
      <c r="M54" s="89" t="str">
        <f t="shared" si="1"/>
        <v>rep.janellebynum@oregonlegislature.gov</v>
      </c>
      <c r="N54" s="89"/>
      <c r="O54" s="89"/>
      <c r="P54" s="89"/>
      <c r="Q54" s="89"/>
      <c r="R54" s="89"/>
      <c r="U54" t="str">
        <f t="shared" si="2"/>
        <v/>
      </c>
      <c r="V54" s="139" t="str">
        <f t="shared" si="5"/>
        <v/>
      </c>
      <c r="W54" t="str">
        <f t="shared" si="3"/>
        <v/>
      </c>
      <c r="X54" t="str">
        <f t="shared" si="4"/>
        <v/>
      </c>
    </row>
    <row r="55">
      <c r="A55" s="14" t="s">
        <v>44</v>
      </c>
      <c r="B55" s="263">
        <v>52.0</v>
      </c>
      <c r="C55" s="264" t="s">
        <v>2099</v>
      </c>
      <c r="D55" s="264" t="s">
        <v>793</v>
      </c>
      <c r="E55" s="394" t="s">
        <v>49</v>
      </c>
      <c r="F55" s="15"/>
      <c r="L55" s="89"/>
      <c r="M55" s="89" t="str">
        <f t="shared" si="1"/>
        <v>rep.annawilliams@oregonlegislature.gov</v>
      </c>
      <c r="N55" s="89"/>
      <c r="O55" s="89"/>
      <c r="P55" s="89"/>
      <c r="Q55" s="89"/>
      <c r="R55" s="89"/>
      <c r="U55" t="str">
        <f t="shared" si="2"/>
        <v/>
      </c>
      <c r="V55" s="139" t="str">
        <f t="shared" si="5"/>
        <v/>
      </c>
      <c r="W55" t="str">
        <f t="shared" si="3"/>
        <v/>
      </c>
      <c r="X55" t="str">
        <f t="shared" si="4"/>
        <v/>
      </c>
    </row>
    <row r="56">
      <c r="A56" s="14" t="s">
        <v>44</v>
      </c>
      <c r="B56" s="263">
        <v>53.0</v>
      </c>
      <c r="C56" s="264" t="s">
        <v>792</v>
      </c>
      <c r="D56" s="264" t="s">
        <v>2934</v>
      </c>
      <c r="E56" s="384" t="s">
        <v>53</v>
      </c>
      <c r="F56" s="15"/>
      <c r="L56" s="89"/>
      <c r="M56" s="89" t="str">
        <f t="shared" si="1"/>
        <v>rep.jackzika@oregonlegislature.gov</v>
      </c>
      <c r="N56" s="89"/>
      <c r="O56" s="89"/>
      <c r="P56" s="89"/>
      <c r="Q56" s="89"/>
      <c r="R56" s="89"/>
      <c r="U56" t="str">
        <f t="shared" si="2"/>
        <v/>
      </c>
      <c r="V56" s="139" t="str">
        <f t="shared" si="5"/>
        <v/>
      </c>
      <c r="W56" t="str">
        <f t="shared" si="3"/>
        <v/>
      </c>
      <c r="X56" t="str">
        <f t="shared" si="4"/>
        <v/>
      </c>
    </row>
    <row r="57">
      <c r="A57" s="14" t="s">
        <v>44</v>
      </c>
      <c r="B57" s="263">
        <v>54.0</v>
      </c>
      <c r="C57" s="264" t="s">
        <v>4706</v>
      </c>
      <c r="D57" s="264" t="s">
        <v>11209</v>
      </c>
      <c r="E57" s="384" t="s">
        <v>53</v>
      </c>
      <c r="F57" s="15"/>
      <c r="L57" s="89"/>
      <c r="M57" s="89" t="str">
        <f t="shared" si="1"/>
        <v>rep.cherihelt@oregonlegislature.gov</v>
      </c>
      <c r="N57" s="89"/>
      <c r="O57" s="89"/>
      <c r="P57" s="89"/>
      <c r="Q57" s="89"/>
      <c r="R57" s="89"/>
      <c r="U57" t="str">
        <f t="shared" si="2"/>
        <v/>
      </c>
      <c r="V57" s="139" t="str">
        <f t="shared" si="5"/>
        <v/>
      </c>
      <c r="W57" t="str">
        <f t="shared" si="3"/>
        <v/>
      </c>
      <c r="X57" t="str">
        <f t="shared" si="4"/>
        <v/>
      </c>
    </row>
    <row r="58">
      <c r="A58" s="14" t="s">
        <v>44</v>
      </c>
      <c r="B58" s="263">
        <v>55.0</v>
      </c>
      <c r="C58" s="264" t="s">
        <v>157</v>
      </c>
      <c r="D58" s="264" t="s">
        <v>11271</v>
      </c>
      <c r="E58" s="384" t="s">
        <v>53</v>
      </c>
      <c r="F58" s="15"/>
      <c r="L58" s="89"/>
      <c r="M58" s="89" t="str">
        <f t="shared" si="1"/>
        <v>rep.mikemclane@oregonlegislature.gov</v>
      </c>
      <c r="N58" s="89"/>
      <c r="O58" s="89"/>
      <c r="P58" s="89"/>
      <c r="Q58" s="89"/>
      <c r="R58" s="89"/>
      <c r="U58" t="str">
        <f t="shared" si="2"/>
        <v/>
      </c>
      <c r="V58" s="139" t="str">
        <f t="shared" si="5"/>
        <v/>
      </c>
      <c r="W58" t="str">
        <f t="shared" si="3"/>
        <v/>
      </c>
      <c r="X58" t="str">
        <f t="shared" si="4"/>
        <v/>
      </c>
    </row>
    <row r="59">
      <c r="A59" s="14" t="s">
        <v>44</v>
      </c>
      <c r="B59" s="263">
        <v>56.0</v>
      </c>
      <c r="C59" s="264" t="s">
        <v>11298</v>
      </c>
      <c r="D59" s="264" t="s">
        <v>11300</v>
      </c>
      <c r="E59" s="384" t="s">
        <v>53</v>
      </c>
      <c r="F59" s="15"/>
      <c r="L59" s="89"/>
      <c r="M59" s="89" t="str">
        <f t="shared" si="1"/>
        <v>rep.wernerreschke@oregonlegislature.gov</v>
      </c>
      <c r="N59" s="89"/>
      <c r="O59" s="89"/>
      <c r="P59" s="89"/>
      <c r="Q59" s="89"/>
      <c r="R59" s="89"/>
      <c r="U59" t="str">
        <f t="shared" si="2"/>
        <v/>
      </c>
      <c r="V59" s="139" t="str">
        <f t="shared" si="5"/>
        <v/>
      </c>
      <c r="W59" t="str">
        <f t="shared" si="3"/>
        <v/>
      </c>
      <c r="X59" t="str">
        <f t="shared" si="4"/>
        <v/>
      </c>
    </row>
    <row r="60">
      <c r="A60" s="14" t="s">
        <v>44</v>
      </c>
      <c r="B60" s="263">
        <v>57.0</v>
      </c>
      <c r="C60" s="264" t="s">
        <v>997</v>
      </c>
      <c r="D60" s="264" t="s">
        <v>1451</v>
      </c>
      <c r="E60" s="384" t="s">
        <v>53</v>
      </c>
      <c r="F60" s="15"/>
      <c r="L60" s="89"/>
      <c r="M60" s="89" t="str">
        <f t="shared" si="1"/>
        <v>rep.gregsmith@oregonlegislature.gov</v>
      </c>
      <c r="N60" s="89"/>
      <c r="O60" s="89"/>
      <c r="P60" s="89"/>
      <c r="Q60" s="89"/>
      <c r="R60" s="89"/>
      <c r="U60" t="str">
        <f t="shared" si="2"/>
        <v/>
      </c>
      <c r="V60" s="139" t="str">
        <f t="shared" si="5"/>
        <v/>
      </c>
      <c r="W60" t="str">
        <f t="shared" si="3"/>
        <v/>
      </c>
      <c r="X60" t="str">
        <f t="shared" si="4"/>
        <v/>
      </c>
    </row>
    <row r="61">
      <c r="A61" s="14" t="s">
        <v>44</v>
      </c>
      <c r="B61" s="263">
        <v>58.0</v>
      </c>
      <c r="C61" s="264" t="s">
        <v>997</v>
      </c>
      <c r="D61" s="264" t="s">
        <v>11420</v>
      </c>
      <c r="E61" s="384" t="s">
        <v>53</v>
      </c>
      <c r="F61" s="12" t="s">
        <v>11422</v>
      </c>
      <c r="L61" s="89"/>
      <c r="M61" s="89" t="str">
        <f t="shared" si="1"/>
        <v>rep.gregbarreto@oregonlegislature.gov</v>
      </c>
      <c r="N61" s="89"/>
      <c r="O61" s="89"/>
      <c r="P61" s="89"/>
      <c r="Q61" s="89"/>
      <c r="R61" s="89"/>
      <c r="U61" t="str">
        <f t="shared" si="2"/>
        <v/>
      </c>
      <c r="V61" s="139" t="str">
        <f t="shared" si="5"/>
        <v/>
      </c>
      <c r="W61" t="str">
        <f t="shared" si="3"/>
        <v/>
      </c>
      <c r="X61" t="str">
        <f t="shared" si="4"/>
        <v/>
      </c>
    </row>
    <row r="62">
      <c r="A62" s="14" t="s">
        <v>44</v>
      </c>
      <c r="B62" s="263">
        <v>59.0</v>
      </c>
      <c r="C62" s="264" t="s">
        <v>552</v>
      </c>
      <c r="D62" s="264" t="s">
        <v>11460</v>
      </c>
      <c r="E62" s="384" t="s">
        <v>53</v>
      </c>
      <c r="F62" s="15"/>
      <c r="L62" s="89"/>
      <c r="M62" s="89" t="str">
        <f t="shared" si="1"/>
        <v>rep.danielbonham@oregonlegislature.gov</v>
      </c>
      <c r="N62" s="89"/>
      <c r="O62" s="89"/>
      <c r="P62" s="89"/>
      <c r="Q62" s="89"/>
      <c r="R62" s="89"/>
      <c r="U62" t="str">
        <f t="shared" si="2"/>
        <v/>
      </c>
      <c r="V62" s="139" t="str">
        <f t="shared" si="5"/>
        <v/>
      </c>
      <c r="W62" t="str">
        <f t="shared" si="3"/>
        <v/>
      </c>
      <c r="X62" t="str">
        <f t="shared" si="4"/>
        <v/>
      </c>
    </row>
    <row r="63">
      <c r="A63" s="14" t="s">
        <v>44</v>
      </c>
      <c r="B63" s="263">
        <v>60.0</v>
      </c>
      <c r="C63" s="264" t="s">
        <v>66</v>
      </c>
      <c r="D63" s="264" t="s">
        <v>11473</v>
      </c>
      <c r="E63" s="384" t="s">
        <v>53</v>
      </c>
      <c r="F63" s="15"/>
      <c r="L63" s="89"/>
      <c r="M63" s="89" t="str">
        <f t="shared" si="1"/>
        <v>rep.lynnfindley@oregonlegislature.gov</v>
      </c>
      <c r="N63" s="89"/>
      <c r="O63" s="89"/>
      <c r="P63" s="89"/>
      <c r="Q63" s="89"/>
      <c r="R63" s="89"/>
      <c r="U63" t="str">
        <f t="shared" si="2"/>
        <v/>
      </c>
      <c r="V63" s="139" t="str">
        <f t="shared" si="5"/>
        <v/>
      </c>
      <c r="W63" t="str">
        <f t="shared" si="3"/>
        <v/>
      </c>
      <c r="X63" t="str">
        <f t="shared" si="4"/>
        <v/>
      </c>
    </row>
    <row r="64">
      <c r="A64" s="70"/>
      <c r="B64" s="691"/>
      <c r="C64" s="371"/>
      <c r="D64" s="371"/>
      <c r="E64" s="474"/>
      <c r="F64" s="184"/>
      <c r="G64" s="70"/>
      <c r="H64" s="70"/>
      <c r="I64" s="70"/>
      <c r="J64" s="70"/>
      <c r="K64" s="70"/>
      <c r="L64" s="70"/>
      <c r="M64" s="70"/>
      <c r="N64" s="70"/>
      <c r="O64" s="70"/>
      <c r="P64" s="70"/>
      <c r="Q64" s="70"/>
      <c r="R64" s="70"/>
      <c r="S64" s="70"/>
      <c r="T64" s="70"/>
      <c r="U64" s="70"/>
      <c r="V64" s="70"/>
      <c r="W64" s="70"/>
      <c r="X64" s="70"/>
      <c r="Y64" s="70"/>
      <c r="Z64" s="70"/>
      <c r="AA64" s="70"/>
      <c r="AB64" s="70"/>
      <c r="AC64" s="70"/>
      <c r="AD64" s="70"/>
      <c r="AE64" s="70"/>
      <c r="AF64" s="70"/>
      <c r="AG64" s="70"/>
      <c r="AH64" s="70"/>
    </row>
    <row r="65">
      <c r="A65" s="14" t="s">
        <v>286</v>
      </c>
      <c r="B65" s="263">
        <v>1.0</v>
      </c>
      <c r="C65" s="428" t="s">
        <v>9657</v>
      </c>
      <c r="D65" s="428" t="s">
        <v>11481</v>
      </c>
      <c r="E65" s="384" t="s">
        <v>53</v>
      </c>
      <c r="F65" s="15"/>
      <c r="L65" s="89"/>
      <c r="M65" s="89" t="str">
        <f t="shared" ref="M65:M94" si="6">CONCATENATE("sen.",lower(C65),Lower(D65),"@oregonlegislature.gov")</f>
        <v>sen.dallasheard@oregonlegislature.gov</v>
      </c>
      <c r="N65" s="89"/>
      <c r="O65" s="89"/>
      <c r="P65" s="89"/>
      <c r="Q65" s="89"/>
      <c r="R65" s="89"/>
      <c r="U65" t="str">
        <f t="shared" ref="U65:U94" si="7">if(V65="","",if(A65="House","Representative","Senator"))</f>
        <v/>
      </c>
      <c r="V65" s="139" t="str">
        <f t="shared" ref="V65:V94" si="8">if(AND(not(isblank(F65)),not(isnumber(search("minority",F65)))),C65,if(or(isnumber(search("Judiciary (Chair)",G65)),isnumber(search("Judiciary (Vice Chair)",G65))),C65,""))</f>
        <v/>
      </c>
      <c r="W65" t="str">
        <f t="shared" ref="W65:W94" si="9">if(V65="","",D65)</f>
        <v/>
      </c>
      <c r="X65" t="str">
        <f t="shared" ref="X65:X94" si="10">if(W65="","",M65)</f>
        <v/>
      </c>
    </row>
    <row r="66">
      <c r="A66" s="14" t="s">
        <v>286</v>
      </c>
      <c r="B66" s="263">
        <v>2.0</v>
      </c>
      <c r="C66" s="264" t="s">
        <v>5620</v>
      </c>
      <c r="D66" s="264" t="s">
        <v>11501</v>
      </c>
      <c r="E66" s="384" t="s">
        <v>53</v>
      </c>
      <c r="F66" s="12" t="s">
        <v>498</v>
      </c>
      <c r="L66" s="89"/>
      <c r="M66" s="89" t="str">
        <f t="shared" si="6"/>
        <v>sen.hermanbaertschiger@oregonlegislature.gov</v>
      </c>
      <c r="N66" s="89"/>
      <c r="O66" s="89"/>
      <c r="P66" s="89"/>
      <c r="Q66" s="89"/>
      <c r="R66" s="89"/>
      <c r="U66" t="str">
        <f t="shared" si="7"/>
        <v/>
      </c>
      <c r="V66" s="139" t="str">
        <f t="shared" si="8"/>
        <v/>
      </c>
      <c r="W66" t="str">
        <f t="shared" si="9"/>
        <v/>
      </c>
      <c r="X66" t="str">
        <f t="shared" si="10"/>
        <v/>
      </c>
    </row>
    <row r="67">
      <c r="A67" s="14" t="s">
        <v>286</v>
      </c>
      <c r="B67" s="263">
        <v>3.0</v>
      </c>
      <c r="C67" s="428" t="s">
        <v>683</v>
      </c>
      <c r="D67" s="428" t="s">
        <v>6887</v>
      </c>
      <c r="E67" s="394" t="s">
        <v>49</v>
      </c>
      <c r="F67" s="15"/>
      <c r="L67" s="89"/>
      <c r="M67" s="89" t="str">
        <f t="shared" si="6"/>
        <v>sen.jeffgolden@oregonlegislature.gov</v>
      </c>
      <c r="N67" s="89"/>
      <c r="O67" s="89"/>
      <c r="P67" s="89"/>
      <c r="Q67" s="89"/>
      <c r="R67" s="89"/>
      <c r="U67" t="str">
        <f t="shared" si="7"/>
        <v/>
      </c>
      <c r="V67" s="139" t="str">
        <f t="shared" si="8"/>
        <v/>
      </c>
      <c r="W67" t="str">
        <f t="shared" si="9"/>
        <v/>
      </c>
      <c r="X67" t="str">
        <f t="shared" si="10"/>
        <v/>
      </c>
    </row>
    <row r="68">
      <c r="A68" s="14" t="s">
        <v>286</v>
      </c>
      <c r="B68" s="263">
        <v>4.0</v>
      </c>
      <c r="C68" s="428" t="s">
        <v>9795</v>
      </c>
      <c r="D68" s="428" t="s">
        <v>11514</v>
      </c>
      <c r="E68" s="394" t="s">
        <v>49</v>
      </c>
      <c r="F68" s="15"/>
      <c r="G68" s="14" t="s">
        <v>877</v>
      </c>
      <c r="L68" s="89"/>
      <c r="M68" s="89" t="str">
        <f t="shared" si="6"/>
        <v>sen.floydprozanski@oregonlegislature.gov</v>
      </c>
      <c r="N68" s="89"/>
      <c r="O68" s="89"/>
      <c r="P68" s="89"/>
      <c r="Q68" s="89"/>
      <c r="R68" s="89"/>
      <c r="U68" t="str">
        <f t="shared" si="7"/>
        <v>Senator</v>
      </c>
      <c r="V68" s="139" t="str">
        <f t="shared" si="8"/>
        <v>Floyd</v>
      </c>
      <c r="W68" t="str">
        <f t="shared" si="9"/>
        <v>Prozanski</v>
      </c>
      <c r="X68" t="str">
        <f t="shared" si="10"/>
        <v>sen.floydprozanski@oregonlegislature.gov</v>
      </c>
    </row>
    <row r="69">
      <c r="A69" s="14" t="s">
        <v>286</v>
      </c>
      <c r="B69" s="263">
        <v>5.0</v>
      </c>
      <c r="C69" s="264" t="s">
        <v>11520</v>
      </c>
      <c r="D69" s="264" t="s">
        <v>11524</v>
      </c>
      <c r="E69" s="394" t="s">
        <v>49</v>
      </c>
      <c r="F69" s="15"/>
      <c r="G69" s="14" t="s">
        <v>1047</v>
      </c>
      <c r="L69" s="89"/>
      <c r="M69" s="89" t="str">
        <f t="shared" si="6"/>
        <v>sen.arnieroblan@oregonlegislature.gov</v>
      </c>
      <c r="N69" s="89"/>
      <c r="O69" s="89"/>
      <c r="P69" s="89"/>
      <c r="Q69" s="89"/>
      <c r="R69" s="89"/>
      <c r="U69" t="str">
        <f t="shared" si="7"/>
        <v/>
      </c>
      <c r="V69" s="139" t="str">
        <f t="shared" si="8"/>
        <v/>
      </c>
      <c r="W69" t="str">
        <f t="shared" si="9"/>
        <v/>
      </c>
      <c r="X69" t="str">
        <f t="shared" si="10"/>
        <v/>
      </c>
    </row>
    <row r="70">
      <c r="A70" s="14" t="s">
        <v>286</v>
      </c>
      <c r="B70" s="263">
        <v>6.0</v>
      </c>
      <c r="C70" s="428" t="s">
        <v>629</v>
      </c>
      <c r="D70" s="428" t="s">
        <v>11530</v>
      </c>
      <c r="E70" s="394" t="s">
        <v>49</v>
      </c>
      <c r="F70" s="15"/>
      <c r="G70" s="14" t="s">
        <v>11531</v>
      </c>
      <c r="L70" s="89"/>
      <c r="M70" s="89" t="str">
        <f t="shared" si="6"/>
        <v>sen.leebeyer@oregonlegislature.gov</v>
      </c>
      <c r="N70" s="89"/>
      <c r="O70" s="89"/>
      <c r="P70" s="89"/>
      <c r="Q70" s="89"/>
      <c r="R70" s="89"/>
      <c r="U70" t="str">
        <f t="shared" si="7"/>
        <v/>
      </c>
      <c r="V70" s="139" t="str">
        <f t="shared" si="8"/>
        <v/>
      </c>
      <c r="W70" t="str">
        <f t="shared" si="9"/>
        <v/>
      </c>
      <c r="X70" t="str">
        <f t="shared" si="10"/>
        <v/>
      </c>
    </row>
    <row r="71">
      <c r="A71" s="14" t="s">
        <v>286</v>
      </c>
      <c r="B71" s="263">
        <v>7.0</v>
      </c>
      <c r="C71" s="264" t="s">
        <v>930</v>
      </c>
      <c r="D71" s="264" t="s">
        <v>4660</v>
      </c>
      <c r="E71" s="394" t="s">
        <v>49</v>
      </c>
      <c r="F71" s="15"/>
      <c r="L71" s="89"/>
      <c r="M71" s="89" t="str">
        <f t="shared" si="6"/>
        <v>sen.jamesmanning@oregonlegislature.gov</v>
      </c>
      <c r="N71" s="89"/>
      <c r="O71" s="89"/>
      <c r="P71" s="89"/>
      <c r="Q71" s="89"/>
      <c r="R71" s="89"/>
      <c r="U71" t="str">
        <f t="shared" si="7"/>
        <v/>
      </c>
      <c r="V71" s="139" t="str">
        <f t="shared" si="8"/>
        <v/>
      </c>
      <c r="W71" t="str">
        <f t="shared" si="9"/>
        <v/>
      </c>
      <c r="X71" t="str">
        <f t="shared" si="10"/>
        <v/>
      </c>
    </row>
    <row r="72">
      <c r="A72" s="14" t="s">
        <v>286</v>
      </c>
      <c r="B72" s="263">
        <v>8.0</v>
      </c>
      <c r="C72" s="428" t="s">
        <v>171</v>
      </c>
      <c r="D72" s="428" t="s">
        <v>11552</v>
      </c>
      <c r="E72" s="394" t="s">
        <v>49</v>
      </c>
      <c r="F72" s="15"/>
      <c r="G72" s="14" t="s">
        <v>11554</v>
      </c>
      <c r="H72" s="59" t="s">
        <v>781</v>
      </c>
      <c r="L72" s="89"/>
      <c r="M72" s="89" t="str">
        <f t="shared" si="6"/>
        <v>sen.saragelser@oregonlegislature.gov</v>
      </c>
      <c r="N72" s="89"/>
      <c r="O72" s="89"/>
      <c r="P72" s="89"/>
      <c r="Q72" s="89"/>
      <c r="R72" s="89"/>
      <c r="U72" t="str">
        <f t="shared" si="7"/>
        <v/>
      </c>
      <c r="V72" s="139" t="str">
        <f t="shared" si="8"/>
        <v/>
      </c>
      <c r="W72" t="str">
        <f t="shared" si="9"/>
        <v/>
      </c>
      <c r="X72" t="str">
        <f t="shared" si="10"/>
        <v/>
      </c>
    </row>
    <row r="73">
      <c r="A73" s="14" t="s">
        <v>286</v>
      </c>
      <c r="B73" s="263">
        <v>9.0</v>
      </c>
      <c r="C73" s="264" t="s">
        <v>1242</v>
      </c>
      <c r="D73" s="264" t="s">
        <v>11565</v>
      </c>
      <c r="E73" s="384" t="s">
        <v>53</v>
      </c>
      <c r="F73" s="15"/>
      <c r="L73" s="89"/>
      <c r="M73" s="89" t="str">
        <f t="shared" si="6"/>
        <v>sen.fredgirod@oregonlegislature.gov</v>
      </c>
      <c r="N73" s="89"/>
      <c r="O73" s="89"/>
      <c r="P73" s="89"/>
      <c r="Q73" s="89"/>
      <c r="R73" s="89"/>
      <c r="U73" t="str">
        <f t="shared" si="7"/>
        <v/>
      </c>
      <c r="V73" s="139" t="str">
        <f t="shared" si="8"/>
        <v/>
      </c>
      <c r="W73" t="str">
        <f t="shared" si="9"/>
        <v/>
      </c>
      <c r="X73" t="str">
        <f t="shared" si="10"/>
        <v/>
      </c>
    </row>
    <row r="74">
      <c r="A74" s="14" t="s">
        <v>286</v>
      </c>
      <c r="B74" s="263">
        <v>10.0</v>
      </c>
      <c r="C74" s="428" t="s">
        <v>2300</v>
      </c>
      <c r="D74" s="428" t="s">
        <v>11570</v>
      </c>
      <c r="E74" s="384" t="s">
        <v>53</v>
      </c>
      <c r="F74" s="15"/>
      <c r="L74" s="89"/>
      <c r="M74" s="89" t="str">
        <f t="shared" si="6"/>
        <v>sen.jackiewinters@oregonlegislature.gov</v>
      </c>
      <c r="N74" s="89"/>
      <c r="O74" s="89"/>
      <c r="P74" s="89"/>
      <c r="Q74" s="89"/>
      <c r="R74" s="89"/>
      <c r="U74" t="str">
        <f t="shared" si="7"/>
        <v/>
      </c>
      <c r="V74" s="139" t="str">
        <f t="shared" si="8"/>
        <v/>
      </c>
      <c r="W74" t="str">
        <f t="shared" si="9"/>
        <v/>
      </c>
      <c r="X74" t="str">
        <f t="shared" si="10"/>
        <v/>
      </c>
    </row>
    <row r="75">
      <c r="A75" s="14" t="s">
        <v>286</v>
      </c>
      <c r="B75" s="263">
        <v>11.0</v>
      </c>
      <c r="C75" s="264" t="s">
        <v>367</v>
      </c>
      <c r="D75" s="264" t="s">
        <v>3014</v>
      </c>
      <c r="E75" s="394" t="s">
        <v>49</v>
      </c>
      <c r="F75" s="12" t="s">
        <v>291</v>
      </c>
      <c r="L75" s="89"/>
      <c r="M75" s="89" t="str">
        <f t="shared" si="6"/>
        <v>sen.petercourtney@oregonlegislature.gov</v>
      </c>
      <c r="N75" s="89"/>
      <c r="O75" s="89"/>
      <c r="P75" s="89"/>
      <c r="Q75" s="89"/>
      <c r="R75" s="89"/>
      <c r="U75" t="str">
        <f t="shared" si="7"/>
        <v>Senator</v>
      </c>
      <c r="V75" s="139" t="str">
        <f t="shared" si="8"/>
        <v>Peter</v>
      </c>
      <c r="W75" t="str">
        <f t="shared" si="9"/>
        <v>Courtney</v>
      </c>
      <c r="X75" t="str">
        <f t="shared" si="10"/>
        <v>sen.petercourtney@oregonlegislature.gov</v>
      </c>
    </row>
    <row r="76">
      <c r="A76" s="14" t="s">
        <v>286</v>
      </c>
      <c r="B76" s="263">
        <v>12.0</v>
      </c>
      <c r="C76" s="264" t="s">
        <v>1331</v>
      </c>
      <c r="D76" s="264" t="s">
        <v>11586</v>
      </c>
      <c r="E76" s="384" t="s">
        <v>53</v>
      </c>
      <c r="F76" s="15"/>
      <c r="G76" s="14" t="s">
        <v>11587</v>
      </c>
      <c r="L76" s="89"/>
      <c r="M76" s="89" t="str">
        <f t="shared" si="6"/>
        <v>sen.brianboquist@oregonlegislature.gov</v>
      </c>
      <c r="N76" s="89"/>
      <c r="O76" s="89"/>
      <c r="P76" s="89"/>
      <c r="Q76" s="89"/>
      <c r="R76" s="89"/>
      <c r="U76" t="str">
        <f t="shared" si="7"/>
        <v/>
      </c>
      <c r="V76" s="139" t="str">
        <f t="shared" si="8"/>
        <v/>
      </c>
      <c r="W76" t="str">
        <f t="shared" si="9"/>
        <v/>
      </c>
      <c r="X76" t="str">
        <f t="shared" si="10"/>
        <v/>
      </c>
    </row>
    <row r="77">
      <c r="A77" s="14" t="s">
        <v>286</v>
      </c>
      <c r="B77" s="263">
        <v>13.0</v>
      </c>
      <c r="C77" s="428" t="s">
        <v>1973</v>
      </c>
      <c r="D77" s="428" t="s">
        <v>11600</v>
      </c>
      <c r="E77" s="384" t="s">
        <v>53</v>
      </c>
      <c r="F77" s="15"/>
      <c r="G77" s="14" t="s">
        <v>517</v>
      </c>
      <c r="L77" s="89"/>
      <c r="M77" s="89" t="str">
        <f t="shared" si="6"/>
        <v>sen.kimthatcher@oregonlegislature.gov</v>
      </c>
      <c r="N77" s="89"/>
      <c r="O77" s="89"/>
      <c r="P77" s="89"/>
      <c r="Q77" s="89"/>
      <c r="R77" s="89"/>
      <c r="U77" t="str">
        <f t="shared" si="7"/>
        <v>Senator</v>
      </c>
      <c r="V77" s="139" t="str">
        <f t="shared" si="8"/>
        <v>Kim</v>
      </c>
      <c r="W77" t="str">
        <f t="shared" si="9"/>
        <v>Thatcher</v>
      </c>
      <c r="X77" t="str">
        <f t="shared" si="10"/>
        <v>sen.kimthatcher@oregonlegislature.gov</v>
      </c>
    </row>
    <row r="78">
      <c r="A78" s="14" t="s">
        <v>286</v>
      </c>
      <c r="B78" s="263">
        <v>14.0</v>
      </c>
      <c r="C78" s="264" t="s">
        <v>91</v>
      </c>
      <c r="D78" s="264" t="s">
        <v>11609</v>
      </c>
      <c r="E78" s="394" t="s">
        <v>49</v>
      </c>
      <c r="F78" s="12" t="s">
        <v>11610</v>
      </c>
      <c r="G78" s="14" t="s">
        <v>10858</v>
      </c>
      <c r="H78" s="14" t="s">
        <v>1272</v>
      </c>
      <c r="L78" s="89"/>
      <c r="M78" s="89" t="str">
        <f t="shared" si="6"/>
        <v>sen.markhass@oregonlegislature.gov</v>
      </c>
      <c r="N78" s="89"/>
      <c r="O78" s="89"/>
      <c r="P78" s="89"/>
      <c r="Q78" s="89"/>
      <c r="R78" s="89"/>
      <c r="U78" t="str">
        <f t="shared" si="7"/>
        <v>Senator</v>
      </c>
      <c r="V78" s="139" t="str">
        <f t="shared" si="8"/>
        <v>Mark</v>
      </c>
      <c r="W78" t="str">
        <f t="shared" si="9"/>
        <v>Hass</v>
      </c>
      <c r="X78" t="str">
        <f t="shared" si="10"/>
        <v>sen.markhass@oregonlegislature.gov</v>
      </c>
    </row>
    <row r="79">
      <c r="A79" s="14" t="s">
        <v>286</v>
      </c>
      <c r="B79" s="263">
        <v>15.0</v>
      </c>
      <c r="C79" s="264" t="s">
        <v>177</v>
      </c>
      <c r="D79" s="264" t="s">
        <v>2564</v>
      </c>
      <c r="E79" s="394" t="s">
        <v>49</v>
      </c>
      <c r="F79" s="12" t="s">
        <v>1479</v>
      </c>
      <c r="G79" s="14" t="s">
        <v>11619</v>
      </c>
      <c r="L79" s="89"/>
      <c r="M79" s="89" t="str">
        <f t="shared" si="6"/>
        <v>sen.chuckriley@oregonlegislature.gov</v>
      </c>
      <c r="N79" s="89"/>
      <c r="O79" s="89"/>
      <c r="P79" s="89"/>
      <c r="Q79" s="89"/>
      <c r="R79" s="89"/>
      <c r="U79" t="str">
        <f t="shared" si="7"/>
        <v>Senator</v>
      </c>
      <c r="V79" s="139" t="str">
        <f t="shared" si="8"/>
        <v>Chuck</v>
      </c>
      <c r="W79" t="str">
        <f t="shared" si="9"/>
        <v>Riley</v>
      </c>
      <c r="X79" t="str">
        <f t="shared" si="10"/>
        <v>sen.chuckriley@oregonlegislature.gov</v>
      </c>
    </row>
    <row r="80">
      <c r="A80" s="14" t="s">
        <v>286</v>
      </c>
      <c r="B80" s="263">
        <v>16.0</v>
      </c>
      <c r="C80" s="428" t="s">
        <v>3434</v>
      </c>
      <c r="D80" s="428" t="s">
        <v>118</v>
      </c>
      <c r="E80" s="394" t="s">
        <v>49</v>
      </c>
      <c r="F80" s="15"/>
      <c r="L80" s="89"/>
      <c r="M80" s="89" t="str">
        <f t="shared" si="6"/>
        <v>sen.betsyjohnson@oregonlegislature.gov</v>
      </c>
      <c r="N80" s="89"/>
      <c r="O80" s="89"/>
      <c r="P80" s="89"/>
      <c r="Q80" s="89"/>
      <c r="R80" s="89"/>
      <c r="U80" t="str">
        <f t="shared" si="7"/>
        <v/>
      </c>
      <c r="V80" s="139" t="str">
        <f t="shared" si="8"/>
        <v/>
      </c>
      <c r="W80" t="str">
        <f t="shared" si="9"/>
        <v/>
      </c>
      <c r="X80" t="str">
        <f t="shared" si="10"/>
        <v/>
      </c>
    </row>
    <row r="81">
      <c r="A81" s="14" t="s">
        <v>286</v>
      </c>
      <c r="B81" s="263">
        <v>17.0</v>
      </c>
      <c r="C81" s="264" t="s">
        <v>2830</v>
      </c>
      <c r="D81" s="264" t="s">
        <v>11629</v>
      </c>
      <c r="E81" s="394" t="s">
        <v>49</v>
      </c>
      <c r="F81" s="15"/>
      <c r="L81" s="89"/>
      <c r="M81" s="89" t="str">
        <f t="shared" si="6"/>
        <v>sen.elizabethhayward@oregonlegislature.gov</v>
      </c>
      <c r="N81" s="89"/>
      <c r="O81" s="89"/>
      <c r="P81" s="89"/>
      <c r="Q81" s="89"/>
      <c r="R81" s="89"/>
      <c r="U81" t="str">
        <f t="shared" si="7"/>
        <v/>
      </c>
      <c r="V81" s="139" t="str">
        <f t="shared" si="8"/>
        <v/>
      </c>
      <c r="W81" t="str">
        <f t="shared" si="9"/>
        <v/>
      </c>
      <c r="X81" t="str">
        <f t="shared" si="10"/>
        <v/>
      </c>
    </row>
    <row r="82">
      <c r="A82" s="14" t="s">
        <v>286</v>
      </c>
      <c r="B82" s="263">
        <v>18.0</v>
      </c>
      <c r="C82" s="264" t="s">
        <v>442</v>
      </c>
      <c r="D82" s="264" t="s">
        <v>11637</v>
      </c>
      <c r="E82" s="394" t="s">
        <v>49</v>
      </c>
      <c r="F82" s="12" t="s">
        <v>4576</v>
      </c>
      <c r="L82" s="89"/>
      <c r="M82" s="89" t="str">
        <f t="shared" si="6"/>
        <v>sen.ginnyburdick@oregonlegislature.gov</v>
      </c>
      <c r="N82" s="89"/>
      <c r="O82" s="89"/>
      <c r="P82" s="89"/>
      <c r="Q82" s="89"/>
      <c r="R82" s="89"/>
      <c r="U82" t="str">
        <f t="shared" si="7"/>
        <v>Senator</v>
      </c>
      <c r="V82" s="139" t="str">
        <f t="shared" si="8"/>
        <v>Ginny</v>
      </c>
      <c r="W82" t="str">
        <f t="shared" si="9"/>
        <v>Burdick</v>
      </c>
      <c r="X82" t="str">
        <f t="shared" si="10"/>
        <v>sen.ginnyburdick@oregonlegislature.gov</v>
      </c>
    </row>
    <row r="83">
      <c r="A83" s="14" t="s">
        <v>286</v>
      </c>
      <c r="B83" s="263">
        <v>19.0</v>
      </c>
      <c r="C83" s="428" t="s">
        <v>1476</v>
      </c>
      <c r="D83" s="428" t="s">
        <v>6832</v>
      </c>
      <c r="E83" s="394" t="s">
        <v>49</v>
      </c>
      <c r="F83" s="12" t="s">
        <v>11610</v>
      </c>
      <c r="G83" s="59" t="s">
        <v>781</v>
      </c>
      <c r="L83" s="89"/>
      <c r="M83" s="89" t="str">
        <f t="shared" si="6"/>
        <v>sen.robwagner@oregonlegislature.gov</v>
      </c>
      <c r="N83" s="89"/>
      <c r="O83" s="89"/>
      <c r="P83" s="89"/>
      <c r="Q83" s="89"/>
      <c r="R83" s="89"/>
      <c r="U83" t="str">
        <f t="shared" si="7"/>
        <v>Senator</v>
      </c>
      <c r="V83" s="139" t="str">
        <f t="shared" si="8"/>
        <v>Rob</v>
      </c>
      <c r="W83" t="str">
        <f t="shared" si="9"/>
        <v>Wagner</v>
      </c>
      <c r="X83" t="str">
        <f t="shared" si="10"/>
        <v>sen.robwagner@oregonlegislature.gov</v>
      </c>
    </row>
    <row r="84">
      <c r="A84" s="14" t="s">
        <v>286</v>
      </c>
      <c r="B84" s="263">
        <v>20.0</v>
      </c>
      <c r="C84" s="264" t="s">
        <v>551</v>
      </c>
      <c r="D84" s="264" t="s">
        <v>4352</v>
      </c>
      <c r="E84" s="384" t="s">
        <v>53</v>
      </c>
      <c r="F84" s="12" t="s">
        <v>11655</v>
      </c>
      <c r="L84" s="89"/>
      <c r="M84" s="89" t="str">
        <f t="shared" si="6"/>
        <v>sen.alanolsen@oregonlegislature.gov</v>
      </c>
      <c r="N84" s="89"/>
      <c r="O84" s="89"/>
      <c r="P84" s="89"/>
      <c r="Q84" s="89"/>
      <c r="R84" s="89"/>
      <c r="U84" t="str">
        <f t="shared" si="7"/>
        <v/>
      </c>
      <c r="V84" s="139" t="str">
        <f t="shared" si="8"/>
        <v/>
      </c>
      <c r="W84" t="str">
        <f t="shared" si="9"/>
        <v/>
      </c>
      <c r="X84" t="str">
        <f t="shared" si="10"/>
        <v/>
      </c>
    </row>
    <row r="85">
      <c r="A85" s="14" t="s">
        <v>286</v>
      </c>
      <c r="B85" s="263">
        <v>21.0</v>
      </c>
      <c r="C85" s="264" t="s">
        <v>2554</v>
      </c>
      <c r="D85" s="264" t="s">
        <v>4255</v>
      </c>
      <c r="E85" s="394" t="s">
        <v>49</v>
      </c>
      <c r="F85" s="15"/>
      <c r="L85" s="89"/>
      <c r="M85" s="89" t="str">
        <f t="shared" si="6"/>
        <v>sen.kathleentaylor@oregonlegislature.gov</v>
      </c>
      <c r="N85" s="89"/>
      <c r="O85" s="89"/>
      <c r="P85" s="89"/>
      <c r="Q85" s="89"/>
      <c r="R85" s="89"/>
      <c r="U85" t="str">
        <f t="shared" si="7"/>
        <v/>
      </c>
      <c r="V85" s="139" t="str">
        <f t="shared" si="8"/>
        <v/>
      </c>
      <c r="W85" t="str">
        <f t="shared" si="9"/>
        <v/>
      </c>
      <c r="X85" t="str">
        <f t="shared" si="10"/>
        <v/>
      </c>
    </row>
    <row r="86">
      <c r="A86" s="14" t="s">
        <v>286</v>
      </c>
      <c r="B86" s="263">
        <v>22.0</v>
      </c>
      <c r="C86" s="264" t="s">
        <v>11670</v>
      </c>
      <c r="D86" s="264" t="s">
        <v>7248</v>
      </c>
      <c r="E86" s="394" t="s">
        <v>49</v>
      </c>
      <c r="F86" s="15"/>
      <c r="L86" s="89"/>
      <c r="M86" s="89" t="str">
        <f t="shared" si="6"/>
        <v>sen.lewfrederick@oregonlegislature.gov</v>
      </c>
      <c r="N86" s="89"/>
      <c r="O86" s="89"/>
      <c r="P86" s="89"/>
      <c r="Q86" s="89"/>
      <c r="R86" s="89"/>
      <c r="U86" t="str">
        <f t="shared" si="7"/>
        <v/>
      </c>
      <c r="V86" s="139" t="str">
        <f t="shared" si="8"/>
        <v/>
      </c>
      <c r="W86" t="str">
        <f t="shared" si="9"/>
        <v/>
      </c>
      <c r="X86" t="str">
        <f t="shared" si="10"/>
        <v/>
      </c>
    </row>
    <row r="87">
      <c r="A87" s="14" t="s">
        <v>286</v>
      </c>
      <c r="B87" s="263">
        <v>23.0</v>
      </c>
      <c r="C87" s="264" t="s">
        <v>2490</v>
      </c>
      <c r="D87" s="264" t="s">
        <v>11685</v>
      </c>
      <c r="E87" s="394" t="s">
        <v>49</v>
      </c>
      <c r="F87" s="12" t="s">
        <v>1479</v>
      </c>
      <c r="G87" s="59" t="s">
        <v>781</v>
      </c>
      <c r="L87" s="89"/>
      <c r="M87" s="89" t="str">
        <f t="shared" si="6"/>
        <v>sen.michaeldembrow@oregonlegislature.gov</v>
      </c>
      <c r="N87" s="89"/>
      <c r="O87" s="89"/>
      <c r="P87" s="89"/>
      <c r="Q87" s="89"/>
      <c r="R87" s="89"/>
      <c r="U87" t="str">
        <f t="shared" si="7"/>
        <v>Senator</v>
      </c>
      <c r="V87" s="139" t="str">
        <f t="shared" si="8"/>
        <v>Michael</v>
      </c>
      <c r="W87" t="str">
        <f t="shared" si="9"/>
        <v>Dembrow</v>
      </c>
      <c r="X87" t="str">
        <f t="shared" si="10"/>
        <v>sen.michaeldembrow@oregonlegislature.gov</v>
      </c>
    </row>
    <row r="88">
      <c r="A88" s="14" t="s">
        <v>286</v>
      </c>
      <c r="B88" s="263">
        <v>24.0</v>
      </c>
      <c r="C88" s="264" t="s">
        <v>503</v>
      </c>
      <c r="D88" s="264" t="s">
        <v>10747</v>
      </c>
      <c r="E88" s="394" t="s">
        <v>49</v>
      </c>
      <c r="F88" s="15"/>
      <c r="L88" s="89"/>
      <c r="M88" s="89" t="str">
        <f t="shared" si="6"/>
        <v>sen.rodmonroe@oregonlegislature.gov</v>
      </c>
      <c r="N88" s="89"/>
      <c r="O88" s="89"/>
      <c r="P88" s="89"/>
      <c r="Q88" s="89"/>
      <c r="R88" s="89"/>
      <c r="U88" t="str">
        <f t="shared" si="7"/>
        <v/>
      </c>
      <c r="V88" s="139" t="str">
        <f t="shared" si="8"/>
        <v/>
      </c>
      <c r="W88" t="str">
        <f t="shared" si="9"/>
        <v/>
      </c>
      <c r="X88" t="str">
        <f t="shared" si="10"/>
        <v/>
      </c>
    </row>
    <row r="89">
      <c r="A89" s="14" t="s">
        <v>286</v>
      </c>
      <c r="B89" s="263">
        <v>25.0</v>
      </c>
      <c r="C89" s="264" t="s">
        <v>1213</v>
      </c>
      <c r="D89" s="264" t="s">
        <v>3961</v>
      </c>
      <c r="E89" s="394" t="s">
        <v>49</v>
      </c>
      <c r="F89" s="12" t="s">
        <v>11704</v>
      </c>
      <c r="G89" s="14" t="s">
        <v>10859</v>
      </c>
      <c r="L89" s="89"/>
      <c r="M89" s="89" t="str">
        <f t="shared" si="6"/>
        <v>sen.laurieanderson@oregonlegislature.gov</v>
      </c>
      <c r="N89" s="89"/>
      <c r="O89" s="89"/>
      <c r="P89" s="89"/>
      <c r="Q89" s="89"/>
      <c r="R89" s="89"/>
      <c r="U89" t="str">
        <f t="shared" si="7"/>
        <v>Senator</v>
      </c>
      <c r="V89" s="139" t="str">
        <f t="shared" si="8"/>
        <v>Laurie</v>
      </c>
      <c r="W89" t="str">
        <f t="shared" si="9"/>
        <v>Anderson</v>
      </c>
      <c r="X89" t="str">
        <f t="shared" si="10"/>
        <v>sen.laurieanderson@oregonlegislature.gov</v>
      </c>
    </row>
    <row r="90">
      <c r="A90" s="14" t="s">
        <v>286</v>
      </c>
      <c r="B90" s="263">
        <v>26.0</v>
      </c>
      <c r="C90" s="264" t="s">
        <v>177</v>
      </c>
      <c r="D90" s="264" t="s">
        <v>11713</v>
      </c>
      <c r="E90" s="384" t="s">
        <v>53</v>
      </c>
      <c r="F90" s="12" t="s">
        <v>11655</v>
      </c>
      <c r="L90" s="89"/>
      <c r="M90" s="89" t="str">
        <f t="shared" si="6"/>
        <v>sen.chuckthomsen@oregonlegislature.gov</v>
      </c>
      <c r="N90" s="89"/>
      <c r="O90" s="89"/>
      <c r="P90" s="89"/>
      <c r="Q90" s="89"/>
      <c r="R90" s="89"/>
      <c r="U90" t="str">
        <f t="shared" si="7"/>
        <v/>
      </c>
      <c r="V90" s="139" t="str">
        <f t="shared" si="8"/>
        <v/>
      </c>
      <c r="W90" t="str">
        <f t="shared" si="9"/>
        <v/>
      </c>
      <c r="X90" t="str">
        <f t="shared" si="10"/>
        <v/>
      </c>
    </row>
    <row r="91">
      <c r="A91" s="14" t="s">
        <v>286</v>
      </c>
      <c r="B91" s="263">
        <v>27.0</v>
      </c>
      <c r="C91" s="264" t="s">
        <v>225</v>
      </c>
      <c r="D91" s="264" t="s">
        <v>203</v>
      </c>
      <c r="E91" s="384" t="s">
        <v>53</v>
      </c>
      <c r="F91" s="15"/>
      <c r="L91" s="89"/>
      <c r="M91" s="89" t="str">
        <f t="shared" si="6"/>
        <v>sen.timknopp@oregonlegislature.gov</v>
      </c>
      <c r="N91" s="89"/>
      <c r="O91" s="89"/>
      <c r="P91" s="89"/>
      <c r="Q91" s="89"/>
      <c r="R91" s="89"/>
      <c r="U91" t="str">
        <f t="shared" si="7"/>
        <v/>
      </c>
      <c r="V91" s="139" t="str">
        <f t="shared" si="8"/>
        <v/>
      </c>
      <c r="W91" t="str">
        <f t="shared" si="9"/>
        <v/>
      </c>
      <c r="X91" t="str">
        <f t="shared" si="10"/>
        <v/>
      </c>
    </row>
    <row r="92">
      <c r="A92" s="14" t="s">
        <v>286</v>
      </c>
      <c r="B92" s="263">
        <v>28.0</v>
      </c>
      <c r="C92" s="264" t="s">
        <v>2194</v>
      </c>
      <c r="D92" s="264" t="s">
        <v>11734</v>
      </c>
      <c r="E92" s="384" t="s">
        <v>53</v>
      </c>
      <c r="F92" s="12" t="s">
        <v>2004</v>
      </c>
      <c r="G92" s="59" t="s">
        <v>781</v>
      </c>
      <c r="L92" s="89"/>
      <c r="M92" s="89" t="str">
        <f t="shared" si="6"/>
        <v>sen.dennislinthicum@oregonlegislature.gov</v>
      </c>
      <c r="N92" s="89"/>
      <c r="O92" s="89"/>
      <c r="P92" s="89"/>
      <c r="Q92" s="89"/>
      <c r="R92" s="89"/>
      <c r="U92" t="str">
        <f t="shared" si="7"/>
        <v/>
      </c>
      <c r="V92" s="139" t="str">
        <f t="shared" si="8"/>
        <v/>
      </c>
      <c r="W92" t="str">
        <f t="shared" si="9"/>
        <v/>
      </c>
      <c r="X92" t="str">
        <f t="shared" si="10"/>
        <v/>
      </c>
    </row>
    <row r="93">
      <c r="A93" s="14" t="s">
        <v>286</v>
      </c>
      <c r="B93" s="263">
        <v>29.0</v>
      </c>
      <c r="C93" s="264" t="s">
        <v>325</v>
      </c>
      <c r="D93" s="264" t="s">
        <v>11748</v>
      </c>
      <c r="E93" s="384" t="s">
        <v>53</v>
      </c>
      <c r="F93" s="15"/>
      <c r="L93" s="89"/>
      <c r="M93" s="89" t="str">
        <f t="shared" si="6"/>
        <v>sen.billhansell@oregonlegislature.gov</v>
      </c>
      <c r="N93" s="89"/>
      <c r="O93" s="89"/>
      <c r="P93" s="89"/>
      <c r="Q93" s="89"/>
      <c r="R93" s="89"/>
      <c r="U93" t="str">
        <f t="shared" si="7"/>
        <v/>
      </c>
      <c r="V93" s="139" t="str">
        <f t="shared" si="8"/>
        <v/>
      </c>
      <c r="W93" t="str">
        <f t="shared" si="9"/>
        <v/>
      </c>
      <c r="X93" t="str">
        <f t="shared" si="10"/>
        <v/>
      </c>
    </row>
    <row r="94">
      <c r="A94" s="14" t="s">
        <v>286</v>
      </c>
      <c r="B94" s="263">
        <v>30.0</v>
      </c>
      <c r="C94" s="264" t="s">
        <v>4224</v>
      </c>
      <c r="D94" s="264" t="s">
        <v>2686</v>
      </c>
      <c r="E94" s="384" t="s">
        <v>53</v>
      </c>
      <c r="F94" s="12" t="s">
        <v>11655</v>
      </c>
      <c r="G94" s="59" t="s">
        <v>781</v>
      </c>
      <c r="L94" s="89"/>
      <c r="M94" s="89" t="str">
        <f t="shared" si="6"/>
        <v>sen.cliffbentz@oregonlegislature.gov</v>
      </c>
      <c r="N94" s="89"/>
      <c r="O94" s="89"/>
      <c r="P94" s="89"/>
      <c r="Q94" s="89"/>
      <c r="R94" s="89"/>
      <c r="U94" t="str">
        <f t="shared" si="7"/>
        <v/>
      </c>
      <c r="V94" s="139" t="str">
        <f t="shared" si="8"/>
        <v/>
      </c>
      <c r="W94" t="str">
        <f t="shared" si="9"/>
        <v/>
      </c>
      <c r="X94" t="str">
        <f t="shared" si="10"/>
        <v/>
      </c>
    </row>
    <row r="95">
      <c r="A95" s="70"/>
      <c r="B95" s="691"/>
      <c r="C95" s="371"/>
      <c r="D95" s="371"/>
      <c r="E95" s="474"/>
      <c r="F95" s="184"/>
      <c r="G95" s="70"/>
      <c r="H95" s="70"/>
      <c r="I95" s="70"/>
      <c r="J95" s="70"/>
      <c r="K95" s="70"/>
      <c r="L95" s="70"/>
      <c r="M95" s="70"/>
      <c r="N95" s="70"/>
      <c r="O95" s="70"/>
      <c r="P95" s="70"/>
      <c r="Q95" s="70"/>
      <c r="R95" s="70"/>
      <c r="S95" s="70"/>
      <c r="T95" s="70"/>
      <c r="U95" s="70"/>
      <c r="V95" s="70"/>
      <c r="W95" s="70"/>
      <c r="X95" s="70"/>
      <c r="Y95" s="70"/>
      <c r="Z95" s="70"/>
      <c r="AA95" s="70"/>
      <c r="AB95" s="70"/>
      <c r="AC95" s="70"/>
      <c r="AD95" s="70"/>
      <c r="AE95" s="70"/>
      <c r="AF95" s="70"/>
      <c r="AG95" s="70"/>
      <c r="AH95" s="70"/>
    </row>
    <row r="96">
      <c r="A96" s="14" t="s">
        <v>421</v>
      </c>
      <c r="B96" s="373"/>
      <c r="C96" s="374" t="s">
        <v>1354</v>
      </c>
      <c r="D96" s="374" t="s">
        <v>447</v>
      </c>
      <c r="E96" s="473" t="s">
        <v>49</v>
      </c>
      <c r="F96" s="15"/>
      <c r="L96" s="89"/>
      <c r="M96" s="89"/>
      <c r="N96" s="89"/>
      <c r="O96" s="89"/>
      <c r="P96" s="89"/>
      <c r="Q96" s="89"/>
      <c r="R96" s="89"/>
    </row>
    <row r="97">
      <c r="A97" s="70"/>
      <c r="B97" s="370"/>
      <c r="C97" s="371"/>
      <c r="D97" s="371"/>
      <c r="E97" s="474"/>
      <c r="F97" s="184"/>
      <c r="G97" s="70"/>
      <c r="H97" s="70"/>
      <c r="I97" s="70"/>
      <c r="J97" s="70"/>
      <c r="K97" s="70"/>
      <c r="L97" s="70"/>
      <c r="M97" s="70"/>
      <c r="N97" s="70"/>
      <c r="O97" s="70"/>
      <c r="P97" s="70"/>
      <c r="Q97" s="70"/>
      <c r="R97" s="70"/>
      <c r="S97" s="70"/>
      <c r="T97" s="70"/>
      <c r="U97" s="70"/>
      <c r="V97" s="70"/>
      <c r="W97" s="70"/>
      <c r="X97" s="70"/>
      <c r="Y97" s="70"/>
      <c r="Z97" s="70"/>
      <c r="AA97" s="70"/>
      <c r="AB97" s="70"/>
      <c r="AC97" s="70"/>
      <c r="AD97" s="70"/>
      <c r="AE97" s="70"/>
      <c r="AF97" s="70"/>
      <c r="AG97" s="70"/>
      <c r="AH97" s="70"/>
    </row>
    <row r="98">
      <c r="A98" s="14" t="s">
        <v>427</v>
      </c>
      <c r="B98" s="375">
        <v>1.0</v>
      </c>
      <c r="C98" s="374" t="s">
        <v>11762</v>
      </c>
      <c r="D98" s="374" t="s">
        <v>11763</v>
      </c>
      <c r="E98" s="473" t="s">
        <v>49</v>
      </c>
      <c r="F98" s="15"/>
      <c r="L98" s="89"/>
      <c r="M98" s="89"/>
      <c r="N98" s="89"/>
      <c r="O98" s="89"/>
      <c r="P98" s="89"/>
      <c r="Q98" s="89"/>
      <c r="R98" s="89"/>
    </row>
    <row r="99">
      <c r="A99" s="14" t="s">
        <v>427</v>
      </c>
      <c r="B99" s="375">
        <v>2.0</v>
      </c>
      <c r="C99" s="374" t="s">
        <v>1385</v>
      </c>
      <c r="D99" s="374" t="s">
        <v>11764</v>
      </c>
      <c r="E99" s="473" t="s">
        <v>53</v>
      </c>
      <c r="F99" s="15"/>
      <c r="L99" s="89"/>
      <c r="M99" s="89"/>
      <c r="N99" s="89"/>
      <c r="O99" s="89"/>
      <c r="P99" s="89"/>
      <c r="Q99" s="89"/>
      <c r="R99" s="89"/>
    </row>
    <row r="100">
      <c r="A100" s="14" t="s">
        <v>427</v>
      </c>
      <c r="B100" s="375">
        <v>3.0</v>
      </c>
      <c r="C100" s="374" t="s">
        <v>2725</v>
      </c>
      <c r="D100" s="374" t="s">
        <v>11765</v>
      </c>
      <c r="E100" s="473" t="s">
        <v>49</v>
      </c>
      <c r="F100" s="15"/>
      <c r="L100" s="89"/>
      <c r="M100" s="89"/>
      <c r="N100" s="89"/>
      <c r="O100" s="89"/>
      <c r="P100" s="89"/>
      <c r="Q100" s="89"/>
      <c r="R100" s="89"/>
    </row>
    <row r="101">
      <c r="A101" s="14" t="s">
        <v>427</v>
      </c>
      <c r="B101" s="375">
        <v>4.0</v>
      </c>
      <c r="C101" s="374" t="s">
        <v>367</v>
      </c>
      <c r="D101" s="374" t="s">
        <v>11768</v>
      </c>
      <c r="E101" s="473" t="s">
        <v>49</v>
      </c>
      <c r="F101" s="15"/>
      <c r="L101" s="89"/>
      <c r="M101" s="89"/>
      <c r="N101" s="89"/>
      <c r="O101" s="89"/>
      <c r="P101" s="89"/>
      <c r="Q101" s="89"/>
      <c r="R101" s="89"/>
    </row>
    <row r="102">
      <c r="A102" s="14" t="s">
        <v>427</v>
      </c>
      <c r="B102" s="375">
        <v>5.0</v>
      </c>
      <c r="C102" s="374" t="s">
        <v>2569</v>
      </c>
      <c r="D102" s="374" t="s">
        <v>11769</v>
      </c>
      <c r="E102" s="473" t="s">
        <v>49</v>
      </c>
      <c r="F102" s="15"/>
      <c r="L102" s="89"/>
      <c r="M102" s="89"/>
      <c r="N102" s="89"/>
      <c r="O102" s="89"/>
      <c r="P102" s="89"/>
      <c r="Q102" s="89"/>
      <c r="R102" s="89"/>
    </row>
    <row r="103">
      <c r="A103" s="70"/>
      <c r="B103" s="370"/>
      <c r="C103" s="371"/>
      <c r="D103" s="371"/>
      <c r="E103" s="474"/>
      <c r="F103" s="184"/>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row>
    <row r="104">
      <c r="A104" s="14" t="s">
        <v>430</v>
      </c>
      <c r="B104" s="375" t="s">
        <v>431</v>
      </c>
      <c r="C104" s="374" t="s">
        <v>1813</v>
      </c>
      <c r="D104" s="374" t="s">
        <v>11770</v>
      </c>
      <c r="E104" s="473" t="s">
        <v>49</v>
      </c>
      <c r="F104" s="15"/>
      <c r="L104" s="89"/>
      <c r="M104" s="89"/>
      <c r="N104" s="89"/>
      <c r="O104" s="89"/>
      <c r="P104" s="89"/>
      <c r="Q104" s="89"/>
      <c r="R104" s="89"/>
    </row>
    <row r="105">
      <c r="A105" s="14" t="s">
        <v>430</v>
      </c>
      <c r="B105" s="375" t="s">
        <v>434</v>
      </c>
      <c r="C105" s="374" t="s">
        <v>683</v>
      </c>
      <c r="D105" s="374" t="s">
        <v>11771</v>
      </c>
      <c r="E105" s="473" t="s">
        <v>49</v>
      </c>
      <c r="F105" s="15"/>
      <c r="L105" s="89"/>
      <c r="M105" s="89"/>
      <c r="N105" s="89"/>
      <c r="O105" s="89"/>
      <c r="P105" s="89"/>
      <c r="Q105" s="89"/>
      <c r="R105" s="89"/>
    </row>
    <row r="106">
      <c r="A106" s="70"/>
      <c r="B106" s="71"/>
      <c r="C106" s="71"/>
      <c r="D106" s="71"/>
      <c r="E106" s="474"/>
      <c r="F106" s="184"/>
      <c r="G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row>
    <row r="107">
      <c r="A107" s="14" t="s">
        <v>438</v>
      </c>
      <c r="B107" s="139"/>
      <c r="C107" s="77" t="s">
        <v>9356</v>
      </c>
      <c r="D107" s="77" t="s">
        <v>11772</v>
      </c>
      <c r="E107" s="473" t="s">
        <v>49</v>
      </c>
      <c r="F107" s="15"/>
      <c r="L107" s="89"/>
      <c r="M107" s="89"/>
      <c r="N107" s="89"/>
      <c r="O107" s="89"/>
      <c r="P107" s="89"/>
      <c r="Q107" s="89"/>
      <c r="R107" s="89"/>
    </row>
    <row r="108">
      <c r="A108" s="70"/>
      <c r="B108" s="71"/>
      <c r="C108" s="71"/>
      <c r="D108" s="71"/>
      <c r="E108" s="474"/>
      <c r="F108" s="184"/>
      <c r="G108" s="70"/>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c r="AE108" s="70"/>
      <c r="AF108" s="70"/>
      <c r="AG108" s="70"/>
      <c r="AH108" s="70"/>
    </row>
    <row r="109">
      <c r="B109" s="373"/>
      <c r="C109" s="377"/>
      <c r="D109" s="377"/>
      <c r="E109" s="476"/>
      <c r="F109" s="15"/>
    </row>
    <row r="110">
      <c r="B110" s="373"/>
      <c r="C110" s="377"/>
      <c r="D110" s="377"/>
      <c r="E110" s="476"/>
      <c r="F110" s="15"/>
    </row>
    <row r="111">
      <c r="B111" s="373"/>
      <c r="C111" s="377"/>
      <c r="D111" s="377"/>
      <c r="E111" s="476"/>
      <c r="F111" s="15"/>
    </row>
    <row r="112">
      <c r="B112" s="373"/>
      <c r="C112" s="377"/>
      <c r="D112" s="377"/>
      <c r="E112" s="476"/>
      <c r="F112" s="15"/>
    </row>
    <row r="113">
      <c r="B113" s="373"/>
      <c r="C113" s="377"/>
      <c r="D113" s="377"/>
      <c r="E113" s="476"/>
      <c r="F113" s="15"/>
    </row>
    <row r="114">
      <c r="B114" s="373"/>
      <c r="C114" s="377"/>
      <c r="D114" s="377"/>
      <c r="E114" s="476"/>
      <c r="F114" s="15"/>
    </row>
    <row r="115">
      <c r="B115" s="373"/>
      <c r="C115" s="377"/>
      <c r="D115" s="377"/>
      <c r="E115" s="476"/>
      <c r="F115" s="15"/>
    </row>
    <row r="116">
      <c r="B116" s="373"/>
      <c r="C116" s="377"/>
      <c r="D116" s="377"/>
      <c r="E116" s="476"/>
      <c r="F116" s="15"/>
    </row>
    <row r="117">
      <c r="B117" s="373"/>
      <c r="C117" s="377"/>
      <c r="D117" s="377"/>
      <c r="E117" s="476"/>
      <c r="F117" s="15"/>
    </row>
    <row r="118">
      <c r="B118" s="373"/>
      <c r="C118" s="377"/>
      <c r="D118" s="377"/>
      <c r="E118" s="476"/>
      <c r="F118" s="15"/>
    </row>
    <row r="119">
      <c r="B119" s="373"/>
      <c r="C119" s="377"/>
      <c r="D119" s="377"/>
      <c r="E119" s="476"/>
      <c r="F119" s="15"/>
    </row>
    <row r="120">
      <c r="B120" s="373"/>
      <c r="C120" s="377"/>
      <c r="D120" s="377"/>
      <c r="E120" s="476"/>
      <c r="F120" s="15"/>
    </row>
    <row r="121">
      <c r="B121" s="373"/>
      <c r="C121" s="377"/>
      <c r="D121" s="377"/>
      <c r="E121" s="476"/>
      <c r="F121" s="15"/>
    </row>
    <row r="122">
      <c r="B122" s="373"/>
      <c r="C122" s="377"/>
      <c r="D122" s="377"/>
      <c r="E122" s="476"/>
      <c r="F122" s="15"/>
    </row>
    <row r="123">
      <c r="B123" s="373"/>
      <c r="C123" s="377"/>
      <c r="D123" s="377"/>
      <c r="E123" s="476"/>
      <c r="F123" s="15"/>
    </row>
    <row r="124">
      <c r="B124" s="373"/>
      <c r="C124" s="377"/>
      <c r="D124" s="377"/>
      <c r="E124" s="476"/>
      <c r="F124" s="15"/>
    </row>
    <row r="125">
      <c r="B125" s="373"/>
      <c r="C125" s="377"/>
      <c r="D125" s="377"/>
      <c r="E125" s="476"/>
      <c r="F125" s="15"/>
    </row>
    <row r="126">
      <c r="B126" s="373"/>
      <c r="C126" s="377"/>
      <c r="D126" s="377"/>
      <c r="E126" s="476"/>
      <c r="F126" s="15"/>
    </row>
    <row r="127">
      <c r="B127" s="373"/>
      <c r="C127" s="377"/>
      <c r="D127" s="377"/>
      <c r="E127" s="476"/>
      <c r="F127" s="15"/>
    </row>
    <row r="128">
      <c r="B128" s="373"/>
      <c r="C128" s="377"/>
      <c r="D128" s="377"/>
      <c r="E128" s="476"/>
      <c r="F128" s="15"/>
    </row>
    <row r="129">
      <c r="B129" s="373"/>
      <c r="C129" s="377"/>
      <c r="D129" s="377"/>
      <c r="E129" s="476"/>
      <c r="F129" s="15"/>
    </row>
    <row r="130">
      <c r="B130" s="373"/>
      <c r="C130" s="377"/>
      <c r="D130" s="377"/>
      <c r="E130" s="476"/>
      <c r="F130" s="15"/>
    </row>
    <row r="131">
      <c r="B131" s="373"/>
      <c r="C131" s="377"/>
      <c r="D131" s="377"/>
      <c r="E131" s="476"/>
      <c r="F131" s="15"/>
    </row>
    <row r="132">
      <c r="B132" s="373"/>
      <c r="C132" s="377"/>
      <c r="D132" s="377"/>
      <c r="E132" s="476"/>
      <c r="F132" s="15"/>
    </row>
    <row r="133">
      <c r="B133" s="373"/>
      <c r="C133" s="377"/>
      <c r="D133" s="377"/>
      <c r="E133" s="476"/>
      <c r="F133" s="15"/>
    </row>
    <row r="134">
      <c r="B134" s="373"/>
      <c r="C134" s="377"/>
      <c r="D134" s="377"/>
      <c r="E134" s="476"/>
      <c r="F134" s="15"/>
    </row>
    <row r="135">
      <c r="B135" s="373"/>
      <c r="C135" s="377"/>
      <c r="D135" s="377"/>
      <c r="E135" s="476"/>
      <c r="F135" s="15"/>
    </row>
    <row r="136">
      <c r="B136" s="373"/>
      <c r="C136" s="377"/>
      <c r="D136" s="377"/>
      <c r="E136" s="476"/>
      <c r="F136" s="15"/>
    </row>
    <row r="137">
      <c r="B137" s="373"/>
      <c r="C137" s="377"/>
      <c r="D137" s="377"/>
      <c r="E137" s="476"/>
      <c r="F137" s="15"/>
    </row>
    <row r="138">
      <c r="B138" s="373"/>
      <c r="C138" s="377"/>
      <c r="D138" s="377"/>
      <c r="E138" s="476"/>
      <c r="F138" s="15"/>
    </row>
    <row r="139">
      <c r="B139" s="373"/>
      <c r="C139" s="377"/>
      <c r="D139" s="377"/>
      <c r="E139" s="476"/>
      <c r="F139" s="15"/>
    </row>
    <row r="140">
      <c r="B140" s="373"/>
      <c r="C140" s="377"/>
      <c r="D140" s="377"/>
      <c r="E140" s="476"/>
      <c r="F140" s="15"/>
    </row>
    <row r="141">
      <c r="B141" s="373"/>
      <c r="C141" s="377"/>
      <c r="D141" s="377"/>
      <c r="E141" s="476"/>
      <c r="F141" s="15"/>
    </row>
    <row r="142">
      <c r="B142" s="373"/>
      <c r="C142" s="377"/>
      <c r="D142" s="377"/>
      <c r="E142" s="476"/>
      <c r="F142" s="15"/>
    </row>
    <row r="143">
      <c r="B143" s="373"/>
      <c r="C143" s="377"/>
      <c r="D143" s="377"/>
      <c r="E143" s="476"/>
      <c r="F143" s="15"/>
    </row>
    <row r="144">
      <c r="B144" s="373"/>
      <c r="C144" s="377"/>
      <c r="D144" s="377"/>
      <c r="E144" s="476"/>
      <c r="F144" s="15"/>
    </row>
    <row r="145">
      <c r="B145" s="373"/>
      <c r="C145" s="377"/>
      <c r="D145" s="377"/>
      <c r="E145" s="476"/>
      <c r="F145" s="15"/>
    </row>
    <row r="146">
      <c r="B146" s="373"/>
      <c r="C146" s="377"/>
      <c r="D146" s="377"/>
      <c r="E146" s="476"/>
      <c r="F146" s="15"/>
    </row>
    <row r="147">
      <c r="B147" s="373"/>
      <c r="C147" s="377"/>
      <c r="D147" s="377"/>
      <c r="E147" s="476"/>
      <c r="F147" s="15"/>
    </row>
    <row r="148">
      <c r="B148" s="373"/>
      <c r="C148" s="377"/>
      <c r="D148" s="377"/>
      <c r="E148" s="476"/>
      <c r="F148" s="15"/>
    </row>
    <row r="149">
      <c r="B149" s="373"/>
      <c r="C149" s="377"/>
      <c r="D149" s="377"/>
      <c r="E149" s="476"/>
      <c r="F149" s="15"/>
    </row>
    <row r="150">
      <c r="B150" s="373"/>
      <c r="C150" s="377"/>
      <c r="D150" s="377"/>
      <c r="E150" s="476"/>
      <c r="F150" s="15"/>
    </row>
    <row r="151">
      <c r="B151" s="373"/>
      <c r="C151" s="377"/>
      <c r="D151" s="377"/>
      <c r="E151" s="476"/>
      <c r="F151" s="15"/>
    </row>
    <row r="152">
      <c r="B152" s="373"/>
      <c r="C152" s="377"/>
      <c r="D152" s="377"/>
      <c r="E152" s="476"/>
      <c r="F152" s="15"/>
    </row>
    <row r="153">
      <c r="B153" s="373"/>
      <c r="C153" s="377"/>
      <c r="D153" s="377"/>
      <c r="E153" s="476"/>
      <c r="F153" s="15"/>
    </row>
    <row r="154">
      <c r="B154" s="373"/>
      <c r="C154" s="377"/>
      <c r="D154" s="377"/>
      <c r="E154" s="476"/>
      <c r="F154" s="15"/>
    </row>
    <row r="155">
      <c r="B155" s="373"/>
      <c r="C155" s="377"/>
      <c r="D155" s="377"/>
      <c r="E155" s="476"/>
      <c r="F155" s="15"/>
    </row>
    <row r="156">
      <c r="B156" s="373"/>
      <c r="C156" s="377"/>
      <c r="D156" s="377"/>
      <c r="E156" s="476"/>
      <c r="F156" s="15"/>
    </row>
    <row r="157">
      <c r="B157" s="373"/>
      <c r="C157" s="377"/>
      <c r="D157" s="377"/>
      <c r="E157" s="476"/>
      <c r="F157" s="15"/>
    </row>
    <row r="158">
      <c r="B158" s="373"/>
      <c r="C158" s="377"/>
      <c r="D158" s="377"/>
      <c r="E158" s="476"/>
      <c r="F158" s="15"/>
    </row>
    <row r="159">
      <c r="B159" s="373"/>
      <c r="C159" s="377"/>
      <c r="D159" s="377"/>
      <c r="E159" s="476"/>
      <c r="F159" s="15"/>
    </row>
    <row r="160">
      <c r="B160" s="373"/>
      <c r="C160" s="377"/>
      <c r="D160" s="377"/>
      <c r="E160" s="476"/>
      <c r="F160" s="15"/>
    </row>
    <row r="161">
      <c r="B161" s="373"/>
      <c r="C161" s="377"/>
      <c r="D161" s="377"/>
      <c r="E161" s="476"/>
      <c r="F161" s="15"/>
    </row>
    <row r="162">
      <c r="B162" s="373"/>
      <c r="C162" s="377"/>
      <c r="D162" s="377"/>
      <c r="E162" s="476"/>
      <c r="F162" s="15"/>
    </row>
    <row r="163">
      <c r="B163" s="373"/>
      <c r="C163" s="377"/>
      <c r="D163" s="377"/>
      <c r="E163" s="476"/>
      <c r="F163" s="15"/>
    </row>
    <row r="164">
      <c r="B164" s="373"/>
      <c r="C164" s="377"/>
      <c r="D164" s="377"/>
      <c r="E164" s="476"/>
      <c r="F164" s="15"/>
    </row>
    <row r="165">
      <c r="B165" s="373"/>
      <c r="C165" s="377"/>
      <c r="D165" s="377"/>
      <c r="E165" s="476"/>
      <c r="F165" s="15"/>
    </row>
    <row r="166">
      <c r="B166" s="373"/>
      <c r="C166" s="377"/>
      <c r="D166" s="377"/>
      <c r="E166" s="476"/>
      <c r="F166" s="15"/>
    </row>
    <row r="167">
      <c r="B167" s="373"/>
      <c r="C167" s="377"/>
      <c r="D167" s="377"/>
      <c r="E167" s="476"/>
      <c r="F167" s="15"/>
    </row>
    <row r="168">
      <c r="B168" s="373"/>
      <c r="C168" s="377"/>
      <c r="D168" s="377"/>
      <c r="E168" s="476"/>
      <c r="F168" s="15"/>
    </row>
    <row r="169">
      <c r="B169" s="373"/>
      <c r="C169" s="377"/>
      <c r="D169" s="377"/>
      <c r="E169" s="476"/>
      <c r="F169" s="15"/>
    </row>
    <row r="170">
      <c r="B170" s="373"/>
      <c r="C170" s="377"/>
      <c r="D170" s="377"/>
      <c r="E170" s="476"/>
      <c r="F170" s="15"/>
    </row>
    <row r="171">
      <c r="B171" s="373"/>
      <c r="C171" s="377"/>
      <c r="D171" s="377"/>
      <c r="E171" s="476"/>
      <c r="F171" s="15"/>
    </row>
    <row r="172">
      <c r="B172" s="373"/>
      <c r="C172" s="377"/>
      <c r="D172" s="377"/>
      <c r="E172" s="476"/>
      <c r="F172" s="15"/>
    </row>
    <row r="173">
      <c r="B173" s="373"/>
      <c r="C173" s="377"/>
      <c r="D173" s="377"/>
      <c r="E173" s="476"/>
      <c r="F173" s="15"/>
    </row>
    <row r="174">
      <c r="B174" s="373"/>
      <c r="C174" s="377"/>
      <c r="D174" s="377"/>
      <c r="E174" s="476"/>
      <c r="F174" s="15"/>
    </row>
    <row r="175">
      <c r="B175" s="373"/>
      <c r="C175" s="377"/>
      <c r="D175" s="377"/>
      <c r="E175" s="476"/>
      <c r="F175" s="15"/>
    </row>
    <row r="176">
      <c r="B176" s="373"/>
      <c r="C176" s="377"/>
      <c r="D176" s="377"/>
      <c r="E176" s="476"/>
      <c r="F176" s="15"/>
    </row>
    <row r="177">
      <c r="B177" s="373"/>
      <c r="C177" s="377"/>
      <c r="D177" s="377"/>
      <c r="E177" s="476"/>
      <c r="F177" s="15"/>
    </row>
    <row r="178">
      <c r="B178" s="373"/>
      <c r="C178" s="377"/>
      <c r="D178" s="377"/>
      <c r="E178" s="476"/>
      <c r="F178" s="15"/>
    </row>
    <row r="179">
      <c r="B179" s="373"/>
      <c r="C179" s="377"/>
      <c r="D179" s="377"/>
      <c r="E179" s="476"/>
      <c r="F179" s="15"/>
    </row>
    <row r="180">
      <c r="B180" s="373"/>
      <c r="C180" s="377"/>
      <c r="D180" s="377"/>
      <c r="E180" s="476"/>
      <c r="F180" s="15"/>
    </row>
    <row r="181">
      <c r="B181" s="373"/>
      <c r="C181" s="377"/>
      <c r="D181" s="377"/>
      <c r="E181" s="476"/>
      <c r="F181" s="15"/>
    </row>
    <row r="182">
      <c r="B182" s="373"/>
      <c r="C182" s="377"/>
      <c r="D182" s="377"/>
      <c r="E182" s="476"/>
      <c r="F182" s="15"/>
    </row>
    <row r="183">
      <c r="B183" s="373"/>
      <c r="C183" s="377"/>
      <c r="D183" s="377"/>
      <c r="E183" s="476"/>
      <c r="F183" s="15"/>
    </row>
    <row r="184">
      <c r="B184" s="373"/>
      <c r="C184" s="377"/>
      <c r="D184" s="377"/>
      <c r="E184" s="476"/>
      <c r="F184" s="15"/>
    </row>
    <row r="185">
      <c r="B185" s="373"/>
      <c r="C185" s="377"/>
      <c r="D185" s="377"/>
      <c r="E185" s="476"/>
      <c r="F185" s="15"/>
    </row>
    <row r="186">
      <c r="B186" s="373"/>
      <c r="C186" s="377"/>
      <c r="D186" s="377"/>
      <c r="E186" s="476"/>
      <c r="F186" s="15"/>
    </row>
    <row r="187">
      <c r="B187" s="373"/>
      <c r="C187" s="377"/>
      <c r="D187" s="377"/>
      <c r="E187" s="476"/>
      <c r="F187" s="15"/>
    </row>
    <row r="188">
      <c r="B188" s="373"/>
      <c r="C188" s="377"/>
      <c r="D188" s="377"/>
      <c r="E188" s="476"/>
      <c r="F188" s="15"/>
    </row>
    <row r="189">
      <c r="B189" s="373"/>
      <c r="C189" s="377"/>
      <c r="D189" s="377"/>
      <c r="E189" s="476"/>
      <c r="F189" s="15"/>
    </row>
    <row r="190">
      <c r="B190" s="373"/>
      <c r="C190" s="377"/>
      <c r="D190" s="377"/>
      <c r="E190" s="476"/>
      <c r="F190" s="15"/>
    </row>
    <row r="191">
      <c r="B191" s="373"/>
      <c r="C191" s="377"/>
      <c r="D191" s="377"/>
      <c r="E191" s="476"/>
      <c r="F191" s="15"/>
    </row>
    <row r="192">
      <c r="B192" s="373"/>
      <c r="C192" s="377"/>
      <c r="D192" s="377"/>
      <c r="E192" s="476"/>
      <c r="F192" s="15"/>
    </row>
    <row r="193">
      <c r="B193" s="373"/>
      <c r="C193" s="377"/>
      <c r="D193" s="377"/>
      <c r="E193" s="476"/>
      <c r="F193" s="15"/>
    </row>
    <row r="194">
      <c r="B194" s="373"/>
      <c r="C194" s="377"/>
      <c r="D194" s="377"/>
      <c r="E194" s="476"/>
      <c r="F194" s="15"/>
    </row>
    <row r="195">
      <c r="B195" s="373"/>
      <c r="C195" s="377"/>
      <c r="D195" s="377"/>
      <c r="E195" s="476"/>
      <c r="F195" s="15"/>
    </row>
    <row r="196">
      <c r="B196" s="373"/>
      <c r="C196" s="377"/>
      <c r="D196" s="377"/>
      <c r="E196" s="476"/>
      <c r="F196" s="15"/>
    </row>
    <row r="197">
      <c r="B197" s="373"/>
      <c r="C197" s="377"/>
      <c r="D197" s="377"/>
      <c r="E197" s="476"/>
      <c r="F197" s="15"/>
    </row>
    <row r="198">
      <c r="B198" s="373"/>
      <c r="C198" s="377"/>
      <c r="D198" s="377"/>
      <c r="E198" s="476"/>
      <c r="F198" s="15"/>
    </row>
    <row r="199">
      <c r="B199" s="373"/>
      <c r="C199" s="377"/>
      <c r="D199" s="377"/>
      <c r="E199" s="476"/>
      <c r="F199" s="15"/>
    </row>
    <row r="200">
      <c r="B200" s="373"/>
      <c r="C200" s="377"/>
      <c r="D200" s="377"/>
      <c r="E200" s="476"/>
      <c r="F200" s="15"/>
    </row>
    <row r="201">
      <c r="B201" s="373"/>
      <c r="C201" s="377"/>
      <c r="D201" s="377"/>
      <c r="E201" s="476"/>
      <c r="F201" s="15"/>
    </row>
    <row r="202">
      <c r="B202" s="373"/>
      <c r="C202" s="377"/>
      <c r="D202" s="377"/>
      <c r="E202" s="476"/>
      <c r="F202" s="15"/>
    </row>
    <row r="203">
      <c r="B203" s="373"/>
      <c r="C203" s="377"/>
      <c r="D203" s="377"/>
      <c r="E203" s="476"/>
      <c r="F203" s="15"/>
    </row>
    <row r="204">
      <c r="B204" s="373"/>
      <c r="C204" s="377"/>
      <c r="D204" s="377"/>
      <c r="E204" s="476"/>
      <c r="F204" s="15"/>
    </row>
    <row r="205">
      <c r="B205" s="373"/>
      <c r="C205" s="377"/>
      <c r="D205" s="377"/>
      <c r="E205" s="476"/>
      <c r="F205" s="15"/>
    </row>
    <row r="206">
      <c r="B206" s="373"/>
      <c r="C206" s="377"/>
      <c r="D206" s="377"/>
      <c r="E206" s="476"/>
      <c r="F206" s="15"/>
    </row>
    <row r="207">
      <c r="B207" s="373"/>
      <c r="C207" s="377"/>
      <c r="D207" s="377"/>
      <c r="E207" s="476"/>
      <c r="F207" s="15"/>
    </row>
    <row r="208">
      <c r="B208" s="373"/>
      <c r="C208" s="377"/>
      <c r="D208" s="377"/>
      <c r="E208" s="476"/>
      <c r="F208" s="15"/>
    </row>
    <row r="209">
      <c r="B209" s="373"/>
      <c r="C209" s="377"/>
      <c r="D209" s="377"/>
      <c r="E209" s="476"/>
      <c r="F209" s="15"/>
    </row>
    <row r="210">
      <c r="B210" s="373"/>
      <c r="C210" s="377"/>
      <c r="D210" s="377"/>
      <c r="E210" s="476"/>
      <c r="F210" s="15"/>
    </row>
    <row r="211">
      <c r="B211" s="373"/>
      <c r="C211" s="377"/>
      <c r="D211" s="377"/>
      <c r="E211" s="476"/>
      <c r="F211" s="15"/>
    </row>
    <row r="212">
      <c r="B212" s="373"/>
      <c r="C212" s="377"/>
      <c r="D212" s="377"/>
      <c r="E212" s="476"/>
      <c r="F212" s="15"/>
    </row>
    <row r="213">
      <c r="B213" s="373"/>
      <c r="C213" s="377"/>
      <c r="D213" s="377"/>
      <c r="E213" s="476"/>
      <c r="F213" s="15"/>
    </row>
    <row r="214">
      <c r="B214" s="373"/>
      <c r="C214" s="377"/>
      <c r="D214" s="377"/>
      <c r="E214" s="476"/>
      <c r="F214" s="15"/>
    </row>
    <row r="215">
      <c r="B215" s="373"/>
      <c r="C215" s="377"/>
      <c r="D215" s="377"/>
      <c r="E215" s="476"/>
      <c r="F215" s="15"/>
    </row>
    <row r="216">
      <c r="B216" s="373"/>
      <c r="C216" s="377"/>
      <c r="D216" s="377"/>
      <c r="E216" s="476"/>
      <c r="F216" s="15"/>
    </row>
    <row r="217">
      <c r="B217" s="373"/>
      <c r="C217" s="377"/>
      <c r="D217" s="377"/>
      <c r="E217" s="476"/>
      <c r="F217" s="15"/>
    </row>
    <row r="218">
      <c r="B218" s="373"/>
      <c r="C218" s="377"/>
      <c r="D218" s="377"/>
      <c r="E218" s="476"/>
      <c r="F218" s="15"/>
    </row>
    <row r="219">
      <c r="B219" s="373"/>
      <c r="C219" s="377"/>
      <c r="D219" s="377"/>
      <c r="E219" s="476"/>
      <c r="F219" s="15"/>
    </row>
    <row r="220">
      <c r="B220" s="373"/>
      <c r="C220" s="377"/>
      <c r="D220" s="377"/>
      <c r="E220" s="476"/>
      <c r="F220" s="15"/>
    </row>
    <row r="221">
      <c r="B221" s="373"/>
      <c r="C221" s="377"/>
      <c r="D221" s="377"/>
      <c r="E221" s="476"/>
      <c r="F221" s="15"/>
    </row>
    <row r="222">
      <c r="B222" s="373"/>
      <c r="C222" s="377"/>
      <c r="D222" s="377"/>
      <c r="E222" s="476"/>
      <c r="F222" s="15"/>
    </row>
    <row r="223">
      <c r="B223" s="373"/>
      <c r="C223" s="377"/>
      <c r="D223" s="377"/>
      <c r="E223" s="476"/>
      <c r="F223" s="15"/>
    </row>
    <row r="224">
      <c r="B224" s="373"/>
      <c r="C224" s="377"/>
      <c r="D224" s="377"/>
      <c r="E224" s="476"/>
      <c r="F224" s="15"/>
    </row>
    <row r="225">
      <c r="B225" s="373"/>
      <c r="C225" s="377"/>
      <c r="D225" s="377"/>
      <c r="E225" s="476"/>
      <c r="F225" s="15"/>
    </row>
    <row r="226">
      <c r="B226" s="373"/>
      <c r="C226" s="377"/>
      <c r="D226" s="377"/>
      <c r="E226" s="476"/>
      <c r="F226" s="15"/>
    </row>
    <row r="227">
      <c r="B227" s="373"/>
      <c r="C227" s="377"/>
      <c r="D227" s="377"/>
      <c r="E227" s="476"/>
      <c r="F227" s="15"/>
    </row>
    <row r="228">
      <c r="B228" s="373"/>
      <c r="C228" s="377"/>
      <c r="D228" s="377"/>
      <c r="E228" s="476"/>
      <c r="F228" s="15"/>
    </row>
    <row r="229">
      <c r="B229" s="373"/>
      <c r="C229" s="377"/>
      <c r="D229" s="377"/>
      <c r="E229" s="476"/>
      <c r="F229" s="15"/>
    </row>
    <row r="230">
      <c r="B230" s="373"/>
      <c r="C230" s="377"/>
      <c r="D230" s="377"/>
      <c r="E230" s="476"/>
      <c r="F230" s="15"/>
    </row>
    <row r="231">
      <c r="B231" s="373"/>
      <c r="C231" s="377"/>
      <c r="D231" s="377"/>
      <c r="E231" s="476"/>
      <c r="F231" s="15"/>
    </row>
    <row r="232">
      <c r="B232" s="373"/>
      <c r="C232" s="377"/>
      <c r="D232" s="377"/>
      <c r="E232" s="476"/>
      <c r="F232" s="15"/>
    </row>
    <row r="233">
      <c r="B233" s="373"/>
      <c r="C233" s="377"/>
      <c r="D233" s="377"/>
      <c r="E233" s="476"/>
      <c r="F233" s="15"/>
    </row>
    <row r="234">
      <c r="B234" s="373"/>
      <c r="C234" s="377"/>
      <c r="D234" s="377"/>
      <c r="E234" s="476"/>
      <c r="F234" s="15"/>
    </row>
    <row r="235">
      <c r="B235" s="373"/>
      <c r="C235" s="377"/>
      <c r="D235" s="377"/>
      <c r="E235" s="476"/>
      <c r="F235" s="15"/>
    </row>
    <row r="236">
      <c r="B236" s="373"/>
      <c r="C236" s="377"/>
      <c r="D236" s="377"/>
      <c r="E236" s="476"/>
      <c r="F236" s="15"/>
    </row>
    <row r="237">
      <c r="B237" s="373"/>
      <c r="C237" s="377"/>
      <c r="D237" s="377"/>
      <c r="E237" s="476"/>
      <c r="F237" s="15"/>
    </row>
    <row r="238">
      <c r="B238" s="373"/>
      <c r="C238" s="377"/>
      <c r="D238" s="377"/>
      <c r="E238" s="476"/>
      <c r="F238" s="15"/>
    </row>
    <row r="239">
      <c r="B239" s="373"/>
      <c r="C239" s="377"/>
      <c r="D239" s="377"/>
      <c r="E239" s="476"/>
      <c r="F239" s="15"/>
    </row>
    <row r="240">
      <c r="B240" s="373"/>
      <c r="C240" s="377"/>
      <c r="D240" s="377"/>
      <c r="E240" s="476"/>
      <c r="F240" s="15"/>
    </row>
    <row r="241">
      <c r="B241" s="373"/>
      <c r="C241" s="377"/>
      <c r="D241" s="377"/>
      <c r="E241" s="476"/>
      <c r="F241" s="15"/>
    </row>
    <row r="242">
      <c r="B242" s="373"/>
      <c r="C242" s="377"/>
      <c r="D242" s="377"/>
      <c r="E242" s="476"/>
      <c r="F242" s="15"/>
    </row>
    <row r="243">
      <c r="B243" s="373"/>
      <c r="C243" s="377"/>
      <c r="D243" s="377"/>
      <c r="E243" s="476"/>
      <c r="F243" s="15"/>
    </row>
    <row r="244">
      <c r="B244" s="373"/>
      <c r="C244" s="377"/>
      <c r="D244" s="377"/>
      <c r="E244" s="476"/>
      <c r="F244" s="15"/>
    </row>
    <row r="245">
      <c r="B245" s="373"/>
      <c r="C245" s="377"/>
      <c r="D245" s="377"/>
      <c r="E245" s="476"/>
      <c r="F245" s="15"/>
    </row>
    <row r="246">
      <c r="B246" s="373"/>
      <c r="C246" s="377"/>
      <c r="D246" s="377"/>
      <c r="E246" s="476"/>
      <c r="F246" s="15"/>
    </row>
    <row r="247">
      <c r="B247" s="373"/>
      <c r="C247" s="377"/>
      <c r="D247" s="377"/>
      <c r="E247" s="476"/>
      <c r="F247" s="15"/>
    </row>
    <row r="248">
      <c r="B248" s="373"/>
      <c r="C248" s="377"/>
      <c r="D248" s="377"/>
      <c r="E248" s="476"/>
      <c r="F248" s="15"/>
    </row>
    <row r="249">
      <c r="B249" s="373"/>
      <c r="C249" s="377"/>
      <c r="D249" s="377"/>
      <c r="E249" s="476"/>
      <c r="F249" s="15"/>
    </row>
    <row r="250">
      <c r="B250" s="373"/>
      <c r="C250" s="377"/>
      <c r="D250" s="377"/>
      <c r="E250" s="476"/>
      <c r="F250" s="15"/>
    </row>
    <row r="251">
      <c r="B251" s="373"/>
      <c r="C251" s="377"/>
      <c r="D251" s="377"/>
      <c r="E251" s="476"/>
      <c r="F251" s="15"/>
    </row>
    <row r="252">
      <c r="B252" s="373"/>
      <c r="C252" s="377"/>
      <c r="D252" s="377"/>
      <c r="E252" s="476"/>
      <c r="F252" s="15"/>
    </row>
    <row r="253">
      <c r="B253" s="373"/>
      <c r="C253" s="377"/>
      <c r="D253" s="377"/>
      <c r="E253" s="476"/>
      <c r="F253" s="15"/>
    </row>
    <row r="254">
      <c r="B254" s="373"/>
      <c r="C254" s="377"/>
      <c r="D254" s="377"/>
      <c r="E254" s="476"/>
      <c r="F254" s="15"/>
    </row>
    <row r="255">
      <c r="B255" s="373"/>
      <c r="C255" s="377"/>
      <c r="D255" s="377"/>
      <c r="E255" s="476"/>
      <c r="F255" s="15"/>
    </row>
    <row r="256">
      <c r="B256" s="373"/>
      <c r="C256" s="377"/>
      <c r="D256" s="377"/>
      <c r="E256" s="476"/>
      <c r="F256" s="15"/>
    </row>
    <row r="257">
      <c r="B257" s="373"/>
      <c r="C257" s="377"/>
      <c r="D257" s="377"/>
      <c r="E257" s="476"/>
      <c r="F257" s="15"/>
    </row>
    <row r="258">
      <c r="B258" s="373"/>
      <c r="C258" s="377"/>
      <c r="D258" s="377"/>
      <c r="E258" s="476"/>
      <c r="F258" s="15"/>
    </row>
    <row r="259">
      <c r="B259" s="373"/>
      <c r="C259" s="377"/>
      <c r="D259" s="377"/>
      <c r="E259" s="476"/>
      <c r="F259" s="15"/>
    </row>
    <row r="260">
      <c r="B260" s="373"/>
      <c r="C260" s="377"/>
      <c r="D260" s="377"/>
      <c r="E260" s="476"/>
      <c r="F260" s="15"/>
    </row>
    <row r="261">
      <c r="B261" s="373"/>
      <c r="C261" s="377"/>
      <c r="D261" s="377"/>
      <c r="E261" s="476"/>
      <c r="F261" s="15"/>
    </row>
    <row r="262">
      <c r="B262" s="373"/>
      <c r="C262" s="377"/>
      <c r="D262" s="377"/>
      <c r="E262" s="476"/>
      <c r="F262" s="15"/>
    </row>
    <row r="263">
      <c r="B263" s="373"/>
      <c r="C263" s="377"/>
      <c r="D263" s="377"/>
      <c r="E263" s="476"/>
      <c r="F263" s="15"/>
    </row>
    <row r="264">
      <c r="B264" s="373"/>
      <c r="C264" s="377"/>
      <c r="D264" s="377"/>
      <c r="E264" s="476"/>
      <c r="F264" s="15"/>
    </row>
    <row r="265">
      <c r="B265" s="373"/>
      <c r="C265" s="377"/>
      <c r="D265" s="377"/>
      <c r="E265" s="476"/>
      <c r="F265" s="15"/>
    </row>
    <row r="266">
      <c r="B266" s="373"/>
      <c r="C266" s="377"/>
      <c r="D266" s="377"/>
      <c r="E266" s="476"/>
      <c r="F266" s="15"/>
    </row>
    <row r="267">
      <c r="B267" s="373"/>
      <c r="C267" s="377"/>
      <c r="D267" s="377"/>
      <c r="E267" s="476"/>
      <c r="F267" s="15"/>
    </row>
    <row r="268">
      <c r="B268" s="373"/>
      <c r="C268" s="377"/>
      <c r="D268" s="377"/>
      <c r="E268" s="476"/>
      <c r="F268" s="15"/>
    </row>
    <row r="269">
      <c r="B269" s="373"/>
      <c r="C269" s="377"/>
      <c r="D269" s="377"/>
      <c r="E269" s="476"/>
      <c r="F269" s="15"/>
    </row>
    <row r="270">
      <c r="B270" s="373"/>
      <c r="C270" s="377"/>
      <c r="D270" s="377"/>
      <c r="E270" s="476"/>
      <c r="F270" s="15"/>
    </row>
    <row r="271">
      <c r="B271" s="373"/>
      <c r="C271" s="377"/>
      <c r="D271" s="377"/>
      <c r="E271" s="476"/>
      <c r="F271" s="15"/>
    </row>
    <row r="272">
      <c r="B272" s="373"/>
      <c r="C272" s="377"/>
      <c r="D272" s="377"/>
      <c r="E272" s="476"/>
      <c r="F272" s="15"/>
    </row>
    <row r="273">
      <c r="B273" s="373"/>
      <c r="C273" s="377"/>
      <c r="D273" s="377"/>
      <c r="E273" s="476"/>
      <c r="F273" s="15"/>
    </row>
    <row r="274">
      <c r="B274" s="373"/>
      <c r="C274" s="377"/>
      <c r="D274" s="377"/>
      <c r="E274" s="476"/>
      <c r="F274" s="15"/>
    </row>
    <row r="275">
      <c r="B275" s="373"/>
      <c r="C275" s="377"/>
      <c r="D275" s="377"/>
      <c r="E275" s="476"/>
      <c r="F275" s="15"/>
    </row>
    <row r="276">
      <c r="B276" s="373"/>
      <c r="C276" s="377"/>
      <c r="D276" s="377"/>
      <c r="E276" s="476"/>
      <c r="F276" s="15"/>
    </row>
    <row r="277">
      <c r="B277" s="373"/>
      <c r="C277" s="377"/>
      <c r="D277" s="377"/>
      <c r="E277" s="476"/>
      <c r="F277" s="15"/>
    </row>
    <row r="278">
      <c r="B278" s="373"/>
      <c r="C278" s="377"/>
      <c r="D278" s="377"/>
      <c r="E278" s="476"/>
      <c r="F278" s="15"/>
    </row>
    <row r="279">
      <c r="B279" s="373"/>
      <c r="C279" s="377"/>
      <c r="D279" s="377"/>
      <c r="E279" s="476"/>
      <c r="F279" s="15"/>
    </row>
    <row r="280">
      <c r="B280" s="373"/>
      <c r="C280" s="377"/>
      <c r="D280" s="377"/>
      <c r="E280" s="476"/>
      <c r="F280" s="15"/>
    </row>
    <row r="281">
      <c r="B281" s="373"/>
      <c r="C281" s="377"/>
      <c r="D281" s="377"/>
      <c r="E281" s="476"/>
      <c r="F281" s="15"/>
    </row>
    <row r="282">
      <c r="B282" s="373"/>
      <c r="C282" s="377"/>
      <c r="D282" s="377"/>
      <c r="E282" s="476"/>
      <c r="F282" s="15"/>
    </row>
    <row r="283">
      <c r="B283" s="373"/>
      <c r="C283" s="377"/>
      <c r="D283" s="377"/>
      <c r="E283" s="476"/>
      <c r="F283" s="15"/>
    </row>
    <row r="284">
      <c r="B284" s="373"/>
      <c r="C284" s="377"/>
      <c r="D284" s="377"/>
      <c r="E284" s="476"/>
      <c r="F284" s="15"/>
    </row>
    <row r="285">
      <c r="B285" s="373"/>
      <c r="C285" s="377"/>
      <c r="D285" s="377"/>
      <c r="E285" s="476"/>
      <c r="F285" s="15"/>
    </row>
    <row r="286">
      <c r="B286" s="373"/>
      <c r="C286" s="377"/>
      <c r="D286" s="377"/>
      <c r="E286" s="476"/>
      <c r="F286" s="15"/>
    </row>
    <row r="287">
      <c r="B287" s="373"/>
      <c r="C287" s="377"/>
      <c r="D287" s="377"/>
      <c r="E287" s="476"/>
      <c r="F287" s="15"/>
    </row>
    <row r="288">
      <c r="B288" s="373"/>
      <c r="C288" s="377"/>
      <c r="D288" s="377"/>
      <c r="E288" s="476"/>
      <c r="F288" s="15"/>
    </row>
    <row r="289">
      <c r="B289" s="373"/>
      <c r="C289" s="377"/>
      <c r="D289" s="377"/>
      <c r="E289" s="476"/>
      <c r="F289" s="15"/>
    </row>
    <row r="290">
      <c r="B290" s="373"/>
      <c r="C290" s="377"/>
      <c r="D290" s="377"/>
      <c r="E290" s="476"/>
      <c r="F290" s="15"/>
    </row>
    <row r="291">
      <c r="B291" s="373"/>
      <c r="C291" s="377"/>
      <c r="D291" s="377"/>
      <c r="E291" s="476"/>
      <c r="F291" s="15"/>
    </row>
    <row r="292">
      <c r="B292" s="373"/>
      <c r="C292" s="377"/>
      <c r="D292" s="377"/>
      <c r="E292" s="476"/>
      <c r="F292" s="15"/>
    </row>
    <row r="293">
      <c r="B293" s="373"/>
      <c r="C293" s="377"/>
      <c r="D293" s="377"/>
      <c r="E293" s="476"/>
      <c r="F293" s="15"/>
    </row>
    <row r="294">
      <c r="B294" s="373"/>
      <c r="C294" s="377"/>
      <c r="D294" s="377"/>
      <c r="E294" s="476"/>
      <c r="F294" s="15"/>
    </row>
    <row r="295">
      <c r="B295" s="373"/>
      <c r="C295" s="377"/>
      <c r="D295" s="377"/>
      <c r="E295" s="476"/>
      <c r="F295" s="15"/>
    </row>
    <row r="296">
      <c r="B296" s="373"/>
      <c r="C296" s="377"/>
      <c r="D296" s="377"/>
      <c r="E296" s="476"/>
      <c r="F296" s="15"/>
    </row>
    <row r="297">
      <c r="B297" s="373"/>
      <c r="C297" s="377"/>
      <c r="D297" s="377"/>
      <c r="E297" s="476"/>
      <c r="F297" s="15"/>
    </row>
    <row r="298">
      <c r="B298" s="373"/>
      <c r="C298" s="377"/>
      <c r="D298" s="377"/>
      <c r="E298" s="476"/>
      <c r="F298" s="15"/>
    </row>
    <row r="299">
      <c r="B299" s="373"/>
      <c r="C299" s="377"/>
      <c r="D299" s="377"/>
      <c r="E299" s="476"/>
      <c r="F299" s="15"/>
    </row>
    <row r="300">
      <c r="B300" s="373"/>
      <c r="C300" s="377"/>
      <c r="D300" s="377"/>
      <c r="E300" s="476"/>
      <c r="F300" s="15"/>
    </row>
    <row r="301">
      <c r="B301" s="373"/>
      <c r="C301" s="377"/>
      <c r="D301" s="377"/>
      <c r="E301" s="476"/>
      <c r="F301" s="15"/>
    </row>
    <row r="302">
      <c r="B302" s="373"/>
      <c r="C302" s="377"/>
      <c r="D302" s="377"/>
      <c r="E302" s="476"/>
      <c r="F302" s="15"/>
    </row>
    <row r="303">
      <c r="B303" s="373"/>
      <c r="C303" s="377"/>
      <c r="D303" s="377"/>
      <c r="E303" s="476"/>
      <c r="F303" s="15"/>
    </row>
    <row r="304">
      <c r="B304" s="373"/>
      <c r="C304" s="377"/>
      <c r="D304" s="377"/>
      <c r="E304" s="476"/>
      <c r="F304" s="15"/>
    </row>
    <row r="305">
      <c r="B305" s="373"/>
      <c r="C305" s="377"/>
      <c r="D305" s="377"/>
      <c r="E305" s="476"/>
      <c r="F305" s="15"/>
    </row>
    <row r="306">
      <c r="B306" s="373"/>
      <c r="C306" s="377"/>
      <c r="D306" s="377"/>
      <c r="E306" s="476"/>
      <c r="F306" s="15"/>
    </row>
    <row r="307">
      <c r="B307" s="373"/>
      <c r="C307" s="377"/>
      <c r="D307" s="377"/>
      <c r="E307" s="476"/>
      <c r="F307" s="15"/>
    </row>
    <row r="308">
      <c r="B308" s="373"/>
      <c r="C308" s="377"/>
      <c r="D308" s="377"/>
      <c r="E308" s="476"/>
      <c r="F308" s="15"/>
    </row>
    <row r="309">
      <c r="B309" s="373"/>
      <c r="C309" s="377"/>
      <c r="D309" s="377"/>
      <c r="E309" s="476"/>
      <c r="F309" s="15"/>
    </row>
    <row r="310">
      <c r="B310" s="373"/>
      <c r="C310" s="377"/>
      <c r="D310" s="377"/>
      <c r="E310" s="476"/>
      <c r="F310" s="15"/>
    </row>
    <row r="311">
      <c r="B311" s="373"/>
      <c r="C311" s="377"/>
      <c r="D311" s="377"/>
      <c r="E311" s="476"/>
      <c r="F311" s="15"/>
    </row>
    <row r="312">
      <c r="B312" s="373"/>
      <c r="C312" s="377"/>
      <c r="D312" s="377"/>
      <c r="E312" s="476"/>
      <c r="F312" s="15"/>
    </row>
    <row r="313">
      <c r="B313" s="373"/>
      <c r="C313" s="377"/>
      <c r="D313" s="377"/>
      <c r="E313" s="476"/>
      <c r="F313" s="15"/>
    </row>
    <row r="314">
      <c r="B314" s="373"/>
      <c r="C314" s="377"/>
      <c r="D314" s="377"/>
      <c r="E314" s="476"/>
      <c r="F314" s="15"/>
    </row>
    <row r="315">
      <c r="B315" s="373"/>
      <c r="C315" s="377"/>
      <c r="D315" s="377"/>
      <c r="E315" s="476"/>
      <c r="F315" s="15"/>
    </row>
    <row r="316">
      <c r="B316" s="373"/>
      <c r="C316" s="377"/>
      <c r="D316" s="377"/>
      <c r="E316" s="476"/>
      <c r="F316" s="15"/>
    </row>
    <row r="317">
      <c r="B317" s="373"/>
      <c r="C317" s="377"/>
      <c r="D317" s="377"/>
      <c r="E317" s="476"/>
      <c r="F317" s="15"/>
    </row>
    <row r="318">
      <c r="B318" s="373"/>
      <c r="C318" s="377"/>
      <c r="D318" s="377"/>
      <c r="E318" s="476"/>
      <c r="F318" s="15"/>
    </row>
    <row r="319">
      <c r="B319" s="373"/>
      <c r="C319" s="377"/>
      <c r="D319" s="377"/>
      <c r="E319" s="476"/>
      <c r="F319" s="15"/>
    </row>
    <row r="320">
      <c r="B320" s="373"/>
      <c r="C320" s="377"/>
      <c r="D320" s="377"/>
      <c r="E320" s="476"/>
      <c r="F320" s="15"/>
    </row>
    <row r="321">
      <c r="B321" s="373"/>
      <c r="C321" s="377"/>
      <c r="D321" s="377"/>
      <c r="E321" s="476"/>
      <c r="F321" s="15"/>
    </row>
    <row r="322">
      <c r="B322" s="373"/>
      <c r="C322" s="377"/>
      <c r="D322" s="377"/>
      <c r="E322" s="476"/>
      <c r="F322" s="15"/>
    </row>
    <row r="323">
      <c r="B323" s="373"/>
      <c r="C323" s="377"/>
      <c r="D323" s="377"/>
      <c r="E323" s="476"/>
      <c r="F323" s="15"/>
    </row>
    <row r="324">
      <c r="B324" s="373"/>
      <c r="C324" s="377"/>
      <c r="D324" s="377"/>
      <c r="E324" s="476"/>
      <c r="F324" s="15"/>
    </row>
    <row r="325">
      <c r="B325" s="373"/>
      <c r="C325" s="377"/>
      <c r="D325" s="377"/>
      <c r="E325" s="476"/>
      <c r="F325" s="15"/>
    </row>
    <row r="326">
      <c r="B326" s="373"/>
      <c r="C326" s="377"/>
      <c r="D326" s="377"/>
      <c r="E326" s="476"/>
      <c r="F326" s="15"/>
    </row>
    <row r="327">
      <c r="B327" s="373"/>
      <c r="C327" s="377"/>
      <c r="D327" s="377"/>
      <c r="E327" s="476"/>
      <c r="F327" s="15"/>
    </row>
    <row r="328">
      <c r="B328" s="373"/>
      <c r="C328" s="377"/>
      <c r="D328" s="377"/>
      <c r="E328" s="476"/>
      <c r="F328" s="15"/>
    </row>
    <row r="329">
      <c r="B329" s="373"/>
      <c r="C329" s="377"/>
      <c r="D329" s="377"/>
      <c r="E329" s="476"/>
      <c r="F329" s="15"/>
    </row>
    <row r="330">
      <c r="B330" s="373"/>
      <c r="C330" s="377"/>
      <c r="D330" s="377"/>
      <c r="E330" s="476"/>
      <c r="F330" s="15"/>
    </row>
    <row r="331">
      <c r="B331" s="373"/>
      <c r="C331" s="377"/>
      <c r="D331" s="377"/>
      <c r="E331" s="476"/>
      <c r="F331" s="15"/>
    </row>
    <row r="332">
      <c r="B332" s="373"/>
      <c r="C332" s="377"/>
      <c r="D332" s="377"/>
      <c r="E332" s="476"/>
      <c r="F332" s="15"/>
    </row>
    <row r="333">
      <c r="B333" s="373"/>
      <c r="C333" s="377"/>
      <c r="D333" s="377"/>
      <c r="E333" s="476"/>
      <c r="F333" s="15"/>
    </row>
    <row r="334">
      <c r="B334" s="373"/>
      <c r="C334" s="377"/>
      <c r="D334" s="377"/>
      <c r="E334" s="476"/>
      <c r="F334" s="15"/>
    </row>
    <row r="335">
      <c r="B335" s="373"/>
      <c r="C335" s="377"/>
      <c r="D335" s="377"/>
      <c r="E335" s="476"/>
      <c r="F335" s="15"/>
    </row>
    <row r="336">
      <c r="B336" s="373"/>
      <c r="C336" s="377"/>
      <c r="D336" s="377"/>
      <c r="E336" s="476"/>
      <c r="F336" s="15"/>
    </row>
    <row r="337">
      <c r="B337" s="373"/>
      <c r="C337" s="377"/>
      <c r="D337" s="377"/>
      <c r="E337" s="476"/>
      <c r="F337" s="15"/>
    </row>
    <row r="338">
      <c r="B338" s="373"/>
      <c r="C338" s="377"/>
      <c r="D338" s="377"/>
      <c r="E338" s="476"/>
      <c r="F338" s="15"/>
    </row>
    <row r="339">
      <c r="B339" s="373"/>
      <c r="C339" s="377"/>
      <c r="D339" s="377"/>
      <c r="E339" s="476"/>
      <c r="F339" s="15"/>
    </row>
    <row r="340">
      <c r="B340" s="373"/>
      <c r="C340" s="377"/>
      <c r="D340" s="377"/>
      <c r="E340" s="476"/>
      <c r="F340" s="15"/>
    </row>
    <row r="341">
      <c r="B341" s="373"/>
      <c r="C341" s="377"/>
      <c r="D341" s="377"/>
      <c r="E341" s="476"/>
      <c r="F341" s="15"/>
    </row>
    <row r="342">
      <c r="B342" s="373"/>
      <c r="C342" s="377"/>
      <c r="D342" s="377"/>
      <c r="E342" s="476"/>
      <c r="F342" s="15"/>
    </row>
    <row r="343">
      <c r="B343" s="373"/>
      <c r="C343" s="377"/>
      <c r="D343" s="377"/>
      <c r="E343" s="476"/>
      <c r="F343" s="15"/>
    </row>
    <row r="344">
      <c r="B344" s="373"/>
      <c r="C344" s="377"/>
      <c r="D344" s="377"/>
      <c r="E344" s="476"/>
      <c r="F344" s="15"/>
    </row>
    <row r="345">
      <c r="B345" s="373"/>
      <c r="C345" s="377"/>
      <c r="D345" s="377"/>
      <c r="E345" s="476"/>
      <c r="F345" s="15"/>
    </row>
    <row r="346">
      <c r="B346" s="373"/>
      <c r="C346" s="377"/>
      <c r="D346" s="377"/>
      <c r="E346" s="476"/>
      <c r="F346" s="15"/>
    </row>
    <row r="347">
      <c r="B347" s="373"/>
      <c r="C347" s="377"/>
      <c r="D347" s="377"/>
      <c r="E347" s="476"/>
      <c r="F347" s="15"/>
    </row>
    <row r="348">
      <c r="B348" s="373"/>
      <c r="C348" s="377"/>
      <c r="D348" s="377"/>
      <c r="E348" s="476"/>
      <c r="F348" s="15"/>
    </row>
    <row r="349">
      <c r="B349" s="373"/>
      <c r="C349" s="377"/>
      <c r="D349" s="377"/>
      <c r="E349" s="476"/>
      <c r="F349" s="15"/>
    </row>
    <row r="350">
      <c r="B350" s="373"/>
      <c r="C350" s="377"/>
      <c r="D350" s="377"/>
      <c r="E350" s="476"/>
      <c r="F350" s="15"/>
    </row>
    <row r="351">
      <c r="B351" s="373"/>
      <c r="C351" s="377"/>
      <c r="D351" s="377"/>
      <c r="E351" s="476"/>
      <c r="F351" s="15"/>
    </row>
    <row r="352">
      <c r="B352" s="373"/>
      <c r="C352" s="377"/>
      <c r="D352" s="377"/>
      <c r="E352" s="476"/>
      <c r="F352" s="15"/>
    </row>
    <row r="353">
      <c r="B353" s="373"/>
      <c r="C353" s="377"/>
      <c r="D353" s="377"/>
      <c r="E353" s="476"/>
      <c r="F353" s="15"/>
    </row>
    <row r="354">
      <c r="B354" s="373"/>
      <c r="C354" s="377"/>
      <c r="D354" s="377"/>
      <c r="E354" s="476"/>
      <c r="F354" s="15"/>
    </row>
    <row r="355">
      <c r="B355" s="373"/>
      <c r="C355" s="377"/>
      <c r="D355" s="377"/>
      <c r="E355" s="476"/>
      <c r="F355" s="15"/>
    </row>
    <row r="356">
      <c r="B356" s="373"/>
      <c r="C356" s="377"/>
      <c r="D356" s="377"/>
      <c r="E356" s="476"/>
      <c r="F356" s="15"/>
    </row>
    <row r="357">
      <c r="B357" s="373"/>
      <c r="C357" s="377"/>
      <c r="D357" s="377"/>
      <c r="E357" s="476"/>
      <c r="F357" s="15"/>
    </row>
    <row r="358">
      <c r="B358" s="373"/>
      <c r="C358" s="377"/>
      <c r="D358" s="377"/>
      <c r="E358" s="476"/>
      <c r="F358" s="15"/>
    </row>
    <row r="359">
      <c r="B359" s="373"/>
      <c r="C359" s="377"/>
      <c r="D359" s="377"/>
      <c r="E359" s="476"/>
      <c r="F359" s="15"/>
    </row>
    <row r="360">
      <c r="B360" s="373"/>
      <c r="C360" s="377"/>
      <c r="D360" s="377"/>
      <c r="E360" s="476"/>
      <c r="F360" s="15"/>
    </row>
    <row r="361">
      <c r="B361" s="373"/>
      <c r="C361" s="377"/>
      <c r="D361" s="377"/>
      <c r="E361" s="476"/>
      <c r="F361" s="15"/>
    </row>
    <row r="362">
      <c r="B362" s="373"/>
      <c r="C362" s="377"/>
      <c r="D362" s="377"/>
      <c r="E362" s="476"/>
      <c r="F362" s="15"/>
    </row>
    <row r="363">
      <c r="B363" s="373"/>
      <c r="C363" s="377"/>
      <c r="D363" s="377"/>
      <c r="E363" s="476"/>
      <c r="F363" s="15"/>
    </row>
    <row r="364">
      <c r="B364" s="373"/>
      <c r="C364" s="377"/>
      <c r="D364" s="377"/>
      <c r="E364" s="476"/>
      <c r="F364" s="15"/>
    </row>
    <row r="365">
      <c r="B365" s="373"/>
      <c r="C365" s="377"/>
      <c r="D365" s="377"/>
      <c r="E365" s="476"/>
      <c r="F365" s="15"/>
    </row>
    <row r="366">
      <c r="B366" s="373"/>
      <c r="C366" s="377"/>
      <c r="D366" s="377"/>
      <c r="E366" s="476"/>
      <c r="F366" s="15"/>
    </row>
    <row r="367">
      <c r="B367" s="373"/>
      <c r="C367" s="377"/>
      <c r="D367" s="377"/>
      <c r="E367" s="476"/>
      <c r="F367" s="15"/>
    </row>
    <row r="368">
      <c r="B368" s="373"/>
      <c r="C368" s="377"/>
      <c r="D368" s="377"/>
      <c r="E368" s="476"/>
      <c r="F368" s="15"/>
    </row>
    <row r="369">
      <c r="B369" s="373"/>
      <c r="C369" s="377"/>
      <c r="D369" s="377"/>
      <c r="E369" s="476"/>
      <c r="F369" s="15"/>
    </row>
    <row r="370">
      <c r="B370" s="373"/>
      <c r="C370" s="377"/>
      <c r="D370" s="377"/>
      <c r="E370" s="476"/>
      <c r="F370" s="15"/>
    </row>
    <row r="371">
      <c r="B371" s="373"/>
      <c r="C371" s="377"/>
      <c r="D371" s="377"/>
      <c r="E371" s="476"/>
      <c r="F371" s="15"/>
    </row>
    <row r="372">
      <c r="B372" s="373"/>
      <c r="C372" s="377"/>
      <c r="D372" s="377"/>
      <c r="E372" s="476"/>
      <c r="F372" s="15"/>
    </row>
    <row r="373">
      <c r="B373" s="373"/>
      <c r="C373" s="377"/>
      <c r="D373" s="377"/>
      <c r="E373" s="476"/>
      <c r="F373" s="15"/>
    </row>
    <row r="374">
      <c r="B374" s="373"/>
      <c r="C374" s="377"/>
      <c r="D374" s="377"/>
      <c r="E374" s="476"/>
      <c r="F374" s="15"/>
    </row>
    <row r="375">
      <c r="B375" s="373"/>
      <c r="C375" s="377"/>
      <c r="D375" s="377"/>
      <c r="E375" s="476"/>
      <c r="F375" s="15"/>
    </row>
    <row r="376">
      <c r="B376" s="373"/>
      <c r="C376" s="377"/>
      <c r="D376" s="377"/>
      <c r="E376" s="476"/>
      <c r="F376" s="15"/>
    </row>
    <row r="377">
      <c r="B377" s="373"/>
      <c r="C377" s="377"/>
      <c r="D377" s="377"/>
      <c r="E377" s="476"/>
      <c r="F377" s="15"/>
    </row>
    <row r="378">
      <c r="B378" s="373"/>
      <c r="C378" s="377"/>
      <c r="D378" s="377"/>
      <c r="E378" s="476"/>
      <c r="F378" s="15"/>
    </row>
    <row r="379">
      <c r="B379" s="373"/>
      <c r="C379" s="377"/>
      <c r="D379" s="377"/>
      <c r="E379" s="476"/>
      <c r="F379" s="15"/>
    </row>
    <row r="380">
      <c r="B380" s="373"/>
      <c r="C380" s="377"/>
      <c r="D380" s="377"/>
      <c r="E380" s="476"/>
      <c r="F380" s="15"/>
    </row>
    <row r="381">
      <c r="B381" s="373"/>
      <c r="C381" s="377"/>
      <c r="D381" s="377"/>
      <c r="E381" s="476"/>
      <c r="F381" s="15"/>
    </row>
    <row r="382">
      <c r="B382" s="373"/>
      <c r="C382" s="377"/>
      <c r="D382" s="377"/>
      <c r="E382" s="476"/>
      <c r="F382" s="15"/>
    </row>
    <row r="383">
      <c r="B383" s="373"/>
      <c r="C383" s="377"/>
      <c r="D383" s="377"/>
      <c r="E383" s="476"/>
      <c r="F383" s="15"/>
    </row>
    <row r="384">
      <c r="B384" s="373"/>
      <c r="C384" s="377"/>
      <c r="D384" s="377"/>
      <c r="E384" s="476"/>
      <c r="F384" s="15"/>
    </row>
    <row r="385">
      <c r="B385" s="373"/>
      <c r="C385" s="377"/>
      <c r="D385" s="377"/>
      <c r="E385" s="476"/>
      <c r="F385" s="15"/>
    </row>
    <row r="386">
      <c r="B386" s="373"/>
      <c r="C386" s="377"/>
      <c r="D386" s="377"/>
      <c r="E386" s="476"/>
      <c r="F386" s="15"/>
    </row>
    <row r="387">
      <c r="B387" s="373"/>
      <c r="C387" s="377"/>
      <c r="D387" s="377"/>
      <c r="E387" s="476"/>
      <c r="F387" s="15"/>
    </row>
    <row r="388">
      <c r="B388" s="373"/>
      <c r="C388" s="377"/>
      <c r="D388" s="377"/>
      <c r="E388" s="476"/>
      <c r="F388" s="15"/>
    </row>
    <row r="389">
      <c r="B389" s="373"/>
      <c r="C389" s="377"/>
      <c r="D389" s="377"/>
      <c r="E389" s="476"/>
      <c r="F389" s="15"/>
    </row>
    <row r="390">
      <c r="B390" s="373"/>
      <c r="C390" s="377"/>
      <c r="D390" s="377"/>
      <c r="E390" s="476"/>
      <c r="F390" s="15"/>
    </row>
    <row r="391">
      <c r="B391" s="373"/>
      <c r="C391" s="377"/>
      <c r="D391" s="377"/>
      <c r="E391" s="476"/>
      <c r="F391" s="15"/>
    </row>
    <row r="392">
      <c r="B392" s="373"/>
      <c r="C392" s="377"/>
      <c r="D392" s="377"/>
      <c r="E392" s="476"/>
      <c r="F392" s="15"/>
    </row>
    <row r="393">
      <c r="B393" s="373"/>
      <c r="C393" s="377"/>
      <c r="D393" s="377"/>
      <c r="E393" s="476"/>
      <c r="F393" s="15"/>
    </row>
    <row r="394">
      <c r="B394" s="373"/>
      <c r="C394" s="377"/>
      <c r="D394" s="377"/>
      <c r="E394" s="476"/>
      <c r="F394" s="15"/>
    </row>
    <row r="395">
      <c r="B395" s="373"/>
      <c r="C395" s="377"/>
      <c r="D395" s="377"/>
      <c r="E395" s="476"/>
      <c r="F395" s="15"/>
    </row>
    <row r="396">
      <c r="B396" s="373"/>
      <c r="C396" s="377"/>
      <c r="D396" s="377"/>
      <c r="E396" s="476"/>
      <c r="F396" s="15"/>
    </row>
    <row r="397">
      <c r="B397" s="373"/>
      <c r="C397" s="377"/>
      <c r="D397" s="377"/>
      <c r="E397" s="476"/>
      <c r="F397" s="15"/>
    </row>
    <row r="398">
      <c r="B398" s="373"/>
      <c r="C398" s="377"/>
      <c r="D398" s="377"/>
      <c r="E398" s="476"/>
      <c r="F398" s="15"/>
    </row>
    <row r="399">
      <c r="B399" s="373"/>
      <c r="C399" s="377"/>
      <c r="D399" s="377"/>
      <c r="E399" s="476"/>
      <c r="F399" s="15"/>
    </row>
    <row r="400">
      <c r="B400" s="373"/>
      <c r="C400" s="377"/>
      <c r="D400" s="377"/>
      <c r="E400" s="476"/>
      <c r="F400" s="15"/>
    </row>
    <row r="401">
      <c r="B401" s="373"/>
      <c r="C401" s="377"/>
      <c r="D401" s="377"/>
      <c r="E401" s="476"/>
      <c r="F401" s="15"/>
    </row>
    <row r="402">
      <c r="B402" s="373"/>
      <c r="C402" s="377"/>
      <c r="D402" s="377"/>
      <c r="E402" s="476"/>
      <c r="F402" s="15"/>
    </row>
    <row r="403">
      <c r="B403" s="373"/>
      <c r="C403" s="377"/>
      <c r="D403" s="377"/>
      <c r="E403" s="476"/>
      <c r="F403" s="15"/>
    </row>
    <row r="404">
      <c r="B404" s="373"/>
      <c r="C404" s="377"/>
      <c r="D404" s="377"/>
      <c r="E404" s="476"/>
      <c r="F404" s="15"/>
    </row>
    <row r="405">
      <c r="B405" s="373"/>
      <c r="C405" s="377"/>
      <c r="D405" s="377"/>
      <c r="E405" s="476"/>
      <c r="F405" s="15"/>
    </row>
    <row r="406">
      <c r="B406" s="373"/>
      <c r="C406" s="377"/>
      <c r="D406" s="377"/>
      <c r="E406" s="476"/>
      <c r="F406" s="15"/>
    </row>
    <row r="407">
      <c r="B407" s="373"/>
      <c r="C407" s="377"/>
      <c r="D407" s="377"/>
      <c r="E407" s="476"/>
      <c r="F407" s="15"/>
    </row>
    <row r="408">
      <c r="B408" s="373"/>
      <c r="C408" s="377"/>
      <c r="D408" s="377"/>
      <c r="E408" s="476"/>
      <c r="F408" s="15"/>
    </row>
    <row r="409">
      <c r="B409" s="373"/>
      <c r="C409" s="377"/>
      <c r="D409" s="377"/>
      <c r="E409" s="476"/>
      <c r="F409" s="15"/>
    </row>
    <row r="410">
      <c r="B410" s="373"/>
      <c r="C410" s="377"/>
      <c r="D410" s="377"/>
      <c r="E410" s="476"/>
      <c r="F410" s="15"/>
    </row>
    <row r="411">
      <c r="B411" s="373"/>
      <c r="C411" s="377"/>
      <c r="D411" s="377"/>
      <c r="E411" s="476"/>
      <c r="F411" s="15"/>
    </row>
    <row r="412">
      <c r="B412" s="373"/>
      <c r="C412" s="377"/>
      <c r="D412" s="377"/>
      <c r="E412" s="476"/>
      <c r="F412" s="15"/>
    </row>
    <row r="413">
      <c r="B413" s="373"/>
      <c r="C413" s="377"/>
      <c r="D413" s="377"/>
      <c r="E413" s="476"/>
      <c r="F413" s="15"/>
    </row>
    <row r="414">
      <c r="B414" s="373"/>
      <c r="C414" s="377"/>
      <c r="D414" s="377"/>
      <c r="E414" s="476"/>
      <c r="F414" s="15"/>
    </row>
    <row r="415">
      <c r="B415" s="373"/>
      <c r="C415" s="377"/>
      <c r="D415" s="377"/>
      <c r="E415" s="476"/>
      <c r="F415" s="15"/>
    </row>
    <row r="416">
      <c r="B416" s="373"/>
      <c r="C416" s="377"/>
      <c r="D416" s="377"/>
      <c r="E416" s="476"/>
      <c r="F416" s="15"/>
    </row>
    <row r="417">
      <c r="B417" s="373"/>
      <c r="C417" s="377"/>
      <c r="D417" s="377"/>
      <c r="E417" s="476"/>
      <c r="F417" s="15"/>
    </row>
    <row r="418">
      <c r="B418" s="373"/>
      <c r="C418" s="377"/>
      <c r="D418" s="377"/>
      <c r="E418" s="476"/>
      <c r="F418" s="15"/>
    </row>
    <row r="419">
      <c r="B419" s="373"/>
      <c r="C419" s="377"/>
      <c r="D419" s="377"/>
      <c r="E419" s="476"/>
      <c r="F419" s="15"/>
    </row>
    <row r="420">
      <c r="B420" s="373"/>
      <c r="C420" s="377"/>
      <c r="D420" s="377"/>
      <c r="E420" s="476"/>
      <c r="F420" s="15"/>
    </row>
    <row r="421">
      <c r="B421" s="373"/>
      <c r="C421" s="377"/>
      <c r="D421" s="377"/>
      <c r="E421" s="476"/>
      <c r="F421" s="15"/>
    </row>
    <row r="422">
      <c r="B422" s="373"/>
      <c r="C422" s="377"/>
      <c r="D422" s="377"/>
      <c r="E422" s="476"/>
      <c r="F422" s="15"/>
    </row>
    <row r="423">
      <c r="B423" s="373"/>
      <c r="C423" s="377"/>
      <c r="D423" s="377"/>
      <c r="E423" s="476"/>
      <c r="F423" s="15"/>
    </row>
    <row r="424">
      <c r="B424" s="373"/>
      <c r="C424" s="377"/>
      <c r="D424" s="377"/>
      <c r="E424" s="476"/>
      <c r="F424" s="15"/>
    </row>
    <row r="425">
      <c r="B425" s="373"/>
      <c r="C425" s="377"/>
      <c r="D425" s="377"/>
      <c r="E425" s="476"/>
      <c r="F425" s="15"/>
    </row>
    <row r="426">
      <c r="B426" s="373"/>
      <c r="C426" s="377"/>
      <c r="D426" s="377"/>
      <c r="E426" s="476"/>
      <c r="F426" s="15"/>
    </row>
    <row r="427">
      <c r="B427" s="373"/>
      <c r="C427" s="377"/>
      <c r="D427" s="377"/>
      <c r="E427" s="476"/>
      <c r="F427" s="15"/>
    </row>
    <row r="428">
      <c r="B428" s="373"/>
      <c r="C428" s="377"/>
      <c r="D428" s="377"/>
      <c r="E428" s="476"/>
      <c r="F428" s="15"/>
    </row>
    <row r="429">
      <c r="B429" s="373"/>
      <c r="C429" s="377"/>
      <c r="D429" s="377"/>
      <c r="E429" s="476"/>
      <c r="F429" s="15"/>
    </row>
    <row r="430">
      <c r="B430" s="373"/>
      <c r="C430" s="377"/>
      <c r="D430" s="377"/>
      <c r="E430" s="476"/>
      <c r="F430" s="15"/>
    </row>
    <row r="431">
      <c r="B431" s="373"/>
      <c r="C431" s="377"/>
      <c r="D431" s="377"/>
      <c r="E431" s="476"/>
      <c r="F431" s="15"/>
    </row>
    <row r="432">
      <c r="B432" s="373"/>
      <c r="C432" s="377"/>
      <c r="D432" s="377"/>
      <c r="E432" s="476"/>
      <c r="F432" s="15"/>
    </row>
    <row r="433">
      <c r="B433" s="373"/>
      <c r="C433" s="377"/>
      <c r="D433" s="377"/>
      <c r="E433" s="476"/>
      <c r="F433" s="15"/>
    </row>
    <row r="434">
      <c r="B434" s="373"/>
      <c r="C434" s="377"/>
      <c r="D434" s="377"/>
      <c r="E434" s="476"/>
      <c r="F434" s="15"/>
    </row>
    <row r="435">
      <c r="B435" s="373"/>
      <c r="C435" s="377"/>
      <c r="D435" s="377"/>
      <c r="E435" s="476"/>
      <c r="F435" s="15"/>
    </row>
    <row r="436">
      <c r="B436" s="373"/>
      <c r="C436" s="377"/>
      <c r="D436" s="377"/>
      <c r="E436" s="476"/>
      <c r="F436" s="15"/>
    </row>
    <row r="437">
      <c r="B437" s="373"/>
      <c r="C437" s="377"/>
      <c r="D437" s="377"/>
      <c r="E437" s="476"/>
      <c r="F437" s="15"/>
    </row>
    <row r="438">
      <c r="B438" s="373"/>
      <c r="C438" s="377"/>
      <c r="D438" s="377"/>
      <c r="E438" s="476"/>
      <c r="F438" s="15"/>
    </row>
    <row r="439">
      <c r="B439" s="373"/>
      <c r="C439" s="377"/>
      <c r="D439" s="377"/>
      <c r="E439" s="476"/>
      <c r="F439" s="15"/>
    </row>
    <row r="440">
      <c r="B440" s="373"/>
      <c r="C440" s="377"/>
      <c r="D440" s="377"/>
      <c r="E440" s="476"/>
      <c r="F440" s="15"/>
    </row>
    <row r="441">
      <c r="B441" s="373"/>
      <c r="C441" s="377"/>
      <c r="D441" s="377"/>
      <c r="E441" s="476"/>
      <c r="F441" s="15"/>
    </row>
    <row r="442">
      <c r="B442" s="373"/>
      <c r="C442" s="377"/>
      <c r="D442" s="377"/>
      <c r="E442" s="476"/>
      <c r="F442" s="15"/>
    </row>
    <row r="443">
      <c r="B443" s="373"/>
      <c r="C443" s="377"/>
      <c r="D443" s="377"/>
      <c r="E443" s="476"/>
      <c r="F443" s="15"/>
    </row>
    <row r="444">
      <c r="B444" s="373"/>
      <c r="C444" s="377"/>
      <c r="D444" s="377"/>
      <c r="E444" s="476"/>
      <c r="F444" s="15"/>
    </row>
    <row r="445">
      <c r="B445" s="373"/>
      <c r="C445" s="377"/>
      <c r="D445" s="377"/>
      <c r="E445" s="476"/>
      <c r="F445" s="15"/>
    </row>
    <row r="446">
      <c r="B446" s="373"/>
      <c r="C446" s="377"/>
      <c r="D446" s="377"/>
      <c r="E446" s="476"/>
      <c r="F446" s="15"/>
    </row>
    <row r="447">
      <c r="B447" s="373"/>
      <c r="C447" s="377"/>
      <c r="D447" s="377"/>
      <c r="E447" s="476"/>
      <c r="F447" s="15"/>
    </row>
    <row r="448">
      <c r="B448" s="373"/>
      <c r="C448" s="377"/>
      <c r="D448" s="377"/>
      <c r="E448" s="476"/>
      <c r="F448" s="15"/>
    </row>
    <row r="449">
      <c r="B449" s="373"/>
      <c r="C449" s="377"/>
      <c r="D449" s="377"/>
      <c r="E449" s="476"/>
      <c r="F449" s="15"/>
    </row>
    <row r="450">
      <c r="B450" s="373"/>
      <c r="C450" s="377"/>
      <c r="D450" s="377"/>
      <c r="E450" s="476"/>
      <c r="F450" s="15"/>
    </row>
    <row r="451">
      <c r="B451" s="373"/>
      <c r="C451" s="377"/>
      <c r="D451" s="377"/>
      <c r="E451" s="476"/>
      <c r="F451" s="15"/>
    </row>
    <row r="452">
      <c r="B452" s="373"/>
      <c r="C452" s="377"/>
      <c r="D452" s="377"/>
      <c r="E452" s="476"/>
      <c r="F452" s="15"/>
    </row>
    <row r="453">
      <c r="B453" s="373"/>
      <c r="C453" s="377"/>
      <c r="D453" s="377"/>
      <c r="E453" s="476"/>
      <c r="F453" s="15"/>
    </row>
    <row r="454">
      <c r="B454" s="373"/>
      <c r="C454" s="377"/>
      <c r="D454" s="377"/>
      <c r="E454" s="476"/>
      <c r="F454" s="15"/>
    </row>
    <row r="455">
      <c r="B455" s="373"/>
      <c r="C455" s="377"/>
      <c r="D455" s="377"/>
      <c r="E455" s="476"/>
      <c r="F455" s="15"/>
    </row>
    <row r="456">
      <c r="B456" s="373"/>
      <c r="C456" s="377"/>
      <c r="D456" s="377"/>
      <c r="E456" s="476"/>
      <c r="F456" s="15"/>
    </row>
    <row r="457">
      <c r="B457" s="373"/>
      <c r="C457" s="377"/>
      <c r="D457" s="377"/>
      <c r="E457" s="476"/>
      <c r="F457" s="15"/>
    </row>
    <row r="458">
      <c r="B458" s="373"/>
      <c r="C458" s="377"/>
      <c r="D458" s="377"/>
      <c r="E458" s="476"/>
      <c r="F458" s="15"/>
    </row>
    <row r="459">
      <c r="B459" s="373"/>
      <c r="C459" s="377"/>
      <c r="D459" s="377"/>
      <c r="E459" s="476"/>
      <c r="F459" s="15"/>
    </row>
    <row r="460">
      <c r="B460" s="373"/>
      <c r="C460" s="377"/>
      <c r="D460" s="377"/>
      <c r="E460" s="476"/>
      <c r="F460" s="15"/>
    </row>
    <row r="461">
      <c r="B461" s="373"/>
      <c r="C461" s="377"/>
      <c r="D461" s="377"/>
      <c r="E461" s="476"/>
      <c r="F461" s="15"/>
    </row>
    <row r="462">
      <c r="B462" s="373"/>
      <c r="C462" s="377"/>
      <c r="D462" s="377"/>
      <c r="E462" s="476"/>
      <c r="F462" s="15"/>
    </row>
    <row r="463">
      <c r="B463" s="373"/>
      <c r="C463" s="377"/>
      <c r="D463" s="377"/>
      <c r="E463" s="476"/>
      <c r="F463" s="15"/>
    </row>
    <row r="464">
      <c r="B464" s="373"/>
      <c r="C464" s="377"/>
      <c r="D464" s="377"/>
      <c r="E464" s="476"/>
      <c r="F464" s="15"/>
    </row>
    <row r="465">
      <c r="B465" s="373"/>
      <c r="C465" s="377"/>
      <c r="D465" s="377"/>
      <c r="E465" s="476"/>
      <c r="F465" s="15"/>
    </row>
    <row r="466">
      <c r="B466" s="373"/>
      <c r="C466" s="377"/>
      <c r="D466" s="377"/>
      <c r="E466" s="476"/>
      <c r="F466" s="15"/>
    </row>
    <row r="467">
      <c r="B467" s="373"/>
      <c r="C467" s="377"/>
      <c r="D467" s="377"/>
      <c r="E467" s="476"/>
      <c r="F467" s="15"/>
    </row>
    <row r="468">
      <c r="B468" s="373"/>
      <c r="C468" s="377"/>
      <c r="D468" s="377"/>
      <c r="E468" s="476"/>
      <c r="F468" s="15"/>
    </row>
    <row r="469">
      <c r="B469" s="373"/>
      <c r="C469" s="377"/>
      <c r="D469" s="377"/>
      <c r="E469" s="476"/>
      <c r="F469" s="15"/>
    </row>
    <row r="470">
      <c r="B470" s="373"/>
      <c r="C470" s="377"/>
      <c r="D470" s="377"/>
      <c r="E470" s="476"/>
      <c r="F470" s="15"/>
    </row>
    <row r="471">
      <c r="B471" s="373"/>
      <c r="C471" s="377"/>
      <c r="D471" s="377"/>
      <c r="E471" s="476"/>
      <c r="F471" s="15"/>
    </row>
    <row r="472">
      <c r="B472" s="373"/>
      <c r="C472" s="377"/>
      <c r="D472" s="377"/>
      <c r="E472" s="476"/>
      <c r="F472" s="15"/>
    </row>
    <row r="473">
      <c r="B473" s="373"/>
      <c r="C473" s="377"/>
      <c r="D473" s="377"/>
      <c r="E473" s="476"/>
      <c r="F473" s="15"/>
    </row>
    <row r="474">
      <c r="B474" s="373"/>
      <c r="C474" s="377"/>
      <c r="D474" s="377"/>
      <c r="E474" s="476"/>
      <c r="F474" s="15"/>
    </row>
    <row r="475">
      <c r="B475" s="373"/>
      <c r="C475" s="377"/>
      <c r="D475" s="377"/>
      <c r="E475" s="476"/>
      <c r="F475" s="15"/>
    </row>
    <row r="476">
      <c r="B476" s="373"/>
      <c r="C476" s="377"/>
      <c r="D476" s="377"/>
      <c r="E476" s="476"/>
      <c r="F476" s="15"/>
    </row>
    <row r="477">
      <c r="B477" s="373"/>
      <c r="C477" s="377"/>
      <c r="D477" s="377"/>
      <c r="E477" s="476"/>
      <c r="F477" s="15"/>
    </row>
    <row r="478">
      <c r="B478" s="373"/>
      <c r="C478" s="377"/>
      <c r="D478" s="377"/>
      <c r="E478" s="476"/>
      <c r="F478" s="15"/>
    </row>
    <row r="479">
      <c r="B479" s="373"/>
      <c r="C479" s="377"/>
      <c r="D479" s="377"/>
      <c r="E479" s="476"/>
      <c r="F479" s="15"/>
    </row>
    <row r="480">
      <c r="B480" s="373"/>
      <c r="C480" s="377"/>
      <c r="D480" s="377"/>
      <c r="E480" s="476"/>
      <c r="F480" s="15"/>
    </row>
    <row r="481">
      <c r="B481" s="373"/>
      <c r="C481" s="377"/>
      <c r="D481" s="377"/>
      <c r="E481" s="476"/>
      <c r="F481" s="15"/>
    </row>
    <row r="482">
      <c r="B482" s="373"/>
      <c r="C482" s="377"/>
      <c r="D482" s="377"/>
      <c r="E482" s="476"/>
      <c r="F482" s="15"/>
    </row>
    <row r="483">
      <c r="B483" s="373"/>
      <c r="C483" s="377"/>
      <c r="D483" s="377"/>
      <c r="E483" s="476"/>
      <c r="F483" s="15"/>
    </row>
    <row r="484">
      <c r="B484" s="373"/>
      <c r="C484" s="377"/>
      <c r="D484" s="377"/>
      <c r="E484" s="476"/>
      <c r="F484" s="15"/>
    </row>
    <row r="485">
      <c r="B485" s="373"/>
      <c r="C485" s="377"/>
      <c r="D485" s="377"/>
      <c r="E485" s="476"/>
      <c r="F485" s="15"/>
    </row>
    <row r="486">
      <c r="B486" s="373"/>
      <c r="C486" s="377"/>
      <c r="D486" s="377"/>
      <c r="E486" s="476"/>
      <c r="F486" s="15"/>
    </row>
    <row r="487">
      <c r="B487" s="373"/>
      <c r="C487" s="377"/>
      <c r="D487" s="377"/>
      <c r="E487" s="476"/>
      <c r="F487" s="15"/>
    </row>
    <row r="488">
      <c r="B488" s="373"/>
      <c r="C488" s="377"/>
      <c r="D488" s="377"/>
      <c r="E488" s="476"/>
      <c r="F488" s="15"/>
    </row>
    <row r="489">
      <c r="B489" s="373"/>
      <c r="C489" s="377"/>
      <c r="D489" s="377"/>
      <c r="E489" s="476"/>
      <c r="F489" s="15"/>
    </row>
    <row r="490">
      <c r="B490" s="373"/>
      <c r="C490" s="377"/>
      <c r="D490" s="377"/>
      <c r="E490" s="476"/>
      <c r="F490" s="15"/>
    </row>
    <row r="491">
      <c r="B491" s="373"/>
      <c r="C491" s="377"/>
      <c r="D491" s="377"/>
      <c r="E491" s="476"/>
      <c r="F491" s="15"/>
    </row>
    <row r="492">
      <c r="B492" s="373"/>
      <c r="C492" s="377"/>
      <c r="D492" s="377"/>
      <c r="E492" s="476"/>
      <c r="F492" s="15"/>
    </row>
    <row r="493">
      <c r="B493" s="373"/>
      <c r="C493" s="377"/>
      <c r="D493" s="377"/>
      <c r="E493" s="476"/>
      <c r="F493" s="15"/>
    </row>
    <row r="494">
      <c r="B494" s="373"/>
      <c r="C494" s="377"/>
      <c r="D494" s="377"/>
      <c r="E494" s="476"/>
      <c r="F494" s="15"/>
    </row>
    <row r="495">
      <c r="B495" s="373"/>
      <c r="C495" s="377"/>
      <c r="D495" s="377"/>
      <c r="E495" s="476"/>
      <c r="F495" s="15"/>
    </row>
    <row r="496">
      <c r="B496" s="373"/>
      <c r="C496" s="377"/>
      <c r="D496" s="377"/>
      <c r="E496" s="476"/>
      <c r="F496" s="15"/>
    </row>
    <row r="497">
      <c r="B497" s="373"/>
      <c r="C497" s="377"/>
      <c r="D497" s="377"/>
      <c r="E497" s="476"/>
      <c r="F497" s="15"/>
    </row>
    <row r="498">
      <c r="B498" s="373"/>
      <c r="C498" s="377"/>
      <c r="D498" s="377"/>
      <c r="E498" s="476"/>
      <c r="F498" s="15"/>
    </row>
    <row r="499">
      <c r="B499" s="373"/>
      <c r="C499" s="377"/>
      <c r="D499" s="377"/>
      <c r="E499" s="476"/>
      <c r="F499" s="15"/>
    </row>
    <row r="500">
      <c r="B500" s="373"/>
      <c r="C500" s="377"/>
      <c r="D500" s="377"/>
      <c r="E500" s="476"/>
      <c r="F500" s="15"/>
    </row>
    <row r="501">
      <c r="B501" s="373"/>
      <c r="C501" s="377"/>
      <c r="D501" s="377"/>
      <c r="E501" s="476"/>
      <c r="F501" s="15"/>
    </row>
    <row r="502">
      <c r="B502" s="373"/>
      <c r="C502" s="377"/>
      <c r="D502" s="377"/>
      <c r="E502" s="476"/>
      <c r="F502" s="15"/>
    </row>
    <row r="503">
      <c r="B503" s="373"/>
      <c r="C503" s="377"/>
      <c r="D503" s="377"/>
      <c r="E503" s="476"/>
      <c r="F503" s="15"/>
    </row>
    <row r="504">
      <c r="B504" s="373"/>
      <c r="C504" s="377"/>
      <c r="D504" s="377"/>
      <c r="E504" s="476"/>
      <c r="F504" s="15"/>
    </row>
    <row r="505">
      <c r="B505" s="373"/>
      <c r="C505" s="377"/>
      <c r="D505" s="377"/>
      <c r="E505" s="476"/>
      <c r="F505" s="15"/>
    </row>
    <row r="506">
      <c r="B506" s="373"/>
      <c r="C506" s="377"/>
      <c r="D506" s="377"/>
      <c r="E506" s="476"/>
      <c r="F506" s="15"/>
    </row>
    <row r="507">
      <c r="B507" s="373"/>
      <c r="C507" s="377"/>
      <c r="D507" s="377"/>
      <c r="E507" s="476"/>
      <c r="F507" s="15"/>
    </row>
    <row r="508">
      <c r="B508" s="373"/>
      <c r="C508" s="377"/>
      <c r="D508" s="377"/>
      <c r="E508" s="476"/>
      <c r="F508" s="15"/>
    </row>
    <row r="509">
      <c r="B509" s="373"/>
      <c r="C509" s="377"/>
      <c r="D509" s="377"/>
      <c r="E509" s="476"/>
      <c r="F509" s="15"/>
    </row>
    <row r="510">
      <c r="B510" s="373"/>
      <c r="C510" s="377"/>
      <c r="D510" s="377"/>
      <c r="E510" s="476"/>
      <c r="F510" s="15"/>
    </row>
    <row r="511">
      <c r="B511" s="373"/>
      <c r="C511" s="377"/>
      <c r="D511" s="377"/>
      <c r="E511" s="476"/>
      <c r="F511" s="15"/>
    </row>
    <row r="512">
      <c r="B512" s="373"/>
      <c r="C512" s="377"/>
      <c r="D512" s="377"/>
      <c r="E512" s="476"/>
      <c r="F512" s="15"/>
    </row>
    <row r="513">
      <c r="B513" s="373"/>
      <c r="C513" s="377"/>
      <c r="D513" s="377"/>
      <c r="E513" s="476"/>
      <c r="F513" s="15"/>
    </row>
    <row r="514">
      <c r="B514" s="373"/>
      <c r="C514" s="377"/>
      <c r="D514" s="377"/>
      <c r="E514" s="476"/>
      <c r="F514" s="15"/>
    </row>
    <row r="515">
      <c r="B515" s="373"/>
      <c r="C515" s="377"/>
      <c r="D515" s="377"/>
      <c r="E515" s="476"/>
      <c r="F515" s="15"/>
    </row>
    <row r="516">
      <c r="B516" s="373"/>
      <c r="C516" s="377"/>
      <c r="D516" s="377"/>
      <c r="E516" s="476"/>
      <c r="F516" s="15"/>
    </row>
    <row r="517">
      <c r="B517" s="373"/>
      <c r="C517" s="377"/>
      <c r="D517" s="377"/>
      <c r="E517" s="476"/>
      <c r="F517" s="15"/>
    </row>
    <row r="518">
      <c r="B518" s="373"/>
      <c r="C518" s="377"/>
      <c r="D518" s="377"/>
      <c r="E518" s="476"/>
      <c r="F518" s="15"/>
    </row>
    <row r="519">
      <c r="B519" s="373"/>
      <c r="C519" s="377"/>
      <c r="D519" s="377"/>
      <c r="E519" s="476"/>
      <c r="F519" s="15"/>
    </row>
    <row r="520">
      <c r="B520" s="373"/>
      <c r="C520" s="377"/>
      <c r="D520" s="377"/>
      <c r="E520" s="476"/>
      <c r="F520" s="15"/>
    </row>
    <row r="521">
      <c r="B521" s="373"/>
      <c r="C521" s="377"/>
      <c r="D521" s="377"/>
      <c r="E521" s="476"/>
      <c r="F521" s="15"/>
    </row>
    <row r="522">
      <c r="B522" s="373"/>
      <c r="C522" s="377"/>
      <c r="D522" s="377"/>
      <c r="E522" s="476"/>
      <c r="F522" s="15"/>
    </row>
    <row r="523">
      <c r="B523" s="373"/>
      <c r="C523" s="377"/>
      <c r="D523" s="377"/>
      <c r="E523" s="476"/>
      <c r="F523" s="15"/>
    </row>
    <row r="524">
      <c r="B524" s="373"/>
      <c r="C524" s="377"/>
      <c r="D524" s="377"/>
      <c r="E524" s="476"/>
      <c r="F524" s="15"/>
    </row>
    <row r="525">
      <c r="B525" s="373"/>
      <c r="C525" s="377"/>
      <c r="D525" s="377"/>
      <c r="E525" s="476"/>
      <c r="F525" s="15"/>
    </row>
    <row r="526">
      <c r="B526" s="373"/>
      <c r="C526" s="377"/>
      <c r="D526" s="377"/>
      <c r="E526" s="476"/>
      <c r="F526" s="15"/>
    </row>
    <row r="527">
      <c r="B527" s="373"/>
      <c r="C527" s="377"/>
      <c r="D527" s="377"/>
      <c r="E527" s="476"/>
      <c r="F527" s="15"/>
    </row>
    <row r="528">
      <c r="B528" s="373"/>
      <c r="C528" s="377"/>
      <c r="D528" s="377"/>
      <c r="E528" s="476"/>
      <c r="F528" s="15"/>
    </row>
    <row r="529">
      <c r="B529" s="373"/>
      <c r="C529" s="377"/>
      <c r="D529" s="377"/>
      <c r="E529" s="476"/>
      <c r="F529" s="15"/>
    </row>
    <row r="530">
      <c r="B530" s="373"/>
      <c r="C530" s="377"/>
      <c r="D530" s="377"/>
      <c r="E530" s="476"/>
      <c r="F530" s="15"/>
    </row>
    <row r="531">
      <c r="B531" s="373"/>
      <c r="C531" s="377"/>
      <c r="D531" s="377"/>
      <c r="E531" s="476"/>
      <c r="F531" s="15"/>
    </row>
    <row r="532">
      <c r="B532" s="373"/>
      <c r="C532" s="377"/>
      <c r="D532" s="377"/>
      <c r="E532" s="476"/>
      <c r="F532" s="15"/>
    </row>
    <row r="533">
      <c r="B533" s="373"/>
      <c r="C533" s="377"/>
      <c r="D533" s="377"/>
      <c r="E533" s="476"/>
      <c r="F533" s="15"/>
    </row>
    <row r="534">
      <c r="B534" s="373"/>
      <c r="C534" s="377"/>
      <c r="D534" s="377"/>
      <c r="E534" s="476"/>
      <c r="F534" s="15"/>
    </row>
    <row r="535">
      <c r="B535" s="373"/>
      <c r="C535" s="377"/>
      <c r="D535" s="377"/>
      <c r="E535" s="476"/>
      <c r="F535" s="15"/>
    </row>
    <row r="536">
      <c r="B536" s="373"/>
      <c r="C536" s="377"/>
      <c r="D536" s="377"/>
      <c r="E536" s="476"/>
      <c r="F536" s="15"/>
    </row>
    <row r="537">
      <c r="B537" s="373"/>
      <c r="C537" s="377"/>
      <c r="D537" s="377"/>
      <c r="E537" s="476"/>
      <c r="F537" s="15"/>
    </row>
    <row r="538">
      <c r="B538" s="373"/>
      <c r="C538" s="377"/>
      <c r="D538" s="377"/>
      <c r="E538" s="476"/>
      <c r="F538" s="15"/>
    </row>
    <row r="539">
      <c r="B539" s="373"/>
      <c r="C539" s="377"/>
      <c r="D539" s="377"/>
      <c r="E539" s="476"/>
      <c r="F539" s="15"/>
    </row>
    <row r="540">
      <c r="B540" s="373"/>
      <c r="C540" s="377"/>
      <c r="D540" s="377"/>
      <c r="E540" s="476"/>
      <c r="F540" s="15"/>
    </row>
    <row r="541">
      <c r="B541" s="373"/>
      <c r="C541" s="377"/>
      <c r="D541" s="377"/>
      <c r="E541" s="476"/>
      <c r="F541" s="15"/>
    </row>
    <row r="542">
      <c r="B542" s="373"/>
      <c r="C542" s="377"/>
      <c r="D542" s="377"/>
      <c r="E542" s="476"/>
      <c r="F542" s="15"/>
    </row>
    <row r="543">
      <c r="B543" s="373"/>
      <c r="C543" s="377"/>
      <c r="D543" s="377"/>
      <c r="E543" s="476"/>
      <c r="F543" s="15"/>
    </row>
    <row r="544">
      <c r="B544" s="373"/>
      <c r="C544" s="377"/>
      <c r="D544" s="377"/>
      <c r="E544" s="476"/>
      <c r="F544" s="15"/>
    </row>
    <row r="545">
      <c r="B545" s="373"/>
      <c r="C545" s="377"/>
      <c r="D545" s="377"/>
      <c r="E545" s="476"/>
      <c r="F545" s="15"/>
    </row>
    <row r="546">
      <c r="B546" s="373"/>
      <c r="C546" s="377"/>
      <c r="D546" s="377"/>
      <c r="E546" s="476"/>
      <c r="F546" s="15"/>
    </row>
    <row r="547">
      <c r="B547" s="373"/>
      <c r="C547" s="377"/>
      <c r="D547" s="377"/>
      <c r="E547" s="476"/>
      <c r="F547" s="15"/>
    </row>
    <row r="548">
      <c r="B548" s="373"/>
      <c r="C548" s="377"/>
      <c r="D548" s="377"/>
      <c r="E548" s="476"/>
      <c r="F548" s="15"/>
    </row>
    <row r="549">
      <c r="B549" s="373"/>
      <c r="C549" s="377"/>
      <c r="D549" s="377"/>
      <c r="E549" s="476"/>
      <c r="F549" s="15"/>
    </row>
    <row r="550">
      <c r="B550" s="373"/>
      <c r="C550" s="377"/>
      <c r="D550" s="377"/>
      <c r="E550" s="476"/>
      <c r="F550" s="15"/>
    </row>
    <row r="551">
      <c r="B551" s="373"/>
      <c r="C551" s="377"/>
      <c r="D551" s="377"/>
      <c r="E551" s="476"/>
      <c r="F551" s="15"/>
    </row>
    <row r="552">
      <c r="B552" s="373"/>
      <c r="C552" s="377"/>
      <c r="D552" s="377"/>
      <c r="E552" s="476"/>
      <c r="F552" s="15"/>
    </row>
    <row r="553">
      <c r="B553" s="373"/>
      <c r="C553" s="377"/>
      <c r="D553" s="377"/>
      <c r="E553" s="476"/>
      <c r="F553" s="15"/>
    </row>
    <row r="554">
      <c r="B554" s="373"/>
      <c r="C554" s="377"/>
      <c r="D554" s="377"/>
      <c r="E554" s="476"/>
      <c r="F554" s="15"/>
    </row>
    <row r="555">
      <c r="B555" s="373"/>
      <c r="C555" s="377"/>
      <c r="D555" s="377"/>
      <c r="E555" s="476"/>
      <c r="F555" s="15"/>
    </row>
    <row r="556">
      <c r="B556" s="373"/>
      <c r="C556" s="377"/>
      <c r="D556" s="377"/>
      <c r="E556" s="476"/>
      <c r="F556" s="15"/>
    </row>
    <row r="557">
      <c r="B557" s="373"/>
      <c r="C557" s="377"/>
      <c r="D557" s="377"/>
      <c r="E557" s="476"/>
      <c r="F557" s="15"/>
    </row>
    <row r="558">
      <c r="B558" s="373"/>
      <c r="C558" s="377"/>
      <c r="D558" s="377"/>
      <c r="E558" s="476"/>
      <c r="F558" s="15"/>
    </row>
    <row r="559">
      <c r="B559" s="373"/>
      <c r="C559" s="377"/>
      <c r="D559" s="377"/>
      <c r="E559" s="476"/>
      <c r="F559" s="15"/>
    </row>
    <row r="560">
      <c r="B560" s="373"/>
      <c r="C560" s="377"/>
      <c r="D560" s="377"/>
      <c r="E560" s="476"/>
      <c r="F560" s="15"/>
    </row>
    <row r="561">
      <c r="B561" s="373"/>
      <c r="C561" s="377"/>
      <c r="D561" s="377"/>
      <c r="E561" s="476"/>
      <c r="F561" s="15"/>
    </row>
    <row r="562">
      <c r="B562" s="373"/>
      <c r="C562" s="377"/>
      <c r="D562" s="377"/>
      <c r="E562" s="476"/>
      <c r="F562" s="15"/>
    </row>
    <row r="563">
      <c r="B563" s="373"/>
      <c r="C563" s="377"/>
      <c r="D563" s="377"/>
      <c r="E563" s="476"/>
      <c r="F563" s="15"/>
    </row>
    <row r="564">
      <c r="B564" s="373"/>
      <c r="C564" s="377"/>
      <c r="D564" s="377"/>
      <c r="E564" s="476"/>
      <c r="F564" s="15"/>
    </row>
    <row r="565">
      <c r="B565" s="373"/>
      <c r="C565" s="377"/>
      <c r="D565" s="377"/>
      <c r="E565" s="476"/>
      <c r="F565" s="15"/>
    </row>
    <row r="566">
      <c r="B566" s="373"/>
      <c r="C566" s="377"/>
      <c r="D566" s="377"/>
      <c r="E566" s="476"/>
      <c r="F566" s="15"/>
    </row>
    <row r="567">
      <c r="B567" s="373"/>
      <c r="C567" s="377"/>
      <c r="D567" s="377"/>
      <c r="E567" s="476"/>
      <c r="F567" s="15"/>
    </row>
    <row r="568">
      <c r="B568" s="373"/>
      <c r="C568" s="377"/>
      <c r="D568" s="377"/>
      <c r="E568" s="476"/>
      <c r="F568" s="15"/>
    </row>
    <row r="569">
      <c r="B569" s="373"/>
      <c r="C569" s="377"/>
      <c r="D569" s="377"/>
      <c r="E569" s="476"/>
      <c r="F569" s="15"/>
    </row>
    <row r="570">
      <c r="B570" s="373"/>
      <c r="C570" s="377"/>
      <c r="D570" s="377"/>
      <c r="E570" s="476"/>
      <c r="F570" s="15"/>
    </row>
    <row r="571">
      <c r="B571" s="373"/>
      <c r="C571" s="377"/>
      <c r="D571" s="377"/>
      <c r="E571" s="476"/>
      <c r="F571" s="15"/>
    </row>
    <row r="572">
      <c r="B572" s="373"/>
      <c r="C572" s="377"/>
      <c r="D572" s="377"/>
      <c r="E572" s="476"/>
      <c r="F572" s="15"/>
    </row>
    <row r="573">
      <c r="B573" s="373"/>
      <c r="C573" s="377"/>
      <c r="D573" s="377"/>
      <c r="E573" s="476"/>
      <c r="F573" s="15"/>
    </row>
    <row r="574">
      <c r="B574" s="373"/>
      <c r="C574" s="377"/>
      <c r="D574" s="377"/>
      <c r="E574" s="476"/>
      <c r="F574" s="15"/>
    </row>
    <row r="575">
      <c r="B575" s="373"/>
      <c r="C575" s="377"/>
      <c r="D575" s="377"/>
      <c r="E575" s="476"/>
      <c r="F575" s="15"/>
    </row>
    <row r="576">
      <c r="B576" s="373"/>
      <c r="C576" s="377"/>
      <c r="D576" s="377"/>
      <c r="E576" s="476"/>
      <c r="F576" s="15"/>
    </row>
    <row r="577">
      <c r="B577" s="373"/>
      <c r="C577" s="377"/>
      <c r="D577" s="377"/>
      <c r="E577" s="476"/>
      <c r="F577" s="15"/>
    </row>
    <row r="578">
      <c r="B578" s="373"/>
      <c r="C578" s="377"/>
      <c r="D578" s="377"/>
      <c r="E578" s="476"/>
      <c r="F578" s="15"/>
    </row>
    <row r="579">
      <c r="B579" s="373"/>
      <c r="C579" s="377"/>
      <c r="D579" s="377"/>
      <c r="E579" s="476"/>
      <c r="F579" s="15"/>
    </row>
    <row r="580">
      <c r="B580" s="373"/>
      <c r="C580" s="377"/>
      <c r="D580" s="377"/>
      <c r="E580" s="476"/>
      <c r="F580" s="15"/>
    </row>
    <row r="581">
      <c r="B581" s="373"/>
      <c r="C581" s="377"/>
      <c r="D581" s="377"/>
      <c r="E581" s="476"/>
      <c r="F581" s="15"/>
    </row>
    <row r="582">
      <c r="B582" s="373"/>
      <c r="C582" s="377"/>
      <c r="D582" s="377"/>
      <c r="E582" s="476"/>
      <c r="F582" s="15"/>
    </row>
    <row r="583">
      <c r="B583" s="373"/>
      <c r="C583" s="377"/>
      <c r="D583" s="377"/>
      <c r="E583" s="476"/>
      <c r="F583" s="15"/>
    </row>
    <row r="584">
      <c r="B584" s="373"/>
      <c r="C584" s="377"/>
      <c r="D584" s="377"/>
      <c r="E584" s="476"/>
      <c r="F584" s="15"/>
    </row>
    <row r="585">
      <c r="B585" s="373"/>
      <c r="C585" s="377"/>
      <c r="D585" s="377"/>
      <c r="E585" s="476"/>
      <c r="F585" s="15"/>
    </row>
    <row r="586">
      <c r="B586" s="373"/>
      <c r="C586" s="377"/>
      <c r="D586" s="377"/>
      <c r="E586" s="476"/>
      <c r="F586" s="15"/>
    </row>
    <row r="587">
      <c r="B587" s="373"/>
      <c r="C587" s="377"/>
      <c r="D587" s="377"/>
      <c r="E587" s="476"/>
      <c r="F587" s="15"/>
    </row>
    <row r="588">
      <c r="B588" s="373"/>
      <c r="C588" s="377"/>
      <c r="D588" s="377"/>
      <c r="E588" s="476"/>
      <c r="F588" s="15"/>
    </row>
    <row r="589">
      <c r="B589" s="373"/>
      <c r="C589" s="377"/>
      <c r="D589" s="377"/>
      <c r="E589" s="476"/>
      <c r="F589" s="15"/>
    </row>
    <row r="590">
      <c r="B590" s="373"/>
      <c r="C590" s="377"/>
      <c r="D590" s="377"/>
      <c r="E590" s="476"/>
      <c r="F590" s="15"/>
    </row>
    <row r="591">
      <c r="B591" s="373"/>
      <c r="C591" s="377"/>
      <c r="D591" s="377"/>
      <c r="E591" s="476"/>
      <c r="F591" s="15"/>
    </row>
    <row r="592">
      <c r="B592" s="373"/>
      <c r="C592" s="377"/>
      <c r="D592" s="377"/>
      <c r="E592" s="476"/>
      <c r="F592" s="15"/>
    </row>
    <row r="593">
      <c r="B593" s="373"/>
      <c r="C593" s="377"/>
      <c r="D593" s="377"/>
      <c r="E593" s="476"/>
      <c r="F593" s="15"/>
    </row>
    <row r="594">
      <c r="B594" s="373"/>
      <c r="C594" s="377"/>
      <c r="D594" s="377"/>
      <c r="E594" s="476"/>
      <c r="F594" s="15"/>
    </row>
    <row r="595">
      <c r="B595" s="373"/>
      <c r="C595" s="377"/>
      <c r="D595" s="377"/>
      <c r="E595" s="476"/>
      <c r="F595" s="15"/>
    </row>
    <row r="596">
      <c r="B596" s="373"/>
      <c r="C596" s="377"/>
      <c r="D596" s="377"/>
      <c r="E596" s="476"/>
      <c r="F596" s="15"/>
    </row>
    <row r="597">
      <c r="B597" s="373"/>
      <c r="C597" s="377"/>
      <c r="D597" s="377"/>
      <c r="E597" s="476"/>
      <c r="F597" s="15"/>
    </row>
    <row r="598">
      <c r="B598" s="373"/>
      <c r="C598" s="377"/>
      <c r="D598" s="377"/>
      <c r="E598" s="476"/>
      <c r="F598" s="15"/>
    </row>
    <row r="599">
      <c r="B599" s="373"/>
      <c r="C599" s="377"/>
      <c r="D599" s="377"/>
      <c r="E599" s="476"/>
      <c r="F599" s="15"/>
    </row>
    <row r="600">
      <c r="B600" s="373"/>
      <c r="C600" s="377"/>
      <c r="D600" s="377"/>
      <c r="E600" s="476"/>
      <c r="F600" s="15"/>
    </row>
    <row r="601">
      <c r="B601" s="373"/>
      <c r="C601" s="377"/>
      <c r="D601" s="377"/>
      <c r="E601" s="476"/>
      <c r="F601" s="15"/>
    </row>
    <row r="602">
      <c r="B602" s="373"/>
      <c r="C602" s="377"/>
      <c r="D602" s="377"/>
      <c r="E602" s="476"/>
      <c r="F602" s="15"/>
    </row>
    <row r="603">
      <c r="B603" s="373"/>
      <c r="C603" s="377"/>
      <c r="D603" s="377"/>
      <c r="E603" s="476"/>
      <c r="F603" s="15"/>
    </row>
    <row r="604">
      <c r="B604" s="373"/>
      <c r="C604" s="377"/>
      <c r="D604" s="377"/>
      <c r="E604" s="476"/>
      <c r="F604" s="15"/>
    </row>
    <row r="605">
      <c r="B605" s="373"/>
      <c r="C605" s="377"/>
      <c r="D605" s="377"/>
      <c r="E605" s="476"/>
      <c r="F605" s="15"/>
    </row>
    <row r="606">
      <c r="B606" s="373"/>
      <c r="C606" s="377"/>
      <c r="D606" s="377"/>
      <c r="E606" s="476"/>
      <c r="F606" s="15"/>
    </row>
    <row r="607">
      <c r="B607" s="373"/>
      <c r="C607" s="377"/>
      <c r="D607" s="377"/>
      <c r="E607" s="476"/>
      <c r="F607" s="15"/>
    </row>
    <row r="608">
      <c r="B608" s="373"/>
      <c r="C608" s="377"/>
      <c r="D608" s="377"/>
      <c r="E608" s="476"/>
      <c r="F608" s="15"/>
    </row>
    <row r="609">
      <c r="B609" s="373"/>
      <c r="C609" s="377"/>
      <c r="D609" s="377"/>
      <c r="E609" s="476"/>
      <c r="F609" s="15"/>
    </row>
    <row r="610">
      <c r="B610" s="373"/>
      <c r="C610" s="377"/>
      <c r="D610" s="377"/>
      <c r="E610" s="476"/>
      <c r="F610" s="15"/>
    </row>
    <row r="611">
      <c r="B611" s="373"/>
      <c r="C611" s="377"/>
      <c r="D611" s="377"/>
      <c r="E611" s="476"/>
      <c r="F611" s="15"/>
    </row>
    <row r="612">
      <c r="B612" s="373"/>
      <c r="C612" s="377"/>
      <c r="D612" s="377"/>
      <c r="E612" s="476"/>
      <c r="F612" s="15"/>
    </row>
    <row r="613">
      <c r="B613" s="373"/>
      <c r="C613" s="377"/>
      <c r="D613" s="377"/>
      <c r="E613" s="476"/>
      <c r="F613" s="15"/>
    </row>
    <row r="614">
      <c r="B614" s="373"/>
      <c r="C614" s="377"/>
      <c r="D614" s="377"/>
      <c r="E614" s="476"/>
      <c r="F614" s="15"/>
    </row>
    <row r="615">
      <c r="B615" s="373"/>
      <c r="C615" s="377"/>
      <c r="D615" s="377"/>
      <c r="E615" s="476"/>
      <c r="F615" s="15"/>
    </row>
    <row r="616">
      <c r="B616" s="373"/>
      <c r="C616" s="377"/>
      <c r="D616" s="377"/>
      <c r="E616" s="476"/>
      <c r="F616" s="15"/>
    </row>
    <row r="617">
      <c r="B617" s="373"/>
      <c r="C617" s="377"/>
      <c r="D617" s="377"/>
      <c r="E617" s="476"/>
      <c r="F617" s="15"/>
    </row>
    <row r="618">
      <c r="B618" s="373"/>
      <c r="C618" s="377"/>
      <c r="D618" s="377"/>
      <c r="E618" s="476"/>
      <c r="F618" s="15"/>
    </row>
    <row r="619">
      <c r="B619" s="373"/>
      <c r="C619" s="377"/>
      <c r="D619" s="377"/>
      <c r="E619" s="476"/>
      <c r="F619" s="15"/>
    </row>
    <row r="620">
      <c r="B620" s="373"/>
      <c r="C620" s="377"/>
      <c r="D620" s="377"/>
      <c r="E620" s="476"/>
      <c r="F620" s="15"/>
    </row>
    <row r="621">
      <c r="B621" s="373"/>
      <c r="C621" s="377"/>
      <c r="D621" s="377"/>
      <c r="E621" s="476"/>
      <c r="F621" s="15"/>
    </row>
    <row r="622">
      <c r="B622" s="373"/>
      <c r="C622" s="377"/>
      <c r="D622" s="377"/>
      <c r="E622" s="476"/>
      <c r="F622" s="15"/>
    </row>
    <row r="623">
      <c r="B623" s="373"/>
      <c r="C623" s="377"/>
      <c r="D623" s="377"/>
      <c r="E623" s="476"/>
      <c r="F623" s="15"/>
    </row>
    <row r="624">
      <c r="B624" s="373"/>
      <c r="C624" s="377"/>
      <c r="D624" s="377"/>
      <c r="E624" s="476"/>
      <c r="F624" s="15"/>
    </row>
    <row r="625">
      <c r="B625" s="373"/>
      <c r="C625" s="377"/>
      <c r="D625" s="377"/>
      <c r="E625" s="476"/>
      <c r="F625" s="15"/>
    </row>
    <row r="626">
      <c r="B626" s="373"/>
      <c r="C626" s="377"/>
      <c r="D626" s="377"/>
      <c r="E626" s="476"/>
      <c r="F626" s="15"/>
    </row>
    <row r="627">
      <c r="B627" s="373"/>
      <c r="C627" s="377"/>
      <c r="D627" s="377"/>
      <c r="E627" s="476"/>
      <c r="F627" s="15"/>
    </row>
    <row r="628">
      <c r="B628" s="373"/>
      <c r="C628" s="377"/>
      <c r="D628" s="377"/>
      <c r="E628" s="476"/>
      <c r="F628" s="15"/>
    </row>
    <row r="629">
      <c r="B629" s="373"/>
      <c r="C629" s="377"/>
      <c r="D629" s="377"/>
      <c r="E629" s="476"/>
      <c r="F629" s="15"/>
    </row>
    <row r="630">
      <c r="B630" s="373"/>
      <c r="C630" s="377"/>
      <c r="D630" s="377"/>
      <c r="E630" s="476"/>
      <c r="F630" s="15"/>
    </row>
    <row r="631">
      <c r="B631" s="373"/>
      <c r="C631" s="377"/>
      <c r="D631" s="377"/>
      <c r="E631" s="476"/>
      <c r="F631" s="15"/>
    </row>
    <row r="632">
      <c r="B632" s="373"/>
      <c r="C632" s="377"/>
      <c r="D632" s="377"/>
      <c r="E632" s="476"/>
      <c r="F632" s="15"/>
    </row>
    <row r="633">
      <c r="B633" s="373"/>
      <c r="C633" s="377"/>
      <c r="D633" s="377"/>
      <c r="E633" s="476"/>
      <c r="F633" s="15"/>
    </row>
    <row r="634">
      <c r="B634" s="373"/>
      <c r="C634" s="377"/>
      <c r="D634" s="377"/>
      <c r="E634" s="476"/>
      <c r="F634" s="15"/>
    </row>
    <row r="635">
      <c r="B635" s="373"/>
      <c r="C635" s="377"/>
      <c r="D635" s="377"/>
      <c r="E635" s="476"/>
      <c r="F635" s="15"/>
    </row>
    <row r="636">
      <c r="B636" s="373"/>
      <c r="C636" s="377"/>
      <c r="D636" s="377"/>
      <c r="E636" s="476"/>
      <c r="F636" s="15"/>
    </row>
    <row r="637">
      <c r="B637" s="373"/>
      <c r="C637" s="377"/>
      <c r="D637" s="377"/>
      <c r="E637" s="476"/>
      <c r="F637" s="15"/>
    </row>
    <row r="638">
      <c r="B638" s="373"/>
      <c r="C638" s="377"/>
      <c r="D638" s="377"/>
      <c r="E638" s="476"/>
      <c r="F638" s="15"/>
    </row>
    <row r="639">
      <c r="B639" s="373"/>
      <c r="C639" s="377"/>
      <c r="D639" s="377"/>
      <c r="E639" s="476"/>
      <c r="F639" s="15"/>
    </row>
    <row r="640">
      <c r="B640" s="373"/>
      <c r="C640" s="377"/>
      <c r="D640" s="377"/>
      <c r="E640" s="476"/>
      <c r="F640" s="15"/>
    </row>
    <row r="641">
      <c r="B641" s="373"/>
      <c r="C641" s="377"/>
      <c r="D641" s="377"/>
      <c r="E641" s="476"/>
      <c r="F641" s="15"/>
    </row>
    <row r="642">
      <c r="B642" s="373"/>
      <c r="C642" s="377"/>
      <c r="D642" s="377"/>
      <c r="E642" s="476"/>
      <c r="F642" s="15"/>
    </row>
    <row r="643">
      <c r="B643" s="373"/>
      <c r="C643" s="377"/>
      <c r="D643" s="377"/>
      <c r="E643" s="476"/>
      <c r="F643" s="15"/>
    </row>
    <row r="644">
      <c r="B644" s="373"/>
      <c r="C644" s="377"/>
      <c r="D644" s="377"/>
      <c r="E644" s="476"/>
      <c r="F644" s="15"/>
    </row>
    <row r="645">
      <c r="B645" s="373"/>
      <c r="C645" s="377"/>
      <c r="D645" s="377"/>
      <c r="E645" s="476"/>
      <c r="F645" s="15"/>
    </row>
    <row r="646">
      <c r="B646" s="373"/>
      <c r="C646" s="377"/>
      <c r="D646" s="377"/>
      <c r="E646" s="476"/>
      <c r="F646" s="15"/>
    </row>
    <row r="647">
      <c r="B647" s="373"/>
      <c r="C647" s="377"/>
      <c r="D647" s="377"/>
      <c r="E647" s="476"/>
      <c r="F647" s="15"/>
    </row>
    <row r="648">
      <c r="B648" s="373"/>
      <c r="C648" s="377"/>
      <c r="D648" s="377"/>
      <c r="E648" s="476"/>
      <c r="F648" s="15"/>
    </row>
    <row r="649">
      <c r="B649" s="373"/>
      <c r="C649" s="377"/>
      <c r="D649" s="377"/>
      <c r="E649" s="476"/>
      <c r="F649" s="15"/>
    </row>
    <row r="650">
      <c r="B650" s="373"/>
      <c r="C650" s="377"/>
      <c r="D650" s="377"/>
      <c r="E650" s="476"/>
      <c r="F650" s="15"/>
    </row>
    <row r="651">
      <c r="B651" s="373"/>
      <c r="C651" s="377"/>
      <c r="D651" s="377"/>
      <c r="E651" s="476"/>
      <c r="F651" s="15"/>
    </row>
    <row r="652">
      <c r="B652" s="373"/>
      <c r="C652" s="377"/>
      <c r="D652" s="377"/>
      <c r="E652" s="476"/>
      <c r="F652" s="15"/>
    </row>
    <row r="653">
      <c r="B653" s="373"/>
      <c r="C653" s="377"/>
      <c r="D653" s="377"/>
      <c r="E653" s="476"/>
      <c r="F653" s="15"/>
    </row>
    <row r="654">
      <c r="B654" s="373"/>
      <c r="C654" s="377"/>
      <c r="D654" s="377"/>
      <c r="E654" s="476"/>
      <c r="F654" s="15"/>
    </row>
    <row r="655">
      <c r="B655" s="373"/>
      <c r="C655" s="377"/>
      <c r="D655" s="377"/>
      <c r="E655" s="476"/>
      <c r="F655" s="15"/>
    </row>
    <row r="656">
      <c r="B656" s="373"/>
      <c r="C656" s="377"/>
      <c r="D656" s="377"/>
      <c r="E656" s="476"/>
      <c r="F656" s="15"/>
    </row>
    <row r="657">
      <c r="B657" s="373"/>
      <c r="C657" s="377"/>
      <c r="D657" s="377"/>
      <c r="E657" s="476"/>
      <c r="F657" s="15"/>
    </row>
    <row r="658">
      <c r="B658" s="373"/>
      <c r="C658" s="377"/>
      <c r="D658" s="377"/>
      <c r="E658" s="476"/>
      <c r="F658" s="15"/>
    </row>
    <row r="659">
      <c r="B659" s="373"/>
      <c r="C659" s="377"/>
      <c r="D659" s="377"/>
      <c r="E659" s="476"/>
      <c r="F659" s="15"/>
    </row>
    <row r="660">
      <c r="B660" s="373"/>
      <c r="C660" s="377"/>
      <c r="D660" s="377"/>
      <c r="E660" s="476"/>
      <c r="F660" s="15"/>
    </row>
    <row r="661">
      <c r="B661" s="373"/>
      <c r="C661" s="377"/>
      <c r="D661" s="377"/>
      <c r="E661" s="476"/>
      <c r="F661" s="15"/>
    </row>
    <row r="662">
      <c r="B662" s="373"/>
      <c r="C662" s="377"/>
      <c r="D662" s="377"/>
      <c r="E662" s="476"/>
      <c r="F662" s="15"/>
    </row>
    <row r="663">
      <c r="B663" s="373"/>
      <c r="C663" s="377"/>
      <c r="D663" s="377"/>
      <c r="E663" s="476"/>
      <c r="F663" s="15"/>
    </row>
    <row r="664">
      <c r="B664" s="373"/>
      <c r="C664" s="377"/>
      <c r="D664" s="377"/>
      <c r="E664" s="476"/>
      <c r="F664" s="15"/>
    </row>
    <row r="665">
      <c r="B665" s="373"/>
      <c r="C665" s="377"/>
      <c r="D665" s="377"/>
      <c r="E665" s="476"/>
      <c r="F665" s="15"/>
    </row>
    <row r="666">
      <c r="B666" s="373"/>
      <c r="C666" s="377"/>
      <c r="D666" s="377"/>
      <c r="E666" s="476"/>
      <c r="F666" s="15"/>
    </row>
    <row r="667">
      <c r="B667" s="373"/>
      <c r="C667" s="377"/>
      <c r="D667" s="377"/>
      <c r="E667" s="476"/>
      <c r="F667" s="15"/>
    </row>
    <row r="668">
      <c r="B668" s="373"/>
      <c r="C668" s="377"/>
      <c r="D668" s="377"/>
      <c r="E668" s="476"/>
      <c r="F668" s="15"/>
    </row>
    <row r="669">
      <c r="B669" s="373"/>
      <c r="C669" s="377"/>
      <c r="D669" s="377"/>
      <c r="E669" s="476"/>
      <c r="F669" s="15"/>
    </row>
    <row r="670">
      <c r="B670" s="373"/>
      <c r="C670" s="377"/>
      <c r="D670" s="377"/>
      <c r="E670" s="476"/>
      <c r="F670" s="15"/>
    </row>
    <row r="671">
      <c r="B671" s="373"/>
      <c r="C671" s="377"/>
      <c r="D671" s="377"/>
      <c r="E671" s="476"/>
      <c r="F671" s="15"/>
    </row>
    <row r="672">
      <c r="B672" s="373"/>
      <c r="C672" s="377"/>
      <c r="D672" s="377"/>
      <c r="E672" s="476"/>
      <c r="F672" s="15"/>
    </row>
    <row r="673">
      <c r="B673" s="373"/>
      <c r="C673" s="377"/>
      <c r="D673" s="377"/>
      <c r="E673" s="476"/>
      <c r="F673" s="15"/>
    </row>
    <row r="674">
      <c r="B674" s="373"/>
      <c r="C674" s="377"/>
      <c r="D674" s="377"/>
      <c r="E674" s="476"/>
      <c r="F674" s="15"/>
    </row>
    <row r="675">
      <c r="B675" s="373"/>
      <c r="C675" s="377"/>
      <c r="D675" s="377"/>
      <c r="E675" s="476"/>
      <c r="F675" s="15"/>
    </row>
    <row r="676">
      <c r="B676" s="373"/>
      <c r="C676" s="377"/>
      <c r="D676" s="377"/>
      <c r="E676" s="476"/>
      <c r="F676" s="15"/>
    </row>
    <row r="677">
      <c r="B677" s="373"/>
      <c r="C677" s="377"/>
      <c r="D677" s="377"/>
      <c r="E677" s="476"/>
      <c r="F677" s="15"/>
    </row>
    <row r="678">
      <c r="B678" s="373"/>
      <c r="C678" s="377"/>
      <c r="D678" s="377"/>
      <c r="E678" s="476"/>
      <c r="F678" s="15"/>
    </row>
    <row r="679">
      <c r="B679" s="373"/>
      <c r="C679" s="377"/>
      <c r="D679" s="377"/>
      <c r="E679" s="476"/>
      <c r="F679" s="15"/>
    </row>
    <row r="680">
      <c r="B680" s="373"/>
      <c r="C680" s="377"/>
      <c r="D680" s="377"/>
      <c r="E680" s="476"/>
      <c r="F680" s="15"/>
    </row>
    <row r="681">
      <c r="B681" s="373"/>
      <c r="C681" s="377"/>
      <c r="D681" s="377"/>
      <c r="E681" s="476"/>
      <c r="F681" s="15"/>
    </row>
    <row r="682">
      <c r="B682" s="373"/>
      <c r="C682" s="377"/>
      <c r="D682" s="377"/>
      <c r="E682" s="476"/>
      <c r="F682" s="15"/>
    </row>
    <row r="683">
      <c r="B683" s="373"/>
      <c r="C683" s="377"/>
      <c r="D683" s="377"/>
      <c r="E683" s="476"/>
      <c r="F683" s="15"/>
    </row>
    <row r="684">
      <c r="B684" s="373"/>
      <c r="C684" s="377"/>
      <c r="D684" s="377"/>
      <c r="E684" s="476"/>
      <c r="F684" s="15"/>
    </row>
    <row r="685">
      <c r="B685" s="373"/>
      <c r="C685" s="377"/>
      <c r="D685" s="377"/>
      <c r="E685" s="476"/>
      <c r="F685" s="15"/>
    </row>
    <row r="686">
      <c r="B686" s="373"/>
      <c r="C686" s="377"/>
      <c r="D686" s="377"/>
      <c r="E686" s="476"/>
      <c r="F686" s="15"/>
    </row>
    <row r="687">
      <c r="B687" s="373"/>
      <c r="C687" s="377"/>
      <c r="D687" s="377"/>
      <c r="E687" s="476"/>
      <c r="F687" s="15"/>
    </row>
    <row r="688">
      <c r="B688" s="373"/>
      <c r="C688" s="377"/>
      <c r="D688" s="377"/>
      <c r="E688" s="476"/>
      <c r="F688" s="15"/>
    </row>
    <row r="689">
      <c r="B689" s="373"/>
      <c r="C689" s="377"/>
      <c r="D689" s="377"/>
      <c r="E689" s="476"/>
      <c r="F689" s="15"/>
    </row>
    <row r="690">
      <c r="B690" s="373"/>
      <c r="C690" s="377"/>
      <c r="D690" s="377"/>
      <c r="E690" s="476"/>
      <c r="F690" s="15"/>
    </row>
    <row r="691">
      <c r="B691" s="373"/>
      <c r="C691" s="377"/>
      <c r="D691" s="377"/>
      <c r="E691" s="476"/>
      <c r="F691" s="15"/>
    </row>
    <row r="692">
      <c r="B692" s="373"/>
      <c r="C692" s="377"/>
      <c r="D692" s="377"/>
      <c r="E692" s="476"/>
      <c r="F692" s="15"/>
    </row>
    <row r="693">
      <c r="B693" s="373"/>
      <c r="C693" s="377"/>
      <c r="D693" s="377"/>
      <c r="E693" s="476"/>
      <c r="F693" s="15"/>
    </row>
    <row r="694">
      <c r="B694" s="373"/>
      <c r="C694" s="377"/>
      <c r="D694" s="377"/>
      <c r="E694" s="476"/>
      <c r="F694" s="15"/>
    </row>
    <row r="695">
      <c r="B695" s="373"/>
      <c r="C695" s="377"/>
      <c r="D695" s="377"/>
      <c r="E695" s="476"/>
      <c r="F695" s="15"/>
    </row>
    <row r="696">
      <c r="B696" s="373"/>
      <c r="C696" s="377"/>
      <c r="D696" s="377"/>
      <c r="E696" s="476"/>
      <c r="F696" s="15"/>
    </row>
    <row r="697">
      <c r="B697" s="373"/>
      <c r="C697" s="377"/>
      <c r="D697" s="377"/>
      <c r="E697" s="476"/>
      <c r="F697" s="15"/>
    </row>
    <row r="698">
      <c r="B698" s="373"/>
      <c r="C698" s="377"/>
      <c r="D698" s="377"/>
      <c r="E698" s="476"/>
      <c r="F698" s="15"/>
    </row>
    <row r="699">
      <c r="B699" s="373"/>
      <c r="C699" s="377"/>
      <c r="D699" s="377"/>
      <c r="E699" s="476"/>
      <c r="F699" s="15"/>
    </row>
    <row r="700">
      <c r="B700" s="373"/>
      <c r="C700" s="377"/>
      <c r="D700" s="377"/>
      <c r="E700" s="476"/>
      <c r="F700" s="15"/>
    </row>
    <row r="701">
      <c r="B701" s="373"/>
      <c r="C701" s="377"/>
      <c r="D701" s="377"/>
      <c r="E701" s="476"/>
      <c r="F701" s="15"/>
    </row>
    <row r="702">
      <c r="B702" s="373"/>
      <c r="C702" s="377"/>
      <c r="D702" s="377"/>
      <c r="E702" s="476"/>
      <c r="F702" s="15"/>
    </row>
    <row r="703">
      <c r="B703" s="373"/>
      <c r="C703" s="377"/>
      <c r="D703" s="377"/>
      <c r="E703" s="476"/>
      <c r="F703" s="15"/>
    </row>
    <row r="704">
      <c r="B704" s="373"/>
      <c r="C704" s="377"/>
      <c r="D704" s="377"/>
      <c r="E704" s="476"/>
      <c r="F704" s="15"/>
    </row>
    <row r="705">
      <c r="B705" s="373"/>
      <c r="C705" s="377"/>
      <c r="D705" s="377"/>
      <c r="E705" s="476"/>
      <c r="F705" s="15"/>
    </row>
    <row r="706">
      <c r="B706" s="373"/>
      <c r="C706" s="377"/>
      <c r="D706" s="377"/>
      <c r="E706" s="476"/>
      <c r="F706" s="15"/>
    </row>
    <row r="707">
      <c r="B707" s="373"/>
      <c r="C707" s="377"/>
      <c r="D707" s="377"/>
      <c r="E707" s="476"/>
      <c r="F707" s="15"/>
    </row>
    <row r="708">
      <c r="B708" s="373"/>
      <c r="C708" s="377"/>
      <c r="D708" s="377"/>
      <c r="E708" s="476"/>
      <c r="F708" s="15"/>
    </row>
    <row r="709">
      <c r="B709" s="373"/>
      <c r="C709" s="377"/>
      <c r="D709" s="377"/>
      <c r="E709" s="476"/>
      <c r="F709" s="15"/>
    </row>
    <row r="710">
      <c r="B710" s="373"/>
      <c r="C710" s="377"/>
      <c r="D710" s="377"/>
      <c r="E710" s="476"/>
      <c r="F710" s="15"/>
    </row>
    <row r="711">
      <c r="B711" s="373"/>
      <c r="C711" s="377"/>
      <c r="D711" s="377"/>
      <c r="E711" s="476"/>
      <c r="F711" s="15"/>
    </row>
    <row r="712">
      <c r="B712" s="373"/>
      <c r="C712" s="377"/>
      <c r="D712" s="377"/>
      <c r="E712" s="476"/>
      <c r="F712" s="15"/>
    </row>
    <row r="713">
      <c r="B713" s="373"/>
      <c r="C713" s="377"/>
      <c r="D713" s="377"/>
      <c r="E713" s="476"/>
      <c r="F713" s="15"/>
    </row>
    <row r="714">
      <c r="B714" s="373"/>
      <c r="C714" s="377"/>
      <c r="D714" s="377"/>
      <c r="E714" s="476"/>
      <c r="F714" s="15"/>
    </row>
    <row r="715">
      <c r="B715" s="373"/>
      <c r="C715" s="377"/>
      <c r="D715" s="377"/>
      <c r="E715" s="476"/>
      <c r="F715" s="15"/>
    </row>
    <row r="716">
      <c r="B716" s="373"/>
      <c r="C716" s="377"/>
      <c r="D716" s="377"/>
      <c r="E716" s="476"/>
      <c r="F716" s="15"/>
    </row>
    <row r="717">
      <c r="B717" s="373"/>
      <c r="C717" s="377"/>
      <c r="D717" s="377"/>
      <c r="E717" s="476"/>
      <c r="F717" s="15"/>
    </row>
    <row r="718">
      <c r="B718" s="373"/>
      <c r="C718" s="377"/>
      <c r="D718" s="377"/>
      <c r="E718" s="476"/>
      <c r="F718" s="15"/>
    </row>
    <row r="719">
      <c r="B719" s="373"/>
      <c r="C719" s="377"/>
      <c r="D719" s="377"/>
      <c r="E719" s="476"/>
      <c r="F719" s="15"/>
    </row>
    <row r="720">
      <c r="B720" s="373"/>
      <c r="C720" s="377"/>
      <c r="D720" s="377"/>
      <c r="E720" s="476"/>
      <c r="F720" s="15"/>
    </row>
    <row r="721">
      <c r="B721" s="373"/>
      <c r="C721" s="377"/>
      <c r="D721" s="377"/>
      <c r="E721" s="476"/>
      <c r="F721" s="15"/>
    </row>
    <row r="722">
      <c r="B722" s="373"/>
      <c r="C722" s="377"/>
      <c r="D722" s="377"/>
      <c r="E722" s="476"/>
      <c r="F722" s="15"/>
    </row>
    <row r="723">
      <c r="B723" s="373"/>
      <c r="C723" s="377"/>
      <c r="D723" s="377"/>
      <c r="E723" s="476"/>
      <c r="F723" s="15"/>
    </row>
    <row r="724">
      <c r="B724" s="373"/>
      <c r="C724" s="377"/>
      <c r="D724" s="377"/>
      <c r="E724" s="476"/>
      <c r="F724" s="15"/>
    </row>
    <row r="725">
      <c r="B725" s="373"/>
      <c r="C725" s="377"/>
      <c r="D725" s="377"/>
      <c r="E725" s="476"/>
      <c r="F725" s="15"/>
    </row>
    <row r="726">
      <c r="B726" s="373"/>
      <c r="C726" s="377"/>
      <c r="D726" s="377"/>
      <c r="E726" s="476"/>
      <c r="F726" s="15"/>
    </row>
    <row r="727">
      <c r="B727" s="373"/>
      <c r="C727" s="377"/>
      <c r="D727" s="377"/>
      <c r="E727" s="476"/>
      <c r="F727" s="15"/>
    </row>
    <row r="728">
      <c r="B728" s="373"/>
      <c r="C728" s="377"/>
      <c r="D728" s="377"/>
      <c r="E728" s="476"/>
      <c r="F728" s="15"/>
    </row>
    <row r="729">
      <c r="B729" s="373"/>
      <c r="C729" s="377"/>
      <c r="D729" s="377"/>
      <c r="E729" s="476"/>
      <c r="F729" s="15"/>
    </row>
    <row r="730">
      <c r="B730" s="373"/>
      <c r="C730" s="377"/>
      <c r="D730" s="377"/>
      <c r="E730" s="476"/>
      <c r="F730" s="15"/>
    </row>
    <row r="731">
      <c r="B731" s="373"/>
      <c r="C731" s="377"/>
      <c r="D731" s="377"/>
      <c r="E731" s="476"/>
      <c r="F731" s="15"/>
    </row>
    <row r="732">
      <c r="B732" s="373"/>
      <c r="C732" s="377"/>
      <c r="D732" s="377"/>
      <c r="E732" s="476"/>
      <c r="F732" s="15"/>
    </row>
    <row r="733">
      <c r="B733" s="373"/>
      <c r="C733" s="377"/>
      <c r="D733" s="377"/>
      <c r="E733" s="476"/>
      <c r="F733" s="15"/>
    </row>
    <row r="734">
      <c r="B734" s="373"/>
      <c r="C734" s="377"/>
      <c r="D734" s="377"/>
      <c r="E734" s="476"/>
      <c r="F734" s="15"/>
    </row>
    <row r="735">
      <c r="B735" s="373"/>
      <c r="C735" s="377"/>
      <c r="D735" s="377"/>
      <c r="E735" s="476"/>
      <c r="F735" s="15"/>
    </row>
    <row r="736">
      <c r="B736" s="373"/>
      <c r="C736" s="377"/>
      <c r="D736" s="377"/>
      <c r="E736" s="476"/>
      <c r="F736" s="15"/>
    </row>
    <row r="737">
      <c r="B737" s="373"/>
      <c r="C737" s="377"/>
      <c r="D737" s="377"/>
      <c r="E737" s="476"/>
      <c r="F737" s="15"/>
    </row>
    <row r="738">
      <c r="B738" s="373"/>
      <c r="C738" s="377"/>
      <c r="D738" s="377"/>
      <c r="E738" s="476"/>
      <c r="F738" s="15"/>
    </row>
    <row r="739">
      <c r="B739" s="373"/>
      <c r="C739" s="377"/>
      <c r="D739" s="377"/>
      <c r="E739" s="476"/>
      <c r="F739" s="15"/>
    </row>
    <row r="740">
      <c r="B740" s="373"/>
      <c r="C740" s="377"/>
      <c r="D740" s="377"/>
      <c r="E740" s="476"/>
      <c r="F740" s="15"/>
    </row>
    <row r="741">
      <c r="B741" s="373"/>
      <c r="C741" s="377"/>
      <c r="D741" s="377"/>
      <c r="E741" s="476"/>
      <c r="F741" s="15"/>
    </row>
    <row r="742">
      <c r="B742" s="373"/>
      <c r="C742" s="377"/>
      <c r="D742" s="377"/>
      <c r="E742" s="476"/>
      <c r="F742" s="15"/>
    </row>
    <row r="743">
      <c r="B743" s="373"/>
      <c r="C743" s="377"/>
      <c r="D743" s="377"/>
      <c r="E743" s="476"/>
      <c r="F743" s="15"/>
    </row>
    <row r="744">
      <c r="B744" s="373"/>
      <c r="C744" s="377"/>
      <c r="D744" s="377"/>
      <c r="E744" s="476"/>
      <c r="F744" s="15"/>
    </row>
    <row r="745">
      <c r="B745" s="373"/>
      <c r="C745" s="377"/>
      <c r="D745" s="377"/>
      <c r="E745" s="476"/>
      <c r="F745" s="15"/>
    </row>
    <row r="746">
      <c r="B746" s="373"/>
      <c r="C746" s="377"/>
      <c r="D746" s="377"/>
      <c r="E746" s="476"/>
      <c r="F746" s="15"/>
    </row>
    <row r="747">
      <c r="B747" s="373"/>
      <c r="C747" s="377"/>
      <c r="D747" s="377"/>
      <c r="E747" s="476"/>
      <c r="F747" s="15"/>
    </row>
    <row r="748">
      <c r="B748" s="373"/>
      <c r="C748" s="377"/>
      <c r="D748" s="377"/>
      <c r="E748" s="476"/>
      <c r="F748" s="15"/>
    </row>
    <row r="749">
      <c r="B749" s="373"/>
      <c r="C749" s="377"/>
      <c r="D749" s="377"/>
      <c r="E749" s="476"/>
      <c r="F749" s="15"/>
    </row>
    <row r="750">
      <c r="B750" s="373"/>
      <c r="C750" s="377"/>
      <c r="D750" s="377"/>
      <c r="E750" s="476"/>
      <c r="F750" s="15"/>
    </row>
    <row r="751">
      <c r="B751" s="373"/>
      <c r="C751" s="377"/>
      <c r="D751" s="377"/>
      <c r="E751" s="476"/>
      <c r="F751" s="15"/>
    </row>
    <row r="752">
      <c r="B752" s="373"/>
      <c r="C752" s="377"/>
      <c r="D752" s="377"/>
      <c r="E752" s="476"/>
      <c r="F752" s="15"/>
    </row>
    <row r="753">
      <c r="B753" s="373"/>
      <c r="C753" s="377"/>
      <c r="D753" s="377"/>
      <c r="E753" s="476"/>
      <c r="F753" s="15"/>
    </row>
    <row r="754">
      <c r="B754" s="373"/>
      <c r="C754" s="377"/>
      <c r="D754" s="377"/>
      <c r="E754" s="476"/>
      <c r="F754" s="15"/>
    </row>
    <row r="755">
      <c r="B755" s="373"/>
      <c r="C755" s="377"/>
      <c r="D755" s="377"/>
      <c r="E755" s="476"/>
      <c r="F755" s="15"/>
    </row>
    <row r="756">
      <c r="B756" s="373"/>
      <c r="C756" s="377"/>
      <c r="D756" s="377"/>
      <c r="E756" s="476"/>
      <c r="F756" s="15"/>
    </row>
    <row r="757">
      <c r="B757" s="373"/>
      <c r="C757" s="377"/>
      <c r="D757" s="377"/>
      <c r="E757" s="476"/>
      <c r="F757" s="15"/>
    </row>
    <row r="758">
      <c r="B758" s="373"/>
      <c r="C758" s="377"/>
      <c r="D758" s="377"/>
      <c r="E758" s="476"/>
      <c r="F758" s="15"/>
    </row>
    <row r="759">
      <c r="B759" s="373"/>
      <c r="C759" s="377"/>
      <c r="D759" s="377"/>
      <c r="E759" s="476"/>
      <c r="F759" s="15"/>
    </row>
    <row r="760">
      <c r="B760" s="373"/>
      <c r="C760" s="377"/>
      <c r="D760" s="377"/>
      <c r="E760" s="476"/>
      <c r="F760" s="15"/>
    </row>
    <row r="761">
      <c r="B761" s="373"/>
      <c r="C761" s="377"/>
      <c r="D761" s="377"/>
      <c r="E761" s="476"/>
      <c r="F761" s="15"/>
    </row>
    <row r="762">
      <c r="B762" s="373"/>
      <c r="C762" s="377"/>
      <c r="D762" s="377"/>
      <c r="E762" s="476"/>
      <c r="F762" s="15"/>
    </row>
    <row r="763">
      <c r="B763" s="373"/>
      <c r="C763" s="377"/>
      <c r="D763" s="377"/>
      <c r="E763" s="476"/>
      <c r="F763" s="15"/>
    </row>
    <row r="764">
      <c r="B764" s="373"/>
      <c r="C764" s="377"/>
      <c r="D764" s="377"/>
      <c r="E764" s="476"/>
      <c r="F764" s="15"/>
    </row>
    <row r="765">
      <c r="B765" s="373"/>
      <c r="C765" s="377"/>
      <c r="D765" s="377"/>
      <c r="E765" s="476"/>
      <c r="F765" s="15"/>
    </row>
    <row r="766">
      <c r="B766" s="373"/>
      <c r="C766" s="377"/>
      <c r="D766" s="377"/>
      <c r="E766" s="476"/>
      <c r="F766" s="15"/>
    </row>
    <row r="767">
      <c r="B767" s="373"/>
      <c r="C767" s="377"/>
      <c r="D767" s="377"/>
      <c r="E767" s="476"/>
      <c r="F767" s="15"/>
    </row>
    <row r="768">
      <c r="B768" s="373"/>
      <c r="C768" s="377"/>
      <c r="D768" s="377"/>
      <c r="E768" s="476"/>
      <c r="F768" s="15"/>
    </row>
    <row r="769">
      <c r="B769" s="373"/>
      <c r="C769" s="377"/>
      <c r="D769" s="377"/>
      <c r="E769" s="476"/>
      <c r="F769" s="15"/>
    </row>
    <row r="770">
      <c r="B770" s="373"/>
      <c r="C770" s="377"/>
      <c r="D770" s="377"/>
      <c r="E770" s="476"/>
      <c r="F770" s="15"/>
    </row>
    <row r="771">
      <c r="B771" s="373"/>
      <c r="C771" s="377"/>
      <c r="D771" s="377"/>
      <c r="E771" s="476"/>
      <c r="F771" s="15"/>
    </row>
    <row r="772">
      <c r="B772" s="373"/>
      <c r="C772" s="377"/>
      <c r="D772" s="377"/>
      <c r="E772" s="476"/>
      <c r="F772" s="15"/>
    </row>
    <row r="773">
      <c r="B773" s="373"/>
      <c r="C773" s="377"/>
      <c r="D773" s="377"/>
      <c r="E773" s="476"/>
      <c r="F773" s="15"/>
    </row>
    <row r="774">
      <c r="B774" s="373"/>
      <c r="C774" s="377"/>
      <c r="D774" s="377"/>
      <c r="E774" s="476"/>
      <c r="F774" s="15"/>
    </row>
    <row r="775">
      <c r="B775" s="373"/>
      <c r="C775" s="377"/>
      <c r="D775" s="377"/>
      <c r="E775" s="476"/>
      <c r="F775" s="15"/>
    </row>
    <row r="776">
      <c r="B776" s="373"/>
      <c r="C776" s="377"/>
      <c r="D776" s="377"/>
      <c r="E776" s="476"/>
      <c r="F776" s="15"/>
    </row>
    <row r="777">
      <c r="B777" s="373"/>
      <c r="C777" s="377"/>
      <c r="D777" s="377"/>
      <c r="E777" s="476"/>
      <c r="F777" s="15"/>
    </row>
    <row r="778">
      <c r="B778" s="373"/>
      <c r="C778" s="377"/>
      <c r="D778" s="377"/>
      <c r="E778" s="476"/>
      <c r="F778" s="15"/>
    </row>
    <row r="779">
      <c r="B779" s="373"/>
      <c r="C779" s="377"/>
      <c r="D779" s="377"/>
      <c r="E779" s="476"/>
      <c r="F779" s="15"/>
    </row>
    <row r="780">
      <c r="B780" s="373"/>
      <c r="C780" s="377"/>
      <c r="D780" s="377"/>
      <c r="E780" s="476"/>
      <c r="F780" s="15"/>
    </row>
    <row r="781">
      <c r="B781" s="373"/>
      <c r="C781" s="377"/>
      <c r="D781" s="377"/>
      <c r="E781" s="476"/>
      <c r="F781" s="15"/>
    </row>
    <row r="782">
      <c r="B782" s="373"/>
      <c r="C782" s="377"/>
      <c r="D782" s="377"/>
      <c r="E782" s="476"/>
      <c r="F782" s="15"/>
    </row>
    <row r="783">
      <c r="B783" s="373"/>
      <c r="C783" s="377"/>
      <c r="D783" s="377"/>
      <c r="E783" s="476"/>
      <c r="F783" s="15"/>
    </row>
    <row r="784">
      <c r="B784" s="373"/>
      <c r="C784" s="377"/>
      <c r="D784" s="377"/>
      <c r="E784" s="476"/>
      <c r="F784" s="15"/>
    </row>
    <row r="785">
      <c r="B785" s="373"/>
      <c r="C785" s="377"/>
      <c r="D785" s="377"/>
      <c r="E785" s="476"/>
      <c r="F785" s="15"/>
    </row>
    <row r="786">
      <c r="B786" s="373"/>
      <c r="C786" s="377"/>
      <c r="D786" s="377"/>
      <c r="E786" s="476"/>
      <c r="F786" s="15"/>
    </row>
    <row r="787">
      <c r="B787" s="373"/>
      <c r="C787" s="377"/>
      <c r="D787" s="377"/>
      <c r="E787" s="476"/>
      <c r="F787" s="15"/>
    </row>
    <row r="788">
      <c r="B788" s="373"/>
      <c r="C788" s="377"/>
      <c r="D788" s="377"/>
      <c r="E788" s="476"/>
      <c r="F788" s="15"/>
    </row>
    <row r="789">
      <c r="B789" s="373"/>
      <c r="C789" s="377"/>
      <c r="D789" s="377"/>
      <c r="E789" s="476"/>
      <c r="F789" s="15"/>
    </row>
    <row r="790">
      <c r="B790" s="373"/>
      <c r="C790" s="377"/>
      <c r="D790" s="377"/>
      <c r="E790" s="476"/>
      <c r="F790" s="15"/>
    </row>
    <row r="791">
      <c r="B791" s="373"/>
      <c r="C791" s="377"/>
      <c r="D791" s="377"/>
      <c r="E791" s="476"/>
      <c r="F791" s="15"/>
    </row>
    <row r="792">
      <c r="B792" s="373"/>
      <c r="C792" s="377"/>
      <c r="D792" s="377"/>
      <c r="E792" s="476"/>
      <c r="F792" s="15"/>
    </row>
    <row r="793">
      <c r="B793" s="373"/>
      <c r="C793" s="377"/>
      <c r="D793" s="377"/>
      <c r="E793" s="476"/>
      <c r="F793" s="15"/>
    </row>
    <row r="794">
      <c r="B794" s="373"/>
      <c r="C794" s="377"/>
      <c r="D794" s="377"/>
      <c r="E794" s="476"/>
      <c r="F794" s="15"/>
    </row>
    <row r="795">
      <c r="B795" s="373"/>
      <c r="C795" s="377"/>
      <c r="D795" s="377"/>
      <c r="E795" s="476"/>
      <c r="F795" s="15"/>
    </row>
    <row r="796">
      <c r="B796" s="373"/>
      <c r="C796" s="377"/>
      <c r="D796" s="377"/>
      <c r="E796" s="476"/>
      <c r="F796" s="15"/>
    </row>
    <row r="797">
      <c r="B797" s="373"/>
      <c r="C797" s="377"/>
      <c r="D797" s="377"/>
      <c r="E797" s="476"/>
      <c r="F797" s="15"/>
    </row>
    <row r="798">
      <c r="B798" s="373"/>
      <c r="C798" s="377"/>
      <c r="D798" s="377"/>
      <c r="E798" s="476"/>
      <c r="F798" s="15"/>
    </row>
    <row r="799">
      <c r="B799" s="373"/>
      <c r="C799" s="377"/>
      <c r="D799" s="377"/>
      <c r="E799" s="476"/>
      <c r="F799" s="15"/>
    </row>
    <row r="800">
      <c r="B800" s="373"/>
      <c r="C800" s="377"/>
      <c r="D800" s="377"/>
      <c r="E800" s="476"/>
      <c r="F800" s="15"/>
    </row>
    <row r="801">
      <c r="B801" s="373"/>
      <c r="C801" s="377"/>
      <c r="D801" s="377"/>
      <c r="E801" s="476"/>
      <c r="F801" s="15"/>
    </row>
    <row r="802">
      <c r="B802" s="373"/>
      <c r="C802" s="377"/>
      <c r="D802" s="377"/>
      <c r="E802" s="476"/>
      <c r="F802" s="15"/>
    </row>
    <row r="803">
      <c r="B803" s="373"/>
      <c r="C803" s="377"/>
      <c r="D803" s="377"/>
      <c r="E803" s="476"/>
      <c r="F803" s="15"/>
    </row>
    <row r="804">
      <c r="B804" s="373"/>
      <c r="C804" s="377"/>
      <c r="D804" s="377"/>
      <c r="E804" s="476"/>
      <c r="F804" s="15"/>
    </row>
    <row r="805">
      <c r="B805" s="373"/>
      <c r="C805" s="377"/>
      <c r="D805" s="377"/>
      <c r="E805" s="476"/>
      <c r="F805" s="15"/>
    </row>
    <row r="806">
      <c r="B806" s="373"/>
      <c r="C806" s="377"/>
      <c r="D806" s="377"/>
      <c r="E806" s="476"/>
      <c r="F806" s="15"/>
    </row>
    <row r="807">
      <c r="B807" s="373"/>
      <c r="C807" s="377"/>
      <c r="D807" s="377"/>
      <c r="E807" s="476"/>
      <c r="F807" s="15"/>
    </row>
    <row r="808">
      <c r="B808" s="373"/>
      <c r="C808" s="377"/>
      <c r="D808" s="377"/>
      <c r="E808" s="476"/>
      <c r="F808" s="15"/>
    </row>
    <row r="809">
      <c r="B809" s="373"/>
      <c r="C809" s="377"/>
      <c r="D809" s="377"/>
      <c r="E809" s="476"/>
      <c r="F809" s="15"/>
    </row>
    <row r="810">
      <c r="B810" s="373"/>
      <c r="C810" s="377"/>
      <c r="D810" s="377"/>
      <c r="E810" s="476"/>
      <c r="F810" s="15"/>
    </row>
    <row r="811">
      <c r="B811" s="373"/>
      <c r="C811" s="377"/>
      <c r="D811" s="377"/>
      <c r="E811" s="476"/>
      <c r="F811" s="15"/>
    </row>
    <row r="812">
      <c r="B812" s="373"/>
      <c r="C812" s="377"/>
      <c r="D812" s="377"/>
      <c r="E812" s="476"/>
      <c r="F812" s="15"/>
    </row>
    <row r="813">
      <c r="B813" s="373"/>
      <c r="C813" s="377"/>
      <c r="D813" s="377"/>
      <c r="E813" s="476"/>
      <c r="F813" s="15"/>
    </row>
    <row r="814">
      <c r="B814" s="373"/>
      <c r="C814" s="377"/>
      <c r="D814" s="377"/>
      <c r="E814" s="476"/>
      <c r="F814" s="15"/>
    </row>
    <row r="815">
      <c r="B815" s="373"/>
      <c r="C815" s="377"/>
      <c r="D815" s="377"/>
      <c r="E815" s="476"/>
      <c r="F815" s="15"/>
    </row>
    <row r="816">
      <c r="B816" s="373"/>
      <c r="C816" s="377"/>
      <c r="D816" s="377"/>
      <c r="E816" s="476"/>
      <c r="F816" s="15"/>
    </row>
    <row r="817">
      <c r="B817" s="373"/>
      <c r="C817" s="377"/>
      <c r="D817" s="377"/>
      <c r="E817" s="476"/>
      <c r="F817" s="15"/>
    </row>
    <row r="818">
      <c r="B818" s="373"/>
      <c r="C818" s="377"/>
      <c r="D818" s="377"/>
      <c r="E818" s="476"/>
      <c r="F818" s="15"/>
    </row>
    <row r="819">
      <c r="B819" s="373"/>
      <c r="C819" s="377"/>
      <c r="D819" s="377"/>
      <c r="E819" s="476"/>
      <c r="F819" s="15"/>
    </row>
    <row r="820">
      <c r="B820" s="373"/>
      <c r="C820" s="377"/>
      <c r="D820" s="377"/>
      <c r="E820" s="476"/>
      <c r="F820" s="15"/>
    </row>
    <row r="821">
      <c r="B821" s="373"/>
      <c r="C821" s="377"/>
      <c r="D821" s="377"/>
      <c r="E821" s="476"/>
      <c r="F821" s="15"/>
    </row>
    <row r="822">
      <c r="B822" s="373"/>
      <c r="C822" s="377"/>
      <c r="D822" s="377"/>
      <c r="E822" s="476"/>
      <c r="F822" s="15"/>
    </row>
    <row r="823">
      <c r="B823" s="373"/>
      <c r="C823" s="377"/>
      <c r="D823" s="377"/>
      <c r="E823" s="476"/>
      <c r="F823" s="15"/>
    </row>
    <row r="824">
      <c r="B824" s="373"/>
      <c r="C824" s="377"/>
      <c r="D824" s="377"/>
      <c r="E824" s="476"/>
      <c r="F824" s="15"/>
    </row>
    <row r="825">
      <c r="B825" s="373"/>
      <c r="C825" s="377"/>
      <c r="D825" s="377"/>
      <c r="E825" s="476"/>
      <c r="F825" s="15"/>
    </row>
    <row r="826">
      <c r="B826" s="373"/>
      <c r="C826" s="377"/>
      <c r="D826" s="377"/>
      <c r="E826" s="476"/>
      <c r="F826" s="15"/>
    </row>
    <row r="827">
      <c r="B827" s="373"/>
      <c r="C827" s="377"/>
      <c r="D827" s="377"/>
      <c r="E827" s="476"/>
      <c r="F827" s="15"/>
    </row>
    <row r="828">
      <c r="B828" s="373"/>
      <c r="C828" s="377"/>
      <c r="D828" s="377"/>
      <c r="E828" s="476"/>
      <c r="F828" s="15"/>
    </row>
    <row r="829">
      <c r="B829" s="373"/>
      <c r="C829" s="377"/>
      <c r="D829" s="377"/>
      <c r="E829" s="476"/>
      <c r="F829" s="15"/>
    </row>
    <row r="830">
      <c r="B830" s="373"/>
      <c r="C830" s="377"/>
      <c r="D830" s="377"/>
      <c r="E830" s="476"/>
      <c r="F830" s="15"/>
    </row>
    <row r="831">
      <c r="B831" s="373"/>
      <c r="C831" s="377"/>
      <c r="D831" s="377"/>
      <c r="E831" s="476"/>
      <c r="F831" s="15"/>
    </row>
    <row r="832">
      <c r="B832" s="373"/>
      <c r="C832" s="377"/>
      <c r="D832" s="377"/>
      <c r="E832" s="476"/>
      <c r="F832" s="15"/>
    </row>
    <row r="833">
      <c r="B833" s="373"/>
      <c r="C833" s="377"/>
      <c r="D833" s="377"/>
      <c r="E833" s="476"/>
      <c r="F833" s="15"/>
    </row>
    <row r="834">
      <c r="B834" s="373"/>
      <c r="C834" s="377"/>
      <c r="D834" s="377"/>
      <c r="E834" s="476"/>
      <c r="F834" s="15"/>
    </row>
    <row r="835">
      <c r="B835" s="373"/>
      <c r="C835" s="377"/>
      <c r="D835" s="377"/>
      <c r="E835" s="476"/>
      <c r="F835" s="15"/>
    </row>
    <row r="836">
      <c r="B836" s="373"/>
      <c r="C836" s="377"/>
      <c r="D836" s="377"/>
      <c r="E836" s="476"/>
      <c r="F836" s="15"/>
    </row>
    <row r="837">
      <c r="B837" s="373"/>
      <c r="C837" s="377"/>
      <c r="D837" s="377"/>
      <c r="E837" s="476"/>
      <c r="F837" s="15"/>
    </row>
    <row r="838">
      <c r="B838" s="373"/>
      <c r="C838" s="377"/>
      <c r="D838" s="377"/>
      <c r="E838" s="476"/>
      <c r="F838" s="15"/>
    </row>
    <row r="839">
      <c r="B839" s="373"/>
      <c r="C839" s="377"/>
      <c r="D839" s="377"/>
      <c r="E839" s="476"/>
      <c r="F839" s="15"/>
    </row>
    <row r="840">
      <c r="B840" s="373"/>
      <c r="C840" s="377"/>
      <c r="D840" s="377"/>
      <c r="E840" s="476"/>
      <c r="F840" s="15"/>
    </row>
    <row r="841">
      <c r="B841" s="373"/>
      <c r="C841" s="377"/>
      <c r="D841" s="377"/>
      <c r="E841" s="476"/>
      <c r="F841" s="15"/>
    </row>
    <row r="842">
      <c r="B842" s="373"/>
      <c r="C842" s="377"/>
      <c r="D842" s="377"/>
      <c r="E842" s="476"/>
      <c r="F842" s="15"/>
    </row>
    <row r="843">
      <c r="B843" s="373"/>
      <c r="C843" s="377"/>
      <c r="D843" s="377"/>
      <c r="E843" s="476"/>
      <c r="F843" s="15"/>
    </row>
    <row r="844">
      <c r="B844" s="373"/>
      <c r="C844" s="377"/>
      <c r="D844" s="377"/>
      <c r="E844" s="476"/>
      <c r="F844" s="15"/>
    </row>
    <row r="845">
      <c r="B845" s="373"/>
      <c r="C845" s="377"/>
      <c r="D845" s="377"/>
      <c r="E845" s="476"/>
      <c r="F845" s="15"/>
    </row>
    <row r="846">
      <c r="B846" s="373"/>
      <c r="C846" s="377"/>
      <c r="D846" s="377"/>
      <c r="E846" s="476"/>
      <c r="F846" s="15"/>
    </row>
    <row r="847">
      <c r="B847" s="373"/>
      <c r="C847" s="377"/>
      <c r="D847" s="377"/>
      <c r="E847" s="476"/>
      <c r="F847" s="15"/>
    </row>
    <row r="848">
      <c r="B848" s="373"/>
      <c r="C848" s="377"/>
      <c r="D848" s="377"/>
      <c r="E848" s="476"/>
      <c r="F848" s="15"/>
    </row>
    <row r="849">
      <c r="B849" s="373"/>
      <c r="C849" s="377"/>
      <c r="D849" s="377"/>
      <c r="E849" s="476"/>
      <c r="F849" s="15"/>
    </row>
    <row r="850">
      <c r="B850" s="373"/>
      <c r="C850" s="377"/>
      <c r="D850" s="377"/>
      <c r="E850" s="476"/>
      <c r="F850" s="15"/>
    </row>
    <row r="851">
      <c r="B851" s="373"/>
      <c r="C851" s="377"/>
      <c r="D851" s="377"/>
      <c r="E851" s="476"/>
      <c r="F851" s="15"/>
    </row>
    <row r="852">
      <c r="B852" s="373"/>
      <c r="C852" s="377"/>
      <c r="D852" s="377"/>
      <c r="E852" s="476"/>
      <c r="F852" s="15"/>
    </row>
    <row r="853">
      <c r="B853" s="373"/>
      <c r="C853" s="377"/>
      <c r="D853" s="377"/>
      <c r="E853" s="476"/>
      <c r="F853" s="15"/>
    </row>
    <row r="854">
      <c r="B854" s="373"/>
      <c r="C854" s="377"/>
      <c r="D854" s="377"/>
      <c r="E854" s="476"/>
      <c r="F854" s="15"/>
    </row>
    <row r="855">
      <c r="B855" s="373"/>
      <c r="C855" s="377"/>
      <c r="D855" s="377"/>
      <c r="E855" s="476"/>
      <c r="F855" s="15"/>
    </row>
    <row r="856">
      <c r="B856" s="373"/>
      <c r="C856" s="377"/>
      <c r="D856" s="377"/>
      <c r="E856" s="476"/>
      <c r="F856" s="15"/>
    </row>
    <row r="857">
      <c r="B857" s="373"/>
      <c r="C857" s="377"/>
      <c r="D857" s="377"/>
      <c r="E857" s="476"/>
      <c r="F857" s="15"/>
    </row>
    <row r="858">
      <c r="B858" s="373"/>
      <c r="C858" s="377"/>
      <c r="D858" s="377"/>
      <c r="E858" s="476"/>
      <c r="F858" s="15"/>
    </row>
    <row r="859">
      <c r="B859" s="373"/>
      <c r="C859" s="377"/>
      <c r="D859" s="377"/>
      <c r="E859" s="476"/>
      <c r="F859" s="15"/>
    </row>
    <row r="860">
      <c r="B860" s="373"/>
      <c r="C860" s="377"/>
      <c r="D860" s="377"/>
      <c r="E860" s="476"/>
      <c r="F860" s="15"/>
    </row>
    <row r="861">
      <c r="B861" s="373"/>
      <c r="C861" s="377"/>
      <c r="D861" s="377"/>
      <c r="E861" s="476"/>
      <c r="F861" s="15"/>
    </row>
    <row r="862">
      <c r="B862" s="373"/>
      <c r="C862" s="377"/>
      <c r="D862" s="377"/>
      <c r="E862" s="476"/>
      <c r="F862" s="15"/>
    </row>
    <row r="863">
      <c r="B863" s="373"/>
      <c r="C863" s="377"/>
      <c r="D863" s="377"/>
      <c r="E863" s="476"/>
      <c r="F863" s="15"/>
    </row>
    <row r="864">
      <c r="B864" s="373"/>
      <c r="C864" s="377"/>
      <c r="D864" s="377"/>
      <c r="E864" s="476"/>
      <c r="F864" s="15"/>
    </row>
    <row r="865">
      <c r="B865" s="373"/>
      <c r="C865" s="377"/>
      <c r="D865" s="377"/>
      <c r="E865" s="476"/>
      <c r="F865" s="15"/>
    </row>
    <row r="866">
      <c r="B866" s="373"/>
      <c r="C866" s="377"/>
      <c r="D866" s="377"/>
      <c r="E866" s="476"/>
      <c r="F866" s="15"/>
    </row>
    <row r="867">
      <c r="B867" s="373"/>
      <c r="C867" s="377"/>
      <c r="D867" s="377"/>
      <c r="E867" s="476"/>
      <c r="F867" s="15"/>
    </row>
    <row r="868">
      <c r="B868" s="373"/>
      <c r="C868" s="377"/>
      <c r="D868" s="377"/>
      <c r="E868" s="476"/>
      <c r="F868" s="15"/>
    </row>
    <row r="869">
      <c r="B869" s="373"/>
      <c r="C869" s="377"/>
      <c r="D869" s="377"/>
      <c r="E869" s="476"/>
      <c r="F869" s="15"/>
    </row>
    <row r="870">
      <c r="B870" s="373"/>
      <c r="C870" s="377"/>
      <c r="D870" s="377"/>
      <c r="E870" s="476"/>
      <c r="F870" s="15"/>
    </row>
    <row r="871">
      <c r="B871" s="373"/>
      <c r="C871" s="377"/>
      <c r="D871" s="377"/>
      <c r="E871" s="476"/>
      <c r="F871" s="15"/>
    </row>
    <row r="872">
      <c r="B872" s="373"/>
      <c r="C872" s="377"/>
      <c r="D872" s="377"/>
      <c r="E872" s="476"/>
      <c r="F872" s="15"/>
    </row>
    <row r="873">
      <c r="B873" s="373"/>
      <c r="C873" s="377"/>
      <c r="D873" s="377"/>
      <c r="E873" s="476"/>
      <c r="F873" s="15"/>
    </row>
    <row r="874">
      <c r="B874" s="373"/>
      <c r="C874" s="377"/>
      <c r="D874" s="377"/>
      <c r="E874" s="476"/>
      <c r="F874" s="15"/>
    </row>
    <row r="875">
      <c r="B875" s="373"/>
      <c r="C875" s="377"/>
      <c r="D875" s="377"/>
      <c r="E875" s="476"/>
      <c r="F875" s="15"/>
    </row>
    <row r="876">
      <c r="B876" s="373"/>
      <c r="C876" s="377"/>
      <c r="D876" s="377"/>
      <c r="E876" s="476"/>
      <c r="F876" s="15"/>
    </row>
    <row r="877">
      <c r="B877" s="373"/>
      <c r="C877" s="377"/>
      <c r="D877" s="377"/>
      <c r="E877" s="476"/>
      <c r="F877" s="15"/>
    </row>
    <row r="878">
      <c r="B878" s="373"/>
      <c r="C878" s="377"/>
      <c r="D878" s="377"/>
      <c r="E878" s="476"/>
      <c r="F878" s="15"/>
    </row>
    <row r="879">
      <c r="B879" s="373"/>
      <c r="C879" s="377"/>
      <c r="D879" s="377"/>
      <c r="E879" s="476"/>
      <c r="F879" s="15"/>
    </row>
    <row r="880">
      <c r="B880" s="373"/>
      <c r="C880" s="377"/>
      <c r="D880" s="377"/>
      <c r="E880" s="476"/>
      <c r="F880" s="15"/>
    </row>
    <row r="881">
      <c r="B881" s="373"/>
      <c r="C881" s="377"/>
      <c r="D881" s="377"/>
      <c r="E881" s="476"/>
      <c r="F881" s="15"/>
    </row>
    <row r="882">
      <c r="B882" s="373"/>
      <c r="C882" s="377"/>
      <c r="D882" s="377"/>
      <c r="E882" s="476"/>
      <c r="F882" s="15"/>
    </row>
    <row r="883">
      <c r="B883" s="373"/>
      <c r="C883" s="377"/>
      <c r="D883" s="377"/>
      <c r="E883" s="476"/>
      <c r="F883" s="15"/>
    </row>
    <row r="884">
      <c r="B884" s="373"/>
      <c r="C884" s="377"/>
      <c r="D884" s="377"/>
      <c r="E884" s="476"/>
      <c r="F884" s="15"/>
    </row>
    <row r="885">
      <c r="B885" s="373"/>
      <c r="C885" s="377"/>
      <c r="D885" s="377"/>
      <c r="E885" s="476"/>
      <c r="F885" s="15"/>
    </row>
    <row r="886">
      <c r="B886" s="373"/>
      <c r="C886" s="377"/>
      <c r="D886" s="377"/>
      <c r="E886" s="476"/>
      <c r="F886" s="15"/>
    </row>
    <row r="887">
      <c r="B887" s="373"/>
      <c r="C887" s="377"/>
      <c r="D887" s="377"/>
      <c r="E887" s="476"/>
      <c r="F887" s="15"/>
    </row>
    <row r="888">
      <c r="B888" s="373"/>
      <c r="C888" s="377"/>
      <c r="D888" s="377"/>
      <c r="E888" s="476"/>
      <c r="F888" s="15"/>
    </row>
    <row r="889">
      <c r="B889" s="373"/>
      <c r="C889" s="377"/>
      <c r="D889" s="377"/>
      <c r="E889" s="476"/>
      <c r="F889" s="15"/>
    </row>
    <row r="890">
      <c r="B890" s="373"/>
      <c r="C890" s="377"/>
      <c r="D890" s="377"/>
      <c r="E890" s="476"/>
      <c r="F890" s="15"/>
    </row>
    <row r="891">
      <c r="B891" s="373"/>
      <c r="C891" s="377"/>
      <c r="D891" s="377"/>
      <c r="E891" s="476"/>
      <c r="F891" s="15"/>
    </row>
    <row r="892">
      <c r="B892" s="373"/>
      <c r="C892" s="377"/>
      <c r="D892" s="377"/>
      <c r="E892" s="476"/>
      <c r="F892" s="15"/>
    </row>
    <row r="893">
      <c r="B893" s="373"/>
      <c r="C893" s="377"/>
      <c r="D893" s="377"/>
      <c r="E893" s="476"/>
      <c r="F893" s="15"/>
    </row>
    <row r="894">
      <c r="B894" s="373"/>
      <c r="C894" s="377"/>
      <c r="D894" s="377"/>
      <c r="E894" s="476"/>
      <c r="F894" s="15"/>
    </row>
    <row r="895">
      <c r="B895" s="373"/>
      <c r="C895" s="377"/>
      <c r="D895" s="377"/>
      <c r="E895" s="476"/>
      <c r="F895" s="15"/>
    </row>
    <row r="896">
      <c r="B896" s="373"/>
      <c r="C896" s="377"/>
      <c r="D896" s="377"/>
      <c r="E896" s="476"/>
      <c r="F896" s="15"/>
    </row>
    <row r="897">
      <c r="B897" s="373"/>
      <c r="C897" s="377"/>
      <c r="D897" s="377"/>
      <c r="E897" s="476"/>
      <c r="F897" s="15"/>
    </row>
    <row r="898">
      <c r="B898" s="373"/>
      <c r="C898" s="377"/>
      <c r="D898" s="377"/>
      <c r="E898" s="476"/>
      <c r="F898" s="15"/>
    </row>
    <row r="899">
      <c r="B899" s="373"/>
      <c r="C899" s="377"/>
      <c r="D899" s="377"/>
      <c r="E899" s="476"/>
      <c r="F899" s="15"/>
    </row>
    <row r="900">
      <c r="B900" s="373"/>
      <c r="C900" s="377"/>
      <c r="D900" s="377"/>
      <c r="E900" s="476"/>
      <c r="F900" s="15"/>
    </row>
    <row r="901">
      <c r="B901" s="373"/>
      <c r="C901" s="377"/>
      <c r="D901" s="377"/>
      <c r="E901" s="476"/>
      <c r="F901" s="15"/>
    </row>
    <row r="902">
      <c r="B902" s="373"/>
      <c r="C902" s="377"/>
      <c r="D902" s="377"/>
      <c r="E902" s="476"/>
      <c r="F902" s="15"/>
    </row>
    <row r="903">
      <c r="B903" s="373"/>
      <c r="C903" s="377"/>
      <c r="D903" s="377"/>
      <c r="E903" s="476"/>
      <c r="F903" s="15"/>
    </row>
    <row r="904">
      <c r="B904" s="373"/>
      <c r="C904" s="377"/>
      <c r="D904" s="377"/>
      <c r="E904" s="476"/>
      <c r="F904" s="15"/>
    </row>
    <row r="905">
      <c r="B905" s="373"/>
      <c r="C905" s="377"/>
      <c r="D905" s="377"/>
      <c r="E905" s="476"/>
      <c r="F905" s="15"/>
    </row>
    <row r="906">
      <c r="B906" s="373"/>
      <c r="C906" s="377"/>
      <c r="D906" s="377"/>
      <c r="E906" s="476"/>
      <c r="F906" s="15"/>
    </row>
    <row r="907">
      <c r="B907" s="373"/>
      <c r="C907" s="377"/>
      <c r="D907" s="377"/>
      <c r="E907" s="476"/>
      <c r="F907" s="15"/>
    </row>
    <row r="908">
      <c r="B908" s="373"/>
      <c r="C908" s="377"/>
      <c r="D908" s="377"/>
      <c r="E908" s="476"/>
      <c r="F908" s="15"/>
    </row>
    <row r="909">
      <c r="B909" s="373"/>
      <c r="C909" s="377"/>
      <c r="D909" s="377"/>
      <c r="E909" s="476"/>
      <c r="F909" s="15"/>
    </row>
    <row r="910">
      <c r="B910" s="373"/>
      <c r="C910" s="377"/>
      <c r="D910" s="377"/>
      <c r="E910" s="476"/>
      <c r="F910" s="15"/>
    </row>
    <row r="911">
      <c r="B911" s="373"/>
      <c r="C911" s="377"/>
      <c r="D911" s="377"/>
      <c r="E911" s="476"/>
      <c r="F911" s="15"/>
    </row>
    <row r="912">
      <c r="B912" s="373"/>
      <c r="C912" s="377"/>
      <c r="D912" s="377"/>
      <c r="E912" s="476"/>
      <c r="F912" s="15"/>
    </row>
    <row r="913">
      <c r="B913" s="373"/>
      <c r="C913" s="377"/>
      <c r="D913" s="377"/>
      <c r="E913" s="476"/>
      <c r="F913" s="15"/>
    </row>
    <row r="914">
      <c r="B914" s="373"/>
      <c r="C914" s="377"/>
      <c r="D914" s="377"/>
      <c r="E914" s="476"/>
      <c r="F914" s="15"/>
    </row>
    <row r="915">
      <c r="B915" s="373"/>
      <c r="C915" s="377"/>
      <c r="D915" s="377"/>
      <c r="E915" s="476"/>
      <c r="F915" s="15"/>
    </row>
    <row r="916">
      <c r="B916" s="373"/>
      <c r="C916" s="377"/>
      <c r="D916" s="377"/>
      <c r="E916" s="476"/>
      <c r="F916" s="15"/>
    </row>
    <row r="917">
      <c r="B917" s="373"/>
      <c r="C917" s="377"/>
      <c r="D917" s="377"/>
      <c r="E917" s="476"/>
      <c r="F917" s="15"/>
    </row>
    <row r="918">
      <c r="B918" s="373"/>
      <c r="C918" s="377"/>
      <c r="D918" s="377"/>
      <c r="E918" s="476"/>
      <c r="F918" s="15"/>
    </row>
    <row r="919">
      <c r="B919" s="373"/>
      <c r="C919" s="377"/>
      <c r="D919" s="377"/>
      <c r="E919" s="476"/>
      <c r="F919" s="15"/>
    </row>
    <row r="920">
      <c r="B920" s="373"/>
      <c r="C920" s="377"/>
      <c r="D920" s="377"/>
      <c r="E920" s="476"/>
      <c r="F920" s="15"/>
    </row>
    <row r="921">
      <c r="B921" s="373"/>
      <c r="C921" s="377"/>
      <c r="D921" s="377"/>
      <c r="E921" s="476"/>
      <c r="F921" s="15"/>
    </row>
    <row r="922">
      <c r="B922" s="373"/>
      <c r="C922" s="377"/>
      <c r="D922" s="377"/>
      <c r="E922" s="476"/>
      <c r="F922" s="15"/>
    </row>
    <row r="923">
      <c r="B923" s="373"/>
      <c r="C923" s="377"/>
      <c r="D923" s="377"/>
      <c r="E923" s="476"/>
      <c r="F923" s="15"/>
    </row>
    <row r="924">
      <c r="B924" s="373"/>
      <c r="C924" s="377"/>
      <c r="D924" s="377"/>
      <c r="E924" s="476"/>
      <c r="F924" s="15"/>
    </row>
    <row r="925">
      <c r="B925" s="373"/>
      <c r="C925" s="377"/>
      <c r="D925" s="377"/>
      <c r="E925" s="476"/>
      <c r="F925" s="15"/>
    </row>
    <row r="926">
      <c r="B926" s="373"/>
      <c r="C926" s="377"/>
      <c r="D926" s="377"/>
      <c r="E926" s="476"/>
      <c r="F926" s="15"/>
    </row>
    <row r="927">
      <c r="B927" s="373"/>
      <c r="C927" s="377"/>
      <c r="D927" s="377"/>
      <c r="E927" s="476"/>
      <c r="F927" s="15"/>
    </row>
    <row r="928">
      <c r="B928" s="373"/>
      <c r="C928" s="377"/>
      <c r="D928" s="377"/>
      <c r="E928" s="476"/>
      <c r="F928" s="15"/>
    </row>
    <row r="929">
      <c r="B929" s="373"/>
      <c r="C929" s="377"/>
      <c r="D929" s="377"/>
      <c r="E929" s="476"/>
      <c r="F929" s="15"/>
    </row>
    <row r="930">
      <c r="B930" s="373"/>
      <c r="C930" s="377"/>
      <c r="D930" s="377"/>
      <c r="E930" s="476"/>
      <c r="F930" s="15"/>
    </row>
    <row r="931">
      <c r="B931" s="373"/>
      <c r="C931" s="377"/>
      <c r="D931" s="377"/>
      <c r="E931" s="476"/>
      <c r="F931" s="15"/>
    </row>
    <row r="932">
      <c r="B932" s="373"/>
      <c r="C932" s="377"/>
      <c r="D932" s="377"/>
      <c r="E932" s="476"/>
      <c r="F932" s="15"/>
    </row>
    <row r="933">
      <c r="B933" s="373"/>
      <c r="C933" s="377"/>
      <c r="D933" s="377"/>
      <c r="E933" s="476"/>
      <c r="F933" s="15"/>
    </row>
    <row r="934">
      <c r="B934" s="373"/>
      <c r="C934" s="377"/>
      <c r="D934" s="377"/>
      <c r="E934" s="476"/>
      <c r="F934" s="15"/>
    </row>
    <row r="935">
      <c r="B935" s="373"/>
      <c r="C935" s="377"/>
      <c r="D935" s="377"/>
      <c r="E935" s="476"/>
      <c r="F935" s="15"/>
    </row>
    <row r="936">
      <c r="B936" s="373"/>
      <c r="C936" s="377"/>
      <c r="D936" s="377"/>
      <c r="E936" s="476"/>
      <c r="F936" s="15"/>
    </row>
    <row r="937">
      <c r="B937" s="373"/>
      <c r="C937" s="377"/>
      <c r="D937" s="377"/>
      <c r="E937" s="476"/>
      <c r="F937" s="15"/>
    </row>
    <row r="938">
      <c r="B938" s="373"/>
      <c r="C938" s="377"/>
      <c r="D938" s="377"/>
      <c r="E938" s="476"/>
      <c r="F938" s="15"/>
    </row>
    <row r="939">
      <c r="B939" s="373"/>
      <c r="C939" s="377"/>
      <c r="D939" s="377"/>
      <c r="E939" s="476"/>
      <c r="F939" s="15"/>
    </row>
    <row r="940">
      <c r="B940" s="373"/>
      <c r="C940" s="377"/>
      <c r="D940" s="377"/>
      <c r="E940" s="476"/>
      <c r="F940" s="15"/>
    </row>
    <row r="941">
      <c r="B941" s="373"/>
      <c r="C941" s="377"/>
      <c r="D941" s="377"/>
      <c r="E941" s="476"/>
      <c r="F941" s="15"/>
    </row>
    <row r="942">
      <c r="B942" s="373"/>
      <c r="C942" s="377"/>
      <c r="D942" s="377"/>
      <c r="E942" s="476"/>
      <c r="F942" s="15"/>
    </row>
    <row r="943">
      <c r="B943" s="373"/>
      <c r="C943" s="377"/>
      <c r="D943" s="377"/>
      <c r="E943" s="476"/>
      <c r="F943" s="15"/>
    </row>
    <row r="944">
      <c r="B944" s="373"/>
      <c r="C944" s="377"/>
      <c r="D944" s="377"/>
      <c r="E944" s="476"/>
      <c r="F944" s="15"/>
    </row>
    <row r="945">
      <c r="B945" s="373"/>
      <c r="C945" s="377"/>
      <c r="D945" s="377"/>
      <c r="E945" s="476"/>
      <c r="F945" s="15"/>
    </row>
    <row r="946">
      <c r="B946" s="373"/>
      <c r="C946" s="377"/>
      <c r="D946" s="377"/>
      <c r="E946" s="476"/>
      <c r="F946" s="15"/>
    </row>
    <row r="947">
      <c r="B947" s="373"/>
      <c r="C947" s="377"/>
      <c r="D947" s="377"/>
      <c r="E947" s="476"/>
      <c r="F947" s="15"/>
    </row>
    <row r="948">
      <c r="B948" s="373"/>
      <c r="C948" s="377"/>
      <c r="D948" s="377"/>
      <c r="E948" s="476"/>
      <c r="F948" s="15"/>
    </row>
    <row r="949">
      <c r="B949" s="373"/>
      <c r="C949" s="377"/>
      <c r="D949" s="377"/>
      <c r="E949" s="476"/>
      <c r="F949" s="15"/>
    </row>
    <row r="950">
      <c r="B950" s="373"/>
      <c r="C950" s="377"/>
      <c r="D950" s="377"/>
      <c r="E950" s="476"/>
      <c r="F950" s="15"/>
    </row>
    <row r="951">
      <c r="B951" s="373"/>
      <c r="C951" s="377"/>
      <c r="D951" s="377"/>
      <c r="E951" s="476"/>
      <c r="F951" s="15"/>
    </row>
    <row r="952">
      <c r="B952" s="373"/>
      <c r="C952" s="377"/>
      <c r="D952" s="377"/>
      <c r="E952" s="476"/>
      <c r="F952" s="15"/>
    </row>
    <row r="953">
      <c r="B953" s="373"/>
      <c r="C953" s="377"/>
      <c r="D953" s="377"/>
      <c r="E953" s="476"/>
      <c r="F953" s="15"/>
    </row>
    <row r="954">
      <c r="B954" s="373"/>
      <c r="C954" s="377"/>
      <c r="D954" s="377"/>
      <c r="E954" s="476"/>
      <c r="F954" s="15"/>
    </row>
    <row r="955">
      <c r="B955" s="373"/>
      <c r="C955" s="377"/>
      <c r="D955" s="377"/>
      <c r="E955" s="476"/>
      <c r="F955" s="15"/>
    </row>
    <row r="956">
      <c r="B956" s="373"/>
      <c r="C956" s="377"/>
      <c r="D956" s="377"/>
      <c r="E956" s="476"/>
      <c r="F956" s="15"/>
    </row>
    <row r="957">
      <c r="B957" s="373"/>
      <c r="C957" s="377"/>
      <c r="D957" s="377"/>
      <c r="E957" s="476"/>
      <c r="F957" s="15"/>
    </row>
    <row r="958">
      <c r="B958" s="373"/>
      <c r="C958" s="377"/>
      <c r="D958" s="377"/>
      <c r="E958" s="476"/>
      <c r="F958" s="15"/>
    </row>
    <row r="959">
      <c r="B959" s="373"/>
      <c r="C959" s="377"/>
      <c r="D959" s="377"/>
      <c r="E959" s="476"/>
      <c r="F959" s="15"/>
    </row>
    <row r="960">
      <c r="B960" s="373"/>
      <c r="C960" s="377"/>
      <c r="D960" s="377"/>
      <c r="E960" s="476"/>
      <c r="F960" s="15"/>
    </row>
    <row r="961">
      <c r="B961" s="373"/>
      <c r="C961" s="377"/>
      <c r="D961" s="377"/>
      <c r="E961" s="476"/>
      <c r="F961" s="15"/>
    </row>
    <row r="962">
      <c r="B962" s="373"/>
      <c r="C962" s="377"/>
      <c r="D962" s="377"/>
      <c r="E962" s="476"/>
      <c r="F962" s="15"/>
    </row>
    <row r="963">
      <c r="B963" s="373"/>
      <c r="C963" s="377"/>
      <c r="D963" s="377"/>
      <c r="E963" s="476"/>
      <c r="F963" s="15"/>
    </row>
    <row r="964">
      <c r="B964" s="373"/>
      <c r="C964" s="377"/>
      <c r="D964" s="377"/>
      <c r="E964" s="476"/>
      <c r="F964" s="15"/>
    </row>
    <row r="965">
      <c r="B965" s="373"/>
      <c r="C965" s="377"/>
      <c r="D965" s="377"/>
      <c r="E965" s="476"/>
      <c r="F965" s="15"/>
    </row>
    <row r="966">
      <c r="B966" s="373"/>
      <c r="C966" s="377"/>
      <c r="D966" s="377"/>
      <c r="E966" s="476"/>
      <c r="F966" s="15"/>
    </row>
    <row r="967">
      <c r="B967" s="373"/>
      <c r="C967" s="377"/>
      <c r="D967" s="377"/>
      <c r="E967" s="476"/>
      <c r="F967" s="15"/>
    </row>
    <row r="968">
      <c r="B968" s="373"/>
      <c r="C968" s="377"/>
      <c r="D968" s="377"/>
      <c r="E968" s="476"/>
      <c r="F968" s="15"/>
    </row>
    <row r="969">
      <c r="B969" s="373"/>
      <c r="C969" s="377"/>
      <c r="D969" s="377"/>
      <c r="E969" s="476"/>
      <c r="F969" s="15"/>
    </row>
    <row r="970">
      <c r="B970" s="373"/>
      <c r="C970" s="377"/>
      <c r="D970" s="377"/>
      <c r="E970" s="476"/>
      <c r="F970" s="15"/>
    </row>
    <row r="971">
      <c r="B971" s="373"/>
      <c r="C971" s="377"/>
      <c r="D971" s="377"/>
      <c r="E971" s="476"/>
      <c r="F971" s="15"/>
    </row>
    <row r="972">
      <c r="B972" s="373"/>
      <c r="C972" s="377"/>
      <c r="D972" s="377"/>
      <c r="E972" s="476"/>
      <c r="F972" s="15"/>
    </row>
    <row r="973">
      <c r="B973" s="373"/>
      <c r="C973" s="377"/>
      <c r="D973" s="377"/>
      <c r="E973" s="476"/>
      <c r="F973" s="15"/>
    </row>
    <row r="974">
      <c r="B974" s="373"/>
      <c r="C974" s="377"/>
      <c r="D974" s="377"/>
      <c r="E974" s="476"/>
      <c r="F974" s="15"/>
    </row>
    <row r="975">
      <c r="B975" s="373"/>
      <c r="C975" s="377"/>
      <c r="D975" s="377"/>
      <c r="E975" s="476"/>
      <c r="F975" s="15"/>
    </row>
    <row r="976">
      <c r="B976" s="373"/>
      <c r="C976" s="377"/>
      <c r="D976" s="377"/>
      <c r="E976" s="476"/>
      <c r="F976" s="15"/>
    </row>
    <row r="977">
      <c r="B977" s="373"/>
      <c r="C977" s="377"/>
      <c r="D977" s="377"/>
      <c r="E977" s="476"/>
      <c r="F977" s="15"/>
    </row>
    <row r="978">
      <c r="B978" s="373"/>
      <c r="C978" s="377"/>
      <c r="D978" s="377"/>
      <c r="E978" s="476"/>
      <c r="F978" s="15"/>
    </row>
    <row r="979">
      <c r="B979" s="373"/>
      <c r="C979" s="377"/>
      <c r="D979" s="377"/>
      <c r="E979" s="476"/>
      <c r="F979" s="15"/>
    </row>
    <row r="980">
      <c r="B980" s="373"/>
      <c r="C980" s="377"/>
      <c r="D980" s="377"/>
      <c r="E980" s="476"/>
      <c r="F980" s="15"/>
    </row>
    <row r="981">
      <c r="B981" s="373"/>
      <c r="C981" s="377"/>
      <c r="D981" s="377"/>
      <c r="E981" s="476"/>
      <c r="F981" s="15"/>
    </row>
    <row r="982">
      <c r="B982" s="373"/>
      <c r="C982" s="377"/>
      <c r="D982" s="377"/>
      <c r="E982" s="476"/>
      <c r="F982" s="15"/>
    </row>
    <row r="983">
      <c r="B983" s="373"/>
      <c r="C983" s="377"/>
      <c r="D983" s="377"/>
      <c r="E983" s="476"/>
      <c r="F983" s="15"/>
    </row>
    <row r="984">
      <c r="B984" s="373"/>
      <c r="C984" s="377"/>
      <c r="D984" s="377"/>
      <c r="E984" s="476"/>
      <c r="F984" s="15"/>
    </row>
    <row r="985">
      <c r="B985" s="373"/>
      <c r="C985" s="377"/>
      <c r="D985" s="377"/>
      <c r="E985" s="476"/>
      <c r="F985" s="15"/>
    </row>
    <row r="986">
      <c r="B986" s="373"/>
      <c r="C986" s="377"/>
      <c r="D986" s="377"/>
      <c r="E986" s="476"/>
      <c r="F986" s="15"/>
    </row>
    <row r="987">
      <c r="B987" s="373"/>
      <c r="C987" s="377"/>
      <c r="D987" s="377"/>
      <c r="E987" s="476"/>
      <c r="F987" s="15"/>
    </row>
    <row r="988">
      <c r="B988" s="373"/>
      <c r="C988" s="377"/>
      <c r="D988" s="377"/>
      <c r="E988" s="476"/>
      <c r="F988" s="15"/>
    </row>
    <row r="989">
      <c r="B989" s="373"/>
      <c r="C989" s="377"/>
      <c r="D989" s="377"/>
      <c r="E989" s="476"/>
      <c r="F989" s="15"/>
    </row>
    <row r="990">
      <c r="B990" s="373"/>
      <c r="C990" s="377"/>
      <c r="D990" s="377"/>
      <c r="E990" s="476"/>
      <c r="F990" s="15"/>
    </row>
    <row r="991">
      <c r="B991" s="373"/>
      <c r="C991" s="377"/>
      <c r="D991" s="377"/>
      <c r="E991" s="476"/>
      <c r="F991" s="15"/>
    </row>
    <row r="992">
      <c r="B992" s="373"/>
      <c r="C992" s="377"/>
      <c r="D992" s="377"/>
      <c r="E992" s="476"/>
      <c r="F992" s="15"/>
    </row>
    <row r="993">
      <c r="B993" s="373"/>
      <c r="C993" s="377"/>
      <c r="D993" s="377"/>
      <c r="E993" s="476"/>
      <c r="F993" s="15"/>
    </row>
    <row r="994">
      <c r="B994" s="373"/>
      <c r="C994" s="377"/>
      <c r="D994" s="377"/>
      <c r="E994" s="476"/>
      <c r="F994" s="15"/>
    </row>
    <row r="995">
      <c r="B995" s="373"/>
      <c r="C995" s="377"/>
      <c r="D995" s="377"/>
      <c r="E995" s="476"/>
      <c r="F995" s="15"/>
    </row>
    <row r="996">
      <c r="B996" s="373"/>
      <c r="C996" s="377"/>
      <c r="D996" s="377"/>
      <c r="E996" s="476"/>
      <c r="F996" s="15"/>
    </row>
    <row r="997">
      <c r="B997" s="373"/>
      <c r="C997" s="377"/>
      <c r="D997" s="377"/>
      <c r="E997" s="476"/>
      <c r="F997" s="15"/>
    </row>
    <row r="998">
      <c r="B998" s="373"/>
      <c r="C998" s="377"/>
      <c r="D998" s="377"/>
      <c r="E998" s="476"/>
      <c r="F998" s="15"/>
    </row>
    <row r="999">
      <c r="B999" s="373"/>
      <c r="C999" s="377"/>
      <c r="D999" s="377"/>
      <c r="E999" s="476"/>
      <c r="F999" s="15"/>
    </row>
    <row r="1000">
      <c r="B1000" s="373"/>
      <c r="C1000" s="377"/>
      <c r="D1000" s="377"/>
      <c r="E1000" s="476"/>
      <c r="F1000" s="15"/>
    </row>
    <row r="1001">
      <c r="B1001" s="373"/>
      <c r="C1001" s="377"/>
      <c r="D1001" s="377"/>
      <c r="E1001" s="476"/>
      <c r="F1001" s="15"/>
    </row>
    <row r="1002">
      <c r="B1002" s="373"/>
      <c r="C1002" s="377"/>
      <c r="D1002" s="377"/>
      <c r="E1002" s="476"/>
      <c r="F1002" s="15"/>
    </row>
  </sheetData>
  <mergeCells count="2">
    <mergeCell ref="L1:M1"/>
    <mergeCell ref="N1:O1"/>
  </mergeCells>
  <conditionalFormatting sqref="E1:E1002">
    <cfRule type="containsText" dxfId="0" priority="1" operator="containsText" text="Dem">
      <formula>NOT(ISERROR(SEARCH(("Dem"),(E1))))</formula>
    </cfRule>
  </conditionalFormatting>
  <conditionalFormatting sqref="E1:E1002">
    <cfRule type="containsText" dxfId="1" priority="2" operator="containsText" text="Rep">
      <formula>NOT(ISERROR(SEARCH(("Rep"),(E1))))</formula>
    </cfRule>
  </conditionalFormatting>
  <hyperlinks>
    <hyperlink r:id="rId1" ref="B4"/>
    <hyperlink r:id="rId2" ref="C4"/>
    <hyperlink r:id="rId3" ref="B5"/>
    <hyperlink r:id="rId4" ref="C5"/>
    <hyperlink r:id="rId5" ref="B6"/>
    <hyperlink r:id="rId6" ref="C6"/>
    <hyperlink r:id="rId7" ref="B7"/>
    <hyperlink r:id="rId8" ref="C7"/>
    <hyperlink r:id="rId9" ref="B8"/>
    <hyperlink r:id="rId10" ref="C8"/>
    <hyperlink r:id="rId11" ref="B9"/>
    <hyperlink r:id="rId12" ref="B10"/>
    <hyperlink r:id="rId13" ref="C10"/>
    <hyperlink r:id="rId14" ref="B11"/>
    <hyperlink r:id="rId15" ref="C11"/>
    <hyperlink r:id="rId16" ref="B12"/>
    <hyperlink r:id="rId17" ref="C12"/>
    <hyperlink r:id="rId18" ref="B13"/>
    <hyperlink r:id="rId19" ref="C13"/>
    <hyperlink r:id="rId20" ref="B14"/>
    <hyperlink r:id="rId21" ref="B15"/>
    <hyperlink r:id="rId22" ref="C15"/>
    <hyperlink r:id="rId23" ref="B16"/>
    <hyperlink r:id="rId24" ref="C16"/>
    <hyperlink r:id="rId25" ref="B17"/>
    <hyperlink r:id="rId26" ref="C17"/>
    <hyperlink r:id="rId27" ref="B18"/>
    <hyperlink r:id="rId28" ref="B19"/>
    <hyperlink r:id="rId29" ref="C19"/>
    <hyperlink r:id="rId30" ref="B20"/>
    <hyperlink r:id="rId31" ref="C20"/>
    <hyperlink r:id="rId32" ref="B21"/>
    <hyperlink r:id="rId33" ref="C21"/>
    <hyperlink r:id="rId34" ref="B22"/>
    <hyperlink r:id="rId35" ref="C22"/>
    <hyperlink r:id="rId36" ref="B23"/>
    <hyperlink r:id="rId37" ref="C23"/>
    <hyperlink r:id="rId38" ref="B24"/>
    <hyperlink r:id="rId39" ref="C24"/>
    <hyperlink r:id="rId40" ref="B25"/>
    <hyperlink r:id="rId41" ref="C25"/>
    <hyperlink r:id="rId42" ref="B26"/>
    <hyperlink r:id="rId43" ref="C26"/>
    <hyperlink r:id="rId44" ref="B27"/>
    <hyperlink r:id="rId45" ref="C27"/>
    <hyperlink r:id="rId46" ref="B28"/>
    <hyperlink r:id="rId47" ref="C28"/>
    <hyperlink r:id="rId48" ref="B29"/>
    <hyperlink r:id="rId49" ref="B30"/>
    <hyperlink r:id="rId50" ref="C30"/>
    <hyperlink r:id="rId51" ref="B31"/>
    <hyperlink r:id="rId52" ref="C31"/>
    <hyperlink r:id="rId53" ref="B32"/>
    <hyperlink r:id="rId54" ref="C32"/>
    <hyperlink r:id="rId55" ref="B33"/>
    <hyperlink r:id="rId56" ref="C33"/>
    <hyperlink r:id="rId57" ref="B34"/>
    <hyperlink r:id="rId58" ref="C34"/>
    <hyperlink r:id="rId59" ref="B35"/>
    <hyperlink r:id="rId60" ref="B36"/>
    <hyperlink r:id="rId61" ref="C36"/>
    <hyperlink r:id="rId62" ref="B37"/>
    <hyperlink r:id="rId63" ref="C37"/>
    <hyperlink r:id="rId64" ref="B38"/>
    <hyperlink r:id="rId65" ref="C38"/>
    <hyperlink r:id="rId66" ref="B39"/>
    <hyperlink r:id="rId67" ref="C39"/>
    <hyperlink r:id="rId68" ref="B40"/>
    <hyperlink r:id="rId69" ref="B41"/>
    <hyperlink r:id="rId70" ref="C41"/>
    <hyperlink r:id="rId71" ref="B42"/>
    <hyperlink r:id="rId72" ref="B43"/>
    <hyperlink r:id="rId73" ref="C43"/>
    <hyperlink r:id="rId74" ref="B44"/>
    <hyperlink r:id="rId75" ref="C44"/>
    <hyperlink r:id="rId76" ref="B45"/>
    <hyperlink r:id="rId77" ref="C45"/>
    <hyperlink r:id="rId78" ref="B46"/>
    <hyperlink r:id="rId79" ref="C46"/>
    <hyperlink r:id="rId80" ref="B47"/>
    <hyperlink r:id="rId81" ref="C47"/>
    <hyperlink r:id="rId82" ref="B48"/>
    <hyperlink r:id="rId83" ref="C48"/>
    <hyperlink r:id="rId84" ref="B49"/>
    <hyperlink r:id="rId85" ref="C49"/>
    <hyperlink r:id="rId86" ref="B50"/>
    <hyperlink r:id="rId87" ref="C50"/>
    <hyperlink r:id="rId88" ref="B51"/>
    <hyperlink r:id="rId89" ref="C51"/>
    <hyperlink r:id="rId90" ref="B52"/>
    <hyperlink r:id="rId91" ref="C52"/>
    <hyperlink r:id="rId92" ref="B53"/>
    <hyperlink r:id="rId93" ref="C53"/>
    <hyperlink r:id="rId94" ref="B54"/>
    <hyperlink r:id="rId95" ref="C54"/>
    <hyperlink r:id="rId96" ref="B55"/>
    <hyperlink r:id="rId97" ref="B56"/>
    <hyperlink r:id="rId98" ref="B57"/>
    <hyperlink r:id="rId99" ref="B58"/>
    <hyperlink r:id="rId100" ref="C58"/>
    <hyperlink r:id="rId101" ref="B59"/>
    <hyperlink r:id="rId102" ref="B60"/>
    <hyperlink r:id="rId103" ref="C60"/>
    <hyperlink r:id="rId104" ref="B61"/>
    <hyperlink r:id="rId105" ref="C61"/>
    <hyperlink r:id="rId106" ref="B62"/>
    <hyperlink r:id="rId107" ref="C62"/>
    <hyperlink r:id="rId108" ref="B63"/>
    <hyperlink r:id="rId109" ref="C63"/>
    <hyperlink r:id="rId110" ref="C65"/>
    <hyperlink r:id="rId111" ref="B66"/>
    <hyperlink r:id="rId112" ref="C66"/>
    <hyperlink r:id="rId113" ref="B67"/>
    <hyperlink r:id="rId114" ref="B68"/>
    <hyperlink r:id="rId115" ref="C68"/>
    <hyperlink r:id="rId116" ref="B69"/>
    <hyperlink r:id="rId117" ref="C69"/>
    <hyperlink r:id="rId118" ref="B70"/>
    <hyperlink r:id="rId119" ref="C70"/>
    <hyperlink r:id="rId120" ref="B71"/>
    <hyperlink r:id="rId121" ref="C71"/>
    <hyperlink r:id="rId122" ref="B72"/>
    <hyperlink r:id="rId123" ref="C72"/>
    <hyperlink r:id="rId124" ref="B73"/>
    <hyperlink r:id="rId125" ref="C73"/>
    <hyperlink r:id="rId126" ref="B74"/>
    <hyperlink r:id="rId127" ref="C74"/>
    <hyperlink r:id="rId128" ref="B75"/>
    <hyperlink r:id="rId129" ref="C75"/>
    <hyperlink r:id="rId130" ref="B76"/>
    <hyperlink r:id="rId131" ref="C76"/>
    <hyperlink r:id="rId132" ref="B77"/>
    <hyperlink r:id="rId133" ref="C77"/>
    <hyperlink r:id="rId134" ref="B78"/>
    <hyperlink r:id="rId135" ref="C78"/>
    <hyperlink r:id="rId136" ref="B79"/>
    <hyperlink r:id="rId137" ref="C79"/>
    <hyperlink r:id="rId138" ref="B80"/>
    <hyperlink r:id="rId139" ref="C80"/>
    <hyperlink r:id="rId140" ref="B81"/>
    <hyperlink r:id="rId141" ref="C81"/>
    <hyperlink r:id="rId142" ref="B82"/>
    <hyperlink r:id="rId143" ref="C82"/>
    <hyperlink r:id="rId144" ref="B83"/>
    <hyperlink r:id="rId145" ref="C83"/>
    <hyperlink r:id="rId146" ref="B84"/>
    <hyperlink r:id="rId147" ref="C84"/>
    <hyperlink r:id="rId148" ref="B85"/>
    <hyperlink r:id="rId149" ref="C85"/>
    <hyperlink r:id="rId150" ref="B86"/>
    <hyperlink r:id="rId151" ref="C86"/>
    <hyperlink r:id="rId152" ref="B87"/>
    <hyperlink r:id="rId153" ref="C87"/>
    <hyperlink r:id="rId154" ref="B88"/>
    <hyperlink r:id="rId155" ref="C88"/>
    <hyperlink r:id="rId156" ref="B89"/>
    <hyperlink r:id="rId157" ref="C89"/>
    <hyperlink r:id="rId158" ref="B90"/>
    <hyperlink r:id="rId159" ref="C90"/>
    <hyperlink r:id="rId160" ref="B91"/>
    <hyperlink r:id="rId161" ref="C91"/>
    <hyperlink r:id="rId162" ref="B92"/>
    <hyperlink r:id="rId163" ref="C92"/>
    <hyperlink r:id="rId164" ref="B93"/>
    <hyperlink r:id="rId165" ref="C93"/>
    <hyperlink r:id="rId166" ref="B94"/>
    <hyperlink r:id="rId167" ref="C94"/>
  </hyperlinks>
  <drawing r:id="rId168"/>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3.0" topLeftCell="F4" activePane="bottomRight" state="frozen"/>
      <selection activeCell="F1" sqref="F1" pane="topRight"/>
      <selection activeCell="A4" sqref="A4" pane="bottomLeft"/>
      <selection activeCell="F4" sqref="F4" pane="bottomRight"/>
    </sheetView>
  </sheetViews>
  <sheetFormatPr customHeight="1" defaultColWidth="14.43" defaultRowHeight="15.75" outlineLevelRow="1"/>
  <cols>
    <col customWidth="1" min="1" max="1" width="10.14"/>
    <col customWidth="1" min="2" max="2" width="9.86"/>
    <col customWidth="1" min="3" max="3" width="12.0"/>
  </cols>
  <sheetData>
    <row r="1" ht="15.0" customHeight="1" outlineLevel="1">
      <c r="A1" s="1" t="s">
        <v>0</v>
      </c>
      <c r="B1" s="2" t="s">
        <v>1</v>
      </c>
      <c r="C1" s="2" t="s">
        <v>2</v>
      </c>
      <c r="D1" s="2" t="s">
        <v>2</v>
      </c>
      <c r="E1" s="3"/>
      <c r="F1" s="30" t="s">
        <v>1577</v>
      </c>
      <c r="G1" s="30" t="s">
        <v>4</v>
      </c>
      <c r="H1" s="30" t="s">
        <v>5</v>
      </c>
      <c r="I1" s="30" t="s">
        <v>6</v>
      </c>
      <c r="J1" s="30" t="s">
        <v>7</v>
      </c>
      <c r="K1" s="1" t="s">
        <v>8</v>
      </c>
      <c r="L1" s="7" t="s">
        <v>9</v>
      </c>
      <c r="N1" s="10" t="s">
        <v>14</v>
      </c>
      <c r="P1" s="167"/>
      <c r="Q1" s="167"/>
      <c r="R1" s="30"/>
      <c r="S1" s="20"/>
      <c r="T1" s="20"/>
      <c r="U1" s="20"/>
      <c r="V1" s="20"/>
      <c r="W1" s="20"/>
      <c r="X1" s="20"/>
      <c r="Y1" s="20"/>
      <c r="Z1" s="20"/>
      <c r="AA1" s="20"/>
      <c r="AB1" s="20"/>
      <c r="AC1" s="20"/>
      <c r="AD1" s="20"/>
      <c r="AE1" s="665"/>
      <c r="AF1" s="665"/>
    </row>
    <row r="2" ht="16.5" customHeight="1" outlineLevel="1">
      <c r="A2" s="21" t="s">
        <v>786</v>
      </c>
      <c r="B2" s="21" t="s">
        <v>4807</v>
      </c>
      <c r="C2" s="21" t="s">
        <v>978</v>
      </c>
      <c r="D2" s="21" t="s">
        <v>10869</v>
      </c>
      <c r="E2" s="3"/>
      <c r="F2" s="168">
        <v>43466.0</v>
      </c>
      <c r="G2" s="168">
        <v>43830.0</v>
      </c>
      <c r="H2" s="151">
        <f>G2-today()</f>
        <v>95</v>
      </c>
      <c r="I2" s="635">
        <v>43466.0</v>
      </c>
      <c r="J2" s="168">
        <v>43830.0</v>
      </c>
      <c r="K2" s="23"/>
      <c r="L2" s="26">
        <f>CountIFS($E:$E,"=Dem",$A:$A,"=House")</f>
        <v>93</v>
      </c>
      <c r="M2" s="28">
        <f>CountIFS($E:$E,"=Rep",$A:$A,"=House")</f>
        <v>110</v>
      </c>
      <c r="N2" s="26">
        <f>CountIFS($E:$E,"=Dem",$A:$A,"=Senate")</f>
        <v>21</v>
      </c>
      <c r="O2" s="28">
        <f>CountIFS($E:$E,"=Rep",$A:$A,"=Senate")</f>
        <v>29</v>
      </c>
      <c r="P2" s="167"/>
      <c r="Q2" s="167"/>
      <c r="R2" s="30"/>
      <c r="S2" s="20"/>
      <c r="T2" s="20"/>
      <c r="U2" s="20"/>
      <c r="V2" s="20"/>
      <c r="W2" s="20"/>
      <c r="X2" s="20"/>
      <c r="Y2" s="20"/>
      <c r="Z2" s="20"/>
      <c r="AA2" s="20"/>
      <c r="AB2" s="20"/>
      <c r="AC2" s="20"/>
      <c r="AD2" s="20"/>
      <c r="AE2" s="665"/>
      <c r="AF2" s="665"/>
    </row>
    <row r="3">
      <c r="A3" s="30" t="s">
        <v>29</v>
      </c>
      <c r="B3" s="30" t="s">
        <v>30</v>
      </c>
      <c r="C3" s="2" t="s">
        <v>31</v>
      </c>
      <c r="D3" s="2" t="s">
        <v>32</v>
      </c>
      <c r="E3" s="3" t="s">
        <v>33</v>
      </c>
      <c r="F3" s="1" t="s">
        <v>10</v>
      </c>
      <c r="G3" s="1" t="s">
        <v>34</v>
      </c>
      <c r="H3" s="1" t="s">
        <v>34</v>
      </c>
      <c r="I3" s="1" t="s">
        <v>34</v>
      </c>
      <c r="J3" s="1" t="s">
        <v>34</v>
      </c>
      <c r="K3" s="1" t="s">
        <v>35</v>
      </c>
      <c r="L3" s="19" t="s">
        <v>36</v>
      </c>
      <c r="M3" s="19" t="s">
        <v>37</v>
      </c>
      <c r="N3" s="19" t="s">
        <v>38</v>
      </c>
      <c r="O3" s="17" t="s">
        <v>39</v>
      </c>
      <c r="P3" s="11" t="s">
        <v>40</v>
      </c>
      <c r="Q3" s="11" t="s">
        <v>41</v>
      </c>
      <c r="R3" s="17" t="s">
        <v>42</v>
      </c>
      <c r="S3" s="20"/>
      <c r="T3" s="20"/>
      <c r="U3" s="20"/>
      <c r="V3" s="20"/>
      <c r="W3" s="20"/>
      <c r="X3" s="20"/>
      <c r="Y3" s="20"/>
      <c r="Z3" s="20"/>
      <c r="AA3" s="20"/>
      <c r="AB3" s="20"/>
      <c r="AC3" s="20"/>
      <c r="AD3" s="20"/>
      <c r="AE3" s="665"/>
      <c r="AF3" s="665"/>
    </row>
    <row r="4">
      <c r="A4" s="14" t="s">
        <v>44</v>
      </c>
      <c r="B4" s="14">
        <v>1.0</v>
      </c>
      <c r="C4" s="72" t="s">
        <v>1914</v>
      </c>
      <c r="D4" s="72" t="s">
        <v>8392</v>
      </c>
      <c r="E4" s="36" t="s">
        <v>49</v>
      </c>
      <c r="F4" s="72"/>
      <c r="L4" s="666" t="s">
        <v>10872</v>
      </c>
      <c r="M4" s="14" t="s">
        <v>10873</v>
      </c>
    </row>
    <row r="5">
      <c r="A5" s="14" t="s">
        <v>44</v>
      </c>
      <c r="B5" s="14">
        <v>2.0</v>
      </c>
      <c r="C5" s="72" t="s">
        <v>1134</v>
      </c>
      <c r="D5" s="72" t="s">
        <v>10874</v>
      </c>
      <c r="E5" s="36" t="s">
        <v>49</v>
      </c>
      <c r="F5" s="72"/>
      <c r="L5" s="14" t="s">
        <v>10875</v>
      </c>
      <c r="M5" s="14" t="s">
        <v>10876</v>
      </c>
    </row>
    <row r="6">
      <c r="A6" s="14" t="s">
        <v>44</v>
      </c>
      <c r="B6" s="14">
        <v>3.0</v>
      </c>
      <c r="C6" s="72" t="s">
        <v>2780</v>
      </c>
      <c r="D6" s="72" t="s">
        <v>10877</v>
      </c>
      <c r="E6" s="36" t="s">
        <v>49</v>
      </c>
      <c r="F6" s="72"/>
      <c r="L6" s="666" t="s">
        <v>10878</v>
      </c>
      <c r="M6" s="14" t="s">
        <v>10879</v>
      </c>
    </row>
    <row r="7">
      <c r="A7" s="14" t="s">
        <v>44</v>
      </c>
      <c r="B7" s="14">
        <v>4.0</v>
      </c>
      <c r="C7" s="72" t="s">
        <v>4099</v>
      </c>
      <c r="D7" s="72" t="s">
        <v>10880</v>
      </c>
      <c r="E7" s="667" t="s">
        <v>53</v>
      </c>
      <c r="F7" s="72"/>
      <c r="L7" s="666" t="s">
        <v>10881</v>
      </c>
      <c r="M7" s="668" t="s">
        <v>10882</v>
      </c>
    </row>
    <row r="8">
      <c r="A8" s="14" t="s">
        <v>44</v>
      </c>
      <c r="B8" s="14">
        <v>5.0</v>
      </c>
      <c r="C8" s="72" t="s">
        <v>3785</v>
      </c>
      <c r="D8" s="72" t="s">
        <v>10884</v>
      </c>
      <c r="E8" s="667" t="s">
        <v>53</v>
      </c>
      <c r="F8" s="72"/>
      <c r="L8" s="666" t="s">
        <v>10885</v>
      </c>
      <c r="M8" s="668" t="s">
        <v>10886</v>
      </c>
    </row>
    <row r="9">
      <c r="A9" s="14" t="s">
        <v>44</v>
      </c>
      <c r="B9" s="14">
        <v>6.0</v>
      </c>
      <c r="C9" s="72" t="s">
        <v>1130</v>
      </c>
      <c r="D9" s="72" t="s">
        <v>10887</v>
      </c>
      <c r="E9" s="667" t="s">
        <v>53</v>
      </c>
      <c r="F9" s="72"/>
      <c r="L9" s="666" t="s">
        <v>10888</v>
      </c>
      <c r="M9" s="669" t="s">
        <v>10889</v>
      </c>
    </row>
    <row r="10">
      <c r="A10" s="14" t="s">
        <v>44</v>
      </c>
      <c r="B10" s="14">
        <v>7.0</v>
      </c>
      <c r="C10" s="72" t="s">
        <v>91</v>
      </c>
      <c r="D10" s="72" t="s">
        <v>10890</v>
      </c>
      <c r="E10" s="36" t="s">
        <v>49</v>
      </c>
      <c r="F10" s="72"/>
      <c r="L10" s="666" t="s">
        <v>10891</v>
      </c>
      <c r="M10" s="14" t="s">
        <v>10892</v>
      </c>
    </row>
    <row r="11">
      <c r="A11" s="14" t="s">
        <v>44</v>
      </c>
      <c r="B11" s="14">
        <v>8.0</v>
      </c>
      <c r="C11" s="72" t="s">
        <v>4833</v>
      </c>
      <c r="D11" s="72" t="s">
        <v>10893</v>
      </c>
      <c r="E11" s="667" t="s">
        <v>53</v>
      </c>
      <c r="F11" s="72"/>
      <c r="L11" s="666" t="s">
        <v>10894</v>
      </c>
      <c r="M11" s="668" t="s">
        <v>10895</v>
      </c>
    </row>
    <row r="12">
      <c r="A12" s="14" t="s">
        <v>44</v>
      </c>
      <c r="B12" s="14">
        <v>9.0</v>
      </c>
      <c r="C12" s="72" t="s">
        <v>173</v>
      </c>
      <c r="D12" s="72" t="s">
        <v>10896</v>
      </c>
      <c r="E12" s="36" t="s">
        <v>49</v>
      </c>
      <c r="F12" s="72"/>
      <c r="L12" s="666" t="s">
        <v>10897</v>
      </c>
      <c r="M12" s="14" t="s">
        <v>10898</v>
      </c>
    </row>
    <row r="13">
      <c r="A13" s="14" t="s">
        <v>44</v>
      </c>
      <c r="B13" s="14">
        <v>10.0</v>
      </c>
      <c r="C13" s="72" t="s">
        <v>1107</v>
      </c>
      <c r="D13" s="72" t="s">
        <v>10899</v>
      </c>
      <c r="E13" s="667" t="s">
        <v>53</v>
      </c>
      <c r="F13" s="72"/>
      <c r="L13" s="666" t="s">
        <v>10900</v>
      </c>
      <c r="M13" s="668" t="s">
        <v>10901</v>
      </c>
    </row>
    <row r="14">
      <c r="A14" s="14" t="s">
        <v>44</v>
      </c>
      <c r="B14" s="14">
        <v>11.0</v>
      </c>
      <c r="C14" s="72" t="s">
        <v>1331</v>
      </c>
      <c r="D14" s="72" t="s">
        <v>451</v>
      </c>
      <c r="E14" s="667" t="s">
        <v>53</v>
      </c>
      <c r="F14" s="72"/>
      <c r="L14" s="666" t="s">
        <v>10903</v>
      </c>
      <c r="M14" s="14" t="s">
        <v>10904</v>
      </c>
    </row>
    <row r="15">
      <c r="A15" s="14" t="s">
        <v>44</v>
      </c>
      <c r="B15" s="14">
        <v>12.0</v>
      </c>
      <c r="C15" s="72" t="s">
        <v>10905</v>
      </c>
      <c r="D15" s="72" t="s">
        <v>10906</v>
      </c>
      <c r="E15" s="667" t="s">
        <v>53</v>
      </c>
      <c r="F15" s="72"/>
      <c r="L15" s="666" t="s">
        <v>10907</v>
      </c>
      <c r="M15" s="14" t="s">
        <v>10908</v>
      </c>
    </row>
    <row r="16">
      <c r="A16" s="14" t="s">
        <v>44</v>
      </c>
      <c r="B16" s="14">
        <v>13.0</v>
      </c>
      <c r="C16" s="72" t="s">
        <v>278</v>
      </c>
      <c r="D16" s="72" t="s">
        <v>572</v>
      </c>
      <c r="E16" s="667" t="s">
        <v>53</v>
      </c>
      <c r="F16" s="72"/>
      <c r="L16" s="666" t="s">
        <v>10909</v>
      </c>
      <c r="M16" s="59" t="s">
        <v>10910</v>
      </c>
    </row>
    <row r="17">
      <c r="A17" s="14" t="s">
        <v>44</v>
      </c>
      <c r="B17" s="14">
        <v>14.0</v>
      </c>
      <c r="C17" s="72" t="s">
        <v>476</v>
      </c>
      <c r="D17" s="72" t="s">
        <v>1150</v>
      </c>
      <c r="E17" s="667" t="s">
        <v>53</v>
      </c>
      <c r="F17" s="72"/>
      <c r="L17" s="14" t="s">
        <v>10911</v>
      </c>
      <c r="M17" s="14" t="s">
        <v>10912</v>
      </c>
    </row>
    <row r="18">
      <c r="A18" s="14" t="s">
        <v>44</v>
      </c>
      <c r="B18" s="14">
        <v>15.0</v>
      </c>
      <c r="C18" s="72" t="s">
        <v>2506</v>
      </c>
      <c r="D18" s="72" t="s">
        <v>10913</v>
      </c>
      <c r="E18" s="667" t="s">
        <v>53</v>
      </c>
      <c r="F18" s="72"/>
      <c r="L18" s="14" t="s">
        <v>10915</v>
      </c>
      <c r="M18" s="14" t="s">
        <v>10916</v>
      </c>
    </row>
    <row r="19">
      <c r="A19" s="14" t="s">
        <v>44</v>
      </c>
      <c r="B19" s="14">
        <v>16.0</v>
      </c>
      <c r="C19" s="72" t="s">
        <v>1134</v>
      </c>
      <c r="D19" s="72" t="s">
        <v>10918</v>
      </c>
      <c r="E19" s="36" t="s">
        <v>49</v>
      </c>
      <c r="F19" s="72"/>
      <c r="L19" s="14" t="s">
        <v>10919</v>
      </c>
      <c r="M19" s="14" t="s">
        <v>10920</v>
      </c>
    </row>
    <row r="20">
      <c r="A20" s="14" t="s">
        <v>44</v>
      </c>
      <c r="B20" s="14">
        <v>17.0</v>
      </c>
      <c r="C20" s="72" t="s">
        <v>10921</v>
      </c>
      <c r="D20" s="72" t="s">
        <v>10922</v>
      </c>
      <c r="E20" s="667" t="s">
        <v>53</v>
      </c>
      <c r="F20" s="72"/>
      <c r="L20" s="14" t="s">
        <v>10923</v>
      </c>
      <c r="M20" s="14" t="s">
        <v>10924</v>
      </c>
    </row>
    <row r="21">
      <c r="A21" s="14" t="s">
        <v>44</v>
      </c>
      <c r="B21" s="14">
        <v>18.0</v>
      </c>
      <c r="C21" s="72" t="s">
        <v>3242</v>
      </c>
      <c r="D21" s="72" t="s">
        <v>10925</v>
      </c>
      <c r="E21" s="667" t="s">
        <v>53</v>
      </c>
      <c r="F21" s="72"/>
      <c r="L21" s="14" t="s">
        <v>10926</v>
      </c>
      <c r="M21" s="14" t="s">
        <v>10927</v>
      </c>
    </row>
    <row r="22">
      <c r="A22" s="14" t="s">
        <v>44</v>
      </c>
      <c r="B22" s="14">
        <v>19.0</v>
      </c>
      <c r="C22" s="72" t="s">
        <v>3828</v>
      </c>
      <c r="D22" s="72" t="s">
        <v>5241</v>
      </c>
      <c r="E22" s="36" t="s">
        <v>49</v>
      </c>
      <c r="F22" s="72"/>
      <c r="L22" s="14" t="s">
        <v>10928</v>
      </c>
      <c r="M22" s="14" t="s">
        <v>10929</v>
      </c>
    </row>
    <row r="23">
      <c r="A23" s="14" t="s">
        <v>44</v>
      </c>
      <c r="B23" s="14">
        <v>20.0</v>
      </c>
      <c r="C23" s="72" t="s">
        <v>69</v>
      </c>
      <c r="D23" s="72" t="s">
        <v>10930</v>
      </c>
      <c r="E23" s="36" t="s">
        <v>49</v>
      </c>
      <c r="F23" s="72"/>
      <c r="L23" s="14" t="s">
        <v>10931</v>
      </c>
      <c r="M23" s="14" t="s">
        <v>10932</v>
      </c>
    </row>
    <row r="24">
      <c r="A24" s="14" t="s">
        <v>44</v>
      </c>
      <c r="B24" s="14">
        <v>21.0</v>
      </c>
      <c r="C24" s="72" t="s">
        <v>171</v>
      </c>
      <c r="D24" s="72" t="s">
        <v>10933</v>
      </c>
      <c r="E24" s="36" t="s">
        <v>49</v>
      </c>
      <c r="F24" s="72"/>
      <c r="L24" s="14" t="s">
        <v>10934</v>
      </c>
      <c r="M24" s="14" t="s">
        <v>10935</v>
      </c>
    </row>
    <row r="25">
      <c r="A25" s="14" t="s">
        <v>44</v>
      </c>
      <c r="B25" s="14">
        <v>22.0</v>
      </c>
      <c r="C25" s="72" t="s">
        <v>367</v>
      </c>
      <c r="D25" s="72" t="s">
        <v>10936</v>
      </c>
      <c r="E25" s="36" t="s">
        <v>49</v>
      </c>
      <c r="F25" s="72"/>
      <c r="L25" s="14" t="s">
        <v>10937</v>
      </c>
      <c r="M25" s="14" t="s">
        <v>10938</v>
      </c>
    </row>
    <row r="26">
      <c r="A26" s="14" t="s">
        <v>44</v>
      </c>
      <c r="B26" s="14">
        <v>23.0</v>
      </c>
      <c r="C26" s="72" t="s">
        <v>239</v>
      </c>
      <c r="D26" s="72" t="s">
        <v>3395</v>
      </c>
      <c r="E26" s="36" t="s">
        <v>49</v>
      </c>
      <c r="F26" s="72"/>
      <c r="L26" s="14" t="s">
        <v>10939</v>
      </c>
      <c r="M26" s="14" t="s">
        <v>10940</v>
      </c>
    </row>
    <row r="27">
      <c r="A27" s="14" t="s">
        <v>44</v>
      </c>
      <c r="B27" s="14">
        <v>24.0</v>
      </c>
      <c r="C27" s="72" t="s">
        <v>2705</v>
      </c>
      <c r="D27" s="72" t="s">
        <v>10941</v>
      </c>
      <c r="E27" s="36" t="s">
        <v>49</v>
      </c>
      <c r="F27" s="72"/>
      <c r="L27" s="14" t="s">
        <v>10942</v>
      </c>
      <c r="M27" s="14" t="s">
        <v>10943</v>
      </c>
    </row>
    <row r="28">
      <c r="A28" s="14" t="s">
        <v>44</v>
      </c>
      <c r="B28" s="14">
        <v>25.0</v>
      </c>
      <c r="C28" s="72" t="s">
        <v>2500</v>
      </c>
      <c r="D28" s="72" t="s">
        <v>10944</v>
      </c>
      <c r="E28" s="36" t="s">
        <v>49</v>
      </c>
      <c r="F28" s="72"/>
      <c r="L28" s="14" t="s">
        <v>10945</v>
      </c>
      <c r="M28" s="14" t="s">
        <v>10946</v>
      </c>
    </row>
    <row r="29">
      <c r="A29" s="14" t="s">
        <v>44</v>
      </c>
      <c r="B29" s="14">
        <v>26.0</v>
      </c>
      <c r="C29" s="72" t="s">
        <v>2507</v>
      </c>
      <c r="D29" s="72" t="s">
        <v>10947</v>
      </c>
      <c r="E29" s="667" t="s">
        <v>53</v>
      </c>
      <c r="F29" s="72"/>
      <c r="L29" s="14" t="s">
        <v>10948</v>
      </c>
      <c r="M29" s="658" t="s">
        <v>10949</v>
      </c>
    </row>
    <row r="30">
      <c r="A30" s="14" t="s">
        <v>44</v>
      </c>
      <c r="B30" s="14">
        <v>27.0</v>
      </c>
      <c r="C30" s="72" t="s">
        <v>552</v>
      </c>
      <c r="D30" s="72" t="s">
        <v>10950</v>
      </c>
      <c r="E30" s="36" t="s">
        <v>49</v>
      </c>
      <c r="F30" s="72"/>
      <c r="L30" s="14" t="s">
        <v>10951</v>
      </c>
      <c r="M30" s="14" t="s">
        <v>10952</v>
      </c>
    </row>
    <row r="31">
      <c r="A31" s="14" t="s">
        <v>44</v>
      </c>
      <c r="B31" s="14">
        <v>28.0</v>
      </c>
      <c r="C31" s="72" t="s">
        <v>157</v>
      </c>
      <c r="D31" s="72" t="s">
        <v>10953</v>
      </c>
      <c r="E31" s="667" t="s">
        <v>53</v>
      </c>
      <c r="F31" s="14" t="s">
        <v>254</v>
      </c>
      <c r="L31" s="14" t="s">
        <v>10954</v>
      </c>
      <c r="M31" s="14" t="s">
        <v>10955</v>
      </c>
    </row>
    <row r="32">
      <c r="A32" s="14" t="s">
        <v>44</v>
      </c>
      <c r="B32" s="14">
        <v>29.0</v>
      </c>
      <c r="C32" s="72" t="s">
        <v>10956</v>
      </c>
      <c r="D32" s="72" t="s">
        <v>5107</v>
      </c>
      <c r="E32" s="667" t="s">
        <v>53</v>
      </c>
      <c r="F32" s="72"/>
      <c r="L32" s="14" t="s">
        <v>10957</v>
      </c>
      <c r="M32" s="14" t="s">
        <v>10958</v>
      </c>
    </row>
    <row r="33">
      <c r="A33" s="14" t="s">
        <v>44</v>
      </c>
      <c r="B33" s="14">
        <v>30.0</v>
      </c>
      <c r="C33" s="72" t="s">
        <v>2149</v>
      </c>
      <c r="D33" s="72" t="s">
        <v>10959</v>
      </c>
      <c r="E33" s="667" t="s">
        <v>53</v>
      </c>
      <c r="F33" s="72"/>
      <c r="L33" s="14" t="s">
        <v>10960</v>
      </c>
      <c r="M33" s="14" t="s">
        <v>10961</v>
      </c>
    </row>
    <row r="34">
      <c r="A34" s="14" t="s">
        <v>44</v>
      </c>
      <c r="B34" s="14">
        <v>31.0</v>
      </c>
      <c r="C34" s="72" t="s">
        <v>1329</v>
      </c>
      <c r="D34" s="72" t="s">
        <v>646</v>
      </c>
      <c r="E34" s="36" t="s">
        <v>49</v>
      </c>
      <c r="F34" s="72"/>
      <c r="L34" s="14" t="s">
        <v>10962</v>
      </c>
      <c r="M34" s="14" t="s">
        <v>10963</v>
      </c>
    </row>
    <row r="35">
      <c r="A35" s="14" t="s">
        <v>44</v>
      </c>
      <c r="B35" s="14">
        <v>32.0</v>
      </c>
      <c r="C35" s="72" t="s">
        <v>496</v>
      </c>
      <c r="D35" s="72" t="s">
        <v>4348</v>
      </c>
      <c r="E35" s="36" t="s">
        <v>49</v>
      </c>
      <c r="F35" s="72"/>
      <c r="L35" s="14" t="s">
        <v>10964</v>
      </c>
      <c r="M35" s="14" t="s">
        <v>10965</v>
      </c>
    </row>
    <row r="36">
      <c r="A36" s="14" t="s">
        <v>44</v>
      </c>
      <c r="B36" s="14">
        <v>33.0</v>
      </c>
      <c r="C36" s="72" t="s">
        <v>1000</v>
      </c>
      <c r="D36" s="72" t="s">
        <v>10966</v>
      </c>
      <c r="E36" s="36" t="s">
        <v>49</v>
      </c>
      <c r="F36" s="14" t="s">
        <v>498</v>
      </c>
      <c r="L36" s="14" t="s">
        <v>10967</v>
      </c>
      <c r="M36" s="14" t="s">
        <v>10968</v>
      </c>
    </row>
    <row r="37">
      <c r="A37" s="14" t="s">
        <v>44</v>
      </c>
      <c r="B37" s="14">
        <v>34.0</v>
      </c>
      <c r="C37" s="72" t="s">
        <v>10969</v>
      </c>
      <c r="D37" s="72" t="s">
        <v>629</v>
      </c>
      <c r="E37" s="36" t="s">
        <v>49</v>
      </c>
      <c r="F37" s="72"/>
      <c r="L37" s="14" t="s">
        <v>10970</v>
      </c>
      <c r="M37" s="14" t="s">
        <v>10971</v>
      </c>
    </row>
    <row r="38">
      <c r="A38" s="14" t="s">
        <v>44</v>
      </c>
      <c r="B38" s="14">
        <v>35.0</v>
      </c>
      <c r="C38" s="72" t="s">
        <v>1763</v>
      </c>
      <c r="D38" s="72" t="s">
        <v>1254</v>
      </c>
      <c r="E38" s="36" t="s">
        <v>49</v>
      </c>
      <c r="F38" s="72"/>
      <c r="L38" s="14" t="s">
        <v>10972</v>
      </c>
      <c r="M38" s="14" t="s">
        <v>10973</v>
      </c>
    </row>
    <row r="39">
      <c r="A39" s="14" t="s">
        <v>44</v>
      </c>
      <c r="B39" s="14">
        <v>36.0</v>
      </c>
      <c r="C39" s="72" t="s">
        <v>543</v>
      </c>
      <c r="D39" s="72" t="s">
        <v>10974</v>
      </c>
      <c r="E39" s="36" t="s">
        <v>49</v>
      </c>
      <c r="F39" s="72"/>
      <c r="L39" s="14" t="s">
        <v>10975</v>
      </c>
      <c r="M39" s="14" t="s">
        <v>10976</v>
      </c>
    </row>
    <row r="40">
      <c r="A40" s="14" t="s">
        <v>44</v>
      </c>
      <c r="B40" s="14">
        <v>37.0</v>
      </c>
      <c r="C40" s="14" t="s">
        <v>10977</v>
      </c>
      <c r="D40" s="72" t="s">
        <v>10978</v>
      </c>
      <c r="E40" s="667" t="s">
        <v>53</v>
      </c>
      <c r="F40" s="72"/>
      <c r="L40" s="14" t="s">
        <v>10979</v>
      </c>
      <c r="M40" s="14" t="s">
        <v>10980</v>
      </c>
    </row>
    <row r="41">
      <c r="A41" s="14" t="s">
        <v>44</v>
      </c>
      <c r="B41" s="14">
        <v>38.0</v>
      </c>
      <c r="C41" s="72" t="s">
        <v>1058</v>
      </c>
      <c r="D41" s="72" t="s">
        <v>10981</v>
      </c>
      <c r="E41" s="36" t="s">
        <v>49</v>
      </c>
      <c r="F41" s="72"/>
      <c r="L41" s="14" t="s">
        <v>10982</v>
      </c>
      <c r="M41" s="14" t="s">
        <v>10983</v>
      </c>
    </row>
    <row r="42">
      <c r="A42" s="14" t="s">
        <v>44</v>
      </c>
      <c r="B42" s="14">
        <v>39.0</v>
      </c>
      <c r="C42" s="72" t="s">
        <v>2490</v>
      </c>
      <c r="D42" s="72" t="s">
        <v>10984</v>
      </c>
      <c r="E42" s="667" t="s">
        <v>53</v>
      </c>
      <c r="F42" s="72"/>
      <c r="L42" s="14" t="s">
        <v>10985</v>
      </c>
      <c r="M42" s="14" t="s">
        <v>10986</v>
      </c>
    </row>
    <row r="43">
      <c r="A43" s="14" t="s">
        <v>44</v>
      </c>
      <c r="B43" s="14">
        <v>40.0</v>
      </c>
      <c r="C43" s="72" t="s">
        <v>4433</v>
      </c>
      <c r="D43" s="14" t="s">
        <v>10987</v>
      </c>
      <c r="E43" s="667" t="s">
        <v>53</v>
      </c>
      <c r="F43" s="72"/>
      <c r="L43" s="14" t="s">
        <v>10988</v>
      </c>
      <c r="M43" s="14" t="s">
        <v>10989</v>
      </c>
    </row>
    <row r="44">
      <c r="A44" s="14" t="s">
        <v>44</v>
      </c>
      <c r="B44" s="14">
        <v>41.0</v>
      </c>
      <c r="C44" s="72" t="s">
        <v>547</v>
      </c>
      <c r="D44" s="72" t="s">
        <v>1501</v>
      </c>
      <c r="E44" s="667" t="s">
        <v>53</v>
      </c>
      <c r="F44" s="72"/>
      <c r="L44" s="14" t="s">
        <v>10990</v>
      </c>
      <c r="M44" s="14" t="s">
        <v>10991</v>
      </c>
    </row>
    <row r="45">
      <c r="A45" s="14" t="s">
        <v>44</v>
      </c>
      <c r="B45" s="14">
        <v>42.0</v>
      </c>
      <c r="C45" s="72" t="s">
        <v>239</v>
      </c>
      <c r="D45" s="72" t="s">
        <v>1501</v>
      </c>
      <c r="E45" s="36" t="s">
        <v>49</v>
      </c>
      <c r="F45" s="72"/>
      <c r="L45" s="14" t="s">
        <v>10992</v>
      </c>
      <c r="M45" s="14" t="s">
        <v>10993</v>
      </c>
    </row>
    <row r="46">
      <c r="A46" s="14" t="s">
        <v>44</v>
      </c>
      <c r="B46" s="14">
        <v>43.0</v>
      </c>
      <c r="C46" s="72" t="s">
        <v>1617</v>
      </c>
      <c r="D46" s="72" t="s">
        <v>10994</v>
      </c>
      <c r="E46" s="667" t="s">
        <v>53</v>
      </c>
      <c r="F46" s="72"/>
      <c r="L46" s="14" t="s">
        <v>10995</v>
      </c>
      <c r="M46" s="14" t="s">
        <v>10996</v>
      </c>
    </row>
    <row r="47">
      <c r="A47" s="14" t="s">
        <v>44</v>
      </c>
      <c r="B47" s="14">
        <v>44.0</v>
      </c>
      <c r="C47" s="72" t="s">
        <v>2658</v>
      </c>
      <c r="D47" s="72" t="s">
        <v>10997</v>
      </c>
      <c r="E47" s="667" t="s">
        <v>53</v>
      </c>
      <c r="F47" s="72"/>
      <c r="L47" s="14" t="s">
        <v>10998</v>
      </c>
      <c r="M47" s="14" t="s">
        <v>10999</v>
      </c>
    </row>
    <row r="48">
      <c r="A48" s="14" t="s">
        <v>44</v>
      </c>
      <c r="B48" s="14">
        <v>45.0</v>
      </c>
      <c r="C48" s="72" t="s">
        <v>5123</v>
      </c>
      <c r="D48" s="72" t="s">
        <v>6803</v>
      </c>
      <c r="E48" s="36" t="s">
        <v>49</v>
      </c>
      <c r="F48" s="72"/>
      <c r="L48" s="14" t="s">
        <v>11000</v>
      </c>
      <c r="M48" s="14" t="s">
        <v>11001</v>
      </c>
    </row>
    <row r="49">
      <c r="A49" s="14" t="s">
        <v>44</v>
      </c>
      <c r="B49" s="14">
        <v>46.0</v>
      </c>
      <c r="C49" s="72" t="s">
        <v>1231</v>
      </c>
      <c r="D49" s="72" t="s">
        <v>11002</v>
      </c>
      <c r="E49" s="667" t="s">
        <v>53</v>
      </c>
      <c r="F49" s="72"/>
      <c r="L49" s="14" t="s">
        <v>11003</v>
      </c>
      <c r="M49" s="14" t="s">
        <v>11004</v>
      </c>
    </row>
    <row r="50">
      <c r="A50" s="14" t="s">
        <v>44</v>
      </c>
      <c r="B50" s="14">
        <v>47.0</v>
      </c>
      <c r="C50" s="72" t="s">
        <v>1617</v>
      </c>
      <c r="D50" s="72" t="s">
        <v>4569</v>
      </c>
      <c r="E50" s="667" t="s">
        <v>53</v>
      </c>
      <c r="F50" s="72"/>
      <c r="L50" s="14" t="s">
        <v>11005</v>
      </c>
      <c r="M50" s="14" t="s">
        <v>11006</v>
      </c>
    </row>
    <row r="51">
      <c r="A51" s="14" t="s">
        <v>44</v>
      </c>
      <c r="B51" s="14">
        <v>48.0</v>
      </c>
      <c r="C51" s="72" t="s">
        <v>2507</v>
      </c>
      <c r="D51" s="72" t="s">
        <v>11007</v>
      </c>
      <c r="E51" s="667" t="s">
        <v>53</v>
      </c>
      <c r="F51" s="72"/>
      <c r="L51" s="14" t="s">
        <v>11008</v>
      </c>
      <c r="M51" s="14" t="s">
        <v>11009</v>
      </c>
    </row>
    <row r="52">
      <c r="A52" s="14" t="s">
        <v>44</v>
      </c>
      <c r="B52" s="14">
        <v>49.0</v>
      </c>
      <c r="C52" s="72" t="s">
        <v>5523</v>
      </c>
      <c r="D52" s="72" t="s">
        <v>731</v>
      </c>
      <c r="E52" s="667" t="s">
        <v>53</v>
      </c>
      <c r="F52" s="72"/>
      <c r="L52" s="14" t="s">
        <v>11010</v>
      </c>
      <c r="M52" s="14" t="s">
        <v>11011</v>
      </c>
    </row>
    <row r="53">
      <c r="A53" s="14" t="s">
        <v>44</v>
      </c>
      <c r="B53" s="14">
        <v>50.0</v>
      </c>
      <c r="C53" s="72" t="s">
        <v>3657</v>
      </c>
      <c r="D53" s="72" t="s">
        <v>1754</v>
      </c>
      <c r="E53" s="36" t="s">
        <v>49</v>
      </c>
      <c r="F53" s="72"/>
      <c r="L53" s="14" t="s">
        <v>11012</v>
      </c>
      <c r="M53" s="14" t="s">
        <v>11013</v>
      </c>
    </row>
    <row r="54">
      <c r="A54" s="14" t="s">
        <v>44</v>
      </c>
      <c r="B54" s="14">
        <v>51.0</v>
      </c>
      <c r="C54" s="72" t="s">
        <v>896</v>
      </c>
      <c r="D54" s="72" t="s">
        <v>11014</v>
      </c>
      <c r="E54" s="667" t="s">
        <v>53</v>
      </c>
      <c r="F54" s="72"/>
      <c r="L54" s="14" t="s">
        <v>11015</v>
      </c>
      <c r="M54" s="14" t="s">
        <v>11016</v>
      </c>
    </row>
    <row r="55">
      <c r="A55" s="14" t="s">
        <v>44</v>
      </c>
      <c r="B55" s="14">
        <v>52.0</v>
      </c>
      <c r="C55" s="72" t="s">
        <v>2780</v>
      </c>
      <c r="D55" s="72" t="s">
        <v>10883</v>
      </c>
      <c r="E55" s="667" t="s">
        <v>53</v>
      </c>
      <c r="F55" s="72"/>
      <c r="L55" s="14" t="s">
        <v>11017</v>
      </c>
      <c r="M55" s="14" t="s">
        <v>11018</v>
      </c>
    </row>
    <row r="56">
      <c r="A56" s="14" t="s">
        <v>44</v>
      </c>
      <c r="B56" s="14">
        <v>53.0</v>
      </c>
      <c r="C56" s="72" t="s">
        <v>1897</v>
      </c>
      <c r="D56" s="72" t="s">
        <v>11019</v>
      </c>
      <c r="E56" s="36" t="s">
        <v>49</v>
      </c>
      <c r="F56" s="72"/>
      <c r="L56" s="14" t="s">
        <v>11020</v>
      </c>
      <c r="M56" s="14" t="s">
        <v>11021</v>
      </c>
    </row>
    <row r="57">
      <c r="A57" s="14" t="s">
        <v>44</v>
      </c>
      <c r="B57" s="14">
        <v>54.0</v>
      </c>
      <c r="C57" s="72" t="s">
        <v>1134</v>
      </c>
      <c r="D57" s="72" t="s">
        <v>1141</v>
      </c>
      <c r="E57" s="667" t="s">
        <v>53</v>
      </c>
      <c r="F57" s="72"/>
      <c r="L57" s="14" t="s">
        <v>11022</v>
      </c>
      <c r="M57" s="14" t="s">
        <v>11023</v>
      </c>
    </row>
    <row r="58">
      <c r="A58" s="14" t="s">
        <v>44</v>
      </c>
      <c r="B58" s="14">
        <v>55.0</v>
      </c>
      <c r="C58" s="72" t="s">
        <v>2527</v>
      </c>
      <c r="D58" s="72" t="s">
        <v>11024</v>
      </c>
      <c r="E58" s="36" t="s">
        <v>49</v>
      </c>
      <c r="F58" s="72"/>
      <c r="L58" s="14" t="s">
        <v>11025</v>
      </c>
      <c r="M58" s="14" t="s">
        <v>11026</v>
      </c>
    </row>
    <row r="59">
      <c r="A59" s="14" t="s">
        <v>44</v>
      </c>
      <c r="B59" s="14">
        <v>56.0</v>
      </c>
      <c r="C59" s="72" t="s">
        <v>98</v>
      </c>
      <c r="D59" s="72" t="s">
        <v>11028</v>
      </c>
      <c r="E59" s="667" t="s">
        <v>53</v>
      </c>
      <c r="F59" s="72"/>
      <c r="L59" s="670" t="s">
        <v>11029</v>
      </c>
      <c r="M59" s="14" t="s">
        <v>11030</v>
      </c>
    </row>
    <row r="60">
      <c r="A60" s="14" t="s">
        <v>44</v>
      </c>
      <c r="B60" s="14">
        <v>57.0</v>
      </c>
      <c r="C60" s="72" t="s">
        <v>2302</v>
      </c>
      <c r="D60" s="72" t="s">
        <v>3823</v>
      </c>
      <c r="E60" s="667" t="s">
        <v>53</v>
      </c>
      <c r="F60" s="72"/>
      <c r="L60" s="14" t="s">
        <v>11031</v>
      </c>
      <c r="M60" s="14" t="s">
        <v>11032</v>
      </c>
    </row>
    <row r="61">
      <c r="A61" s="14" t="s">
        <v>44</v>
      </c>
      <c r="B61" s="14">
        <v>58.0</v>
      </c>
      <c r="C61" s="72" t="s">
        <v>786</v>
      </c>
      <c r="D61" s="72" t="s">
        <v>2877</v>
      </c>
      <c r="E61" s="667" t="s">
        <v>53</v>
      </c>
      <c r="F61" s="72"/>
      <c r="L61" s="14" t="s">
        <v>11033</v>
      </c>
      <c r="M61" s="14" t="s">
        <v>11034</v>
      </c>
    </row>
    <row r="62">
      <c r="A62" s="14" t="s">
        <v>44</v>
      </c>
      <c r="B62" s="14">
        <v>59.0</v>
      </c>
      <c r="C62" s="72" t="s">
        <v>157</v>
      </c>
      <c r="D62" s="72" t="s">
        <v>11035</v>
      </c>
      <c r="E62" s="667" t="s">
        <v>53</v>
      </c>
      <c r="F62" s="72"/>
      <c r="L62" s="14" t="s">
        <v>11036</v>
      </c>
      <c r="M62" s="672" t="s">
        <v>11037</v>
      </c>
    </row>
    <row r="63">
      <c r="A63" s="14" t="s">
        <v>44</v>
      </c>
      <c r="B63" s="14">
        <v>60.0</v>
      </c>
      <c r="C63" s="72" t="s">
        <v>2512</v>
      </c>
      <c r="D63" s="72" t="s">
        <v>5368</v>
      </c>
      <c r="E63" s="667" t="s">
        <v>53</v>
      </c>
      <c r="F63" s="72"/>
      <c r="L63" s="59" t="s">
        <v>11039</v>
      </c>
      <c r="M63" s="14" t="s">
        <v>11040</v>
      </c>
    </row>
    <row r="64">
      <c r="A64" s="14" t="s">
        <v>44</v>
      </c>
      <c r="B64" s="14">
        <v>61.0</v>
      </c>
      <c r="C64" s="72" t="s">
        <v>2680</v>
      </c>
      <c r="D64" s="72" t="s">
        <v>11041</v>
      </c>
      <c r="E64" s="36" t="s">
        <v>49</v>
      </c>
      <c r="F64" s="72"/>
      <c r="L64" s="14" t="s">
        <v>11042</v>
      </c>
      <c r="M64" s="14" t="s">
        <v>11043</v>
      </c>
    </row>
    <row r="65">
      <c r="A65" s="14" t="s">
        <v>44</v>
      </c>
      <c r="B65" s="14">
        <v>62.0</v>
      </c>
      <c r="C65" s="72" t="s">
        <v>930</v>
      </c>
      <c r="D65" s="72" t="s">
        <v>11044</v>
      </c>
      <c r="E65" s="667" t="s">
        <v>53</v>
      </c>
      <c r="F65" s="72"/>
      <c r="L65" s="14" t="s">
        <v>11045</v>
      </c>
      <c r="M65" s="14" t="s">
        <v>11046</v>
      </c>
    </row>
    <row r="66">
      <c r="A66" s="14" t="s">
        <v>44</v>
      </c>
      <c r="B66" s="14">
        <v>63.0</v>
      </c>
      <c r="C66" s="72" t="s">
        <v>3404</v>
      </c>
      <c r="D66" s="72" t="s">
        <v>11047</v>
      </c>
      <c r="E66" s="667" t="s">
        <v>53</v>
      </c>
      <c r="F66" s="72"/>
      <c r="L66" s="14" t="s">
        <v>11048</v>
      </c>
      <c r="M66" s="672" t="s">
        <v>11049</v>
      </c>
    </row>
    <row r="67">
      <c r="A67" s="14" t="s">
        <v>44</v>
      </c>
      <c r="B67" s="14">
        <v>64.0</v>
      </c>
      <c r="C67" s="72" t="s">
        <v>629</v>
      </c>
      <c r="D67" s="72" t="s">
        <v>930</v>
      </c>
      <c r="E67" s="667" t="s">
        <v>53</v>
      </c>
      <c r="F67" s="72"/>
      <c r="L67" s="14" t="s">
        <v>11050</v>
      </c>
      <c r="M67" s="14" t="s">
        <v>11051</v>
      </c>
    </row>
    <row r="68">
      <c r="A68" s="14" t="s">
        <v>44</v>
      </c>
      <c r="B68" s="14">
        <v>65.0</v>
      </c>
      <c r="C68" s="72" t="s">
        <v>2724</v>
      </c>
      <c r="D68" s="72" t="s">
        <v>11052</v>
      </c>
      <c r="E68" s="667" t="s">
        <v>53</v>
      </c>
      <c r="F68" s="72"/>
      <c r="L68" s="14" t="s">
        <v>11053</v>
      </c>
      <c r="M68" s="14" t="s">
        <v>11054</v>
      </c>
    </row>
    <row r="69">
      <c r="A69" s="14" t="s">
        <v>44</v>
      </c>
      <c r="B69" s="14">
        <v>66.0</v>
      </c>
      <c r="C69" s="72" t="s">
        <v>11055</v>
      </c>
      <c r="D69" s="72" t="s">
        <v>11056</v>
      </c>
      <c r="E69" s="667" t="s">
        <v>53</v>
      </c>
      <c r="F69" s="72"/>
      <c r="L69" s="14" t="s">
        <v>11057</v>
      </c>
      <c r="M69" s="14" t="s">
        <v>11058</v>
      </c>
    </row>
    <row r="70">
      <c r="A70" s="14" t="s">
        <v>44</v>
      </c>
      <c r="B70" s="14">
        <v>67.0</v>
      </c>
      <c r="C70" s="72" t="s">
        <v>456</v>
      </c>
      <c r="D70" s="72" t="s">
        <v>11059</v>
      </c>
      <c r="E70" s="667" t="s">
        <v>53</v>
      </c>
      <c r="F70" s="72"/>
      <c r="L70" s="14" t="s">
        <v>11060</v>
      </c>
      <c r="M70" s="14" t="s">
        <v>11061</v>
      </c>
    </row>
    <row r="71">
      <c r="A71" s="14" t="s">
        <v>44</v>
      </c>
      <c r="B71" s="14">
        <v>68.0</v>
      </c>
      <c r="C71" s="72" t="s">
        <v>1667</v>
      </c>
      <c r="D71" s="72" t="s">
        <v>11062</v>
      </c>
      <c r="E71" s="667" t="s">
        <v>53</v>
      </c>
      <c r="F71" s="72"/>
      <c r="L71" s="14" t="s">
        <v>11063</v>
      </c>
      <c r="M71" s="14" t="s">
        <v>11064</v>
      </c>
    </row>
    <row r="72">
      <c r="A72" s="14" t="s">
        <v>44</v>
      </c>
      <c r="B72" s="14">
        <v>69.0</v>
      </c>
      <c r="C72" s="72" t="s">
        <v>4087</v>
      </c>
      <c r="D72" s="72" t="s">
        <v>6218</v>
      </c>
      <c r="E72" s="667" t="s">
        <v>53</v>
      </c>
      <c r="F72" s="72"/>
      <c r="L72" s="14" t="s">
        <v>11065</v>
      </c>
      <c r="M72" s="14" t="s">
        <v>11066</v>
      </c>
    </row>
    <row r="73">
      <c r="A73" s="14" t="s">
        <v>44</v>
      </c>
      <c r="B73" s="14">
        <v>70.0</v>
      </c>
      <c r="C73" s="72" t="s">
        <v>896</v>
      </c>
      <c r="D73" s="72" t="s">
        <v>2241</v>
      </c>
      <c r="E73" s="36" t="s">
        <v>49</v>
      </c>
      <c r="F73" s="72"/>
      <c r="G73" s="14" t="s">
        <v>662</v>
      </c>
      <c r="L73" s="14" t="s">
        <v>10945</v>
      </c>
      <c r="M73" s="14" t="s">
        <v>11067</v>
      </c>
    </row>
    <row r="74">
      <c r="A74" s="14" t="s">
        <v>44</v>
      </c>
      <c r="B74" s="14">
        <v>71.0</v>
      </c>
      <c r="C74" s="72" t="s">
        <v>930</v>
      </c>
      <c r="D74" s="72" t="s">
        <v>11068</v>
      </c>
      <c r="E74" s="667" t="s">
        <v>53</v>
      </c>
      <c r="F74" s="72"/>
      <c r="L74" s="14" t="s">
        <v>11069</v>
      </c>
      <c r="M74" s="14" t="s">
        <v>11070</v>
      </c>
    </row>
    <row r="75">
      <c r="A75" s="14" t="s">
        <v>44</v>
      </c>
      <c r="B75" s="14">
        <v>72.0</v>
      </c>
      <c r="C75" s="72" t="s">
        <v>1000</v>
      </c>
      <c r="D75" s="72" t="s">
        <v>4107</v>
      </c>
      <c r="E75" s="100" t="s">
        <v>49</v>
      </c>
      <c r="F75" s="72"/>
      <c r="L75" s="14" t="s">
        <v>11071</v>
      </c>
      <c r="M75" s="14" t="s">
        <v>11072</v>
      </c>
    </row>
    <row r="76">
      <c r="A76" s="14" t="s">
        <v>44</v>
      </c>
      <c r="B76" s="14">
        <v>73.0</v>
      </c>
      <c r="C76" s="72" t="s">
        <v>561</v>
      </c>
      <c r="D76" s="72" t="s">
        <v>11073</v>
      </c>
      <c r="E76" s="667" t="s">
        <v>53</v>
      </c>
      <c r="F76" s="72"/>
      <c r="L76" s="14" t="s">
        <v>11074</v>
      </c>
      <c r="M76" s="14" t="s">
        <v>10938</v>
      </c>
    </row>
    <row r="77">
      <c r="A77" s="14" t="s">
        <v>44</v>
      </c>
      <c r="B77" s="14">
        <v>74.0</v>
      </c>
      <c r="C77" s="72" t="s">
        <v>239</v>
      </c>
      <c r="D77" s="72" t="s">
        <v>793</v>
      </c>
      <c r="E77" s="36" t="s">
        <v>49</v>
      </c>
      <c r="F77" s="72"/>
      <c r="L77" s="14" t="s">
        <v>11076</v>
      </c>
      <c r="M77" s="14" t="s">
        <v>11077</v>
      </c>
    </row>
    <row r="78">
      <c r="A78" s="14" t="s">
        <v>44</v>
      </c>
      <c r="B78" s="14">
        <v>75.0</v>
      </c>
      <c r="C78" s="72" t="s">
        <v>163</v>
      </c>
      <c r="D78" s="72" t="s">
        <v>11078</v>
      </c>
      <c r="E78" s="667" t="s">
        <v>53</v>
      </c>
      <c r="F78" s="72"/>
      <c r="L78" s="675" t="s">
        <v>11079</v>
      </c>
      <c r="M78" s="14" t="s">
        <v>11080</v>
      </c>
    </row>
    <row r="79">
      <c r="A79" s="14" t="s">
        <v>44</v>
      </c>
      <c r="B79" s="14">
        <v>76.0</v>
      </c>
      <c r="C79" s="72" t="s">
        <v>2254</v>
      </c>
      <c r="D79" s="72" t="s">
        <v>11081</v>
      </c>
      <c r="E79" s="667" t="s">
        <v>53</v>
      </c>
      <c r="F79" s="72"/>
      <c r="L79" s="14" t="s">
        <v>11082</v>
      </c>
      <c r="M79" s="676" t="s">
        <v>11083</v>
      </c>
    </row>
    <row r="80">
      <c r="A80" s="14" t="s">
        <v>44</v>
      </c>
      <c r="B80" s="14">
        <v>77.0</v>
      </c>
      <c r="C80" s="72" t="s">
        <v>45</v>
      </c>
      <c r="D80" s="72" t="s">
        <v>11084</v>
      </c>
      <c r="E80" s="36" t="s">
        <v>49</v>
      </c>
      <c r="F80" s="72"/>
      <c r="L80" s="677" t="s">
        <v>11085</v>
      </c>
      <c r="M80" s="14" t="s">
        <v>11087</v>
      </c>
    </row>
    <row r="81">
      <c r="A81" s="14" t="s">
        <v>44</v>
      </c>
      <c r="B81" s="14">
        <v>78.0</v>
      </c>
      <c r="C81" s="72" t="s">
        <v>386</v>
      </c>
      <c r="D81" s="72" t="s">
        <v>11088</v>
      </c>
      <c r="E81" s="667" t="s">
        <v>53</v>
      </c>
      <c r="F81" s="72"/>
      <c r="L81" s="675" t="s">
        <v>11089</v>
      </c>
      <c r="M81" s="14" t="s">
        <v>11090</v>
      </c>
    </row>
    <row r="82">
      <c r="A82" s="14" t="s">
        <v>44</v>
      </c>
      <c r="B82" s="14">
        <v>79.0</v>
      </c>
      <c r="C82" s="72" t="s">
        <v>4971</v>
      </c>
      <c r="D82" s="72" t="s">
        <v>9987</v>
      </c>
      <c r="E82" s="667" t="s">
        <v>53</v>
      </c>
      <c r="F82" s="72"/>
      <c r="L82" s="666" t="s">
        <v>11091</v>
      </c>
      <c r="M82" s="14" t="s">
        <v>11092</v>
      </c>
    </row>
    <row r="83">
      <c r="A83" s="14" t="s">
        <v>44</v>
      </c>
      <c r="B83" s="14">
        <v>80.0</v>
      </c>
      <c r="C83" s="72" t="s">
        <v>930</v>
      </c>
      <c r="D83" s="72" t="s">
        <v>823</v>
      </c>
      <c r="E83" s="667" t="s">
        <v>53</v>
      </c>
      <c r="F83" s="72"/>
      <c r="L83" s="675" t="s">
        <v>11093</v>
      </c>
      <c r="M83" s="14" t="s">
        <v>11094</v>
      </c>
    </row>
    <row r="84">
      <c r="A84" s="14" t="s">
        <v>44</v>
      </c>
      <c r="B84" s="14">
        <v>81.0</v>
      </c>
      <c r="C84" s="72" t="s">
        <v>1112</v>
      </c>
      <c r="D84" s="72" t="s">
        <v>2153</v>
      </c>
      <c r="E84" s="667" t="s">
        <v>53</v>
      </c>
      <c r="F84" s="72"/>
      <c r="L84" s="666" t="s">
        <v>11095</v>
      </c>
      <c r="M84" s="14" t="s">
        <v>11096</v>
      </c>
    </row>
    <row r="85">
      <c r="A85" s="14" t="s">
        <v>44</v>
      </c>
      <c r="B85" s="14">
        <v>82.0</v>
      </c>
      <c r="C85" s="72" t="s">
        <v>11098</v>
      </c>
      <c r="D85" s="72" t="s">
        <v>6542</v>
      </c>
      <c r="E85" s="667" t="s">
        <v>53</v>
      </c>
      <c r="F85" s="72"/>
      <c r="L85" s="666" t="s">
        <v>11099</v>
      </c>
      <c r="M85" s="14" t="s">
        <v>11100</v>
      </c>
    </row>
    <row r="86">
      <c r="A86" s="14" t="s">
        <v>44</v>
      </c>
      <c r="B86" s="14">
        <v>83.0</v>
      </c>
      <c r="C86" s="72" t="s">
        <v>683</v>
      </c>
      <c r="D86" s="72" t="s">
        <v>11101</v>
      </c>
      <c r="E86" s="667" t="s">
        <v>53</v>
      </c>
      <c r="F86" s="72"/>
      <c r="L86" s="666" t="s">
        <v>11102</v>
      </c>
      <c r="M86" s="14" t="s">
        <v>11103</v>
      </c>
    </row>
    <row r="87">
      <c r="A87" s="14" t="s">
        <v>44</v>
      </c>
      <c r="B87" s="14">
        <v>84.0</v>
      </c>
      <c r="C87" s="72" t="s">
        <v>11104</v>
      </c>
      <c r="D87" s="72" t="s">
        <v>7111</v>
      </c>
      <c r="E87" s="667" t="s">
        <v>53</v>
      </c>
      <c r="F87" s="72"/>
      <c r="L87" s="666" t="s">
        <v>11105</v>
      </c>
      <c r="M87" s="14" t="s">
        <v>11106</v>
      </c>
    </row>
    <row r="88">
      <c r="A88" s="14" t="s">
        <v>44</v>
      </c>
      <c r="B88" s="14">
        <v>85.0</v>
      </c>
      <c r="C88" s="72" t="s">
        <v>1242</v>
      </c>
      <c r="D88" s="72" t="s">
        <v>10530</v>
      </c>
      <c r="E88" s="667" t="s">
        <v>53</v>
      </c>
      <c r="F88" s="72"/>
      <c r="L88" s="666" t="s">
        <v>11107</v>
      </c>
      <c r="M88" s="14" t="s">
        <v>11108</v>
      </c>
    </row>
    <row r="89">
      <c r="A89" s="14" t="s">
        <v>44</v>
      </c>
      <c r="B89" s="14">
        <v>86.0</v>
      </c>
      <c r="C89" s="72" t="s">
        <v>91</v>
      </c>
      <c r="D89" s="72" t="s">
        <v>10530</v>
      </c>
      <c r="E89" s="667" t="s">
        <v>53</v>
      </c>
      <c r="F89" s="72"/>
      <c r="L89" s="666" t="s">
        <v>11109</v>
      </c>
      <c r="M89" s="14" t="s">
        <v>11110</v>
      </c>
    </row>
    <row r="90">
      <c r="A90" s="14" t="s">
        <v>44</v>
      </c>
      <c r="B90" s="14">
        <v>87.0</v>
      </c>
      <c r="C90" s="72" t="s">
        <v>997</v>
      </c>
      <c r="D90" s="72" t="s">
        <v>11111</v>
      </c>
      <c r="E90" s="667" t="s">
        <v>53</v>
      </c>
      <c r="F90" s="72"/>
      <c r="L90" s="666" t="s">
        <v>11112</v>
      </c>
      <c r="M90" s="14" t="s">
        <v>11113</v>
      </c>
    </row>
    <row r="91">
      <c r="A91" s="14" t="s">
        <v>44</v>
      </c>
      <c r="B91" s="14">
        <v>88.0</v>
      </c>
      <c r="C91" s="72" t="s">
        <v>7176</v>
      </c>
      <c r="D91" s="72" t="s">
        <v>11114</v>
      </c>
      <c r="E91" s="667" t="s">
        <v>53</v>
      </c>
      <c r="F91" s="72"/>
      <c r="L91" s="666" t="s">
        <v>11115</v>
      </c>
      <c r="M91" s="14" t="s">
        <v>11116</v>
      </c>
    </row>
    <row r="92">
      <c r="A92" s="14" t="s">
        <v>44</v>
      </c>
      <c r="B92" s="14">
        <v>89.0</v>
      </c>
      <c r="C92" s="72" t="s">
        <v>1476</v>
      </c>
      <c r="D92" s="72" t="s">
        <v>3903</v>
      </c>
      <c r="E92" s="667" t="s">
        <v>53</v>
      </c>
      <c r="F92" s="72"/>
      <c r="L92" s="666" t="s">
        <v>11117</v>
      </c>
      <c r="M92" s="14" t="s">
        <v>11118</v>
      </c>
    </row>
    <row r="93">
      <c r="A93" s="14" t="s">
        <v>44</v>
      </c>
      <c r="B93" s="14">
        <v>90.0</v>
      </c>
      <c r="C93" s="72" t="s">
        <v>679</v>
      </c>
      <c r="D93" s="72" t="s">
        <v>11119</v>
      </c>
      <c r="E93" s="667" t="s">
        <v>53</v>
      </c>
      <c r="F93" s="72"/>
      <c r="L93" s="666" t="s">
        <v>11120</v>
      </c>
      <c r="M93" s="14" t="s">
        <v>11121</v>
      </c>
    </row>
    <row r="94">
      <c r="A94" s="14" t="s">
        <v>44</v>
      </c>
      <c r="B94" s="14">
        <v>91.0</v>
      </c>
      <c r="C94" s="72" t="s">
        <v>239</v>
      </c>
      <c r="D94" s="72" t="s">
        <v>11122</v>
      </c>
      <c r="E94" s="667" t="s">
        <v>53</v>
      </c>
      <c r="F94" s="72"/>
      <c r="L94" s="666" t="s">
        <v>11123</v>
      </c>
      <c r="M94" s="14" t="s">
        <v>11124</v>
      </c>
    </row>
    <row r="95">
      <c r="A95" s="14" t="s">
        <v>44</v>
      </c>
      <c r="B95" s="14">
        <v>92.0</v>
      </c>
      <c r="C95" s="72" t="s">
        <v>9525</v>
      </c>
      <c r="D95" s="72" t="s">
        <v>11125</v>
      </c>
      <c r="E95" s="667" t="s">
        <v>53</v>
      </c>
      <c r="F95" s="72"/>
      <c r="L95" s="666" t="s">
        <v>11126</v>
      </c>
      <c r="M95" s="14" t="s">
        <v>11127</v>
      </c>
    </row>
    <row r="96">
      <c r="A96" s="14" t="s">
        <v>44</v>
      </c>
      <c r="B96" s="14">
        <v>93.0</v>
      </c>
      <c r="C96" s="72" t="s">
        <v>157</v>
      </c>
      <c r="D96" s="72" t="s">
        <v>706</v>
      </c>
      <c r="E96" s="667" t="s">
        <v>53</v>
      </c>
      <c r="F96" s="72"/>
      <c r="L96" s="666" t="s">
        <v>11128</v>
      </c>
      <c r="M96" s="14" t="s">
        <v>11129</v>
      </c>
    </row>
    <row r="97">
      <c r="A97" s="14" t="s">
        <v>44</v>
      </c>
      <c r="B97" s="14">
        <v>94.0</v>
      </c>
      <c r="C97" s="72" t="s">
        <v>3550</v>
      </c>
      <c r="D97" s="72" t="s">
        <v>11130</v>
      </c>
      <c r="E97" s="667" t="s">
        <v>53</v>
      </c>
      <c r="F97" s="72"/>
      <c r="G97" s="14" t="s">
        <v>11131</v>
      </c>
      <c r="L97" s="666" t="s">
        <v>11132</v>
      </c>
      <c r="M97" s="14" t="s">
        <v>11133</v>
      </c>
    </row>
    <row r="98">
      <c r="A98" s="14" t="s">
        <v>44</v>
      </c>
      <c r="B98" s="14">
        <v>95.0</v>
      </c>
      <c r="C98" s="72" t="s">
        <v>801</v>
      </c>
      <c r="D98" s="72" t="s">
        <v>11135</v>
      </c>
      <c r="E98" s="100" t="s">
        <v>49</v>
      </c>
      <c r="F98" s="72"/>
      <c r="L98" s="666" t="s">
        <v>11136</v>
      </c>
      <c r="M98" s="14" t="s">
        <v>11137</v>
      </c>
    </row>
    <row r="99">
      <c r="A99" s="14" t="s">
        <v>44</v>
      </c>
      <c r="B99" s="14">
        <v>96.0</v>
      </c>
      <c r="C99" s="72" t="s">
        <v>2490</v>
      </c>
      <c r="D99" s="72" t="s">
        <v>11138</v>
      </c>
      <c r="E99" s="36" t="s">
        <v>49</v>
      </c>
      <c r="F99" s="72"/>
      <c r="L99" s="666" t="s">
        <v>11139</v>
      </c>
      <c r="M99" s="14" t="s">
        <v>11140</v>
      </c>
    </row>
    <row r="100">
      <c r="A100" s="14" t="s">
        <v>44</v>
      </c>
      <c r="B100" s="14">
        <v>97.0</v>
      </c>
      <c r="C100" s="72" t="s">
        <v>1897</v>
      </c>
      <c r="D100" s="72" t="s">
        <v>11141</v>
      </c>
      <c r="E100" s="667" t="s">
        <v>53</v>
      </c>
      <c r="F100" s="72"/>
      <c r="L100" s="666" t="s">
        <v>11142</v>
      </c>
      <c r="M100" s="14" t="s">
        <v>11143</v>
      </c>
    </row>
    <row r="101">
      <c r="A101" s="14" t="s">
        <v>44</v>
      </c>
      <c r="B101" s="14">
        <v>98.0</v>
      </c>
      <c r="C101" s="72" t="s">
        <v>108</v>
      </c>
      <c r="D101" s="72" t="s">
        <v>11145</v>
      </c>
      <c r="E101" s="667" t="s">
        <v>53</v>
      </c>
      <c r="F101" s="72"/>
      <c r="L101" s="666" t="s">
        <v>11146</v>
      </c>
      <c r="M101" s="14" t="s">
        <v>11147</v>
      </c>
    </row>
    <row r="102">
      <c r="A102" s="14" t="s">
        <v>44</v>
      </c>
      <c r="B102" s="14">
        <v>99.0</v>
      </c>
      <c r="C102" s="72" t="s">
        <v>108</v>
      </c>
      <c r="D102" s="72" t="s">
        <v>11148</v>
      </c>
      <c r="E102" s="667" t="s">
        <v>53</v>
      </c>
      <c r="F102" s="72"/>
      <c r="L102" s="666" t="s">
        <v>11149</v>
      </c>
      <c r="M102" s="14" t="s">
        <v>11150</v>
      </c>
    </row>
    <row r="103">
      <c r="A103" s="14" t="s">
        <v>44</v>
      </c>
      <c r="B103" s="14">
        <v>100.0</v>
      </c>
      <c r="C103" s="72" t="s">
        <v>2775</v>
      </c>
      <c r="D103" s="72" t="s">
        <v>6967</v>
      </c>
      <c r="E103" s="667" t="s">
        <v>53</v>
      </c>
      <c r="F103" s="14" t="s">
        <v>176</v>
      </c>
      <c r="L103" s="666" t="s">
        <v>11151</v>
      </c>
      <c r="M103" s="14" t="s">
        <v>11152</v>
      </c>
    </row>
    <row r="104">
      <c r="A104" s="14" t="s">
        <v>44</v>
      </c>
      <c r="B104" s="14">
        <v>101.0</v>
      </c>
      <c r="C104" s="72" t="s">
        <v>3391</v>
      </c>
      <c r="D104" s="72" t="s">
        <v>2780</v>
      </c>
      <c r="E104" s="667" t="s">
        <v>53</v>
      </c>
      <c r="F104" s="72"/>
      <c r="L104" s="666" t="s">
        <v>11154</v>
      </c>
      <c r="M104" s="14" t="s">
        <v>11155</v>
      </c>
    </row>
    <row r="105">
      <c r="A105" s="14" t="s">
        <v>44</v>
      </c>
      <c r="B105" s="14">
        <v>102.0</v>
      </c>
      <c r="C105" s="72" t="s">
        <v>1054</v>
      </c>
      <c r="D105" s="72" t="s">
        <v>3034</v>
      </c>
      <c r="E105" s="667" t="s">
        <v>53</v>
      </c>
      <c r="F105" s="72"/>
      <c r="L105" s="666" t="s">
        <v>11156</v>
      </c>
      <c r="M105" s="14" t="s">
        <v>11157</v>
      </c>
    </row>
    <row r="106">
      <c r="A106" s="14" t="s">
        <v>44</v>
      </c>
      <c r="B106" s="14">
        <v>103.0</v>
      </c>
      <c r="C106" s="72" t="s">
        <v>3923</v>
      </c>
      <c r="D106" s="72" t="s">
        <v>1973</v>
      </c>
      <c r="E106" s="100" t="s">
        <v>49</v>
      </c>
      <c r="F106" s="72"/>
      <c r="L106" s="666" t="s">
        <v>11158</v>
      </c>
      <c r="M106" s="14" t="s">
        <v>11159</v>
      </c>
    </row>
    <row r="107">
      <c r="A107" s="14" t="s">
        <v>44</v>
      </c>
      <c r="B107" s="14">
        <v>104.0</v>
      </c>
      <c r="C107" s="72" t="s">
        <v>1446</v>
      </c>
      <c r="D107" s="72" t="s">
        <v>10860</v>
      </c>
      <c r="E107" s="667" t="s">
        <v>53</v>
      </c>
      <c r="F107" s="72"/>
      <c r="L107" s="666" t="s">
        <v>11160</v>
      </c>
      <c r="M107" s="14" t="s">
        <v>11161</v>
      </c>
    </row>
    <row r="108">
      <c r="A108" s="14" t="s">
        <v>44</v>
      </c>
      <c r="B108" s="14">
        <v>105.0</v>
      </c>
      <c r="C108" s="72" t="s">
        <v>80</v>
      </c>
      <c r="D108" s="72" t="s">
        <v>1707</v>
      </c>
      <c r="E108" s="667" t="s">
        <v>53</v>
      </c>
      <c r="F108" s="72"/>
      <c r="L108" s="666" t="s">
        <v>11162</v>
      </c>
      <c r="M108" s="14" t="s">
        <v>11163</v>
      </c>
    </row>
    <row r="109">
      <c r="A109" s="14" t="s">
        <v>44</v>
      </c>
      <c r="B109" s="14">
        <v>106.0</v>
      </c>
      <c r="C109" s="72" t="s">
        <v>561</v>
      </c>
      <c r="D109" s="72" t="s">
        <v>11164</v>
      </c>
      <c r="E109" s="667" t="s">
        <v>53</v>
      </c>
      <c r="F109" s="72"/>
      <c r="L109" s="666" t="s">
        <v>11165</v>
      </c>
      <c r="M109" s="14" t="s">
        <v>11166</v>
      </c>
    </row>
    <row r="110">
      <c r="A110" s="14" t="s">
        <v>44</v>
      </c>
      <c r="B110" s="14">
        <v>107.0</v>
      </c>
      <c r="C110" s="72" t="s">
        <v>2569</v>
      </c>
      <c r="D110" s="72" t="s">
        <v>11167</v>
      </c>
      <c r="E110" s="667" t="s">
        <v>53</v>
      </c>
      <c r="F110" s="72"/>
      <c r="L110" s="666" t="s">
        <v>11168</v>
      </c>
      <c r="M110" s="14" t="s">
        <v>11169</v>
      </c>
    </row>
    <row r="111">
      <c r="A111" s="14" t="s">
        <v>44</v>
      </c>
      <c r="B111" s="14">
        <v>108.0</v>
      </c>
      <c r="C111" s="72" t="s">
        <v>11170</v>
      </c>
      <c r="D111" s="72" t="s">
        <v>11171</v>
      </c>
      <c r="E111" s="667" t="s">
        <v>53</v>
      </c>
      <c r="F111" s="72"/>
      <c r="L111" s="666" t="s">
        <v>11172</v>
      </c>
      <c r="M111" s="14" t="s">
        <v>11173</v>
      </c>
    </row>
    <row r="112">
      <c r="A112" s="14" t="s">
        <v>44</v>
      </c>
      <c r="B112" s="14">
        <v>109.0</v>
      </c>
      <c r="C112" s="72" t="s">
        <v>108</v>
      </c>
      <c r="D112" s="72" t="s">
        <v>11174</v>
      </c>
      <c r="E112" s="667" t="s">
        <v>53</v>
      </c>
      <c r="F112" s="72"/>
      <c r="L112" s="666" t="s">
        <v>11175</v>
      </c>
      <c r="M112" s="14" t="s">
        <v>11176</v>
      </c>
    </row>
    <row r="113">
      <c r="A113" s="14" t="s">
        <v>44</v>
      </c>
      <c r="B113" s="14">
        <v>110.0</v>
      </c>
      <c r="C113" s="72" t="s">
        <v>3053</v>
      </c>
      <c r="D113" s="72" t="s">
        <v>6776</v>
      </c>
      <c r="E113" s="667" t="s">
        <v>53</v>
      </c>
      <c r="F113" s="72"/>
      <c r="L113" s="666" t="s">
        <v>11177</v>
      </c>
      <c r="M113" s="14" t="s">
        <v>11178</v>
      </c>
    </row>
    <row r="114">
      <c r="A114" s="14" t="s">
        <v>44</v>
      </c>
      <c r="B114" s="14">
        <v>111.0</v>
      </c>
      <c r="C114" s="72" t="s">
        <v>235</v>
      </c>
      <c r="D114" s="72" t="s">
        <v>11179</v>
      </c>
      <c r="E114" s="667" t="s">
        <v>53</v>
      </c>
      <c r="F114" s="72"/>
      <c r="L114" s="666" t="s">
        <v>11180</v>
      </c>
      <c r="M114" s="14" t="s">
        <v>11181</v>
      </c>
    </row>
    <row r="115">
      <c r="A115" s="14" t="s">
        <v>44</v>
      </c>
      <c r="B115" s="14">
        <v>112.0</v>
      </c>
      <c r="C115" s="72" t="s">
        <v>257</v>
      </c>
      <c r="D115" s="72" t="s">
        <v>11182</v>
      </c>
      <c r="E115" s="100" t="s">
        <v>49</v>
      </c>
      <c r="F115" s="72"/>
      <c r="L115" s="677" t="s">
        <v>11183</v>
      </c>
      <c r="M115" s="677" t="s">
        <v>11185</v>
      </c>
    </row>
    <row r="116">
      <c r="A116" s="14" t="s">
        <v>44</v>
      </c>
      <c r="B116" s="14">
        <v>113.0</v>
      </c>
      <c r="C116" s="72" t="s">
        <v>456</v>
      </c>
      <c r="D116" s="72" t="s">
        <v>11186</v>
      </c>
      <c r="E116" s="36" t="s">
        <v>49</v>
      </c>
      <c r="F116" s="72"/>
      <c r="L116" s="666" t="s">
        <v>11183</v>
      </c>
      <c r="M116" s="14" t="s">
        <v>11185</v>
      </c>
    </row>
    <row r="117">
      <c r="A117" s="14" t="s">
        <v>44</v>
      </c>
      <c r="B117" s="14">
        <v>114.0</v>
      </c>
      <c r="C117" s="72" t="s">
        <v>6375</v>
      </c>
      <c r="D117" s="72" t="s">
        <v>11189</v>
      </c>
      <c r="E117" s="36" t="s">
        <v>49</v>
      </c>
      <c r="F117" s="72"/>
      <c r="L117" s="677" t="s">
        <v>11190</v>
      </c>
      <c r="M117" s="677" t="s">
        <v>11191</v>
      </c>
    </row>
    <row r="118">
      <c r="A118" s="14" t="s">
        <v>44</v>
      </c>
      <c r="B118" s="14">
        <v>115.0</v>
      </c>
      <c r="C118" s="72" t="s">
        <v>5828</v>
      </c>
      <c r="D118" s="72" t="s">
        <v>9518</v>
      </c>
      <c r="E118" s="36" t="s">
        <v>49</v>
      </c>
      <c r="F118" s="72"/>
      <c r="L118" s="666" t="s">
        <v>11193</v>
      </c>
      <c r="M118" s="14" t="s">
        <v>11194</v>
      </c>
    </row>
    <row r="119">
      <c r="A119" s="14" t="s">
        <v>44</v>
      </c>
      <c r="B119" s="14">
        <v>116.0</v>
      </c>
      <c r="C119" s="72" t="s">
        <v>11195</v>
      </c>
      <c r="D119" s="72" t="s">
        <v>11196</v>
      </c>
      <c r="E119" s="667" t="s">
        <v>53</v>
      </c>
      <c r="F119" s="72"/>
      <c r="L119" s="666" t="s">
        <v>11197</v>
      </c>
      <c r="M119" s="14" t="s">
        <v>11198</v>
      </c>
    </row>
    <row r="120">
      <c r="A120" s="14" t="s">
        <v>44</v>
      </c>
      <c r="B120" s="14">
        <v>117.0</v>
      </c>
      <c r="C120" s="72" t="s">
        <v>1153</v>
      </c>
      <c r="D120" s="72" t="s">
        <v>11199</v>
      </c>
      <c r="E120" s="667" t="s">
        <v>53</v>
      </c>
      <c r="F120" s="72"/>
      <c r="L120" s="666" t="s">
        <v>11200</v>
      </c>
      <c r="M120" s="14" t="s">
        <v>11201</v>
      </c>
    </row>
    <row r="121">
      <c r="A121" s="14" t="s">
        <v>44</v>
      </c>
      <c r="B121" s="14">
        <v>118.0</v>
      </c>
      <c r="C121" s="72" t="s">
        <v>157</v>
      </c>
      <c r="D121" s="72" t="s">
        <v>1002</v>
      </c>
      <c r="E121" s="36" t="s">
        <v>49</v>
      </c>
      <c r="F121" s="72"/>
      <c r="L121" s="666" t="s">
        <v>11202</v>
      </c>
      <c r="M121" s="14" t="s">
        <v>11203</v>
      </c>
    </row>
    <row r="122">
      <c r="A122" s="14" t="s">
        <v>44</v>
      </c>
      <c r="B122" s="14">
        <v>119.0</v>
      </c>
      <c r="C122" s="72" t="s">
        <v>987</v>
      </c>
      <c r="D122" s="72" t="s">
        <v>11204</v>
      </c>
      <c r="E122" s="36" t="s">
        <v>49</v>
      </c>
      <c r="F122" s="72"/>
      <c r="L122" s="14" t="s">
        <v>11205</v>
      </c>
      <c r="M122" s="683" t="s">
        <v>11206</v>
      </c>
    </row>
    <row r="123">
      <c r="A123" s="14" t="s">
        <v>44</v>
      </c>
      <c r="B123" s="14">
        <v>120.0</v>
      </c>
      <c r="C123" s="72" t="s">
        <v>1107</v>
      </c>
      <c r="D123" s="72" t="s">
        <v>11210</v>
      </c>
      <c r="E123" s="667" t="s">
        <v>53</v>
      </c>
      <c r="F123" s="72"/>
      <c r="L123" s="14" t="s">
        <v>11211</v>
      </c>
      <c r="M123" s="683" t="s">
        <v>11212</v>
      </c>
    </row>
    <row r="124">
      <c r="A124" s="14" t="s">
        <v>44</v>
      </c>
      <c r="B124" s="14">
        <v>121.0</v>
      </c>
      <c r="C124" s="72" t="s">
        <v>1237</v>
      </c>
      <c r="D124" s="72" t="s">
        <v>11213</v>
      </c>
      <c r="E124" s="100" t="s">
        <v>49</v>
      </c>
      <c r="F124" s="72"/>
      <c r="L124" s="14" t="s">
        <v>11214</v>
      </c>
      <c r="M124" s="14" t="s">
        <v>11215</v>
      </c>
    </row>
    <row r="125">
      <c r="A125" s="14" t="s">
        <v>44</v>
      </c>
      <c r="B125" s="14">
        <v>122.0</v>
      </c>
      <c r="C125" s="72" t="s">
        <v>11216</v>
      </c>
      <c r="D125" s="72" t="s">
        <v>11217</v>
      </c>
      <c r="E125" s="667" t="s">
        <v>53</v>
      </c>
      <c r="F125" s="72"/>
      <c r="L125" s="14" t="s">
        <v>11218</v>
      </c>
      <c r="M125" s="14" t="s">
        <v>11219</v>
      </c>
    </row>
    <row r="126">
      <c r="A126" s="14" t="s">
        <v>44</v>
      </c>
      <c r="B126" s="14">
        <v>123.0</v>
      </c>
      <c r="C126" s="72" t="s">
        <v>268</v>
      </c>
      <c r="D126" s="72" t="s">
        <v>9841</v>
      </c>
      <c r="E126" s="100" t="s">
        <v>49</v>
      </c>
      <c r="F126" s="72"/>
      <c r="L126" s="14" t="s">
        <v>11220</v>
      </c>
      <c r="M126" s="683" t="s">
        <v>11221</v>
      </c>
    </row>
    <row r="127">
      <c r="A127" s="14" t="s">
        <v>44</v>
      </c>
      <c r="B127" s="14">
        <v>124.0</v>
      </c>
      <c r="C127" s="72" t="s">
        <v>2105</v>
      </c>
      <c r="D127" s="72" t="s">
        <v>11223</v>
      </c>
      <c r="E127" s="667" t="s">
        <v>53</v>
      </c>
      <c r="F127" s="72"/>
      <c r="L127" s="14" t="s">
        <v>11224</v>
      </c>
      <c r="M127" s="675" t="s">
        <v>11225</v>
      </c>
    </row>
    <row r="128">
      <c r="A128" s="14" t="s">
        <v>44</v>
      </c>
      <c r="B128" s="14">
        <v>125.0</v>
      </c>
      <c r="C128" s="72" t="s">
        <v>157</v>
      </c>
      <c r="D128" s="72" t="s">
        <v>11226</v>
      </c>
      <c r="E128" s="667" t="s">
        <v>53</v>
      </c>
      <c r="F128" s="72"/>
      <c r="L128" s="14" t="s">
        <v>11227</v>
      </c>
      <c r="M128" s="675" t="s">
        <v>11228</v>
      </c>
    </row>
    <row r="129">
      <c r="A129" s="14" t="s">
        <v>44</v>
      </c>
      <c r="B129" s="14">
        <v>126.0</v>
      </c>
      <c r="C129" s="72" t="s">
        <v>91</v>
      </c>
      <c r="D129" s="72" t="s">
        <v>11229</v>
      </c>
      <c r="E129" s="36" t="s">
        <v>49</v>
      </c>
      <c r="F129" s="72"/>
      <c r="L129" s="14" t="s">
        <v>11230</v>
      </c>
      <c r="M129" s="675" t="s">
        <v>11231</v>
      </c>
    </row>
    <row r="130">
      <c r="A130" s="14" t="s">
        <v>44</v>
      </c>
      <c r="B130" s="14">
        <v>127.0</v>
      </c>
      <c r="C130" s="72" t="s">
        <v>561</v>
      </c>
      <c r="D130" s="72" t="s">
        <v>11232</v>
      </c>
      <c r="E130" s="36" t="s">
        <v>49</v>
      </c>
      <c r="F130" s="72"/>
      <c r="L130" s="666" t="s">
        <v>11233</v>
      </c>
      <c r="M130" s="675" t="s">
        <v>11234</v>
      </c>
    </row>
    <row r="131">
      <c r="A131" s="14" t="s">
        <v>44</v>
      </c>
      <c r="B131" s="14">
        <v>128.0</v>
      </c>
      <c r="C131" s="72" t="s">
        <v>91</v>
      </c>
      <c r="D131" s="72" t="s">
        <v>11235</v>
      </c>
      <c r="E131" s="667" t="s">
        <v>53</v>
      </c>
      <c r="F131" s="72"/>
      <c r="L131" s="14" t="s">
        <v>11236</v>
      </c>
      <c r="M131" s="675" t="s">
        <v>11237</v>
      </c>
    </row>
    <row r="132">
      <c r="A132" s="14" t="s">
        <v>44</v>
      </c>
      <c r="B132" s="14">
        <v>129.0</v>
      </c>
      <c r="C132" s="72" t="s">
        <v>476</v>
      </c>
      <c r="D132" s="72" t="s">
        <v>3708</v>
      </c>
      <c r="E132" s="667" t="s">
        <v>53</v>
      </c>
      <c r="F132" s="72"/>
      <c r="L132" s="14" t="s">
        <v>11239</v>
      </c>
      <c r="M132" s="675" t="s">
        <v>11240</v>
      </c>
    </row>
    <row r="133">
      <c r="A133" s="14" t="s">
        <v>44</v>
      </c>
      <c r="B133" s="14">
        <v>130.0</v>
      </c>
      <c r="C133" s="72" t="s">
        <v>108</v>
      </c>
      <c r="D133" s="72" t="s">
        <v>10648</v>
      </c>
      <c r="E133" s="667" t="s">
        <v>53</v>
      </c>
      <c r="F133" s="72"/>
      <c r="L133" s="14" t="s">
        <v>11241</v>
      </c>
      <c r="M133" s="675" t="s">
        <v>11242</v>
      </c>
    </row>
    <row r="134">
      <c r="A134" s="14" t="s">
        <v>44</v>
      </c>
      <c r="B134" s="14">
        <v>131.0</v>
      </c>
      <c r="C134" s="72" t="s">
        <v>786</v>
      </c>
      <c r="D134" s="72" t="s">
        <v>2800</v>
      </c>
      <c r="E134" s="667" t="s">
        <v>53</v>
      </c>
      <c r="F134" s="72"/>
      <c r="L134" s="14" t="s">
        <v>11243</v>
      </c>
      <c r="M134" s="675" t="s">
        <v>11244</v>
      </c>
    </row>
    <row r="135">
      <c r="A135" s="14" t="s">
        <v>44</v>
      </c>
      <c r="B135" s="14">
        <v>132.0</v>
      </c>
      <c r="C135" s="72" t="s">
        <v>2490</v>
      </c>
      <c r="D135" s="72" t="s">
        <v>11245</v>
      </c>
      <c r="E135" s="100" t="s">
        <v>49</v>
      </c>
      <c r="F135" s="72"/>
      <c r="L135" s="675" t="s">
        <v>11246</v>
      </c>
      <c r="M135" s="675" t="s">
        <v>11247</v>
      </c>
    </row>
    <row r="136">
      <c r="A136" s="14" t="s">
        <v>44</v>
      </c>
      <c r="B136" s="14">
        <v>133.0</v>
      </c>
      <c r="C136" s="72" t="s">
        <v>7619</v>
      </c>
      <c r="D136" s="72" t="s">
        <v>9871</v>
      </c>
      <c r="E136" s="100" t="s">
        <v>49</v>
      </c>
      <c r="F136" s="72"/>
      <c r="L136" s="14" t="s">
        <v>11248</v>
      </c>
      <c r="M136" s="675" t="s">
        <v>11249</v>
      </c>
    </row>
    <row r="137">
      <c r="A137" s="14" t="s">
        <v>44</v>
      </c>
      <c r="B137" s="14">
        <v>134.0</v>
      </c>
      <c r="C137" s="72" t="s">
        <v>2780</v>
      </c>
      <c r="D137" s="72" t="s">
        <v>11250</v>
      </c>
      <c r="E137" s="667" t="s">
        <v>53</v>
      </c>
      <c r="F137" s="72"/>
      <c r="L137" s="675" t="s">
        <v>11251</v>
      </c>
      <c r="M137" s="675" t="s">
        <v>11252</v>
      </c>
    </row>
    <row r="138">
      <c r="A138" s="14" t="s">
        <v>44</v>
      </c>
      <c r="B138" s="14">
        <v>135.0</v>
      </c>
      <c r="C138" s="72" t="s">
        <v>55</v>
      </c>
      <c r="D138" s="72" t="s">
        <v>11253</v>
      </c>
      <c r="E138" s="100" t="s">
        <v>49</v>
      </c>
      <c r="F138" s="72"/>
      <c r="L138" s="14" t="s">
        <v>11254</v>
      </c>
      <c r="M138" s="675" t="s">
        <v>11255</v>
      </c>
    </row>
    <row r="139">
      <c r="A139" s="14" t="s">
        <v>44</v>
      </c>
      <c r="B139" s="14">
        <v>136.0</v>
      </c>
      <c r="C139" s="72" t="s">
        <v>1134</v>
      </c>
      <c r="D139" s="72" t="s">
        <v>4879</v>
      </c>
      <c r="E139" s="100" t="s">
        <v>49</v>
      </c>
      <c r="F139" s="72"/>
      <c r="L139" s="14" t="s">
        <v>11256</v>
      </c>
      <c r="M139" s="675" t="s">
        <v>11257</v>
      </c>
    </row>
    <row r="140">
      <c r="A140" s="14" t="s">
        <v>44</v>
      </c>
      <c r="B140" s="14">
        <v>137.0</v>
      </c>
      <c r="C140" s="72" t="s">
        <v>622</v>
      </c>
      <c r="D140" s="72" t="s">
        <v>11258</v>
      </c>
      <c r="E140" s="667" t="s">
        <v>53</v>
      </c>
      <c r="F140" s="72"/>
      <c r="L140" s="14" t="s">
        <v>11259</v>
      </c>
      <c r="M140" s="675" t="s">
        <v>11260</v>
      </c>
    </row>
    <row r="141">
      <c r="A141" s="14" t="s">
        <v>44</v>
      </c>
      <c r="B141" s="14">
        <v>138.0</v>
      </c>
      <c r="C141" s="72" t="s">
        <v>9776</v>
      </c>
      <c r="D141" s="72" t="s">
        <v>11261</v>
      </c>
      <c r="E141" s="667" t="s">
        <v>53</v>
      </c>
      <c r="F141" s="72"/>
      <c r="L141" s="14" t="s">
        <v>11262</v>
      </c>
      <c r="M141" s="675" t="s">
        <v>11263</v>
      </c>
    </row>
    <row r="142">
      <c r="A142" s="14" t="s">
        <v>44</v>
      </c>
      <c r="B142" s="14">
        <v>139.0</v>
      </c>
      <c r="C142" s="72" t="s">
        <v>2490</v>
      </c>
      <c r="D142" s="72" t="s">
        <v>11264</v>
      </c>
      <c r="E142" s="667" t="s">
        <v>53</v>
      </c>
      <c r="F142" s="72"/>
      <c r="L142" s="14" t="s">
        <v>11265</v>
      </c>
      <c r="M142" s="675" t="s">
        <v>11266</v>
      </c>
    </row>
    <row r="143">
      <c r="A143" s="14" t="s">
        <v>44</v>
      </c>
      <c r="B143" s="14">
        <v>140.0</v>
      </c>
      <c r="C143" s="72" t="s">
        <v>278</v>
      </c>
      <c r="D143" s="72" t="s">
        <v>11267</v>
      </c>
      <c r="E143" s="36" t="s">
        <v>49</v>
      </c>
      <c r="F143" s="72"/>
      <c r="L143" s="14" t="s">
        <v>11268</v>
      </c>
      <c r="M143" s="675" t="s">
        <v>11269</v>
      </c>
    </row>
    <row r="144">
      <c r="A144" s="14" t="s">
        <v>44</v>
      </c>
      <c r="B144" s="14">
        <v>141.0</v>
      </c>
      <c r="C144" s="72" t="s">
        <v>3053</v>
      </c>
      <c r="D144" s="72" t="s">
        <v>1254</v>
      </c>
      <c r="E144" s="36" t="s">
        <v>49</v>
      </c>
      <c r="F144" s="72"/>
      <c r="L144" s="14" t="s">
        <v>11270</v>
      </c>
      <c r="M144" s="675" t="s">
        <v>11272</v>
      </c>
    </row>
    <row r="145">
      <c r="A145" s="14" t="s">
        <v>44</v>
      </c>
      <c r="B145" s="14">
        <v>142.0</v>
      </c>
      <c r="C145" s="72" t="s">
        <v>1000</v>
      </c>
      <c r="D145" s="72" t="s">
        <v>11273</v>
      </c>
      <c r="E145" s="667" t="s">
        <v>53</v>
      </c>
      <c r="F145" s="72"/>
      <c r="L145" s="14" t="s">
        <v>11274</v>
      </c>
      <c r="M145" s="687" t="s">
        <v>11275</v>
      </c>
    </row>
    <row r="146">
      <c r="A146" s="14" t="s">
        <v>44</v>
      </c>
      <c r="B146" s="14">
        <v>143.0</v>
      </c>
      <c r="C146" s="72" t="s">
        <v>1725</v>
      </c>
      <c r="D146" s="72" t="s">
        <v>11276</v>
      </c>
      <c r="E146" s="36" t="s">
        <v>49</v>
      </c>
      <c r="F146" s="72"/>
      <c r="L146" s="14" t="s">
        <v>11277</v>
      </c>
      <c r="M146" s="14" t="s">
        <v>11278</v>
      </c>
    </row>
    <row r="147">
      <c r="A147" s="14" t="s">
        <v>44</v>
      </c>
      <c r="B147" s="14">
        <v>144.0</v>
      </c>
      <c r="C147" s="72" t="s">
        <v>1974</v>
      </c>
      <c r="D147" s="72" t="s">
        <v>11279</v>
      </c>
      <c r="E147" s="667" t="s">
        <v>53</v>
      </c>
      <c r="F147" s="72"/>
      <c r="L147" s="14" t="s">
        <v>11281</v>
      </c>
      <c r="M147" s="14" t="s">
        <v>11282</v>
      </c>
    </row>
    <row r="148">
      <c r="A148" s="14" t="s">
        <v>44</v>
      </c>
      <c r="B148" s="14">
        <v>145.0</v>
      </c>
      <c r="C148" s="72" t="s">
        <v>373</v>
      </c>
      <c r="D148" s="72" t="s">
        <v>11285</v>
      </c>
      <c r="E148" s="667" t="s">
        <v>53</v>
      </c>
      <c r="F148" s="72"/>
      <c r="L148" s="14" t="s">
        <v>11286</v>
      </c>
      <c r="M148" s="14" t="s">
        <v>11287</v>
      </c>
    </row>
    <row r="149">
      <c r="A149" s="14" t="s">
        <v>44</v>
      </c>
      <c r="B149" s="14">
        <v>146.0</v>
      </c>
      <c r="C149" s="72" t="s">
        <v>2527</v>
      </c>
      <c r="D149" s="72" t="s">
        <v>11288</v>
      </c>
      <c r="E149" s="36" t="s">
        <v>49</v>
      </c>
      <c r="F149" s="72"/>
      <c r="L149" s="14" t="s">
        <v>11289</v>
      </c>
      <c r="M149" s="14" t="s">
        <v>11290</v>
      </c>
    </row>
    <row r="150">
      <c r="A150" s="14" t="s">
        <v>44</v>
      </c>
      <c r="B150" s="14">
        <v>147.0</v>
      </c>
      <c r="C150" s="72" t="s">
        <v>10839</v>
      </c>
      <c r="D150" s="72" t="s">
        <v>11291</v>
      </c>
      <c r="E150" s="667" t="s">
        <v>53</v>
      </c>
      <c r="F150" s="72"/>
      <c r="L150" s="14" t="s">
        <v>11292</v>
      </c>
      <c r="M150" s="14" t="s">
        <v>11293</v>
      </c>
    </row>
    <row r="151">
      <c r="A151" s="14" t="s">
        <v>44</v>
      </c>
      <c r="B151" s="14">
        <v>148.0</v>
      </c>
      <c r="C151" s="72" t="s">
        <v>514</v>
      </c>
      <c r="D151" s="72" t="s">
        <v>7343</v>
      </c>
      <c r="E151" s="36" t="s">
        <v>49</v>
      </c>
      <c r="F151" s="72"/>
      <c r="L151" s="14" t="s">
        <v>11294</v>
      </c>
      <c r="M151" s="14" t="s">
        <v>11295</v>
      </c>
    </row>
    <row r="152">
      <c r="A152" s="14" t="s">
        <v>44</v>
      </c>
      <c r="B152" s="14">
        <v>149.0</v>
      </c>
      <c r="C152" s="72" t="s">
        <v>225</v>
      </c>
      <c r="D152" s="72" t="s">
        <v>8403</v>
      </c>
      <c r="E152" s="36" t="s">
        <v>49</v>
      </c>
      <c r="F152" s="72"/>
      <c r="L152" s="14" t="s">
        <v>11296</v>
      </c>
      <c r="M152" s="14" t="s">
        <v>11297</v>
      </c>
    </row>
    <row r="153">
      <c r="A153" s="14" t="s">
        <v>44</v>
      </c>
      <c r="B153" s="14">
        <v>150.0</v>
      </c>
      <c r="C153" s="72" t="s">
        <v>2527</v>
      </c>
      <c r="D153" s="72" t="s">
        <v>3378</v>
      </c>
      <c r="E153" s="36" t="s">
        <v>49</v>
      </c>
      <c r="F153" s="72"/>
      <c r="L153" s="14" t="s">
        <v>11299</v>
      </c>
      <c r="M153" s="14" t="s">
        <v>11301</v>
      </c>
    </row>
    <row r="154">
      <c r="A154" s="14" t="s">
        <v>44</v>
      </c>
      <c r="B154" s="14">
        <v>151.0</v>
      </c>
      <c r="C154" s="72" t="s">
        <v>1974</v>
      </c>
      <c r="D154" s="72" t="s">
        <v>4151</v>
      </c>
      <c r="E154" s="667" t="s">
        <v>53</v>
      </c>
      <c r="F154" s="72"/>
      <c r="L154" s="14" t="s">
        <v>11302</v>
      </c>
      <c r="M154" s="14" t="s">
        <v>11303</v>
      </c>
    </row>
    <row r="155">
      <c r="A155" s="14" t="s">
        <v>44</v>
      </c>
      <c r="B155" s="14">
        <v>152.0</v>
      </c>
      <c r="C155" s="72" t="s">
        <v>561</v>
      </c>
      <c r="D155" s="72" t="s">
        <v>11304</v>
      </c>
      <c r="E155" s="667" t="s">
        <v>53</v>
      </c>
      <c r="F155" s="72"/>
      <c r="L155" s="14" t="s">
        <v>11305</v>
      </c>
      <c r="M155" s="14" t="s">
        <v>11306</v>
      </c>
    </row>
    <row r="156">
      <c r="A156" s="14" t="s">
        <v>44</v>
      </c>
      <c r="B156" s="14">
        <v>153.0</v>
      </c>
      <c r="C156" s="72" t="s">
        <v>195</v>
      </c>
      <c r="D156" s="72" t="s">
        <v>2337</v>
      </c>
      <c r="E156" s="36" t="s">
        <v>49</v>
      </c>
      <c r="F156" s="72"/>
      <c r="L156" s="14" t="s">
        <v>11307</v>
      </c>
      <c r="M156" s="14" t="s">
        <v>11308</v>
      </c>
    </row>
    <row r="157">
      <c r="A157" s="14" t="s">
        <v>44</v>
      </c>
      <c r="B157" s="14">
        <v>154.0</v>
      </c>
      <c r="C157" s="72" t="s">
        <v>55</v>
      </c>
      <c r="D157" s="72" t="s">
        <v>11309</v>
      </c>
      <c r="E157" s="36" t="s">
        <v>49</v>
      </c>
      <c r="F157" s="72"/>
      <c r="L157" s="14" t="s">
        <v>11310</v>
      </c>
      <c r="M157" s="14" t="s">
        <v>11311</v>
      </c>
    </row>
    <row r="158">
      <c r="A158" s="14" t="s">
        <v>44</v>
      </c>
      <c r="B158" s="14">
        <v>155.0</v>
      </c>
      <c r="C158" s="72" t="s">
        <v>6853</v>
      </c>
      <c r="D158" s="72" t="s">
        <v>11312</v>
      </c>
      <c r="E158" s="36" t="s">
        <v>49</v>
      </c>
      <c r="F158" s="72"/>
      <c r="L158" s="14" t="s">
        <v>11314</v>
      </c>
      <c r="M158" s="14" t="s">
        <v>11315</v>
      </c>
    </row>
    <row r="159">
      <c r="A159" s="14" t="s">
        <v>44</v>
      </c>
      <c r="B159" s="14">
        <v>156.0</v>
      </c>
      <c r="C159" s="72" t="s">
        <v>3902</v>
      </c>
      <c r="D159" s="72" t="s">
        <v>11316</v>
      </c>
      <c r="E159" s="36" t="s">
        <v>49</v>
      </c>
      <c r="F159" s="72"/>
      <c r="L159" s="14" t="s">
        <v>11318</v>
      </c>
      <c r="M159" s="14" t="s">
        <v>11319</v>
      </c>
    </row>
    <row r="160">
      <c r="A160" s="14" t="s">
        <v>44</v>
      </c>
      <c r="B160" s="14">
        <v>157.0</v>
      </c>
      <c r="C160" s="72" t="s">
        <v>1884</v>
      </c>
      <c r="D160" s="72" t="s">
        <v>11321</v>
      </c>
      <c r="E160" s="36" t="s">
        <v>49</v>
      </c>
      <c r="F160" s="72"/>
      <c r="L160" s="14" t="s">
        <v>11322</v>
      </c>
      <c r="M160" s="14" t="s">
        <v>11323</v>
      </c>
    </row>
    <row r="161">
      <c r="A161" s="14" t="s">
        <v>44</v>
      </c>
      <c r="B161" s="14">
        <v>158.0</v>
      </c>
      <c r="C161" s="72" t="s">
        <v>6469</v>
      </c>
      <c r="D161" s="72" t="s">
        <v>11324</v>
      </c>
      <c r="E161" s="36" t="s">
        <v>49</v>
      </c>
      <c r="F161" s="72"/>
      <c r="L161" s="14" t="s">
        <v>11325</v>
      </c>
      <c r="M161" s="14" t="s">
        <v>11326</v>
      </c>
    </row>
    <row r="162">
      <c r="A162" s="14" t="s">
        <v>44</v>
      </c>
      <c r="B162" s="14">
        <v>159.0</v>
      </c>
      <c r="C162" s="72" t="s">
        <v>1331</v>
      </c>
      <c r="D162" s="72" t="s">
        <v>11327</v>
      </c>
      <c r="E162" s="36" t="s">
        <v>49</v>
      </c>
      <c r="F162" s="72"/>
      <c r="L162" s="14" t="s">
        <v>11328</v>
      </c>
      <c r="M162" s="14" t="s">
        <v>11329</v>
      </c>
    </row>
    <row r="163">
      <c r="A163" s="14" t="s">
        <v>44</v>
      </c>
      <c r="B163" s="14">
        <v>160.0</v>
      </c>
      <c r="C163" s="72" t="s">
        <v>1505</v>
      </c>
      <c r="D163" s="72" t="s">
        <v>11330</v>
      </c>
      <c r="E163" s="667" t="s">
        <v>53</v>
      </c>
      <c r="F163" s="72"/>
      <c r="L163" s="14" t="s">
        <v>10875</v>
      </c>
      <c r="M163" s="668" t="s">
        <v>10876</v>
      </c>
    </row>
    <row r="164">
      <c r="A164" s="14" t="s">
        <v>44</v>
      </c>
      <c r="B164" s="14">
        <v>161.0</v>
      </c>
      <c r="C164" s="72" t="s">
        <v>11331</v>
      </c>
      <c r="D164" s="14" t="s">
        <v>10420</v>
      </c>
      <c r="E164" s="36" t="s">
        <v>49</v>
      </c>
      <c r="F164" s="72"/>
      <c r="L164" s="14" t="s">
        <v>11332</v>
      </c>
      <c r="M164" s="14" t="s">
        <v>11333</v>
      </c>
    </row>
    <row r="165">
      <c r="A165" s="14" t="s">
        <v>44</v>
      </c>
      <c r="B165" s="14">
        <v>162.0</v>
      </c>
      <c r="C165" s="72" t="s">
        <v>108</v>
      </c>
      <c r="D165" s="72" t="s">
        <v>11334</v>
      </c>
      <c r="E165" s="36" t="s">
        <v>49</v>
      </c>
      <c r="F165" s="72"/>
      <c r="L165" s="14" t="s">
        <v>11335</v>
      </c>
      <c r="M165" s="14" t="s">
        <v>11336</v>
      </c>
    </row>
    <row r="166">
      <c r="A166" s="14" t="s">
        <v>44</v>
      </c>
      <c r="B166" s="14">
        <v>163.0</v>
      </c>
      <c r="C166" s="72" t="s">
        <v>2490</v>
      </c>
      <c r="D166" s="72" t="s">
        <v>11337</v>
      </c>
      <c r="E166" s="36" t="s">
        <v>49</v>
      </c>
      <c r="F166" s="72"/>
      <c r="L166" s="14" t="s">
        <v>11338</v>
      </c>
      <c r="M166" s="14" t="s">
        <v>11339</v>
      </c>
    </row>
    <row r="167">
      <c r="A167" s="14" t="s">
        <v>44</v>
      </c>
      <c r="B167" s="14">
        <v>164.0</v>
      </c>
      <c r="C167" s="72" t="s">
        <v>4163</v>
      </c>
      <c r="D167" s="72" t="s">
        <v>10838</v>
      </c>
      <c r="E167" s="36" t="s">
        <v>49</v>
      </c>
      <c r="F167" s="72"/>
      <c r="L167" s="14" t="s">
        <v>11340</v>
      </c>
      <c r="M167" s="14" t="s">
        <v>11341</v>
      </c>
    </row>
    <row r="168">
      <c r="A168" s="14" t="s">
        <v>44</v>
      </c>
      <c r="B168" s="14">
        <v>165.0</v>
      </c>
      <c r="C168" s="72" t="s">
        <v>191</v>
      </c>
      <c r="D168" s="72" t="s">
        <v>10616</v>
      </c>
      <c r="E168" s="36" t="s">
        <v>49</v>
      </c>
      <c r="F168" s="72"/>
      <c r="L168" s="14" t="s">
        <v>11342</v>
      </c>
      <c r="M168" s="14" t="s">
        <v>11343</v>
      </c>
    </row>
    <row r="169">
      <c r="A169" s="14" t="s">
        <v>44</v>
      </c>
      <c r="B169" s="14">
        <v>166.0</v>
      </c>
      <c r="C169" s="72" t="s">
        <v>823</v>
      </c>
      <c r="D169" s="72" t="s">
        <v>11344</v>
      </c>
      <c r="E169" s="36" t="s">
        <v>49</v>
      </c>
      <c r="F169" s="72"/>
      <c r="L169" s="14" t="s">
        <v>11345</v>
      </c>
      <c r="M169" s="14" t="s">
        <v>11346</v>
      </c>
    </row>
    <row r="170">
      <c r="A170" s="14" t="s">
        <v>44</v>
      </c>
      <c r="B170" s="14">
        <v>167.0</v>
      </c>
      <c r="C170" s="72" t="s">
        <v>11347</v>
      </c>
      <c r="D170" s="72" t="s">
        <v>297</v>
      </c>
      <c r="E170" s="36" t="s">
        <v>49</v>
      </c>
      <c r="F170" s="72"/>
      <c r="L170" s="14" t="s">
        <v>11348</v>
      </c>
      <c r="M170" s="14" t="s">
        <v>11349</v>
      </c>
    </row>
    <row r="171">
      <c r="A171" s="14" t="s">
        <v>44</v>
      </c>
      <c r="B171" s="14">
        <v>168.0</v>
      </c>
      <c r="C171" s="72" t="s">
        <v>575</v>
      </c>
      <c r="D171" s="72" t="s">
        <v>10778</v>
      </c>
      <c r="E171" s="667" t="s">
        <v>53</v>
      </c>
      <c r="F171" s="72"/>
      <c r="L171" s="14" t="s">
        <v>11350</v>
      </c>
      <c r="M171" s="14" t="s">
        <v>11351</v>
      </c>
    </row>
    <row r="172">
      <c r="A172" s="14" t="s">
        <v>44</v>
      </c>
      <c r="B172" s="14">
        <v>169.0</v>
      </c>
      <c r="C172" s="72" t="s">
        <v>1354</v>
      </c>
      <c r="D172" s="72" t="s">
        <v>11353</v>
      </c>
      <c r="E172" s="667" t="s">
        <v>53</v>
      </c>
      <c r="F172" s="72"/>
      <c r="L172" s="14" t="s">
        <v>11354</v>
      </c>
      <c r="M172" s="14" t="s">
        <v>11355</v>
      </c>
    </row>
    <row r="173">
      <c r="A173" s="14" t="s">
        <v>44</v>
      </c>
      <c r="B173" s="14">
        <v>170.0</v>
      </c>
      <c r="C173" s="72" t="s">
        <v>11358</v>
      </c>
      <c r="D173" s="72" t="s">
        <v>6034</v>
      </c>
      <c r="E173" s="667" t="s">
        <v>53</v>
      </c>
      <c r="F173" s="72"/>
      <c r="L173" s="14" t="s">
        <v>11359</v>
      </c>
      <c r="M173" s="14" t="s">
        <v>11360</v>
      </c>
    </row>
    <row r="174">
      <c r="A174" s="14" t="s">
        <v>44</v>
      </c>
      <c r="B174" s="14">
        <v>171.0</v>
      </c>
      <c r="C174" s="72" t="s">
        <v>341</v>
      </c>
      <c r="D174" s="72" t="s">
        <v>11361</v>
      </c>
      <c r="E174" s="667" t="s">
        <v>53</v>
      </c>
      <c r="F174" s="14" t="s">
        <v>1188</v>
      </c>
      <c r="L174" s="14" t="s">
        <v>11362</v>
      </c>
      <c r="M174" s="14" t="s">
        <v>11363</v>
      </c>
    </row>
    <row r="175">
      <c r="A175" s="14" t="s">
        <v>44</v>
      </c>
      <c r="B175" s="14">
        <v>172.0</v>
      </c>
      <c r="C175" s="72" t="s">
        <v>971</v>
      </c>
      <c r="D175" s="72" t="s">
        <v>3766</v>
      </c>
      <c r="E175" s="36" t="s">
        <v>49</v>
      </c>
      <c r="F175" s="72"/>
      <c r="L175" s="14" t="s">
        <v>11364</v>
      </c>
      <c r="M175" s="14" t="s">
        <v>11365</v>
      </c>
    </row>
    <row r="176">
      <c r="A176" s="14" t="s">
        <v>44</v>
      </c>
      <c r="B176" s="14">
        <v>173.0</v>
      </c>
      <c r="C176" s="72" t="s">
        <v>2490</v>
      </c>
      <c r="D176" s="72" t="s">
        <v>6941</v>
      </c>
      <c r="E176" s="36" t="s">
        <v>49</v>
      </c>
      <c r="F176" s="72"/>
      <c r="L176" s="14" t="s">
        <v>11366</v>
      </c>
      <c r="M176" s="14" t="s">
        <v>11367</v>
      </c>
    </row>
    <row r="177">
      <c r="A177" s="14" t="s">
        <v>44</v>
      </c>
      <c r="B177" s="14">
        <v>174.0</v>
      </c>
      <c r="C177" s="72" t="s">
        <v>636</v>
      </c>
      <c r="D177" s="72" t="s">
        <v>11368</v>
      </c>
      <c r="E177" s="36" t="s">
        <v>49</v>
      </c>
      <c r="F177" s="72"/>
      <c r="L177" s="14" t="s">
        <v>11369</v>
      </c>
      <c r="M177" s="14" t="s">
        <v>11370</v>
      </c>
    </row>
    <row r="178">
      <c r="A178" s="14" t="s">
        <v>44</v>
      </c>
      <c r="B178" s="14">
        <v>175.0</v>
      </c>
      <c r="C178" s="14" t="s">
        <v>11371</v>
      </c>
      <c r="D178" s="72" t="s">
        <v>8530</v>
      </c>
      <c r="E178" s="36" t="s">
        <v>49</v>
      </c>
      <c r="F178" s="72"/>
      <c r="L178" s="14" t="s">
        <v>11372</v>
      </c>
      <c r="M178" s="14" t="s">
        <v>11373</v>
      </c>
    </row>
    <row r="179">
      <c r="A179" s="14" t="s">
        <v>44</v>
      </c>
      <c r="B179" s="14">
        <v>176.0</v>
      </c>
      <c r="C179" s="72" t="s">
        <v>792</v>
      </c>
      <c r="D179" s="72" t="s">
        <v>3306</v>
      </c>
      <c r="E179" s="667" t="s">
        <v>53</v>
      </c>
      <c r="F179" s="72"/>
      <c r="L179" s="14" t="s">
        <v>11374</v>
      </c>
      <c r="M179" s="14" t="s">
        <v>11375</v>
      </c>
    </row>
    <row r="180">
      <c r="A180" s="14" t="s">
        <v>44</v>
      </c>
      <c r="B180" s="14">
        <v>177.0</v>
      </c>
      <c r="C180" s="72" t="s">
        <v>2527</v>
      </c>
      <c r="D180" s="72" t="s">
        <v>11376</v>
      </c>
      <c r="E180" s="36" t="s">
        <v>49</v>
      </c>
      <c r="F180" s="72"/>
      <c r="L180" s="14" t="s">
        <v>11377</v>
      </c>
      <c r="M180" s="14" t="s">
        <v>11378</v>
      </c>
    </row>
    <row r="181">
      <c r="A181" s="14" t="s">
        <v>44</v>
      </c>
      <c r="B181" s="14">
        <v>178.0</v>
      </c>
      <c r="C181" s="72" t="s">
        <v>11379</v>
      </c>
      <c r="D181" s="72" t="s">
        <v>561</v>
      </c>
      <c r="E181" s="667" t="s">
        <v>53</v>
      </c>
      <c r="F181" s="72"/>
      <c r="L181" s="14" t="s">
        <v>11380</v>
      </c>
      <c r="M181" s="14" t="s">
        <v>11381</v>
      </c>
    </row>
    <row r="182">
      <c r="A182" s="14" t="s">
        <v>44</v>
      </c>
      <c r="B182" s="14">
        <v>179.0</v>
      </c>
      <c r="C182" s="72" t="s">
        <v>1231</v>
      </c>
      <c r="D182" s="72" t="s">
        <v>8541</v>
      </c>
      <c r="E182" s="36" t="s">
        <v>49</v>
      </c>
      <c r="F182" s="72"/>
      <c r="L182" s="14" t="s">
        <v>11382</v>
      </c>
      <c r="M182" s="14" t="s">
        <v>11383</v>
      </c>
    </row>
    <row r="183">
      <c r="A183" s="14" t="s">
        <v>44</v>
      </c>
      <c r="B183" s="14">
        <v>180.0</v>
      </c>
      <c r="C183" s="72" t="s">
        <v>5373</v>
      </c>
      <c r="D183" s="72" t="s">
        <v>3243</v>
      </c>
      <c r="E183" s="36" t="s">
        <v>49</v>
      </c>
      <c r="F183" s="72"/>
      <c r="L183" s="14" t="s">
        <v>11384</v>
      </c>
      <c r="M183" s="14" t="s">
        <v>11385</v>
      </c>
    </row>
    <row r="184">
      <c r="A184" s="14" t="s">
        <v>44</v>
      </c>
      <c r="B184" s="14">
        <v>181.0</v>
      </c>
      <c r="C184" s="72" t="s">
        <v>6572</v>
      </c>
      <c r="D184" s="72" t="s">
        <v>11387</v>
      </c>
      <c r="E184" s="36" t="s">
        <v>49</v>
      </c>
      <c r="F184" s="72"/>
      <c r="L184" s="14" t="s">
        <v>11388</v>
      </c>
      <c r="M184" s="14" t="s">
        <v>11389</v>
      </c>
    </row>
    <row r="185">
      <c r="A185" s="14" t="s">
        <v>44</v>
      </c>
      <c r="B185" s="14">
        <v>182.0</v>
      </c>
      <c r="C185" s="72" t="s">
        <v>1331</v>
      </c>
      <c r="D185" s="72" t="s">
        <v>4539</v>
      </c>
      <c r="E185" s="36" t="s">
        <v>49</v>
      </c>
      <c r="F185" s="72"/>
      <c r="L185" s="14" t="s">
        <v>11392</v>
      </c>
      <c r="M185" s="14" t="s">
        <v>11393</v>
      </c>
    </row>
    <row r="186">
      <c r="A186" s="14" t="s">
        <v>44</v>
      </c>
      <c r="B186" s="14">
        <v>183.0</v>
      </c>
      <c r="C186" s="72" t="s">
        <v>9721</v>
      </c>
      <c r="D186" s="72" t="s">
        <v>11395</v>
      </c>
      <c r="E186" s="667" t="s">
        <v>53</v>
      </c>
      <c r="F186" s="72"/>
      <c r="L186" s="14" t="s">
        <v>11396</v>
      </c>
      <c r="M186" s="14" t="s">
        <v>11397</v>
      </c>
    </row>
    <row r="187">
      <c r="A187" s="14" t="s">
        <v>44</v>
      </c>
      <c r="B187" s="14">
        <v>184.0</v>
      </c>
      <c r="C187" s="72" t="s">
        <v>2830</v>
      </c>
      <c r="D187" s="72" t="s">
        <v>11398</v>
      </c>
      <c r="E187" s="36" t="s">
        <v>49</v>
      </c>
      <c r="F187" s="72"/>
      <c r="L187" s="14" t="s">
        <v>11399</v>
      </c>
      <c r="M187" s="14" t="s">
        <v>11400</v>
      </c>
    </row>
    <row r="188">
      <c r="A188" s="14" t="s">
        <v>44</v>
      </c>
      <c r="B188" s="14">
        <v>185.0</v>
      </c>
      <c r="C188" s="72" t="s">
        <v>2174</v>
      </c>
      <c r="D188" s="72" t="s">
        <v>11401</v>
      </c>
      <c r="E188" s="36" t="s">
        <v>49</v>
      </c>
      <c r="F188" s="72"/>
      <c r="L188" s="14" t="s">
        <v>11402</v>
      </c>
      <c r="M188" s="14" t="s">
        <v>11403</v>
      </c>
    </row>
    <row r="189">
      <c r="A189" s="14" t="s">
        <v>44</v>
      </c>
      <c r="B189" s="14">
        <v>186.0</v>
      </c>
      <c r="C189" s="72" t="s">
        <v>1581</v>
      </c>
      <c r="D189" s="72" t="s">
        <v>2362</v>
      </c>
      <c r="E189" s="36" t="s">
        <v>49</v>
      </c>
      <c r="F189" s="14" t="s">
        <v>8599</v>
      </c>
      <c r="L189" s="14" t="s">
        <v>11404</v>
      </c>
      <c r="M189" s="14" t="s">
        <v>11405</v>
      </c>
    </row>
    <row r="190">
      <c r="A190" s="14" t="s">
        <v>44</v>
      </c>
      <c r="B190" s="14">
        <v>187.0</v>
      </c>
      <c r="C190" s="72" t="s">
        <v>199</v>
      </c>
      <c r="D190" s="72" t="s">
        <v>6915</v>
      </c>
      <c r="E190" s="667" t="s">
        <v>53</v>
      </c>
      <c r="F190" s="72"/>
      <c r="L190" s="14" t="s">
        <v>11406</v>
      </c>
      <c r="M190" s="14" t="s">
        <v>11407</v>
      </c>
    </row>
    <row r="191">
      <c r="A191" s="14" t="s">
        <v>44</v>
      </c>
      <c r="B191" s="14">
        <v>188.0</v>
      </c>
      <c r="C191" s="72" t="s">
        <v>930</v>
      </c>
      <c r="D191" s="72" t="s">
        <v>11408</v>
      </c>
      <c r="E191" s="36" t="s">
        <v>49</v>
      </c>
      <c r="F191" s="72"/>
      <c r="L191" s="14" t="s">
        <v>11409</v>
      </c>
      <c r="M191" s="14" t="s">
        <v>11410</v>
      </c>
    </row>
    <row r="192">
      <c r="A192" s="14" t="s">
        <v>44</v>
      </c>
      <c r="B192" s="14">
        <v>189.0</v>
      </c>
      <c r="C192" s="72" t="s">
        <v>7320</v>
      </c>
      <c r="D192" s="72" t="s">
        <v>447</v>
      </c>
      <c r="E192" s="667" t="s">
        <v>53</v>
      </c>
      <c r="F192" s="72"/>
      <c r="L192" s="14" t="s">
        <v>11411</v>
      </c>
      <c r="M192" s="14" t="s">
        <v>11412</v>
      </c>
    </row>
    <row r="193">
      <c r="A193" s="14" t="s">
        <v>44</v>
      </c>
      <c r="B193" s="14">
        <v>190.0</v>
      </c>
      <c r="C193" s="14" t="s">
        <v>4804</v>
      </c>
      <c r="D193" s="14" t="s">
        <v>447</v>
      </c>
      <c r="E193" s="36" t="s">
        <v>49</v>
      </c>
      <c r="F193" s="72"/>
      <c r="L193" s="677" t="s">
        <v>11413</v>
      </c>
      <c r="M193" s="677" t="s">
        <v>11412</v>
      </c>
    </row>
    <row r="194">
      <c r="A194" s="14" t="s">
        <v>44</v>
      </c>
      <c r="B194" s="14">
        <v>191.0</v>
      </c>
      <c r="C194" s="72" t="s">
        <v>11414</v>
      </c>
      <c r="D194" s="72" t="s">
        <v>11415</v>
      </c>
      <c r="E194" s="36" t="s">
        <v>49</v>
      </c>
      <c r="F194" s="14" t="s">
        <v>2029</v>
      </c>
      <c r="L194" s="14" t="s">
        <v>11416</v>
      </c>
      <c r="M194" s="14" t="s">
        <v>11417</v>
      </c>
    </row>
    <row r="195">
      <c r="A195" s="14" t="s">
        <v>44</v>
      </c>
      <c r="B195" s="14">
        <v>192.0</v>
      </c>
      <c r="C195" s="72" t="s">
        <v>141</v>
      </c>
      <c r="D195" s="72" t="s">
        <v>11418</v>
      </c>
      <c r="E195" s="36" t="s">
        <v>49</v>
      </c>
      <c r="F195" s="72"/>
      <c r="L195" s="14" t="s">
        <v>11419</v>
      </c>
      <c r="M195" s="14" t="s">
        <v>11421</v>
      </c>
    </row>
    <row r="196">
      <c r="A196" s="14" t="s">
        <v>44</v>
      </c>
      <c r="B196" s="14">
        <v>193.0</v>
      </c>
      <c r="C196" s="72" t="s">
        <v>11423</v>
      </c>
      <c r="D196" s="72" t="s">
        <v>11424</v>
      </c>
      <c r="E196" s="51" t="s">
        <v>53</v>
      </c>
      <c r="F196" s="72"/>
      <c r="L196" s="14" t="s">
        <v>11425</v>
      </c>
      <c r="M196" s="14" t="s">
        <v>11426</v>
      </c>
    </row>
    <row r="197">
      <c r="A197" s="14" t="s">
        <v>44</v>
      </c>
      <c r="B197" s="14">
        <v>194.0</v>
      </c>
      <c r="C197" s="72" t="s">
        <v>760</v>
      </c>
      <c r="D197" s="72" t="s">
        <v>11429</v>
      </c>
      <c r="E197" s="36" t="s">
        <v>49</v>
      </c>
      <c r="F197" s="72"/>
      <c r="L197" s="14" t="s">
        <v>11430</v>
      </c>
      <c r="M197" s="14" t="s">
        <v>11431</v>
      </c>
    </row>
    <row r="198">
      <c r="A198" s="14" t="s">
        <v>44</v>
      </c>
      <c r="B198" s="14">
        <v>195.0</v>
      </c>
      <c r="C198" s="72" t="s">
        <v>3404</v>
      </c>
      <c r="D198" s="72" t="s">
        <v>7313</v>
      </c>
      <c r="E198" s="36" t="s">
        <v>49</v>
      </c>
      <c r="F198" s="72"/>
      <c r="L198" s="14" t="s">
        <v>11432</v>
      </c>
      <c r="M198" s="14" t="s">
        <v>11433</v>
      </c>
    </row>
    <row r="199">
      <c r="A199" s="14" t="s">
        <v>44</v>
      </c>
      <c r="B199" s="14">
        <v>196.0</v>
      </c>
      <c r="C199" s="72" t="s">
        <v>6075</v>
      </c>
      <c r="D199" s="72" t="s">
        <v>2118</v>
      </c>
      <c r="E199" s="51" t="s">
        <v>53</v>
      </c>
      <c r="F199" s="72"/>
      <c r="L199" s="14" t="s">
        <v>11434</v>
      </c>
      <c r="M199" s="14" t="s">
        <v>11435</v>
      </c>
    </row>
    <row r="200">
      <c r="A200" s="14" t="s">
        <v>44</v>
      </c>
      <c r="B200" s="14">
        <v>197.0</v>
      </c>
      <c r="C200" s="72" t="s">
        <v>11436</v>
      </c>
      <c r="D200" s="72" t="s">
        <v>11437</v>
      </c>
      <c r="E200" s="36" t="s">
        <v>49</v>
      </c>
      <c r="F200" s="72"/>
      <c r="L200" s="14" t="s">
        <v>11438</v>
      </c>
      <c r="M200" s="14" t="s">
        <v>11439</v>
      </c>
    </row>
    <row r="201">
      <c r="A201" s="14" t="s">
        <v>44</v>
      </c>
      <c r="B201" s="14">
        <v>198.0</v>
      </c>
      <c r="C201" s="72" t="s">
        <v>11440</v>
      </c>
      <c r="D201" s="72" t="s">
        <v>3801</v>
      </c>
      <c r="E201" s="36" t="s">
        <v>49</v>
      </c>
      <c r="F201" s="72"/>
      <c r="L201" s="14" t="s">
        <v>11441</v>
      </c>
      <c r="M201" s="14" t="s">
        <v>11442</v>
      </c>
    </row>
    <row r="202">
      <c r="A202" s="14" t="s">
        <v>44</v>
      </c>
      <c r="B202" s="14">
        <v>199.0</v>
      </c>
      <c r="C202" s="72" t="s">
        <v>384</v>
      </c>
      <c r="D202" s="72" t="s">
        <v>11443</v>
      </c>
      <c r="E202" s="51" t="s">
        <v>53</v>
      </c>
      <c r="F202" s="72"/>
      <c r="L202" s="14" t="s">
        <v>11444</v>
      </c>
      <c r="M202" s="14" t="s">
        <v>11445</v>
      </c>
    </row>
    <row r="203">
      <c r="A203" s="14" t="s">
        <v>44</v>
      </c>
      <c r="B203" s="14">
        <v>200.0</v>
      </c>
      <c r="C203" s="72" t="s">
        <v>575</v>
      </c>
      <c r="D203" s="72" t="s">
        <v>11446</v>
      </c>
      <c r="E203" s="36" t="s">
        <v>49</v>
      </c>
      <c r="F203" s="72"/>
      <c r="L203" s="14" t="s">
        <v>11447</v>
      </c>
      <c r="M203" s="14" t="s">
        <v>11448</v>
      </c>
    </row>
    <row r="204">
      <c r="A204" s="14" t="s">
        <v>44</v>
      </c>
      <c r="B204" s="14">
        <v>201.0</v>
      </c>
      <c r="C204" s="72" t="s">
        <v>1505</v>
      </c>
      <c r="D204" s="72" t="s">
        <v>11449</v>
      </c>
      <c r="E204" s="36" t="s">
        <v>49</v>
      </c>
      <c r="F204" s="72"/>
      <c r="L204" s="14" t="s">
        <v>11450</v>
      </c>
      <c r="M204" s="14" t="s">
        <v>11451</v>
      </c>
    </row>
    <row r="205">
      <c r="A205" s="14" t="s">
        <v>44</v>
      </c>
      <c r="B205" s="14">
        <v>202.0</v>
      </c>
      <c r="C205" s="72" t="s">
        <v>2285</v>
      </c>
      <c r="D205" s="72" t="s">
        <v>6284</v>
      </c>
      <c r="E205" s="36" t="s">
        <v>49</v>
      </c>
      <c r="F205" s="72"/>
      <c r="L205" s="14" t="s">
        <v>11452</v>
      </c>
      <c r="M205" s="14" t="s">
        <v>11453</v>
      </c>
    </row>
    <row r="206">
      <c r="A206" s="14" t="s">
        <v>44</v>
      </c>
      <c r="B206" s="14">
        <v>203.0</v>
      </c>
      <c r="C206" s="72" t="s">
        <v>11454</v>
      </c>
      <c r="D206" s="72" t="s">
        <v>5399</v>
      </c>
      <c r="E206" s="36" t="s">
        <v>49</v>
      </c>
      <c r="F206" s="72"/>
      <c r="L206" s="14" t="s">
        <v>11455</v>
      </c>
      <c r="M206" s="14" t="s">
        <v>11456</v>
      </c>
    </row>
    <row r="207">
      <c r="A207" s="70"/>
      <c r="B207" s="70"/>
      <c r="C207" s="70"/>
      <c r="D207" s="70"/>
      <c r="E207" s="70"/>
      <c r="F207" s="70"/>
      <c r="H207" s="70"/>
      <c r="I207" s="70"/>
      <c r="J207" s="70"/>
      <c r="K207" s="70"/>
      <c r="L207" s="70"/>
      <c r="M207" s="70"/>
      <c r="N207" s="70"/>
      <c r="O207" s="70"/>
      <c r="P207" s="70"/>
      <c r="Q207" s="70"/>
      <c r="R207" s="70"/>
      <c r="S207" s="70"/>
      <c r="T207" s="70"/>
      <c r="U207" s="70"/>
      <c r="V207" s="70"/>
      <c r="W207" s="70"/>
      <c r="X207" s="70"/>
      <c r="Y207" s="70"/>
      <c r="Z207" s="70"/>
      <c r="AA207" s="70"/>
      <c r="AB207" s="70"/>
      <c r="AC207" s="70"/>
      <c r="AD207" s="70"/>
      <c r="AE207" s="70"/>
      <c r="AF207" s="70"/>
      <c r="AG207" s="70"/>
      <c r="AH207" s="70"/>
      <c r="AI207" s="70"/>
      <c r="AJ207" s="70"/>
    </row>
    <row r="208">
      <c r="A208" s="14" t="s">
        <v>286</v>
      </c>
      <c r="B208" s="45">
        <v>1.0</v>
      </c>
      <c r="C208" s="688" t="s">
        <v>839</v>
      </c>
      <c r="D208" s="688" t="s">
        <v>11461</v>
      </c>
      <c r="E208" s="36" t="s">
        <v>49</v>
      </c>
      <c r="F208" s="688"/>
      <c r="H208" s="200"/>
      <c r="I208" s="31"/>
      <c r="J208" s="31"/>
      <c r="L208" s="689" t="s">
        <v>11464</v>
      </c>
      <c r="M208" s="14" t="s">
        <v>11465</v>
      </c>
    </row>
    <row r="209">
      <c r="A209" s="14" t="s">
        <v>286</v>
      </c>
      <c r="B209" s="45">
        <v>2.0</v>
      </c>
      <c r="C209" s="688" t="s">
        <v>2551</v>
      </c>
      <c r="D209" s="688" t="s">
        <v>11466</v>
      </c>
      <c r="E209" s="36" t="s">
        <v>49</v>
      </c>
      <c r="F209" s="688"/>
      <c r="H209" s="200"/>
      <c r="I209" s="31"/>
      <c r="J209" s="31"/>
      <c r="L209" s="689" t="s">
        <v>11467</v>
      </c>
      <c r="M209" s="14" t="s">
        <v>11468</v>
      </c>
    </row>
    <row r="210">
      <c r="A210" s="14" t="s">
        <v>286</v>
      </c>
      <c r="B210" s="45">
        <v>3.0</v>
      </c>
      <c r="C210" s="688" t="s">
        <v>11474</v>
      </c>
      <c r="D210" s="688" t="s">
        <v>11475</v>
      </c>
      <c r="E210" s="36" t="s">
        <v>49</v>
      </c>
      <c r="F210" s="688"/>
      <c r="H210" s="200"/>
      <c r="I210" s="31"/>
      <c r="J210" s="31"/>
      <c r="L210" s="689" t="s">
        <v>11476</v>
      </c>
      <c r="M210" s="395" t="s">
        <v>11477</v>
      </c>
    </row>
    <row r="211">
      <c r="A211" s="14" t="s">
        <v>286</v>
      </c>
      <c r="B211" s="45">
        <v>4.0</v>
      </c>
      <c r="C211" s="688" t="s">
        <v>802</v>
      </c>
      <c r="D211" s="688" t="s">
        <v>11478</v>
      </c>
      <c r="E211" s="36" t="s">
        <v>49</v>
      </c>
      <c r="F211" s="688"/>
      <c r="H211" s="200"/>
      <c r="I211" s="31"/>
      <c r="J211" s="31"/>
      <c r="L211" s="689" t="s">
        <v>11479</v>
      </c>
      <c r="M211" s="14" t="s">
        <v>11480</v>
      </c>
    </row>
    <row r="212">
      <c r="A212" s="14" t="s">
        <v>286</v>
      </c>
      <c r="B212" s="45">
        <v>5.0</v>
      </c>
      <c r="C212" s="688" t="s">
        <v>278</v>
      </c>
      <c r="D212" s="688" t="s">
        <v>11485</v>
      </c>
      <c r="E212" s="36" t="s">
        <v>49</v>
      </c>
      <c r="F212" s="688"/>
      <c r="H212" s="200"/>
      <c r="I212" s="31"/>
      <c r="J212" s="31"/>
      <c r="L212" s="689" t="s">
        <v>11487</v>
      </c>
      <c r="M212" s="14" t="s">
        <v>11488</v>
      </c>
    </row>
    <row r="213">
      <c r="A213" s="14" t="s">
        <v>286</v>
      </c>
      <c r="B213" s="45">
        <v>6.0</v>
      </c>
      <c r="C213" s="399" t="s">
        <v>317</v>
      </c>
      <c r="D213" s="688" t="s">
        <v>11489</v>
      </c>
      <c r="E213" s="51" t="s">
        <v>53</v>
      </c>
      <c r="F213" s="688"/>
      <c r="H213" s="200"/>
      <c r="I213" s="31"/>
      <c r="J213" s="31"/>
      <c r="L213" s="689" t="s">
        <v>11490</v>
      </c>
      <c r="M213" s="14" t="s">
        <v>11491</v>
      </c>
    </row>
    <row r="214">
      <c r="A214" s="14" t="s">
        <v>286</v>
      </c>
      <c r="B214" s="45">
        <v>7.0</v>
      </c>
      <c r="C214" s="688" t="s">
        <v>2635</v>
      </c>
      <c r="D214" s="688" t="s">
        <v>316</v>
      </c>
      <c r="E214" s="36" t="s">
        <v>49</v>
      </c>
      <c r="F214" s="688"/>
      <c r="G214" s="14" t="s">
        <v>662</v>
      </c>
      <c r="H214" s="200"/>
      <c r="I214" s="31"/>
      <c r="J214" s="31"/>
      <c r="L214" s="689" t="s">
        <v>11493</v>
      </c>
      <c r="M214" s="14" t="s">
        <v>11494</v>
      </c>
    </row>
    <row r="215">
      <c r="A215" s="14" t="s">
        <v>286</v>
      </c>
      <c r="B215" s="45">
        <v>8.0</v>
      </c>
      <c r="C215" s="688" t="s">
        <v>496</v>
      </c>
      <c r="D215" s="688" t="s">
        <v>793</v>
      </c>
      <c r="E215" s="36" t="s">
        <v>49</v>
      </c>
      <c r="F215" s="399" t="s">
        <v>2004</v>
      </c>
      <c r="H215" s="200"/>
      <c r="I215" s="31"/>
      <c r="J215" s="31"/>
      <c r="L215" s="689" t="s">
        <v>11499</v>
      </c>
      <c r="M215" s="14" t="s">
        <v>11500</v>
      </c>
    </row>
    <row r="216">
      <c r="A216" s="14" t="s">
        <v>286</v>
      </c>
      <c r="B216" s="45">
        <v>9.0</v>
      </c>
      <c r="C216" s="688" t="s">
        <v>338</v>
      </c>
      <c r="D216" s="688" t="s">
        <v>11502</v>
      </c>
      <c r="E216" s="51" t="s">
        <v>53</v>
      </c>
      <c r="F216" s="688"/>
      <c r="G216" s="14" t="s">
        <v>11503</v>
      </c>
      <c r="H216" s="200"/>
      <c r="I216" s="31"/>
      <c r="J216" s="31"/>
      <c r="L216" s="689" t="s">
        <v>11504</v>
      </c>
      <c r="M216" s="14" t="s">
        <v>11505</v>
      </c>
    </row>
    <row r="217">
      <c r="A217" s="14" t="s">
        <v>286</v>
      </c>
      <c r="B217" s="45">
        <v>10.0</v>
      </c>
      <c r="C217" s="693" t="s">
        <v>55</v>
      </c>
      <c r="D217" s="693" t="s">
        <v>11509</v>
      </c>
      <c r="E217" s="36" t="s">
        <v>49</v>
      </c>
      <c r="F217" s="693"/>
      <c r="H217" s="200"/>
      <c r="I217" s="31"/>
      <c r="J217" s="31"/>
      <c r="L217" s="689" t="s">
        <v>11510</v>
      </c>
      <c r="M217" s="395" t="s">
        <v>11511</v>
      </c>
    </row>
    <row r="218">
      <c r="A218" s="14" t="s">
        <v>286</v>
      </c>
      <c r="B218" s="45">
        <v>11.0</v>
      </c>
      <c r="C218" s="688" t="s">
        <v>2320</v>
      </c>
      <c r="D218" s="688" t="s">
        <v>11515</v>
      </c>
      <c r="E218" s="36" t="s">
        <v>49</v>
      </c>
      <c r="F218" s="688"/>
      <c r="G218" s="14" t="s">
        <v>1024</v>
      </c>
      <c r="H218" s="200"/>
      <c r="I218" s="31"/>
      <c r="J218" s="31"/>
      <c r="L218" s="689" t="s">
        <v>11516</v>
      </c>
      <c r="M218" s="14" t="s">
        <v>11519</v>
      </c>
    </row>
    <row r="219">
      <c r="A219" s="14" t="s">
        <v>286</v>
      </c>
      <c r="B219" s="45">
        <v>12.0</v>
      </c>
      <c r="C219" s="693" t="s">
        <v>2174</v>
      </c>
      <c r="D219" s="693" t="s">
        <v>11521</v>
      </c>
      <c r="E219" s="36" t="s">
        <v>49</v>
      </c>
      <c r="F219" s="693"/>
      <c r="H219" s="200"/>
      <c r="I219" s="31"/>
      <c r="J219" s="31"/>
      <c r="L219" s="689" t="s">
        <v>11522</v>
      </c>
      <c r="M219" s="14" t="s">
        <v>11523</v>
      </c>
    </row>
    <row r="220">
      <c r="A220" s="14" t="s">
        <v>286</v>
      </c>
      <c r="B220" s="45">
        <v>13.0</v>
      </c>
      <c r="C220" s="688" t="s">
        <v>45</v>
      </c>
      <c r="D220" s="688" t="s">
        <v>456</v>
      </c>
      <c r="E220" s="51" t="s">
        <v>53</v>
      </c>
      <c r="F220" s="688"/>
      <c r="H220" s="200"/>
      <c r="I220" s="31"/>
      <c r="J220" s="31"/>
      <c r="L220" s="689" t="s">
        <v>11527</v>
      </c>
      <c r="M220" s="14" t="s">
        <v>11528</v>
      </c>
    </row>
    <row r="221">
      <c r="A221" s="14" t="s">
        <v>286</v>
      </c>
      <c r="B221" s="45">
        <v>14.0</v>
      </c>
      <c r="C221" s="688" t="s">
        <v>278</v>
      </c>
      <c r="D221" s="688" t="s">
        <v>11529</v>
      </c>
      <c r="E221" s="36" t="s">
        <v>49</v>
      </c>
      <c r="F221" s="688"/>
      <c r="H221" s="200"/>
      <c r="I221" s="31"/>
      <c r="J221" s="31"/>
      <c r="L221" s="689" t="s">
        <v>11532</v>
      </c>
      <c r="M221" s="14" t="s">
        <v>11533</v>
      </c>
    </row>
    <row r="222">
      <c r="A222" s="14" t="s">
        <v>286</v>
      </c>
      <c r="B222" s="45">
        <v>15.0</v>
      </c>
      <c r="C222" s="688" t="s">
        <v>278</v>
      </c>
      <c r="D222" s="688" t="s">
        <v>11536</v>
      </c>
      <c r="E222" s="51" t="s">
        <v>53</v>
      </c>
      <c r="F222" s="688"/>
      <c r="H222" s="200"/>
      <c r="I222" s="31"/>
      <c r="J222" s="31"/>
      <c r="L222" s="689" t="s">
        <v>11537</v>
      </c>
      <c r="M222" s="14" t="s">
        <v>11538</v>
      </c>
    </row>
    <row r="223">
      <c r="A223" s="14" t="s">
        <v>286</v>
      </c>
      <c r="B223" s="45">
        <v>16.0</v>
      </c>
      <c r="C223" s="688" t="s">
        <v>2570</v>
      </c>
      <c r="D223" s="688" t="s">
        <v>11539</v>
      </c>
      <c r="E223" s="51" t="s">
        <v>53</v>
      </c>
      <c r="F223" s="688"/>
      <c r="G223" s="14" t="s">
        <v>662</v>
      </c>
      <c r="H223" s="200"/>
      <c r="I223" s="31"/>
      <c r="J223" s="31"/>
      <c r="L223" s="689" t="s">
        <v>11540</v>
      </c>
      <c r="M223" s="14" t="s">
        <v>11541</v>
      </c>
    </row>
    <row r="224">
      <c r="A224" s="14" t="s">
        <v>286</v>
      </c>
      <c r="B224" s="45">
        <v>17.0</v>
      </c>
      <c r="C224" s="688" t="s">
        <v>11547</v>
      </c>
      <c r="D224" s="688" t="s">
        <v>1226</v>
      </c>
      <c r="E224" s="36" t="s">
        <v>49</v>
      </c>
      <c r="F224" s="688"/>
      <c r="H224" s="200"/>
      <c r="I224" s="31"/>
      <c r="J224" s="31"/>
      <c r="L224" s="689" t="s">
        <v>11548</v>
      </c>
      <c r="M224" s="14" t="s">
        <v>11549</v>
      </c>
    </row>
    <row r="225">
      <c r="A225" s="14" t="s">
        <v>286</v>
      </c>
      <c r="B225" s="45">
        <v>18.0</v>
      </c>
      <c r="C225" s="688" t="s">
        <v>432</v>
      </c>
      <c r="D225" s="688" t="s">
        <v>11556</v>
      </c>
      <c r="E225" s="36" t="s">
        <v>49</v>
      </c>
      <c r="F225" s="688"/>
      <c r="H225" s="200"/>
      <c r="I225" s="31"/>
      <c r="J225" s="31"/>
      <c r="L225" s="689" t="s">
        <v>11558</v>
      </c>
      <c r="M225" s="14" t="s">
        <v>11559</v>
      </c>
    </row>
    <row r="226">
      <c r="A226" s="14" t="s">
        <v>286</v>
      </c>
      <c r="B226" s="45">
        <v>19.0</v>
      </c>
      <c r="C226" s="688" t="s">
        <v>109</v>
      </c>
      <c r="D226" s="688" t="s">
        <v>11566</v>
      </c>
      <c r="E226" s="36" t="s">
        <v>49</v>
      </c>
      <c r="F226" s="688"/>
      <c r="H226" s="200"/>
      <c r="I226" s="31"/>
      <c r="J226" s="31"/>
      <c r="L226" s="689" t="s">
        <v>11567</v>
      </c>
      <c r="M226" s="14" t="s">
        <v>11568</v>
      </c>
    </row>
    <row r="227">
      <c r="A227" s="14" t="s">
        <v>286</v>
      </c>
      <c r="B227" s="45">
        <v>20.0</v>
      </c>
      <c r="C227" s="688" t="s">
        <v>432</v>
      </c>
      <c r="D227" s="688" t="s">
        <v>553</v>
      </c>
      <c r="E227" s="51" t="s">
        <v>53</v>
      </c>
      <c r="F227" s="688"/>
      <c r="H227" s="200"/>
      <c r="I227" s="31"/>
      <c r="J227" s="31"/>
      <c r="L227" s="689" t="s">
        <v>11571</v>
      </c>
      <c r="M227" s="14" t="s">
        <v>11572</v>
      </c>
    </row>
    <row r="228">
      <c r="A228" s="14" t="s">
        <v>286</v>
      </c>
      <c r="B228" s="45">
        <v>21.0</v>
      </c>
      <c r="C228" s="688" t="s">
        <v>45</v>
      </c>
      <c r="D228" s="688" t="s">
        <v>2462</v>
      </c>
      <c r="E228" s="51" t="s">
        <v>53</v>
      </c>
      <c r="F228" s="688"/>
      <c r="H228" s="200"/>
      <c r="I228" s="31"/>
      <c r="J228" s="31"/>
      <c r="L228" s="689" t="s">
        <v>11577</v>
      </c>
      <c r="M228" s="14" t="s">
        <v>11578</v>
      </c>
    </row>
    <row r="229">
      <c r="A229" s="14" t="s">
        <v>286</v>
      </c>
      <c r="B229" s="45">
        <v>22.0</v>
      </c>
      <c r="C229" s="688" t="s">
        <v>278</v>
      </c>
      <c r="D229" s="688" t="s">
        <v>1288</v>
      </c>
      <c r="E229" s="36" t="s">
        <v>49</v>
      </c>
      <c r="F229" s="688"/>
      <c r="H229" s="200"/>
      <c r="I229" s="31"/>
      <c r="J229" s="31"/>
      <c r="L229" s="689" t="s">
        <v>11582</v>
      </c>
      <c r="M229" s="14" t="s">
        <v>11583</v>
      </c>
    </row>
    <row r="230">
      <c r="A230" s="14" t="s">
        <v>286</v>
      </c>
      <c r="B230" s="45">
        <v>23.0</v>
      </c>
      <c r="C230" s="688" t="s">
        <v>3242</v>
      </c>
      <c r="D230" s="688" t="s">
        <v>11588</v>
      </c>
      <c r="E230" s="51" t="s">
        <v>53</v>
      </c>
      <c r="F230" s="688"/>
      <c r="H230" s="200"/>
      <c r="I230" s="31"/>
      <c r="J230" s="31"/>
      <c r="L230" s="689" t="s">
        <v>11589</v>
      </c>
      <c r="M230" s="14" t="s">
        <v>11590</v>
      </c>
    </row>
    <row r="231">
      <c r="A231" s="14" t="s">
        <v>286</v>
      </c>
      <c r="B231" s="45">
        <v>24.0</v>
      </c>
      <c r="C231" s="688" t="s">
        <v>419</v>
      </c>
      <c r="D231" s="688" t="s">
        <v>11594</v>
      </c>
      <c r="E231" s="51" t="s">
        <v>53</v>
      </c>
      <c r="F231" s="399" t="s">
        <v>1684</v>
      </c>
      <c r="H231" s="200"/>
      <c r="I231" s="31"/>
      <c r="J231" s="31"/>
      <c r="L231" s="689" t="s">
        <v>11595</v>
      </c>
      <c r="M231" s="14" t="s">
        <v>11596</v>
      </c>
    </row>
    <row r="232">
      <c r="A232" s="14" t="s">
        <v>286</v>
      </c>
      <c r="B232" s="45">
        <v>25.0</v>
      </c>
      <c r="C232" s="688" t="s">
        <v>622</v>
      </c>
      <c r="D232" s="688" t="s">
        <v>11601</v>
      </c>
      <c r="E232" s="51" t="s">
        <v>53</v>
      </c>
      <c r="F232" s="399" t="s">
        <v>903</v>
      </c>
      <c r="H232" s="200"/>
      <c r="I232" s="31"/>
      <c r="J232" s="31"/>
      <c r="L232" s="689" t="s">
        <v>11602</v>
      </c>
      <c r="M232" s="14" t="s">
        <v>11603</v>
      </c>
    </row>
    <row r="233">
      <c r="A233" s="14" t="s">
        <v>286</v>
      </c>
      <c r="B233" s="45">
        <v>26.0</v>
      </c>
      <c r="C233" s="693" t="s">
        <v>2507</v>
      </c>
      <c r="D233" s="693" t="s">
        <v>11606</v>
      </c>
      <c r="E233" s="36" t="s">
        <v>49</v>
      </c>
      <c r="F233" s="693"/>
      <c r="H233" s="200"/>
      <c r="I233" s="31"/>
      <c r="J233" s="31"/>
      <c r="L233" s="689" t="s">
        <v>11607</v>
      </c>
      <c r="M233" s="395" t="s">
        <v>11608</v>
      </c>
    </row>
    <row r="234">
      <c r="A234" s="14" t="s">
        <v>286</v>
      </c>
      <c r="B234" s="45">
        <v>27.0</v>
      </c>
      <c r="C234" s="688" t="s">
        <v>278</v>
      </c>
      <c r="D234" s="688" t="s">
        <v>11616</v>
      </c>
      <c r="E234" s="51" t="s">
        <v>53</v>
      </c>
      <c r="F234" s="399" t="s">
        <v>1188</v>
      </c>
      <c r="H234" s="200"/>
      <c r="I234" s="31"/>
      <c r="J234" s="31"/>
      <c r="L234" s="689" t="s">
        <v>11617</v>
      </c>
      <c r="M234" s="14" t="s">
        <v>11618</v>
      </c>
    </row>
    <row r="235">
      <c r="A235" s="14" t="s">
        <v>286</v>
      </c>
      <c r="B235" s="45">
        <v>28.0</v>
      </c>
      <c r="C235" s="695" t="s">
        <v>3074</v>
      </c>
      <c r="D235" s="695" t="s">
        <v>485</v>
      </c>
      <c r="E235" s="51" t="s">
        <v>53</v>
      </c>
      <c r="F235" s="695"/>
      <c r="H235" s="200"/>
      <c r="I235" s="31"/>
      <c r="J235" s="76"/>
      <c r="L235" s="689" t="s">
        <v>11623</v>
      </c>
      <c r="M235" s="395" t="s">
        <v>11624</v>
      </c>
    </row>
    <row r="236">
      <c r="A236" s="14" t="s">
        <v>286</v>
      </c>
      <c r="B236" s="45">
        <v>29.0</v>
      </c>
      <c r="C236" s="688" t="s">
        <v>108</v>
      </c>
      <c r="D236" s="688" t="s">
        <v>11630</v>
      </c>
      <c r="E236" s="51" t="s">
        <v>53</v>
      </c>
      <c r="F236" s="688"/>
      <c r="H236" s="200"/>
      <c r="I236" s="31"/>
      <c r="J236" s="31"/>
      <c r="L236" s="689" t="s">
        <v>11631</v>
      </c>
      <c r="M236" s="14" t="s">
        <v>11632</v>
      </c>
    </row>
    <row r="237">
      <c r="A237" s="14" t="s">
        <v>286</v>
      </c>
      <c r="B237" s="45">
        <v>30.0</v>
      </c>
      <c r="C237" s="693" t="s">
        <v>11636</v>
      </c>
      <c r="D237" s="693" t="s">
        <v>919</v>
      </c>
      <c r="E237" s="51" t="s">
        <v>53</v>
      </c>
      <c r="F237" s="693"/>
      <c r="H237" s="200"/>
      <c r="I237" s="31"/>
      <c r="J237" s="31"/>
      <c r="L237" s="689" t="s">
        <v>11638</v>
      </c>
      <c r="M237" s="14" t="s">
        <v>11639</v>
      </c>
    </row>
    <row r="238">
      <c r="A238" s="14" t="s">
        <v>286</v>
      </c>
      <c r="B238" s="45">
        <v>31.0</v>
      </c>
      <c r="C238" s="688" t="s">
        <v>157</v>
      </c>
      <c r="D238" s="688" t="s">
        <v>11643</v>
      </c>
      <c r="E238" s="51" t="s">
        <v>53</v>
      </c>
      <c r="F238" s="688"/>
      <c r="H238" s="200"/>
      <c r="I238" s="31"/>
      <c r="J238" s="31"/>
      <c r="L238" s="689" t="s">
        <v>11644</v>
      </c>
      <c r="M238" s="14" t="s">
        <v>11645</v>
      </c>
    </row>
    <row r="239">
      <c r="A239" s="14" t="s">
        <v>286</v>
      </c>
      <c r="B239" s="45">
        <v>32.0</v>
      </c>
      <c r="C239" s="688" t="s">
        <v>1914</v>
      </c>
      <c r="D239" s="688" t="s">
        <v>11649</v>
      </c>
      <c r="E239" s="51" t="s">
        <v>53</v>
      </c>
      <c r="F239" s="688"/>
      <c r="H239" s="200"/>
      <c r="I239" s="31"/>
      <c r="J239" s="31"/>
      <c r="L239" s="689" t="s">
        <v>11650</v>
      </c>
      <c r="M239" s="14" t="s">
        <v>11651</v>
      </c>
    </row>
    <row r="240">
      <c r="A240" s="14" t="s">
        <v>286</v>
      </c>
      <c r="B240" s="45">
        <v>33.0</v>
      </c>
      <c r="C240" s="688" t="s">
        <v>1112</v>
      </c>
      <c r="D240" s="688" t="s">
        <v>11656</v>
      </c>
      <c r="E240" s="51" t="s">
        <v>53</v>
      </c>
      <c r="F240" s="688"/>
      <c r="H240" s="200"/>
      <c r="I240" s="31"/>
      <c r="J240" s="31"/>
      <c r="L240" s="689" t="s">
        <v>11657</v>
      </c>
      <c r="M240" s="14" t="s">
        <v>11658</v>
      </c>
    </row>
    <row r="241">
      <c r="A241" s="14" t="s">
        <v>286</v>
      </c>
      <c r="B241" s="45">
        <v>34.0</v>
      </c>
      <c r="C241" s="688" t="s">
        <v>3828</v>
      </c>
      <c r="D241" s="688" t="s">
        <v>11665</v>
      </c>
      <c r="E241" s="51" t="s">
        <v>53</v>
      </c>
      <c r="F241" s="399" t="s">
        <v>176</v>
      </c>
      <c r="H241" s="200"/>
      <c r="I241" s="31"/>
      <c r="J241" s="31"/>
      <c r="L241" s="689" t="s">
        <v>11666</v>
      </c>
      <c r="M241" s="14" t="s">
        <v>11667</v>
      </c>
    </row>
    <row r="242">
      <c r="A242" s="14" t="s">
        <v>286</v>
      </c>
      <c r="B242" s="45">
        <v>35.0</v>
      </c>
      <c r="C242" s="688" t="s">
        <v>6418</v>
      </c>
      <c r="D242" s="688" t="s">
        <v>11671</v>
      </c>
      <c r="E242" s="51" t="s">
        <v>53</v>
      </c>
      <c r="F242" s="688"/>
      <c r="H242" s="200"/>
      <c r="I242" s="31"/>
      <c r="J242" s="31"/>
      <c r="L242" s="689" t="s">
        <v>11672</v>
      </c>
      <c r="M242" s="14" t="s">
        <v>11673</v>
      </c>
    </row>
    <row r="243">
      <c r="A243" s="14" t="s">
        <v>286</v>
      </c>
      <c r="B243" s="45">
        <v>36.0</v>
      </c>
      <c r="C243" s="688" t="s">
        <v>2780</v>
      </c>
      <c r="D243" s="688" t="s">
        <v>11676</v>
      </c>
      <c r="E243" s="51" t="s">
        <v>53</v>
      </c>
      <c r="F243" s="688"/>
      <c r="H243" s="200"/>
      <c r="I243" s="31"/>
      <c r="J243" s="31"/>
      <c r="L243" s="689" t="s">
        <v>11677</v>
      </c>
      <c r="M243" s="14" t="s">
        <v>11678</v>
      </c>
    </row>
    <row r="244">
      <c r="A244" s="14" t="s">
        <v>286</v>
      </c>
      <c r="B244" s="45">
        <v>37.0</v>
      </c>
      <c r="C244" s="688" t="s">
        <v>6504</v>
      </c>
      <c r="D244" s="688" t="s">
        <v>11681</v>
      </c>
      <c r="E244" s="51" t="s">
        <v>53</v>
      </c>
      <c r="F244" s="399" t="s">
        <v>11682</v>
      </c>
      <c r="H244" s="200"/>
      <c r="I244" s="31"/>
      <c r="J244" s="31"/>
    </row>
    <row r="245">
      <c r="A245" s="14" t="s">
        <v>286</v>
      </c>
      <c r="B245" s="45">
        <v>38.0</v>
      </c>
      <c r="C245" s="693" t="s">
        <v>4630</v>
      </c>
      <c r="D245" s="693" t="s">
        <v>793</v>
      </c>
      <c r="E245" s="36" t="s">
        <v>49</v>
      </c>
      <c r="F245" s="693"/>
      <c r="H245" s="200"/>
      <c r="I245" s="31"/>
      <c r="J245" s="31"/>
      <c r="L245" s="689" t="s">
        <v>11686</v>
      </c>
      <c r="M245" s="14" t="s">
        <v>11500</v>
      </c>
    </row>
    <row r="246">
      <c r="A246" s="14" t="s">
        <v>286</v>
      </c>
      <c r="B246" s="45">
        <v>39.0</v>
      </c>
      <c r="C246" s="688" t="s">
        <v>1973</v>
      </c>
      <c r="D246" s="688" t="s">
        <v>919</v>
      </c>
      <c r="E246" s="51" t="s">
        <v>53</v>
      </c>
      <c r="F246" s="688"/>
      <c r="G246" s="14" t="s">
        <v>1024</v>
      </c>
      <c r="H246" s="200"/>
      <c r="I246" s="31"/>
      <c r="J246" s="31"/>
      <c r="L246" s="689" t="s">
        <v>11687</v>
      </c>
      <c r="M246" s="14" t="s">
        <v>11639</v>
      </c>
    </row>
    <row r="247">
      <c r="A247" s="14" t="s">
        <v>286</v>
      </c>
      <c r="B247" s="45">
        <v>40.0</v>
      </c>
      <c r="C247" s="688" t="s">
        <v>3401</v>
      </c>
      <c r="D247" s="688" t="s">
        <v>11690</v>
      </c>
      <c r="E247" s="51" t="s">
        <v>53</v>
      </c>
      <c r="F247" s="688"/>
      <c r="H247" s="200"/>
      <c r="I247" s="31"/>
      <c r="J247" s="31"/>
      <c r="L247" s="689" t="s">
        <v>11691</v>
      </c>
      <c r="M247" s="14" t="s">
        <v>11692</v>
      </c>
    </row>
    <row r="248">
      <c r="A248" s="14" t="s">
        <v>286</v>
      </c>
      <c r="B248" s="45">
        <v>41.0</v>
      </c>
      <c r="C248" s="688" t="s">
        <v>428</v>
      </c>
      <c r="D248" s="688" t="s">
        <v>6034</v>
      </c>
      <c r="E248" s="51" t="s">
        <v>53</v>
      </c>
      <c r="F248" s="688"/>
      <c r="H248" s="200"/>
      <c r="I248" s="31"/>
      <c r="J248" s="31"/>
      <c r="L248" s="689" t="s">
        <v>11693</v>
      </c>
      <c r="M248" s="14" t="s">
        <v>11694</v>
      </c>
    </row>
    <row r="249">
      <c r="A249" s="14" t="s">
        <v>286</v>
      </c>
      <c r="B249" s="45">
        <v>42.0</v>
      </c>
      <c r="C249" s="688" t="s">
        <v>6418</v>
      </c>
      <c r="D249" s="688" t="s">
        <v>11699</v>
      </c>
      <c r="E249" s="36" t="s">
        <v>49</v>
      </c>
      <c r="F249" s="399" t="s">
        <v>2029</v>
      </c>
      <c r="H249" s="200"/>
      <c r="I249" s="31"/>
      <c r="J249" s="31"/>
      <c r="L249" s="689" t="s">
        <v>11700</v>
      </c>
      <c r="M249" s="14" t="s">
        <v>11701</v>
      </c>
    </row>
    <row r="250">
      <c r="A250" s="14" t="s">
        <v>286</v>
      </c>
      <c r="B250" s="45">
        <v>43.0</v>
      </c>
      <c r="C250" s="688" t="s">
        <v>1013</v>
      </c>
      <c r="D250" s="688" t="s">
        <v>2304</v>
      </c>
      <c r="E250" s="36" t="s">
        <v>49</v>
      </c>
      <c r="F250" s="399" t="s">
        <v>498</v>
      </c>
      <c r="H250" s="200"/>
      <c r="I250" s="31"/>
      <c r="J250" s="31"/>
      <c r="L250" s="689" t="s">
        <v>11702</v>
      </c>
      <c r="M250" s="14" t="s">
        <v>11703</v>
      </c>
    </row>
    <row r="251">
      <c r="A251" s="14" t="s">
        <v>286</v>
      </c>
      <c r="B251" s="45">
        <v>44.0</v>
      </c>
      <c r="C251" s="693" t="s">
        <v>2317</v>
      </c>
      <c r="D251" s="693" t="s">
        <v>11705</v>
      </c>
      <c r="E251" s="36" t="s">
        <v>49</v>
      </c>
      <c r="F251" s="693"/>
      <c r="H251" s="200"/>
      <c r="I251" s="31"/>
      <c r="J251" s="31"/>
      <c r="L251" s="689" t="s">
        <v>11706</v>
      </c>
      <c r="M251" s="395" t="s">
        <v>11707</v>
      </c>
    </row>
    <row r="252">
      <c r="A252" s="14" t="s">
        <v>286</v>
      </c>
      <c r="B252" s="45">
        <v>45.0</v>
      </c>
      <c r="C252" s="688" t="s">
        <v>476</v>
      </c>
      <c r="D252" s="688" t="s">
        <v>11710</v>
      </c>
      <c r="E252" s="36" t="s">
        <v>49</v>
      </c>
      <c r="F252" s="688"/>
      <c r="H252" s="200"/>
      <c r="I252" s="31"/>
      <c r="J252" s="31"/>
      <c r="L252" s="689" t="s">
        <v>11711</v>
      </c>
      <c r="M252" s="14" t="s">
        <v>11712</v>
      </c>
    </row>
    <row r="253">
      <c r="A253" s="14" t="s">
        <v>286</v>
      </c>
      <c r="B253" s="45">
        <v>46.0</v>
      </c>
      <c r="C253" s="688" t="s">
        <v>11715</v>
      </c>
      <c r="D253" s="688" t="s">
        <v>11716</v>
      </c>
      <c r="E253" s="51" t="s">
        <v>53</v>
      </c>
      <c r="F253" s="688"/>
      <c r="H253" s="200"/>
      <c r="I253" s="31"/>
      <c r="J253" s="31"/>
      <c r="L253" s="689" t="s">
        <v>11719</v>
      </c>
      <c r="M253" s="14" t="s">
        <v>11720</v>
      </c>
    </row>
    <row r="254">
      <c r="A254" s="14" t="s">
        <v>286</v>
      </c>
      <c r="B254" s="45">
        <v>47.0</v>
      </c>
      <c r="C254" s="688" t="s">
        <v>7269</v>
      </c>
      <c r="D254" s="688" t="s">
        <v>7511</v>
      </c>
      <c r="E254" s="51" t="s">
        <v>53</v>
      </c>
      <c r="F254" s="688"/>
      <c r="H254" s="200"/>
      <c r="I254" s="31"/>
      <c r="J254" s="31"/>
      <c r="L254" s="689" t="s">
        <v>11721</v>
      </c>
      <c r="M254" s="14" t="s">
        <v>11722</v>
      </c>
    </row>
    <row r="255">
      <c r="A255" s="14" t="s">
        <v>286</v>
      </c>
      <c r="B255" s="45">
        <v>48.0</v>
      </c>
      <c r="C255" s="688" t="s">
        <v>157</v>
      </c>
      <c r="D255" s="688" t="s">
        <v>11723</v>
      </c>
      <c r="E255" s="51" t="s">
        <v>53</v>
      </c>
      <c r="F255" s="688"/>
      <c r="H255" s="200"/>
      <c r="I255" s="31"/>
      <c r="J255" s="31"/>
      <c r="L255" s="689" t="s">
        <v>11725</v>
      </c>
      <c r="M255" s="14" t="s">
        <v>11726</v>
      </c>
    </row>
    <row r="256">
      <c r="A256" s="14" t="s">
        <v>286</v>
      </c>
      <c r="B256" s="45">
        <v>49.0</v>
      </c>
      <c r="C256" s="688" t="s">
        <v>239</v>
      </c>
      <c r="D256" s="688" t="s">
        <v>11728</v>
      </c>
      <c r="E256" s="51" t="s">
        <v>53</v>
      </c>
      <c r="F256" s="688"/>
      <c r="H256" s="200"/>
      <c r="I256" s="31"/>
      <c r="J256" s="31"/>
      <c r="L256" s="689" t="s">
        <v>11729</v>
      </c>
      <c r="M256" s="14" t="s">
        <v>11730</v>
      </c>
    </row>
    <row r="257">
      <c r="A257" s="14" t="s">
        <v>286</v>
      </c>
      <c r="B257" s="45">
        <v>50.0</v>
      </c>
      <c r="C257" s="688" t="s">
        <v>3644</v>
      </c>
      <c r="D257" s="688" t="s">
        <v>1141</v>
      </c>
      <c r="E257" s="51" t="s">
        <v>53</v>
      </c>
      <c r="F257" s="688"/>
      <c r="H257" s="200"/>
      <c r="I257" s="31"/>
      <c r="J257" s="31"/>
      <c r="L257" s="689" t="s">
        <v>11735</v>
      </c>
      <c r="M257" s="14" t="s">
        <v>11736</v>
      </c>
    </row>
    <row r="258">
      <c r="A258" s="70"/>
      <c r="B258" s="70"/>
      <c r="C258" s="70"/>
      <c r="D258" s="70"/>
      <c r="E258" s="70"/>
      <c r="F258" s="70"/>
      <c r="H258" s="70"/>
      <c r="I258" s="70"/>
      <c r="J258" s="70"/>
      <c r="K258" s="70"/>
      <c r="L258" s="70"/>
      <c r="M258" s="70"/>
      <c r="N258" s="70"/>
      <c r="O258" s="70"/>
      <c r="P258" s="70"/>
      <c r="Q258" s="70"/>
      <c r="R258" s="70"/>
      <c r="S258" s="70"/>
      <c r="T258" s="70"/>
      <c r="U258" s="70"/>
      <c r="V258" s="70"/>
      <c r="W258" s="70"/>
      <c r="X258" s="70"/>
      <c r="Y258" s="70"/>
      <c r="Z258" s="70"/>
      <c r="AA258" s="70"/>
      <c r="AB258" s="70"/>
      <c r="AC258" s="70"/>
      <c r="AD258" s="70"/>
      <c r="AE258" s="70"/>
      <c r="AF258" s="70"/>
      <c r="AG258" s="70"/>
      <c r="AH258" s="70"/>
      <c r="AI258" s="70"/>
      <c r="AJ258" s="70"/>
    </row>
    <row r="259">
      <c r="A259" s="14" t="s">
        <v>421</v>
      </c>
      <c r="C259" s="72"/>
      <c r="D259" s="72"/>
      <c r="E259" s="36" t="s">
        <v>49</v>
      </c>
      <c r="F259" s="72"/>
    </row>
    <row r="260">
      <c r="A260" s="70"/>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c r="AA260" s="70"/>
      <c r="AB260" s="70"/>
      <c r="AC260" s="70"/>
      <c r="AD260" s="70"/>
      <c r="AE260" s="70"/>
      <c r="AF260" s="70"/>
      <c r="AG260" s="70"/>
      <c r="AH260" s="70"/>
      <c r="AI260" s="70"/>
      <c r="AJ260" s="70"/>
    </row>
    <row r="261">
      <c r="A261" s="14" t="s">
        <v>427</v>
      </c>
      <c r="B261" s="14">
        <v>1.0</v>
      </c>
      <c r="C261" s="14" t="s">
        <v>1331</v>
      </c>
      <c r="D261" s="14" t="s">
        <v>8943</v>
      </c>
      <c r="E261" s="51" t="s">
        <v>53</v>
      </c>
      <c r="F261" s="72"/>
    </row>
    <row r="262">
      <c r="A262" s="14" t="s">
        <v>427</v>
      </c>
      <c r="B262" s="14">
        <v>2.0</v>
      </c>
      <c r="C262" s="14" t="s">
        <v>7173</v>
      </c>
      <c r="D262" s="14" t="s">
        <v>3766</v>
      </c>
      <c r="E262" s="36" t="s">
        <v>49</v>
      </c>
      <c r="F262" s="72"/>
    </row>
    <row r="263">
      <c r="A263" s="14" t="s">
        <v>427</v>
      </c>
      <c r="B263" s="14">
        <v>3.0</v>
      </c>
      <c r="C263" s="14" t="s">
        <v>11737</v>
      </c>
      <c r="D263" s="14" t="s">
        <v>1332</v>
      </c>
      <c r="E263" s="36" t="s">
        <v>49</v>
      </c>
      <c r="F263" s="72"/>
    </row>
    <row r="264">
      <c r="A264" s="14" t="s">
        <v>427</v>
      </c>
      <c r="B264" s="14">
        <v>4.0</v>
      </c>
      <c r="C264" s="14" t="s">
        <v>11738</v>
      </c>
      <c r="D264" s="14" t="s">
        <v>4340</v>
      </c>
      <c r="E264" s="36" t="s">
        <v>49</v>
      </c>
      <c r="F264" s="72"/>
    </row>
    <row r="265">
      <c r="A265" s="14" t="s">
        <v>427</v>
      </c>
      <c r="B265" s="14">
        <v>5.0</v>
      </c>
      <c r="C265" s="14" t="s">
        <v>11740</v>
      </c>
      <c r="D265" s="14" t="s">
        <v>2663</v>
      </c>
      <c r="E265" s="36" t="s">
        <v>49</v>
      </c>
      <c r="F265" s="72"/>
    </row>
    <row r="266">
      <c r="A266" s="14" t="s">
        <v>427</v>
      </c>
      <c r="B266" s="14">
        <v>6.0</v>
      </c>
      <c r="C266" s="59" t="s">
        <v>8286</v>
      </c>
      <c r="D266" s="14" t="s">
        <v>11742</v>
      </c>
      <c r="E266" s="36" t="s">
        <v>49</v>
      </c>
      <c r="F266" s="72"/>
    </row>
    <row r="267">
      <c r="A267" s="14" t="s">
        <v>427</v>
      </c>
      <c r="B267" s="14">
        <v>7.0</v>
      </c>
      <c r="C267" s="14" t="s">
        <v>1446</v>
      </c>
      <c r="D267" s="14" t="s">
        <v>11743</v>
      </c>
      <c r="E267" s="36" t="s">
        <v>49</v>
      </c>
      <c r="F267" s="72"/>
    </row>
    <row r="268">
      <c r="A268" s="14" t="s">
        <v>427</v>
      </c>
      <c r="B268" s="14">
        <v>8.0</v>
      </c>
      <c r="C268" s="14" t="s">
        <v>11744</v>
      </c>
      <c r="D268" s="59" t="s">
        <v>11745</v>
      </c>
      <c r="E268" s="36" t="s">
        <v>49</v>
      </c>
      <c r="F268" s="72"/>
    </row>
    <row r="269">
      <c r="A269" s="14" t="s">
        <v>427</v>
      </c>
      <c r="B269" s="14">
        <v>9.0</v>
      </c>
      <c r="C269" s="14" t="s">
        <v>11746</v>
      </c>
      <c r="D269" s="59" t="s">
        <v>11747</v>
      </c>
      <c r="E269" s="51" t="s">
        <v>53</v>
      </c>
      <c r="F269" s="72"/>
    </row>
    <row r="270">
      <c r="A270" s="14" t="s">
        <v>427</v>
      </c>
      <c r="B270" s="14">
        <v>10.0</v>
      </c>
      <c r="C270" s="14" t="s">
        <v>45</v>
      </c>
      <c r="D270" s="14" t="s">
        <v>1329</v>
      </c>
      <c r="E270" s="51" t="s">
        <v>53</v>
      </c>
      <c r="F270" s="72"/>
    </row>
    <row r="271">
      <c r="A271" s="14" t="s">
        <v>427</v>
      </c>
      <c r="B271" s="14">
        <v>11.0</v>
      </c>
      <c r="C271" s="14" t="s">
        <v>11749</v>
      </c>
      <c r="D271" s="14" t="s">
        <v>11750</v>
      </c>
      <c r="E271" s="51" t="s">
        <v>53</v>
      </c>
      <c r="F271" s="72"/>
    </row>
    <row r="272">
      <c r="A272" s="14" t="s">
        <v>427</v>
      </c>
      <c r="B272" s="14">
        <v>12.0</v>
      </c>
      <c r="C272" s="14" t="s">
        <v>11751</v>
      </c>
      <c r="D272" s="14" t="s">
        <v>11751</v>
      </c>
      <c r="E272" s="51" t="s">
        <v>53</v>
      </c>
      <c r="F272" s="72"/>
    </row>
    <row r="273">
      <c r="A273" s="14" t="s">
        <v>427</v>
      </c>
      <c r="B273" s="14">
        <v>13.0</v>
      </c>
      <c r="C273" s="14" t="s">
        <v>278</v>
      </c>
      <c r="D273" s="14" t="s">
        <v>2426</v>
      </c>
      <c r="E273" s="51" t="s">
        <v>53</v>
      </c>
      <c r="F273" s="72"/>
    </row>
    <row r="274">
      <c r="A274" s="14" t="s">
        <v>427</v>
      </c>
      <c r="B274" s="14">
        <v>14.0</v>
      </c>
      <c r="C274" s="14" t="s">
        <v>6504</v>
      </c>
      <c r="D274" s="14" t="s">
        <v>11681</v>
      </c>
      <c r="E274" s="51" t="s">
        <v>53</v>
      </c>
      <c r="F274" s="72"/>
    </row>
    <row r="275">
      <c r="A275" s="14" t="s">
        <v>427</v>
      </c>
      <c r="B275" s="14">
        <v>15.0</v>
      </c>
      <c r="C275" s="14" t="s">
        <v>3589</v>
      </c>
      <c r="D275" s="14" t="s">
        <v>59</v>
      </c>
      <c r="E275" s="51" t="s">
        <v>53</v>
      </c>
      <c r="F275" s="72"/>
    </row>
    <row r="276">
      <c r="A276" s="14" t="s">
        <v>427</v>
      </c>
      <c r="B276" s="14">
        <v>16.0</v>
      </c>
      <c r="C276" s="14" t="s">
        <v>11752</v>
      </c>
      <c r="D276" s="226" t="s">
        <v>130</v>
      </c>
      <c r="E276" s="51" t="s">
        <v>53</v>
      </c>
      <c r="F276" s="72"/>
    </row>
    <row r="277">
      <c r="A277" s="14" t="s">
        <v>427</v>
      </c>
      <c r="B277" s="14">
        <v>17.0</v>
      </c>
      <c r="C277" s="14" t="s">
        <v>11753</v>
      </c>
      <c r="D277" s="14" t="s">
        <v>11754</v>
      </c>
      <c r="E277" s="36" t="s">
        <v>49</v>
      </c>
      <c r="F277" s="72"/>
    </row>
    <row r="278">
      <c r="A278" s="14" t="s">
        <v>427</v>
      </c>
      <c r="B278" s="14">
        <v>18.0</v>
      </c>
      <c r="C278" s="14" t="s">
        <v>2490</v>
      </c>
      <c r="D278" s="14" t="s">
        <v>11755</v>
      </c>
      <c r="E278" s="36" t="s">
        <v>49</v>
      </c>
      <c r="F278" s="72"/>
    </row>
    <row r="279">
      <c r="A279" s="70"/>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c r="AA279" s="70"/>
      <c r="AB279" s="70"/>
      <c r="AC279" s="70"/>
      <c r="AD279" s="70"/>
      <c r="AE279" s="70"/>
      <c r="AF279" s="70"/>
      <c r="AG279" s="70"/>
      <c r="AH279" s="70"/>
      <c r="AI279" s="70"/>
      <c r="AJ279" s="70"/>
    </row>
    <row r="280">
      <c r="A280" s="14" t="s">
        <v>430</v>
      </c>
      <c r="B280" s="14" t="s">
        <v>434</v>
      </c>
      <c r="C280" s="14" t="s">
        <v>1914</v>
      </c>
      <c r="D280" s="14" t="s">
        <v>11757</v>
      </c>
      <c r="E280" s="51" t="s">
        <v>53</v>
      </c>
      <c r="F280" s="72"/>
    </row>
    <row r="281">
      <c r="A281" s="14" t="s">
        <v>430</v>
      </c>
      <c r="B281" s="14" t="s">
        <v>431</v>
      </c>
      <c r="C281" s="14" t="s">
        <v>1134</v>
      </c>
      <c r="D281" s="14" t="s">
        <v>11759</v>
      </c>
      <c r="E281" s="36" t="s">
        <v>49</v>
      </c>
      <c r="F281" s="72"/>
    </row>
    <row r="282">
      <c r="A282" s="70"/>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c r="AA282" s="70"/>
      <c r="AB282" s="70"/>
      <c r="AC282" s="70"/>
      <c r="AD282" s="70"/>
      <c r="AE282" s="70"/>
      <c r="AF282" s="70"/>
      <c r="AG282" s="70"/>
      <c r="AH282" s="70"/>
      <c r="AI282" s="70"/>
      <c r="AJ282" s="70"/>
    </row>
    <row r="283">
      <c r="A283" s="14" t="s">
        <v>438</v>
      </c>
      <c r="C283" s="72"/>
      <c r="D283" s="72"/>
      <c r="E283" s="36" t="s">
        <v>49</v>
      </c>
      <c r="F283" s="72"/>
    </row>
    <row r="284">
      <c r="A284" s="70"/>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c r="AA284" s="70"/>
      <c r="AB284" s="70"/>
      <c r="AC284" s="70"/>
      <c r="AD284" s="70"/>
      <c r="AE284" s="70"/>
      <c r="AF284" s="70"/>
      <c r="AG284" s="70"/>
      <c r="AH284" s="70"/>
      <c r="AI284" s="70"/>
      <c r="AJ284" s="70"/>
    </row>
  </sheetData>
  <mergeCells count="2">
    <mergeCell ref="L1:M1"/>
    <mergeCell ref="N1:O1"/>
  </mergeCells>
  <conditionalFormatting sqref="E1:E3 G1:G3">
    <cfRule type="containsText" dxfId="0" priority="1" operator="containsText" text="Dem">
      <formula>NOT(ISERROR(SEARCH(("Dem"),(E1))))</formula>
    </cfRule>
  </conditionalFormatting>
  <conditionalFormatting sqref="E1:E1002 G1:G3">
    <cfRule type="containsText" dxfId="1" priority="2" operator="containsText" text="Rep">
      <formula>NOT(ISERROR(SEARCH(("Rep"),(E1))))</formula>
    </cfRule>
  </conditionalFormatting>
  <hyperlinks>
    <hyperlink r:id="rId1" ref="B208"/>
    <hyperlink r:id="rId2" ref="B209"/>
    <hyperlink r:id="rId3" ref="B210"/>
    <hyperlink r:id="rId4" ref="M210"/>
    <hyperlink r:id="rId5" ref="B211"/>
    <hyperlink r:id="rId6" ref="B212"/>
    <hyperlink r:id="rId7" ref="B213"/>
    <hyperlink r:id="rId8" ref="B214"/>
    <hyperlink r:id="rId9" ref="B215"/>
    <hyperlink r:id="rId10" ref="B216"/>
    <hyperlink r:id="rId11" ref="B217"/>
    <hyperlink r:id="rId12" ref="M217"/>
    <hyperlink r:id="rId13" ref="B218"/>
    <hyperlink r:id="rId14" ref="B219"/>
    <hyperlink r:id="rId15" ref="B220"/>
    <hyperlink r:id="rId16" ref="B221"/>
    <hyperlink r:id="rId17" ref="B222"/>
    <hyperlink r:id="rId18" ref="B223"/>
    <hyperlink r:id="rId19" ref="B224"/>
    <hyperlink r:id="rId20" ref="B225"/>
    <hyperlink r:id="rId21" ref="B226"/>
    <hyperlink r:id="rId22" ref="B227"/>
    <hyperlink r:id="rId23" ref="B228"/>
    <hyperlink r:id="rId24" ref="B229"/>
    <hyperlink r:id="rId25" ref="B230"/>
    <hyperlink r:id="rId26" ref="B231"/>
    <hyperlink r:id="rId27" ref="B232"/>
    <hyperlink r:id="rId28" ref="B233"/>
    <hyperlink r:id="rId29" ref="M233"/>
    <hyperlink r:id="rId30" ref="B234"/>
    <hyperlink r:id="rId31" ref="B235"/>
    <hyperlink r:id="rId32" ref="M235"/>
    <hyperlink r:id="rId33" ref="B236"/>
    <hyperlink r:id="rId34" ref="B237"/>
    <hyperlink r:id="rId35" ref="B238"/>
    <hyperlink r:id="rId36" ref="B239"/>
    <hyperlink r:id="rId37" ref="B240"/>
    <hyperlink r:id="rId38" ref="B241"/>
    <hyperlink r:id="rId39" ref="B242"/>
    <hyperlink r:id="rId40" ref="B243"/>
    <hyperlink r:id="rId41" ref="B244"/>
    <hyperlink r:id="rId42" ref="B245"/>
    <hyperlink r:id="rId43" ref="B246"/>
    <hyperlink r:id="rId44" ref="B247"/>
    <hyperlink r:id="rId45" ref="B248"/>
    <hyperlink r:id="rId46" ref="B249"/>
    <hyperlink r:id="rId47" ref="B250"/>
    <hyperlink r:id="rId48" ref="B251"/>
    <hyperlink r:id="rId49" ref="M251"/>
    <hyperlink r:id="rId50" ref="B252"/>
    <hyperlink r:id="rId51" ref="B253"/>
    <hyperlink r:id="rId52" ref="B254"/>
    <hyperlink r:id="rId53" ref="B255"/>
    <hyperlink r:id="rId54" ref="B256"/>
    <hyperlink r:id="rId55" ref="B257"/>
  </hyperlinks>
  <drawing r:id="rId56"/>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1" max="1" width="12.14"/>
    <col customWidth="1" min="2" max="2" width="8.86"/>
    <col customWidth="1" min="3" max="3" width="18.71"/>
    <col customWidth="1" min="7" max="10" width="17.57"/>
  </cols>
  <sheetData>
    <row r="1" ht="15.0" customHeight="1" outlineLevel="1">
      <c r="A1" s="1" t="s">
        <v>0</v>
      </c>
      <c r="B1" s="2" t="s">
        <v>1</v>
      </c>
      <c r="C1" s="671" t="s">
        <v>2</v>
      </c>
      <c r="D1" s="671"/>
      <c r="E1" s="3"/>
      <c r="F1" s="30" t="s">
        <v>1577</v>
      </c>
      <c r="G1" s="430" t="s">
        <v>4</v>
      </c>
      <c r="H1" s="430" t="s">
        <v>5</v>
      </c>
      <c r="I1" s="430" t="s">
        <v>6</v>
      </c>
      <c r="J1" s="430" t="s">
        <v>7</v>
      </c>
      <c r="K1" s="1" t="s">
        <v>8</v>
      </c>
      <c r="L1" s="7" t="s">
        <v>9</v>
      </c>
      <c r="N1" s="10" t="s">
        <v>14</v>
      </c>
      <c r="P1" s="167"/>
      <c r="Q1" s="167"/>
      <c r="R1" s="30"/>
      <c r="S1" s="20"/>
      <c r="T1" s="20"/>
      <c r="U1" s="20"/>
      <c r="V1" s="20"/>
      <c r="W1" s="20"/>
      <c r="X1" s="20"/>
      <c r="Y1" s="20"/>
      <c r="Z1" s="20"/>
      <c r="AA1" s="20"/>
      <c r="AB1" s="20"/>
      <c r="AC1" s="20"/>
      <c r="AD1" s="20"/>
    </row>
    <row r="2" ht="16.5" customHeight="1" outlineLevel="1">
      <c r="A2" s="21" t="s">
        <v>492</v>
      </c>
      <c r="B2" s="21"/>
      <c r="C2" s="673"/>
      <c r="D2" s="674"/>
      <c r="E2" s="3"/>
      <c r="F2" s="168"/>
      <c r="G2" s="437">
        <v>43510.0</v>
      </c>
      <c r="H2" s="21">
        <f>G2-TODAY()</f>
        <v>-225</v>
      </c>
      <c r="I2" s="437">
        <v>43466.0</v>
      </c>
      <c r="J2" s="437">
        <v>43646.0</v>
      </c>
      <c r="K2" s="23"/>
      <c r="L2" s="26">
        <f>CountIFS($E:$E,"=Dem",$A:$A,"=House")</f>
        <v>66</v>
      </c>
      <c r="M2" s="28">
        <f>CountIFS($E:$E,"=Rep",$A:$A,"=House")</f>
        <v>9</v>
      </c>
      <c r="N2" s="26">
        <f>CountIFS($E:$E,"=Dem",$A:$A,"=Senate")</f>
        <v>33</v>
      </c>
      <c r="O2" s="28">
        <f>CountIFS($E:$E,"=Rep",$A:$A,"=Senate")</f>
        <v>5</v>
      </c>
      <c r="P2" s="167"/>
      <c r="Q2" s="167"/>
      <c r="R2" s="30"/>
      <c r="S2" s="20"/>
      <c r="T2" s="20"/>
      <c r="U2" s="20"/>
      <c r="V2" s="20"/>
      <c r="W2" s="20"/>
      <c r="X2" s="20"/>
      <c r="Y2" s="20"/>
      <c r="Z2" s="20"/>
      <c r="AA2" s="20"/>
      <c r="AB2" s="20"/>
      <c r="AC2" s="20"/>
      <c r="AD2" s="20"/>
    </row>
    <row r="3">
      <c r="A3" s="30" t="s">
        <v>29</v>
      </c>
      <c r="B3" s="30" t="s">
        <v>30</v>
      </c>
      <c r="C3" s="671" t="s">
        <v>799</v>
      </c>
      <c r="D3" s="671" t="s">
        <v>800</v>
      </c>
      <c r="E3" s="3" t="s">
        <v>33</v>
      </c>
      <c r="F3" s="1" t="s">
        <v>10</v>
      </c>
      <c r="G3" s="433" t="s">
        <v>34</v>
      </c>
      <c r="H3" s="433" t="s">
        <v>34</v>
      </c>
      <c r="I3" s="433" t="s">
        <v>34</v>
      </c>
      <c r="J3" s="433" t="s">
        <v>34</v>
      </c>
      <c r="K3" s="1" t="s">
        <v>35</v>
      </c>
      <c r="L3" s="19" t="s">
        <v>36</v>
      </c>
      <c r="M3" s="19" t="s">
        <v>37</v>
      </c>
      <c r="N3" s="19" t="s">
        <v>38</v>
      </c>
      <c r="O3" s="17" t="s">
        <v>39</v>
      </c>
      <c r="P3" s="11" t="s">
        <v>40</v>
      </c>
      <c r="Q3" s="11" t="s">
        <v>41</v>
      </c>
      <c r="R3" s="17" t="s">
        <v>42</v>
      </c>
      <c r="S3" s="20"/>
      <c r="T3" s="20"/>
      <c r="U3" s="20"/>
      <c r="V3" s="20"/>
      <c r="W3" s="20"/>
      <c r="X3" s="20"/>
      <c r="Y3" s="20"/>
      <c r="Z3" s="20"/>
      <c r="AA3" s="20"/>
      <c r="AB3" s="20"/>
      <c r="AC3" s="20"/>
      <c r="AD3" s="20"/>
    </row>
    <row r="4">
      <c r="A4" s="678" t="s">
        <v>44</v>
      </c>
      <c r="B4" s="679">
        <v>1.0</v>
      </c>
      <c r="C4" s="680" t="s">
        <v>6339</v>
      </c>
      <c r="D4" s="680" t="s">
        <v>11134</v>
      </c>
      <c r="E4" s="681" t="s">
        <v>49</v>
      </c>
      <c r="G4" s="52"/>
      <c r="H4" s="331"/>
      <c r="I4" s="331"/>
      <c r="J4" s="331"/>
      <c r="L4" s="682" t="s">
        <v>11144</v>
      </c>
      <c r="M4" s="423" t="s">
        <v>11153</v>
      </c>
    </row>
    <row r="5">
      <c r="A5" s="678" t="s">
        <v>44</v>
      </c>
      <c r="B5" s="679">
        <v>2.0</v>
      </c>
      <c r="C5" s="680" t="s">
        <v>575</v>
      </c>
      <c r="D5" s="680" t="s">
        <v>11184</v>
      </c>
      <c r="E5" s="681" t="s">
        <v>49</v>
      </c>
      <c r="F5" s="14" t="s">
        <v>7119</v>
      </c>
      <c r="G5" s="331"/>
      <c r="H5" s="331"/>
      <c r="I5" s="331"/>
      <c r="J5" s="331"/>
      <c r="L5" s="682" t="s">
        <v>11187</v>
      </c>
      <c r="M5" s="423" t="s">
        <v>11188</v>
      </c>
    </row>
    <row r="6">
      <c r="A6" s="678" t="s">
        <v>44</v>
      </c>
      <c r="B6" s="679">
        <v>3.0</v>
      </c>
      <c r="C6" s="680" t="s">
        <v>11192</v>
      </c>
      <c r="D6" s="680" t="s">
        <v>2877</v>
      </c>
      <c r="E6" s="681" t="s">
        <v>49</v>
      </c>
      <c r="G6" s="331"/>
      <c r="H6" s="331"/>
      <c r="I6" s="331"/>
      <c r="J6" s="331"/>
      <c r="L6" s="682" t="s">
        <v>11207</v>
      </c>
      <c r="M6" s="423" t="s">
        <v>11208</v>
      </c>
    </row>
    <row r="7">
      <c r="A7" s="678" t="s">
        <v>44</v>
      </c>
      <c r="B7" s="679">
        <v>4.0</v>
      </c>
      <c r="C7" s="684" t="s">
        <v>1340</v>
      </c>
      <c r="D7" s="684" t="s">
        <v>11222</v>
      </c>
      <c r="E7" s="681" t="s">
        <v>49</v>
      </c>
      <c r="G7" s="331"/>
      <c r="H7" s="331"/>
      <c r="I7" s="331"/>
      <c r="J7" s="331"/>
      <c r="K7" s="685"/>
      <c r="L7" s="686" t="s">
        <v>11238</v>
      </c>
      <c r="M7" s="423" t="str">
        <f>concatenate("rep-",D7,"@rilegislature.gov")</f>
        <v>rep-Kislak@rilegislature.gov</v>
      </c>
    </row>
    <row r="8">
      <c r="A8" s="678" t="s">
        <v>44</v>
      </c>
      <c r="B8" s="679">
        <v>5.0</v>
      </c>
      <c r="C8" s="680" t="s">
        <v>9776</v>
      </c>
      <c r="D8" s="680" t="s">
        <v>11280</v>
      </c>
      <c r="E8" s="681" t="s">
        <v>49</v>
      </c>
      <c r="G8" s="331"/>
      <c r="H8" s="331"/>
      <c r="I8" s="331"/>
      <c r="J8" s="331"/>
      <c r="L8" s="682" t="s">
        <v>11283</v>
      </c>
      <c r="M8" s="423" t="s">
        <v>11284</v>
      </c>
    </row>
    <row r="9">
      <c r="A9" s="678" t="s">
        <v>44</v>
      </c>
      <c r="B9" s="679">
        <v>6.0</v>
      </c>
      <c r="C9" s="680" t="s">
        <v>2609</v>
      </c>
      <c r="D9" s="680" t="s">
        <v>11313</v>
      </c>
      <c r="E9" s="681" t="s">
        <v>49</v>
      </c>
      <c r="G9" s="331"/>
      <c r="H9" s="331"/>
      <c r="I9" s="331"/>
      <c r="J9" s="331"/>
      <c r="L9" s="682" t="s">
        <v>11317</v>
      </c>
      <c r="M9" s="423" t="s">
        <v>11320</v>
      </c>
    </row>
    <row r="10">
      <c r="A10" s="678" t="s">
        <v>44</v>
      </c>
      <c r="B10" s="679">
        <v>7.0</v>
      </c>
      <c r="C10" s="680" t="s">
        <v>552</v>
      </c>
      <c r="D10" s="680" t="s">
        <v>11352</v>
      </c>
      <c r="E10" s="681" t="s">
        <v>49</v>
      </c>
      <c r="G10" s="331"/>
      <c r="H10" s="331"/>
      <c r="I10" s="331"/>
      <c r="J10" s="331"/>
      <c r="L10" s="682" t="s">
        <v>11356</v>
      </c>
      <c r="M10" s="423" t="s">
        <v>11357</v>
      </c>
    </row>
    <row r="11">
      <c r="A11" s="678" t="s">
        <v>44</v>
      </c>
      <c r="B11" s="679">
        <v>8.0</v>
      </c>
      <c r="C11" s="680" t="s">
        <v>278</v>
      </c>
      <c r="D11" s="680" t="s">
        <v>11386</v>
      </c>
      <c r="E11" s="681" t="s">
        <v>49</v>
      </c>
      <c r="G11" s="331"/>
      <c r="H11" s="331"/>
      <c r="I11" s="331"/>
      <c r="J11" s="331"/>
      <c r="L11" s="682" t="s">
        <v>11390</v>
      </c>
      <c r="M11" s="423" t="s">
        <v>11391</v>
      </c>
    </row>
    <row r="12">
      <c r="A12" s="678" t="s">
        <v>44</v>
      </c>
      <c r="B12" s="679">
        <v>9.0</v>
      </c>
      <c r="C12" s="680" t="s">
        <v>11394</v>
      </c>
      <c r="D12" s="680" t="s">
        <v>793</v>
      </c>
      <c r="E12" s="681" t="s">
        <v>49</v>
      </c>
      <c r="G12" s="331"/>
      <c r="H12" s="331"/>
      <c r="I12" s="331"/>
      <c r="J12" s="331"/>
      <c r="L12" s="682" t="s">
        <v>11427</v>
      </c>
      <c r="M12" s="423" t="s">
        <v>11428</v>
      </c>
    </row>
    <row r="13">
      <c r="A13" s="678" t="s">
        <v>44</v>
      </c>
      <c r="B13" s="679">
        <v>10.0</v>
      </c>
      <c r="C13" s="680" t="s">
        <v>45</v>
      </c>
      <c r="D13" s="680" t="s">
        <v>11457</v>
      </c>
      <c r="E13" s="681" t="s">
        <v>49</v>
      </c>
      <c r="G13" s="331"/>
      <c r="H13" s="331"/>
      <c r="I13" s="331"/>
      <c r="J13" s="331"/>
      <c r="L13" s="682" t="s">
        <v>11458</v>
      </c>
      <c r="M13" s="423" t="s">
        <v>11459</v>
      </c>
    </row>
    <row r="14">
      <c r="A14" s="678" t="s">
        <v>44</v>
      </c>
      <c r="B14" s="679">
        <v>11.0</v>
      </c>
      <c r="C14" s="680" t="s">
        <v>2328</v>
      </c>
      <c r="D14" s="680" t="s">
        <v>3338</v>
      </c>
      <c r="E14" s="681" t="s">
        <v>49</v>
      </c>
      <c r="F14" s="14" t="s">
        <v>4744</v>
      </c>
      <c r="G14" s="331"/>
      <c r="H14" s="331"/>
      <c r="I14" s="331"/>
      <c r="J14" s="331"/>
      <c r="L14" s="682" t="s">
        <v>11462</v>
      </c>
      <c r="M14" s="423" t="s">
        <v>11463</v>
      </c>
    </row>
    <row r="15">
      <c r="A15" s="678" t="s">
        <v>44</v>
      </c>
      <c r="B15" s="679">
        <v>12.0</v>
      </c>
      <c r="C15" s="680" t="s">
        <v>2527</v>
      </c>
      <c r="D15" s="680" t="s">
        <v>11469</v>
      </c>
      <c r="E15" s="681" t="s">
        <v>49</v>
      </c>
      <c r="G15" s="52"/>
      <c r="H15" s="331"/>
      <c r="I15" s="331"/>
      <c r="J15" s="331"/>
      <c r="L15" s="682" t="s">
        <v>11470</v>
      </c>
      <c r="M15" s="423" t="s">
        <v>11471</v>
      </c>
    </row>
    <row r="16">
      <c r="A16" s="678" t="s">
        <v>44</v>
      </c>
      <c r="B16" s="679">
        <v>13.0</v>
      </c>
      <c r="C16" s="684" t="s">
        <v>3401</v>
      </c>
      <c r="D16" s="684" t="s">
        <v>1333</v>
      </c>
      <c r="E16" s="681" t="s">
        <v>49</v>
      </c>
      <c r="G16" s="331"/>
      <c r="H16" s="331"/>
      <c r="I16" s="331"/>
      <c r="J16" s="331"/>
      <c r="L16" s="690" t="s">
        <v>11472</v>
      </c>
      <c r="M16" s="423" t="str">
        <f>concatenate("rep-",D16,"@rilegislature.gov")</f>
        <v>rep-Mendez@rilegislature.gov</v>
      </c>
    </row>
    <row r="17">
      <c r="A17" s="678" t="s">
        <v>44</v>
      </c>
      <c r="B17" s="679">
        <v>14.0</v>
      </c>
      <c r="C17" s="680" t="s">
        <v>613</v>
      </c>
      <c r="D17" s="680" t="s">
        <v>11482</v>
      </c>
      <c r="E17" s="681" t="s">
        <v>49</v>
      </c>
      <c r="F17" s="14" t="s">
        <v>11483</v>
      </c>
      <c r="G17" s="331"/>
      <c r="H17" s="331"/>
      <c r="I17" s="331"/>
      <c r="J17" s="331"/>
      <c r="L17" s="682" t="s">
        <v>11484</v>
      </c>
      <c r="M17" s="423" t="s">
        <v>11486</v>
      </c>
    </row>
    <row r="18">
      <c r="A18" s="678" t="s">
        <v>44</v>
      </c>
      <c r="B18" s="679">
        <v>15.0</v>
      </c>
      <c r="C18" s="680" t="s">
        <v>3097</v>
      </c>
      <c r="D18" s="692" t="s">
        <v>11492</v>
      </c>
      <c r="E18" s="681" t="s">
        <v>49</v>
      </c>
      <c r="F18" s="14" t="s">
        <v>1056</v>
      </c>
      <c r="G18" s="331"/>
      <c r="H18" s="331"/>
      <c r="I18" s="331"/>
      <c r="J18" s="331"/>
      <c r="L18" s="682" t="s">
        <v>11495</v>
      </c>
      <c r="M18" s="423" t="s">
        <v>11496</v>
      </c>
    </row>
    <row r="19">
      <c r="A19" s="678" t="s">
        <v>44</v>
      </c>
      <c r="B19" s="679">
        <v>16.0</v>
      </c>
      <c r="C19" s="14" t="s">
        <v>575</v>
      </c>
      <c r="D19" s="692" t="s">
        <v>11497</v>
      </c>
      <c r="E19" s="681" t="s">
        <v>49</v>
      </c>
      <c r="G19" s="331"/>
      <c r="H19" s="331"/>
      <c r="I19" s="331"/>
      <c r="J19" s="331"/>
      <c r="L19" s="686" t="s">
        <v>11498</v>
      </c>
      <c r="M19" s="423" t="str">
        <f>concatenate("rep-",D19,"@rilegislature.gov")</f>
        <v>rep-Millea@rilegislature.gov</v>
      </c>
    </row>
    <row r="20">
      <c r="A20" s="678" t="s">
        <v>44</v>
      </c>
      <c r="B20" s="679">
        <v>17.0</v>
      </c>
      <c r="C20" s="680" t="s">
        <v>1134</v>
      </c>
      <c r="D20" s="680" t="s">
        <v>11506</v>
      </c>
      <c r="E20" s="681" t="s">
        <v>49</v>
      </c>
      <c r="G20" s="331"/>
      <c r="H20" s="331"/>
      <c r="I20" s="331"/>
      <c r="J20" s="331"/>
      <c r="L20" s="682" t="s">
        <v>11507</v>
      </c>
      <c r="M20" s="423" t="s">
        <v>11508</v>
      </c>
    </row>
    <row r="21">
      <c r="A21" s="678" t="s">
        <v>44</v>
      </c>
      <c r="B21" s="679">
        <v>18.0</v>
      </c>
      <c r="C21" s="680" t="s">
        <v>802</v>
      </c>
      <c r="D21" s="680" t="s">
        <v>6102</v>
      </c>
      <c r="E21" s="681" t="s">
        <v>49</v>
      </c>
      <c r="G21" s="331"/>
      <c r="H21" s="331"/>
      <c r="I21" s="331"/>
      <c r="J21" s="331"/>
      <c r="L21" s="682" t="s">
        <v>11512</v>
      </c>
      <c r="M21" s="423" t="s">
        <v>11513</v>
      </c>
    </row>
    <row r="22">
      <c r="A22" s="678" t="s">
        <v>44</v>
      </c>
      <c r="B22" s="679">
        <v>19.0</v>
      </c>
      <c r="C22" s="680" t="s">
        <v>2527</v>
      </c>
      <c r="D22" s="680" t="s">
        <v>4777</v>
      </c>
      <c r="E22" s="681" t="s">
        <v>49</v>
      </c>
      <c r="G22" s="331"/>
      <c r="H22" s="331"/>
      <c r="I22" s="331"/>
      <c r="J22" s="331"/>
      <c r="L22" s="682" t="s">
        <v>11517</v>
      </c>
      <c r="M22" s="423" t="s">
        <v>11518</v>
      </c>
    </row>
    <row r="23">
      <c r="A23" s="678" t="s">
        <v>44</v>
      </c>
      <c r="B23" s="679">
        <v>20.0</v>
      </c>
      <c r="C23" s="680" t="s">
        <v>108</v>
      </c>
      <c r="D23" s="680" t="s">
        <v>2763</v>
      </c>
      <c r="E23" s="681" t="s">
        <v>49</v>
      </c>
      <c r="G23" s="331"/>
      <c r="H23" s="331"/>
      <c r="I23" s="331"/>
      <c r="J23" s="331"/>
      <c r="L23" s="682" t="s">
        <v>11525</v>
      </c>
      <c r="M23" s="423" t="s">
        <v>11526</v>
      </c>
    </row>
    <row r="24">
      <c r="A24" s="678" t="s">
        <v>44</v>
      </c>
      <c r="B24" s="679">
        <v>21.0</v>
      </c>
      <c r="C24" s="680" t="s">
        <v>4335</v>
      </c>
      <c r="D24" s="680" t="s">
        <v>4732</v>
      </c>
      <c r="E24" s="681" t="s">
        <v>49</v>
      </c>
      <c r="G24" s="331"/>
      <c r="H24" s="331"/>
      <c r="I24" s="331"/>
      <c r="J24" s="331"/>
      <c r="L24" s="682" t="s">
        <v>11534</v>
      </c>
      <c r="M24" s="423" t="s">
        <v>11535</v>
      </c>
    </row>
    <row r="25">
      <c r="A25" s="678" t="s">
        <v>44</v>
      </c>
      <c r="B25" s="679">
        <v>22.0</v>
      </c>
      <c r="C25" s="680" t="s">
        <v>2527</v>
      </c>
      <c r="D25" s="692" t="s">
        <v>6284</v>
      </c>
      <c r="E25" s="681" t="s">
        <v>49</v>
      </c>
      <c r="G25" s="331"/>
      <c r="H25" s="331"/>
      <c r="I25" s="331"/>
      <c r="J25" s="331"/>
      <c r="L25" s="682" t="s">
        <v>11542</v>
      </c>
      <c r="M25" s="423" t="s">
        <v>11543</v>
      </c>
    </row>
    <row r="26">
      <c r="A26" s="678" t="s">
        <v>44</v>
      </c>
      <c r="B26" s="679">
        <v>23.0</v>
      </c>
      <c r="C26" s="680" t="s">
        <v>2527</v>
      </c>
      <c r="D26" s="680" t="s">
        <v>11544</v>
      </c>
      <c r="E26" s="681" t="s">
        <v>49</v>
      </c>
      <c r="F26" s="14" t="s">
        <v>176</v>
      </c>
      <c r="G26" s="331"/>
      <c r="H26" s="331"/>
      <c r="I26" s="331"/>
      <c r="J26" s="331"/>
      <c r="L26" s="682" t="s">
        <v>11545</v>
      </c>
      <c r="M26" s="423" t="s">
        <v>11546</v>
      </c>
    </row>
    <row r="27">
      <c r="A27" s="678" t="s">
        <v>44</v>
      </c>
      <c r="B27" s="679">
        <v>24.0</v>
      </c>
      <c r="C27" s="680" t="s">
        <v>1541</v>
      </c>
      <c r="D27" s="680" t="s">
        <v>11550</v>
      </c>
      <c r="E27" s="681" t="s">
        <v>49</v>
      </c>
      <c r="G27" s="331"/>
      <c r="H27" s="331"/>
      <c r="I27" s="331"/>
      <c r="J27" s="331"/>
      <c r="L27" s="682" t="s">
        <v>11551</v>
      </c>
      <c r="M27" s="423" t="s">
        <v>11553</v>
      </c>
    </row>
    <row r="28">
      <c r="A28" s="678" t="s">
        <v>44</v>
      </c>
      <c r="B28" s="679">
        <v>25.0</v>
      </c>
      <c r="C28" s="14" t="s">
        <v>561</v>
      </c>
      <c r="D28" s="692" t="s">
        <v>11555</v>
      </c>
      <c r="E28" s="681" t="s">
        <v>49</v>
      </c>
      <c r="G28" s="331"/>
      <c r="H28" s="331"/>
      <c r="I28" s="331"/>
      <c r="J28" s="331"/>
      <c r="L28" s="690" t="s">
        <v>11557</v>
      </c>
      <c r="M28" s="423" t="str">
        <f t="shared" ref="M28:M29" si="1">concatenate("rep-",D28,"@rilegislature.gov")</f>
        <v>rep-Noret@rilegislature.gov</v>
      </c>
    </row>
    <row r="29">
      <c r="A29" s="678" t="s">
        <v>44</v>
      </c>
      <c r="B29" s="679">
        <v>26.0</v>
      </c>
      <c r="C29" s="14" t="s">
        <v>930</v>
      </c>
      <c r="D29" s="692" t="s">
        <v>567</v>
      </c>
      <c r="E29" s="681" t="s">
        <v>49</v>
      </c>
      <c r="G29" s="331"/>
      <c r="H29" s="331"/>
      <c r="I29" s="331"/>
      <c r="J29" s="331"/>
      <c r="L29" s="690" t="s">
        <v>11560</v>
      </c>
      <c r="M29" s="423" t="str">
        <f t="shared" si="1"/>
        <v>rep-Jackson@rilegislature.gov</v>
      </c>
    </row>
    <row r="30">
      <c r="A30" s="678" t="s">
        <v>44</v>
      </c>
      <c r="B30" s="679">
        <v>27.0</v>
      </c>
      <c r="C30" s="692" t="s">
        <v>2249</v>
      </c>
      <c r="D30" s="680" t="s">
        <v>11561</v>
      </c>
      <c r="E30" s="681" t="s">
        <v>49</v>
      </c>
      <c r="G30" s="331"/>
      <c r="H30" s="331"/>
      <c r="I30" s="331"/>
      <c r="J30" s="331"/>
      <c r="L30" s="682" t="s">
        <v>11562</v>
      </c>
      <c r="M30" s="423" t="s">
        <v>11563</v>
      </c>
    </row>
    <row r="31">
      <c r="A31" s="678" t="s">
        <v>44</v>
      </c>
      <c r="B31" s="679">
        <v>28.0</v>
      </c>
      <c r="C31" s="14" t="s">
        <v>98</v>
      </c>
      <c r="D31" s="692" t="s">
        <v>11564</v>
      </c>
      <c r="E31" s="694" t="s">
        <v>53</v>
      </c>
      <c r="G31" s="331"/>
      <c r="H31" s="331"/>
      <c r="I31" s="331"/>
      <c r="J31" s="331"/>
      <c r="L31" s="682" t="s">
        <v>11569</v>
      </c>
      <c r="M31" s="423" t="str">
        <f>concatenate("rep-",D31,"@rilegislature.gov")</f>
        <v>rep-Nardone@rilegislature.gov</v>
      </c>
    </row>
    <row r="32">
      <c r="A32" s="678" t="s">
        <v>44</v>
      </c>
      <c r="B32" s="679">
        <v>29.0</v>
      </c>
      <c r="C32" s="680" t="s">
        <v>2593</v>
      </c>
      <c r="D32" s="680" t="s">
        <v>788</v>
      </c>
      <c r="E32" s="694" t="s">
        <v>53</v>
      </c>
      <c r="G32" s="331"/>
      <c r="H32" s="331"/>
      <c r="I32" s="331"/>
      <c r="J32" s="331"/>
      <c r="L32" s="682" t="s">
        <v>11573</v>
      </c>
      <c r="M32" s="423" t="s">
        <v>11574</v>
      </c>
    </row>
    <row r="33">
      <c r="A33" s="678" t="s">
        <v>44</v>
      </c>
      <c r="B33" s="679">
        <v>30.0</v>
      </c>
      <c r="C33" s="14" t="s">
        <v>11575</v>
      </c>
      <c r="D33" s="692" t="s">
        <v>2230</v>
      </c>
      <c r="E33" s="681" t="s">
        <v>49</v>
      </c>
      <c r="G33" s="331"/>
      <c r="H33" s="331"/>
      <c r="I33" s="331"/>
      <c r="J33" s="331"/>
      <c r="L33" s="690" t="s">
        <v>11576</v>
      </c>
      <c r="M33" s="423" t="str">
        <f>concatenate("rep-",D33,"@rilegislature.gov")</f>
        <v>rep-Caldwell@rilegislature.gov</v>
      </c>
    </row>
    <row r="34">
      <c r="A34" s="678" t="s">
        <v>44</v>
      </c>
      <c r="B34" s="679">
        <v>31.0</v>
      </c>
      <c r="C34" s="692" t="s">
        <v>2133</v>
      </c>
      <c r="D34" s="680" t="s">
        <v>11579</v>
      </c>
      <c r="E34" s="681" t="s">
        <v>49</v>
      </c>
      <c r="G34" s="331"/>
      <c r="H34" s="331"/>
      <c r="I34" s="331"/>
      <c r="J34" s="331"/>
      <c r="L34" s="682" t="s">
        <v>11580</v>
      </c>
      <c r="M34" s="423" t="s">
        <v>11581</v>
      </c>
    </row>
    <row r="35">
      <c r="A35" s="678" t="s">
        <v>44</v>
      </c>
      <c r="B35" s="679">
        <v>32.0</v>
      </c>
      <c r="C35" s="680" t="s">
        <v>1134</v>
      </c>
      <c r="D35" s="680" t="s">
        <v>6108</v>
      </c>
      <c r="E35" s="681" t="s">
        <v>49</v>
      </c>
      <c r="G35" s="331"/>
      <c r="H35" s="331"/>
      <c r="I35" s="331"/>
      <c r="J35" s="331"/>
      <c r="L35" s="682" t="s">
        <v>11584</v>
      </c>
      <c r="M35" s="423" t="s">
        <v>11585</v>
      </c>
    </row>
    <row r="36">
      <c r="A36" s="678" t="s">
        <v>44</v>
      </c>
      <c r="B36" s="679">
        <v>33.0</v>
      </c>
      <c r="C36" s="680" t="s">
        <v>801</v>
      </c>
      <c r="D36" s="680" t="s">
        <v>11591</v>
      </c>
      <c r="E36" s="681" t="s">
        <v>49</v>
      </c>
      <c r="G36" s="331"/>
      <c r="H36" s="331"/>
      <c r="I36" s="331"/>
      <c r="J36" s="331"/>
      <c r="L36" s="682" t="s">
        <v>11592</v>
      </c>
      <c r="M36" s="423" t="s">
        <v>11593</v>
      </c>
    </row>
    <row r="37">
      <c r="A37" s="678" t="s">
        <v>44</v>
      </c>
      <c r="B37" s="679">
        <v>34.0</v>
      </c>
      <c r="C37" s="680" t="s">
        <v>493</v>
      </c>
      <c r="D37" s="680" t="s">
        <v>11597</v>
      </c>
      <c r="E37" s="681" t="s">
        <v>49</v>
      </c>
      <c r="G37" s="331"/>
      <c r="H37" s="331"/>
      <c r="I37" s="331"/>
      <c r="J37" s="331"/>
      <c r="L37" s="682" t="s">
        <v>11598</v>
      </c>
      <c r="M37" s="423" t="s">
        <v>11599</v>
      </c>
    </row>
    <row r="38">
      <c r="A38" s="678" t="s">
        <v>44</v>
      </c>
      <c r="B38" s="679">
        <v>35.0</v>
      </c>
      <c r="C38" s="680" t="s">
        <v>2554</v>
      </c>
      <c r="D38" s="680" t="s">
        <v>11604</v>
      </c>
      <c r="E38" s="681" t="s">
        <v>49</v>
      </c>
      <c r="G38" s="331"/>
      <c r="H38" s="331"/>
      <c r="I38" s="331"/>
      <c r="J38" s="331"/>
      <c r="L38" s="682" t="s">
        <v>11356</v>
      </c>
      <c r="M38" s="423" t="s">
        <v>11605</v>
      </c>
    </row>
    <row r="39">
      <c r="A39" s="678" t="s">
        <v>44</v>
      </c>
      <c r="B39" s="679">
        <v>36.0</v>
      </c>
      <c r="C39" s="680" t="s">
        <v>1288</v>
      </c>
      <c r="D39" s="692" t="s">
        <v>11611</v>
      </c>
      <c r="E39" s="694" t="s">
        <v>53</v>
      </c>
      <c r="F39" s="14" t="s">
        <v>498</v>
      </c>
      <c r="G39" s="331"/>
      <c r="H39" s="331"/>
      <c r="I39" s="331"/>
      <c r="J39" s="331"/>
      <c r="L39" s="682" t="s">
        <v>11356</v>
      </c>
      <c r="M39" s="423" t="s">
        <v>11612</v>
      </c>
    </row>
    <row r="40">
      <c r="A40" s="678" t="s">
        <v>44</v>
      </c>
      <c r="B40" s="679">
        <v>37.0</v>
      </c>
      <c r="C40" s="680" t="s">
        <v>3668</v>
      </c>
      <c r="D40" s="680" t="s">
        <v>11613</v>
      </c>
      <c r="E40" s="681" t="s">
        <v>49</v>
      </c>
      <c r="G40" s="331"/>
      <c r="H40" s="331"/>
      <c r="I40" s="331"/>
      <c r="J40" s="331"/>
      <c r="L40" s="682" t="s">
        <v>11614</v>
      </c>
      <c r="M40" s="423" t="s">
        <v>11615</v>
      </c>
    </row>
    <row r="41">
      <c r="A41" s="678" t="s">
        <v>44</v>
      </c>
      <c r="B41" s="679">
        <v>38.0</v>
      </c>
      <c r="C41" s="680" t="s">
        <v>1331</v>
      </c>
      <c r="D41" s="680" t="s">
        <v>1791</v>
      </c>
      <c r="E41" s="681" t="s">
        <v>49</v>
      </c>
      <c r="F41" s="14" t="s">
        <v>11620</v>
      </c>
      <c r="G41" s="331"/>
      <c r="H41" s="331"/>
      <c r="I41" s="331"/>
      <c r="J41" s="331"/>
      <c r="L41" s="682" t="s">
        <v>11621</v>
      </c>
      <c r="M41" s="423" t="s">
        <v>11622</v>
      </c>
    </row>
    <row r="42">
      <c r="A42" s="678" t="s">
        <v>44</v>
      </c>
      <c r="B42" s="679">
        <v>39.0</v>
      </c>
      <c r="C42" s="680" t="s">
        <v>786</v>
      </c>
      <c r="D42" s="680" t="s">
        <v>906</v>
      </c>
      <c r="E42" s="694" t="s">
        <v>53</v>
      </c>
      <c r="G42" s="331"/>
      <c r="H42" s="331"/>
      <c r="I42" s="331"/>
      <c r="J42" s="331"/>
      <c r="L42" s="682" t="s">
        <v>11573</v>
      </c>
      <c r="M42" s="423" t="s">
        <v>11625</v>
      </c>
    </row>
    <row r="43">
      <c r="A43" s="678" t="s">
        <v>44</v>
      </c>
      <c r="B43" s="679">
        <v>40.0</v>
      </c>
      <c r="C43" s="680" t="s">
        <v>2490</v>
      </c>
      <c r="D43" s="680" t="s">
        <v>11626</v>
      </c>
      <c r="E43" s="694" t="s">
        <v>53</v>
      </c>
      <c r="F43" s="14" t="s">
        <v>2004</v>
      </c>
      <c r="G43" s="331"/>
      <c r="H43" s="331"/>
      <c r="I43" s="331"/>
      <c r="J43" s="331"/>
      <c r="L43" s="682" t="s">
        <v>11627</v>
      </c>
      <c r="M43" s="423" t="s">
        <v>11628</v>
      </c>
    </row>
    <row r="44">
      <c r="A44" s="678" t="s">
        <v>44</v>
      </c>
      <c r="B44" s="679">
        <v>41.0</v>
      </c>
      <c r="C44" s="680" t="s">
        <v>1134</v>
      </c>
      <c r="D44" s="680" t="s">
        <v>11633</v>
      </c>
      <c r="E44" s="694" t="s">
        <v>53</v>
      </c>
      <c r="G44" s="331"/>
      <c r="H44" s="331"/>
      <c r="I44" s="331"/>
      <c r="J44" s="331"/>
      <c r="L44" s="682" t="s">
        <v>11634</v>
      </c>
      <c r="M44" s="423" t="s">
        <v>11635</v>
      </c>
    </row>
    <row r="45">
      <c r="A45" s="678" t="s">
        <v>44</v>
      </c>
      <c r="B45" s="679">
        <v>42.0</v>
      </c>
      <c r="C45" s="680" t="s">
        <v>1505</v>
      </c>
      <c r="D45" s="680" t="s">
        <v>11640</v>
      </c>
      <c r="E45" s="681" t="s">
        <v>49</v>
      </c>
      <c r="G45" s="331"/>
      <c r="H45" s="331"/>
      <c r="I45" s="331"/>
      <c r="J45" s="331"/>
      <c r="L45" s="682" t="s">
        <v>11641</v>
      </c>
      <c r="M45" s="423" t="s">
        <v>11642</v>
      </c>
    </row>
    <row r="46">
      <c r="A46" s="678" t="s">
        <v>44</v>
      </c>
      <c r="B46" s="679">
        <v>43.0</v>
      </c>
      <c r="C46" s="680" t="s">
        <v>1395</v>
      </c>
      <c r="D46" s="680" t="s">
        <v>11646</v>
      </c>
      <c r="E46" s="681" t="s">
        <v>49</v>
      </c>
      <c r="G46" s="331"/>
      <c r="H46" s="331"/>
      <c r="I46" s="331"/>
      <c r="J46" s="331"/>
      <c r="L46" s="682" t="s">
        <v>11647</v>
      </c>
      <c r="M46" s="423" t="s">
        <v>11648</v>
      </c>
    </row>
    <row r="47">
      <c r="A47" s="678" t="s">
        <v>44</v>
      </c>
      <c r="B47" s="679">
        <v>44.0</v>
      </c>
      <c r="C47" s="680" t="s">
        <v>823</v>
      </c>
      <c r="D47" s="680" t="s">
        <v>11652</v>
      </c>
      <c r="E47" s="681" t="s">
        <v>49</v>
      </c>
      <c r="G47" s="331"/>
      <c r="H47" s="331"/>
      <c r="I47" s="331"/>
      <c r="J47" s="331"/>
      <c r="L47" s="682" t="s">
        <v>11653</v>
      </c>
      <c r="M47" s="423" t="s">
        <v>11654</v>
      </c>
    </row>
    <row r="48">
      <c r="A48" s="678" t="s">
        <v>44</v>
      </c>
      <c r="B48" s="679">
        <v>45.0</v>
      </c>
      <c r="C48" s="680" t="s">
        <v>344</v>
      </c>
      <c r="D48" s="680" t="s">
        <v>11659</v>
      </c>
      <c r="E48" s="681" t="s">
        <v>49</v>
      </c>
      <c r="G48" s="331"/>
      <c r="H48" s="331"/>
      <c r="I48" s="331"/>
      <c r="J48" s="331"/>
      <c r="L48" s="682" t="s">
        <v>11660</v>
      </c>
      <c r="M48" s="423" t="s">
        <v>11661</v>
      </c>
    </row>
    <row r="49">
      <c r="A49" s="678" t="s">
        <v>44</v>
      </c>
      <c r="B49" s="679">
        <v>46.0</v>
      </c>
      <c r="C49" s="14" t="s">
        <v>11662</v>
      </c>
      <c r="D49" s="692" t="s">
        <v>11663</v>
      </c>
      <c r="E49" s="694" t="s">
        <v>53</v>
      </c>
      <c r="G49" s="331"/>
      <c r="H49" s="331"/>
      <c r="I49" s="331"/>
      <c r="J49" s="331"/>
      <c r="L49" s="690" t="s">
        <v>11664</v>
      </c>
      <c r="M49" s="423" t="str">
        <f t="shared" ref="M49:M50" si="2">concatenate("rep-",D49,"@rilegislature.gov")</f>
        <v>rep-Lyle@rilegislature.gov</v>
      </c>
    </row>
    <row r="50">
      <c r="A50" s="678" t="s">
        <v>44</v>
      </c>
      <c r="B50" s="679">
        <v>47.0</v>
      </c>
      <c r="C50" s="14" t="s">
        <v>108</v>
      </c>
      <c r="D50" s="692" t="s">
        <v>11668</v>
      </c>
      <c r="E50" s="694" t="s">
        <v>53</v>
      </c>
      <c r="G50" s="331"/>
      <c r="H50" s="331"/>
      <c r="I50" s="331"/>
      <c r="J50" s="331"/>
      <c r="L50" s="686" t="s">
        <v>11669</v>
      </c>
      <c r="M50" s="423" t="str">
        <f t="shared" si="2"/>
        <v>rep-Place@rilegislature.gov</v>
      </c>
    </row>
    <row r="51">
      <c r="A51" s="678" t="s">
        <v>44</v>
      </c>
      <c r="B51" s="679">
        <v>48.0</v>
      </c>
      <c r="C51" s="680" t="s">
        <v>1331</v>
      </c>
      <c r="D51" s="680" t="s">
        <v>11674</v>
      </c>
      <c r="E51" s="694" t="s">
        <v>53</v>
      </c>
      <c r="G51" s="331"/>
      <c r="H51" s="331"/>
      <c r="I51" s="331"/>
      <c r="J51" s="331"/>
      <c r="L51" s="682" t="s">
        <v>11573</v>
      </c>
      <c r="M51" s="423" t="s">
        <v>11675</v>
      </c>
    </row>
    <row r="52">
      <c r="A52" s="678" t="s">
        <v>44</v>
      </c>
      <c r="B52" s="679">
        <v>49.0</v>
      </c>
      <c r="C52" s="680" t="s">
        <v>2490</v>
      </c>
      <c r="D52" s="680" t="s">
        <v>2538</v>
      </c>
      <c r="E52" s="681" t="s">
        <v>49</v>
      </c>
      <c r="G52" s="331"/>
      <c r="H52" s="331"/>
      <c r="I52" s="331"/>
      <c r="J52" s="331"/>
      <c r="L52" s="682" t="s">
        <v>11679</v>
      </c>
      <c r="M52" s="423" t="s">
        <v>11680</v>
      </c>
    </row>
    <row r="53">
      <c r="A53" s="678" t="s">
        <v>44</v>
      </c>
      <c r="B53" s="679">
        <v>50.0</v>
      </c>
      <c r="C53" s="680" t="s">
        <v>1505</v>
      </c>
      <c r="D53" s="680" t="s">
        <v>8242</v>
      </c>
      <c r="E53" s="681" t="s">
        <v>49</v>
      </c>
      <c r="G53" s="331"/>
      <c r="H53" s="331"/>
      <c r="I53" s="331"/>
      <c r="J53" s="331"/>
      <c r="L53" s="682" t="s">
        <v>11683</v>
      </c>
      <c r="M53" s="423" t="s">
        <v>11684</v>
      </c>
    </row>
    <row r="54">
      <c r="A54" s="678" t="s">
        <v>44</v>
      </c>
      <c r="B54" s="679">
        <v>51.0</v>
      </c>
      <c r="C54" s="680" t="s">
        <v>1134</v>
      </c>
      <c r="D54" s="680" t="s">
        <v>5085</v>
      </c>
      <c r="E54" s="681" t="s">
        <v>49</v>
      </c>
      <c r="G54" s="331"/>
      <c r="H54" s="331"/>
      <c r="I54" s="331"/>
      <c r="J54" s="331"/>
      <c r="L54" s="682" t="s">
        <v>11688</v>
      </c>
      <c r="M54" s="423" t="s">
        <v>11689</v>
      </c>
    </row>
    <row r="55">
      <c r="A55" s="678" t="s">
        <v>44</v>
      </c>
      <c r="B55" s="679">
        <v>52.0</v>
      </c>
      <c r="C55" s="680" t="s">
        <v>1642</v>
      </c>
      <c r="D55" s="680" t="s">
        <v>11695</v>
      </c>
      <c r="E55" s="681" t="s">
        <v>49</v>
      </c>
      <c r="G55" s="331"/>
      <c r="H55" s="331"/>
      <c r="I55" s="331"/>
      <c r="J55" s="331"/>
      <c r="L55" s="682" t="s">
        <v>11696</v>
      </c>
      <c r="M55" s="423" t="s">
        <v>11697</v>
      </c>
    </row>
    <row r="56">
      <c r="A56" s="678" t="s">
        <v>44</v>
      </c>
      <c r="B56" s="679">
        <v>53.0</v>
      </c>
      <c r="C56" s="14" t="s">
        <v>5825</v>
      </c>
      <c r="D56" s="692" t="s">
        <v>3233</v>
      </c>
      <c r="E56" s="681" t="s">
        <v>49</v>
      </c>
      <c r="G56" s="331"/>
      <c r="H56" s="331"/>
      <c r="I56" s="331"/>
      <c r="J56" s="331"/>
      <c r="L56" s="690" t="s">
        <v>11698</v>
      </c>
      <c r="M56" s="423" t="str">
        <f>concatenate("rep-",D56,"@rilegislature.gov")</f>
        <v>rep-Hawkins@rilegislature.gov</v>
      </c>
    </row>
    <row r="57">
      <c r="A57" s="678" t="s">
        <v>44</v>
      </c>
      <c r="B57" s="679">
        <v>54.0</v>
      </c>
      <c r="C57" s="680" t="s">
        <v>1058</v>
      </c>
      <c r="D57" s="680" t="s">
        <v>10256</v>
      </c>
      <c r="E57" s="681" t="s">
        <v>49</v>
      </c>
      <c r="G57" s="331"/>
      <c r="H57" s="331"/>
      <c r="I57" s="331"/>
      <c r="J57" s="331"/>
      <c r="L57" s="682" t="s">
        <v>11708</v>
      </c>
      <c r="M57" s="423" t="s">
        <v>11709</v>
      </c>
    </row>
    <row r="58">
      <c r="A58" s="678" t="s">
        <v>44</v>
      </c>
      <c r="B58" s="679">
        <v>55.0</v>
      </c>
      <c r="C58" s="680" t="s">
        <v>802</v>
      </c>
      <c r="D58" s="680" t="s">
        <v>11714</v>
      </c>
      <c r="E58" s="681" t="s">
        <v>49</v>
      </c>
      <c r="G58" s="331"/>
      <c r="H58" s="331"/>
      <c r="I58" s="331"/>
      <c r="J58" s="331"/>
      <c r="L58" s="682" t="s">
        <v>11717</v>
      </c>
      <c r="M58" s="423" t="s">
        <v>11718</v>
      </c>
    </row>
    <row r="59">
      <c r="A59" s="678" t="s">
        <v>44</v>
      </c>
      <c r="B59" s="679">
        <v>56.0</v>
      </c>
      <c r="C59" s="680" t="s">
        <v>454</v>
      </c>
      <c r="D59" s="680" t="s">
        <v>11724</v>
      </c>
      <c r="E59" s="681" t="s">
        <v>49</v>
      </c>
      <c r="G59" s="331"/>
      <c r="H59" s="331"/>
      <c r="I59" s="331"/>
      <c r="J59" s="331"/>
      <c r="L59" s="682" t="s">
        <v>11356</v>
      </c>
      <c r="M59" s="423" t="s">
        <v>11727</v>
      </c>
    </row>
    <row r="60">
      <c r="A60" s="678" t="s">
        <v>44</v>
      </c>
      <c r="B60" s="679">
        <v>57.0</v>
      </c>
      <c r="C60" s="680" t="s">
        <v>930</v>
      </c>
      <c r="D60" s="680" t="s">
        <v>11731</v>
      </c>
      <c r="E60" s="681" t="s">
        <v>49</v>
      </c>
      <c r="G60" s="331"/>
      <c r="H60" s="331"/>
      <c r="I60" s="331"/>
      <c r="J60" s="331"/>
      <c r="L60" s="682" t="s">
        <v>11732</v>
      </c>
      <c r="M60" s="423" t="s">
        <v>11733</v>
      </c>
    </row>
    <row r="61">
      <c r="A61" s="678" t="s">
        <v>44</v>
      </c>
      <c r="B61" s="679">
        <v>58.0</v>
      </c>
      <c r="C61" s="680" t="s">
        <v>2975</v>
      </c>
      <c r="D61" s="680" t="s">
        <v>11739</v>
      </c>
      <c r="E61" s="681" t="s">
        <v>49</v>
      </c>
      <c r="G61" s="331"/>
      <c r="H61" s="331"/>
      <c r="I61" s="331"/>
      <c r="J61" s="331"/>
      <c r="L61" s="682" t="s">
        <v>11356</v>
      </c>
      <c r="M61" s="423" t="s">
        <v>11741</v>
      </c>
    </row>
    <row r="62">
      <c r="A62" s="678" t="s">
        <v>44</v>
      </c>
      <c r="B62" s="679">
        <v>59.0</v>
      </c>
      <c r="C62" s="680" t="s">
        <v>837</v>
      </c>
      <c r="D62" s="680" t="s">
        <v>11756</v>
      </c>
      <c r="E62" s="681" t="s">
        <v>49</v>
      </c>
      <c r="G62" s="331"/>
      <c r="H62" s="331"/>
      <c r="I62" s="331"/>
      <c r="J62" s="331"/>
      <c r="L62" s="682" t="s">
        <v>11356</v>
      </c>
      <c r="M62" s="423" t="s">
        <v>11758</v>
      </c>
    </row>
    <row r="63">
      <c r="A63" s="678" t="s">
        <v>44</v>
      </c>
      <c r="B63" s="679">
        <v>60.0</v>
      </c>
      <c r="C63" s="14" t="s">
        <v>1153</v>
      </c>
      <c r="D63" s="692" t="s">
        <v>11760</v>
      </c>
      <c r="E63" s="681" t="s">
        <v>49</v>
      </c>
      <c r="G63" s="331"/>
      <c r="H63" s="331"/>
      <c r="I63" s="331"/>
      <c r="J63" s="331"/>
      <c r="L63" s="690" t="s">
        <v>11761</v>
      </c>
      <c r="M63" s="423" t="str">
        <f>concatenate("rep-",D63,"@rilegislature.gov")</f>
        <v>rep-Alzate@rilegislature.gov</v>
      </c>
    </row>
    <row r="64">
      <c r="A64" s="678" t="s">
        <v>44</v>
      </c>
      <c r="B64" s="679">
        <v>61.0</v>
      </c>
      <c r="C64" s="680" t="s">
        <v>2609</v>
      </c>
      <c r="D64" s="680" t="s">
        <v>194</v>
      </c>
      <c r="E64" s="681" t="s">
        <v>49</v>
      </c>
      <c r="G64" s="331"/>
      <c r="H64" s="331"/>
      <c r="I64" s="331"/>
      <c r="J64" s="331"/>
      <c r="L64" s="682" t="s">
        <v>11766</v>
      </c>
      <c r="M64" s="423" t="s">
        <v>11767</v>
      </c>
    </row>
    <row r="65">
      <c r="A65" s="678" t="s">
        <v>44</v>
      </c>
      <c r="B65" s="679">
        <v>62.0</v>
      </c>
      <c r="C65" s="680" t="s">
        <v>514</v>
      </c>
      <c r="D65" s="680" t="s">
        <v>11773</v>
      </c>
      <c r="E65" s="681" t="s">
        <v>49</v>
      </c>
      <c r="G65" s="331"/>
      <c r="H65" s="331"/>
      <c r="I65" s="331"/>
      <c r="J65" s="331"/>
      <c r="L65" s="682" t="s">
        <v>11774</v>
      </c>
      <c r="M65" s="423" t="s">
        <v>11775</v>
      </c>
    </row>
    <row r="66">
      <c r="A66" s="678" t="s">
        <v>44</v>
      </c>
      <c r="B66" s="679">
        <v>63.0</v>
      </c>
      <c r="C66" s="680" t="s">
        <v>6494</v>
      </c>
      <c r="D66" s="680" t="s">
        <v>11776</v>
      </c>
      <c r="E66" s="681" t="s">
        <v>49</v>
      </c>
      <c r="G66" s="331"/>
      <c r="H66" s="331"/>
      <c r="I66" s="331"/>
      <c r="J66" s="331"/>
      <c r="L66" s="682" t="s">
        <v>11777</v>
      </c>
      <c r="M66" s="423" t="s">
        <v>11778</v>
      </c>
    </row>
    <row r="67">
      <c r="A67" s="678" t="s">
        <v>44</v>
      </c>
      <c r="B67" s="679">
        <v>64.0</v>
      </c>
      <c r="C67" s="14" t="s">
        <v>1823</v>
      </c>
      <c r="D67" s="692" t="s">
        <v>11779</v>
      </c>
      <c r="E67" s="681" t="s">
        <v>49</v>
      </c>
      <c r="G67" s="331"/>
      <c r="H67" s="331"/>
      <c r="I67" s="331"/>
      <c r="J67" s="331"/>
      <c r="L67" s="690" t="s">
        <v>11780</v>
      </c>
      <c r="M67" s="423" t="str">
        <f>concatenate("rep-",D67,"@rilegislature.gov")</f>
        <v>rep-Serodio@rilegislature.gov</v>
      </c>
    </row>
    <row r="68">
      <c r="A68" s="678" t="s">
        <v>44</v>
      </c>
      <c r="B68" s="679">
        <v>65.0</v>
      </c>
      <c r="C68" s="692" t="s">
        <v>3396</v>
      </c>
      <c r="D68" s="680" t="s">
        <v>11781</v>
      </c>
      <c r="E68" s="681" t="s">
        <v>49</v>
      </c>
      <c r="G68" s="331"/>
      <c r="H68" s="331"/>
      <c r="I68" s="331"/>
      <c r="J68" s="331"/>
      <c r="L68" s="682" t="s">
        <v>11782</v>
      </c>
      <c r="M68" s="423" t="s">
        <v>11783</v>
      </c>
    </row>
    <row r="69">
      <c r="A69" s="678" t="s">
        <v>44</v>
      </c>
      <c r="B69" s="679">
        <v>66.0</v>
      </c>
      <c r="C69" s="14" t="s">
        <v>11784</v>
      </c>
      <c r="D69" s="692" t="s">
        <v>11785</v>
      </c>
      <c r="E69" s="681" t="s">
        <v>49</v>
      </c>
      <c r="G69" s="331"/>
      <c r="H69" s="331"/>
      <c r="I69" s="331"/>
      <c r="J69" s="331"/>
      <c r="L69" s="690" t="s">
        <v>11786</v>
      </c>
      <c r="M69" s="423" t="str">
        <f>concatenate("rep-",D69,"@rilegislature.gov")</f>
        <v>rep-Cassar@rilegislature.gov</v>
      </c>
    </row>
    <row r="70">
      <c r="A70" s="678" t="s">
        <v>44</v>
      </c>
      <c r="B70" s="679">
        <v>67.0</v>
      </c>
      <c r="C70" s="692" t="s">
        <v>1231</v>
      </c>
      <c r="D70" s="680" t="s">
        <v>3865</v>
      </c>
      <c r="E70" s="681" t="s">
        <v>49</v>
      </c>
      <c r="G70" s="331"/>
      <c r="H70" s="331"/>
      <c r="I70" s="331"/>
      <c r="J70" s="331"/>
      <c r="L70" s="682" t="s">
        <v>11787</v>
      </c>
      <c r="M70" s="423" t="s">
        <v>11788</v>
      </c>
    </row>
    <row r="71">
      <c r="A71" s="678" t="s">
        <v>44</v>
      </c>
      <c r="B71" s="679">
        <v>68.0</v>
      </c>
      <c r="C71" s="14" t="s">
        <v>11789</v>
      </c>
      <c r="D71" s="692" t="s">
        <v>11790</v>
      </c>
      <c r="E71" s="681" t="s">
        <v>49</v>
      </c>
      <c r="G71" s="331"/>
      <c r="H71" s="331"/>
      <c r="I71" s="331"/>
      <c r="J71" s="331"/>
      <c r="L71" s="682"/>
      <c r="M71" s="423" t="str">
        <f>concatenate("rep-",D71,"@rilegislature.gov")</f>
        <v>rep-Ascencao@rilegislature.gov</v>
      </c>
    </row>
    <row r="72">
      <c r="A72" s="678" t="s">
        <v>44</v>
      </c>
      <c r="B72" s="679">
        <v>69.0</v>
      </c>
      <c r="C72" s="692" t="s">
        <v>1446</v>
      </c>
      <c r="D72" s="680" t="s">
        <v>2225</v>
      </c>
      <c r="E72" s="681" t="s">
        <v>49</v>
      </c>
      <c r="G72" s="331"/>
      <c r="H72" s="331"/>
      <c r="I72" s="331"/>
      <c r="J72" s="331"/>
      <c r="L72" s="682" t="s">
        <v>11791</v>
      </c>
      <c r="M72" s="423" t="s">
        <v>11792</v>
      </c>
    </row>
    <row r="73">
      <c r="A73" s="678" t="s">
        <v>44</v>
      </c>
      <c r="B73" s="679">
        <v>70.0</v>
      </c>
      <c r="C73" s="692" t="s">
        <v>278</v>
      </c>
      <c r="D73" s="680" t="s">
        <v>6476</v>
      </c>
      <c r="E73" s="681" t="s">
        <v>49</v>
      </c>
      <c r="F73" s="14" t="s">
        <v>1188</v>
      </c>
      <c r="G73" s="331"/>
      <c r="H73" s="331"/>
      <c r="I73" s="331"/>
      <c r="J73" s="331"/>
      <c r="L73" s="682" t="s">
        <v>11793</v>
      </c>
      <c r="M73" s="423" t="s">
        <v>11794</v>
      </c>
    </row>
    <row r="74">
      <c r="A74" s="678" t="s">
        <v>44</v>
      </c>
      <c r="B74" s="679">
        <v>71.0</v>
      </c>
      <c r="C74" s="692" t="s">
        <v>2194</v>
      </c>
      <c r="D74" s="680" t="s">
        <v>11795</v>
      </c>
      <c r="E74" s="681" t="s">
        <v>49</v>
      </c>
      <c r="G74" s="331"/>
      <c r="H74" s="331"/>
      <c r="I74" s="331"/>
      <c r="J74" s="331"/>
      <c r="L74" s="682" t="s">
        <v>11796</v>
      </c>
      <c r="M74" s="423" t="s">
        <v>11797</v>
      </c>
    </row>
    <row r="75">
      <c r="A75" s="678" t="s">
        <v>44</v>
      </c>
      <c r="B75" s="679">
        <v>72.0</v>
      </c>
      <c r="C75" s="14" t="s">
        <v>11798</v>
      </c>
      <c r="D75" s="692" t="s">
        <v>11799</v>
      </c>
      <c r="E75" s="681" t="s">
        <v>49</v>
      </c>
      <c r="G75" s="331"/>
      <c r="H75" s="331"/>
      <c r="I75" s="331"/>
      <c r="J75" s="331"/>
      <c r="L75" s="686" t="s">
        <v>11800</v>
      </c>
      <c r="M75" s="423" t="str">
        <f>concatenate("rep-",D75,"@rilegislature.gov")</f>
        <v>rep-Cortvriend@rilegislature.gov</v>
      </c>
    </row>
    <row r="76">
      <c r="A76" s="678" t="s">
        <v>44</v>
      </c>
      <c r="B76" s="679">
        <v>73.0</v>
      </c>
      <c r="C76" s="680" t="s">
        <v>6310</v>
      </c>
      <c r="D76" s="680" t="s">
        <v>11801</v>
      </c>
      <c r="E76" s="681" t="s">
        <v>49</v>
      </c>
      <c r="G76" s="331"/>
      <c r="H76" s="331"/>
      <c r="I76" s="331"/>
      <c r="J76" s="331"/>
      <c r="L76" s="682" t="s">
        <v>11802</v>
      </c>
      <c r="M76" s="423" t="s">
        <v>11803</v>
      </c>
    </row>
    <row r="77">
      <c r="A77" s="678" t="s">
        <v>44</v>
      </c>
      <c r="B77" s="679">
        <v>74.0</v>
      </c>
      <c r="C77" s="680" t="s">
        <v>1395</v>
      </c>
      <c r="D77" s="680" t="s">
        <v>11805</v>
      </c>
      <c r="E77" s="681" t="s">
        <v>49</v>
      </c>
      <c r="G77" s="331"/>
      <c r="H77" s="331"/>
      <c r="I77" s="331"/>
      <c r="J77" s="331"/>
      <c r="L77" s="682" t="s">
        <v>11806</v>
      </c>
      <c r="M77" s="423" t="s">
        <v>11808</v>
      </c>
    </row>
    <row r="78">
      <c r="A78" s="678" t="s">
        <v>44</v>
      </c>
      <c r="B78" s="679">
        <v>75.0</v>
      </c>
      <c r="C78" s="680" t="s">
        <v>3317</v>
      </c>
      <c r="D78" s="680" t="s">
        <v>3357</v>
      </c>
      <c r="E78" s="681" t="s">
        <v>49</v>
      </c>
      <c r="G78" s="331"/>
      <c r="H78" s="331"/>
      <c r="I78" s="331"/>
      <c r="J78" s="331"/>
      <c r="L78" s="682" t="s">
        <v>11356</v>
      </c>
      <c r="M78" s="423" t="s">
        <v>11816</v>
      </c>
    </row>
    <row r="79">
      <c r="A79" s="70"/>
      <c r="B79" s="70"/>
      <c r="C79" s="701"/>
      <c r="D79" s="701"/>
      <c r="E79" s="70"/>
      <c r="F79" s="70"/>
      <c r="G79" s="344"/>
      <c r="H79" s="344"/>
      <c r="I79" s="344"/>
      <c r="J79" s="344"/>
      <c r="K79" s="70"/>
      <c r="L79" s="70"/>
      <c r="M79" s="70"/>
      <c r="N79" s="70"/>
      <c r="O79" s="70"/>
      <c r="P79" s="70"/>
      <c r="Q79" s="70"/>
      <c r="R79" s="70"/>
      <c r="S79" s="70"/>
      <c r="T79" s="70"/>
      <c r="U79" s="70"/>
      <c r="V79" s="70"/>
      <c r="W79" s="70"/>
      <c r="X79" s="70"/>
      <c r="Y79" s="70"/>
      <c r="Z79" s="70"/>
      <c r="AA79" s="70"/>
      <c r="AB79" s="70"/>
      <c r="AC79" s="70"/>
      <c r="AD79" s="70"/>
      <c r="AE79" s="70"/>
      <c r="AF79" s="70"/>
      <c r="AG79" s="70"/>
      <c r="AH79" s="70"/>
    </row>
    <row r="80">
      <c r="A80" s="678" t="s">
        <v>286</v>
      </c>
      <c r="B80" s="679">
        <v>1.0</v>
      </c>
      <c r="C80" s="680" t="s">
        <v>11820</v>
      </c>
      <c r="D80" s="680" t="s">
        <v>9741</v>
      </c>
      <c r="E80" s="681" t="s">
        <v>49</v>
      </c>
      <c r="F80" s="14" t="s">
        <v>11826</v>
      </c>
      <c r="G80" s="331"/>
      <c r="H80" s="331"/>
      <c r="I80" s="331"/>
      <c r="J80" s="331"/>
      <c r="L80" s="682" t="s">
        <v>11827</v>
      </c>
      <c r="M80" s="423" t="s">
        <v>11829</v>
      </c>
    </row>
    <row r="81">
      <c r="A81" s="678" t="s">
        <v>286</v>
      </c>
      <c r="B81" s="679">
        <v>2.0</v>
      </c>
      <c r="C81" s="680" t="s">
        <v>3087</v>
      </c>
      <c r="D81" s="680" t="s">
        <v>1359</v>
      </c>
      <c r="E81" s="681" t="s">
        <v>49</v>
      </c>
      <c r="G81" s="331"/>
      <c r="H81" s="331"/>
      <c r="I81" s="331"/>
      <c r="J81" s="331"/>
      <c r="L81" s="682" t="s">
        <v>11835</v>
      </c>
      <c r="M81" s="423" t="s">
        <v>11836</v>
      </c>
    </row>
    <row r="82">
      <c r="A82" s="678" t="s">
        <v>286</v>
      </c>
      <c r="B82" s="679">
        <v>3.0</v>
      </c>
      <c r="C82" s="680" t="s">
        <v>3282</v>
      </c>
      <c r="D82" s="680" t="s">
        <v>11837</v>
      </c>
      <c r="E82" s="681" t="s">
        <v>49</v>
      </c>
      <c r="G82" s="331"/>
      <c r="H82" s="331"/>
      <c r="I82" s="331"/>
      <c r="J82" s="331"/>
      <c r="L82" s="682" t="s">
        <v>11838</v>
      </c>
      <c r="M82" s="423" t="s">
        <v>11839</v>
      </c>
    </row>
    <row r="83">
      <c r="A83" s="678" t="s">
        <v>286</v>
      </c>
      <c r="B83" s="679">
        <v>4.0</v>
      </c>
      <c r="C83" s="680" t="s">
        <v>2397</v>
      </c>
      <c r="D83" s="680" t="s">
        <v>11842</v>
      </c>
      <c r="E83" s="681" t="s">
        <v>49</v>
      </c>
      <c r="F83" s="14" t="s">
        <v>1156</v>
      </c>
      <c r="G83" s="331"/>
      <c r="H83" s="331"/>
      <c r="I83" s="331"/>
      <c r="J83" s="331"/>
      <c r="L83" s="682" t="s">
        <v>11843</v>
      </c>
      <c r="M83" s="423" t="s">
        <v>11844</v>
      </c>
    </row>
    <row r="84">
      <c r="A84" s="678" t="s">
        <v>286</v>
      </c>
      <c r="B84" s="679">
        <v>5.0</v>
      </c>
      <c r="C84" s="14" t="s">
        <v>224</v>
      </c>
      <c r="D84" s="692" t="s">
        <v>3007</v>
      </c>
      <c r="E84" s="681" t="s">
        <v>49</v>
      </c>
      <c r="G84" s="331"/>
      <c r="H84" s="331"/>
      <c r="I84" s="331"/>
      <c r="J84" s="331"/>
      <c r="L84" s="682"/>
      <c r="M84" s="423" t="str">
        <f>concatenate("rep-",D84,"@rilegislature.gov")</f>
        <v>rep-Bell@rilegislature.gov</v>
      </c>
    </row>
    <row r="85">
      <c r="A85" s="678" t="s">
        <v>286</v>
      </c>
      <c r="B85" s="679">
        <v>6.0</v>
      </c>
      <c r="C85" s="680" t="s">
        <v>4516</v>
      </c>
      <c r="D85" s="680" t="s">
        <v>11853</v>
      </c>
      <c r="E85" s="681" t="s">
        <v>49</v>
      </c>
      <c r="F85" s="14" t="s">
        <v>11854</v>
      </c>
      <c r="G85" s="331"/>
      <c r="H85" s="331"/>
      <c r="I85" s="331"/>
      <c r="J85" s="331"/>
      <c r="L85" s="682" t="s">
        <v>11855</v>
      </c>
      <c r="M85" s="423" t="s">
        <v>11856</v>
      </c>
    </row>
    <row r="86">
      <c r="A86" s="678" t="s">
        <v>286</v>
      </c>
      <c r="B86" s="679">
        <v>7.0</v>
      </c>
      <c r="C86" s="680" t="s">
        <v>1000</v>
      </c>
      <c r="D86" s="680" t="s">
        <v>11863</v>
      </c>
      <c r="E86" s="681" t="s">
        <v>49</v>
      </c>
      <c r="G86" s="331"/>
      <c r="H86" s="331"/>
      <c r="I86" s="331"/>
      <c r="J86" s="331"/>
      <c r="L86" s="682" t="s">
        <v>11864</v>
      </c>
      <c r="M86" s="423" t="s">
        <v>11866</v>
      </c>
    </row>
    <row r="87">
      <c r="A87" s="678" t="s">
        <v>286</v>
      </c>
      <c r="B87" s="679">
        <v>8.0</v>
      </c>
      <c r="C87" s="680" t="s">
        <v>3576</v>
      </c>
      <c r="D87" s="680" t="s">
        <v>590</v>
      </c>
      <c r="E87" s="681" t="s">
        <v>49</v>
      </c>
      <c r="G87" s="331"/>
      <c r="H87" s="331"/>
      <c r="I87" s="331"/>
      <c r="J87" s="331"/>
      <c r="L87" s="682" t="s">
        <v>4274</v>
      </c>
      <c r="M87" s="423" t="s">
        <v>11871</v>
      </c>
    </row>
    <row r="88">
      <c r="A88" s="678" t="s">
        <v>286</v>
      </c>
      <c r="B88" s="679">
        <v>9.0</v>
      </c>
      <c r="C88" s="680" t="s">
        <v>69</v>
      </c>
      <c r="D88" s="680" t="s">
        <v>11876</v>
      </c>
      <c r="E88" s="681" t="s">
        <v>49</v>
      </c>
      <c r="G88" s="331"/>
      <c r="H88" s="331"/>
      <c r="I88" s="331"/>
      <c r="J88" s="331"/>
      <c r="L88" s="682" t="s">
        <v>11877</v>
      </c>
      <c r="M88" s="423" t="s">
        <v>11878</v>
      </c>
    </row>
    <row r="89">
      <c r="A89" s="678" t="s">
        <v>286</v>
      </c>
      <c r="B89" s="679">
        <v>10.0</v>
      </c>
      <c r="C89" s="680" t="s">
        <v>669</v>
      </c>
      <c r="D89" s="680" t="s">
        <v>11884</v>
      </c>
      <c r="E89" s="681" t="s">
        <v>49</v>
      </c>
      <c r="G89" s="331"/>
      <c r="H89" s="331"/>
      <c r="I89" s="331"/>
      <c r="J89" s="331"/>
      <c r="L89" s="682" t="s">
        <v>11885</v>
      </c>
      <c r="M89" s="423" t="s">
        <v>11886</v>
      </c>
    </row>
    <row r="90">
      <c r="A90" s="678" t="s">
        <v>286</v>
      </c>
      <c r="B90" s="679">
        <v>11.0</v>
      </c>
      <c r="C90" s="680" t="s">
        <v>930</v>
      </c>
      <c r="D90" s="680" t="s">
        <v>11888</v>
      </c>
      <c r="E90" s="681" t="s">
        <v>49</v>
      </c>
      <c r="G90" s="331"/>
      <c r="H90" s="331"/>
      <c r="I90" s="331"/>
      <c r="J90" s="331"/>
      <c r="L90" s="682" t="s">
        <v>11889</v>
      </c>
      <c r="M90" s="423" t="s">
        <v>11890</v>
      </c>
    </row>
    <row r="91">
      <c r="A91" s="678" t="s">
        <v>286</v>
      </c>
      <c r="B91" s="679">
        <v>12.0</v>
      </c>
      <c r="C91" s="680" t="s">
        <v>4971</v>
      </c>
      <c r="D91" s="680" t="s">
        <v>11891</v>
      </c>
      <c r="E91" s="681" t="s">
        <v>49</v>
      </c>
      <c r="G91" s="331"/>
      <c r="H91" s="331"/>
      <c r="I91" s="331"/>
      <c r="J91" s="331"/>
      <c r="L91" s="682" t="s">
        <v>11892</v>
      </c>
      <c r="M91" s="423" t="s">
        <v>11893</v>
      </c>
    </row>
    <row r="92">
      <c r="A92" s="678" t="s">
        <v>286</v>
      </c>
      <c r="B92" s="679">
        <v>13.0</v>
      </c>
      <c r="C92" s="680" t="s">
        <v>9525</v>
      </c>
      <c r="D92" s="680" t="s">
        <v>11896</v>
      </c>
      <c r="E92" s="681" t="s">
        <v>49</v>
      </c>
      <c r="G92" s="331"/>
      <c r="H92" s="331"/>
      <c r="I92" s="331"/>
      <c r="J92" s="331"/>
      <c r="L92" s="682" t="s">
        <v>11897</v>
      </c>
      <c r="M92" s="423" t="s">
        <v>11898</v>
      </c>
    </row>
    <row r="93">
      <c r="A93" s="678" t="s">
        <v>286</v>
      </c>
      <c r="B93" s="679">
        <v>14.0</v>
      </c>
      <c r="C93" s="14" t="s">
        <v>5986</v>
      </c>
      <c r="D93" s="692" t="s">
        <v>2924</v>
      </c>
      <c r="E93" s="681" t="s">
        <v>49</v>
      </c>
      <c r="G93" s="331"/>
      <c r="H93" s="331"/>
      <c r="I93" s="331"/>
      <c r="J93" s="331"/>
      <c r="L93" s="682"/>
      <c r="M93" s="423" t="str">
        <f>concatenate("rep-",D93,"@rilegislature.gov")</f>
        <v>rep-Lawson@rilegislature.gov</v>
      </c>
    </row>
    <row r="94">
      <c r="A94" s="678" t="s">
        <v>286</v>
      </c>
      <c r="B94" s="679">
        <v>15.0</v>
      </c>
      <c r="C94" s="680" t="s">
        <v>3404</v>
      </c>
      <c r="D94" s="680" t="s">
        <v>11902</v>
      </c>
      <c r="E94" s="681" t="s">
        <v>49</v>
      </c>
      <c r="G94" s="331"/>
      <c r="H94" s="331"/>
      <c r="I94" s="331"/>
      <c r="J94" s="331"/>
      <c r="L94" s="682" t="s">
        <v>11838</v>
      </c>
      <c r="M94" s="423" t="s">
        <v>11904</v>
      </c>
    </row>
    <row r="95">
      <c r="A95" s="678" t="s">
        <v>286</v>
      </c>
      <c r="B95" s="679">
        <v>16.0</v>
      </c>
      <c r="C95" s="680" t="s">
        <v>2830</v>
      </c>
      <c r="D95" s="680" t="s">
        <v>11906</v>
      </c>
      <c r="E95" s="681" t="s">
        <v>49</v>
      </c>
      <c r="G95" s="331"/>
      <c r="H95" s="331"/>
      <c r="I95" s="331"/>
      <c r="J95" s="331"/>
      <c r="L95" s="682" t="s">
        <v>11908</v>
      </c>
      <c r="M95" s="423" t="s">
        <v>11909</v>
      </c>
    </row>
    <row r="96">
      <c r="A96" s="678" t="s">
        <v>286</v>
      </c>
      <c r="B96" s="679">
        <v>17.0</v>
      </c>
      <c r="C96" s="680" t="s">
        <v>561</v>
      </c>
      <c r="D96" s="680" t="s">
        <v>11911</v>
      </c>
      <c r="E96" s="694" t="s">
        <v>53</v>
      </c>
      <c r="F96" s="14" t="s">
        <v>11655</v>
      </c>
      <c r="G96" s="331"/>
      <c r="H96" s="331"/>
      <c r="I96" s="331"/>
      <c r="J96" s="331"/>
      <c r="L96" s="682" t="s">
        <v>11912</v>
      </c>
      <c r="M96" s="423" t="s">
        <v>11913</v>
      </c>
    </row>
    <row r="97">
      <c r="A97" s="678" t="s">
        <v>286</v>
      </c>
      <c r="B97" s="679">
        <v>18.0</v>
      </c>
      <c r="C97" s="680" t="s">
        <v>1058</v>
      </c>
      <c r="D97" s="692" t="s">
        <v>2556</v>
      </c>
      <c r="E97" s="681" t="s">
        <v>49</v>
      </c>
      <c r="G97" s="331"/>
      <c r="H97" s="331"/>
      <c r="I97" s="331"/>
      <c r="J97" s="331"/>
      <c r="L97" s="682" t="s">
        <v>11915</v>
      </c>
      <c r="M97" s="423" t="s">
        <v>11916</v>
      </c>
    </row>
    <row r="98">
      <c r="A98" s="678" t="s">
        <v>286</v>
      </c>
      <c r="B98" s="679">
        <v>19.0</v>
      </c>
      <c r="C98" s="680" t="s">
        <v>2780</v>
      </c>
      <c r="D98" s="680" t="s">
        <v>6037</v>
      </c>
      <c r="E98" s="681" t="s">
        <v>49</v>
      </c>
      <c r="G98" s="331"/>
      <c r="H98" s="331"/>
      <c r="I98" s="331"/>
      <c r="J98" s="331"/>
      <c r="L98" s="682" t="s">
        <v>11838</v>
      </c>
      <c r="M98" s="423" t="s">
        <v>11920</v>
      </c>
    </row>
    <row r="99">
      <c r="A99" s="678" t="s">
        <v>286</v>
      </c>
      <c r="B99" s="679">
        <v>20.0</v>
      </c>
      <c r="C99" s="680" t="s">
        <v>1040</v>
      </c>
      <c r="D99" s="680" t="s">
        <v>11922</v>
      </c>
      <c r="E99" s="681" t="s">
        <v>49</v>
      </c>
      <c r="G99" s="331"/>
      <c r="H99" s="331"/>
      <c r="I99" s="331"/>
      <c r="J99" s="331"/>
      <c r="L99" s="682" t="s">
        <v>11923</v>
      </c>
      <c r="M99" s="423" t="s">
        <v>11924</v>
      </c>
    </row>
    <row r="100">
      <c r="A100" s="678" t="s">
        <v>286</v>
      </c>
      <c r="B100" s="679">
        <v>21.0</v>
      </c>
      <c r="C100" s="14" t="s">
        <v>11925</v>
      </c>
      <c r="D100" s="692" t="s">
        <v>494</v>
      </c>
      <c r="E100" s="694" t="s">
        <v>53</v>
      </c>
      <c r="G100" s="331"/>
      <c r="H100" s="331"/>
      <c r="I100" s="331"/>
      <c r="J100" s="331"/>
      <c r="L100" s="682"/>
      <c r="M100" s="423" t="str">
        <f>concatenate("rep-",D100,"@rilegislature.gov")</f>
        <v>rep-Rogers@rilegislature.gov</v>
      </c>
    </row>
    <row r="101">
      <c r="A101" s="678" t="s">
        <v>286</v>
      </c>
      <c r="B101" s="679">
        <v>22.0</v>
      </c>
      <c r="C101" s="692" t="s">
        <v>1505</v>
      </c>
      <c r="D101" s="680" t="s">
        <v>11927</v>
      </c>
      <c r="E101" s="681" t="s">
        <v>49</v>
      </c>
      <c r="G101" s="331"/>
      <c r="H101" s="331"/>
      <c r="I101" s="331"/>
      <c r="J101" s="331"/>
      <c r="L101" s="682" t="s">
        <v>11897</v>
      </c>
      <c r="M101" s="423" t="s">
        <v>11928</v>
      </c>
    </row>
    <row r="102">
      <c r="A102" s="678" t="s">
        <v>286</v>
      </c>
      <c r="B102" s="679">
        <v>23.0</v>
      </c>
      <c r="C102" s="692" t="s">
        <v>6166</v>
      </c>
      <c r="D102" s="692" t="s">
        <v>11929</v>
      </c>
      <c r="E102" s="694" t="s">
        <v>53</v>
      </c>
      <c r="G102" s="331"/>
      <c r="H102" s="331"/>
      <c r="I102" s="331"/>
      <c r="J102" s="331"/>
      <c r="L102" s="682"/>
      <c r="M102" s="423" t="str">
        <f t="shared" ref="M102:M103" si="3">concatenate("rep-",D102,"@rilegislature.gov")</f>
        <v>rep-DeLaCruz@rilegislature.gov</v>
      </c>
    </row>
    <row r="103">
      <c r="A103" s="678" t="s">
        <v>286</v>
      </c>
      <c r="B103" s="679">
        <v>24.0</v>
      </c>
      <c r="C103" s="705" t="s">
        <v>1884</v>
      </c>
      <c r="D103" s="692" t="s">
        <v>7063</v>
      </c>
      <c r="E103" s="681" t="s">
        <v>49</v>
      </c>
      <c r="G103" s="331"/>
      <c r="H103" s="331"/>
      <c r="I103" s="331"/>
      <c r="J103" s="331"/>
      <c r="L103" s="682"/>
      <c r="M103" s="423" t="str">
        <f t="shared" si="3"/>
        <v>rep-Murray@rilegislature.gov</v>
      </c>
    </row>
    <row r="104">
      <c r="A104" s="678" t="s">
        <v>286</v>
      </c>
      <c r="B104" s="679">
        <v>25.0</v>
      </c>
      <c r="C104" s="680" t="s">
        <v>1000</v>
      </c>
      <c r="D104" s="680" t="s">
        <v>6896</v>
      </c>
      <c r="E104" s="681" t="s">
        <v>49</v>
      </c>
      <c r="G104" s="331"/>
      <c r="H104" s="331"/>
      <c r="I104" s="331"/>
      <c r="J104" s="331"/>
      <c r="L104" s="682" t="s">
        <v>11932</v>
      </c>
      <c r="M104" s="423" t="s">
        <v>11933</v>
      </c>
    </row>
    <row r="105">
      <c r="A105" s="678" t="s">
        <v>286</v>
      </c>
      <c r="B105" s="679">
        <v>26.0</v>
      </c>
      <c r="C105" s="680" t="s">
        <v>1000</v>
      </c>
      <c r="D105" s="680" t="s">
        <v>11386</v>
      </c>
      <c r="E105" s="681" t="s">
        <v>49</v>
      </c>
      <c r="G105" s="331"/>
      <c r="H105" s="331"/>
      <c r="I105" s="331"/>
      <c r="J105" s="331"/>
      <c r="L105" s="682" t="s">
        <v>11390</v>
      </c>
      <c r="M105" s="423" t="s">
        <v>11937</v>
      </c>
    </row>
    <row r="106">
      <c r="A106" s="678" t="s">
        <v>286</v>
      </c>
      <c r="B106" s="679">
        <v>27.0</v>
      </c>
      <c r="C106" s="680" t="s">
        <v>11938</v>
      </c>
      <c r="D106" s="680" t="s">
        <v>11944</v>
      </c>
      <c r="E106" s="681" t="s">
        <v>49</v>
      </c>
      <c r="G106" s="331"/>
      <c r="H106" s="331"/>
      <c r="I106" s="331"/>
      <c r="J106" s="331"/>
      <c r="L106" s="682" t="s">
        <v>11838</v>
      </c>
      <c r="M106" s="423" t="s">
        <v>11946</v>
      </c>
    </row>
    <row r="107">
      <c r="A107" s="678" t="s">
        <v>286</v>
      </c>
      <c r="B107" s="679">
        <v>28.0</v>
      </c>
      <c r="C107" s="680" t="s">
        <v>2506</v>
      </c>
      <c r="D107" s="680" t="s">
        <v>1501</v>
      </c>
      <c r="E107" s="681" t="s">
        <v>49</v>
      </c>
      <c r="G107" s="331"/>
      <c r="H107" s="331"/>
      <c r="I107" s="331"/>
      <c r="J107" s="331"/>
      <c r="L107" s="682" t="s">
        <v>11953</v>
      </c>
      <c r="M107" s="423" t="s">
        <v>11954</v>
      </c>
    </row>
    <row r="108">
      <c r="A108" s="678" t="s">
        <v>286</v>
      </c>
      <c r="B108" s="679">
        <v>29.0</v>
      </c>
      <c r="C108" s="680" t="s">
        <v>2490</v>
      </c>
      <c r="D108" s="680" t="s">
        <v>11958</v>
      </c>
      <c r="E108" s="681" t="s">
        <v>49</v>
      </c>
      <c r="F108" s="14" t="s">
        <v>4576</v>
      </c>
      <c r="G108" s="331"/>
      <c r="H108" s="331"/>
      <c r="I108" s="331"/>
      <c r="J108" s="331"/>
      <c r="L108" s="682" t="s">
        <v>11959</v>
      </c>
      <c r="M108" s="423" t="s">
        <v>11960</v>
      </c>
    </row>
    <row r="109">
      <c r="A109" s="678" t="s">
        <v>286</v>
      </c>
      <c r="B109" s="679">
        <v>30.0</v>
      </c>
      <c r="C109" s="14" t="s">
        <v>91</v>
      </c>
      <c r="D109" s="692" t="s">
        <v>11963</v>
      </c>
      <c r="E109" s="681" t="s">
        <v>49</v>
      </c>
      <c r="G109" s="331"/>
      <c r="H109" s="331"/>
      <c r="I109" s="331"/>
      <c r="J109" s="331"/>
      <c r="L109" s="682"/>
      <c r="M109" s="423" t="str">
        <f>concatenate("rep-",D109,"@rilegislature.gov")</f>
        <v>rep-McKenney@rilegislature.gov</v>
      </c>
    </row>
    <row r="110">
      <c r="A110" s="678" t="s">
        <v>286</v>
      </c>
      <c r="B110" s="679">
        <v>31.0</v>
      </c>
      <c r="C110" s="692" t="s">
        <v>2994</v>
      </c>
      <c r="D110" s="692" t="s">
        <v>11967</v>
      </c>
      <c r="E110" s="681" t="s">
        <v>49</v>
      </c>
      <c r="G110" s="331"/>
      <c r="H110" s="331"/>
      <c r="I110" s="331"/>
      <c r="J110" s="331"/>
      <c r="L110" s="682" t="s">
        <v>11968</v>
      </c>
      <c r="M110" s="423" t="s">
        <v>11969</v>
      </c>
    </row>
    <row r="111">
      <c r="A111" s="678" t="s">
        <v>286</v>
      </c>
      <c r="B111" s="679">
        <v>32.0</v>
      </c>
      <c r="C111" s="680" t="s">
        <v>3490</v>
      </c>
      <c r="D111" s="680" t="s">
        <v>11978</v>
      </c>
      <c r="E111" s="681" t="s">
        <v>49</v>
      </c>
      <c r="G111" s="331"/>
      <c r="H111" s="331"/>
      <c r="I111" s="331"/>
      <c r="J111" s="331"/>
      <c r="L111" s="682" t="s">
        <v>11843</v>
      </c>
      <c r="M111" s="423" t="s">
        <v>11980</v>
      </c>
    </row>
    <row r="112">
      <c r="A112" s="678" t="s">
        <v>286</v>
      </c>
      <c r="B112" s="679">
        <v>33.0</v>
      </c>
      <c r="C112" s="680" t="s">
        <v>11981</v>
      </c>
      <c r="D112" s="680" t="s">
        <v>11985</v>
      </c>
      <c r="E112" s="681" t="s">
        <v>49</v>
      </c>
      <c r="G112" s="331"/>
      <c r="H112" s="331"/>
      <c r="I112" s="331"/>
      <c r="J112" s="331"/>
      <c r="L112" s="682" t="s">
        <v>11991</v>
      </c>
      <c r="M112" s="423" t="s">
        <v>11992</v>
      </c>
    </row>
    <row r="113">
      <c r="A113" s="678" t="s">
        <v>286</v>
      </c>
      <c r="B113" s="679">
        <v>34.0</v>
      </c>
      <c r="C113" s="680" t="s">
        <v>3948</v>
      </c>
      <c r="D113" s="680" t="s">
        <v>141</v>
      </c>
      <c r="E113" s="694" t="s">
        <v>53</v>
      </c>
      <c r="F113" s="14" t="s">
        <v>2004</v>
      </c>
      <c r="G113" s="331"/>
      <c r="H113" s="331"/>
      <c r="I113" s="331"/>
      <c r="J113" s="331"/>
      <c r="L113" s="682" t="s">
        <v>12007</v>
      </c>
      <c r="M113" s="423" t="s">
        <v>12010</v>
      </c>
    </row>
    <row r="114">
      <c r="A114" s="678" t="s">
        <v>286</v>
      </c>
      <c r="B114" s="679">
        <v>35.0</v>
      </c>
      <c r="C114" s="705" t="s">
        <v>8807</v>
      </c>
      <c r="D114" s="692" t="s">
        <v>12012</v>
      </c>
      <c r="E114" s="681" t="s">
        <v>49</v>
      </c>
      <c r="G114" s="331"/>
      <c r="H114" s="331"/>
      <c r="I114" s="331"/>
      <c r="J114" s="331"/>
      <c r="L114" s="682"/>
      <c r="M114" s="423" t="str">
        <f>concatenate("rep-",D114,"@rilegislature.gov")</f>
        <v>rep-Valverde@rilegislature.gov</v>
      </c>
    </row>
    <row r="115">
      <c r="A115" s="678" t="s">
        <v>286</v>
      </c>
      <c r="B115" s="679">
        <v>36.0</v>
      </c>
      <c r="C115" s="680" t="s">
        <v>930</v>
      </c>
      <c r="D115" s="680" t="s">
        <v>12034</v>
      </c>
      <c r="E115" s="681" t="s">
        <v>49</v>
      </c>
      <c r="G115" s="331"/>
      <c r="H115" s="331"/>
      <c r="I115" s="331"/>
      <c r="J115" s="331"/>
      <c r="L115" s="682" t="s">
        <v>12036</v>
      </c>
      <c r="M115" s="423" t="s">
        <v>12037</v>
      </c>
    </row>
    <row r="116">
      <c r="A116" s="678" t="s">
        <v>286</v>
      </c>
      <c r="B116" s="679">
        <v>37.0</v>
      </c>
      <c r="C116" s="680" t="s">
        <v>1446</v>
      </c>
      <c r="D116" s="680" t="s">
        <v>4296</v>
      </c>
      <c r="E116" s="681" t="s">
        <v>49</v>
      </c>
      <c r="G116" s="331"/>
      <c r="H116" s="331"/>
      <c r="I116" s="331"/>
      <c r="J116" s="331"/>
      <c r="L116" s="682" t="s">
        <v>12039</v>
      </c>
      <c r="M116" s="423" t="s">
        <v>12040</v>
      </c>
    </row>
    <row r="117">
      <c r="A117" s="678" t="s">
        <v>286</v>
      </c>
      <c r="B117" s="679">
        <v>38.0</v>
      </c>
      <c r="C117" s="680" t="s">
        <v>2194</v>
      </c>
      <c r="D117" s="680" t="s">
        <v>12055</v>
      </c>
      <c r="E117" s="694" t="s">
        <v>53</v>
      </c>
      <c r="F117" s="14" t="s">
        <v>498</v>
      </c>
      <c r="G117" s="331"/>
      <c r="H117" s="331"/>
      <c r="I117" s="331"/>
      <c r="J117" s="331"/>
      <c r="L117" s="682" t="s">
        <v>12007</v>
      </c>
      <c r="M117" s="423" t="s">
        <v>12060</v>
      </c>
    </row>
    <row r="118">
      <c r="A118" s="70"/>
      <c r="B118" s="70"/>
      <c r="C118" s="701"/>
      <c r="D118" s="701"/>
      <c r="E118" s="70"/>
      <c r="F118" s="70"/>
      <c r="G118" s="344"/>
      <c r="H118" s="344"/>
      <c r="I118" s="344"/>
      <c r="J118" s="344"/>
      <c r="K118" s="70"/>
      <c r="L118" s="70"/>
      <c r="M118" s="70"/>
      <c r="N118" s="70"/>
      <c r="O118" s="70"/>
      <c r="P118" s="70"/>
      <c r="Q118" s="70"/>
      <c r="R118" s="70"/>
      <c r="S118" s="70"/>
      <c r="T118" s="70"/>
      <c r="U118" s="70"/>
      <c r="V118" s="70"/>
      <c r="W118" s="70"/>
      <c r="X118" s="70"/>
      <c r="Y118" s="70"/>
      <c r="Z118" s="70"/>
      <c r="AA118" s="70"/>
      <c r="AB118" s="70"/>
      <c r="AC118" s="70"/>
      <c r="AD118" s="70"/>
      <c r="AE118" s="70"/>
      <c r="AF118" s="70"/>
      <c r="AG118" s="70"/>
      <c r="AH118" s="70"/>
    </row>
    <row r="119">
      <c r="A119" s="14" t="s">
        <v>421</v>
      </c>
      <c r="C119" s="705" t="s">
        <v>6130</v>
      </c>
      <c r="D119" s="705" t="s">
        <v>12066</v>
      </c>
      <c r="E119" s="681" t="s">
        <v>49</v>
      </c>
      <c r="G119" s="331"/>
      <c r="H119" s="331"/>
      <c r="I119" s="331"/>
      <c r="J119" s="331"/>
      <c r="L119" s="708" t="s">
        <v>12070</v>
      </c>
      <c r="M119" s="395" t="s">
        <v>12089</v>
      </c>
    </row>
    <row r="120">
      <c r="A120" s="70"/>
      <c r="B120" s="70"/>
      <c r="C120" s="701"/>
      <c r="D120" s="701"/>
      <c r="E120" s="70"/>
      <c r="F120" s="70"/>
      <c r="G120" s="344"/>
      <c r="H120" s="344"/>
      <c r="I120" s="344"/>
      <c r="J120" s="344"/>
      <c r="K120" s="70"/>
      <c r="L120" s="70"/>
      <c r="M120" s="70"/>
      <c r="N120" s="70"/>
      <c r="O120" s="70"/>
      <c r="P120" s="70"/>
      <c r="Q120" s="70"/>
      <c r="R120" s="70"/>
      <c r="S120" s="70"/>
      <c r="T120" s="70"/>
      <c r="U120" s="70"/>
      <c r="V120" s="70"/>
      <c r="W120" s="70"/>
      <c r="X120" s="70"/>
      <c r="Y120" s="70"/>
      <c r="Z120" s="70"/>
      <c r="AA120" s="70"/>
      <c r="AB120" s="70"/>
      <c r="AC120" s="70"/>
      <c r="AD120" s="70"/>
      <c r="AE120" s="70"/>
      <c r="AF120" s="70"/>
      <c r="AG120" s="70"/>
      <c r="AH120" s="70"/>
    </row>
    <row r="121">
      <c r="A121" s="14" t="s">
        <v>427</v>
      </c>
      <c r="B121" s="14">
        <v>1.0</v>
      </c>
      <c r="C121" s="705" t="s">
        <v>108</v>
      </c>
      <c r="D121" s="705" t="s">
        <v>12110</v>
      </c>
      <c r="E121" s="681" t="s">
        <v>49</v>
      </c>
      <c r="G121" s="331"/>
      <c r="H121" s="331"/>
      <c r="I121" s="331"/>
      <c r="J121" s="331"/>
      <c r="M121" s="395" t="s">
        <v>12111</v>
      </c>
    </row>
    <row r="122">
      <c r="A122" s="14" t="s">
        <v>427</v>
      </c>
      <c r="B122" s="14">
        <v>2.0</v>
      </c>
      <c r="C122" s="705" t="s">
        <v>476</v>
      </c>
      <c r="D122" s="705" t="s">
        <v>12123</v>
      </c>
      <c r="E122" s="681" t="s">
        <v>49</v>
      </c>
      <c r="G122" s="331"/>
      <c r="H122" s="331"/>
      <c r="I122" s="331"/>
      <c r="J122" s="331"/>
      <c r="M122" s="395" t="s">
        <v>12125</v>
      </c>
    </row>
    <row r="123">
      <c r="A123" s="70"/>
      <c r="B123" s="70"/>
      <c r="C123" s="701"/>
      <c r="D123" s="701"/>
      <c r="E123" s="70"/>
      <c r="F123" s="70"/>
      <c r="G123" s="344"/>
      <c r="H123" s="344"/>
      <c r="I123" s="344"/>
      <c r="J123" s="344"/>
      <c r="K123" s="70"/>
      <c r="L123" s="70"/>
      <c r="M123" s="70"/>
      <c r="N123" s="70"/>
      <c r="O123" s="70"/>
      <c r="P123" s="70"/>
      <c r="Q123" s="70"/>
      <c r="R123" s="70"/>
      <c r="S123" s="70"/>
      <c r="T123" s="70"/>
      <c r="U123" s="70"/>
      <c r="V123" s="70"/>
      <c r="W123" s="70"/>
      <c r="X123" s="70"/>
      <c r="Y123" s="70"/>
      <c r="Z123" s="70"/>
      <c r="AA123" s="70"/>
      <c r="AB123" s="70"/>
      <c r="AC123" s="70"/>
      <c r="AD123" s="70"/>
      <c r="AE123" s="70"/>
      <c r="AF123" s="70"/>
      <c r="AG123" s="70"/>
      <c r="AH123" s="70"/>
    </row>
    <row r="124">
      <c r="A124" s="14" t="s">
        <v>430</v>
      </c>
      <c r="B124" s="14" t="s">
        <v>431</v>
      </c>
      <c r="C124" s="705" t="s">
        <v>792</v>
      </c>
      <c r="D124" s="705" t="s">
        <v>607</v>
      </c>
      <c r="E124" s="694" t="s">
        <v>53</v>
      </c>
      <c r="G124" s="331"/>
      <c r="H124" s="331"/>
      <c r="I124" s="331"/>
      <c r="J124" s="331"/>
    </row>
    <row r="125">
      <c r="A125" s="14" t="s">
        <v>430</v>
      </c>
      <c r="B125" s="14" t="s">
        <v>434</v>
      </c>
      <c r="C125" s="705" t="s">
        <v>5152</v>
      </c>
      <c r="D125" s="705" t="s">
        <v>12140</v>
      </c>
      <c r="E125" s="681" t="s">
        <v>49</v>
      </c>
      <c r="G125" s="331"/>
      <c r="H125" s="331"/>
      <c r="I125" s="331"/>
      <c r="J125" s="331"/>
    </row>
    <row r="126">
      <c r="A126" s="70"/>
      <c r="B126" s="70"/>
      <c r="C126" s="701"/>
      <c r="D126" s="701"/>
      <c r="E126" s="70"/>
      <c r="F126" s="70"/>
      <c r="G126" s="344"/>
      <c r="H126" s="344"/>
      <c r="I126" s="344"/>
      <c r="J126" s="344"/>
      <c r="K126" s="70"/>
      <c r="L126" s="70"/>
      <c r="M126" s="70"/>
      <c r="N126" s="70"/>
      <c r="O126" s="70"/>
      <c r="P126" s="70"/>
      <c r="Q126" s="70"/>
      <c r="R126" s="70"/>
      <c r="S126" s="70"/>
      <c r="T126" s="70"/>
      <c r="U126" s="70"/>
      <c r="V126" s="70"/>
      <c r="W126" s="70"/>
      <c r="X126" s="70"/>
      <c r="Y126" s="70"/>
      <c r="Z126" s="70"/>
      <c r="AA126" s="70"/>
      <c r="AB126" s="70"/>
      <c r="AC126" s="70"/>
      <c r="AD126" s="70"/>
      <c r="AE126" s="70"/>
      <c r="AF126" s="70"/>
      <c r="AG126" s="70"/>
      <c r="AH126" s="70"/>
    </row>
    <row r="127">
      <c r="A127" s="14" t="s">
        <v>438</v>
      </c>
      <c r="C127" s="705" t="s">
        <v>367</v>
      </c>
      <c r="D127" s="705" t="s">
        <v>12147</v>
      </c>
      <c r="E127" s="681" t="s">
        <v>49</v>
      </c>
      <c r="G127" s="331"/>
      <c r="H127" s="331"/>
      <c r="I127" s="331"/>
      <c r="J127" s="331"/>
    </row>
    <row r="128">
      <c r="A128" s="70"/>
      <c r="B128" s="70"/>
      <c r="C128" s="701"/>
      <c r="D128" s="701"/>
      <c r="E128" s="70"/>
      <c r="F128" s="70"/>
      <c r="G128" s="344"/>
      <c r="H128" s="344"/>
      <c r="I128" s="344"/>
      <c r="J128" s="344"/>
      <c r="K128" s="70"/>
      <c r="L128" s="70"/>
      <c r="M128" s="70"/>
      <c r="N128" s="70"/>
      <c r="O128" s="70"/>
      <c r="P128" s="70"/>
      <c r="Q128" s="70"/>
      <c r="R128" s="70"/>
      <c r="S128" s="70"/>
      <c r="T128" s="70"/>
      <c r="U128" s="70"/>
      <c r="V128" s="70"/>
      <c r="W128" s="70"/>
      <c r="X128" s="70"/>
      <c r="Y128" s="70"/>
      <c r="Z128" s="70"/>
      <c r="AA128" s="70"/>
      <c r="AB128" s="70"/>
      <c r="AC128" s="70"/>
      <c r="AD128" s="70"/>
      <c r="AE128" s="70"/>
      <c r="AF128" s="70"/>
      <c r="AG128" s="70"/>
      <c r="AH128" s="70"/>
    </row>
    <row r="129">
      <c r="C129" s="711"/>
      <c r="D129" s="711"/>
      <c r="G129" s="331"/>
      <c r="H129" s="331"/>
      <c r="I129" s="331"/>
      <c r="J129" s="331"/>
    </row>
    <row r="130">
      <c r="C130" s="711"/>
      <c r="D130" s="711"/>
      <c r="G130" s="331"/>
      <c r="H130" s="331"/>
      <c r="I130" s="331"/>
      <c r="J130" s="331"/>
    </row>
    <row r="131">
      <c r="C131" s="711"/>
      <c r="D131" s="711"/>
      <c r="G131" s="331"/>
      <c r="H131" s="331"/>
      <c r="I131" s="331"/>
      <c r="J131" s="331"/>
    </row>
    <row r="132">
      <c r="C132" s="711"/>
      <c r="D132" s="711"/>
      <c r="G132" s="331"/>
      <c r="H132" s="331"/>
      <c r="I132" s="331"/>
      <c r="J132" s="331"/>
    </row>
    <row r="133">
      <c r="C133" s="711"/>
      <c r="D133" s="711"/>
      <c r="G133" s="331"/>
      <c r="H133" s="331"/>
      <c r="I133" s="331"/>
      <c r="J133" s="331"/>
    </row>
    <row r="134">
      <c r="C134" s="711"/>
      <c r="D134" s="711"/>
      <c r="G134" s="331"/>
      <c r="H134" s="331"/>
      <c r="I134" s="331"/>
      <c r="J134" s="331"/>
    </row>
    <row r="135">
      <c r="C135" s="711"/>
      <c r="D135" s="711"/>
      <c r="G135" s="331"/>
      <c r="H135" s="331"/>
      <c r="I135" s="331"/>
      <c r="J135" s="331"/>
    </row>
    <row r="136">
      <c r="C136" s="711"/>
      <c r="D136" s="711"/>
      <c r="G136" s="331"/>
      <c r="H136" s="331"/>
      <c r="I136" s="331"/>
      <c r="J136" s="331"/>
    </row>
    <row r="137">
      <c r="C137" s="711"/>
      <c r="D137" s="711"/>
      <c r="G137" s="331"/>
      <c r="H137" s="331"/>
      <c r="I137" s="331"/>
      <c r="J137" s="331"/>
    </row>
    <row r="138">
      <c r="C138" s="711"/>
      <c r="D138" s="711"/>
      <c r="G138" s="331"/>
      <c r="H138" s="331"/>
      <c r="I138" s="331"/>
      <c r="J138" s="331"/>
    </row>
    <row r="139">
      <c r="C139" s="711"/>
      <c r="D139" s="711"/>
      <c r="G139" s="331"/>
      <c r="H139" s="331"/>
      <c r="I139" s="331"/>
      <c r="J139" s="331"/>
    </row>
    <row r="140">
      <c r="C140" s="711"/>
      <c r="D140" s="711"/>
      <c r="G140" s="331"/>
      <c r="H140" s="331"/>
      <c r="I140" s="331"/>
      <c r="J140" s="331"/>
    </row>
    <row r="141">
      <c r="C141" s="711"/>
      <c r="D141" s="711"/>
      <c r="G141" s="331"/>
      <c r="H141" s="331"/>
      <c r="I141" s="331"/>
      <c r="J141" s="331"/>
    </row>
    <row r="142">
      <c r="C142" s="711"/>
      <c r="D142" s="711"/>
      <c r="G142" s="331"/>
      <c r="H142" s="331"/>
      <c r="I142" s="331"/>
      <c r="J142" s="331"/>
    </row>
    <row r="143">
      <c r="C143" s="711"/>
      <c r="D143" s="711"/>
      <c r="G143" s="331"/>
      <c r="H143" s="331"/>
      <c r="I143" s="331"/>
      <c r="J143" s="331"/>
    </row>
    <row r="144">
      <c r="C144" s="711"/>
      <c r="D144" s="711"/>
      <c r="G144" s="331"/>
      <c r="H144" s="331"/>
      <c r="I144" s="331"/>
      <c r="J144" s="331"/>
    </row>
    <row r="145">
      <c r="C145" s="711"/>
      <c r="D145" s="711"/>
      <c r="G145" s="331"/>
      <c r="H145" s="331"/>
      <c r="I145" s="331"/>
      <c r="J145" s="331"/>
    </row>
    <row r="146">
      <c r="C146" s="711"/>
      <c r="D146" s="711"/>
      <c r="G146" s="331"/>
      <c r="H146" s="331"/>
      <c r="I146" s="331"/>
      <c r="J146" s="331"/>
    </row>
    <row r="147">
      <c r="C147" s="711"/>
      <c r="D147" s="711"/>
      <c r="G147" s="331"/>
      <c r="H147" s="331"/>
      <c r="I147" s="331"/>
      <c r="J147" s="331"/>
    </row>
    <row r="148">
      <c r="C148" s="711"/>
      <c r="D148" s="711"/>
      <c r="G148" s="331"/>
      <c r="H148" s="331"/>
      <c r="I148" s="331"/>
      <c r="J148" s="331"/>
    </row>
    <row r="149">
      <c r="C149" s="711"/>
      <c r="D149" s="711"/>
      <c r="G149" s="331"/>
      <c r="H149" s="331"/>
      <c r="I149" s="331"/>
      <c r="J149" s="331"/>
    </row>
    <row r="150">
      <c r="C150" s="711"/>
      <c r="D150" s="711"/>
      <c r="G150" s="331"/>
      <c r="H150" s="331"/>
      <c r="I150" s="331"/>
      <c r="J150" s="331"/>
    </row>
    <row r="151">
      <c r="C151" s="711"/>
      <c r="D151" s="711"/>
      <c r="G151" s="331"/>
      <c r="H151" s="331"/>
      <c r="I151" s="331"/>
      <c r="J151" s="331"/>
    </row>
    <row r="152">
      <c r="C152" s="711"/>
      <c r="D152" s="711"/>
      <c r="G152" s="331"/>
      <c r="H152" s="331"/>
      <c r="I152" s="331"/>
      <c r="J152" s="331"/>
    </row>
    <row r="153">
      <c r="C153" s="711"/>
      <c r="D153" s="711"/>
      <c r="G153" s="331"/>
      <c r="H153" s="331"/>
      <c r="I153" s="331"/>
      <c r="J153" s="331"/>
    </row>
    <row r="154">
      <c r="C154" s="711"/>
      <c r="D154" s="711"/>
      <c r="G154" s="331"/>
      <c r="H154" s="331"/>
      <c r="I154" s="331"/>
      <c r="J154" s="331"/>
    </row>
    <row r="155">
      <c r="C155" s="711"/>
      <c r="D155" s="711"/>
      <c r="G155" s="331"/>
      <c r="H155" s="331"/>
      <c r="I155" s="331"/>
      <c r="J155" s="331"/>
    </row>
    <row r="156">
      <c r="C156" s="711"/>
      <c r="D156" s="711"/>
      <c r="G156" s="331"/>
      <c r="H156" s="331"/>
      <c r="I156" s="331"/>
      <c r="J156" s="331"/>
    </row>
    <row r="157">
      <c r="C157" s="711"/>
      <c r="D157" s="711"/>
      <c r="G157" s="331"/>
      <c r="H157" s="331"/>
      <c r="I157" s="331"/>
      <c r="J157" s="331"/>
    </row>
    <row r="158">
      <c r="C158" s="711"/>
      <c r="D158" s="711"/>
      <c r="G158" s="331"/>
      <c r="H158" s="331"/>
      <c r="I158" s="331"/>
      <c r="J158" s="331"/>
    </row>
    <row r="159">
      <c r="C159" s="711"/>
      <c r="D159" s="711"/>
      <c r="G159" s="331"/>
      <c r="H159" s="331"/>
      <c r="I159" s="331"/>
      <c r="J159" s="331"/>
    </row>
    <row r="160">
      <c r="C160" s="711"/>
      <c r="D160" s="711"/>
      <c r="G160" s="331"/>
      <c r="H160" s="331"/>
      <c r="I160" s="331"/>
      <c r="J160" s="331"/>
    </row>
    <row r="161">
      <c r="C161" s="711"/>
      <c r="D161" s="711"/>
      <c r="G161" s="331"/>
      <c r="H161" s="331"/>
      <c r="I161" s="331"/>
      <c r="J161" s="331"/>
    </row>
    <row r="162">
      <c r="C162" s="711"/>
      <c r="D162" s="711"/>
      <c r="G162" s="331"/>
      <c r="H162" s="331"/>
      <c r="I162" s="331"/>
      <c r="J162" s="331"/>
    </row>
    <row r="163">
      <c r="C163" s="711"/>
      <c r="D163" s="711"/>
      <c r="G163" s="331"/>
      <c r="H163" s="331"/>
      <c r="I163" s="331"/>
      <c r="J163" s="331"/>
    </row>
    <row r="164">
      <c r="C164" s="711"/>
      <c r="D164" s="711"/>
      <c r="G164" s="331"/>
      <c r="H164" s="331"/>
      <c r="I164" s="331"/>
      <c r="J164" s="331"/>
    </row>
    <row r="165">
      <c r="C165" s="711"/>
      <c r="D165" s="711"/>
      <c r="G165" s="331"/>
      <c r="H165" s="331"/>
      <c r="I165" s="331"/>
      <c r="J165" s="331"/>
    </row>
    <row r="166">
      <c r="C166" s="711"/>
      <c r="D166" s="711"/>
      <c r="G166" s="331"/>
      <c r="H166" s="331"/>
      <c r="I166" s="331"/>
      <c r="J166" s="331"/>
    </row>
    <row r="167">
      <c r="C167" s="711"/>
      <c r="D167" s="711"/>
      <c r="G167" s="331"/>
      <c r="H167" s="331"/>
      <c r="I167" s="331"/>
      <c r="J167" s="331"/>
    </row>
    <row r="168">
      <c r="C168" s="711"/>
      <c r="D168" s="711"/>
      <c r="G168" s="331"/>
      <c r="H168" s="331"/>
      <c r="I168" s="331"/>
      <c r="J168" s="331"/>
    </row>
    <row r="169">
      <c r="C169" s="711"/>
      <c r="D169" s="711"/>
      <c r="G169" s="331"/>
      <c r="H169" s="331"/>
      <c r="I169" s="331"/>
      <c r="J169" s="331"/>
    </row>
    <row r="170">
      <c r="C170" s="711"/>
      <c r="D170" s="711"/>
      <c r="G170" s="331"/>
      <c r="H170" s="331"/>
      <c r="I170" s="331"/>
      <c r="J170" s="331"/>
    </row>
    <row r="171">
      <c r="C171" s="711"/>
      <c r="D171" s="711"/>
      <c r="G171" s="331"/>
      <c r="H171" s="331"/>
      <c r="I171" s="331"/>
      <c r="J171" s="331"/>
    </row>
    <row r="172">
      <c r="C172" s="711"/>
      <c r="D172" s="711"/>
      <c r="G172" s="331"/>
      <c r="H172" s="331"/>
      <c r="I172" s="331"/>
      <c r="J172" s="331"/>
    </row>
    <row r="173">
      <c r="C173" s="711"/>
      <c r="D173" s="711"/>
      <c r="G173" s="331"/>
      <c r="H173" s="331"/>
      <c r="I173" s="331"/>
      <c r="J173" s="331"/>
    </row>
    <row r="174">
      <c r="C174" s="711"/>
      <c r="D174" s="711"/>
      <c r="G174" s="331"/>
      <c r="H174" s="331"/>
      <c r="I174" s="331"/>
      <c r="J174" s="331"/>
    </row>
    <row r="175">
      <c r="C175" s="711"/>
      <c r="D175" s="711"/>
      <c r="G175" s="331"/>
      <c r="H175" s="331"/>
      <c r="I175" s="331"/>
      <c r="J175" s="331"/>
    </row>
    <row r="176">
      <c r="C176" s="711"/>
      <c r="D176" s="711"/>
      <c r="G176" s="331"/>
      <c r="H176" s="331"/>
      <c r="I176" s="331"/>
      <c r="J176" s="331"/>
    </row>
    <row r="177">
      <c r="C177" s="711"/>
      <c r="D177" s="711"/>
      <c r="G177" s="331"/>
      <c r="H177" s="331"/>
      <c r="I177" s="331"/>
      <c r="J177" s="331"/>
    </row>
    <row r="178">
      <c r="C178" s="711"/>
      <c r="D178" s="711"/>
      <c r="G178" s="331"/>
      <c r="H178" s="331"/>
      <c r="I178" s="331"/>
      <c r="J178" s="331"/>
    </row>
    <row r="179">
      <c r="C179" s="711"/>
      <c r="D179" s="711"/>
      <c r="G179" s="331"/>
      <c r="H179" s="331"/>
      <c r="I179" s="331"/>
      <c r="J179" s="331"/>
    </row>
    <row r="180">
      <c r="C180" s="711"/>
      <c r="D180" s="711"/>
      <c r="G180" s="331"/>
      <c r="H180" s="331"/>
      <c r="I180" s="331"/>
      <c r="J180" s="331"/>
    </row>
    <row r="181">
      <c r="C181" s="711"/>
      <c r="D181" s="711"/>
      <c r="G181" s="331"/>
      <c r="H181" s="331"/>
      <c r="I181" s="331"/>
      <c r="J181" s="331"/>
    </row>
    <row r="182">
      <c r="C182" s="711"/>
      <c r="D182" s="711"/>
      <c r="G182" s="331"/>
      <c r="H182" s="331"/>
      <c r="I182" s="331"/>
      <c r="J182" s="331"/>
    </row>
    <row r="183">
      <c r="C183" s="711"/>
      <c r="D183" s="711"/>
      <c r="G183" s="331"/>
      <c r="H183" s="331"/>
      <c r="I183" s="331"/>
      <c r="J183" s="331"/>
    </row>
    <row r="184">
      <c r="C184" s="711"/>
      <c r="D184" s="711"/>
      <c r="G184" s="331"/>
      <c r="H184" s="331"/>
      <c r="I184" s="331"/>
      <c r="J184" s="331"/>
    </row>
    <row r="185">
      <c r="C185" s="711"/>
      <c r="D185" s="711"/>
      <c r="G185" s="331"/>
      <c r="H185" s="331"/>
      <c r="I185" s="331"/>
      <c r="J185" s="331"/>
    </row>
    <row r="186">
      <c r="C186" s="711"/>
      <c r="D186" s="711"/>
      <c r="G186" s="331"/>
      <c r="H186" s="331"/>
      <c r="I186" s="331"/>
      <c r="J186" s="331"/>
    </row>
    <row r="187">
      <c r="C187" s="711"/>
      <c r="D187" s="711"/>
      <c r="G187" s="331"/>
      <c r="H187" s="331"/>
      <c r="I187" s="331"/>
      <c r="J187" s="331"/>
    </row>
    <row r="188">
      <c r="C188" s="711"/>
      <c r="D188" s="711"/>
      <c r="G188" s="331"/>
      <c r="H188" s="331"/>
      <c r="I188" s="331"/>
      <c r="J188" s="331"/>
    </row>
    <row r="189">
      <c r="C189" s="711"/>
      <c r="D189" s="711"/>
      <c r="G189" s="331"/>
      <c r="H189" s="331"/>
      <c r="I189" s="331"/>
      <c r="J189" s="331"/>
    </row>
    <row r="190">
      <c r="C190" s="711"/>
      <c r="D190" s="711"/>
      <c r="G190" s="331"/>
      <c r="H190" s="331"/>
      <c r="I190" s="331"/>
      <c r="J190" s="331"/>
    </row>
    <row r="191">
      <c r="C191" s="711"/>
      <c r="D191" s="711"/>
      <c r="G191" s="331"/>
      <c r="H191" s="331"/>
      <c r="I191" s="331"/>
      <c r="J191" s="331"/>
    </row>
    <row r="192">
      <c r="C192" s="711"/>
      <c r="D192" s="711"/>
      <c r="G192" s="331"/>
      <c r="H192" s="331"/>
      <c r="I192" s="331"/>
      <c r="J192" s="331"/>
    </row>
    <row r="193">
      <c r="C193" s="711"/>
      <c r="D193" s="711"/>
      <c r="G193" s="331"/>
      <c r="H193" s="331"/>
      <c r="I193" s="331"/>
      <c r="J193" s="331"/>
    </row>
    <row r="194">
      <c r="C194" s="711"/>
      <c r="D194" s="711"/>
      <c r="G194" s="331"/>
      <c r="H194" s="331"/>
      <c r="I194" s="331"/>
      <c r="J194" s="331"/>
    </row>
    <row r="195">
      <c r="C195" s="711"/>
      <c r="D195" s="711"/>
      <c r="G195" s="331"/>
      <c r="H195" s="331"/>
      <c r="I195" s="331"/>
      <c r="J195" s="331"/>
    </row>
    <row r="196">
      <c r="C196" s="711"/>
      <c r="D196" s="711"/>
      <c r="G196" s="331"/>
      <c r="H196" s="331"/>
      <c r="I196" s="331"/>
      <c r="J196" s="331"/>
    </row>
    <row r="197">
      <c r="C197" s="711"/>
      <c r="D197" s="711"/>
      <c r="G197" s="331"/>
      <c r="H197" s="331"/>
      <c r="I197" s="331"/>
      <c r="J197" s="331"/>
    </row>
    <row r="198">
      <c r="C198" s="711"/>
      <c r="D198" s="711"/>
      <c r="G198" s="331"/>
      <c r="H198" s="331"/>
      <c r="I198" s="331"/>
      <c r="J198" s="331"/>
    </row>
    <row r="199">
      <c r="C199" s="711"/>
      <c r="D199" s="711"/>
      <c r="G199" s="331"/>
      <c r="H199" s="331"/>
      <c r="I199" s="331"/>
      <c r="J199" s="331"/>
    </row>
    <row r="200">
      <c r="C200" s="711"/>
      <c r="D200" s="711"/>
      <c r="G200" s="331"/>
      <c r="H200" s="331"/>
      <c r="I200" s="331"/>
      <c r="J200" s="331"/>
    </row>
    <row r="201">
      <c r="C201" s="711"/>
      <c r="D201" s="711"/>
      <c r="G201" s="331"/>
      <c r="H201" s="331"/>
      <c r="I201" s="331"/>
      <c r="J201" s="331"/>
    </row>
    <row r="202">
      <c r="C202" s="711"/>
      <c r="D202" s="711"/>
      <c r="G202" s="331"/>
      <c r="H202" s="331"/>
      <c r="I202" s="331"/>
      <c r="J202" s="331"/>
    </row>
    <row r="203">
      <c r="C203" s="711"/>
      <c r="D203" s="711"/>
      <c r="G203" s="331"/>
      <c r="H203" s="331"/>
      <c r="I203" s="331"/>
      <c r="J203" s="331"/>
    </row>
    <row r="204">
      <c r="C204" s="711"/>
      <c r="D204" s="711"/>
      <c r="G204" s="331"/>
      <c r="H204" s="331"/>
      <c r="I204" s="331"/>
      <c r="J204" s="331"/>
    </row>
    <row r="205">
      <c r="C205" s="711"/>
      <c r="D205" s="711"/>
      <c r="G205" s="331"/>
      <c r="H205" s="331"/>
      <c r="I205" s="331"/>
      <c r="J205" s="331"/>
    </row>
    <row r="206">
      <c r="C206" s="711"/>
      <c r="D206" s="711"/>
      <c r="G206" s="331"/>
      <c r="H206" s="331"/>
      <c r="I206" s="331"/>
      <c r="J206" s="331"/>
    </row>
    <row r="207">
      <c r="C207" s="711"/>
      <c r="D207" s="711"/>
      <c r="G207" s="331"/>
      <c r="H207" s="331"/>
      <c r="I207" s="331"/>
      <c r="J207" s="331"/>
    </row>
    <row r="208">
      <c r="C208" s="711"/>
      <c r="D208" s="711"/>
      <c r="G208" s="331"/>
      <c r="H208" s="331"/>
      <c r="I208" s="331"/>
      <c r="J208" s="331"/>
    </row>
    <row r="209">
      <c r="C209" s="711"/>
      <c r="D209" s="711"/>
      <c r="G209" s="331"/>
      <c r="H209" s="331"/>
      <c r="I209" s="331"/>
      <c r="J209" s="331"/>
    </row>
    <row r="210">
      <c r="C210" s="711"/>
      <c r="D210" s="711"/>
      <c r="G210" s="331"/>
      <c r="H210" s="331"/>
      <c r="I210" s="331"/>
      <c r="J210" s="331"/>
    </row>
    <row r="211">
      <c r="C211" s="711"/>
      <c r="D211" s="711"/>
      <c r="G211" s="331"/>
      <c r="H211" s="331"/>
      <c r="I211" s="331"/>
      <c r="J211" s="331"/>
    </row>
    <row r="212">
      <c r="C212" s="711"/>
      <c r="D212" s="711"/>
      <c r="G212" s="331"/>
      <c r="H212" s="331"/>
      <c r="I212" s="331"/>
      <c r="J212" s="331"/>
    </row>
    <row r="213">
      <c r="C213" s="711"/>
      <c r="D213" s="711"/>
      <c r="G213" s="331"/>
      <c r="H213" s="331"/>
      <c r="I213" s="331"/>
      <c r="J213" s="331"/>
    </row>
    <row r="214">
      <c r="C214" s="711"/>
      <c r="D214" s="711"/>
      <c r="G214" s="331"/>
      <c r="H214" s="331"/>
      <c r="I214" s="331"/>
      <c r="J214" s="331"/>
    </row>
    <row r="215">
      <c r="C215" s="711"/>
      <c r="D215" s="711"/>
      <c r="G215" s="331"/>
      <c r="H215" s="331"/>
      <c r="I215" s="331"/>
      <c r="J215" s="331"/>
    </row>
    <row r="216">
      <c r="C216" s="711"/>
      <c r="D216" s="711"/>
      <c r="G216" s="331"/>
      <c r="H216" s="331"/>
      <c r="I216" s="331"/>
      <c r="J216" s="331"/>
    </row>
    <row r="217">
      <c r="C217" s="711"/>
      <c r="D217" s="711"/>
      <c r="G217" s="331"/>
      <c r="H217" s="331"/>
      <c r="I217" s="331"/>
      <c r="J217" s="331"/>
    </row>
    <row r="218">
      <c r="C218" s="711"/>
      <c r="D218" s="711"/>
      <c r="G218" s="331"/>
      <c r="H218" s="331"/>
      <c r="I218" s="331"/>
      <c r="J218" s="331"/>
    </row>
    <row r="219">
      <c r="C219" s="711"/>
      <c r="D219" s="711"/>
      <c r="G219" s="331"/>
      <c r="H219" s="331"/>
      <c r="I219" s="331"/>
      <c r="J219" s="331"/>
    </row>
    <row r="220">
      <c r="C220" s="711"/>
      <c r="D220" s="711"/>
      <c r="G220" s="331"/>
      <c r="H220" s="331"/>
      <c r="I220" s="331"/>
      <c r="J220" s="331"/>
    </row>
    <row r="221">
      <c r="C221" s="711"/>
      <c r="D221" s="711"/>
      <c r="G221" s="331"/>
      <c r="H221" s="331"/>
      <c r="I221" s="331"/>
      <c r="J221" s="331"/>
    </row>
    <row r="222">
      <c r="C222" s="711"/>
      <c r="D222" s="711"/>
      <c r="G222" s="331"/>
      <c r="H222" s="331"/>
      <c r="I222" s="331"/>
      <c r="J222" s="331"/>
    </row>
    <row r="223">
      <c r="C223" s="711"/>
      <c r="D223" s="711"/>
      <c r="G223" s="331"/>
      <c r="H223" s="331"/>
      <c r="I223" s="331"/>
      <c r="J223" s="331"/>
    </row>
    <row r="224">
      <c r="C224" s="711"/>
      <c r="D224" s="711"/>
      <c r="G224" s="331"/>
      <c r="H224" s="331"/>
      <c r="I224" s="331"/>
      <c r="J224" s="331"/>
    </row>
    <row r="225">
      <c r="C225" s="711"/>
      <c r="D225" s="711"/>
      <c r="G225" s="331"/>
      <c r="H225" s="331"/>
      <c r="I225" s="331"/>
      <c r="J225" s="331"/>
    </row>
    <row r="226">
      <c r="C226" s="711"/>
      <c r="D226" s="711"/>
      <c r="G226" s="331"/>
      <c r="H226" s="331"/>
      <c r="I226" s="331"/>
      <c r="J226" s="331"/>
    </row>
    <row r="227">
      <c r="C227" s="711"/>
      <c r="D227" s="711"/>
      <c r="G227" s="331"/>
      <c r="H227" s="331"/>
      <c r="I227" s="331"/>
      <c r="J227" s="331"/>
    </row>
    <row r="228">
      <c r="C228" s="711"/>
      <c r="D228" s="711"/>
      <c r="G228" s="331"/>
      <c r="H228" s="331"/>
      <c r="I228" s="331"/>
      <c r="J228" s="331"/>
    </row>
    <row r="229">
      <c r="C229" s="711"/>
      <c r="D229" s="711"/>
      <c r="G229" s="331"/>
      <c r="H229" s="331"/>
      <c r="I229" s="331"/>
      <c r="J229" s="331"/>
    </row>
    <row r="230">
      <c r="C230" s="711"/>
      <c r="D230" s="711"/>
      <c r="G230" s="331"/>
      <c r="H230" s="331"/>
      <c r="I230" s="331"/>
      <c r="J230" s="331"/>
    </row>
    <row r="231">
      <c r="C231" s="711"/>
      <c r="D231" s="711"/>
      <c r="G231" s="331"/>
      <c r="H231" s="331"/>
      <c r="I231" s="331"/>
      <c r="J231" s="331"/>
    </row>
    <row r="232">
      <c r="C232" s="711"/>
      <c r="D232" s="711"/>
      <c r="G232" s="331"/>
      <c r="H232" s="331"/>
      <c r="I232" s="331"/>
      <c r="J232" s="331"/>
    </row>
    <row r="233">
      <c r="C233" s="711"/>
      <c r="D233" s="711"/>
      <c r="G233" s="331"/>
      <c r="H233" s="331"/>
      <c r="I233" s="331"/>
      <c r="J233" s="331"/>
    </row>
    <row r="234">
      <c r="C234" s="711"/>
      <c r="D234" s="711"/>
      <c r="G234" s="331"/>
      <c r="H234" s="331"/>
      <c r="I234" s="331"/>
      <c r="J234" s="331"/>
    </row>
    <row r="235">
      <c r="C235" s="711"/>
      <c r="D235" s="711"/>
      <c r="G235" s="331"/>
      <c r="H235" s="331"/>
      <c r="I235" s="331"/>
      <c r="J235" s="331"/>
    </row>
    <row r="236">
      <c r="C236" s="711"/>
      <c r="D236" s="711"/>
      <c r="G236" s="331"/>
      <c r="H236" s="331"/>
      <c r="I236" s="331"/>
      <c r="J236" s="331"/>
    </row>
    <row r="237">
      <c r="C237" s="711"/>
      <c r="D237" s="711"/>
      <c r="G237" s="331"/>
      <c r="H237" s="331"/>
      <c r="I237" s="331"/>
      <c r="J237" s="331"/>
    </row>
    <row r="238">
      <c r="C238" s="711"/>
      <c r="D238" s="711"/>
      <c r="G238" s="331"/>
      <c r="H238" s="331"/>
      <c r="I238" s="331"/>
      <c r="J238" s="331"/>
    </row>
    <row r="239">
      <c r="C239" s="711"/>
      <c r="D239" s="711"/>
      <c r="G239" s="331"/>
      <c r="H239" s="331"/>
      <c r="I239" s="331"/>
      <c r="J239" s="331"/>
    </row>
    <row r="240">
      <c r="C240" s="711"/>
      <c r="D240" s="711"/>
      <c r="G240" s="331"/>
      <c r="H240" s="331"/>
      <c r="I240" s="331"/>
      <c r="J240" s="331"/>
    </row>
    <row r="241">
      <c r="C241" s="711"/>
      <c r="D241" s="711"/>
      <c r="G241" s="331"/>
      <c r="H241" s="331"/>
      <c r="I241" s="331"/>
      <c r="J241" s="331"/>
    </row>
    <row r="242">
      <c r="C242" s="711"/>
      <c r="D242" s="711"/>
      <c r="G242" s="331"/>
      <c r="H242" s="331"/>
      <c r="I242" s="331"/>
      <c r="J242" s="331"/>
    </row>
    <row r="243">
      <c r="C243" s="711"/>
      <c r="D243" s="711"/>
      <c r="G243" s="331"/>
      <c r="H243" s="331"/>
      <c r="I243" s="331"/>
      <c r="J243" s="331"/>
    </row>
    <row r="244">
      <c r="C244" s="711"/>
      <c r="D244" s="711"/>
      <c r="G244" s="331"/>
      <c r="H244" s="331"/>
      <c r="I244" s="331"/>
      <c r="J244" s="331"/>
    </row>
    <row r="245">
      <c r="C245" s="711"/>
      <c r="D245" s="711"/>
      <c r="G245" s="331"/>
      <c r="H245" s="331"/>
      <c r="I245" s="331"/>
      <c r="J245" s="331"/>
    </row>
    <row r="246">
      <c r="C246" s="711"/>
      <c r="D246" s="711"/>
      <c r="G246" s="331"/>
      <c r="H246" s="331"/>
      <c r="I246" s="331"/>
      <c r="J246" s="331"/>
    </row>
    <row r="247">
      <c r="C247" s="711"/>
      <c r="D247" s="711"/>
      <c r="G247" s="331"/>
      <c r="H247" s="331"/>
      <c r="I247" s="331"/>
      <c r="J247" s="331"/>
    </row>
    <row r="248">
      <c r="C248" s="711"/>
      <c r="D248" s="711"/>
      <c r="G248" s="331"/>
      <c r="H248" s="331"/>
      <c r="I248" s="331"/>
      <c r="J248" s="331"/>
    </row>
    <row r="249">
      <c r="C249" s="711"/>
      <c r="D249" s="711"/>
      <c r="G249" s="331"/>
      <c r="H249" s="331"/>
      <c r="I249" s="331"/>
      <c r="J249" s="331"/>
    </row>
    <row r="250">
      <c r="C250" s="711"/>
      <c r="D250" s="711"/>
      <c r="G250" s="331"/>
      <c r="H250" s="331"/>
      <c r="I250" s="331"/>
      <c r="J250" s="331"/>
    </row>
    <row r="251">
      <c r="C251" s="711"/>
      <c r="D251" s="711"/>
      <c r="G251" s="331"/>
      <c r="H251" s="331"/>
      <c r="I251" s="331"/>
      <c r="J251" s="331"/>
    </row>
    <row r="252">
      <c r="C252" s="711"/>
      <c r="D252" s="711"/>
      <c r="G252" s="331"/>
      <c r="H252" s="331"/>
      <c r="I252" s="331"/>
      <c r="J252" s="331"/>
    </row>
    <row r="253">
      <c r="C253" s="711"/>
      <c r="D253" s="711"/>
      <c r="G253" s="331"/>
      <c r="H253" s="331"/>
      <c r="I253" s="331"/>
      <c r="J253" s="331"/>
    </row>
    <row r="254">
      <c r="C254" s="711"/>
      <c r="D254" s="711"/>
      <c r="G254" s="331"/>
      <c r="H254" s="331"/>
      <c r="I254" s="331"/>
      <c r="J254" s="331"/>
    </row>
    <row r="255">
      <c r="C255" s="711"/>
      <c r="D255" s="711"/>
      <c r="G255" s="331"/>
      <c r="H255" s="331"/>
      <c r="I255" s="331"/>
      <c r="J255" s="331"/>
    </row>
    <row r="256">
      <c r="C256" s="711"/>
      <c r="D256" s="711"/>
      <c r="G256" s="331"/>
      <c r="H256" s="331"/>
      <c r="I256" s="331"/>
      <c r="J256" s="331"/>
    </row>
    <row r="257">
      <c r="C257" s="711"/>
      <c r="D257" s="711"/>
      <c r="G257" s="331"/>
      <c r="H257" s="331"/>
      <c r="I257" s="331"/>
      <c r="J257" s="331"/>
    </row>
    <row r="258">
      <c r="C258" s="711"/>
      <c r="D258" s="711"/>
      <c r="G258" s="331"/>
      <c r="H258" s="331"/>
      <c r="I258" s="331"/>
      <c r="J258" s="331"/>
    </row>
    <row r="259">
      <c r="C259" s="711"/>
      <c r="D259" s="711"/>
      <c r="G259" s="331"/>
      <c r="H259" s="331"/>
      <c r="I259" s="331"/>
      <c r="J259" s="331"/>
    </row>
    <row r="260">
      <c r="C260" s="711"/>
      <c r="D260" s="711"/>
      <c r="G260" s="331"/>
      <c r="H260" s="331"/>
      <c r="I260" s="331"/>
      <c r="J260" s="331"/>
    </row>
    <row r="261">
      <c r="C261" s="711"/>
      <c r="D261" s="711"/>
      <c r="G261" s="331"/>
      <c r="H261" s="331"/>
      <c r="I261" s="331"/>
      <c r="J261" s="331"/>
    </row>
    <row r="262">
      <c r="C262" s="711"/>
      <c r="D262" s="711"/>
      <c r="G262" s="331"/>
      <c r="H262" s="331"/>
      <c r="I262" s="331"/>
      <c r="J262" s="331"/>
    </row>
    <row r="263">
      <c r="C263" s="711"/>
      <c r="D263" s="711"/>
      <c r="G263" s="331"/>
      <c r="H263" s="331"/>
      <c r="I263" s="331"/>
      <c r="J263" s="331"/>
    </row>
    <row r="264">
      <c r="C264" s="711"/>
      <c r="D264" s="711"/>
      <c r="G264" s="331"/>
      <c r="H264" s="331"/>
      <c r="I264" s="331"/>
      <c r="J264" s="331"/>
    </row>
    <row r="265">
      <c r="C265" s="711"/>
      <c r="D265" s="711"/>
      <c r="G265" s="331"/>
      <c r="H265" s="331"/>
      <c r="I265" s="331"/>
      <c r="J265" s="331"/>
    </row>
    <row r="266">
      <c r="C266" s="711"/>
      <c r="D266" s="711"/>
      <c r="G266" s="331"/>
      <c r="H266" s="331"/>
      <c r="I266" s="331"/>
      <c r="J266" s="331"/>
    </row>
    <row r="267">
      <c r="C267" s="711"/>
      <c r="D267" s="711"/>
      <c r="G267" s="331"/>
      <c r="H267" s="331"/>
      <c r="I267" s="331"/>
      <c r="J267" s="331"/>
    </row>
    <row r="268">
      <c r="C268" s="711"/>
      <c r="D268" s="711"/>
      <c r="G268" s="331"/>
      <c r="H268" s="331"/>
      <c r="I268" s="331"/>
      <c r="J268" s="331"/>
    </row>
    <row r="269">
      <c r="C269" s="711"/>
      <c r="D269" s="711"/>
      <c r="G269" s="331"/>
      <c r="H269" s="331"/>
      <c r="I269" s="331"/>
      <c r="J269" s="331"/>
    </row>
    <row r="270">
      <c r="C270" s="711"/>
      <c r="D270" s="711"/>
      <c r="G270" s="331"/>
      <c r="H270" s="331"/>
      <c r="I270" s="331"/>
      <c r="J270" s="331"/>
    </row>
    <row r="271">
      <c r="C271" s="711"/>
      <c r="D271" s="711"/>
      <c r="G271" s="331"/>
      <c r="H271" s="331"/>
      <c r="I271" s="331"/>
      <c r="J271" s="331"/>
    </row>
    <row r="272">
      <c r="C272" s="711"/>
      <c r="D272" s="711"/>
      <c r="G272" s="331"/>
      <c r="H272" s="331"/>
      <c r="I272" s="331"/>
      <c r="J272" s="331"/>
    </row>
    <row r="273">
      <c r="C273" s="711"/>
      <c r="D273" s="711"/>
      <c r="G273" s="331"/>
      <c r="H273" s="331"/>
      <c r="I273" s="331"/>
      <c r="J273" s="331"/>
    </row>
    <row r="274">
      <c r="C274" s="711"/>
      <c r="D274" s="711"/>
      <c r="G274" s="331"/>
      <c r="H274" s="331"/>
      <c r="I274" s="331"/>
      <c r="J274" s="331"/>
    </row>
    <row r="275">
      <c r="C275" s="711"/>
      <c r="D275" s="711"/>
      <c r="G275" s="331"/>
      <c r="H275" s="331"/>
      <c r="I275" s="331"/>
      <c r="J275" s="331"/>
    </row>
    <row r="276">
      <c r="C276" s="711"/>
      <c r="D276" s="711"/>
      <c r="G276" s="331"/>
      <c r="H276" s="331"/>
      <c r="I276" s="331"/>
      <c r="J276" s="331"/>
    </row>
    <row r="277">
      <c r="C277" s="711"/>
      <c r="D277" s="711"/>
      <c r="G277" s="331"/>
      <c r="H277" s="331"/>
      <c r="I277" s="331"/>
      <c r="J277" s="331"/>
    </row>
    <row r="278">
      <c r="C278" s="711"/>
      <c r="D278" s="711"/>
      <c r="G278" s="331"/>
      <c r="H278" s="331"/>
      <c r="I278" s="331"/>
      <c r="J278" s="331"/>
    </row>
    <row r="279">
      <c r="C279" s="711"/>
      <c r="D279" s="711"/>
      <c r="G279" s="331"/>
      <c r="H279" s="331"/>
      <c r="I279" s="331"/>
      <c r="J279" s="331"/>
    </row>
    <row r="280">
      <c r="C280" s="711"/>
      <c r="D280" s="711"/>
      <c r="G280" s="331"/>
      <c r="H280" s="331"/>
      <c r="I280" s="331"/>
      <c r="J280" s="331"/>
    </row>
    <row r="281">
      <c r="C281" s="711"/>
      <c r="D281" s="711"/>
      <c r="G281" s="331"/>
      <c r="H281" s="331"/>
      <c r="I281" s="331"/>
      <c r="J281" s="331"/>
    </row>
    <row r="282">
      <c r="C282" s="711"/>
      <c r="D282" s="711"/>
      <c r="G282" s="331"/>
      <c r="H282" s="331"/>
      <c r="I282" s="331"/>
      <c r="J282" s="331"/>
    </row>
    <row r="283">
      <c r="C283" s="711"/>
      <c r="D283" s="711"/>
      <c r="G283" s="331"/>
      <c r="H283" s="331"/>
      <c r="I283" s="331"/>
      <c r="J283" s="331"/>
    </row>
    <row r="284">
      <c r="C284" s="711"/>
      <c r="D284" s="711"/>
      <c r="G284" s="331"/>
      <c r="H284" s="331"/>
      <c r="I284" s="331"/>
      <c r="J284" s="331"/>
    </row>
    <row r="285">
      <c r="C285" s="711"/>
      <c r="D285" s="711"/>
      <c r="G285" s="331"/>
      <c r="H285" s="331"/>
      <c r="I285" s="331"/>
      <c r="J285" s="331"/>
    </row>
    <row r="286">
      <c r="C286" s="711"/>
      <c r="D286" s="711"/>
      <c r="G286" s="331"/>
      <c r="H286" s="331"/>
      <c r="I286" s="331"/>
      <c r="J286" s="331"/>
    </row>
    <row r="287">
      <c r="C287" s="711"/>
      <c r="D287" s="711"/>
      <c r="G287" s="331"/>
      <c r="H287" s="331"/>
      <c r="I287" s="331"/>
      <c r="J287" s="331"/>
    </row>
    <row r="288">
      <c r="C288" s="711"/>
      <c r="D288" s="711"/>
      <c r="G288" s="331"/>
      <c r="H288" s="331"/>
      <c r="I288" s="331"/>
      <c r="J288" s="331"/>
    </row>
    <row r="289">
      <c r="C289" s="711"/>
      <c r="D289" s="711"/>
      <c r="G289" s="331"/>
      <c r="H289" s="331"/>
      <c r="I289" s="331"/>
      <c r="J289" s="331"/>
    </row>
    <row r="290">
      <c r="C290" s="711"/>
      <c r="D290" s="711"/>
      <c r="G290" s="331"/>
      <c r="H290" s="331"/>
      <c r="I290" s="331"/>
      <c r="J290" s="331"/>
    </row>
    <row r="291">
      <c r="C291" s="711"/>
      <c r="D291" s="711"/>
      <c r="G291" s="331"/>
      <c r="H291" s="331"/>
      <c r="I291" s="331"/>
      <c r="J291" s="331"/>
    </row>
    <row r="292">
      <c r="C292" s="711"/>
      <c r="D292" s="711"/>
      <c r="G292" s="331"/>
      <c r="H292" s="331"/>
      <c r="I292" s="331"/>
      <c r="J292" s="331"/>
    </row>
    <row r="293">
      <c r="C293" s="711"/>
      <c r="D293" s="711"/>
      <c r="G293" s="331"/>
      <c r="H293" s="331"/>
      <c r="I293" s="331"/>
      <c r="J293" s="331"/>
    </row>
    <row r="294">
      <c r="C294" s="711"/>
      <c r="D294" s="711"/>
      <c r="G294" s="331"/>
      <c r="H294" s="331"/>
      <c r="I294" s="331"/>
      <c r="J294" s="331"/>
    </row>
    <row r="295">
      <c r="C295" s="711"/>
      <c r="D295" s="711"/>
      <c r="G295" s="331"/>
      <c r="H295" s="331"/>
      <c r="I295" s="331"/>
      <c r="J295" s="331"/>
    </row>
    <row r="296">
      <c r="C296" s="711"/>
      <c r="D296" s="711"/>
      <c r="G296" s="331"/>
      <c r="H296" s="331"/>
      <c r="I296" s="331"/>
      <c r="J296" s="331"/>
    </row>
    <row r="297">
      <c r="C297" s="711"/>
      <c r="D297" s="711"/>
      <c r="G297" s="331"/>
      <c r="H297" s="331"/>
      <c r="I297" s="331"/>
      <c r="J297" s="331"/>
    </row>
    <row r="298">
      <c r="C298" s="711"/>
      <c r="D298" s="711"/>
      <c r="G298" s="331"/>
      <c r="H298" s="331"/>
      <c r="I298" s="331"/>
      <c r="J298" s="331"/>
    </row>
    <row r="299">
      <c r="C299" s="711"/>
      <c r="D299" s="711"/>
      <c r="G299" s="331"/>
      <c r="H299" s="331"/>
      <c r="I299" s="331"/>
      <c r="J299" s="331"/>
    </row>
    <row r="300">
      <c r="C300" s="711"/>
      <c r="D300" s="711"/>
      <c r="G300" s="331"/>
      <c r="H300" s="331"/>
      <c r="I300" s="331"/>
      <c r="J300" s="331"/>
    </row>
    <row r="301">
      <c r="C301" s="711"/>
      <c r="D301" s="711"/>
      <c r="G301" s="331"/>
      <c r="H301" s="331"/>
      <c r="I301" s="331"/>
      <c r="J301" s="331"/>
    </row>
    <row r="302">
      <c r="C302" s="711"/>
      <c r="D302" s="711"/>
      <c r="G302" s="331"/>
      <c r="H302" s="331"/>
      <c r="I302" s="331"/>
      <c r="J302" s="331"/>
    </row>
    <row r="303">
      <c r="C303" s="711"/>
      <c r="D303" s="711"/>
      <c r="G303" s="331"/>
      <c r="H303" s="331"/>
      <c r="I303" s="331"/>
      <c r="J303" s="331"/>
    </row>
    <row r="304">
      <c r="C304" s="711"/>
      <c r="D304" s="711"/>
      <c r="G304" s="331"/>
      <c r="H304" s="331"/>
      <c r="I304" s="331"/>
      <c r="J304" s="331"/>
    </row>
    <row r="305">
      <c r="C305" s="711"/>
      <c r="D305" s="711"/>
      <c r="G305" s="331"/>
      <c r="H305" s="331"/>
      <c r="I305" s="331"/>
      <c r="J305" s="331"/>
    </row>
    <row r="306">
      <c r="C306" s="711"/>
      <c r="D306" s="711"/>
      <c r="G306" s="331"/>
      <c r="H306" s="331"/>
      <c r="I306" s="331"/>
      <c r="J306" s="331"/>
    </row>
    <row r="307">
      <c r="C307" s="711"/>
      <c r="D307" s="711"/>
      <c r="G307" s="331"/>
      <c r="H307" s="331"/>
      <c r="I307" s="331"/>
      <c r="J307" s="331"/>
    </row>
    <row r="308">
      <c r="C308" s="711"/>
      <c r="D308" s="711"/>
      <c r="G308" s="331"/>
      <c r="H308" s="331"/>
      <c r="I308" s="331"/>
      <c r="J308" s="331"/>
    </row>
    <row r="309">
      <c r="C309" s="711"/>
      <c r="D309" s="711"/>
      <c r="G309" s="331"/>
      <c r="H309" s="331"/>
      <c r="I309" s="331"/>
      <c r="J309" s="331"/>
    </row>
    <row r="310">
      <c r="C310" s="711"/>
      <c r="D310" s="711"/>
      <c r="G310" s="331"/>
      <c r="H310" s="331"/>
      <c r="I310" s="331"/>
      <c r="J310" s="331"/>
    </row>
    <row r="311">
      <c r="C311" s="711"/>
      <c r="D311" s="711"/>
      <c r="G311" s="331"/>
      <c r="H311" s="331"/>
      <c r="I311" s="331"/>
      <c r="J311" s="331"/>
    </row>
    <row r="312">
      <c r="C312" s="711"/>
      <c r="D312" s="711"/>
      <c r="G312" s="331"/>
      <c r="H312" s="331"/>
      <c r="I312" s="331"/>
      <c r="J312" s="331"/>
    </row>
    <row r="313">
      <c r="C313" s="711"/>
      <c r="D313" s="711"/>
      <c r="G313" s="331"/>
      <c r="H313" s="331"/>
      <c r="I313" s="331"/>
      <c r="J313" s="331"/>
    </row>
    <row r="314">
      <c r="C314" s="711"/>
      <c r="D314" s="711"/>
      <c r="G314" s="331"/>
      <c r="H314" s="331"/>
      <c r="I314" s="331"/>
      <c r="J314" s="331"/>
    </row>
    <row r="315">
      <c r="C315" s="711"/>
      <c r="D315" s="711"/>
      <c r="G315" s="331"/>
      <c r="H315" s="331"/>
      <c r="I315" s="331"/>
      <c r="J315" s="331"/>
    </row>
    <row r="316">
      <c r="C316" s="711"/>
      <c r="D316" s="711"/>
      <c r="G316" s="331"/>
      <c r="H316" s="331"/>
      <c r="I316" s="331"/>
      <c r="J316" s="331"/>
    </row>
    <row r="317">
      <c r="C317" s="711"/>
      <c r="D317" s="711"/>
      <c r="G317" s="331"/>
      <c r="H317" s="331"/>
      <c r="I317" s="331"/>
      <c r="J317" s="331"/>
    </row>
    <row r="318">
      <c r="C318" s="711"/>
      <c r="D318" s="711"/>
      <c r="G318" s="331"/>
      <c r="H318" s="331"/>
      <c r="I318" s="331"/>
      <c r="J318" s="331"/>
    </row>
    <row r="319">
      <c r="C319" s="711"/>
      <c r="D319" s="711"/>
      <c r="G319" s="331"/>
      <c r="H319" s="331"/>
      <c r="I319" s="331"/>
      <c r="J319" s="331"/>
    </row>
    <row r="320">
      <c r="C320" s="711"/>
      <c r="D320" s="711"/>
      <c r="G320" s="331"/>
      <c r="H320" s="331"/>
      <c r="I320" s="331"/>
      <c r="J320" s="331"/>
    </row>
    <row r="321">
      <c r="C321" s="711"/>
      <c r="D321" s="711"/>
      <c r="G321" s="331"/>
      <c r="H321" s="331"/>
      <c r="I321" s="331"/>
      <c r="J321" s="331"/>
    </row>
    <row r="322">
      <c r="C322" s="711"/>
      <c r="D322" s="711"/>
      <c r="G322" s="331"/>
      <c r="H322" s="331"/>
      <c r="I322" s="331"/>
      <c r="J322" s="331"/>
    </row>
    <row r="323">
      <c r="C323" s="711"/>
      <c r="D323" s="711"/>
      <c r="G323" s="331"/>
      <c r="H323" s="331"/>
      <c r="I323" s="331"/>
      <c r="J323" s="331"/>
    </row>
    <row r="324">
      <c r="C324" s="711"/>
      <c r="D324" s="711"/>
      <c r="G324" s="331"/>
      <c r="H324" s="331"/>
      <c r="I324" s="331"/>
      <c r="J324" s="331"/>
    </row>
    <row r="325">
      <c r="C325" s="711"/>
      <c r="D325" s="711"/>
      <c r="G325" s="331"/>
      <c r="H325" s="331"/>
      <c r="I325" s="331"/>
      <c r="J325" s="331"/>
    </row>
    <row r="326">
      <c r="C326" s="711"/>
      <c r="D326" s="711"/>
      <c r="G326" s="331"/>
      <c r="H326" s="331"/>
      <c r="I326" s="331"/>
      <c r="J326" s="331"/>
    </row>
    <row r="327">
      <c r="C327" s="711"/>
      <c r="D327" s="711"/>
      <c r="G327" s="331"/>
      <c r="H327" s="331"/>
      <c r="I327" s="331"/>
      <c r="J327" s="331"/>
    </row>
    <row r="328">
      <c r="C328" s="711"/>
      <c r="D328" s="711"/>
      <c r="G328" s="331"/>
      <c r="H328" s="331"/>
      <c r="I328" s="331"/>
      <c r="J328" s="331"/>
    </row>
    <row r="329">
      <c r="C329" s="711"/>
      <c r="D329" s="711"/>
      <c r="G329" s="331"/>
      <c r="H329" s="331"/>
      <c r="I329" s="331"/>
      <c r="J329" s="331"/>
    </row>
    <row r="330">
      <c r="C330" s="711"/>
      <c r="D330" s="711"/>
      <c r="G330" s="331"/>
      <c r="H330" s="331"/>
      <c r="I330" s="331"/>
      <c r="J330" s="331"/>
    </row>
    <row r="331">
      <c r="C331" s="711"/>
      <c r="D331" s="711"/>
      <c r="G331" s="331"/>
      <c r="H331" s="331"/>
      <c r="I331" s="331"/>
      <c r="J331" s="331"/>
    </row>
    <row r="332">
      <c r="C332" s="711"/>
      <c r="D332" s="711"/>
      <c r="G332" s="331"/>
      <c r="H332" s="331"/>
      <c r="I332" s="331"/>
      <c r="J332" s="331"/>
    </row>
    <row r="333">
      <c r="C333" s="711"/>
      <c r="D333" s="711"/>
      <c r="G333" s="331"/>
      <c r="H333" s="331"/>
      <c r="I333" s="331"/>
      <c r="J333" s="331"/>
    </row>
    <row r="334">
      <c r="C334" s="711"/>
      <c r="D334" s="711"/>
      <c r="G334" s="331"/>
      <c r="H334" s="331"/>
      <c r="I334" s="331"/>
      <c r="J334" s="331"/>
    </row>
    <row r="335">
      <c r="C335" s="711"/>
      <c r="D335" s="711"/>
      <c r="G335" s="331"/>
      <c r="H335" s="331"/>
      <c r="I335" s="331"/>
      <c r="J335" s="331"/>
    </row>
    <row r="336">
      <c r="C336" s="711"/>
      <c r="D336" s="711"/>
      <c r="G336" s="331"/>
      <c r="H336" s="331"/>
      <c r="I336" s="331"/>
      <c r="J336" s="331"/>
    </row>
    <row r="337">
      <c r="C337" s="711"/>
      <c r="D337" s="711"/>
      <c r="G337" s="331"/>
      <c r="H337" s="331"/>
      <c r="I337" s="331"/>
      <c r="J337" s="331"/>
    </row>
    <row r="338">
      <c r="C338" s="711"/>
      <c r="D338" s="711"/>
      <c r="G338" s="331"/>
      <c r="H338" s="331"/>
      <c r="I338" s="331"/>
      <c r="J338" s="331"/>
    </row>
    <row r="339">
      <c r="C339" s="711"/>
      <c r="D339" s="711"/>
      <c r="G339" s="331"/>
      <c r="H339" s="331"/>
      <c r="I339" s="331"/>
      <c r="J339" s="331"/>
    </row>
    <row r="340">
      <c r="C340" s="711"/>
      <c r="D340" s="711"/>
      <c r="G340" s="331"/>
      <c r="H340" s="331"/>
      <c r="I340" s="331"/>
      <c r="J340" s="331"/>
    </row>
    <row r="341">
      <c r="C341" s="711"/>
      <c r="D341" s="711"/>
      <c r="G341" s="331"/>
      <c r="H341" s="331"/>
      <c r="I341" s="331"/>
      <c r="J341" s="331"/>
    </row>
    <row r="342">
      <c r="C342" s="711"/>
      <c r="D342" s="711"/>
      <c r="G342" s="331"/>
      <c r="H342" s="331"/>
      <c r="I342" s="331"/>
      <c r="J342" s="331"/>
    </row>
    <row r="343">
      <c r="C343" s="711"/>
      <c r="D343" s="711"/>
      <c r="G343" s="331"/>
      <c r="H343" s="331"/>
      <c r="I343" s="331"/>
      <c r="J343" s="331"/>
    </row>
    <row r="344">
      <c r="C344" s="711"/>
      <c r="D344" s="711"/>
      <c r="G344" s="331"/>
      <c r="H344" s="331"/>
      <c r="I344" s="331"/>
      <c r="J344" s="331"/>
    </row>
    <row r="345">
      <c r="C345" s="711"/>
      <c r="D345" s="711"/>
      <c r="G345" s="331"/>
      <c r="H345" s="331"/>
      <c r="I345" s="331"/>
      <c r="J345" s="331"/>
    </row>
    <row r="346">
      <c r="C346" s="711"/>
      <c r="D346" s="711"/>
      <c r="G346" s="331"/>
      <c r="H346" s="331"/>
      <c r="I346" s="331"/>
      <c r="J346" s="331"/>
    </row>
    <row r="347">
      <c r="C347" s="711"/>
      <c r="D347" s="711"/>
      <c r="G347" s="331"/>
      <c r="H347" s="331"/>
      <c r="I347" s="331"/>
      <c r="J347" s="331"/>
    </row>
    <row r="348">
      <c r="C348" s="711"/>
      <c r="D348" s="711"/>
      <c r="G348" s="331"/>
      <c r="H348" s="331"/>
      <c r="I348" s="331"/>
      <c r="J348" s="331"/>
    </row>
    <row r="349">
      <c r="C349" s="711"/>
      <c r="D349" s="711"/>
      <c r="G349" s="331"/>
      <c r="H349" s="331"/>
      <c r="I349" s="331"/>
      <c r="J349" s="331"/>
    </row>
    <row r="350">
      <c r="C350" s="711"/>
      <c r="D350" s="711"/>
      <c r="G350" s="331"/>
      <c r="H350" s="331"/>
      <c r="I350" s="331"/>
      <c r="J350" s="331"/>
    </row>
    <row r="351">
      <c r="C351" s="711"/>
      <c r="D351" s="711"/>
      <c r="G351" s="331"/>
      <c r="H351" s="331"/>
      <c r="I351" s="331"/>
      <c r="J351" s="331"/>
    </row>
    <row r="352">
      <c r="C352" s="711"/>
      <c r="D352" s="711"/>
      <c r="G352" s="331"/>
      <c r="H352" s="331"/>
      <c r="I352" s="331"/>
      <c r="J352" s="331"/>
    </row>
    <row r="353">
      <c r="C353" s="711"/>
      <c r="D353" s="711"/>
      <c r="G353" s="331"/>
      <c r="H353" s="331"/>
      <c r="I353" s="331"/>
      <c r="J353" s="331"/>
    </row>
    <row r="354">
      <c r="C354" s="711"/>
      <c r="D354" s="711"/>
      <c r="G354" s="331"/>
      <c r="H354" s="331"/>
      <c r="I354" s="331"/>
      <c r="J354" s="331"/>
    </row>
    <row r="355">
      <c r="C355" s="711"/>
      <c r="D355" s="711"/>
      <c r="G355" s="331"/>
      <c r="H355" s="331"/>
      <c r="I355" s="331"/>
      <c r="J355" s="331"/>
    </row>
    <row r="356">
      <c r="C356" s="711"/>
      <c r="D356" s="711"/>
      <c r="G356" s="331"/>
      <c r="H356" s="331"/>
      <c r="I356" s="331"/>
      <c r="J356" s="331"/>
    </row>
    <row r="357">
      <c r="C357" s="711"/>
      <c r="D357" s="711"/>
      <c r="G357" s="331"/>
      <c r="H357" s="331"/>
      <c r="I357" s="331"/>
      <c r="J357" s="331"/>
    </row>
    <row r="358">
      <c r="C358" s="711"/>
      <c r="D358" s="711"/>
      <c r="G358" s="331"/>
      <c r="H358" s="331"/>
      <c r="I358" s="331"/>
      <c r="J358" s="331"/>
    </row>
    <row r="359">
      <c r="C359" s="711"/>
      <c r="D359" s="711"/>
      <c r="G359" s="331"/>
      <c r="H359" s="331"/>
      <c r="I359" s="331"/>
      <c r="J359" s="331"/>
    </row>
    <row r="360">
      <c r="C360" s="711"/>
      <c r="D360" s="711"/>
      <c r="G360" s="331"/>
      <c r="H360" s="331"/>
      <c r="I360" s="331"/>
      <c r="J360" s="331"/>
    </row>
    <row r="361">
      <c r="C361" s="711"/>
      <c r="D361" s="711"/>
      <c r="G361" s="331"/>
      <c r="H361" s="331"/>
      <c r="I361" s="331"/>
      <c r="J361" s="331"/>
    </row>
    <row r="362">
      <c r="C362" s="711"/>
      <c r="D362" s="711"/>
      <c r="G362" s="331"/>
      <c r="H362" s="331"/>
      <c r="I362" s="331"/>
      <c r="J362" s="331"/>
    </row>
    <row r="363">
      <c r="C363" s="711"/>
      <c r="D363" s="711"/>
      <c r="G363" s="331"/>
      <c r="H363" s="331"/>
      <c r="I363" s="331"/>
      <c r="J363" s="331"/>
    </row>
    <row r="364">
      <c r="C364" s="711"/>
      <c r="D364" s="711"/>
      <c r="G364" s="331"/>
      <c r="H364" s="331"/>
      <c r="I364" s="331"/>
      <c r="J364" s="331"/>
    </row>
    <row r="365">
      <c r="C365" s="711"/>
      <c r="D365" s="711"/>
      <c r="G365" s="331"/>
      <c r="H365" s="331"/>
      <c r="I365" s="331"/>
      <c r="J365" s="331"/>
    </row>
    <row r="366">
      <c r="C366" s="711"/>
      <c r="D366" s="711"/>
      <c r="G366" s="331"/>
      <c r="H366" s="331"/>
      <c r="I366" s="331"/>
      <c r="J366" s="331"/>
    </row>
    <row r="367">
      <c r="C367" s="711"/>
      <c r="D367" s="711"/>
      <c r="G367" s="331"/>
      <c r="H367" s="331"/>
      <c r="I367" s="331"/>
      <c r="J367" s="331"/>
    </row>
    <row r="368">
      <c r="C368" s="711"/>
      <c r="D368" s="711"/>
      <c r="G368" s="331"/>
      <c r="H368" s="331"/>
      <c r="I368" s="331"/>
      <c r="J368" s="331"/>
    </row>
    <row r="369">
      <c r="C369" s="711"/>
      <c r="D369" s="711"/>
      <c r="G369" s="331"/>
      <c r="H369" s="331"/>
      <c r="I369" s="331"/>
      <c r="J369" s="331"/>
    </row>
    <row r="370">
      <c r="C370" s="711"/>
      <c r="D370" s="711"/>
      <c r="G370" s="331"/>
      <c r="H370" s="331"/>
      <c r="I370" s="331"/>
      <c r="J370" s="331"/>
    </row>
    <row r="371">
      <c r="C371" s="711"/>
      <c r="D371" s="711"/>
      <c r="G371" s="331"/>
      <c r="H371" s="331"/>
      <c r="I371" s="331"/>
      <c r="J371" s="331"/>
    </row>
    <row r="372">
      <c r="C372" s="711"/>
      <c r="D372" s="711"/>
      <c r="G372" s="331"/>
      <c r="H372" s="331"/>
      <c r="I372" s="331"/>
      <c r="J372" s="331"/>
    </row>
    <row r="373">
      <c r="C373" s="711"/>
      <c r="D373" s="711"/>
      <c r="G373" s="331"/>
      <c r="H373" s="331"/>
      <c r="I373" s="331"/>
      <c r="J373" s="331"/>
    </row>
    <row r="374">
      <c r="C374" s="711"/>
      <c r="D374" s="711"/>
      <c r="G374" s="331"/>
      <c r="H374" s="331"/>
      <c r="I374" s="331"/>
      <c r="J374" s="331"/>
    </row>
    <row r="375">
      <c r="C375" s="711"/>
      <c r="D375" s="711"/>
      <c r="G375" s="331"/>
      <c r="H375" s="331"/>
      <c r="I375" s="331"/>
      <c r="J375" s="331"/>
    </row>
    <row r="376">
      <c r="C376" s="711"/>
      <c r="D376" s="711"/>
      <c r="G376" s="331"/>
      <c r="H376" s="331"/>
      <c r="I376" s="331"/>
      <c r="J376" s="331"/>
    </row>
    <row r="377">
      <c r="C377" s="711"/>
      <c r="D377" s="711"/>
      <c r="G377" s="331"/>
      <c r="H377" s="331"/>
      <c r="I377" s="331"/>
      <c r="J377" s="331"/>
    </row>
    <row r="378">
      <c r="C378" s="711"/>
      <c r="D378" s="711"/>
      <c r="G378" s="331"/>
      <c r="H378" s="331"/>
      <c r="I378" s="331"/>
      <c r="J378" s="331"/>
    </row>
    <row r="379">
      <c r="C379" s="711"/>
      <c r="D379" s="711"/>
      <c r="G379" s="331"/>
      <c r="H379" s="331"/>
      <c r="I379" s="331"/>
      <c r="J379" s="331"/>
    </row>
    <row r="380">
      <c r="C380" s="711"/>
      <c r="D380" s="711"/>
      <c r="G380" s="331"/>
      <c r="H380" s="331"/>
      <c r="I380" s="331"/>
      <c r="J380" s="331"/>
    </row>
    <row r="381">
      <c r="C381" s="711"/>
      <c r="D381" s="711"/>
      <c r="G381" s="331"/>
      <c r="H381" s="331"/>
      <c r="I381" s="331"/>
      <c r="J381" s="331"/>
    </row>
    <row r="382">
      <c r="C382" s="711"/>
      <c r="D382" s="711"/>
      <c r="G382" s="331"/>
      <c r="H382" s="331"/>
      <c r="I382" s="331"/>
      <c r="J382" s="331"/>
    </row>
    <row r="383">
      <c r="C383" s="711"/>
      <c r="D383" s="711"/>
      <c r="G383" s="331"/>
      <c r="H383" s="331"/>
      <c r="I383" s="331"/>
      <c r="J383" s="331"/>
    </row>
    <row r="384">
      <c r="C384" s="711"/>
      <c r="D384" s="711"/>
      <c r="G384" s="331"/>
      <c r="H384" s="331"/>
      <c r="I384" s="331"/>
      <c r="J384" s="331"/>
    </row>
    <row r="385">
      <c r="C385" s="711"/>
      <c r="D385" s="711"/>
      <c r="G385" s="331"/>
      <c r="H385" s="331"/>
      <c r="I385" s="331"/>
      <c r="J385" s="331"/>
    </row>
    <row r="386">
      <c r="C386" s="711"/>
      <c r="D386" s="711"/>
      <c r="G386" s="331"/>
      <c r="H386" s="331"/>
      <c r="I386" s="331"/>
      <c r="J386" s="331"/>
    </row>
    <row r="387">
      <c r="C387" s="711"/>
      <c r="D387" s="711"/>
      <c r="G387" s="331"/>
      <c r="H387" s="331"/>
      <c r="I387" s="331"/>
      <c r="J387" s="331"/>
    </row>
    <row r="388">
      <c r="C388" s="711"/>
      <c r="D388" s="711"/>
      <c r="G388" s="331"/>
      <c r="H388" s="331"/>
      <c r="I388" s="331"/>
      <c r="J388" s="331"/>
    </row>
    <row r="389">
      <c r="C389" s="711"/>
      <c r="D389" s="711"/>
      <c r="G389" s="331"/>
      <c r="H389" s="331"/>
      <c r="I389" s="331"/>
      <c r="J389" s="331"/>
    </row>
    <row r="390">
      <c r="C390" s="711"/>
      <c r="D390" s="711"/>
      <c r="G390" s="331"/>
      <c r="H390" s="331"/>
      <c r="I390" s="331"/>
      <c r="J390" s="331"/>
    </row>
    <row r="391">
      <c r="C391" s="711"/>
      <c r="D391" s="711"/>
      <c r="G391" s="331"/>
      <c r="H391" s="331"/>
      <c r="I391" s="331"/>
      <c r="J391" s="331"/>
    </row>
    <row r="392">
      <c r="C392" s="711"/>
      <c r="D392" s="711"/>
      <c r="G392" s="331"/>
      <c r="H392" s="331"/>
      <c r="I392" s="331"/>
      <c r="J392" s="331"/>
    </row>
    <row r="393">
      <c r="C393" s="711"/>
      <c r="D393" s="711"/>
      <c r="G393" s="331"/>
      <c r="H393" s="331"/>
      <c r="I393" s="331"/>
      <c r="J393" s="331"/>
    </row>
    <row r="394">
      <c r="C394" s="711"/>
      <c r="D394" s="711"/>
      <c r="G394" s="331"/>
      <c r="H394" s="331"/>
      <c r="I394" s="331"/>
      <c r="J394" s="331"/>
    </row>
    <row r="395">
      <c r="C395" s="711"/>
      <c r="D395" s="711"/>
      <c r="G395" s="331"/>
      <c r="H395" s="331"/>
      <c r="I395" s="331"/>
      <c r="J395" s="331"/>
    </row>
    <row r="396">
      <c r="C396" s="711"/>
      <c r="D396" s="711"/>
      <c r="G396" s="331"/>
      <c r="H396" s="331"/>
      <c r="I396" s="331"/>
      <c r="J396" s="331"/>
    </row>
    <row r="397">
      <c r="C397" s="711"/>
      <c r="D397" s="711"/>
      <c r="G397" s="331"/>
      <c r="H397" s="331"/>
      <c r="I397" s="331"/>
      <c r="J397" s="331"/>
    </row>
    <row r="398">
      <c r="C398" s="711"/>
      <c r="D398" s="711"/>
      <c r="G398" s="331"/>
      <c r="H398" s="331"/>
      <c r="I398" s="331"/>
      <c r="J398" s="331"/>
    </row>
    <row r="399">
      <c r="C399" s="711"/>
      <c r="D399" s="711"/>
      <c r="G399" s="331"/>
      <c r="H399" s="331"/>
      <c r="I399" s="331"/>
      <c r="J399" s="331"/>
    </row>
    <row r="400">
      <c r="C400" s="711"/>
      <c r="D400" s="711"/>
      <c r="G400" s="331"/>
      <c r="H400" s="331"/>
      <c r="I400" s="331"/>
      <c r="J400" s="331"/>
    </row>
    <row r="401">
      <c r="C401" s="711"/>
      <c r="D401" s="711"/>
      <c r="G401" s="331"/>
      <c r="H401" s="331"/>
      <c r="I401" s="331"/>
      <c r="J401" s="331"/>
    </row>
    <row r="402">
      <c r="C402" s="711"/>
      <c r="D402" s="711"/>
      <c r="G402" s="331"/>
      <c r="H402" s="331"/>
      <c r="I402" s="331"/>
      <c r="J402" s="331"/>
    </row>
    <row r="403">
      <c r="C403" s="711"/>
      <c r="D403" s="711"/>
      <c r="G403" s="331"/>
      <c r="H403" s="331"/>
      <c r="I403" s="331"/>
      <c r="J403" s="331"/>
    </row>
    <row r="404">
      <c r="C404" s="711"/>
      <c r="D404" s="711"/>
      <c r="G404" s="331"/>
      <c r="H404" s="331"/>
      <c r="I404" s="331"/>
      <c r="J404" s="331"/>
    </row>
    <row r="405">
      <c r="C405" s="711"/>
      <c r="D405" s="711"/>
      <c r="G405" s="331"/>
      <c r="H405" s="331"/>
      <c r="I405" s="331"/>
      <c r="J405" s="331"/>
    </row>
    <row r="406">
      <c r="C406" s="711"/>
      <c r="D406" s="711"/>
      <c r="G406" s="331"/>
      <c r="H406" s="331"/>
      <c r="I406" s="331"/>
      <c r="J406" s="331"/>
    </row>
    <row r="407">
      <c r="C407" s="711"/>
      <c r="D407" s="711"/>
      <c r="G407" s="331"/>
      <c r="H407" s="331"/>
      <c r="I407" s="331"/>
      <c r="J407" s="331"/>
    </row>
    <row r="408">
      <c r="C408" s="711"/>
      <c r="D408" s="711"/>
      <c r="G408" s="331"/>
      <c r="H408" s="331"/>
      <c r="I408" s="331"/>
      <c r="J408" s="331"/>
    </row>
    <row r="409">
      <c r="C409" s="711"/>
      <c r="D409" s="711"/>
      <c r="G409" s="331"/>
      <c r="H409" s="331"/>
      <c r="I409" s="331"/>
      <c r="J409" s="331"/>
    </row>
    <row r="410">
      <c r="C410" s="711"/>
      <c r="D410" s="711"/>
      <c r="G410" s="331"/>
      <c r="H410" s="331"/>
      <c r="I410" s="331"/>
      <c r="J410" s="331"/>
    </row>
    <row r="411">
      <c r="C411" s="711"/>
      <c r="D411" s="711"/>
      <c r="G411" s="331"/>
      <c r="H411" s="331"/>
      <c r="I411" s="331"/>
      <c r="J411" s="331"/>
    </row>
    <row r="412">
      <c r="C412" s="711"/>
      <c r="D412" s="711"/>
      <c r="G412" s="331"/>
      <c r="H412" s="331"/>
      <c r="I412" s="331"/>
      <c r="J412" s="331"/>
    </row>
    <row r="413">
      <c r="C413" s="711"/>
      <c r="D413" s="711"/>
      <c r="G413" s="331"/>
      <c r="H413" s="331"/>
      <c r="I413" s="331"/>
      <c r="J413" s="331"/>
    </row>
    <row r="414">
      <c r="C414" s="711"/>
      <c r="D414" s="711"/>
      <c r="G414" s="331"/>
      <c r="H414" s="331"/>
      <c r="I414" s="331"/>
      <c r="J414" s="331"/>
    </row>
    <row r="415">
      <c r="C415" s="711"/>
      <c r="D415" s="711"/>
      <c r="G415" s="331"/>
      <c r="H415" s="331"/>
      <c r="I415" s="331"/>
      <c r="J415" s="331"/>
    </row>
    <row r="416">
      <c r="C416" s="711"/>
      <c r="D416" s="711"/>
      <c r="G416" s="331"/>
      <c r="H416" s="331"/>
      <c r="I416" s="331"/>
      <c r="J416" s="331"/>
    </row>
    <row r="417">
      <c r="C417" s="711"/>
      <c r="D417" s="711"/>
      <c r="G417" s="331"/>
      <c r="H417" s="331"/>
      <c r="I417" s="331"/>
      <c r="J417" s="331"/>
    </row>
    <row r="418">
      <c r="C418" s="711"/>
      <c r="D418" s="711"/>
      <c r="G418" s="331"/>
      <c r="H418" s="331"/>
      <c r="I418" s="331"/>
      <c r="J418" s="331"/>
    </row>
    <row r="419">
      <c r="C419" s="711"/>
      <c r="D419" s="711"/>
      <c r="G419" s="331"/>
      <c r="H419" s="331"/>
      <c r="I419" s="331"/>
      <c r="J419" s="331"/>
    </row>
    <row r="420">
      <c r="C420" s="711"/>
      <c r="D420" s="711"/>
      <c r="G420" s="331"/>
      <c r="H420" s="331"/>
      <c r="I420" s="331"/>
      <c r="J420" s="331"/>
    </row>
    <row r="421">
      <c r="C421" s="711"/>
      <c r="D421" s="711"/>
      <c r="G421" s="331"/>
      <c r="H421" s="331"/>
      <c r="I421" s="331"/>
      <c r="J421" s="331"/>
    </row>
    <row r="422">
      <c r="C422" s="711"/>
      <c r="D422" s="711"/>
      <c r="G422" s="331"/>
      <c r="H422" s="331"/>
      <c r="I422" s="331"/>
      <c r="J422" s="331"/>
    </row>
    <row r="423">
      <c r="C423" s="711"/>
      <c r="D423" s="711"/>
      <c r="G423" s="331"/>
      <c r="H423" s="331"/>
      <c r="I423" s="331"/>
      <c r="J423" s="331"/>
    </row>
    <row r="424">
      <c r="C424" s="711"/>
      <c r="D424" s="711"/>
      <c r="G424" s="331"/>
      <c r="H424" s="331"/>
      <c r="I424" s="331"/>
      <c r="J424" s="331"/>
    </row>
    <row r="425">
      <c r="C425" s="711"/>
      <c r="D425" s="711"/>
      <c r="G425" s="331"/>
      <c r="H425" s="331"/>
      <c r="I425" s="331"/>
      <c r="J425" s="331"/>
    </row>
    <row r="426">
      <c r="C426" s="711"/>
      <c r="D426" s="711"/>
      <c r="G426" s="331"/>
      <c r="H426" s="331"/>
      <c r="I426" s="331"/>
      <c r="J426" s="331"/>
    </row>
    <row r="427">
      <c r="C427" s="711"/>
      <c r="D427" s="711"/>
      <c r="G427" s="331"/>
      <c r="H427" s="331"/>
      <c r="I427" s="331"/>
      <c r="J427" s="331"/>
    </row>
    <row r="428">
      <c r="C428" s="711"/>
      <c r="D428" s="711"/>
      <c r="G428" s="331"/>
      <c r="H428" s="331"/>
      <c r="I428" s="331"/>
      <c r="J428" s="331"/>
    </row>
    <row r="429">
      <c r="C429" s="711"/>
      <c r="D429" s="711"/>
      <c r="G429" s="331"/>
      <c r="H429" s="331"/>
      <c r="I429" s="331"/>
      <c r="J429" s="331"/>
    </row>
    <row r="430">
      <c r="C430" s="711"/>
      <c r="D430" s="711"/>
      <c r="G430" s="331"/>
      <c r="H430" s="331"/>
      <c r="I430" s="331"/>
      <c r="J430" s="331"/>
    </row>
    <row r="431">
      <c r="C431" s="711"/>
      <c r="D431" s="711"/>
      <c r="G431" s="331"/>
      <c r="H431" s="331"/>
      <c r="I431" s="331"/>
      <c r="J431" s="331"/>
    </row>
    <row r="432">
      <c r="C432" s="711"/>
      <c r="D432" s="711"/>
      <c r="G432" s="331"/>
      <c r="H432" s="331"/>
      <c r="I432" s="331"/>
      <c r="J432" s="331"/>
    </row>
    <row r="433">
      <c r="C433" s="711"/>
      <c r="D433" s="711"/>
      <c r="G433" s="331"/>
      <c r="H433" s="331"/>
      <c r="I433" s="331"/>
      <c r="J433" s="331"/>
    </row>
    <row r="434">
      <c r="C434" s="711"/>
      <c r="D434" s="711"/>
      <c r="G434" s="331"/>
      <c r="H434" s="331"/>
      <c r="I434" s="331"/>
      <c r="J434" s="331"/>
    </row>
    <row r="435">
      <c r="C435" s="711"/>
      <c r="D435" s="711"/>
      <c r="G435" s="331"/>
      <c r="H435" s="331"/>
      <c r="I435" s="331"/>
      <c r="J435" s="331"/>
    </row>
    <row r="436">
      <c r="C436" s="711"/>
      <c r="D436" s="711"/>
      <c r="G436" s="331"/>
      <c r="H436" s="331"/>
      <c r="I436" s="331"/>
      <c r="J436" s="331"/>
    </row>
    <row r="437">
      <c r="C437" s="711"/>
      <c r="D437" s="711"/>
      <c r="G437" s="331"/>
      <c r="H437" s="331"/>
      <c r="I437" s="331"/>
      <c r="J437" s="331"/>
    </row>
    <row r="438">
      <c r="C438" s="711"/>
      <c r="D438" s="711"/>
      <c r="G438" s="331"/>
      <c r="H438" s="331"/>
      <c r="I438" s="331"/>
      <c r="J438" s="331"/>
    </row>
    <row r="439">
      <c r="C439" s="711"/>
      <c r="D439" s="711"/>
      <c r="G439" s="331"/>
      <c r="H439" s="331"/>
      <c r="I439" s="331"/>
      <c r="J439" s="331"/>
    </row>
    <row r="440">
      <c r="C440" s="711"/>
      <c r="D440" s="711"/>
      <c r="G440" s="331"/>
      <c r="H440" s="331"/>
      <c r="I440" s="331"/>
      <c r="J440" s="331"/>
    </row>
    <row r="441">
      <c r="C441" s="711"/>
      <c r="D441" s="711"/>
      <c r="G441" s="331"/>
      <c r="H441" s="331"/>
      <c r="I441" s="331"/>
      <c r="J441" s="331"/>
    </row>
    <row r="442">
      <c r="C442" s="711"/>
      <c r="D442" s="711"/>
      <c r="G442" s="331"/>
      <c r="H442" s="331"/>
      <c r="I442" s="331"/>
      <c r="J442" s="331"/>
    </row>
    <row r="443">
      <c r="C443" s="711"/>
      <c r="D443" s="711"/>
      <c r="G443" s="331"/>
      <c r="H443" s="331"/>
      <c r="I443" s="331"/>
      <c r="J443" s="331"/>
    </row>
    <row r="444">
      <c r="C444" s="711"/>
      <c r="D444" s="711"/>
      <c r="G444" s="331"/>
      <c r="H444" s="331"/>
      <c r="I444" s="331"/>
      <c r="J444" s="331"/>
    </row>
    <row r="445">
      <c r="C445" s="711"/>
      <c r="D445" s="711"/>
      <c r="G445" s="331"/>
      <c r="H445" s="331"/>
      <c r="I445" s="331"/>
      <c r="J445" s="331"/>
    </row>
    <row r="446">
      <c r="C446" s="711"/>
      <c r="D446" s="711"/>
      <c r="G446" s="331"/>
      <c r="H446" s="331"/>
      <c r="I446" s="331"/>
      <c r="J446" s="331"/>
    </row>
    <row r="447">
      <c r="C447" s="711"/>
      <c r="D447" s="711"/>
      <c r="G447" s="331"/>
      <c r="H447" s="331"/>
      <c r="I447" s="331"/>
      <c r="J447" s="331"/>
    </row>
    <row r="448">
      <c r="C448" s="711"/>
      <c r="D448" s="711"/>
      <c r="G448" s="331"/>
      <c r="H448" s="331"/>
      <c r="I448" s="331"/>
      <c r="J448" s="331"/>
    </row>
    <row r="449">
      <c r="C449" s="711"/>
      <c r="D449" s="711"/>
      <c r="G449" s="331"/>
      <c r="H449" s="331"/>
      <c r="I449" s="331"/>
      <c r="J449" s="331"/>
    </row>
    <row r="450">
      <c r="C450" s="711"/>
      <c r="D450" s="711"/>
      <c r="G450" s="331"/>
      <c r="H450" s="331"/>
      <c r="I450" s="331"/>
      <c r="J450" s="331"/>
    </row>
    <row r="451">
      <c r="C451" s="711"/>
      <c r="D451" s="711"/>
      <c r="G451" s="331"/>
      <c r="H451" s="331"/>
      <c r="I451" s="331"/>
      <c r="J451" s="331"/>
    </row>
    <row r="452">
      <c r="C452" s="711"/>
      <c r="D452" s="711"/>
      <c r="G452" s="331"/>
      <c r="H452" s="331"/>
      <c r="I452" s="331"/>
      <c r="J452" s="331"/>
    </row>
    <row r="453">
      <c r="C453" s="711"/>
      <c r="D453" s="711"/>
      <c r="G453" s="331"/>
      <c r="H453" s="331"/>
      <c r="I453" s="331"/>
      <c r="J453" s="331"/>
    </row>
    <row r="454">
      <c r="C454" s="711"/>
      <c r="D454" s="711"/>
      <c r="G454" s="331"/>
      <c r="H454" s="331"/>
      <c r="I454" s="331"/>
      <c r="J454" s="331"/>
    </row>
    <row r="455">
      <c r="C455" s="711"/>
      <c r="D455" s="711"/>
      <c r="G455" s="331"/>
      <c r="H455" s="331"/>
      <c r="I455" s="331"/>
      <c r="J455" s="331"/>
    </row>
    <row r="456">
      <c r="C456" s="711"/>
      <c r="D456" s="711"/>
      <c r="G456" s="331"/>
      <c r="H456" s="331"/>
      <c r="I456" s="331"/>
      <c r="J456" s="331"/>
    </row>
    <row r="457">
      <c r="C457" s="711"/>
      <c r="D457" s="711"/>
      <c r="G457" s="331"/>
      <c r="H457" s="331"/>
      <c r="I457" s="331"/>
      <c r="J457" s="331"/>
    </row>
    <row r="458">
      <c r="C458" s="711"/>
      <c r="D458" s="711"/>
      <c r="G458" s="331"/>
      <c r="H458" s="331"/>
      <c r="I458" s="331"/>
      <c r="J458" s="331"/>
    </row>
    <row r="459">
      <c r="C459" s="711"/>
      <c r="D459" s="711"/>
      <c r="G459" s="331"/>
      <c r="H459" s="331"/>
      <c r="I459" s="331"/>
      <c r="J459" s="331"/>
    </row>
    <row r="460">
      <c r="C460" s="711"/>
      <c r="D460" s="711"/>
      <c r="G460" s="331"/>
      <c r="H460" s="331"/>
      <c r="I460" s="331"/>
      <c r="J460" s="331"/>
    </row>
    <row r="461">
      <c r="C461" s="711"/>
      <c r="D461" s="711"/>
      <c r="G461" s="331"/>
      <c r="H461" s="331"/>
      <c r="I461" s="331"/>
      <c r="J461" s="331"/>
    </row>
    <row r="462">
      <c r="C462" s="711"/>
      <c r="D462" s="711"/>
      <c r="G462" s="331"/>
      <c r="H462" s="331"/>
      <c r="I462" s="331"/>
      <c r="J462" s="331"/>
    </row>
    <row r="463">
      <c r="C463" s="711"/>
      <c r="D463" s="711"/>
      <c r="G463" s="331"/>
      <c r="H463" s="331"/>
      <c r="I463" s="331"/>
      <c r="J463" s="331"/>
    </row>
    <row r="464">
      <c r="C464" s="711"/>
      <c r="D464" s="711"/>
      <c r="G464" s="331"/>
      <c r="H464" s="331"/>
      <c r="I464" s="331"/>
      <c r="J464" s="331"/>
    </row>
    <row r="465">
      <c r="C465" s="711"/>
      <c r="D465" s="711"/>
      <c r="G465" s="331"/>
      <c r="H465" s="331"/>
      <c r="I465" s="331"/>
      <c r="J465" s="331"/>
    </row>
    <row r="466">
      <c r="C466" s="711"/>
      <c r="D466" s="711"/>
      <c r="G466" s="331"/>
      <c r="H466" s="331"/>
      <c r="I466" s="331"/>
      <c r="J466" s="331"/>
    </row>
    <row r="467">
      <c r="C467" s="711"/>
      <c r="D467" s="711"/>
      <c r="G467" s="331"/>
      <c r="H467" s="331"/>
      <c r="I467" s="331"/>
      <c r="J467" s="331"/>
    </row>
    <row r="468">
      <c r="C468" s="711"/>
      <c r="D468" s="711"/>
      <c r="G468" s="331"/>
      <c r="H468" s="331"/>
      <c r="I468" s="331"/>
      <c r="J468" s="331"/>
    </row>
    <row r="469">
      <c r="C469" s="711"/>
      <c r="D469" s="711"/>
      <c r="G469" s="331"/>
      <c r="H469" s="331"/>
      <c r="I469" s="331"/>
      <c r="J469" s="331"/>
    </row>
    <row r="470">
      <c r="C470" s="711"/>
      <c r="D470" s="711"/>
      <c r="G470" s="331"/>
      <c r="H470" s="331"/>
      <c r="I470" s="331"/>
      <c r="J470" s="331"/>
    </row>
    <row r="471">
      <c r="C471" s="711"/>
      <c r="D471" s="711"/>
      <c r="G471" s="331"/>
      <c r="H471" s="331"/>
      <c r="I471" s="331"/>
      <c r="J471" s="331"/>
    </row>
    <row r="472">
      <c r="C472" s="711"/>
      <c r="D472" s="711"/>
      <c r="G472" s="331"/>
      <c r="H472" s="331"/>
      <c r="I472" s="331"/>
      <c r="J472" s="331"/>
    </row>
    <row r="473">
      <c r="C473" s="711"/>
      <c r="D473" s="711"/>
      <c r="G473" s="331"/>
      <c r="H473" s="331"/>
      <c r="I473" s="331"/>
      <c r="J473" s="331"/>
    </row>
    <row r="474">
      <c r="C474" s="711"/>
      <c r="D474" s="711"/>
      <c r="G474" s="331"/>
      <c r="H474" s="331"/>
      <c r="I474" s="331"/>
      <c r="J474" s="331"/>
    </row>
    <row r="475">
      <c r="C475" s="711"/>
      <c r="D475" s="711"/>
      <c r="G475" s="331"/>
      <c r="H475" s="331"/>
      <c r="I475" s="331"/>
      <c r="J475" s="331"/>
    </row>
    <row r="476">
      <c r="C476" s="711"/>
      <c r="D476" s="711"/>
      <c r="G476" s="331"/>
      <c r="H476" s="331"/>
      <c r="I476" s="331"/>
      <c r="J476" s="331"/>
    </row>
    <row r="477">
      <c r="C477" s="711"/>
      <c r="D477" s="711"/>
      <c r="G477" s="331"/>
      <c r="H477" s="331"/>
      <c r="I477" s="331"/>
      <c r="J477" s="331"/>
    </row>
    <row r="478">
      <c r="C478" s="711"/>
      <c r="D478" s="711"/>
      <c r="G478" s="331"/>
      <c r="H478" s="331"/>
      <c r="I478" s="331"/>
      <c r="J478" s="331"/>
    </row>
    <row r="479">
      <c r="C479" s="711"/>
      <c r="D479" s="711"/>
      <c r="G479" s="331"/>
      <c r="H479" s="331"/>
      <c r="I479" s="331"/>
      <c r="J479" s="331"/>
    </row>
    <row r="480">
      <c r="C480" s="711"/>
      <c r="D480" s="711"/>
      <c r="G480" s="331"/>
      <c r="H480" s="331"/>
      <c r="I480" s="331"/>
      <c r="J480" s="331"/>
    </row>
    <row r="481">
      <c r="C481" s="711"/>
      <c r="D481" s="711"/>
      <c r="G481" s="331"/>
      <c r="H481" s="331"/>
      <c r="I481" s="331"/>
      <c r="J481" s="331"/>
    </row>
    <row r="482">
      <c r="C482" s="711"/>
      <c r="D482" s="711"/>
      <c r="G482" s="331"/>
      <c r="H482" s="331"/>
      <c r="I482" s="331"/>
      <c r="J482" s="331"/>
    </row>
    <row r="483">
      <c r="C483" s="711"/>
      <c r="D483" s="711"/>
      <c r="G483" s="331"/>
      <c r="H483" s="331"/>
      <c r="I483" s="331"/>
      <c r="J483" s="331"/>
    </row>
    <row r="484">
      <c r="C484" s="711"/>
      <c r="D484" s="711"/>
      <c r="G484" s="331"/>
      <c r="H484" s="331"/>
      <c r="I484" s="331"/>
      <c r="J484" s="331"/>
    </row>
    <row r="485">
      <c r="C485" s="711"/>
      <c r="D485" s="711"/>
      <c r="G485" s="331"/>
      <c r="H485" s="331"/>
      <c r="I485" s="331"/>
      <c r="J485" s="331"/>
    </row>
    <row r="486">
      <c r="C486" s="711"/>
      <c r="D486" s="711"/>
      <c r="G486" s="331"/>
      <c r="H486" s="331"/>
      <c r="I486" s="331"/>
      <c r="J486" s="331"/>
    </row>
    <row r="487">
      <c r="C487" s="711"/>
      <c r="D487" s="711"/>
      <c r="G487" s="331"/>
      <c r="H487" s="331"/>
      <c r="I487" s="331"/>
      <c r="J487" s="331"/>
    </row>
    <row r="488">
      <c r="C488" s="711"/>
      <c r="D488" s="711"/>
      <c r="G488" s="331"/>
      <c r="H488" s="331"/>
      <c r="I488" s="331"/>
      <c r="J488" s="331"/>
    </row>
    <row r="489">
      <c r="C489" s="711"/>
      <c r="D489" s="711"/>
      <c r="G489" s="331"/>
      <c r="H489" s="331"/>
      <c r="I489" s="331"/>
      <c r="J489" s="331"/>
    </row>
    <row r="490">
      <c r="C490" s="711"/>
      <c r="D490" s="711"/>
      <c r="G490" s="331"/>
      <c r="H490" s="331"/>
      <c r="I490" s="331"/>
      <c r="J490" s="331"/>
    </row>
    <row r="491">
      <c r="C491" s="711"/>
      <c r="D491" s="711"/>
      <c r="G491" s="331"/>
      <c r="H491" s="331"/>
      <c r="I491" s="331"/>
      <c r="J491" s="331"/>
    </row>
    <row r="492">
      <c r="C492" s="711"/>
      <c r="D492" s="711"/>
      <c r="G492" s="331"/>
      <c r="H492" s="331"/>
      <c r="I492" s="331"/>
      <c r="J492" s="331"/>
    </row>
    <row r="493">
      <c r="C493" s="711"/>
      <c r="D493" s="711"/>
      <c r="G493" s="331"/>
      <c r="H493" s="331"/>
      <c r="I493" s="331"/>
      <c r="J493" s="331"/>
    </row>
    <row r="494">
      <c r="C494" s="711"/>
      <c r="D494" s="711"/>
      <c r="G494" s="331"/>
      <c r="H494" s="331"/>
      <c r="I494" s="331"/>
      <c r="J494" s="331"/>
    </row>
    <row r="495">
      <c r="C495" s="711"/>
      <c r="D495" s="711"/>
      <c r="G495" s="331"/>
      <c r="H495" s="331"/>
      <c r="I495" s="331"/>
      <c r="J495" s="331"/>
    </row>
    <row r="496">
      <c r="C496" s="711"/>
      <c r="D496" s="711"/>
      <c r="G496" s="331"/>
      <c r="H496" s="331"/>
      <c r="I496" s="331"/>
      <c r="J496" s="331"/>
    </row>
    <row r="497">
      <c r="C497" s="711"/>
      <c r="D497" s="711"/>
      <c r="G497" s="331"/>
      <c r="H497" s="331"/>
      <c r="I497" s="331"/>
      <c r="J497" s="331"/>
    </row>
    <row r="498">
      <c r="C498" s="711"/>
      <c r="D498" s="711"/>
      <c r="G498" s="331"/>
      <c r="H498" s="331"/>
      <c r="I498" s="331"/>
      <c r="J498" s="331"/>
    </row>
    <row r="499">
      <c r="C499" s="711"/>
      <c r="D499" s="711"/>
      <c r="G499" s="331"/>
      <c r="H499" s="331"/>
      <c r="I499" s="331"/>
      <c r="J499" s="331"/>
    </row>
    <row r="500">
      <c r="C500" s="711"/>
      <c r="D500" s="711"/>
      <c r="G500" s="331"/>
      <c r="H500" s="331"/>
      <c r="I500" s="331"/>
      <c r="J500" s="331"/>
    </row>
    <row r="501">
      <c r="C501" s="711"/>
      <c r="D501" s="711"/>
      <c r="G501" s="331"/>
      <c r="H501" s="331"/>
      <c r="I501" s="331"/>
      <c r="J501" s="331"/>
    </row>
    <row r="502">
      <c r="C502" s="711"/>
      <c r="D502" s="711"/>
      <c r="G502" s="331"/>
      <c r="H502" s="331"/>
      <c r="I502" s="331"/>
      <c r="J502" s="331"/>
    </row>
    <row r="503">
      <c r="C503" s="711"/>
      <c r="D503" s="711"/>
      <c r="G503" s="331"/>
      <c r="H503" s="331"/>
      <c r="I503" s="331"/>
      <c r="J503" s="331"/>
    </row>
    <row r="504">
      <c r="C504" s="711"/>
      <c r="D504" s="711"/>
      <c r="G504" s="331"/>
      <c r="H504" s="331"/>
      <c r="I504" s="331"/>
      <c r="J504" s="331"/>
    </row>
    <row r="505">
      <c r="C505" s="711"/>
      <c r="D505" s="711"/>
      <c r="G505" s="331"/>
      <c r="H505" s="331"/>
      <c r="I505" s="331"/>
      <c r="J505" s="331"/>
    </row>
    <row r="506">
      <c r="C506" s="711"/>
      <c r="D506" s="711"/>
      <c r="G506" s="331"/>
      <c r="H506" s="331"/>
      <c r="I506" s="331"/>
      <c r="J506" s="331"/>
    </row>
    <row r="507">
      <c r="C507" s="711"/>
      <c r="D507" s="711"/>
      <c r="G507" s="331"/>
      <c r="H507" s="331"/>
      <c r="I507" s="331"/>
      <c r="J507" s="331"/>
    </row>
    <row r="508">
      <c r="C508" s="711"/>
      <c r="D508" s="711"/>
      <c r="G508" s="331"/>
      <c r="H508" s="331"/>
      <c r="I508" s="331"/>
      <c r="J508" s="331"/>
    </row>
    <row r="509">
      <c r="C509" s="711"/>
      <c r="D509" s="711"/>
      <c r="G509" s="331"/>
      <c r="H509" s="331"/>
      <c r="I509" s="331"/>
      <c r="J509" s="331"/>
    </row>
    <row r="510">
      <c r="C510" s="711"/>
      <c r="D510" s="711"/>
      <c r="G510" s="331"/>
      <c r="H510" s="331"/>
      <c r="I510" s="331"/>
      <c r="J510" s="331"/>
    </row>
    <row r="511">
      <c r="C511" s="711"/>
      <c r="D511" s="711"/>
      <c r="G511" s="331"/>
      <c r="H511" s="331"/>
      <c r="I511" s="331"/>
      <c r="J511" s="331"/>
    </row>
    <row r="512">
      <c r="C512" s="711"/>
      <c r="D512" s="711"/>
      <c r="G512" s="331"/>
      <c r="H512" s="331"/>
      <c r="I512" s="331"/>
      <c r="J512" s="331"/>
    </row>
    <row r="513">
      <c r="C513" s="711"/>
      <c r="D513" s="711"/>
      <c r="G513" s="331"/>
      <c r="H513" s="331"/>
      <c r="I513" s="331"/>
      <c r="J513" s="331"/>
    </row>
    <row r="514">
      <c r="C514" s="711"/>
      <c r="D514" s="711"/>
      <c r="G514" s="331"/>
      <c r="H514" s="331"/>
      <c r="I514" s="331"/>
      <c r="J514" s="331"/>
    </row>
    <row r="515">
      <c r="C515" s="711"/>
      <c r="D515" s="711"/>
      <c r="G515" s="331"/>
      <c r="H515" s="331"/>
      <c r="I515" s="331"/>
      <c r="J515" s="331"/>
    </row>
    <row r="516">
      <c r="C516" s="711"/>
      <c r="D516" s="711"/>
      <c r="G516" s="331"/>
      <c r="H516" s="331"/>
      <c r="I516" s="331"/>
      <c r="J516" s="331"/>
    </row>
    <row r="517">
      <c r="C517" s="711"/>
      <c r="D517" s="711"/>
      <c r="G517" s="331"/>
      <c r="H517" s="331"/>
      <c r="I517" s="331"/>
      <c r="J517" s="331"/>
    </row>
    <row r="518">
      <c r="C518" s="711"/>
      <c r="D518" s="711"/>
      <c r="G518" s="331"/>
      <c r="H518" s="331"/>
      <c r="I518" s="331"/>
      <c r="J518" s="331"/>
    </row>
    <row r="519">
      <c r="C519" s="711"/>
      <c r="D519" s="711"/>
      <c r="G519" s="331"/>
      <c r="H519" s="331"/>
      <c r="I519" s="331"/>
      <c r="J519" s="331"/>
    </row>
    <row r="520">
      <c r="C520" s="711"/>
      <c r="D520" s="711"/>
      <c r="G520" s="331"/>
      <c r="H520" s="331"/>
      <c r="I520" s="331"/>
      <c r="J520" s="331"/>
    </row>
    <row r="521">
      <c r="C521" s="711"/>
      <c r="D521" s="711"/>
      <c r="G521" s="331"/>
      <c r="H521" s="331"/>
      <c r="I521" s="331"/>
      <c r="J521" s="331"/>
    </row>
    <row r="522">
      <c r="C522" s="711"/>
      <c r="D522" s="711"/>
      <c r="G522" s="331"/>
      <c r="H522" s="331"/>
      <c r="I522" s="331"/>
      <c r="J522" s="331"/>
    </row>
    <row r="523">
      <c r="C523" s="711"/>
      <c r="D523" s="711"/>
      <c r="G523" s="331"/>
      <c r="H523" s="331"/>
      <c r="I523" s="331"/>
      <c r="J523" s="331"/>
    </row>
    <row r="524">
      <c r="C524" s="711"/>
      <c r="D524" s="711"/>
      <c r="G524" s="331"/>
      <c r="H524" s="331"/>
      <c r="I524" s="331"/>
      <c r="J524" s="331"/>
    </row>
    <row r="525">
      <c r="C525" s="711"/>
      <c r="D525" s="711"/>
      <c r="G525" s="331"/>
      <c r="H525" s="331"/>
      <c r="I525" s="331"/>
      <c r="J525" s="331"/>
    </row>
    <row r="526">
      <c r="C526" s="711"/>
      <c r="D526" s="711"/>
      <c r="G526" s="331"/>
      <c r="H526" s="331"/>
      <c r="I526" s="331"/>
      <c r="J526" s="331"/>
    </row>
    <row r="527">
      <c r="C527" s="711"/>
      <c r="D527" s="711"/>
      <c r="G527" s="331"/>
      <c r="H527" s="331"/>
      <c r="I527" s="331"/>
      <c r="J527" s="331"/>
    </row>
    <row r="528">
      <c r="C528" s="711"/>
      <c r="D528" s="711"/>
      <c r="G528" s="331"/>
      <c r="H528" s="331"/>
      <c r="I528" s="331"/>
      <c r="J528" s="331"/>
    </row>
    <row r="529">
      <c r="C529" s="711"/>
      <c r="D529" s="711"/>
      <c r="G529" s="331"/>
      <c r="H529" s="331"/>
      <c r="I529" s="331"/>
      <c r="J529" s="331"/>
    </row>
    <row r="530">
      <c r="C530" s="711"/>
      <c r="D530" s="711"/>
      <c r="G530" s="331"/>
      <c r="H530" s="331"/>
      <c r="I530" s="331"/>
      <c r="J530" s="331"/>
    </row>
    <row r="531">
      <c r="C531" s="711"/>
      <c r="D531" s="711"/>
      <c r="G531" s="331"/>
      <c r="H531" s="331"/>
      <c r="I531" s="331"/>
      <c r="J531" s="331"/>
    </row>
    <row r="532">
      <c r="C532" s="711"/>
      <c r="D532" s="711"/>
      <c r="G532" s="331"/>
      <c r="H532" s="331"/>
      <c r="I532" s="331"/>
      <c r="J532" s="331"/>
    </row>
    <row r="533">
      <c r="C533" s="711"/>
      <c r="D533" s="711"/>
      <c r="G533" s="331"/>
      <c r="H533" s="331"/>
      <c r="I533" s="331"/>
      <c r="J533" s="331"/>
    </row>
    <row r="534">
      <c r="C534" s="711"/>
      <c r="D534" s="711"/>
      <c r="G534" s="331"/>
      <c r="H534" s="331"/>
      <c r="I534" s="331"/>
      <c r="J534" s="331"/>
    </row>
    <row r="535">
      <c r="C535" s="711"/>
      <c r="D535" s="711"/>
      <c r="G535" s="331"/>
      <c r="H535" s="331"/>
      <c r="I535" s="331"/>
      <c r="J535" s="331"/>
    </row>
    <row r="536">
      <c r="C536" s="711"/>
      <c r="D536" s="711"/>
      <c r="G536" s="331"/>
      <c r="H536" s="331"/>
      <c r="I536" s="331"/>
      <c r="J536" s="331"/>
    </row>
    <row r="537">
      <c r="C537" s="711"/>
      <c r="D537" s="711"/>
      <c r="G537" s="331"/>
      <c r="H537" s="331"/>
      <c r="I537" s="331"/>
      <c r="J537" s="331"/>
    </row>
    <row r="538">
      <c r="C538" s="711"/>
      <c r="D538" s="711"/>
      <c r="G538" s="331"/>
      <c r="H538" s="331"/>
      <c r="I538" s="331"/>
      <c r="J538" s="331"/>
    </row>
    <row r="539">
      <c r="C539" s="711"/>
      <c r="D539" s="711"/>
      <c r="G539" s="331"/>
      <c r="H539" s="331"/>
      <c r="I539" s="331"/>
      <c r="J539" s="331"/>
    </row>
    <row r="540">
      <c r="C540" s="711"/>
      <c r="D540" s="711"/>
      <c r="G540" s="331"/>
      <c r="H540" s="331"/>
      <c r="I540" s="331"/>
      <c r="J540" s="331"/>
    </row>
    <row r="541">
      <c r="C541" s="711"/>
      <c r="D541" s="711"/>
      <c r="G541" s="331"/>
      <c r="H541" s="331"/>
      <c r="I541" s="331"/>
      <c r="J541" s="331"/>
    </row>
    <row r="542">
      <c r="C542" s="711"/>
      <c r="D542" s="711"/>
      <c r="G542" s="331"/>
      <c r="H542" s="331"/>
      <c r="I542" s="331"/>
      <c r="J542" s="331"/>
    </row>
    <row r="543">
      <c r="C543" s="711"/>
      <c r="D543" s="711"/>
      <c r="G543" s="331"/>
      <c r="H543" s="331"/>
      <c r="I543" s="331"/>
      <c r="J543" s="331"/>
    </row>
    <row r="544">
      <c r="C544" s="711"/>
      <c r="D544" s="711"/>
      <c r="G544" s="331"/>
      <c r="H544" s="331"/>
      <c r="I544" s="331"/>
      <c r="J544" s="331"/>
    </row>
    <row r="545">
      <c r="C545" s="711"/>
      <c r="D545" s="711"/>
      <c r="G545" s="331"/>
      <c r="H545" s="331"/>
      <c r="I545" s="331"/>
      <c r="J545" s="331"/>
    </row>
    <row r="546">
      <c r="C546" s="711"/>
      <c r="D546" s="711"/>
      <c r="G546" s="331"/>
      <c r="H546" s="331"/>
      <c r="I546" s="331"/>
      <c r="J546" s="331"/>
    </row>
    <row r="547">
      <c r="C547" s="711"/>
      <c r="D547" s="711"/>
      <c r="G547" s="331"/>
      <c r="H547" s="331"/>
      <c r="I547" s="331"/>
      <c r="J547" s="331"/>
    </row>
    <row r="548">
      <c r="C548" s="711"/>
      <c r="D548" s="711"/>
      <c r="G548" s="331"/>
      <c r="H548" s="331"/>
      <c r="I548" s="331"/>
      <c r="J548" s="331"/>
    </row>
    <row r="549">
      <c r="C549" s="711"/>
      <c r="D549" s="711"/>
      <c r="G549" s="331"/>
      <c r="H549" s="331"/>
      <c r="I549" s="331"/>
      <c r="J549" s="331"/>
    </row>
    <row r="550">
      <c r="C550" s="711"/>
      <c r="D550" s="711"/>
      <c r="G550" s="331"/>
      <c r="H550" s="331"/>
      <c r="I550" s="331"/>
      <c r="J550" s="331"/>
    </row>
    <row r="551">
      <c r="C551" s="711"/>
      <c r="D551" s="711"/>
      <c r="G551" s="331"/>
      <c r="H551" s="331"/>
      <c r="I551" s="331"/>
      <c r="J551" s="331"/>
    </row>
    <row r="552">
      <c r="C552" s="711"/>
      <c r="D552" s="711"/>
      <c r="G552" s="331"/>
      <c r="H552" s="331"/>
      <c r="I552" s="331"/>
      <c r="J552" s="331"/>
    </row>
    <row r="553">
      <c r="C553" s="711"/>
      <c r="D553" s="711"/>
      <c r="G553" s="331"/>
      <c r="H553" s="331"/>
      <c r="I553" s="331"/>
      <c r="J553" s="331"/>
    </row>
    <row r="554">
      <c r="C554" s="711"/>
      <c r="D554" s="711"/>
      <c r="G554" s="331"/>
      <c r="H554" s="331"/>
      <c r="I554" s="331"/>
      <c r="J554" s="331"/>
    </row>
    <row r="555">
      <c r="C555" s="711"/>
      <c r="D555" s="711"/>
      <c r="G555" s="331"/>
      <c r="H555" s="331"/>
      <c r="I555" s="331"/>
      <c r="J555" s="331"/>
    </row>
    <row r="556">
      <c r="C556" s="711"/>
      <c r="D556" s="711"/>
      <c r="G556" s="331"/>
      <c r="H556" s="331"/>
      <c r="I556" s="331"/>
      <c r="J556" s="331"/>
    </row>
    <row r="557">
      <c r="C557" s="711"/>
      <c r="D557" s="711"/>
      <c r="G557" s="331"/>
      <c r="H557" s="331"/>
      <c r="I557" s="331"/>
      <c r="J557" s="331"/>
    </row>
    <row r="558">
      <c r="C558" s="711"/>
      <c r="D558" s="711"/>
      <c r="G558" s="331"/>
      <c r="H558" s="331"/>
      <c r="I558" s="331"/>
      <c r="J558" s="331"/>
    </row>
    <row r="559">
      <c r="C559" s="711"/>
      <c r="D559" s="711"/>
      <c r="G559" s="331"/>
      <c r="H559" s="331"/>
      <c r="I559" s="331"/>
      <c r="J559" s="331"/>
    </row>
    <row r="560">
      <c r="C560" s="711"/>
      <c r="D560" s="711"/>
      <c r="G560" s="331"/>
      <c r="H560" s="331"/>
      <c r="I560" s="331"/>
      <c r="J560" s="331"/>
    </row>
    <row r="561">
      <c r="C561" s="711"/>
      <c r="D561" s="711"/>
      <c r="G561" s="331"/>
      <c r="H561" s="331"/>
      <c r="I561" s="331"/>
      <c r="J561" s="331"/>
    </row>
    <row r="562">
      <c r="C562" s="711"/>
      <c r="D562" s="711"/>
      <c r="G562" s="331"/>
      <c r="H562" s="331"/>
      <c r="I562" s="331"/>
      <c r="J562" s="331"/>
    </row>
    <row r="563">
      <c r="C563" s="711"/>
      <c r="D563" s="711"/>
      <c r="G563" s="331"/>
      <c r="H563" s="331"/>
      <c r="I563" s="331"/>
      <c r="J563" s="331"/>
    </row>
    <row r="564">
      <c r="C564" s="711"/>
      <c r="D564" s="711"/>
      <c r="G564" s="331"/>
      <c r="H564" s="331"/>
      <c r="I564" s="331"/>
      <c r="J564" s="331"/>
    </row>
    <row r="565">
      <c r="C565" s="711"/>
      <c r="D565" s="711"/>
      <c r="G565" s="331"/>
      <c r="H565" s="331"/>
      <c r="I565" s="331"/>
      <c r="J565" s="331"/>
    </row>
    <row r="566">
      <c r="C566" s="711"/>
      <c r="D566" s="711"/>
      <c r="G566" s="331"/>
      <c r="H566" s="331"/>
      <c r="I566" s="331"/>
      <c r="J566" s="331"/>
    </row>
    <row r="567">
      <c r="C567" s="711"/>
      <c r="D567" s="711"/>
      <c r="G567" s="331"/>
      <c r="H567" s="331"/>
      <c r="I567" s="331"/>
      <c r="J567" s="331"/>
    </row>
    <row r="568">
      <c r="C568" s="711"/>
      <c r="D568" s="711"/>
      <c r="G568" s="331"/>
      <c r="H568" s="331"/>
      <c r="I568" s="331"/>
      <c r="J568" s="331"/>
    </row>
    <row r="569">
      <c r="C569" s="711"/>
      <c r="D569" s="711"/>
      <c r="G569" s="331"/>
      <c r="H569" s="331"/>
      <c r="I569" s="331"/>
      <c r="J569" s="331"/>
    </row>
    <row r="570">
      <c r="C570" s="711"/>
      <c r="D570" s="711"/>
      <c r="G570" s="331"/>
      <c r="H570" s="331"/>
      <c r="I570" s="331"/>
      <c r="J570" s="331"/>
    </row>
    <row r="571">
      <c r="C571" s="711"/>
      <c r="D571" s="711"/>
      <c r="G571" s="331"/>
      <c r="H571" s="331"/>
      <c r="I571" s="331"/>
      <c r="J571" s="331"/>
    </row>
    <row r="572">
      <c r="C572" s="711"/>
      <c r="D572" s="711"/>
      <c r="G572" s="331"/>
      <c r="H572" s="331"/>
      <c r="I572" s="331"/>
      <c r="J572" s="331"/>
    </row>
    <row r="573">
      <c r="C573" s="711"/>
      <c r="D573" s="711"/>
      <c r="G573" s="331"/>
      <c r="H573" s="331"/>
      <c r="I573" s="331"/>
      <c r="J573" s="331"/>
    </row>
    <row r="574">
      <c r="C574" s="711"/>
      <c r="D574" s="711"/>
      <c r="G574" s="331"/>
      <c r="H574" s="331"/>
      <c r="I574" s="331"/>
      <c r="J574" s="331"/>
    </row>
    <row r="575">
      <c r="C575" s="711"/>
      <c r="D575" s="711"/>
      <c r="G575" s="331"/>
      <c r="H575" s="331"/>
      <c r="I575" s="331"/>
      <c r="J575" s="331"/>
    </row>
    <row r="576">
      <c r="C576" s="711"/>
      <c r="D576" s="711"/>
      <c r="G576" s="331"/>
      <c r="H576" s="331"/>
      <c r="I576" s="331"/>
      <c r="J576" s="331"/>
    </row>
    <row r="577">
      <c r="C577" s="711"/>
      <c r="D577" s="711"/>
      <c r="G577" s="331"/>
      <c r="H577" s="331"/>
      <c r="I577" s="331"/>
      <c r="J577" s="331"/>
    </row>
    <row r="578">
      <c r="C578" s="711"/>
      <c r="D578" s="711"/>
      <c r="G578" s="331"/>
      <c r="H578" s="331"/>
      <c r="I578" s="331"/>
      <c r="J578" s="331"/>
    </row>
    <row r="579">
      <c r="C579" s="711"/>
      <c r="D579" s="711"/>
      <c r="G579" s="331"/>
      <c r="H579" s="331"/>
      <c r="I579" s="331"/>
      <c r="J579" s="331"/>
    </row>
    <row r="580">
      <c r="C580" s="711"/>
      <c r="D580" s="711"/>
      <c r="G580" s="331"/>
      <c r="H580" s="331"/>
      <c r="I580" s="331"/>
      <c r="J580" s="331"/>
    </row>
    <row r="581">
      <c r="C581" s="711"/>
      <c r="D581" s="711"/>
      <c r="G581" s="331"/>
      <c r="H581" s="331"/>
      <c r="I581" s="331"/>
      <c r="J581" s="331"/>
    </row>
    <row r="582">
      <c r="C582" s="711"/>
      <c r="D582" s="711"/>
      <c r="G582" s="331"/>
      <c r="H582" s="331"/>
      <c r="I582" s="331"/>
      <c r="J582" s="331"/>
    </row>
    <row r="583">
      <c r="C583" s="711"/>
      <c r="D583" s="711"/>
      <c r="G583" s="331"/>
      <c r="H583" s="331"/>
      <c r="I583" s="331"/>
      <c r="J583" s="331"/>
    </row>
    <row r="584">
      <c r="C584" s="711"/>
      <c r="D584" s="711"/>
      <c r="G584" s="331"/>
      <c r="H584" s="331"/>
      <c r="I584" s="331"/>
      <c r="J584" s="331"/>
    </row>
    <row r="585">
      <c r="C585" s="711"/>
      <c r="D585" s="711"/>
      <c r="G585" s="331"/>
      <c r="H585" s="331"/>
      <c r="I585" s="331"/>
      <c r="J585" s="331"/>
    </row>
    <row r="586">
      <c r="C586" s="711"/>
      <c r="D586" s="711"/>
      <c r="G586" s="331"/>
      <c r="H586" s="331"/>
      <c r="I586" s="331"/>
      <c r="J586" s="331"/>
    </row>
    <row r="587">
      <c r="C587" s="711"/>
      <c r="D587" s="711"/>
      <c r="G587" s="331"/>
      <c r="H587" s="331"/>
      <c r="I587" s="331"/>
      <c r="J587" s="331"/>
    </row>
    <row r="588">
      <c r="C588" s="711"/>
      <c r="D588" s="711"/>
      <c r="G588" s="331"/>
      <c r="H588" s="331"/>
      <c r="I588" s="331"/>
      <c r="J588" s="331"/>
    </row>
    <row r="589">
      <c r="C589" s="711"/>
      <c r="D589" s="711"/>
      <c r="G589" s="331"/>
      <c r="H589" s="331"/>
      <c r="I589" s="331"/>
      <c r="J589" s="331"/>
    </row>
    <row r="590">
      <c r="C590" s="711"/>
      <c r="D590" s="711"/>
      <c r="G590" s="331"/>
      <c r="H590" s="331"/>
      <c r="I590" s="331"/>
      <c r="J590" s="331"/>
    </row>
    <row r="591">
      <c r="C591" s="711"/>
      <c r="D591" s="711"/>
      <c r="G591" s="331"/>
      <c r="H591" s="331"/>
      <c r="I591" s="331"/>
      <c r="J591" s="331"/>
    </row>
    <row r="592">
      <c r="C592" s="711"/>
      <c r="D592" s="711"/>
      <c r="G592" s="331"/>
      <c r="H592" s="331"/>
      <c r="I592" s="331"/>
      <c r="J592" s="331"/>
    </row>
    <row r="593">
      <c r="C593" s="711"/>
      <c r="D593" s="711"/>
      <c r="G593" s="331"/>
      <c r="H593" s="331"/>
      <c r="I593" s="331"/>
      <c r="J593" s="331"/>
    </row>
    <row r="594">
      <c r="C594" s="711"/>
      <c r="D594" s="711"/>
      <c r="G594" s="331"/>
      <c r="H594" s="331"/>
      <c r="I594" s="331"/>
      <c r="J594" s="331"/>
    </row>
    <row r="595">
      <c r="C595" s="711"/>
      <c r="D595" s="711"/>
      <c r="G595" s="331"/>
      <c r="H595" s="331"/>
      <c r="I595" s="331"/>
      <c r="J595" s="331"/>
    </row>
    <row r="596">
      <c r="C596" s="711"/>
      <c r="D596" s="711"/>
      <c r="G596" s="331"/>
      <c r="H596" s="331"/>
      <c r="I596" s="331"/>
      <c r="J596" s="331"/>
    </row>
    <row r="597">
      <c r="C597" s="711"/>
      <c r="D597" s="711"/>
      <c r="G597" s="331"/>
      <c r="H597" s="331"/>
      <c r="I597" s="331"/>
      <c r="J597" s="331"/>
    </row>
    <row r="598">
      <c r="C598" s="711"/>
      <c r="D598" s="711"/>
      <c r="G598" s="331"/>
      <c r="H598" s="331"/>
      <c r="I598" s="331"/>
      <c r="J598" s="331"/>
    </row>
    <row r="599">
      <c r="C599" s="711"/>
      <c r="D599" s="711"/>
      <c r="G599" s="331"/>
      <c r="H599" s="331"/>
      <c r="I599" s="331"/>
      <c r="J599" s="331"/>
    </row>
    <row r="600">
      <c r="C600" s="711"/>
      <c r="D600" s="711"/>
      <c r="G600" s="331"/>
      <c r="H600" s="331"/>
      <c r="I600" s="331"/>
      <c r="J600" s="331"/>
    </row>
    <row r="601">
      <c r="C601" s="711"/>
      <c r="D601" s="711"/>
      <c r="G601" s="331"/>
      <c r="H601" s="331"/>
      <c r="I601" s="331"/>
      <c r="J601" s="331"/>
    </row>
    <row r="602">
      <c r="C602" s="711"/>
      <c r="D602" s="711"/>
      <c r="G602" s="331"/>
      <c r="H602" s="331"/>
      <c r="I602" s="331"/>
      <c r="J602" s="331"/>
    </row>
    <row r="603">
      <c r="C603" s="711"/>
      <c r="D603" s="711"/>
      <c r="G603" s="331"/>
      <c r="H603" s="331"/>
      <c r="I603" s="331"/>
      <c r="J603" s="331"/>
    </row>
    <row r="604">
      <c r="C604" s="711"/>
      <c r="D604" s="711"/>
      <c r="G604" s="331"/>
      <c r="H604" s="331"/>
      <c r="I604" s="331"/>
      <c r="J604" s="331"/>
    </row>
    <row r="605">
      <c r="C605" s="711"/>
      <c r="D605" s="711"/>
      <c r="G605" s="331"/>
      <c r="H605" s="331"/>
      <c r="I605" s="331"/>
      <c r="J605" s="331"/>
    </row>
    <row r="606">
      <c r="C606" s="711"/>
      <c r="D606" s="711"/>
      <c r="G606" s="331"/>
      <c r="H606" s="331"/>
      <c r="I606" s="331"/>
      <c r="J606" s="331"/>
    </row>
    <row r="607">
      <c r="C607" s="711"/>
      <c r="D607" s="711"/>
      <c r="G607" s="331"/>
      <c r="H607" s="331"/>
      <c r="I607" s="331"/>
      <c r="J607" s="331"/>
    </row>
    <row r="608">
      <c r="C608" s="711"/>
      <c r="D608" s="711"/>
      <c r="G608" s="331"/>
      <c r="H608" s="331"/>
      <c r="I608" s="331"/>
      <c r="J608" s="331"/>
    </row>
    <row r="609">
      <c r="C609" s="711"/>
      <c r="D609" s="711"/>
      <c r="G609" s="331"/>
      <c r="H609" s="331"/>
      <c r="I609" s="331"/>
      <c r="J609" s="331"/>
    </row>
    <row r="610">
      <c r="C610" s="711"/>
      <c r="D610" s="711"/>
      <c r="G610" s="331"/>
      <c r="H610" s="331"/>
      <c r="I610" s="331"/>
      <c r="J610" s="331"/>
    </row>
    <row r="611">
      <c r="C611" s="711"/>
      <c r="D611" s="711"/>
      <c r="G611" s="331"/>
      <c r="H611" s="331"/>
      <c r="I611" s="331"/>
      <c r="J611" s="331"/>
    </row>
    <row r="612">
      <c r="C612" s="711"/>
      <c r="D612" s="711"/>
      <c r="G612" s="331"/>
      <c r="H612" s="331"/>
      <c r="I612" s="331"/>
      <c r="J612" s="331"/>
    </row>
    <row r="613">
      <c r="C613" s="711"/>
      <c r="D613" s="711"/>
      <c r="G613" s="331"/>
      <c r="H613" s="331"/>
      <c r="I613" s="331"/>
      <c r="J613" s="331"/>
    </row>
    <row r="614">
      <c r="C614" s="711"/>
      <c r="D614" s="711"/>
      <c r="G614" s="331"/>
      <c r="H614" s="331"/>
      <c r="I614" s="331"/>
      <c r="J614" s="331"/>
    </row>
    <row r="615">
      <c r="C615" s="711"/>
      <c r="D615" s="711"/>
      <c r="G615" s="331"/>
      <c r="H615" s="331"/>
      <c r="I615" s="331"/>
      <c r="J615" s="331"/>
    </row>
    <row r="616">
      <c r="C616" s="711"/>
      <c r="D616" s="711"/>
      <c r="G616" s="331"/>
      <c r="H616" s="331"/>
      <c r="I616" s="331"/>
      <c r="J616" s="331"/>
    </row>
    <row r="617">
      <c r="C617" s="711"/>
      <c r="D617" s="711"/>
      <c r="G617" s="331"/>
      <c r="H617" s="331"/>
      <c r="I617" s="331"/>
      <c r="J617" s="331"/>
    </row>
    <row r="618">
      <c r="C618" s="711"/>
      <c r="D618" s="711"/>
      <c r="G618" s="331"/>
      <c r="H618" s="331"/>
      <c r="I618" s="331"/>
      <c r="J618" s="331"/>
    </row>
    <row r="619">
      <c r="C619" s="711"/>
      <c r="D619" s="711"/>
      <c r="G619" s="331"/>
      <c r="H619" s="331"/>
      <c r="I619" s="331"/>
      <c r="J619" s="331"/>
    </row>
    <row r="620">
      <c r="C620" s="711"/>
      <c r="D620" s="711"/>
      <c r="G620" s="331"/>
      <c r="H620" s="331"/>
      <c r="I620" s="331"/>
      <c r="J620" s="331"/>
    </row>
    <row r="621">
      <c r="C621" s="711"/>
      <c r="D621" s="711"/>
      <c r="G621" s="331"/>
      <c r="H621" s="331"/>
      <c r="I621" s="331"/>
      <c r="J621" s="331"/>
    </row>
    <row r="622">
      <c r="C622" s="711"/>
      <c r="D622" s="711"/>
      <c r="G622" s="331"/>
      <c r="H622" s="331"/>
      <c r="I622" s="331"/>
      <c r="J622" s="331"/>
    </row>
    <row r="623">
      <c r="C623" s="711"/>
      <c r="D623" s="711"/>
      <c r="G623" s="331"/>
      <c r="H623" s="331"/>
      <c r="I623" s="331"/>
      <c r="J623" s="331"/>
    </row>
    <row r="624">
      <c r="C624" s="711"/>
      <c r="D624" s="711"/>
      <c r="G624" s="331"/>
      <c r="H624" s="331"/>
      <c r="I624" s="331"/>
      <c r="J624" s="331"/>
    </row>
    <row r="625">
      <c r="C625" s="711"/>
      <c r="D625" s="711"/>
      <c r="G625" s="331"/>
      <c r="H625" s="331"/>
      <c r="I625" s="331"/>
      <c r="J625" s="331"/>
    </row>
    <row r="626">
      <c r="C626" s="711"/>
      <c r="D626" s="711"/>
      <c r="G626" s="331"/>
      <c r="H626" s="331"/>
      <c r="I626" s="331"/>
      <c r="J626" s="331"/>
    </row>
    <row r="627">
      <c r="C627" s="711"/>
      <c r="D627" s="711"/>
      <c r="G627" s="331"/>
      <c r="H627" s="331"/>
      <c r="I627" s="331"/>
      <c r="J627" s="331"/>
    </row>
    <row r="628">
      <c r="C628" s="711"/>
      <c r="D628" s="711"/>
      <c r="G628" s="331"/>
      <c r="H628" s="331"/>
      <c r="I628" s="331"/>
      <c r="J628" s="331"/>
    </row>
    <row r="629">
      <c r="C629" s="711"/>
      <c r="D629" s="711"/>
      <c r="G629" s="331"/>
      <c r="H629" s="331"/>
      <c r="I629" s="331"/>
      <c r="J629" s="331"/>
    </row>
    <row r="630">
      <c r="C630" s="711"/>
      <c r="D630" s="711"/>
      <c r="G630" s="331"/>
      <c r="H630" s="331"/>
      <c r="I630" s="331"/>
      <c r="J630" s="331"/>
    </row>
    <row r="631">
      <c r="C631" s="711"/>
      <c r="D631" s="711"/>
      <c r="G631" s="331"/>
      <c r="H631" s="331"/>
      <c r="I631" s="331"/>
      <c r="J631" s="331"/>
    </row>
    <row r="632">
      <c r="C632" s="711"/>
      <c r="D632" s="711"/>
      <c r="G632" s="331"/>
      <c r="H632" s="331"/>
      <c r="I632" s="331"/>
      <c r="J632" s="331"/>
    </row>
    <row r="633">
      <c r="C633" s="711"/>
      <c r="D633" s="711"/>
      <c r="G633" s="331"/>
      <c r="H633" s="331"/>
      <c r="I633" s="331"/>
      <c r="J633" s="331"/>
    </row>
    <row r="634">
      <c r="C634" s="711"/>
      <c r="D634" s="711"/>
      <c r="G634" s="331"/>
      <c r="H634" s="331"/>
      <c r="I634" s="331"/>
      <c r="J634" s="331"/>
    </row>
    <row r="635">
      <c r="C635" s="711"/>
      <c r="D635" s="711"/>
      <c r="G635" s="331"/>
      <c r="H635" s="331"/>
      <c r="I635" s="331"/>
      <c r="J635" s="331"/>
    </row>
    <row r="636">
      <c r="C636" s="711"/>
      <c r="D636" s="711"/>
      <c r="G636" s="331"/>
      <c r="H636" s="331"/>
      <c r="I636" s="331"/>
      <c r="J636" s="331"/>
    </row>
    <row r="637">
      <c r="C637" s="711"/>
      <c r="D637" s="711"/>
      <c r="G637" s="331"/>
      <c r="H637" s="331"/>
      <c r="I637" s="331"/>
      <c r="J637" s="331"/>
    </row>
    <row r="638">
      <c r="C638" s="711"/>
      <c r="D638" s="711"/>
      <c r="G638" s="331"/>
      <c r="H638" s="331"/>
      <c r="I638" s="331"/>
      <c r="J638" s="331"/>
    </row>
    <row r="639">
      <c r="C639" s="711"/>
      <c r="D639" s="711"/>
      <c r="G639" s="331"/>
      <c r="H639" s="331"/>
      <c r="I639" s="331"/>
      <c r="J639" s="331"/>
    </row>
    <row r="640">
      <c r="C640" s="711"/>
      <c r="D640" s="711"/>
      <c r="G640" s="331"/>
      <c r="H640" s="331"/>
      <c r="I640" s="331"/>
      <c r="J640" s="331"/>
    </row>
    <row r="641">
      <c r="C641" s="711"/>
      <c r="D641" s="711"/>
      <c r="G641" s="331"/>
      <c r="H641" s="331"/>
      <c r="I641" s="331"/>
      <c r="J641" s="331"/>
    </row>
    <row r="642">
      <c r="C642" s="711"/>
      <c r="D642" s="711"/>
      <c r="G642" s="331"/>
      <c r="H642" s="331"/>
      <c r="I642" s="331"/>
      <c r="J642" s="331"/>
    </row>
    <row r="643">
      <c r="C643" s="711"/>
      <c r="D643" s="711"/>
      <c r="G643" s="331"/>
      <c r="H643" s="331"/>
      <c r="I643" s="331"/>
      <c r="J643" s="331"/>
    </row>
    <row r="644">
      <c r="C644" s="711"/>
      <c r="D644" s="711"/>
      <c r="G644" s="331"/>
      <c r="H644" s="331"/>
      <c r="I644" s="331"/>
      <c r="J644" s="331"/>
    </row>
    <row r="645">
      <c r="C645" s="711"/>
      <c r="D645" s="711"/>
      <c r="G645" s="331"/>
      <c r="H645" s="331"/>
      <c r="I645" s="331"/>
      <c r="J645" s="331"/>
    </row>
    <row r="646">
      <c r="C646" s="711"/>
      <c r="D646" s="711"/>
      <c r="G646" s="331"/>
      <c r="H646" s="331"/>
      <c r="I646" s="331"/>
      <c r="J646" s="331"/>
    </row>
    <row r="647">
      <c r="C647" s="711"/>
      <c r="D647" s="711"/>
      <c r="G647" s="331"/>
      <c r="H647" s="331"/>
      <c r="I647" s="331"/>
      <c r="J647" s="331"/>
    </row>
    <row r="648">
      <c r="C648" s="711"/>
      <c r="D648" s="711"/>
      <c r="G648" s="331"/>
      <c r="H648" s="331"/>
      <c r="I648" s="331"/>
      <c r="J648" s="331"/>
    </row>
    <row r="649">
      <c r="C649" s="711"/>
      <c r="D649" s="711"/>
      <c r="G649" s="331"/>
      <c r="H649" s="331"/>
      <c r="I649" s="331"/>
      <c r="J649" s="331"/>
    </row>
    <row r="650">
      <c r="C650" s="711"/>
      <c r="D650" s="711"/>
      <c r="G650" s="331"/>
      <c r="H650" s="331"/>
      <c r="I650" s="331"/>
      <c r="J650" s="331"/>
    </row>
    <row r="651">
      <c r="C651" s="711"/>
      <c r="D651" s="711"/>
      <c r="G651" s="331"/>
      <c r="H651" s="331"/>
      <c r="I651" s="331"/>
      <c r="J651" s="331"/>
    </row>
    <row r="652">
      <c r="C652" s="711"/>
      <c r="D652" s="711"/>
      <c r="G652" s="331"/>
      <c r="H652" s="331"/>
      <c r="I652" s="331"/>
      <c r="J652" s="331"/>
    </row>
    <row r="653">
      <c r="C653" s="711"/>
      <c r="D653" s="711"/>
      <c r="G653" s="331"/>
      <c r="H653" s="331"/>
      <c r="I653" s="331"/>
      <c r="J653" s="331"/>
    </row>
    <row r="654">
      <c r="C654" s="711"/>
      <c r="D654" s="711"/>
      <c r="G654" s="331"/>
      <c r="H654" s="331"/>
      <c r="I654" s="331"/>
      <c r="J654" s="331"/>
    </row>
    <row r="655">
      <c r="C655" s="711"/>
      <c r="D655" s="711"/>
      <c r="G655" s="331"/>
      <c r="H655" s="331"/>
      <c r="I655" s="331"/>
      <c r="J655" s="331"/>
    </row>
    <row r="656">
      <c r="C656" s="711"/>
      <c r="D656" s="711"/>
      <c r="G656" s="331"/>
      <c r="H656" s="331"/>
      <c r="I656" s="331"/>
      <c r="J656" s="331"/>
    </row>
    <row r="657">
      <c r="C657" s="711"/>
      <c r="D657" s="711"/>
      <c r="G657" s="331"/>
      <c r="H657" s="331"/>
      <c r="I657" s="331"/>
      <c r="J657" s="331"/>
    </row>
    <row r="658">
      <c r="C658" s="711"/>
      <c r="D658" s="711"/>
      <c r="G658" s="331"/>
      <c r="H658" s="331"/>
      <c r="I658" s="331"/>
      <c r="J658" s="331"/>
    </row>
    <row r="659">
      <c r="C659" s="711"/>
      <c r="D659" s="711"/>
      <c r="G659" s="331"/>
      <c r="H659" s="331"/>
      <c r="I659" s="331"/>
      <c r="J659" s="331"/>
    </row>
    <row r="660">
      <c r="C660" s="711"/>
      <c r="D660" s="711"/>
      <c r="G660" s="331"/>
      <c r="H660" s="331"/>
      <c r="I660" s="331"/>
      <c r="J660" s="331"/>
    </row>
    <row r="661">
      <c r="C661" s="711"/>
      <c r="D661" s="711"/>
      <c r="G661" s="331"/>
      <c r="H661" s="331"/>
      <c r="I661" s="331"/>
      <c r="J661" s="331"/>
    </row>
    <row r="662">
      <c r="C662" s="711"/>
      <c r="D662" s="711"/>
      <c r="G662" s="331"/>
      <c r="H662" s="331"/>
      <c r="I662" s="331"/>
      <c r="J662" s="331"/>
    </row>
    <row r="663">
      <c r="C663" s="711"/>
      <c r="D663" s="711"/>
      <c r="G663" s="331"/>
      <c r="H663" s="331"/>
      <c r="I663" s="331"/>
      <c r="J663" s="331"/>
    </row>
    <row r="664">
      <c r="C664" s="711"/>
      <c r="D664" s="711"/>
      <c r="G664" s="331"/>
      <c r="H664" s="331"/>
      <c r="I664" s="331"/>
      <c r="J664" s="331"/>
    </row>
    <row r="665">
      <c r="C665" s="711"/>
      <c r="D665" s="711"/>
      <c r="G665" s="331"/>
      <c r="H665" s="331"/>
      <c r="I665" s="331"/>
      <c r="J665" s="331"/>
    </row>
    <row r="666">
      <c r="C666" s="711"/>
      <c r="D666" s="711"/>
      <c r="G666" s="331"/>
      <c r="H666" s="331"/>
      <c r="I666" s="331"/>
      <c r="J666" s="331"/>
    </row>
    <row r="667">
      <c r="C667" s="711"/>
      <c r="D667" s="711"/>
      <c r="G667" s="331"/>
      <c r="H667" s="331"/>
      <c r="I667" s="331"/>
      <c r="J667" s="331"/>
    </row>
    <row r="668">
      <c r="C668" s="711"/>
      <c r="D668" s="711"/>
      <c r="G668" s="331"/>
      <c r="H668" s="331"/>
      <c r="I668" s="331"/>
      <c r="J668" s="331"/>
    </row>
    <row r="669">
      <c r="C669" s="711"/>
      <c r="D669" s="711"/>
      <c r="G669" s="331"/>
      <c r="H669" s="331"/>
      <c r="I669" s="331"/>
      <c r="J669" s="331"/>
    </row>
    <row r="670">
      <c r="C670" s="711"/>
      <c r="D670" s="711"/>
      <c r="G670" s="331"/>
      <c r="H670" s="331"/>
      <c r="I670" s="331"/>
      <c r="J670" s="331"/>
    </row>
    <row r="671">
      <c r="C671" s="711"/>
      <c r="D671" s="711"/>
      <c r="G671" s="331"/>
      <c r="H671" s="331"/>
      <c r="I671" s="331"/>
      <c r="J671" s="331"/>
    </row>
    <row r="672">
      <c r="C672" s="711"/>
      <c r="D672" s="711"/>
      <c r="G672" s="331"/>
      <c r="H672" s="331"/>
      <c r="I672" s="331"/>
      <c r="J672" s="331"/>
    </row>
    <row r="673">
      <c r="C673" s="711"/>
      <c r="D673" s="711"/>
      <c r="G673" s="331"/>
      <c r="H673" s="331"/>
      <c r="I673" s="331"/>
      <c r="J673" s="331"/>
    </row>
    <row r="674">
      <c r="C674" s="711"/>
      <c r="D674" s="711"/>
      <c r="G674" s="331"/>
      <c r="H674" s="331"/>
      <c r="I674" s="331"/>
      <c r="J674" s="331"/>
    </row>
    <row r="675">
      <c r="C675" s="711"/>
      <c r="D675" s="711"/>
      <c r="G675" s="331"/>
      <c r="H675" s="331"/>
      <c r="I675" s="331"/>
      <c r="J675" s="331"/>
    </row>
    <row r="676">
      <c r="C676" s="711"/>
      <c r="D676" s="711"/>
      <c r="G676" s="331"/>
      <c r="H676" s="331"/>
      <c r="I676" s="331"/>
      <c r="J676" s="331"/>
    </row>
    <row r="677">
      <c r="C677" s="711"/>
      <c r="D677" s="711"/>
      <c r="G677" s="331"/>
      <c r="H677" s="331"/>
      <c r="I677" s="331"/>
      <c r="J677" s="331"/>
    </row>
    <row r="678">
      <c r="C678" s="711"/>
      <c r="D678" s="711"/>
      <c r="G678" s="331"/>
      <c r="H678" s="331"/>
      <c r="I678" s="331"/>
      <c r="J678" s="331"/>
    </row>
    <row r="679">
      <c r="C679" s="711"/>
      <c r="D679" s="711"/>
      <c r="G679" s="331"/>
      <c r="H679" s="331"/>
      <c r="I679" s="331"/>
      <c r="J679" s="331"/>
    </row>
    <row r="680">
      <c r="C680" s="711"/>
      <c r="D680" s="711"/>
      <c r="G680" s="331"/>
      <c r="H680" s="331"/>
      <c r="I680" s="331"/>
      <c r="J680" s="331"/>
    </row>
    <row r="681">
      <c r="C681" s="711"/>
      <c r="D681" s="711"/>
      <c r="G681" s="331"/>
      <c r="H681" s="331"/>
      <c r="I681" s="331"/>
      <c r="J681" s="331"/>
    </row>
    <row r="682">
      <c r="C682" s="711"/>
      <c r="D682" s="711"/>
      <c r="G682" s="331"/>
      <c r="H682" s="331"/>
      <c r="I682" s="331"/>
      <c r="J682" s="331"/>
    </row>
    <row r="683">
      <c r="C683" s="711"/>
      <c r="D683" s="711"/>
      <c r="G683" s="331"/>
      <c r="H683" s="331"/>
      <c r="I683" s="331"/>
      <c r="J683" s="331"/>
    </row>
    <row r="684">
      <c r="C684" s="711"/>
      <c r="D684" s="711"/>
      <c r="G684" s="331"/>
      <c r="H684" s="331"/>
      <c r="I684" s="331"/>
      <c r="J684" s="331"/>
    </row>
    <row r="685">
      <c r="C685" s="711"/>
      <c r="D685" s="711"/>
      <c r="G685" s="331"/>
      <c r="H685" s="331"/>
      <c r="I685" s="331"/>
      <c r="J685" s="331"/>
    </row>
    <row r="686">
      <c r="C686" s="711"/>
      <c r="D686" s="711"/>
      <c r="G686" s="331"/>
      <c r="H686" s="331"/>
      <c r="I686" s="331"/>
      <c r="J686" s="331"/>
    </row>
    <row r="687">
      <c r="C687" s="711"/>
      <c r="D687" s="711"/>
      <c r="G687" s="331"/>
      <c r="H687" s="331"/>
      <c r="I687" s="331"/>
      <c r="J687" s="331"/>
    </row>
    <row r="688">
      <c r="C688" s="711"/>
      <c r="D688" s="711"/>
      <c r="G688" s="331"/>
      <c r="H688" s="331"/>
      <c r="I688" s="331"/>
      <c r="J688" s="331"/>
    </row>
    <row r="689">
      <c r="C689" s="711"/>
      <c r="D689" s="711"/>
      <c r="G689" s="331"/>
      <c r="H689" s="331"/>
      <c r="I689" s="331"/>
      <c r="J689" s="331"/>
    </row>
    <row r="690">
      <c r="C690" s="711"/>
      <c r="D690" s="711"/>
      <c r="G690" s="331"/>
      <c r="H690" s="331"/>
      <c r="I690" s="331"/>
      <c r="J690" s="331"/>
    </row>
    <row r="691">
      <c r="C691" s="711"/>
      <c r="D691" s="711"/>
      <c r="G691" s="331"/>
      <c r="H691" s="331"/>
      <c r="I691" s="331"/>
      <c r="J691" s="331"/>
    </row>
    <row r="692">
      <c r="C692" s="711"/>
      <c r="D692" s="711"/>
      <c r="G692" s="331"/>
      <c r="H692" s="331"/>
      <c r="I692" s="331"/>
      <c r="J692" s="331"/>
    </row>
    <row r="693">
      <c r="C693" s="711"/>
      <c r="D693" s="711"/>
      <c r="G693" s="331"/>
      <c r="H693" s="331"/>
      <c r="I693" s="331"/>
      <c r="J693" s="331"/>
    </row>
    <row r="694">
      <c r="C694" s="711"/>
      <c r="D694" s="711"/>
      <c r="G694" s="331"/>
      <c r="H694" s="331"/>
      <c r="I694" s="331"/>
      <c r="J694" s="331"/>
    </row>
    <row r="695">
      <c r="C695" s="711"/>
      <c r="D695" s="711"/>
      <c r="G695" s="331"/>
      <c r="H695" s="331"/>
      <c r="I695" s="331"/>
      <c r="J695" s="331"/>
    </row>
    <row r="696">
      <c r="C696" s="711"/>
      <c r="D696" s="711"/>
      <c r="G696" s="331"/>
      <c r="H696" s="331"/>
      <c r="I696" s="331"/>
      <c r="J696" s="331"/>
    </row>
    <row r="697">
      <c r="C697" s="711"/>
      <c r="D697" s="711"/>
      <c r="G697" s="331"/>
      <c r="H697" s="331"/>
      <c r="I697" s="331"/>
      <c r="J697" s="331"/>
    </row>
    <row r="698">
      <c r="C698" s="711"/>
      <c r="D698" s="711"/>
      <c r="G698" s="331"/>
      <c r="H698" s="331"/>
      <c r="I698" s="331"/>
      <c r="J698" s="331"/>
    </row>
    <row r="699">
      <c r="C699" s="711"/>
      <c r="D699" s="711"/>
      <c r="G699" s="331"/>
      <c r="H699" s="331"/>
      <c r="I699" s="331"/>
      <c r="J699" s="331"/>
    </row>
    <row r="700">
      <c r="C700" s="711"/>
      <c r="D700" s="711"/>
      <c r="G700" s="331"/>
      <c r="H700" s="331"/>
      <c r="I700" s="331"/>
      <c r="J700" s="331"/>
    </row>
    <row r="701">
      <c r="C701" s="711"/>
      <c r="D701" s="711"/>
      <c r="G701" s="331"/>
      <c r="H701" s="331"/>
      <c r="I701" s="331"/>
      <c r="J701" s="331"/>
    </row>
    <row r="702">
      <c r="C702" s="711"/>
      <c r="D702" s="711"/>
      <c r="G702" s="331"/>
      <c r="H702" s="331"/>
      <c r="I702" s="331"/>
      <c r="J702" s="331"/>
    </row>
    <row r="703">
      <c r="C703" s="711"/>
      <c r="D703" s="711"/>
      <c r="G703" s="331"/>
      <c r="H703" s="331"/>
      <c r="I703" s="331"/>
      <c r="J703" s="331"/>
    </row>
    <row r="704">
      <c r="C704" s="711"/>
      <c r="D704" s="711"/>
      <c r="G704" s="331"/>
      <c r="H704" s="331"/>
      <c r="I704" s="331"/>
      <c r="J704" s="331"/>
    </row>
    <row r="705">
      <c r="C705" s="711"/>
      <c r="D705" s="711"/>
      <c r="G705" s="331"/>
      <c r="H705" s="331"/>
      <c r="I705" s="331"/>
      <c r="J705" s="331"/>
    </row>
    <row r="706">
      <c r="C706" s="711"/>
      <c r="D706" s="711"/>
      <c r="G706" s="331"/>
      <c r="H706" s="331"/>
      <c r="I706" s="331"/>
      <c r="J706" s="331"/>
    </row>
    <row r="707">
      <c r="C707" s="711"/>
      <c r="D707" s="711"/>
      <c r="G707" s="331"/>
      <c r="H707" s="331"/>
      <c r="I707" s="331"/>
      <c r="J707" s="331"/>
    </row>
    <row r="708">
      <c r="C708" s="711"/>
      <c r="D708" s="711"/>
      <c r="G708" s="331"/>
      <c r="H708" s="331"/>
      <c r="I708" s="331"/>
      <c r="J708" s="331"/>
    </row>
    <row r="709">
      <c r="C709" s="711"/>
      <c r="D709" s="711"/>
      <c r="G709" s="331"/>
      <c r="H709" s="331"/>
      <c r="I709" s="331"/>
      <c r="J709" s="331"/>
    </row>
    <row r="710">
      <c r="C710" s="711"/>
      <c r="D710" s="711"/>
      <c r="G710" s="331"/>
      <c r="H710" s="331"/>
      <c r="I710" s="331"/>
      <c r="J710" s="331"/>
    </row>
    <row r="711">
      <c r="C711" s="711"/>
      <c r="D711" s="711"/>
      <c r="G711" s="331"/>
      <c r="H711" s="331"/>
      <c r="I711" s="331"/>
      <c r="J711" s="331"/>
    </row>
    <row r="712">
      <c r="C712" s="711"/>
      <c r="D712" s="711"/>
      <c r="G712" s="331"/>
      <c r="H712" s="331"/>
      <c r="I712" s="331"/>
      <c r="J712" s="331"/>
    </row>
    <row r="713">
      <c r="C713" s="711"/>
      <c r="D713" s="711"/>
      <c r="G713" s="331"/>
      <c r="H713" s="331"/>
      <c r="I713" s="331"/>
      <c r="J713" s="331"/>
    </row>
    <row r="714">
      <c r="C714" s="711"/>
      <c r="D714" s="711"/>
      <c r="G714" s="331"/>
      <c r="H714" s="331"/>
      <c r="I714" s="331"/>
      <c r="J714" s="331"/>
    </row>
    <row r="715">
      <c r="C715" s="711"/>
      <c r="D715" s="711"/>
      <c r="G715" s="331"/>
      <c r="H715" s="331"/>
      <c r="I715" s="331"/>
      <c r="J715" s="331"/>
    </row>
    <row r="716">
      <c r="C716" s="711"/>
      <c r="D716" s="711"/>
      <c r="G716" s="331"/>
      <c r="H716" s="331"/>
      <c r="I716" s="331"/>
      <c r="J716" s="331"/>
    </row>
    <row r="717">
      <c r="C717" s="711"/>
      <c r="D717" s="711"/>
      <c r="G717" s="331"/>
      <c r="H717" s="331"/>
      <c r="I717" s="331"/>
      <c r="J717" s="331"/>
    </row>
    <row r="718">
      <c r="C718" s="711"/>
      <c r="D718" s="711"/>
      <c r="G718" s="331"/>
      <c r="H718" s="331"/>
      <c r="I718" s="331"/>
      <c r="J718" s="331"/>
    </row>
    <row r="719">
      <c r="C719" s="711"/>
      <c r="D719" s="711"/>
      <c r="G719" s="331"/>
      <c r="H719" s="331"/>
      <c r="I719" s="331"/>
      <c r="J719" s="331"/>
    </row>
    <row r="720">
      <c r="C720" s="711"/>
      <c r="D720" s="711"/>
      <c r="G720" s="331"/>
      <c r="H720" s="331"/>
      <c r="I720" s="331"/>
      <c r="J720" s="331"/>
    </row>
    <row r="721">
      <c r="C721" s="711"/>
      <c r="D721" s="711"/>
      <c r="G721" s="331"/>
      <c r="H721" s="331"/>
      <c r="I721" s="331"/>
      <c r="J721" s="331"/>
    </row>
    <row r="722">
      <c r="C722" s="711"/>
      <c r="D722" s="711"/>
      <c r="G722" s="331"/>
      <c r="H722" s="331"/>
      <c r="I722" s="331"/>
      <c r="J722" s="331"/>
    </row>
    <row r="723">
      <c r="C723" s="711"/>
      <c r="D723" s="711"/>
      <c r="G723" s="331"/>
      <c r="H723" s="331"/>
      <c r="I723" s="331"/>
      <c r="J723" s="331"/>
    </row>
    <row r="724">
      <c r="C724" s="711"/>
      <c r="D724" s="711"/>
      <c r="G724" s="331"/>
      <c r="H724" s="331"/>
      <c r="I724" s="331"/>
      <c r="J724" s="331"/>
    </row>
    <row r="725">
      <c r="C725" s="711"/>
      <c r="D725" s="711"/>
      <c r="G725" s="331"/>
      <c r="H725" s="331"/>
      <c r="I725" s="331"/>
      <c r="J725" s="331"/>
    </row>
    <row r="726">
      <c r="C726" s="711"/>
      <c r="D726" s="711"/>
      <c r="G726" s="331"/>
      <c r="H726" s="331"/>
      <c r="I726" s="331"/>
      <c r="J726" s="331"/>
    </row>
    <row r="727">
      <c r="C727" s="711"/>
      <c r="D727" s="711"/>
      <c r="G727" s="331"/>
      <c r="H727" s="331"/>
      <c r="I727" s="331"/>
      <c r="J727" s="331"/>
    </row>
    <row r="728">
      <c r="C728" s="711"/>
      <c r="D728" s="711"/>
      <c r="G728" s="331"/>
      <c r="H728" s="331"/>
      <c r="I728" s="331"/>
      <c r="J728" s="331"/>
    </row>
    <row r="729">
      <c r="C729" s="711"/>
      <c r="D729" s="711"/>
      <c r="G729" s="331"/>
      <c r="H729" s="331"/>
      <c r="I729" s="331"/>
      <c r="J729" s="331"/>
    </row>
    <row r="730">
      <c r="C730" s="711"/>
      <c r="D730" s="711"/>
      <c r="G730" s="331"/>
      <c r="H730" s="331"/>
      <c r="I730" s="331"/>
      <c r="J730" s="331"/>
    </row>
    <row r="731">
      <c r="C731" s="711"/>
      <c r="D731" s="711"/>
      <c r="G731" s="331"/>
      <c r="H731" s="331"/>
      <c r="I731" s="331"/>
      <c r="J731" s="331"/>
    </row>
    <row r="732">
      <c r="C732" s="711"/>
      <c r="D732" s="711"/>
      <c r="G732" s="331"/>
      <c r="H732" s="331"/>
      <c r="I732" s="331"/>
      <c r="J732" s="331"/>
    </row>
    <row r="733">
      <c r="C733" s="711"/>
      <c r="D733" s="711"/>
      <c r="G733" s="331"/>
      <c r="H733" s="331"/>
      <c r="I733" s="331"/>
      <c r="J733" s="331"/>
    </row>
    <row r="734">
      <c r="C734" s="711"/>
      <c r="D734" s="711"/>
      <c r="G734" s="331"/>
      <c r="H734" s="331"/>
      <c r="I734" s="331"/>
      <c r="J734" s="331"/>
    </row>
    <row r="735">
      <c r="C735" s="711"/>
      <c r="D735" s="711"/>
      <c r="G735" s="331"/>
      <c r="H735" s="331"/>
      <c r="I735" s="331"/>
      <c r="J735" s="331"/>
    </row>
    <row r="736">
      <c r="C736" s="711"/>
      <c r="D736" s="711"/>
      <c r="G736" s="331"/>
      <c r="H736" s="331"/>
      <c r="I736" s="331"/>
      <c r="J736" s="331"/>
    </row>
    <row r="737">
      <c r="C737" s="711"/>
      <c r="D737" s="711"/>
      <c r="G737" s="331"/>
      <c r="H737" s="331"/>
      <c r="I737" s="331"/>
      <c r="J737" s="331"/>
    </row>
    <row r="738">
      <c r="C738" s="711"/>
      <c r="D738" s="711"/>
      <c r="G738" s="331"/>
      <c r="H738" s="331"/>
      <c r="I738" s="331"/>
      <c r="J738" s="331"/>
    </row>
    <row r="739">
      <c r="C739" s="711"/>
      <c r="D739" s="711"/>
      <c r="G739" s="331"/>
      <c r="H739" s="331"/>
      <c r="I739" s="331"/>
      <c r="J739" s="331"/>
    </row>
    <row r="740">
      <c r="C740" s="711"/>
      <c r="D740" s="711"/>
      <c r="G740" s="331"/>
      <c r="H740" s="331"/>
      <c r="I740" s="331"/>
      <c r="J740" s="331"/>
    </row>
    <row r="741">
      <c r="C741" s="711"/>
      <c r="D741" s="711"/>
      <c r="G741" s="331"/>
      <c r="H741" s="331"/>
      <c r="I741" s="331"/>
      <c r="J741" s="331"/>
    </row>
    <row r="742">
      <c r="C742" s="711"/>
      <c r="D742" s="711"/>
      <c r="G742" s="331"/>
      <c r="H742" s="331"/>
      <c r="I742" s="331"/>
      <c r="J742" s="331"/>
    </row>
    <row r="743">
      <c r="C743" s="711"/>
      <c r="D743" s="711"/>
      <c r="G743" s="331"/>
      <c r="H743" s="331"/>
      <c r="I743" s="331"/>
      <c r="J743" s="331"/>
    </row>
    <row r="744">
      <c r="C744" s="711"/>
      <c r="D744" s="711"/>
      <c r="G744" s="331"/>
      <c r="H744" s="331"/>
      <c r="I744" s="331"/>
      <c r="J744" s="331"/>
    </row>
    <row r="745">
      <c r="C745" s="711"/>
      <c r="D745" s="711"/>
      <c r="G745" s="331"/>
      <c r="H745" s="331"/>
      <c r="I745" s="331"/>
      <c r="J745" s="331"/>
    </row>
    <row r="746">
      <c r="C746" s="711"/>
      <c r="D746" s="711"/>
      <c r="G746" s="331"/>
      <c r="H746" s="331"/>
      <c r="I746" s="331"/>
      <c r="J746" s="331"/>
    </row>
    <row r="747">
      <c r="C747" s="711"/>
      <c r="D747" s="711"/>
      <c r="G747" s="331"/>
      <c r="H747" s="331"/>
      <c r="I747" s="331"/>
      <c r="J747" s="331"/>
    </row>
    <row r="748">
      <c r="C748" s="711"/>
      <c r="D748" s="711"/>
      <c r="G748" s="331"/>
      <c r="H748" s="331"/>
      <c r="I748" s="331"/>
      <c r="J748" s="331"/>
    </row>
    <row r="749">
      <c r="C749" s="711"/>
      <c r="D749" s="711"/>
      <c r="G749" s="331"/>
      <c r="H749" s="331"/>
      <c r="I749" s="331"/>
      <c r="J749" s="331"/>
    </row>
    <row r="750">
      <c r="C750" s="711"/>
      <c r="D750" s="711"/>
      <c r="G750" s="331"/>
      <c r="H750" s="331"/>
      <c r="I750" s="331"/>
      <c r="J750" s="331"/>
    </row>
    <row r="751">
      <c r="C751" s="711"/>
      <c r="D751" s="711"/>
      <c r="G751" s="331"/>
      <c r="H751" s="331"/>
      <c r="I751" s="331"/>
      <c r="J751" s="331"/>
    </row>
    <row r="752">
      <c r="C752" s="711"/>
      <c r="D752" s="711"/>
      <c r="G752" s="331"/>
      <c r="H752" s="331"/>
      <c r="I752" s="331"/>
      <c r="J752" s="331"/>
    </row>
    <row r="753">
      <c r="C753" s="711"/>
      <c r="D753" s="711"/>
      <c r="G753" s="331"/>
      <c r="H753" s="331"/>
      <c r="I753" s="331"/>
      <c r="J753" s="331"/>
    </row>
    <row r="754">
      <c r="C754" s="711"/>
      <c r="D754" s="711"/>
      <c r="G754" s="331"/>
      <c r="H754" s="331"/>
      <c r="I754" s="331"/>
      <c r="J754" s="331"/>
    </row>
    <row r="755">
      <c r="C755" s="711"/>
      <c r="D755" s="711"/>
      <c r="G755" s="331"/>
      <c r="H755" s="331"/>
      <c r="I755" s="331"/>
      <c r="J755" s="331"/>
    </row>
    <row r="756">
      <c r="C756" s="711"/>
      <c r="D756" s="711"/>
      <c r="G756" s="331"/>
      <c r="H756" s="331"/>
      <c r="I756" s="331"/>
      <c r="J756" s="331"/>
    </row>
    <row r="757">
      <c r="C757" s="711"/>
      <c r="D757" s="711"/>
      <c r="G757" s="331"/>
      <c r="H757" s="331"/>
      <c r="I757" s="331"/>
      <c r="J757" s="331"/>
    </row>
    <row r="758">
      <c r="C758" s="711"/>
      <c r="D758" s="711"/>
      <c r="G758" s="331"/>
      <c r="H758" s="331"/>
      <c r="I758" s="331"/>
      <c r="J758" s="331"/>
    </row>
    <row r="759">
      <c r="C759" s="711"/>
      <c r="D759" s="711"/>
      <c r="G759" s="331"/>
      <c r="H759" s="331"/>
      <c r="I759" s="331"/>
      <c r="J759" s="331"/>
    </row>
    <row r="760">
      <c r="C760" s="711"/>
      <c r="D760" s="711"/>
      <c r="G760" s="331"/>
      <c r="H760" s="331"/>
      <c r="I760" s="331"/>
      <c r="J760" s="331"/>
    </row>
    <row r="761">
      <c r="C761" s="711"/>
      <c r="D761" s="711"/>
      <c r="G761" s="331"/>
      <c r="H761" s="331"/>
      <c r="I761" s="331"/>
      <c r="J761" s="331"/>
    </row>
    <row r="762">
      <c r="C762" s="711"/>
      <c r="D762" s="711"/>
      <c r="G762" s="331"/>
      <c r="H762" s="331"/>
      <c r="I762" s="331"/>
      <c r="J762" s="331"/>
    </row>
    <row r="763">
      <c r="C763" s="711"/>
      <c r="D763" s="711"/>
      <c r="G763" s="331"/>
      <c r="H763" s="331"/>
      <c r="I763" s="331"/>
      <c r="J763" s="331"/>
    </row>
    <row r="764">
      <c r="C764" s="711"/>
      <c r="D764" s="711"/>
      <c r="G764" s="331"/>
      <c r="H764" s="331"/>
      <c r="I764" s="331"/>
      <c r="J764" s="331"/>
    </row>
    <row r="765">
      <c r="C765" s="711"/>
      <c r="D765" s="711"/>
      <c r="G765" s="331"/>
      <c r="H765" s="331"/>
      <c r="I765" s="331"/>
      <c r="J765" s="331"/>
    </row>
    <row r="766">
      <c r="C766" s="711"/>
      <c r="D766" s="711"/>
      <c r="G766" s="331"/>
      <c r="H766" s="331"/>
      <c r="I766" s="331"/>
      <c r="J766" s="331"/>
    </row>
    <row r="767">
      <c r="C767" s="711"/>
      <c r="D767" s="711"/>
      <c r="G767" s="331"/>
      <c r="H767" s="331"/>
      <c r="I767" s="331"/>
      <c r="J767" s="331"/>
    </row>
    <row r="768">
      <c r="C768" s="711"/>
      <c r="D768" s="711"/>
      <c r="G768" s="331"/>
      <c r="H768" s="331"/>
      <c r="I768" s="331"/>
      <c r="J768" s="331"/>
    </row>
    <row r="769">
      <c r="C769" s="711"/>
      <c r="D769" s="711"/>
      <c r="G769" s="331"/>
      <c r="H769" s="331"/>
      <c r="I769" s="331"/>
      <c r="J769" s="331"/>
    </row>
    <row r="770">
      <c r="C770" s="711"/>
      <c r="D770" s="711"/>
      <c r="G770" s="331"/>
      <c r="H770" s="331"/>
      <c r="I770" s="331"/>
      <c r="J770" s="331"/>
    </row>
    <row r="771">
      <c r="C771" s="711"/>
      <c r="D771" s="711"/>
      <c r="G771" s="331"/>
      <c r="H771" s="331"/>
      <c r="I771" s="331"/>
      <c r="J771" s="331"/>
    </row>
    <row r="772">
      <c r="C772" s="711"/>
      <c r="D772" s="711"/>
      <c r="G772" s="331"/>
      <c r="H772" s="331"/>
      <c r="I772" s="331"/>
      <c r="J772" s="331"/>
    </row>
    <row r="773">
      <c r="C773" s="711"/>
      <c r="D773" s="711"/>
      <c r="G773" s="331"/>
      <c r="H773" s="331"/>
      <c r="I773" s="331"/>
      <c r="J773" s="331"/>
    </row>
    <row r="774">
      <c r="C774" s="711"/>
      <c r="D774" s="711"/>
      <c r="G774" s="331"/>
      <c r="H774" s="331"/>
      <c r="I774" s="331"/>
      <c r="J774" s="331"/>
    </row>
    <row r="775">
      <c r="C775" s="711"/>
      <c r="D775" s="711"/>
      <c r="G775" s="331"/>
      <c r="H775" s="331"/>
      <c r="I775" s="331"/>
      <c r="J775" s="331"/>
    </row>
    <row r="776">
      <c r="C776" s="711"/>
      <c r="D776" s="711"/>
      <c r="G776" s="331"/>
      <c r="H776" s="331"/>
      <c r="I776" s="331"/>
      <c r="J776" s="331"/>
    </row>
    <row r="777">
      <c r="C777" s="711"/>
      <c r="D777" s="711"/>
      <c r="G777" s="331"/>
      <c r="H777" s="331"/>
      <c r="I777" s="331"/>
      <c r="J777" s="331"/>
    </row>
    <row r="778">
      <c r="C778" s="711"/>
      <c r="D778" s="711"/>
      <c r="G778" s="331"/>
      <c r="H778" s="331"/>
      <c r="I778" s="331"/>
      <c r="J778" s="331"/>
    </row>
    <row r="779">
      <c r="C779" s="711"/>
      <c r="D779" s="711"/>
      <c r="G779" s="331"/>
      <c r="H779" s="331"/>
      <c r="I779" s="331"/>
      <c r="J779" s="331"/>
    </row>
    <row r="780">
      <c r="C780" s="711"/>
      <c r="D780" s="711"/>
      <c r="G780" s="331"/>
      <c r="H780" s="331"/>
      <c r="I780" s="331"/>
      <c r="J780" s="331"/>
    </row>
    <row r="781">
      <c r="C781" s="711"/>
      <c r="D781" s="711"/>
      <c r="G781" s="331"/>
      <c r="H781" s="331"/>
      <c r="I781" s="331"/>
      <c r="J781" s="331"/>
    </row>
    <row r="782">
      <c r="C782" s="711"/>
      <c r="D782" s="711"/>
      <c r="G782" s="331"/>
      <c r="H782" s="331"/>
      <c r="I782" s="331"/>
      <c r="J782" s="331"/>
    </row>
    <row r="783">
      <c r="C783" s="711"/>
      <c r="D783" s="711"/>
      <c r="G783" s="331"/>
      <c r="H783" s="331"/>
      <c r="I783" s="331"/>
      <c r="J783" s="331"/>
    </row>
    <row r="784">
      <c r="C784" s="711"/>
      <c r="D784" s="711"/>
      <c r="G784" s="331"/>
      <c r="H784" s="331"/>
      <c r="I784" s="331"/>
      <c r="J784" s="331"/>
    </row>
    <row r="785">
      <c r="C785" s="711"/>
      <c r="D785" s="711"/>
      <c r="G785" s="331"/>
      <c r="H785" s="331"/>
      <c r="I785" s="331"/>
      <c r="J785" s="331"/>
    </row>
    <row r="786">
      <c r="C786" s="711"/>
      <c r="D786" s="711"/>
      <c r="G786" s="331"/>
      <c r="H786" s="331"/>
      <c r="I786" s="331"/>
      <c r="J786" s="331"/>
    </row>
    <row r="787">
      <c r="C787" s="711"/>
      <c r="D787" s="711"/>
      <c r="G787" s="331"/>
      <c r="H787" s="331"/>
      <c r="I787" s="331"/>
      <c r="J787" s="331"/>
    </row>
    <row r="788">
      <c r="C788" s="711"/>
      <c r="D788" s="711"/>
      <c r="G788" s="331"/>
      <c r="H788" s="331"/>
      <c r="I788" s="331"/>
      <c r="J788" s="331"/>
    </row>
    <row r="789">
      <c r="C789" s="711"/>
      <c r="D789" s="711"/>
      <c r="G789" s="331"/>
      <c r="H789" s="331"/>
      <c r="I789" s="331"/>
      <c r="J789" s="331"/>
    </row>
    <row r="790">
      <c r="C790" s="711"/>
      <c r="D790" s="711"/>
      <c r="G790" s="331"/>
      <c r="H790" s="331"/>
      <c r="I790" s="331"/>
      <c r="J790" s="331"/>
    </row>
    <row r="791">
      <c r="C791" s="711"/>
      <c r="D791" s="711"/>
      <c r="G791" s="331"/>
      <c r="H791" s="331"/>
      <c r="I791" s="331"/>
      <c r="J791" s="331"/>
    </row>
    <row r="792">
      <c r="C792" s="711"/>
      <c r="D792" s="711"/>
      <c r="G792" s="331"/>
      <c r="H792" s="331"/>
      <c r="I792" s="331"/>
      <c r="J792" s="331"/>
    </row>
    <row r="793">
      <c r="C793" s="711"/>
      <c r="D793" s="711"/>
      <c r="G793" s="331"/>
      <c r="H793" s="331"/>
      <c r="I793" s="331"/>
      <c r="J793" s="331"/>
    </row>
    <row r="794">
      <c r="C794" s="711"/>
      <c r="D794" s="711"/>
      <c r="G794" s="331"/>
      <c r="H794" s="331"/>
      <c r="I794" s="331"/>
      <c r="J794" s="331"/>
    </row>
    <row r="795">
      <c r="C795" s="711"/>
      <c r="D795" s="711"/>
      <c r="G795" s="331"/>
      <c r="H795" s="331"/>
      <c r="I795" s="331"/>
      <c r="J795" s="331"/>
    </row>
    <row r="796">
      <c r="C796" s="711"/>
      <c r="D796" s="711"/>
      <c r="G796" s="331"/>
      <c r="H796" s="331"/>
      <c r="I796" s="331"/>
      <c r="J796" s="331"/>
    </row>
    <row r="797">
      <c r="C797" s="711"/>
      <c r="D797" s="711"/>
      <c r="G797" s="331"/>
      <c r="H797" s="331"/>
      <c r="I797" s="331"/>
      <c r="J797" s="331"/>
    </row>
    <row r="798">
      <c r="C798" s="711"/>
      <c r="D798" s="711"/>
      <c r="G798" s="331"/>
      <c r="H798" s="331"/>
      <c r="I798" s="331"/>
      <c r="J798" s="331"/>
    </row>
    <row r="799">
      <c r="C799" s="711"/>
      <c r="D799" s="711"/>
      <c r="G799" s="331"/>
      <c r="H799" s="331"/>
      <c r="I799" s="331"/>
      <c r="J799" s="331"/>
    </row>
    <row r="800">
      <c r="C800" s="711"/>
      <c r="D800" s="711"/>
      <c r="G800" s="331"/>
      <c r="H800" s="331"/>
      <c r="I800" s="331"/>
      <c r="J800" s="331"/>
    </row>
    <row r="801">
      <c r="C801" s="711"/>
      <c r="D801" s="711"/>
      <c r="G801" s="331"/>
      <c r="H801" s="331"/>
      <c r="I801" s="331"/>
      <c r="J801" s="331"/>
    </row>
    <row r="802">
      <c r="C802" s="711"/>
      <c r="D802" s="711"/>
      <c r="G802" s="331"/>
      <c r="H802" s="331"/>
      <c r="I802" s="331"/>
      <c r="J802" s="331"/>
    </row>
    <row r="803">
      <c r="C803" s="711"/>
      <c r="D803" s="711"/>
      <c r="G803" s="331"/>
      <c r="H803" s="331"/>
      <c r="I803" s="331"/>
      <c r="J803" s="331"/>
    </row>
    <row r="804">
      <c r="C804" s="711"/>
      <c r="D804" s="711"/>
      <c r="G804" s="331"/>
      <c r="H804" s="331"/>
      <c r="I804" s="331"/>
      <c r="J804" s="331"/>
    </row>
    <row r="805">
      <c r="C805" s="711"/>
      <c r="D805" s="711"/>
      <c r="G805" s="331"/>
      <c r="H805" s="331"/>
      <c r="I805" s="331"/>
      <c r="J805" s="331"/>
    </row>
    <row r="806">
      <c r="C806" s="711"/>
      <c r="D806" s="711"/>
      <c r="G806" s="331"/>
      <c r="H806" s="331"/>
      <c r="I806" s="331"/>
      <c r="J806" s="331"/>
    </row>
    <row r="807">
      <c r="C807" s="711"/>
      <c r="D807" s="711"/>
      <c r="G807" s="331"/>
      <c r="H807" s="331"/>
      <c r="I807" s="331"/>
      <c r="J807" s="331"/>
    </row>
    <row r="808">
      <c r="C808" s="711"/>
      <c r="D808" s="711"/>
      <c r="G808" s="331"/>
      <c r="H808" s="331"/>
      <c r="I808" s="331"/>
      <c r="J808" s="331"/>
    </row>
    <row r="809">
      <c r="C809" s="711"/>
      <c r="D809" s="711"/>
      <c r="G809" s="331"/>
      <c r="H809" s="331"/>
      <c r="I809" s="331"/>
      <c r="J809" s="331"/>
    </row>
    <row r="810">
      <c r="C810" s="711"/>
      <c r="D810" s="711"/>
      <c r="G810" s="331"/>
      <c r="H810" s="331"/>
      <c r="I810" s="331"/>
      <c r="J810" s="331"/>
    </row>
    <row r="811">
      <c r="C811" s="711"/>
      <c r="D811" s="711"/>
      <c r="G811" s="331"/>
      <c r="H811" s="331"/>
      <c r="I811" s="331"/>
      <c r="J811" s="331"/>
    </row>
    <row r="812">
      <c r="C812" s="711"/>
      <c r="D812" s="711"/>
      <c r="G812" s="331"/>
      <c r="H812" s="331"/>
      <c r="I812" s="331"/>
      <c r="J812" s="331"/>
    </row>
    <row r="813">
      <c r="C813" s="711"/>
      <c r="D813" s="711"/>
      <c r="G813" s="331"/>
      <c r="H813" s="331"/>
      <c r="I813" s="331"/>
      <c r="J813" s="331"/>
    </row>
    <row r="814">
      <c r="C814" s="711"/>
      <c r="D814" s="711"/>
      <c r="G814" s="331"/>
      <c r="H814" s="331"/>
      <c r="I814" s="331"/>
      <c r="J814" s="331"/>
    </row>
    <row r="815">
      <c r="C815" s="711"/>
      <c r="D815" s="711"/>
      <c r="G815" s="331"/>
      <c r="H815" s="331"/>
      <c r="I815" s="331"/>
      <c r="J815" s="331"/>
    </row>
    <row r="816">
      <c r="C816" s="711"/>
      <c r="D816" s="711"/>
      <c r="G816" s="331"/>
      <c r="H816" s="331"/>
      <c r="I816" s="331"/>
      <c r="J816" s="331"/>
    </row>
    <row r="817">
      <c r="C817" s="711"/>
      <c r="D817" s="711"/>
      <c r="G817" s="331"/>
      <c r="H817" s="331"/>
      <c r="I817" s="331"/>
      <c r="J817" s="331"/>
    </row>
    <row r="818">
      <c r="C818" s="711"/>
      <c r="D818" s="711"/>
      <c r="G818" s="331"/>
      <c r="H818" s="331"/>
      <c r="I818" s="331"/>
      <c r="J818" s="331"/>
    </row>
    <row r="819">
      <c r="C819" s="711"/>
      <c r="D819" s="711"/>
      <c r="G819" s="331"/>
      <c r="H819" s="331"/>
      <c r="I819" s="331"/>
      <c r="J819" s="331"/>
    </row>
    <row r="820">
      <c r="C820" s="711"/>
      <c r="D820" s="711"/>
      <c r="G820" s="331"/>
      <c r="H820" s="331"/>
      <c r="I820" s="331"/>
      <c r="J820" s="331"/>
    </row>
    <row r="821">
      <c r="C821" s="711"/>
      <c r="D821" s="711"/>
      <c r="G821" s="331"/>
      <c r="H821" s="331"/>
      <c r="I821" s="331"/>
      <c r="J821" s="331"/>
    </row>
    <row r="822">
      <c r="C822" s="711"/>
      <c r="D822" s="711"/>
      <c r="G822" s="331"/>
      <c r="H822" s="331"/>
      <c r="I822" s="331"/>
      <c r="J822" s="331"/>
    </row>
    <row r="823">
      <c r="C823" s="711"/>
      <c r="D823" s="711"/>
      <c r="G823" s="331"/>
      <c r="H823" s="331"/>
      <c r="I823" s="331"/>
      <c r="J823" s="331"/>
    </row>
    <row r="824">
      <c r="C824" s="711"/>
      <c r="D824" s="711"/>
      <c r="G824" s="331"/>
      <c r="H824" s="331"/>
      <c r="I824" s="331"/>
      <c r="J824" s="331"/>
    </row>
    <row r="825">
      <c r="C825" s="711"/>
      <c r="D825" s="711"/>
      <c r="G825" s="331"/>
      <c r="H825" s="331"/>
      <c r="I825" s="331"/>
      <c r="J825" s="331"/>
    </row>
    <row r="826">
      <c r="C826" s="711"/>
      <c r="D826" s="711"/>
      <c r="G826" s="331"/>
      <c r="H826" s="331"/>
      <c r="I826" s="331"/>
      <c r="J826" s="331"/>
    </row>
    <row r="827">
      <c r="C827" s="711"/>
      <c r="D827" s="711"/>
      <c r="G827" s="331"/>
      <c r="H827" s="331"/>
      <c r="I827" s="331"/>
      <c r="J827" s="331"/>
    </row>
    <row r="828">
      <c r="C828" s="711"/>
      <c r="D828" s="711"/>
      <c r="G828" s="331"/>
      <c r="H828" s="331"/>
      <c r="I828" s="331"/>
      <c r="J828" s="331"/>
    </row>
    <row r="829">
      <c r="C829" s="711"/>
      <c r="D829" s="711"/>
      <c r="G829" s="331"/>
      <c r="H829" s="331"/>
      <c r="I829" s="331"/>
      <c r="J829" s="331"/>
    </row>
    <row r="830">
      <c r="C830" s="711"/>
      <c r="D830" s="711"/>
      <c r="G830" s="331"/>
      <c r="H830" s="331"/>
      <c r="I830" s="331"/>
      <c r="J830" s="331"/>
    </row>
    <row r="831">
      <c r="C831" s="711"/>
      <c r="D831" s="711"/>
      <c r="G831" s="331"/>
      <c r="H831" s="331"/>
      <c r="I831" s="331"/>
      <c r="J831" s="331"/>
    </row>
    <row r="832">
      <c r="C832" s="711"/>
      <c r="D832" s="711"/>
      <c r="G832" s="331"/>
      <c r="H832" s="331"/>
      <c r="I832" s="331"/>
      <c r="J832" s="331"/>
    </row>
    <row r="833">
      <c r="C833" s="711"/>
      <c r="D833" s="711"/>
      <c r="G833" s="331"/>
      <c r="H833" s="331"/>
      <c r="I833" s="331"/>
      <c r="J833" s="331"/>
    </row>
    <row r="834">
      <c r="C834" s="711"/>
      <c r="D834" s="711"/>
      <c r="G834" s="331"/>
      <c r="H834" s="331"/>
      <c r="I834" s="331"/>
      <c r="J834" s="331"/>
    </row>
    <row r="835">
      <c r="C835" s="711"/>
      <c r="D835" s="711"/>
      <c r="G835" s="331"/>
      <c r="H835" s="331"/>
      <c r="I835" s="331"/>
      <c r="J835" s="331"/>
    </row>
    <row r="836">
      <c r="C836" s="711"/>
      <c r="D836" s="711"/>
      <c r="G836" s="331"/>
      <c r="H836" s="331"/>
      <c r="I836" s="331"/>
      <c r="J836" s="331"/>
    </row>
    <row r="837">
      <c r="C837" s="711"/>
      <c r="D837" s="711"/>
      <c r="G837" s="331"/>
      <c r="H837" s="331"/>
      <c r="I837" s="331"/>
      <c r="J837" s="331"/>
    </row>
    <row r="838">
      <c r="C838" s="711"/>
      <c r="D838" s="711"/>
      <c r="G838" s="331"/>
      <c r="H838" s="331"/>
      <c r="I838" s="331"/>
      <c r="J838" s="331"/>
    </row>
    <row r="839">
      <c r="C839" s="711"/>
      <c r="D839" s="711"/>
      <c r="G839" s="331"/>
      <c r="H839" s="331"/>
      <c r="I839" s="331"/>
      <c r="J839" s="331"/>
    </row>
    <row r="840">
      <c r="C840" s="711"/>
      <c r="D840" s="711"/>
      <c r="G840" s="331"/>
      <c r="H840" s="331"/>
      <c r="I840" s="331"/>
      <c r="J840" s="331"/>
    </row>
    <row r="841">
      <c r="C841" s="711"/>
      <c r="D841" s="711"/>
      <c r="G841" s="331"/>
      <c r="H841" s="331"/>
      <c r="I841" s="331"/>
      <c r="J841" s="331"/>
    </row>
    <row r="842">
      <c r="C842" s="711"/>
      <c r="D842" s="711"/>
      <c r="G842" s="331"/>
      <c r="H842" s="331"/>
      <c r="I842" s="331"/>
      <c r="J842" s="331"/>
    </row>
    <row r="843">
      <c r="C843" s="711"/>
      <c r="D843" s="711"/>
      <c r="G843" s="331"/>
      <c r="H843" s="331"/>
      <c r="I843" s="331"/>
      <c r="J843" s="331"/>
    </row>
    <row r="844">
      <c r="C844" s="711"/>
      <c r="D844" s="711"/>
      <c r="G844" s="331"/>
      <c r="H844" s="331"/>
      <c r="I844" s="331"/>
      <c r="J844" s="331"/>
    </row>
    <row r="845">
      <c r="C845" s="711"/>
      <c r="D845" s="711"/>
      <c r="G845" s="331"/>
      <c r="H845" s="331"/>
      <c r="I845" s="331"/>
      <c r="J845" s="331"/>
    </row>
    <row r="846">
      <c r="C846" s="711"/>
      <c r="D846" s="711"/>
      <c r="G846" s="331"/>
      <c r="H846" s="331"/>
      <c r="I846" s="331"/>
      <c r="J846" s="331"/>
    </row>
    <row r="847">
      <c r="C847" s="711"/>
      <c r="D847" s="711"/>
      <c r="G847" s="331"/>
      <c r="H847" s="331"/>
      <c r="I847" s="331"/>
      <c r="J847" s="331"/>
    </row>
    <row r="848">
      <c r="C848" s="711"/>
      <c r="D848" s="711"/>
      <c r="G848" s="331"/>
      <c r="H848" s="331"/>
      <c r="I848" s="331"/>
      <c r="J848" s="331"/>
    </row>
    <row r="849">
      <c r="C849" s="711"/>
      <c r="D849" s="711"/>
      <c r="G849" s="331"/>
      <c r="H849" s="331"/>
      <c r="I849" s="331"/>
      <c r="J849" s="331"/>
    </row>
    <row r="850">
      <c r="C850" s="711"/>
      <c r="D850" s="711"/>
      <c r="G850" s="331"/>
      <c r="H850" s="331"/>
      <c r="I850" s="331"/>
      <c r="J850" s="331"/>
    </row>
    <row r="851">
      <c r="C851" s="711"/>
      <c r="D851" s="711"/>
      <c r="G851" s="331"/>
      <c r="H851" s="331"/>
      <c r="I851" s="331"/>
      <c r="J851" s="331"/>
    </row>
    <row r="852">
      <c r="C852" s="711"/>
      <c r="D852" s="711"/>
      <c r="G852" s="331"/>
      <c r="H852" s="331"/>
      <c r="I852" s="331"/>
      <c r="J852" s="331"/>
    </row>
    <row r="853">
      <c r="C853" s="711"/>
      <c r="D853" s="711"/>
      <c r="G853" s="331"/>
      <c r="H853" s="331"/>
      <c r="I853" s="331"/>
      <c r="J853" s="331"/>
    </row>
    <row r="854">
      <c r="C854" s="711"/>
      <c r="D854" s="711"/>
      <c r="G854" s="331"/>
      <c r="H854" s="331"/>
      <c r="I854" s="331"/>
      <c r="J854" s="331"/>
    </row>
    <row r="855">
      <c r="C855" s="711"/>
      <c r="D855" s="711"/>
      <c r="G855" s="331"/>
      <c r="H855" s="331"/>
      <c r="I855" s="331"/>
      <c r="J855" s="331"/>
    </row>
    <row r="856">
      <c r="C856" s="711"/>
      <c r="D856" s="711"/>
      <c r="G856" s="331"/>
      <c r="H856" s="331"/>
      <c r="I856" s="331"/>
      <c r="J856" s="331"/>
    </row>
    <row r="857">
      <c r="C857" s="711"/>
      <c r="D857" s="711"/>
      <c r="G857" s="331"/>
      <c r="H857" s="331"/>
      <c r="I857" s="331"/>
      <c r="J857" s="331"/>
    </row>
    <row r="858">
      <c r="C858" s="711"/>
      <c r="D858" s="711"/>
      <c r="G858" s="331"/>
      <c r="H858" s="331"/>
      <c r="I858" s="331"/>
      <c r="J858" s="331"/>
    </row>
    <row r="859">
      <c r="C859" s="711"/>
      <c r="D859" s="711"/>
      <c r="G859" s="331"/>
      <c r="H859" s="331"/>
      <c r="I859" s="331"/>
      <c r="J859" s="331"/>
    </row>
    <row r="860">
      <c r="C860" s="711"/>
      <c r="D860" s="711"/>
      <c r="G860" s="331"/>
      <c r="H860" s="331"/>
      <c r="I860" s="331"/>
      <c r="J860" s="331"/>
    </row>
    <row r="861">
      <c r="C861" s="711"/>
      <c r="D861" s="711"/>
      <c r="G861" s="331"/>
      <c r="H861" s="331"/>
      <c r="I861" s="331"/>
      <c r="J861" s="331"/>
    </row>
    <row r="862">
      <c r="C862" s="711"/>
      <c r="D862" s="711"/>
      <c r="G862" s="331"/>
      <c r="H862" s="331"/>
      <c r="I862" s="331"/>
      <c r="J862" s="331"/>
    </row>
    <row r="863">
      <c r="C863" s="711"/>
      <c r="D863" s="711"/>
      <c r="G863" s="331"/>
      <c r="H863" s="331"/>
      <c r="I863" s="331"/>
      <c r="J863" s="331"/>
    </row>
    <row r="864">
      <c r="C864" s="711"/>
      <c r="D864" s="711"/>
      <c r="G864" s="331"/>
      <c r="H864" s="331"/>
      <c r="I864" s="331"/>
      <c r="J864" s="331"/>
    </row>
    <row r="865">
      <c r="C865" s="711"/>
      <c r="D865" s="711"/>
      <c r="G865" s="331"/>
      <c r="H865" s="331"/>
      <c r="I865" s="331"/>
      <c r="J865" s="331"/>
    </row>
    <row r="866">
      <c r="C866" s="711"/>
      <c r="D866" s="711"/>
      <c r="G866" s="331"/>
      <c r="H866" s="331"/>
      <c r="I866" s="331"/>
      <c r="J866" s="331"/>
    </row>
    <row r="867">
      <c r="C867" s="711"/>
      <c r="D867" s="711"/>
      <c r="G867" s="331"/>
      <c r="H867" s="331"/>
      <c r="I867" s="331"/>
      <c r="J867" s="331"/>
    </row>
    <row r="868">
      <c r="C868" s="711"/>
      <c r="D868" s="711"/>
      <c r="G868" s="331"/>
      <c r="H868" s="331"/>
      <c r="I868" s="331"/>
      <c r="J868" s="331"/>
    </row>
    <row r="869">
      <c r="C869" s="711"/>
      <c r="D869" s="711"/>
      <c r="G869" s="331"/>
      <c r="H869" s="331"/>
      <c r="I869" s="331"/>
      <c r="J869" s="331"/>
    </row>
    <row r="870">
      <c r="C870" s="711"/>
      <c r="D870" s="711"/>
      <c r="G870" s="331"/>
      <c r="H870" s="331"/>
      <c r="I870" s="331"/>
      <c r="J870" s="331"/>
    </row>
    <row r="871">
      <c r="C871" s="711"/>
      <c r="D871" s="711"/>
      <c r="G871" s="331"/>
      <c r="H871" s="331"/>
      <c r="I871" s="331"/>
      <c r="J871" s="331"/>
    </row>
    <row r="872">
      <c r="C872" s="711"/>
      <c r="D872" s="711"/>
      <c r="G872" s="331"/>
      <c r="H872" s="331"/>
      <c r="I872" s="331"/>
      <c r="J872" s="331"/>
    </row>
    <row r="873">
      <c r="C873" s="711"/>
      <c r="D873" s="711"/>
      <c r="G873" s="331"/>
      <c r="H873" s="331"/>
      <c r="I873" s="331"/>
      <c r="J873" s="331"/>
    </row>
    <row r="874">
      <c r="C874" s="711"/>
      <c r="D874" s="711"/>
      <c r="G874" s="331"/>
      <c r="H874" s="331"/>
      <c r="I874" s="331"/>
      <c r="J874" s="331"/>
    </row>
    <row r="875">
      <c r="C875" s="711"/>
      <c r="D875" s="711"/>
      <c r="G875" s="331"/>
      <c r="H875" s="331"/>
      <c r="I875" s="331"/>
      <c r="J875" s="331"/>
    </row>
    <row r="876">
      <c r="C876" s="711"/>
      <c r="D876" s="711"/>
      <c r="G876" s="331"/>
      <c r="H876" s="331"/>
      <c r="I876" s="331"/>
      <c r="J876" s="331"/>
    </row>
    <row r="877">
      <c r="C877" s="711"/>
      <c r="D877" s="711"/>
      <c r="G877" s="331"/>
      <c r="H877" s="331"/>
      <c r="I877" s="331"/>
      <c r="J877" s="331"/>
    </row>
    <row r="878">
      <c r="C878" s="711"/>
      <c r="D878" s="711"/>
      <c r="G878" s="331"/>
      <c r="H878" s="331"/>
      <c r="I878" s="331"/>
      <c r="J878" s="331"/>
    </row>
    <row r="879">
      <c r="C879" s="711"/>
      <c r="D879" s="711"/>
      <c r="G879" s="331"/>
      <c r="H879" s="331"/>
      <c r="I879" s="331"/>
      <c r="J879" s="331"/>
    </row>
    <row r="880">
      <c r="C880" s="711"/>
      <c r="D880" s="711"/>
      <c r="G880" s="331"/>
      <c r="H880" s="331"/>
      <c r="I880" s="331"/>
      <c r="J880" s="331"/>
    </row>
    <row r="881">
      <c r="C881" s="711"/>
      <c r="D881" s="711"/>
      <c r="G881" s="331"/>
      <c r="H881" s="331"/>
      <c r="I881" s="331"/>
      <c r="J881" s="331"/>
    </row>
    <row r="882">
      <c r="C882" s="711"/>
      <c r="D882" s="711"/>
      <c r="G882" s="331"/>
      <c r="H882" s="331"/>
      <c r="I882" s="331"/>
      <c r="J882" s="331"/>
    </row>
    <row r="883">
      <c r="C883" s="711"/>
      <c r="D883" s="711"/>
      <c r="G883" s="331"/>
      <c r="H883" s="331"/>
      <c r="I883" s="331"/>
      <c r="J883" s="331"/>
    </row>
    <row r="884">
      <c r="C884" s="711"/>
      <c r="D884" s="711"/>
      <c r="G884" s="331"/>
      <c r="H884" s="331"/>
      <c r="I884" s="331"/>
      <c r="J884" s="331"/>
    </row>
    <row r="885">
      <c r="C885" s="711"/>
      <c r="D885" s="711"/>
      <c r="G885" s="331"/>
      <c r="H885" s="331"/>
      <c r="I885" s="331"/>
      <c r="J885" s="331"/>
    </row>
    <row r="886">
      <c r="C886" s="711"/>
      <c r="D886" s="711"/>
      <c r="G886" s="331"/>
      <c r="H886" s="331"/>
      <c r="I886" s="331"/>
      <c r="J886" s="331"/>
    </row>
    <row r="887">
      <c r="C887" s="711"/>
      <c r="D887" s="711"/>
      <c r="G887" s="331"/>
      <c r="H887" s="331"/>
      <c r="I887" s="331"/>
      <c r="J887" s="331"/>
    </row>
    <row r="888">
      <c r="C888" s="711"/>
      <c r="D888" s="711"/>
      <c r="G888" s="331"/>
      <c r="H888" s="331"/>
      <c r="I888" s="331"/>
      <c r="J888" s="331"/>
    </row>
    <row r="889">
      <c r="C889" s="711"/>
      <c r="D889" s="711"/>
      <c r="G889" s="331"/>
      <c r="H889" s="331"/>
      <c r="I889" s="331"/>
      <c r="J889" s="331"/>
    </row>
    <row r="890">
      <c r="C890" s="711"/>
      <c r="D890" s="711"/>
      <c r="G890" s="331"/>
      <c r="H890" s="331"/>
      <c r="I890" s="331"/>
      <c r="J890" s="331"/>
    </row>
    <row r="891">
      <c r="C891" s="711"/>
      <c r="D891" s="711"/>
      <c r="G891" s="331"/>
      <c r="H891" s="331"/>
      <c r="I891" s="331"/>
      <c r="J891" s="331"/>
    </row>
    <row r="892">
      <c r="C892" s="711"/>
      <c r="D892" s="711"/>
      <c r="G892" s="331"/>
      <c r="H892" s="331"/>
      <c r="I892" s="331"/>
      <c r="J892" s="331"/>
    </row>
    <row r="893">
      <c r="C893" s="711"/>
      <c r="D893" s="711"/>
      <c r="G893" s="331"/>
      <c r="H893" s="331"/>
      <c r="I893" s="331"/>
      <c r="J893" s="331"/>
    </row>
    <row r="894">
      <c r="C894" s="711"/>
      <c r="D894" s="711"/>
      <c r="G894" s="331"/>
      <c r="H894" s="331"/>
      <c r="I894" s="331"/>
      <c r="J894" s="331"/>
    </row>
    <row r="895">
      <c r="C895" s="711"/>
      <c r="D895" s="711"/>
      <c r="G895" s="331"/>
      <c r="H895" s="331"/>
      <c r="I895" s="331"/>
      <c r="J895" s="331"/>
    </row>
    <row r="896">
      <c r="C896" s="711"/>
      <c r="D896" s="711"/>
      <c r="G896" s="331"/>
      <c r="H896" s="331"/>
      <c r="I896" s="331"/>
      <c r="J896" s="331"/>
    </row>
    <row r="897">
      <c r="C897" s="711"/>
      <c r="D897" s="711"/>
      <c r="G897" s="331"/>
      <c r="H897" s="331"/>
      <c r="I897" s="331"/>
      <c r="J897" s="331"/>
    </row>
    <row r="898">
      <c r="C898" s="711"/>
      <c r="D898" s="711"/>
      <c r="G898" s="331"/>
      <c r="H898" s="331"/>
      <c r="I898" s="331"/>
      <c r="J898" s="331"/>
    </row>
    <row r="899">
      <c r="C899" s="711"/>
      <c r="D899" s="711"/>
      <c r="G899" s="331"/>
      <c r="H899" s="331"/>
      <c r="I899" s="331"/>
      <c r="J899" s="331"/>
    </row>
    <row r="900">
      <c r="C900" s="711"/>
      <c r="D900" s="711"/>
      <c r="G900" s="331"/>
      <c r="H900" s="331"/>
      <c r="I900" s="331"/>
      <c r="J900" s="331"/>
    </row>
    <row r="901">
      <c r="C901" s="711"/>
      <c r="D901" s="711"/>
      <c r="G901" s="331"/>
      <c r="H901" s="331"/>
      <c r="I901" s="331"/>
      <c r="J901" s="331"/>
    </row>
    <row r="902">
      <c r="C902" s="711"/>
      <c r="D902" s="711"/>
      <c r="G902" s="331"/>
      <c r="H902" s="331"/>
      <c r="I902" s="331"/>
      <c r="J902" s="331"/>
    </row>
    <row r="903">
      <c r="C903" s="711"/>
      <c r="D903" s="711"/>
      <c r="G903" s="331"/>
      <c r="H903" s="331"/>
      <c r="I903" s="331"/>
      <c r="J903" s="331"/>
    </row>
    <row r="904">
      <c r="C904" s="711"/>
      <c r="D904" s="711"/>
      <c r="G904" s="331"/>
      <c r="H904" s="331"/>
      <c r="I904" s="331"/>
      <c r="J904" s="331"/>
    </row>
    <row r="905">
      <c r="C905" s="711"/>
      <c r="D905" s="711"/>
      <c r="G905" s="331"/>
      <c r="H905" s="331"/>
      <c r="I905" s="331"/>
      <c r="J905" s="331"/>
    </row>
    <row r="906">
      <c r="C906" s="711"/>
      <c r="D906" s="711"/>
      <c r="G906" s="331"/>
      <c r="H906" s="331"/>
      <c r="I906" s="331"/>
      <c r="J906" s="331"/>
    </row>
    <row r="907">
      <c r="C907" s="711"/>
      <c r="D907" s="711"/>
      <c r="G907" s="331"/>
      <c r="H907" s="331"/>
      <c r="I907" s="331"/>
      <c r="J907" s="331"/>
    </row>
    <row r="908">
      <c r="C908" s="711"/>
      <c r="D908" s="711"/>
      <c r="G908" s="331"/>
      <c r="H908" s="331"/>
      <c r="I908" s="331"/>
      <c r="J908" s="331"/>
    </row>
    <row r="909">
      <c r="C909" s="711"/>
      <c r="D909" s="711"/>
      <c r="G909" s="331"/>
      <c r="H909" s="331"/>
      <c r="I909" s="331"/>
      <c r="J909" s="331"/>
    </row>
    <row r="910">
      <c r="C910" s="711"/>
      <c r="D910" s="711"/>
      <c r="G910" s="331"/>
      <c r="H910" s="331"/>
      <c r="I910" s="331"/>
      <c r="J910" s="331"/>
    </row>
    <row r="911">
      <c r="C911" s="711"/>
      <c r="D911" s="711"/>
      <c r="G911" s="331"/>
      <c r="H911" s="331"/>
      <c r="I911" s="331"/>
      <c r="J911" s="331"/>
    </row>
    <row r="912">
      <c r="C912" s="711"/>
      <c r="D912" s="711"/>
      <c r="G912" s="331"/>
      <c r="H912" s="331"/>
      <c r="I912" s="331"/>
      <c r="J912" s="331"/>
    </row>
    <row r="913">
      <c r="C913" s="711"/>
      <c r="D913" s="711"/>
      <c r="G913" s="331"/>
      <c r="H913" s="331"/>
      <c r="I913" s="331"/>
      <c r="J913" s="331"/>
    </row>
    <row r="914">
      <c r="C914" s="711"/>
      <c r="D914" s="711"/>
      <c r="G914" s="331"/>
      <c r="H914" s="331"/>
      <c r="I914" s="331"/>
      <c r="J914" s="331"/>
    </row>
    <row r="915">
      <c r="C915" s="711"/>
      <c r="D915" s="711"/>
      <c r="G915" s="331"/>
      <c r="H915" s="331"/>
      <c r="I915" s="331"/>
      <c r="J915" s="331"/>
    </row>
    <row r="916">
      <c r="C916" s="711"/>
      <c r="D916" s="711"/>
      <c r="G916" s="331"/>
      <c r="H916" s="331"/>
      <c r="I916" s="331"/>
      <c r="J916" s="331"/>
    </row>
    <row r="917">
      <c r="C917" s="711"/>
      <c r="D917" s="711"/>
      <c r="G917" s="331"/>
      <c r="H917" s="331"/>
      <c r="I917" s="331"/>
      <c r="J917" s="331"/>
    </row>
    <row r="918">
      <c r="C918" s="711"/>
      <c r="D918" s="711"/>
      <c r="G918" s="331"/>
      <c r="H918" s="331"/>
      <c r="I918" s="331"/>
      <c r="J918" s="331"/>
    </row>
    <row r="919">
      <c r="C919" s="711"/>
      <c r="D919" s="711"/>
      <c r="G919" s="331"/>
      <c r="H919" s="331"/>
      <c r="I919" s="331"/>
      <c r="J919" s="331"/>
    </row>
    <row r="920">
      <c r="C920" s="711"/>
      <c r="D920" s="711"/>
      <c r="G920" s="331"/>
      <c r="H920" s="331"/>
      <c r="I920" s="331"/>
      <c r="J920" s="331"/>
    </row>
    <row r="921">
      <c r="C921" s="711"/>
      <c r="D921" s="711"/>
      <c r="G921" s="331"/>
      <c r="H921" s="331"/>
      <c r="I921" s="331"/>
      <c r="J921" s="331"/>
    </row>
    <row r="922">
      <c r="C922" s="711"/>
      <c r="D922" s="711"/>
      <c r="G922" s="331"/>
      <c r="H922" s="331"/>
      <c r="I922" s="331"/>
      <c r="J922" s="331"/>
    </row>
    <row r="923">
      <c r="C923" s="711"/>
      <c r="D923" s="711"/>
      <c r="G923" s="331"/>
      <c r="H923" s="331"/>
      <c r="I923" s="331"/>
      <c r="J923" s="331"/>
    </row>
    <row r="924">
      <c r="C924" s="711"/>
      <c r="D924" s="711"/>
      <c r="G924" s="331"/>
      <c r="H924" s="331"/>
      <c r="I924" s="331"/>
      <c r="J924" s="331"/>
    </row>
    <row r="925">
      <c r="C925" s="711"/>
      <c r="D925" s="711"/>
      <c r="G925" s="331"/>
      <c r="H925" s="331"/>
      <c r="I925" s="331"/>
      <c r="J925" s="331"/>
    </row>
    <row r="926">
      <c r="C926" s="711"/>
      <c r="D926" s="711"/>
      <c r="G926" s="331"/>
      <c r="H926" s="331"/>
      <c r="I926" s="331"/>
      <c r="J926" s="331"/>
    </row>
    <row r="927">
      <c r="C927" s="711"/>
      <c r="D927" s="711"/>
      <c r="G927" s="331"/>
      <c r="H927" s="331"/>
      <c r="I927" s="331"/>
      <c r="J927" s="331"/>
    </row>
    <row r="928">
      <c r="C928" s="711"/>
      <c r="D928" s="711"/>
      <c r="G928" s="331"/>
      <c r="H928" s="331"/>
      <c r="I928" s="331"/>
      <c r="J928" s="331"/>
    </row>
    <row r="929">
      <c r="C929" s="711"/>
      <c r="D929" s="711"/>
      <c r="G929" s="331"/>
      <c r="H929" s="331"/>
      <c r="I929" s="331"/>
      <c r="J929" s="331"/>
    </row>
    <row r="930">
      <c r="C930" s="711"/>
      <c r="D930" s="711"/>
      <c r="G930" s="331"/>
      <c r="H930" s="331"/>
      <c r="I930" s="331"/>
      <c r="J930" s="331"/>
    </row>
    <row r="931">
      <c r="C931" s="711"/>
      <c r="D931" s="711"/>
      <c r="G931" s="331"/>
      <c r="H931" s="331"/>
      <c r="I931" s="331"/>
      <c r="J931" s="331"/>
    </row>
    <row r="932">
      <c r="C932" s="711"/>
      <c r="D932" s="711"/>
      <c r="G932" s="331"/>
      <c r="H932" s="331"/>
      <c r="I932" s="331"/>
      <c r="J932" s="331"/>
    </row>
    <row r="933">
      <c r="C933" s="711"/>
      <c r="D933" s="711"/>
      <c r="G933" s="331"/>
      <c r="H933" s="331"/>
      <c r="I933" s="331"/>
      <c r="J933" s="331"/>
    </row>
    <row r="934">
      <c r="C934" s="711"/>
      <c r="D934" s="711"/>
      <c r="G934" s="331"/>
      <c r="H934" s="331"/>
      <c r="I934" s="331"/>
      <c r="J934" s="331"/>
    </row>
    <row r="935">
      <c r="C935" s="711"/>
      <c r="D935" s="711"/>
      <c r="G935" s="331"/>
      <c r="H935" s="331"/>
      <c r="I935" s="331"/>
      <c r="J935" s="331"/>
    </row>
    <row r="936">
      <c r="C936" s="711"/>
      <c r="D936" s="711"/>
      <c r="G936" s="331"/>
      <c r="H936" s="331"/>
      <c r="I936" s="331"/>
      <c r="J936" s="331"/>
    </row>
    <row r="937">
      <c r="C937" s="711"/>
      <c r="D937" s="711"/>
      <c r="G937" s="331"/>
      <c r="H937" s="331"/>
      <c r="I937" s="331"/>
      <c r="J937" s="331"/>
    </row>
    <row r="938">
      <c r="C938" s="711"/>
      <c r="D938" s="711"/>
      <c r="G938" s="331"/>
      <c r="H938" s="331"/>
      <c r="I938" s="331"/>
      <c r="J938" s="331"/>
    </row>
    <row r="939">
      <c r="C939" s="711"/>
      <c r="D939" s="711"/>
      <c r="G939" s="331"/>
      <c r="H939" s="331"/>
      <c r="I939" s="331"/>
      <c r="J939" s="331"/>
    </row>
    <row r="940">
      <c r="C940" s="711"/>
      <c r="D940" s="711"/>
      <c r="G940" s="331"/>
      <c r="H940" s="331"/>
      <c r="I940" s="331"/>
      <c r="J940" s="331"/>
    </row>
    <row r="941">
      <c r="C941" s="711"/>
      <c r="D941" s="711"/>
      <c r="G941" s="331"/>
      <c r="H941" s="331"/>
      <c r="I941" s="331"/>
      <c r="J941" s="331"/>
    </row>
    <row r="942">
      <c r="C942" s="711"/>
      <c r="D942" s="711"/>
      <c r="G942" s="331"/>
      <c r="H942" s="331"/>
      <c r="I942" s="331"/>
      <c r="J942" s="331"/>
    </row>
    <row r="943">
      <c r="C943" s="711"/>
      <c r="D943" s="711"/>
      <c r="G943" s="331"/>
      <c r="H943" s="331"/>
      <c r="I943" s="331"/>
      <c r="J943" s="331"/>
    </row>
    <row r="944">
      <c r="C944" s="711"/>
      <c r="D944" s="711"/>
      <c r="G944" s="331"/>
      <c r="H944" s="331"/>
      <c r="I944" s="331"/>
      <c r="J944" s="331"/>
    </row>
    <row r="945">
      <c r="C945" s="711"/>
      <c r="D945" s="711"/>
      <c r="G945" s="331"/>
      <c r="H945" s="331"/>
      <c r="I945" s="331"/>
      <c r="J945" s="331"/>
    </row>
    <row r="946">
      <c r="C946" s="711"/>
      <c r="D946" s="711"/>
      <c r="G946" s="331"/>
      <c r="H946" s="331"/>
      <c r="I946" s="331"/>
      <c r="J946" s="331"/>
    </row>
    <row r="947">
      <c r="C947" s="711"/>
      <c r="D947" s="711"/>
      <c r="G947" s="331"/>
      <c r="H947" s="331"/>
      <c r="I947" s="331"/>
      <c r="J947" s="331"/>
    </row>
    <row r="948">
      <c r="C948" s="711"/>
      <c r="D948" s="711"/>
      <c r="G948" s="331"/>
      <c r="H948" s="331"/>
      <c r="I948" s="331"/>
      <c r="J948" s="331"/>
    </row>
    <row r="949">
      <c r="C949" s="711"/>
      <c r="D949" s="711"/>
      <c r="G949" s="331"/>
      <c r="H949" s="331"/>
      <c r="I949" s="331"/>
      <c r="J949" s="331"/>
    </row>
    <row r="950">
      <c r="C950" s="711"/>
      <c r="D950" s="711"/>
      <c r="G950" s="331"/>
      <c r="H950" s="331"/>
      <c r="I950" s="331"/>
      <c r="J950" s="331"/>
    </row>
    <row r="951">
      <c r="C951" s="711"/>
      <c r="D951" s="711"/>
      <c r="G951" s="331"/>
      <c r="H951" s="331"/>
      <c r="I951" s="331"/>
      <c r="J951" s="331"/>
    </row>
    <row r="952">
      <c r="C952" s="711"/>
      <c r="D952" s="711"/>
      <c r="G952" s="331"/>
      <c r="H952" s="331"/>
      <c r="I952" s="331"/>
      <c r="J952" s="331"/>
    </row>
    <row r="953">
      <c r="C953" s="711"/>
      <c r="D953" s="711"/>
      <c r="G953" s="331"/>
      <c r="H953" s="331"/>
      <c r="I953" s="331"/>
      <c r="J953" s="331"/>
    </row>
    <row r="954">
      <c r="C954" s="711"/>
      <c r="D954" s="711"/>
      <c r="G954" s="331"/>
      <c r="H954" s="331"/>
      <c r="I954" s="331"/>
      <c r="J954" s="331"/>
    </row>
    <row r="955">
      <c r="C955" s="711"/>
      <c r="D955" s="711"/>
      <c r="G955" s="331"/>
      <c r="H955" s="331"/>
      <c r="I955" s="331"/>
      <c r="J955" s="331"/>
    </row>
    <row r="956">
      <c r="C956" s="711"/>
      <c r="D956" s="711"/>
      <c r="G956" s="331"/>
      <c r="H956" s="331"/>
      <c r="I956" s="331"/>
      <c r="J956" s="331"/>
    </row>
    <row r="957">
      <c r="C957" s="711"/>
      <c r="D957" s="711"/>
      <c r="G957" s="331"/>
      <c r="H957" s="331"/>
      <c r="I957" s="331"/>
      <c r="J957" s="331"/>
    </row>
    <row r="958">
      <c r="C958" s="711"/>
      <c r="D958" s="711"/>
      <c r="G958" s="331"/>
      <c r="H958" s="331"/>
      <c r="I958" s="331"/>
      <c r="J958" s="331"/>
    </row>
    <row r="959">
      <c r="C959" s="711"/>
      <c r="D959" s="711"/>
      <c r="G959" s="331"/>
      <c r="H959" s="331"/>
      <c r="I959" s="331"/>
      <c r="J959" s="331"/>
    </row>
    <row r="960">
      <c r="C960" s="711"/>
      <c r="D960" s="711"/>
      <c r="G960" s="331"/>
      <c r="H960" s="331"/>
      <c r="I960" s="331"/>
      <c r="J960" s="331"/>
    </row>
    <row r="961">
      <c r="C961" s="711"/>
      <c r="D961" s="711"/>
      <c r="G961" s="331"/>
      <c r="H961" s="331"/>
      <c r="I961" s="331"/>
      <c r="J961" s="331"/>
    </row>
    <row r="962">
      <c r="C962" s="711"/>
      <c r="D962" s="711"/>
      <c r="G962" s="331"/>
      <c r="H962" s="331"/>
      <c r="I962" s="331"/>
      <c r="J962" s="331"/>
    </row>
    <row r="963">
      <c r="C963" s="711"/>
      <c r="D963" s="711"/>
      <c r="G963" s="331"/>
      <c r="H963" s="331"/>
      <c r="I963" s="331"/>
      <c r="J963" s="331"/>
    </row>
    <row r="964">
      <c r="C964" s="711"/>
      <c r="D964" s="711"/>
      <c r="G964" s="331"/>
      <c r="H964" s="331"/>
      <c r="I964" s="331"/>
      <c r="J964" s="331"/>
    </row>
    <row r="965">
      <c r="C965" s="711"/>
      <c r="D965" s="711"/>
      <c r="G965" s="331"/>
      <c r="H965" s="331"/>
      <c r="I965" s="331"/>
      <c r="J965" s="331"/>
    </row>
    <row r="966">
      <c r="C966" s="711"/>
      <c r="D966" s="711"/>
      <c r="G966" s="331"/>
      <c r="H966" s="331"/>
      <c r="I966" s="331"/>
      <c r="J966" s="331"/>
    </row>
    <row r="967">
      <c r="C967" s="711"/>
      <c r="D967" s="711"/>
      <c r="G967" s="331"/>
      <c r="H967" s="331"/>
      <c r="I967" s="331"/>
      <c r="J967" s="331"/>
    </row>
    <row r="968">
      <c r="C968" s="711"/>
      <c r="D968" s="711"/>
      <c r="G968" s="331"/>
      <c r="H968" s="331"/>
      <c r="I968" s="331"/>
      <c r="J968" s="331"/>
    </row>
    <row r="969">
      <c r="C969" s="711"/>
      <c r="D969" s="711"/>
      <c r="G969" s="331"/>
      <c r="H969" s="331"/>
      <c r="I969" s="331"/>
      <c r="J969" s="331"/>
    </row>
    <row r="970">
      <c r="C970" s="711"/>
      <c r="D970" s="711"/>
      <c r="G970" s="331"/>
      <c r="H970" s="331"/>
      <c r="I970" s="331"/>
      <c r="J970" s="331"/>
    </row>
    <row r="971">
      <c r="C971" s="711"/>
      <c r="D971" s="711"/>
      <c r="G971" s="331"/>
      <c r="H971" s="331"/>
      <c r="I971" s="331"/>
      <c r="J971" s="331"/>
    </row>
    <row r="972">
      <c r="C972" s="711"/>
      <c r="D972" s="711"/>
      <c r="G972" s="331"/>
      <c r="H972" s="331"/>
      <c r="I972" s="331"/>
      <c r="J972" s="331"/>
    </row>
    <row r="973">
      <c r="C973" s="711"/>
      <c r="D973" s="711"/>
      <c r="G973" s="331"/>
      <c r="H973" s="331"/>
      <c r="I973" s="331"/>
      <c r="J973" s="331"/>
    </row>
    <row r="974">
      <c r="C974" s="711"/>
      <c r="D974" s="711"/>
      <c r="G974" s="331"/>
      <c r="H974" s="331"/>
      <c r="I974" s="331"/>
      <c r="J974" s="331"/>
    </row>
    <row r="975">
      <c r="C975" s="711"/>
      <c r="D975" s="711"/>
      <c r="G975" s="331"/>
      <c r="H975" s="331"/>
      <c r="I975" s="331"/>
      <c r="J975" s="331"/>
    </row>
    <row r="976">
      <c r="C976" s="711"/>
      <c r="D976" s="711"/>
      <c r="G976" s="331"/>
      <c r="H976" s="331"/>
      <c r="I976" s="331"/>
      <c r="J976" s="331"/>
    </row>
    <row r="977">
      <c r="C977" s="711"/>
      <c r="D977" s="711"/>
      <c r="G977" s="331"/>
      <c r="H977" s="331"/>
      <c r="I977" s="331"/>
      <c r="J977" s="331"/>
    </row>
    <row r="978">
      <c r="C978" s="711"/>
      <c r="D978" s="711"/>
      <c r="G978" s="331"/>
      <c r="H978" s="331"/>
      <c r="I978" s="331"/>
      <c r="J978" s="331"/>
    </row>
    <row r="979">
      <c r="C979" s="711"/>
      <c r="D979" s="711"/>
      <c r="G979" s="331"/>
      <c r="H979" s="331"/>
      <c r="I979" s="331"/>
      <c r="J979" s="331"/>
    </row>
    <row r="980">
      <c r="C980" s="711"/>
      <c r="D980" s="711"/>
      <c r="G980" s="331"/>
      <c r="H980" s="331"/>
      <c r="I980" s="331"/>
      <c r="J980" s="331"/>
    </row>
    <row r="981">
      <c r="C981" s="711"/>
      <c r="D981" s="711"/>
      <c r="G981" s="331"/>
      <c r="H981" s="331"/>
      <c r="I981" s="331"/>
      <c r="J981" s="331"/>
    </row>
    <row r="982">
      <c r="C982" s="711"/>
      <c r="D982" s="711"/>
      <c r="G982" s="331"/>
      <c r="H982" s="331"/>
      <c r="I982" s="331"/>
      <c r="J982" s="331"/>
    </row>
    <row r="983">
      <c r="C983" s="711"/>
      <c r="D983" s="711"/>
      <c r="G983" s="331"/>
      <c r="H983" s="331"/>
      <c r="I983" s="331"/>
      <c r="J983" s="331"/>
    </row>
    <row r="984">
      <c r="C984" s="711"/>
      <c r="D984" s="711"/>
      <c r="G984" s="331"/>
      <c r="H984" s="331"/>
      <c r="I984" s="331"/>
      <c r="J984" s="331"/>
    </row>
    <row r="985">
      <c r="C985" s="711"/>
      <c r="D985" s="711"/>
      <c r="G985" s="331"/>
      <c r="H985" s="331"/>
      <c r="I985" s="331"/>
      <c r="J985" s="331"/>
    </row>
    <row r="986">
      <c r="C986" s="711"/>
      <c r="D986" s="711"/>
      <c r="G986" s="331"/>
      <c r="H986" s="331"/>
      <c r="I986" s="331"/>
      <c r="J986" s="331"/>
    </row>
    <row r="987">
      <c r="C987" s="711"/>
      <c r="D987" s="711"/>
      <c r="G987" s="331"/>
      <c r="H987" s="331"/>
      <c r="I987" s="331"/>
      <c r="J987" s="331"/>
    </row>
    <row r="988">
      <c r="C988" s="711"/>
      <c r="D988" s="711"/>
      <c r="G988" s="331"/>
      <c r="H988" s="331"/>
      <c r="I988" s="331"/>
      <c r="J988" s="331"/>
    </row>
    <row r="989">
      <c r="C989" s="711"/>
      <c r="D989" s="711"/>
      <c r="G989" s="331"/>
      <c r="H989" s="331"/>
      <c r="I989" s="331"/>
      <c r="J989" s="331"/>
    </row>
    <row r="990">
      <c r="C990" s="711"/>
      <c r="D990" s="711"/>
      <c r="G990" s="331"/>
      <c r="H990" s="331"/>
      <c r="I990" s="331"/>
      <c r="J990" s="331"/>
    </row>
    <row r="991">
      <c r="C991" s="711"/>
      <c r="D991" s="711"/>
      <c r="G991" s="331"/>
      <c r="H991" s="331"/>
      <c r="I991" s="331"/>
      <c r="J991" s="331"/>
    </row>
    <row r="992">
      <c r="C992" s="711"/>
      <c r="D992" s="711"/>
      <c r="G992" s="331"/>
      <c r="H992" s="331"/>
      <c r="I992" s="331"/>
      <c r="J992" s="331"/>
    </row>
    <row r="993">
      <c r="C993" s="711"/>
      <c r="D993" s="711"/>
      <c r="G993" s="331"/>
      <c r="H993" s="331"/>
      <c r="I993" s="331"/>
      <c r="J993" s="331"/>
    </row>
    <row r="994">
      <c r="C994" s="711"/>
      <c r="D994" s="711"/>
      <c r="G994" s="331"/>
      <c r="H994" s="331"/>
      <c r="I994" s="331"/>
      <c r="J994" s="331"/>
    </row>
    <row r="995">
      <c r="C995" s="711"/>
      <c r="D995" s="711"/>
      <c r="G995" s="331"/>
      <c r="H995" s="331"/>
      <c r="I995" s="331"/>
      <c r="J995" s="331"/>
    </row>
    <row r="996">
      <c r="C996" s="711"/>
      <c r="D996" s="711"/>
      <c r="G996" s="331"/>
      <c r="H996" s="331"/>
      <c r="I996" s="331"/>
      <c r="J996" s="331"/>
    </row>
    <row r="997">
      <c r="C997" s="711"/>
      <c r="D997" s="711"/>
      <c r="G997" s="331"/>
      <c r="H997" s="331"/>
      <c r="I997" s="331"/>
      <c r="J997" s="331"/>
    </row>
    <row r="998">
      <c r="C998" s="711"/>
      <c r="D998" s="711"/>
      <c r="G998" s="331"/>
      <c r="H998" s="331"/>
      <c r="I998" s="331"/>
      <c r="J998" s="331"/>
    </row>
    <row r="999">
      <c r="C999" s="711"/>
      <c r="D999" s="711"/>
      <c r="G999" s="331"/>
      <c r="H999" s="331"/>
      <c r="I999" s="331"/>
      <c r="J999" s="331"/>
    </row>
    <row r="1000">
      <c r="C1000" s="711"/>
      <c r="D1000" s="711"/>
      <c r="G1000" s="331"/>
      <c r="H1000" s="331"/>
      <c r="I1000" s="331"/>
      <c r="J1000" s="331"/>
    </row>
    <row r="1001">
      <c r="C1001" s="711"/>
      <c r="D1001" s="711"/>
      <c r="G1001" s="331"/>
      <c r="H1001" s="331"/>
      <c r="I1001" s="331"/>
      <c r="J1001" s="331"/>
    </row>
    <row r="1002">
      <c r="C1002" s="711"/>
      <c r="D1002" s="711"/>
      <c r="G1002" s="331"/>
      <c r="H1002" s="331"/>
      <c r="I1002" s="331"/>
      <c r="J1002" s="331"/>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C4"/>
    <hyperlink r:id="rId2" ref="C5"/>
    <hyperlink r:id="rId3" ref="C6"/>
    <hyperlink r:id="rId4" ref="C8"/>
    <hyperlink r:id="rId5" ref="C9"/>
    <hyperlink r:id="rId6" ref="C10"/>
    <hyperlink r:id="rId7" ref="C11"/>
    <hyperlink r:id="rId8" ref="C12"/>
    <hyperlink r:id="rId9" ref="C13"/>
    <hyperlink r:id="rId10" ref="C14"/>
    <hyperlink r:id="rId11" ref="C15"/>
    <hyperlink r:id="rId12" ref="C17"/>
    <hyperlink r:id="rId13" ref="C18"/>
    <hyperlink r:id="rId14" ref="C20"/>
    <hyperlink r:id="rId15" ref="C21"/>
    <hyperlink r:id="rId16" ref="C22"/>
    <hyperlink r:id="rId17" ref="C23"/>
    <hyperlink r:id="rId18" ref="C24"/>
    <hyperlink r:id="rId19" ref="C25"/>
    <hyperlink r:id="rId20" ref="C27"/>
    <hyperlink r:id="rId21" ref="C32"/>
    <hyperlink r:id="rId22" ref="C35"/>
    <hyperlink r:id="rId23" ref="C36"/>
    <hyperlink r:id="rId24" ref="C37"/>
    <hyperlink r:id="rId25" ref="C38"/>
    <hyperlink r:id="rId26" ref="C39"/>
    <hyperlink r:id="rId27" ref="C40"/>
    <hyperlink r:id="rId28" ref="C41"/>
    <hyperlink r:id="rId29" ref="C42"/>
    <hyperlink r:id="rId30" ref="C43"/>
    <hyperlink r:id="rId31" ref="C44"/>
    <hyperlink r:id="rId32" ref="C45"/>
    <hyperlink r:id="rId33" ref="C46"/>
    <hyperlink r:id="rId34" ref="C47"/>
    <hyperlink r:id="rId35" ref="C48"/>
    <hyperlink r:id="rId36" ref="C51"/>
    <hyperlink r:id="rId37" ref="C52"/>
    <hyperlink r:id="rId38" ref="C53"/>
    <hyperlink r:id="rId39" ref="C54"/>
    <hyperlink r:id="rId40" ref="C55"/>
    <hyperlink r:id="rId41" ref="C57"/>
    <hyperlink r:id="rId42" ref="C58"/>
    <hyperlink r:id="rId43" ref="C59"/>
    <hyperlink r:id="rId44" ref="C60"/>
    <hyperlink r:id="rId45" ref="C61"/>
    <hyperlink r:id="rId46" ref="C62"/>
    <hyperlink r:id="rId47" ref="C64"/>
    <hyperlink r:id="rId48" ref="C65"/>
    <hyperlink r:id="rId49" ref="C66"/>
    <hyperlink r:id="rId50" ref="C76"/>
    <hyperlink r:id="rId51" ref="C77"/>
    <hyperlink r:id="rId52" ref="C78"/>
    <hyperlink r:id="rId53" ref="C80"/>
    <hyperlink r:id="rId54" ref="C81"/>
    <hyperlink r:id="rId55" ref="C82"/>
    <hyperlink r:id="rId56" ref="C83"/>
    <hyperlink r:id="rId57" ref="C85"/>
    <hyperlink r:id="rId58" ref="C86"/>
    <hyperlink r:id="rId59" ref="C87"/>
    <hyperlink r:id="rId60" ref="C88"/>
    <hyperlink r:id="rId61" ref="C89"/>
    <hyperlink r:id="rId62" ref="C90"/>
    <hyperlink r:id="rId63" ref="C91"/>
    <hyperlink r:id="rId64" ref="C92"/>
    <hyperlink r:id="rId65" ref="C94"/>
    <hyperlink r:id="rId66" ref="C95"/>
    <hyperlink r:id="rId67" ref="C96"/>
    <hyperlink r:id="rId68" ref="C97"/>
    <hyperlink r:id="rId69" ref="C98"/>
    <hyperlink r:id="rId70" ref="C99"/>
    <hyperlink r:id="rId71" ref="C104"/>
    <hyperlink r:id="rId72" ref="C105"/>
    <hyperlink r:id="rId73" ref="C106"/>
    <hyperlink r:id="rId74" ref="C107"/>
    <hyperlink r:id="rId75" ref="C108"/>
    <hyperlink r:id="rId76" ref="C111"/>
    <hyperlink r:id="rId77" ref="C112"/>
    <hyperlink r:id="rId78" ref="C113"/>
    <hyperlink r:id="rId79" ref="C115"/>
    <hyperlink r:id="rId80" ref="C117"/>
    <hyperlink r:id="rId81" ref="M119"/>
    <hyperlink r:id="rId82" ref="M121"/>
    <hyperlink r:id="rId83" ref="M122"/>
  </hyperlinks>
  <drawing r:id="rId84"/>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FC5E8"/>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1" max="1" width="12.43"/>
    <col customWidth="1" min="2" max="2" width="9.57"/>
    <col customWidth="1" min="3" max="3" width="13.57"/>
  </cols>
  <sheetData>
    <row r="1" ht="15.0" customHeight="1" outlineLevel="1">
      <c r="A1" s="1" t="s">
        <v>0</v>
      </c>
      <c r="B1" s="2" t="s">
        <v>1</v>
      </c>
      <c r="C1" s="2" t="s">
        <v>2</v>
      </c>
      <c r="D1" s="2" t="s">
        <v>2</v>
      </c>
      <c r="E1" s="3"/>
      <c r="F1" s="30" t="s">
        <v>1577</v>
      </c>
      <c r="G1" s="30" t="s">
        <v>4</v>
      </c>
      <c r="H1" s="30" t="s">
        <v>5</v>
      </c>
      <c r="I1" s="30" t="s">
        <v>6</v>
      </c>
      <c r="J1" s="30" t="s">
        <v>7</v>
      </c>
      <c r="K1" s="1" t="s">
        <v>8</v>
      </c>
      <c r="L1" s="7" t="s">
        <v>9</v>
      </c>
      <c r="O1" s="10" t="s">
        <v>14</v>
      </c>
      <c r="Q1" s="167"/>
      <c r="R1" s="167"/>
      <c r="S1" s="30"/>
      <c r="T1" s="20"/>
      <c r="U1" s="20"/>
      <c r="V1" s="20"/>
      <c r="W1" s="20"/>
      <c r="X1" s="20"/>
      <c r="Y1" s="20"/>
      <c r="Z1" s="20"/>
      <c r="AA1" s="20"/>
      <c r="AB1" s="20"/>
      <c r="AC1" s="20"/>
      <c r="AD1" s="20"/>
      <c r="AE1" s="20"/>
    </row>
    <row r="2" ht="16.5" customHeight="1" outlineLevel="1">
      <c r="A2" s="21" t="s">
        <v>492</v>
      </c>
      <c r="B2" s="21" t="s">
        <v>22</v>
      </c>
      <c r="C2" s="325"/>
      <c r="D2" s="325"/>
      <c r="E2" s="3"/>
      <c r="F2" s="168">
        <v>43811.0</v>
      </c>
      <c r="G2" s="635">
        <v>43614.0</v>
      </c>
      <c r="H2" s="79">
        <f>G2-TODAY()</f>
        <v>-121</v>
      </c>
      <c r="I2" s="168">
        <v>43473.0</v>
      </c>
      <c r="J2" s="168">
        <v>43614.0</v>
      </c>
      <c r="K2" s="23"/>
      <c r="L2" s="26">
        <f>CountIFS($E:$E,"=Dem",$A:$A,"=House")</f>
        <v>44</v>
      </c>
      <c r="M2" s="26"/>
      <c r="N2" s="28">
        <f>CountIFS($E:$E,"=Rep",$A:$A,"=House")</f>
        <v>80</v>
      </c>
      <c r="O2" s="26">
        <f>CountIFS($E:$E,"=Dem",$A:$A,"=Senate")</f>
        <v>18</v>
      </c>
      <c r="P2" s="28">
        <f>CountIFS($E:$E,"=Rep",$A:$A,"=Senate")</f>
        <v>28</v>
      </c>
      <c r="Q2" s="167"/>
      <c r="R2" s="167"/>
      <c r="S2" s="30"/>
      <c r="T2" s="20"/>
      <c r="U2" s="20"/>
      <c r="V2" s="20"/>
      <c r="W2" s="20"/>
      <c r="X2" s="20"/>
      <c r="Y2" s="20"/>
      <c r="Z2" s="20"/>
      <c r="AA2" s="20"/>
      <c r="AB2" s="20"/>
      <c r="AC2" s="20"/>
      <c r="AD2" s="20"/>
      <c r="AE2" s="20"/>
    </row>
    <row r="3">
      <c r="A3" s="30" t="s">
        <v>29</v>
      </c>
      <c r="B3" s="30" t="s">
        <v>30</v>
      </c>
      <c r="C3" s="2" t="s">
        <v>31</v>
      </c>
      <c r="D3" s="2" t="s">
        <v>32</v>
      </c>
      <c r="E3" s="3" t="s">
        <v>33</v>
      </c>
      <c r="F3" s="1" t="s">
        <v>10</v>
      </c>
      <c r="G3" s="1" t="s">
        <v>34</v>
      </c>
      <c r="H3" s="1" t="s">
        <v>34</v>
      </c>
      <c r="I3" s="1" t="s">
        <v>34</v>
      </c>
      <c r="J3" s="1" t="s">
        <v>34</v>
      </c>
      <c r="K3" s="1" t="s">
        <v>35</v>
      </c>
      <c r="L3" s="19" t="s">
        <v>36</v>
      </c>
      <c r="M3" s="19"/>
      <c r="N3" s="19" t="s">
        <v>37</v>
      </c>
      <c r="O3" s="19" t="s">
        <v>38</v>
      </c>
      <c r="P3" s="17" t="s">
        <v>39</v>
      </c>
      <c r="Q3" s="11" t="s">
        <v>40</v>
      </c>
      <c r="R3" s="11" t="s">
        <v>41</v>
      </c>
      <c r="S3" s="17" t="s">
        <v>42</v>
      </c>
      <c r="T3" s="20"/>
      <c r="U3" s="20"/>
      <c r="V3" s="20"/>
      <c r="W3" s="20"/>
      <c r="X3" s="20"/>
      <c r="Y3" s="20"/>
      <c r="Z3" s="20"/>
      <c r="AA3" s="20"/>
      <c r="AB3" s="20"/>
      <c r="AC3" s="20"/>
      <c r="AD3" s="20"/>
      <c r="AE3" s="20"/>
    </row>
    <row r="4">
      <c r="A4" s="14" t="s">
        <v>44</v>
      </c>
      <c r="B4" s="696">
        <v>1.0</v>
      </c>
      <c r="C4" s="697" t="s">
        <v>325</v>
      </c>
      <c r="D4" s="697" t="s">
        <v>11804</v>
      </c>
      <c r="E4" s="698" t="s">
        <v>53</v>
      </c>
      <c r="G4" s="547" t="s">
        <v>3542</v>
      </c>
      <c r="H4" s="538"/>
      <c r="I4" s="538"/>
      <c r="L4" s="89"/>
      <c r="M4" s="89"/>
      <c r="N4" s="223" t="s">
        <v>11807</v>
      </c>
      <c r="O4" s="89"/>
      <c r="P4" s="89"/>
      <c r="Q4" s="89"/>
      <c r="R4" s="89"/>
      <c r="S4" s="89"/>
    </row>
    <row r="5">
      <c r="A5" s="14" t="s">
        <v>44</v>
      </c>
      <c r="B5" s="696">
        <v>2.0</v>
      </c>
      <c r="C5" s="697" t="s">
        <v>325</v>
      </c>
      <c r="D5" s="697" t="s">
        <v>11809</v>
      </c>
      <c r="E5" s="698" t="s">
        <v>53</v>
      </c>
      <c r="G5" s="547" t="s">
        <v>11810</v>
      </c>
      <c r="H5" s="538"/>
      <c r="I5" s="538"/>
      <c r="L5" s="89"/>
      <c r="M5" s="89"/>
      <c r="N5" s="223" t="s">
        <v>11807</v>
      </c>
      <c r="O5" s="89"/>
      <c r="P5" s="89"/>
      <c r="Q5" s="89"/>
      <c r="R5" s="89"/>
      <c r="S5" s="89"/>
    </row>
    <row r="6">
      <c r="A6" s="14" t="s">
        <v>44</v>
      </c>
      <c r="B6" s="696">
        <v>3.0</v>
      </c>
      <c r="C6" s="699" t="s">
        <v>199</v>
      </c>
      <c r="D6" s="700" t="s">
        <v>11811</v>
      </c>
      <c r="E6" s="698" t="s">
        <v>53</v>
      </c>
      <c r="G6" s="547" t="s">
        <v>781</v>
      </c>
      <c r="H6" s="547" t="s">
        <v>11812</v>
      </c>
      <c r="I6" s="538"/>
      <c r="L6" s="89"/>
      <c r="M6" s="89"/>
      <c r="N6" s="223" t="s">
        <v>11807</v>
      </c>
      <c r="O6" s="89"/>
      <c r="P6" s="89"/>
      <c r="Q6" s="89"/>
      <c r="R6" s="89"/>
      <c r="S6" s="89"/>
    </row>
    <row r="7">
      <c r="A7" s="14" t="s">
        <v>44</v>
      </c>
      <c r="B7" s="696">
        <v>4.0</v>
      </c>
      <c r="C7" s="697" t="s">
        <v>11813</v>
      </c>
      <c r="D7" s="697" t="s">
        <v>11814</v>
      </c>
      <c r="E7" s="698" t="s">
        <v>53</v>
      </c>
      <c r="G7" s="547" t="s">
        <v>11815</v>
      </c>
      <c r="H7" s="538"/>
      <c r="I7" s="538"/>
      <c r="L7" s="89"/>
      <c r="M7" s="89"/>
      <c r="N7" s="223" t="s">
        <v>11807</v>
      </c>
      <c r="O7" s="89"/>
      <c r="P7" s="89"/>
      <c r="Q7" s="89"/>
      <c r="R7" s="89"/>
      <c r="S7" s="89"/>
    </row>
    <row r="8">
      <c r="A8" s="14" t="s">
        <v>44</v>
      </c>
      <c r="B8" s="696">
        <v>5.0</v>
      </c>
      <c r="C8" s="699" t="s">
        <v>268</v>
      </c>
      <c r="D8" s="700" t="s">
        <v>137</v>
      </c>
      <c r="E8" s="698" t="s">
        <v>53</v>
      </c>
      <c r="G8" s="547" t="s">
        <v>781</v>
      </c>
      <c r="H8" s="547" t="s">
        <v>11812</v>
      </c>
      <c r="I8" s="538"/>
      <c r="L8" s="89"/>
      <c r="M8" s="89"/>
      <c r="N8" s="223" t="s">
        <v>11807</v>
      </c>
      <c r="O8" s="89"/>
      <c r="P8" s="89"/>
      <c r="Q8" s="89"/>
      <c r="R8" s="89"/>
      <c r="S8" s="89"/>
    </row>
    <row r="9">
      <c r="A9" s="14" t="s">
        <v>44</v>
      </c>
      <c r="B9" s="696">
        <v>6.0</v>
      </c>
      <c r="C9" s="697" t="s">
        <v>1331</v>
      </c>
      <c r="D9" s="697" t="s">
        <v>6034</v>
      </c>
      <c r="E9" s="698" t="s">
        <v>53</v>
      </c>
      <c r="G9" s="547" t="s">
        <v>11817</v>
      </c>
      <c r="H9" s="538"/>
      <c r="I9" s="538"/>
      <c r="L9" s="89"/>
      <c r="M9" s="89"/>
      <c r="N9" s="223" t="s">
        <v>11807</v>
      </c>
      <c r="O9" s="89"/>
      <c r="P9" s="89"/>
      <c r="Q9" s="89"/>
      <c r="R9" s="89"/>
      <c r="S9" s="89"/>
    </row>
    <row r="10">
      <c r="A10" s="14" t="s">
        <v>44</v>
      </c>
      <c r="B10" s="696">
        <v>7.0</v>
      </c>
      <c r="C10" s="699" t="s">
        <v>1013</v>
      </c>
      <c r="D10" s="700" t="s">
        <v>4286</v>
      </c>
      <c r="E10" s="698" t="s">
        <v>53</v>
      </c>
      <c r="G10" s="547" t="s">
        <v>11817</v>
      </c>
      <c r="H10" s="547" t="s">
        <v>11812</v>
      </c>
      <c r="I10" s="538"/>
      <c r="L10" s="89"/>
      <c r="M10" s="89"/>
      <c r="N10" s="223" t="s">
        <v>11807</v>
      </c>
      <c r="O10" s="89"/>
      <c r="P10" s="89"/>
      <c r="Q10" s="89"/>
      <c r="R10" s="89"/>
      <c r="S10" s="89"/>
    </row>
    <row r="11">
      <c r="A11" s="14" t="s">
        <v>44</v>
      </c>
      <c r="B11" s="696">
        <v>8.0</v>
      </c>
      <c r="C11" s="697" t="s">
        <v>11818</v>
      </c>
      <c r="D11" s="697" t="s">
        <v>485</v>
      </c>
      <c r="E11" s="698" t="s">
        <v>53</v>
      </c>
      <c r="G11" s="547" t="s">
        <v>11819</v>
      </c>
      <c r="H11" s="538"/>
      <c r="I11" s="538"/>
      <c r="L11" s="89"/>
      <c r="M11" s="89"/>
      <c r="N11" s="223" t="s">
        <v>11807</v>
      </c>
      <c r="O11" s="89"/>
      <c r="P11" s="89"/>
      <c r="Q11" s="89"/>
      <c r="R11" s="89"/>
      <c r="S11" s="89"/>
    </row>
    <row r="12">
      <c r="A12" s="14" t="s">
        <v>44</v>
      </c>
      <c r="B12" s="696">
        <v>9.0</v>
      </c>
      <c r="C12" s="697" t="s">
        <v>2560</v>
      </c>
      <c r="D12" s="697" t="s">
        <v>5341</v>
      </c>
      <c r="E12" s="698" t="s">
        <v>53</v>
      </c>
      <c r="G12" s="547" t="s">
        <v>11817</v>
      </c>
      <c r="H12" s="547" t="s">
        <v>780</v>
      </c>
      <c r="I12" s="538"/>
      <c r="L12" s="89"/>
      <c r="M12" s="89"/>
      <c r="N12" s="223" t="s">
        <v>11807</v>
      </c>
      <c r="O12" s="89"/>
      <c r="P12" s="89"/>
      <c r="Q12" s="89"/>
      <c r="R12" s="89"/>
      <c r="S12" s="89"/>
    </row>
    <row r="13">
      <c r="A13" s="14" t="s">
        <v>44</v>
      </c>
      <c r="B13" s="696">
        <v>10.0</v>
      </c>
      <c r="C13" s="702" t="s">
        <v>4286</v>
      </c>
      <c r="D13" s="703" t="s">
        <v>3708</v>
      </c>
      <c r="E13" s="698" t="s">
        <v>53</v>
      </c>
      <c r="G13" s="547" t="s">
        <v>11821</v>
      </c>
      <c r="H13" s="547" t="s">
        <v>11822</v>
      </c>
      <c r="I13" s="547" t="s">
        <v>11823</v>
      </c>
      <c r="L13" s="89"/>
      <c r="M13" s="89"/>
      <c r="N13" s="223" t="s">
        <v>11807</v>
      </c>
      <c r="O13" s="89"/>
      <c r="P13" s="89"/>
      <c r="Q13" s="89"/>
      <c r="R13" s="89"/>
      <c r="S13" s="89"/>
    </row>
    <row r="14">
      <c r="A14" s="14" t="s">
        <v>44</v>
      </c>
      <c r="B14" s="696">
        <v>11.0</v>
      </c>
      <c r="C14" s="697" t="s">
        <v>373</v>
      </c>
      <c r="D14" s="697" t="s">
        <v>11824</v>
      </c>
      <c r="E14" s="698" t="s">
        <v>53</v>
      </c>
      <c r="G14" s="547" t="s">
        <v>11817</v>
      </c>
      <c r="H14" s="538"/>
      <c r="I14" s="538"/>
      <c r="L14" s="89"/>
      <c r="M14" s="89"/>
      <c r="N14" s="223" t="s">
        <v>11807</v>
      </c>
      <c r="O14" s="89"/>
      <c r="P14" s="89"/>
      <c r="Q14" s="89"/>
      <c r="R14" s="89"/>
      <c r="S14" s="89"/>
    </row>
    <row r="15">
      <c r="A15" s="14" t="s">
        <v>44</v>
      </c>
      <c r="B15" s="696">
        <v>12.0</v>
      </c>
      <c r="C15" s="697" t="s">
        <v>2560</v>
      </c>
      <c r="D15" s="697" t="s">
        <v>8307</v>
      </c>
      <c r="E15" s="704" t="s">
        <v>49</v>
      </c>
      <c r="G15" s="547" t="s">
        <v>11825</v>
      </c>
      <c r="H15" s="538"/>
      <c r="I15" s="538"/>
      <c r="L15" s="89"/>
      <c r="M15" s="89"/>
      <c r="N15" s="223" t="s">
        <v>11807</v>
      </c>
      <c r="O15" s="89"/>
      <c r="P15" s="89"/>
      <c r="Q15" s="89"/>
      <c r="R15" s="89"/>
      <c r="S15" s="89"/>
    </row>
    <row r="16">
      <c r="A16" s="14" t="s">
        <v>44</v>
      </c>
      <c r="B16" s="696">
        <v>13.0</v>
      </c>
      <c r="C16" s="697" t="s">
        <v>278</v>
      </c>
      <c r="D16" s="697" t="s">
        <v>11828</v>
      </c>
      <c r="E16" s="698" t="s">
        <v>53</v>
      </c>
      <c r="G16" s="547" t="s">
        <v>781</v>
      </c>
      <c r="H16" s="538"/>
      <c r="I16" s="538"/>
      <c r="L16" s="89"/>
      <c r="M16" s="89"/>
      <c r="N16" s="223" t="s">
        <v>11807</v>
      </c>
      <c r="O16" s="89"/>
      <c r="P16" s="89"/>
      <c r="Q16" s="89"/>
      <c r="R16" s="89"/>
      <c r="S16" s="89"/>
    </row>
    <row r="17">
      <c r="A17" s="14" t="s">
        <v>44</v>
      </c>
      <c r="B17" s="696">
        <v>14.0</v>
      </c>
      <c r="C17" s="697" t="s">
        <v>2490</v>
      </c>
      <c r="D17" s="697" t="s">
        <v>11830</v>
      </c>
      <c r="E17" s="698" t="s">
        <v>53</v>
      </c>
      <c r="G17" s="547" t="s">
        <v>3542</v>
      </c>
      <c r="H17" s="538"/>
      <c r="I17" s="538"/>
      <c r="L17" s="89"/>
      <c r="M17" s="89"/>
      <c r="N17" s="223" t="s">
        <v>11807</v>
      </c>
      <c r="O17" s="89"/>
      <c r="P17" s="89"/>
      <c r="Q17" s="89"/>
      <c r="R17" s="89"/>
      <c r="S17" s="89"/>
    </row>
    <row r="18">
      <c r="A18" s="14" t="s">
        <v>44</v>
      </c>
      <c r="B18" s="696">
        <v>15.0</v>
      </c>
      <c r="C18" s="697" t="s">
        <v>3668</v>
      </c>
      <c r="D18" s="697" t="s">
        <v>11831</v>
      </c>
      <c r="E18" s="698" t="s">
        <v>53</v>
      </c>
      <c r="G18" s="547" t="s">
        <v>2184</v>
      </c>
      <c r="H18" s="538"/>
      <c r="I18" s="538"/>
      <c r="L18" s="89"/>
      <c r="M18" s="89"/>
      <c r="N18" s="223" t="s">
        <v>11807</v>
      </c>
      <c r="O18" s="89"/>
      <c r="P18" s="89"/>
      <c r="Q18" s="89"/>
      <c r="R18" s="89"/>
      <c r="S18" s="89"/>
    </row>
    <row r="19">
      <c r="A19" s="14" t="s">
        <v>44</v>
      </c>
      <c r="B19" s="696">
        <v>16.0</v>
      </c>
      <c r="C19" s="697" t="s">
        <v>91</v>
      </c>
      <c r="D19" s="697" t="s">
        <v>4330</v>
      </c>
      <c r="E19" s="698" t="s">
        <v>53</v>
      </c>
      <c r="G19" s="547" t="s">
        <v>11832</v>
      </c>
      <c r="H19" s="547" t="s">
        <v>11817</v>
      </c>
      <c r="I19" s="538"/>
      <c r="L19" s="89"/>
      <c r="M19" s="89"/>
      <c r="N19" s="223" t="s">
        <v>11807</v>
      </c>
      <c r="O19" s="89"/>
      <c r="P19" s="89"/>
      <c r="Q19" s="89"/>
      <c r="R19" s="89"/>
      <c r="S19" s="89"/>
    </row>
    <row r="20">
      <c r="A20" s="14" t="s">
        <v>44</v>
      </c>
      <c r="B20" s="696">
        <v>17.0</v>
      </c>
      <c r="C20" s="697" t="s">
        <v>157</v>
      </c>
      <c r="D20" s="697" t="s">
        <v>4107</v>
      </c>
      <c r="E20" s="698" t="s">
        <v>53</v>
      </c>
      <c r="G20" s="547" t="s">
        <v>2184</v>
      </c>
      <c r="H20" s="547" t="s">
        <v>11833</v>
      </c>
      <c r="I20" s="538"/>
      <c r="L20" s="89"/>
      <c r="M20" s="89"/>
      <c r="N20" s="223" t="s">
        <v>11807</v>
      </c>
      <c r="O20" s="89"/>
      <c r="P20" s="89"/>
      <c r="Q20" s="89"/>
      <c r="R20" s="89"/>
      <c r="S20" s="89"/>
    </row>
    <row r="21">
      <c r="A21" s="14" t="s">
        <v>44</v>
      </c>
      <c r="B21" s="696">
        <v>18.0</v>
      </c>
      <c r="C21" s="697" t="s">
        <v>317</v>
      </c>
      <c r="D21" s="697" t="s">
        <v>513</v>
      </c>
      <c r="E21" s="698" t="s">
        <v>53</v>
      </c>
      <c r="G21" s="547" t="s">
        <v>11821</v>
      </c>
      <c r="H21" s="547" t="s">
        <v>11812</v>
      </c>
      <c r="I21" s="538"/>
      <c r="L21" s="89"/>
      <c r="M21" s="89"/>
      <c r="N21" s="223" t="s">
        <v>11807</v>
      </c>
      <c r="O21" s="89"/>
      <c r="P21" s="89"/>
      <c r="Q21" s="89"/>
      <c r="R21" s="89"/>
      <c r="S21" s="89"/>
    </row>
    <row r="22">
      <c r="A22" s="14" t="s">
        <v>44</v>
      </c>
      <c r="B22" s="696">
        <v>19.0</v>
      </c>
      <c r="C22" s="697" t="s">
        <v>1402</v>
      </c>
      <c r="D22" s="697" t="s">
        <v>11834</v>
      </c>
      <c r="E22" s="698" t="s">
        <v>53</v>
      </c>
      <c r="G22" s="547" t="s">
        <v>3542</v>
      </c>
      <c r="H22" s="538"/>
      <c r="I22" s="538"/>
      <c r="L22" s="89"/>
      <c r="M22" s="89"/>
      <c r="N22" s="223" t="s">
        <v>11807</v>
      </c>
      <c r="O22" s="89"/>
      <c r="P22" s="89"/>
      <c r="Q22" s="89"/>
      <c r="R22" s="89"/>
      <c r="S22" s="89"/>
    </row>
    <row r="23">
      <c r="A23" s="14" t="s">
        <v>44</v>
      </c>
      <c r="B23" s="696">
        <v>20.0</v>
      </c>
      <c r="C23" s="699" t="s">
        <v>69</v>
      </c>
      <c r="D23" s="700" t="s">
        <v>141</v>
      </c>
      <c r="E23" s="698" t="s">
        <v>53</v>
      </c>
      <c r="G23" s="547" t="s">
        <v>11822</v>
      </c>
      <c r="H23" s="547" t="s">
        <v>11823</v>
      </c>
      <c r="I23" s="538"/>
      <c r="L23" s="89"/>
      <c r="M23" s="89"/>
      <c r="N23" s="223" t="s">
        <v>11807</v>
      </c>
      <c r="O23" s="89"/>
      <c r="P23" s="89"/>
      <c r="Q23" s="89"/>
      <c r="R23" s="89"/>
      <c r="S23" s="89"/>
    </row>
    <row r="24">
      <c r="A24" s="14" t="s">
        <v>44</v>
      </c>
      <c r="B24" s="696">
        <v>21.0</v>
      </c>
      <c r="C24" s="697" t="s">
        <v>1019</v>
      </c>
      <c r="D24" s="697" t="s">
        <v>3708</v>
      </c>
      <c r="E24" s="698" t="s">
        <v>53</v>
      </c>
      <c r="G24" s="547" t="s">
        <v>11821</v>
      </c>
      <c r="H24" s="547" t="s">
        <v>11822</v>
      </c>
      <c r="I24" s="547" t="s">
        <v>11823</v>
      </c>
      <c r="L24" s="89"/>
      <c r="M24" s="89"/>
      <c r="N24" s="223" t="s">
        <v>11807</v>
      </c>
      <c r="O24" s="89"/>
      <c r="P24" s="89"/>
      <c r="Q24" s="89"/>
      <c r="R24" s="89"/>
      <c r="S24" s="89"/>
    </row>
    <row r="25">
      <c r="A25" s="14" t="s">
        <v>44</v>
      </c>
      <c r="B25" s="696">
        <v>22.0</v>
      </c>
      <c r="C25" s="699" t="s">
        <v>1231</v>
      </c>
      <c r="D25" s="700" t="s">
        <v>2427</v>
      </c>
      <c r="E25" s="698" t="s">
        <v>53</v>
      </c>
      <c r="G25" s="547" t="s">
        <v>781</v>
      </c>
      <c r="H25" s="538"/>
      <c r="I25" s="538"/>
      <c r="L25" s="89"/>
      <c r="M25" s="89"/>
      <c r="N25" s="223" t="s">
        <v>11807</v>
      </c>
      <c r="O25" s="89"/>
      <c r="P25" s="89"/>
      <c r="Q25" s="89"/>
      <c r="R25" s="89"/>
      <c r="S25" s="89"/>
    </row>
    <row r="26">
      <c r="A26" s="14" t="s">
        <v>44</v>
      </c>
      <c r="B26" s="696">
        <v>23.0</v>
      </c>
      <c r="C26" s="697" t="s">
        <v>11840</v>
      </c>
      <c r="D26" s="697" t="s">
        <v>11841</v>
      </c>
      <c r="E26" s="704" t="s">
        <v>49</v>
      </c>
      <c r="G26" s="547" t="s">
        <v>11817</v>
      </c>
      <c r="H26" s="547" t="s">
        <v>11812</v>
      </c>
      <c r="I26" s="538"/>
      <c r="L26" s="89"/>
      <c r="M26" s="89"/>
      <c r="N26" s="223" t="s">
        <v>11807</v>
      </c>
      <c r="O26" s="89"/>
      <c r="P26" s="89"/>
      <c r="Q26" s="89"/>
      <c r="R26" s="89"/>
      <c r="S26" s="89"/>
    </row>
    <row r="27">
      <c r="A27" s="14" t="s">
        <v>44</v>
      </c>
      <c r="B27" s="696">
        <v>24.0</v>
      </c>
      <c r="C27" s="699" t="s">
        <v>1193</v>
      </c>
      <c r="D27" s="700" t="s">
        <v>11845</v>
      </c>
      <c r="E27" s="698" t="s">
        <v>53</v>
      </c>
      <c r="G27" s="547" t="s">
        <v>3542</v>
      </c>
      <c r="H27" s="538"/>
      <c r="I27" s="538"/>
      <c r="L27" s="89"/>
      <c r="M27" s="89"/>
      <c r="N27" s="223" t="s">
        <v>11807</v>
      </c>
      <c r="O27" s="89"/>
      <c r="P27" s="89"/>
      <c r="Q27" s="89"/>
      <c r="R27" s="89"/>
      <c r="S27" s="89"/>
    </row>
    <row r="28">
      <c r="A28" s="14" t="s">
        <v>44</v>
      </c>
      <c r="B28" s="696">
        <v>25.0</v>
      </c>
      <c r="C28" s="697" t="s">
        <v>11846</v>
      </c>
      <c r="D28" s="697" t="s">
        <v>3039</v>
      </c>
      <c r="E28" s="704" t="s">
        <v>49</v>
      </c>
      <c r="G28" s="547" t="s">
        <v>11822</v>
      </c>
      <c r="H28" s="547" t="s">
        <v>11833</v>
      </c>
      <c r="I28" s="538"/>
      <c r="L28" s="89"/>
      <c r="M28" s="89"/>
      <c r="N28" s="223" t="s">
        <v>11807</v>
      </c>
      <c r="O28" s="89"/>
      <c r="P28" s="89"/>
      <c r="Q28" s="89"/>
      <c r="R28" s="89"/>
      <c r="S28" s="89"/>
    </row>
    <row r="29">
      <c r="A29" s="14" t="s">
        <v>44</v>
      </c>
      <c r="B29" s="696">
        <v>26.0</v>
      </c>
      <c r="C29" s="697" t="s">
        <v>11847</v>
      </c>
      <c r="D29" s="697" t="s">
        <v>10314</v>
      </c>
      <c r="E29" s="698" t="s">
        <v>53</v>
      </c>
      <c r="G29" s="547" t="s">
        <v>11821</v>
      </c>
      <c r="H29" s="538"/>
      <c r="I29" s="538"/>
      <c r="L29" s="89"/>
      <c r="M29" s="89"/>
      <c r="N29" s="223" t="s">
        <v>11807</v>
      </c>
      <c r="O29" s="89"/>
      <c r="P29" s="89"/>
      <c r="Q29" s="89"/>
      <c r="R29" s="89"/>
      <c r="S29" s="89"/>
    </row>
    <row r="30">
      <c r="A30" s="14" t="s">
        <v>44</v>
      </c>
      <c r="B30" s="696">
        <v>27.0</v>
      </c>
      <c r="C30" s="699" t="s">
        <v>6928</v>
      </c>
      <c r="D30" s="700" t="s">
        <v>1451</v>
      </c>
      <c r="E30" s="698" t="s">
        <v>53</v>
      </c>
      <c r="G30" s="547" t="s">
        <v>11848</v>
      </c>
      <c r="H30" s="547" t="s">
        <v>11849</v>
      </c>
      <c r="I30" s="547" t="s">
        <v>11850</v>
      </c>
      <c r="L30" s="89"/>
      <c r="M30" s="89"/>
      <c r="N30" s="223" t="s">
        <v>11807</v>
      </c>
      <c r="O30" s="89"/>
      <c r="P30" s="89"/>
      <c r="Q30" s="89"/>
      <c r="R30" s="89"/>
      <c r="S30" s="89"/>
    </row>
    <row r="31">
      <c r="A31" s="14" t="s">
        <v>44</v>
      </c>
      <c r="B31" s="696">
        <v>28.0</v>
      </c>
      <c r="C31" s="697" t="s">
        <v>3414</v>
      </c>
      <c r="D31" s="697" t="s">
        <v>11851</v>
      </c>
      <c r="E31" s="698" t="s">
        <v>53</v>
      </c>
      <c r="G31" s="547" t="s">
        <v>2184</v>
      </c>
      <c r="H31" s="538"/>
      <c r="I31" s="538"/>
      <c r="L31" s="89"/>
      <c r="M31" s="89"/>
      <c r="N31" s="223" t="s">
        <v>11807</v>
      </c>
      <c r="O31" s="89"/>
      <c r="P31" s="89"/>
      <c r="Q31" s="89"/>
      <c r="R31" s="89"/>
      <c r="S31" s="89"/>
    </row>
    <row r="32">
      <c r="A32" s="14" t="s">
        <v>44</v>
      </c>
      <c r="B32" s="696">
        <v>29.0</v>
      </c>
      <c r="C32" s="697" t="s">
        <v>2194</v>
      </c>
      <c r="D32" s="697" t="s">
        <v>5796</v>
      </c>
      <c r="E32" s="698" t="s">
        <v>53</v>
      </c>
      <c r="G32" s="547" t="s">
        <v>11852</v>
      </c>
      <c r="H32" s="547" t="s">
        <v>2667</v>
      </c>
      <c r="I32" s="547" t="s">
        <v>3542</v>
      </c>
      <c r="L32" s="89"/>
      <c r="M32" s="89"/>
      <c r="N32" s="223" t="s">
        <v>11807</v>
      </c>
      <c r="O32" s="89"/>
      <c r="P32" s="89"/>
      <c r="Q32" s="89"/>
      <c r="R32" s="89"/>
      <c r="S32" s="89"/>
    </row>
    <row r="33">
      <c r="A33" s="14" t="s">
        <v>44</v>
      </c>
      <c r="B33" s="696">
        <v>30.0</v>
      </c>
      <c r="C33" s="699" t="s">
        <v>55</v>
      </c>
      <c r="D33" s="700" t="s">
        <v>5796</v>
      </c>
      <c r="E33" s="698" t="s">
        <v>53</v>
      </c>
      <c r="G33" s="547" t="s">
        <v>11852</v>
      </c>
      <c r="H33" s="547" t="s">
        <v>2667</v>
      </c>
      <c r="I33" s="547" t="s">
        <v>3542</v>
      </c>
      <c r="L33" s="89"/>
      <c r="M33" s="89"/>
      <c r="N33" s="223" t="s">
        <v>11807</v>
      </c>
      <c r="O33" s="89"/>
      <c r="P33" s="89"/>
      <c r="Q33" s="89"/>
      <c r="R33" s="89"/>
      <c r="S33" s="89"/>
    </row>
    <row r="34">
      <c r="A34" s="14" t="s">
        <v>44</v>
      </c>
      <c r="B34" s="696">
        <v>31.0</v>
      </c>
      <c r="C34" s="697" t="s">
        <v>3534</v>
      </c>
      <c r="D34" s="697" t="s">
        <v>11857</v>
      </c>
      <c r="E34" s="704" t="s">
        <v>49</v>
      </c>
      <c r="G34" s="547" t="s">
        <v>2184</v>
      </c>
      <c r="H34" s="547" t="s">
        <v>11823</v>
      </c>
      <c r="I34" s="538"/>
      <c r="L34" s="89"/>
      <c r="M34" s="89"/>
      <c r="N34" s="223" t="s">
        <v>11807</v>
      </c>
      <c r="O34" s="89"/>
      <c r="P34" s="89"/>
      <c r="Q34" s="89"/>
      <c r="R34" s="89"/>
      <c r="S34" s="89"/>
    </row>
    <row r="35">
      <c r="A35" s="14" t="s">
        <v>44</v>
      </c>
      <c r="B35" s="696">
        <v>32.0</v>
      </c>
      <c r="C35" s="697" t="s">
        <v>5335</v>
      </c>
      <c r="D35" s="697" t="s">
        <v>11858</v>
      </c>
      <c r="E35" s="698" t="s">
        <v>53</v>
      </c>
      <c r="G35" s="547" t="s">
        <v>11822</v>
      </c>
      <c r="H35" s="547" t="s">
        <v>11833</v>
      </c>
      <c r="I35" s="538"/>
      <c r="L35" s="89"/>
      <c r="M35" s="89"/>
      <c r="N35" s="223" t="s">
        <v>11807</v>
      </c>
      <c r="O35" s="89"/>
      <c r="P35" s="89"/>
      <c r="Q35" s="89"/>
      <c r="R35" s="89"/>
      <c r="S35" s="89"/>
    </row>
    <row r="36">
      <c r="A36" s="14" t="s">
        <v>44</v>
      </c>
      <c r="B36" s="696">
        <v>33.0</v>
      </c>
      <c r="C36" s="697" t="s">
        <v>1237</v>
      </c>
      <c r="D36" s="697" t="s">
        <v>11859</v>
      </c>
      <c r="E36" s="698" t="s">
        <v>53</v>
      </c>
      <c r="G36" s="547" t="s">
        <v>11860</v>
      </c>
      <c r="H36" s="547" t="s">
        <v>11812</v>
      </c>
      <c r="I36" s="538"/>
      <c r="L36" s="89"/>
      <c r="M36" s="89"/>
      <c r="N36" s="223" t="s">
        <v>11807</v>
      </c>
      <c r="O36" s="89"/>
      <c r="P36" s="89"/>
      <c r="Q36" s="89"/>
      <c r="R36" s="89"/>
      <c r="S36" s="89"/>
    </row>
    <row r="37">
      <c r="A37" s="14" t="s">
        <v>44</v>
      </c>
      <c r="B37" s="696">
        <v>34.0</v>
      </c>
      <c r="C37" s="697" t="s">
        <v>2490</v>
      </c>
      <c r="D37" s="697" t="s">
        <v>11861</v>
      </c>
      <c r="E37" s="698" t="s">
        <v>53</v>
      </c>
      <c r="G37" s="547" t="s">
        <v>11862</v>
      </c>
      <c r="H37" s="547" t="s">
        <v>11833</v>
      </c>
      <c r="I37" s="538"/>
      <c r="L37" s="89"/>
      <c r="M37" s="89"/>
      <c r="N37" s="223" t="s">
        <v>11807</v>
      </c>
      <c r="O37" s="89"/>
      <c r="P37" s="89"/>
      <c r="Q37" s="89"/>
      <c r="R37" s="89"/>
      <c r="S37" s="89"/>
    </row>
    <row r="38">
      <c r="A38" s="14" t="s">
        <v>44</v>
      </c>
      <c r="B38" s="696">
        <v>35.0</v>
      </c>
      <c r="C38" s="697" t="s">
        <v>325</v>
      </c>
      <c r="D38" s="697" t="s">
        <v>11865</v>
      </c>
      <c r="E38" s="698" t="s">
        <v>53</v>
      </c>
      <c r="G38" s="547" t="s">
        <v>2184</v>
      </c>
      <c r="H38" s="547" t="s">
        <v>11833</v>
      </c>
      <c r="I38" s="538"/>
      <c r="L38" s="89"/>
      <c r="M38" s="89"/>
      <c r="N38" s="223" t="s">
        <v>11807</v>
      </c>
      <c r="O38" s="89"/>
      <c r="P38" s="89"/>
      <c r="Q38" s="89"/>
      <c r="R38" s="89"/>
      <c r="S38" s="89"/>
    </row>
    <row r="39">
      <c r="A39" s="14" t="s">
        <v>44</v>
      </c>
      <c r="B39" s="696">
        <v>36.0</v>
      </c>
      <c r="C39" s="697" t="s">
        <v>11867</v>
      </c>
      <c r="D39" s="697" t="s">
        <v>6056</v>
      </c>
      <c r="E39" s="698" t="s">
        <v>53</v>
      </c>
      <c r="G39" s="547" t="s">
        <v>11868</v>
      </c>
      <c r="H39" s="538"/>
      <c r="I39" s="538"/>
      <c r="L39" s="89"/>
      <c r="M39" s="89"/>
      <c r="N39" s="223" t="s">
        <v>11807</v>
      </c>
      <c r="O39" s="89"/>
      <c r="P39" s="89"/>
      <c r="Q39" s="89"/>
      <c r="R39" s="89"/>
      <c r="S39" s="89"/>
    </row>
    <row r="40">
      <c r="A40" s="14" t="s">
        <v>44</v>
      </c>
      <c r="B40" s="696">
        <v>37.0</v>
      </c>
      <c r="C40" s="697" t="s">
        <v>1897</v>
      </c>
      <c r="D40" s="697" t="s">
        <v>4836</v>
      </c>
      <c r="E40" s="698" t="s">
        <v>53</v>
      </c>
      <c r="G40" s="547" t="s">
        <v>11821</v>
      </c>
      <c r="H40" s="547" t="s">
        <v>11833</v>
      </c>
      <c r="I40" s="538"/>
      <c r="L40" s="89"/>
      <c r="M40" s="89"/>
      <c r="N40" s="223" t="s">
        <v>11807</v>
      </c>
      <c r="O40" s="89"/>
      <c r="P40" s="89"/>
      <c r="Q40" s="89"/>
      <c r="R40" s="89"/>
      <c r="S40" s="89"/>
    </row>
    <row r="41">
      <c r="A41" s="14" t="s">
        <v>44</v>
      </c>
      <c r="B41" s="696">
        <v>38.0</v>
      </c>
      <c r="C41" s="699" t="s">
        <v>11869</v>
      </c>
      <c r="D41" s="700" t="s">
        <v>11870</v>
      </c>
      <c r="E41" s="698" t="s">
        <v>53</v>
      </c>
      <c r="G41" s="547" t="s">
        <v>2184</v>
      </c>
      <c r="H41" s="538"/>
      <c r="I41" s="538"/>
      <c r="L41" s="89"/>
      <c r="M41" s="89"/>
      <c r="N41" s="223" t="s">
        <v>11807</v>
      </c>
      <c r="O41" s="89"/>
      <c r="P41" s="89"/>
      <c r="Q41" s="89"/>
      <c r="R41" s="89"/>
      <c r="S41" s="89"/>
    </row>
    <row r="42">
      <c r="A42" s="14" t="s">
        <v>44</v>
      </c>
      <c r="B42" s="696">
        <v>39.0</v>
      </c>
      <c r="C42" s="697" t="s">
        <v>11872</v>
      </c>
      <c r="D42" s="697" t="s">
        <v>8857</v>
      </c>
      <c r="E42" s="698" t="s">
        <v>53</v>
      </c>
      <c r="G42" s="547" t="s">
        <v>2184</v>
      </c>
      <c r="H42" s="547" t="s">
        <v>780</v>
      </c>
      <c r="I42" s="538"/>
      <c r="L42" s="89"/>
      <c r="M42" s="89"/>
      <c r="N42" s="223" t="s">
        <v>11807</v>
      </c>
      <c r="O42" s="89"/>
      <c r="P42" s="89"/>
      <c r="Q42" s="89"/>
      <c r="R42" s="89"/>
      <c r="S42" s="89"/>
    </row>
    <row r="43">
      <c r="A43" s="14" t="s">
        <v>44</v>
      </c>
      <c r="B43" s="696">
        <v>40.0</v>
      </c>
      <c r="C43" s="697" t="s">
        <v>1112</v>
      </c>
      <c r="D43" s="697" t="s">
        <v>456</v>
      </c>
      <c r="E43" s="698" t="s">
        <v>53</v>
      </c>
      <c r="G43" s="547" t="s">
        <v>2184</v>
      </c>
      <c r="H43" s="547" t="s">
        <v>11823</v>
      </c>
      <c r="I43" s="538"/>
      <c r="L43" s="89"/>
      <c r="M43" s="89"/>
      <c r="N43" s="223" t="s">
        <v>11807</v>
      </c>
      <c r="O43" s="89"/>
      <c r="P43" s="89"/>
      <c r="Q43" s="89"/>
      <c r="R43" s="89"/>
      <c r="S43" s="89"/>
    </row>
    <row r="44">
      <c r="A44" s="14" t="s">
        <v>44</v>
      </c>
      <c r="B44" s="696">
        <v>41.0</v>
      </c>
      <c r="C44" s="697" t="s">
        <v>5040</v>
      </c>
      <c r="D44" s="697" t="s">
        <v>5349</v>
      </c>
      <c r="E44" s="704" t="s">
        <v>49</v>
      </c>
      <c r="G44" s="547" t="s">
        <v>11822</v>
      </c>
      <c r="H44" s="538"/>
      <c r="I44" s="538"/>
      <c r="L44" s="89"/>
      <c r="M44" s="89"/>
      <c r="N44" s="223" t="s">
        <v>11807</v>
      </c>
      <c r="O44" s="89"/>
      <c r="P44" s="89"/>
      <c r="Q44" s="89"/>
      <c r="R44" s="89"/>
      <c r="S44" s="89"/>
    </row>
    <row r="45">
      <c r="A45" s="14" t="s">
        <v>44</v>
      </c>
      <c r="B45" s="696">
        <v>42.0</v>
      </c>
      <c r="C45" s="697" t="s">
        <v>1146</v>
      </c>
      <c r="D45" s="697" t="s">
        <v>11873</v>
      </c>
      <c r="E45" s="704" t="s">
        <v>49</v>
      </c>
      <c r="G45" s="547" t="s">
        <v>11874</v>
      </c>
      <c r="H45" s="547" t="s">
        <v>11822</v>
      </c>
      <c r="I45" s="538"/>
      <c r="L45" s="89"/>
      <c r="M45" s="89"/>
      <c r="N45" s="223" t="s">
        <v>11807</v>
      </c>
      <c r="O45" s="89"/>
      <c r="P45" s="89"/>
      <c r="Q45" s="89"/>
      <c r="R45" s="89"/>
      <c r="S45" s="89"/>
    </row>
    <row r="46">
      <c r="A46" s="14" t="s">
        <v>44</v>
      </c>
      <c r="B46" s="696">
        <v>43.0</v>
      </c>
      <c r="C46" s="697" t="s">
        <v>412</v>
      </c>
      <c r="D46" s="697" t="s">
        <v>4351</v>
      </c>
      <c r="E46" s="698" t="s">
        <v>53</v>
      </c>
      <c r="G46" s="547" t="s">
        <v>2184</v>
      </c>
      <c r="H46" s="538"/>
      <c r="I46" s="538"/>
      <c r="L46" s="89"/>
      <c r="M46" s="89"/>
      <c r="N46" s="223" t="s">
        <v>11807</v>
      </c>
      <c r="O46" s="89"/>
      <c r="P46" s="89"/>
      <c r="Q46" s="89"/>
      <c r="R46" s="89"/>
      <c r="S46" s="89"/>
    </row>
    <row r="47">
      <c r="A47" s="14" t="s">
        <v>44</v>
      </c>
      <c r="B47" s="696">
        <v>44.0</v>
      </c>
      <c r="C47" s="699" t="s">
        <v>11875</v>
      </c>
      <c r="D47" s="700" t="s">
        <v>11879</v>
      </c>
      <c r="E47" s="704" t="s">
        <v>49</v>
      </c>
      <c r="G47" s="547" t="s">
        <v>11880</v>
      </c>
      <c r="H47" s="547" t="s">
        <v>11812</v>
      </c>
      <c r="I47" s="538"/>
      <c r="L47" s="89"/>
      <c r="M47" s="89"/>
      <c r="N47" s="223" t="s">
        <v>11807</v>
      </c>
      <c r="O47" s="89"/>
      <c r="P47" s="89"/>
      <c r="Q47" s="89"/>
      <c r="R47" s="89"/>
      <c r="S47" s="89"/>
    </row>
    <row r="48">
      <c r="A48" s="14" t="s">
        <v>44</v>
      </c>
      <c r="B48" s="696">
        <v>45.0</v>
      </c>
      <c r="C48" s="697" t="s">
        <v>2500</v>
      </c>
      <c r="D48" s="697" t="s">
        <v>3038</v>
      </c>
      <c r="E48" s="698" t="s">
        <v>53</v>
      </c>
      <c r="G48" s="547" t="s">
        <v>781</v>
      </c>
      <c r="H48" s="547" t="s">
        <v>11817</v>
      </c>
      <c r="I48" s="547" t="s">
        <v>11881</v>
      </c>
      <c r="L48" s="89"/>
      <c r="M48" s="89"/>
      <c r="N48" s="223" t="s">
        <v>11807</v>
      </c>
      <c r="O48" s="89"/>
      <c r="P48" s="89"/>
      <c r="Q48" s="89"/>
      <c r="R48" s="89"/>
      <c r="S48" s="89"/>
    </row>
    <row r="49">
      <c r="A49" s="14" t="s">
        <v>44</v>
      </c>
      <c r="B49" s="696">
        <v>46.0</v>
      </c>
      <c r="C49" s="697" t="s">
        <v>199</v>
      </c>
      <c r="D49" s="697" t="s">
        <v>11882</v>
      </c>
      <c r="E49" s="698" t="s">
        <v>53</v>
      </c>
      <c r="F49" s="14" t="s">
        <v>176</v>
      </c>
      <c r="G49" s="547" t="s">
        <v>11883</v>
      </c>
      <c r="H49" s="538"/>
      <c r="I49" s="538"/>
      <c r="L49" s="89"/>
      <c r="M49" s="89"/>
      <c r="N49" s="223" t="s">
        <v>11807</v>
      </c>
      <c r="O49" s="89"/>
      <c r="P49" s="89"/>
      <c r="Q49" s="89"/>
      <c r="R49" s="89"/>
      <c r="S49" s="89"/>
    </row>
    <row r="50">
      <c r="A50" s="14" t="s">
        <v>44</v>
      </c>
      <c r="B50" s="696">
        <v>47.0</v>
      </c>
      <c r="C50" s="699" t="s">
        <v>317</v>
      </c>
      <c r="D50" s="700" t="s">
        <v>6013</v>
      </c>
      <c r="E50" s="698" t="s">
        <v>53</v>
      </c>
      <c r="F50" s="14" t="s">
        <v>751</v>
      </c>
      <c r="G50" s="538"/>
      <c r="H50" s="538"/>
      <c r="I50" s="538"/>
      <c r="L50" s="89"/>
      <c r="M50" s="89"/>
      <c r="N50" s="223" t="s">
        <v>11807</v>
      </c>
      <c r="O50" s="89"/>
      <c r="P50" s="89"/>
      <c r="Q50" s="89"/>
      <c r="R50" s="89"/>
      <c r="S50" s="89"/>
    </row>
    <row r="51">
      <c r="A51" s="14" t="s">
        <v>44</v>
      </c>
      <c r="B51" s="696">
        <v>48.0</v>
      </c>
      <c r="C51" s="697" t="s">
        <v>1193</v>
      </c>
      <c r="D51" s="697" t="s">
        <v>2976</v>
      </c>
      <c r="E51" s="698" t="s">
        <v>53</v>
      </c>
      <c r="G51" s="547" t="s">
        <v>2184</v>
      </c>
      <c r="H51" s="547" t="s">
        <v>11887</v>
      </c>
      <c r="I51" s="538"/>
      <c r="L51" s="89"/>
      <c r="M51" s="89"/>
      <c r="N51" s="223" t="s">
        <v>11807</v>
      </c>
      <c r="O51" s="89"/>
      <c r="P51" s="89"/>
      <c r="Q51" s="89"/>
      <c r="R51" s="89"/>
      <c r="S51" s="89"/>
    </row>
    <row r="52">
      <c r="A52" s="14" t="s">
        <v>44</v>
      </c>
      <c r="B52" s="696">
        <v>49.0</v>
      </c>
      <c r="C52" s="699" t="s">
        <v>278</v>
      </c>
      <c r="D52" s="700" t="s">
        <v>5219</v>
      </c>
      <c r="E52" s="704" t="s">
        <v>49</v>
      </c>
      <c r="G52" s="547" t="s">
        <v>2667</v>
      </c>
      <c r="H52" s="547" t="s">
        <v>781</v>
      </c>
      <c r="I52" s="538"/>
      <c r="L52" s="89"/>
      <c r="M52" s="89"/>
      <c r="N52" s="223" t="s">
        <v>11807</v>
      </c>
      <c r="O52" s="89"/>
      <c r="P52" s="89"/>
      <c r="Q52" s="89"/>
      <c r="R52" s="89"/>
      <c r="S52" s="89"/>
    </row>
    <row r="53">
      <c r="A53" s="14" t="s">
        <v>44</v>
      </c>
      <c r="B53" s="696">
        <v>50.0</v>
      </c>
      <c r="C53" s="697" t="s">
        <v>689</v>
      </c>
      <c r="D53" s="697" t="s">
        <v>474</v>
      </c>
      <c r="E53" s="704" t="s">
        <v>49</v>
      </c>
      <c r="G53" s="547" t="s">
        <v>781</v>
      </c>
      <c r="H53" s="547" t="s">
        <v>780</v>
      </c>
      <c r="I53" s="538"/>
      <c r="L53" s="89"/>
      <c r="M53" s="89"/>
      <c r="N53" s="223" t="s">
        <v>11807</v>
      </c>
      <c r="O53" s="89"/>
      <c r="P53" s="89"/>
      <c r="Q53" s="89"/>
      <c r="R53" s="89"/>
      <c r="S53" s="89"/>
    </row>
    <row r="54">
      <c r="A54" s="14" t="s">
        <v>44</v>
      </c>
      <c r="B54" s="696">
        <v>51.0</v>
      </c>
      <c r="C54" s="700" t="s">
        <v>108</v>
      </c>
      <c r="D54" s="700" t="s">
        <v>11894</v>
      </c>
      <c r="E54" s="704" t="s">
        <v>49</v>
      </c>
      <c r="G54" s="547" t="s">
        <v>11895</v>
      </c>
      <c r="H54" s="547" t="s">
        <v>3542</v>
      </c>
      <c r="I54" s="538"/>
      <c r="L54" s="89"/>
      <c r="M54" s="89"/>
      <c r="N54" s="223" t="s">
        <v>11807</v>
      </c>
      <c r="O54" s="89"/>
      <c r="P54" s="89"/>
      <c r="Q54" s="89"/>
      <c r="R54" s="89"/>
      <c r="S54" s="89"/>
    </row>
    <row r="55">
      <c r="A55" s="14" t="s">
        <v>44</v>
      </c>
      <c r="B55" s="696">
        <v>52.0</v>
      </c>
      <c r="C55" s="699" t="s">
        <v>1213</v>
      </c>
      <c r="D55" s="700" t="s">
        <v>11899</v>
      </c>
      <c r="E55" s="704" t="s">
        <v>49</v>
      </c>
      <c r="G55" s="547" t="s">
        <v>781</v>
      </c>
      <c r="H55" s="547" t="s">
        <v>11900</v>
      </c>
      <c r="I55" s="538"/>
      <c r="L55" s="89"/>
      <c r="M55" s="89"/>
      <c r="N55" s="223" t="s">
        <v>11807</v>
      </c>
      <c r="O55" s="89"/>
      <c r="P55" s="89"/>
      <c r="Q55" s="89"/>
      <c r="R55" s="89"/>
      <c r="S55" s="89"/>
    </row>
    <row r="56">
      <c r="A56" s="14" t="s">
        <v>44</v>
      </c>
      <c r="B56" s="696">
        <v>53.0</v>
      </c>
      <c r="C56" s="699" t="s">
        <v>11901</v>
      </c>
      <c r="D56" s="700" t="s">
        <v>11903</v>
      </c>
      <c r="E56" s="698" t="s">
        <v>53</v>
      </c>
      <c r="G56" s="547" t="s">
        <v>11821</v>
      </c>
      <c r="H56" s="547" t="s">
        <v>11905</v>
      </c>
      <c r="I56" s="538"/>
      <c r="L56" s="89"/>
      <c r="M56" s="89"/>
      <c r="N56" s="223" t="s">
        <v>11807</v>
      </c>
      <c r="O56" s="89"/>
      <c r="P56" s="89"/>
      <c r="Q56" s="89"/>
      <c r="R56" s="89"/>
      <c r="S56" s="89"/>
    </row>
    <row r="57">
      <c r="A57" s="14" t="s">
        <v>44</v>
      </c>
      <c r="B57" s="696">
        <v>54.0</v>
      </c>
      <c r="C57" s="699" t="s">
        <v>2249</v>
      </c>
      <c r="D57" s="700" t="s">
        <v>11907</v>
      </c>
      <c r="E57" s="704" t="s">
        <v>49</v>
      </c>
      <c r="G57" s="547" t="s">
        <v>781</v>
      </c>
      <c r="H57" s="547" t="s">
        <v>11812</v>
      </c>
      <c r="I57" s="538"/>
      <c r="L57" s="89"/>
      <c r="M57" s="89"/>
      <c r="N57" s="223" t="s">
        <v>11807</v>
      </c>
      <c r="O57" s="89"/>
      <c r="P57" s="89"/>
      <c r="Q57" s="89"/>
      <c r="R57" s="89"/>
      <c r="S57" s="89"/>
    </row>
    <row r="58">
      <c r="A58" s="14" t="s">
        <v>44</v>
      </c>
      <c r="B58" s="696">
        <v>55.0</v>
      </c>
      <c r="C58" s="697" t="s">
        <v>2300</v>
      </c>
      <c r="D58" s="697" t="s">
        <v>2568</v>
      </c>
      <c r="E58" s="704" t="s">
        <v>49</v>
      </c>
      <c r="G58" s="547" t="s">
        <v>780</v>
      </c>
      <c r="H58" s="547" t="s">
        <v>3542</v>
      </c>
      <c r="I58" s="538"/>
      <c r="L58" s="89"/>
      <c r="M58" s="89"/>
      <c r="N58" s="223" t="s">
        <v>11807</v>
      </c>
      <c r="O58" s="89"/>
      <c r="P58" s="89"/>
      <c r="Q58" s="89"/>
      <c r="R58" s="89"/>
      <c r="S58" s="89"/>
    </row>
    <row r="59">
      <c r="A59" s="14" t="s">
        <v>44</v>
      </c>
      <c r="B59" s="696">
        <v>56.0</v>
      </c>
      <c r="C59" s="697" t="s">
        <v>225</v>
      </c>
      <c r="D59" s="697" t="s">
        <v>11910</v>
      </c>
      <c r="E59" s="698" t="s">
        <v>53</v>
      </c>
      <c r="G59" s="547" t="s">
        <v>11821</v>
      </c>
      <c r="H59" s="547" t="s">
        <v>11833</v>
      </c>
      <c r="I59" s="538"/>
      <c r="L59" s="89"/>
      <c r="M59" s="89"/>
      <c r="N59" s="223" t="s">
        <v>11807</v>
      </c>
      <c r="O59" s="89"/>
      <c r="P59" s="89"/>
      <c r="Q59" s="89"/>
      <c r="R59" s="89"/>
      <c r="S59" s="89"/>
    </row>
    <row r="60">
      <c r="A60" s="14" t="s">
        <v>44</v>
      </c>
      <c r="B60" s="696">
        <v>57.0</v>
      </c>
      <c r="C60" s="697" t="s">
        <v>1000</v>
      </c>
      <c r="D60" s="697" t="s">
        <v>9626</v>
      </c>
      <c r="E60" s="704" t="s">
        <v>49</v>
      </c>
      <c r="G60" s="547" t="s">
        <v>2184</v>
      </c>
      <c r="H60" s="547" t="s">
        <v>780</v>
      </c>
      <c r="I60" s="538"/>
      <c r="L60" s="89"/>
      <c r="M60" s="89"/>
      <c r="N60" s="223" t="s">
        <v>11807</v>
      </c>
      <c r="O60" s="89"/>
      <c r="P60" s="89"/>
      <c r="Q60" s="89"/>
      <c r="R60" s="89"/>
      <c r="S60" s="89"/>
    </row>
    <row r="61">
      <c r="A61" s="14" t="s">
        <v>44</v>
      </c>
      <c r="B61" s="696">
        <v>58.0</v>
      </c>
      <c r="C61" s="697" t="s">
        <v>2512</v>
      </c>
      <c r="D61" s="697" t="s">
        <v>118</v>
      </c>
      <c r="E61" s="698" t="s">
        <v>53</v>
      </c>
      <c r="G61" s="547" t="s">
        <v>781</v>
      </c>
      <c r="H61" s="547" t="s">
        <v>11812</v>
      </c>
      <c r="I61" s="538"/>
      <c r="L61" s="89"/>
      <c r="M61" s="89"/>
      <c r="N61" s="223" t="s">
        <v>11807</v>
      </c>
      <c r="O61" s="89"/>
      <c r="P61" s="89"/>
      <c r="Q61" s="89"/>
      <c r="R61" s="89"/>
      <c r="S61" s="89"/>
    </row>
    <row r="62">
      <c r="A62" s="14" t="s">
        <v>44</v>
      </c>
      <c r="B62" s="696">
        <v>59.0</v>
      </c>
      <c r="C62" s="697" t="s">
        <v>1990</v>
      </c>
      <c r="D62" s="697" t="s">
        <v>505</v>
      </c>
      <c r="E62" s="704" t="s">
        <v>49</v>
      </c>
      <c r="G62" s="547" t="s">
        <v>11821</v>
      </c>
      <c r="H62" s="547" t="s">
        <v>11833</v>
      </c>
      <c r="I62" s="538"/>
      <c r="L62" s="89"/>
      <c r="M62" s="89"/>
      <c r="N62" s="223" t="s">
        <v>11807</v>
      </c>
      <c r="O62" s="89"/>
      <c r="P62" s="89"/>
      <c r="Q62" s="89"/>
      <c r="R62" s="89"/>
      <c r="S62" s="89"/>
    </row>
    <row r="63">
      <c r="A63" s="14" t="s">
        <v>44</v>
      </c>
      <c r="B63" s="696">
        <v>60.0</v>
      </c>
      <c r="C63" s="697" t="s">
        <v>50</v>
      </c>
      <c r="D63" s="697" t="s">
        <v>9285</v>
      </c>
      <c r="E63" s="698" t="s">
        <v>53</v>
      </c>
      <c r="G63" s="547" t="s">
        <v>3542</v>
      </c>
      <c r="H63" s="538"/>
      <c r="I63" s="538"/>
      <c r="L63" s="89"/>
      <c r="M63" s="89"/>
      <c r="N63" s="223" t="s">
        <v>11807</v>
      </c>
      <c r="O63" s="89"/>
      <c r="P63" s="89"/>
      <c r="Q63" s="89"/>
      <c r="R63" s="89"/>
      <c r="S63" s="89"/>
    </row>
    <row r="64">
      <c r="A64" s="14" t="s">
        <v>44</v>
      </c>
      <c r="B64" s="696">
        <v>61.0</v>
      </c>
      <c r="C64" s="697" t="s">
        <v>1040</v>
      </c>
      <c r="D64" s="697" t="s">
        <v>3760</v>
      </c>
      <c r="E64" s="704" t="s">
        <v>49</v>
      </c>
      <c r="G64" s="547" t="s">
        <v>2184</v>
      </c>
      <c r="H64" s="538"/>
      <c r="I64" s="538"/>
      <c r="L64" s="89"/>
      <c r="M64" s="89"/>
      <c r="N64" s="223" t="s">
        <v>11807</v>
      </c>
      <c r="O64" s="89"/>
      <c r="P64" s="89"/>
      <c r="Q64" s="89"/>
      <c r="R64" s="89"/>
      <c r="S64" s="89"/>
    </row>
    <row r="65">
      <c r="A65" s="14" t="s">
        <v>44</v>
      </c>
      <c r="B65" s="696">
        <v>62.0</v>
      </c>
      <c r="C65" s="697" t="s">
        <v>1134</v>
      </c>
      <c r="D65" s="697" t="s">
        <v>793</v>
      </c>
      <c r="E65" s="704" t="s">
        <v>49</v>
      </c>
      <c r="G65" s="547" t="s">
        <v>2184</v>
      </c>
      <c r="H65" s="547" t="s">
        <v>11822</v>
      </c>
      <c r="L65" s="89"/>
      <c r="M65" s="89"/>
      <c r="N65" s="223" t="s">
        <v>11807</v>
      </c>
      <c r="O65" s="89"/>
      <c r="P65" s="89"/>
      <c r="Q65" s="89"/>
      <c r="R65" s="89"/>
      <c r="S65" s="89"/>
    </row>
    <row r="66">
      <c r="A66" s="14" t="s">
        <v>44</v>
      </c>
      <c r="B66" s="696">
        <v>63.0</v>
      </c>
      <c r="C66" s="697" t="s">
        <v>2214</v>
      </c>
      <c r="D66" s="697" t="s">
        <v>1581</v>
      </c>
      <c r="E66" s="698" t="s">
        <v>53</v>
      </c>
      <c r="G66" s="547" t="s">
        <v>2667</v>
      </c>
      <c r="H66" s="547" t="s">
        <v>781</v>
      </c>
      <c r="I66" s="538"/>
      <c r="L66" s="89"/>
      <c r="M66" s="89"/>
      <c r="N66" s="223" t="s">
        <v>11807</v>
      </c>
      <c r="O66" s="89"/>
      <c r="P66" s="89"/>
      <c r="Q66" s="89"/>
      <c r="R66" s="89"/>
      <c r="S66" s="89"/>
    </row>
    <row r="67">
      <c r="A67" s="14" t="s">
        <v>44</v>
      </c>
      <c r="B67" s="696">
        <v>64.0</v>
      </c>
      <c r="C67" s="697" t="s">
        <v>1134</v>
      </c>
      <c r="D67" s="697" t="s">
        <v>11914</v>
      </c>
      <c r="E67" s="704" t="s">
        <v>49</v>
      </c>
      <c r="G67" s="547" t="s">
        <v>11812</v>
      </c>
      <c r="H67" s="547" t="s">
        <v>11822</v>
      </c>
      <c r="I67" s="538"/>
      <c r="L67" s="89"/>
      <c r="M67" s="89"/>
      <c r="N67" s="223" t="s">
        <v>11807</v>
      </c>
      <c r="O67" s="89"/>
      <c r="P67" s="89"/>
      <c r="Q67" s="89"/>
      <c r="R67" s="89"/>
      <c r="S67" s="89"/>
    </row>
    <row r="68">
      <c r="A68" s="14" t="s">
        <v>44</v>
      </c>
      <c r="B68" s="696">
        <v>65.0</v>
      </c>
      <c r="C68" s="697" t="s">
        <v>930</v>
      </c>
      <c r="D68" s="697" t="s">
        <v>4549</v>
      </c>
      <c r="E68" s="698" t="s">
        <v>53</v>
      </c>
      <c r="F68" s="14" t="s">
        <v>1056</v>
      </c>
      <c r="G68" s="538"/>
      <c r="H68" s="538"/>
      <c r="I68" s="538"/>
      <c r="L68" s="89"/>
      <c r="M68" s="89"/>
      <c r="N68" s="223" t="s">
        <v>11807</v>
      </c>
      <c r="O68" s="89"/>
      <c r="P68" s="89"/>
      <c r="Q68" s="89"/>
      <c r="R68" s="89"/>
      <c r="S68" s="89"/>
    </row>
    <row r="69">
      <c r="A69" s="14" t="s">
        <v>44</v>
      </c>
      <c r="B69" s="696">
        <v>66.0</v>
      </c>
      <c r="C69" s="699" t="s">
        <v>11917</v>
      </c>
      <c r="D69" s="700" t="s">
        <v>11918</v>
      </c>
      <c r="E69" s="704" t="s">
        <v>49</v>
      </c>
      <c r="G69" s="547" t="s">
        <v>11919</v>
      </c>
      <c r="H69" s="538"/>
      <c r="I69" s="538"/>
      <c r="L69" s="89"/>
      <c r="M69" s="89"/>
      <c r="N69" s="223" t="s">
        <v>11807</v>
      </c>
      <c r="O69" s="89"/>
      <c r="P69" s="89"/>
      <c r="Q69" s="89"/>
      <c r="R69" s="89"/>
      <c r="S69" s="89"/>
    </row>
    <row r="70">
      <c r="A70" s="14" t="s">
        <v>44</v>
      </c>
      <c r="B70" s="696">
        <v>67.0</v>
      </c>
      <c r="C70" s="697" t="s">
        <v>98</v>
      </c>
      <c r="D70" s="697" t="s">
        <v>1451</v>
      </c>
      <c r="E70" s="698" t="s">
        <v>53</v>
      </c>
      <c r="G70" s="547" t="s">
        <v>11848</v>
      </c>
      <c r="H70" s="547" t="s">
        <v>11849</v>
      </c>
      <c r="I70" s="547" t="s">
        <v>11850</v>
      </c>
      <c r="L70" s="89"/>
      <c r="M70" s="89"/>
      <c r="N70" s="223" t="s">
        <v>11807</v>
      </c>
      <c r="O70" s="89"/>
      <c r="P70" s="89"/>
      <c r="Q70" s="89"/>
      <c r="R70" s="89"/>
      <c r="S70" s="89"/>
    </row>
    <row r="71">
      <c r="A71" s="14" t="s">
        <v>44</v>
      </c>
      <c r="B71" s="696">
        <v>68.0</v>
      </c>
      <c r="C71" s="697" t="s">
        <v>1255</v>
      </c>
      <c r="D71" s="697" t="s">
        <v>103</v>
      </c>
      <c r="E71" s="698" t="s">
        <v>53</v>
      </c>
      <c r="G71" s="547" t="s">
        <v>2667</v>
      </c>
      <c r="H71" s="547" t="s">
        <v>3542</v>
      </c>
      <c r="I71" s="538"/>
      <c r="L71" s="89"/>
      <c r="M71" s="89"/>
      <c r="N71" s="223" t="s">
        <v>11807</v>
      </c>
      <c r="O71" s="89"/>
      <c r="P71" s="89"/>
      <c r="Q71" s="89"/>
      <c r="R71" s="89"/>
      <c r="S71" s="89"/>
    </row>
    <row r="72">
      <c r="A72" s="14" t="s">
        <v>44</v>
      </c>
      <c r="B72" s="696">
        <v>69.0</v>
      </c>
      <c r="C72" s="697" t="s">
        <v>173</v>
      </c>
      <c r="D72" s="697" t="s">
        <v>1338</v>
      </c>
      <c r="E72" s="698" t="s">
        <v>53</v>
      </c>
      <c r="G72" s="547" t="s">
        <v>11821</v>
      </c>
      <c r="H72" s="547" t="s">
        <v>11812</v>
      </c>
      <c r="I72" s="538"/>
      <c r="L72" s="89"/>
      <c r="M72" s="89"/>
      <c r="N72" s="223" t="s">
        <v>11807</v>
      </c>
      <c r="O72" s="89"/>
      <c r="P72" s="89"/>
      <c r="Q72" s="89"/>
      <c r="R72" s="89"/>
      <c r="S72" s="89"/>
    </row>
    <row r="73">
      <c r="A73" s="14" t="s">
        <v>44</v>
      </c>
      <c r="B73" s="696">
        <v>70.0</v>
      </c>
      <c r="C73" s="697" t="s">
        <v>1725</v>
      </c>
      <c r="D73" s="697" t="s">
        <v>11921</v>
      </c>
      <c r="E73" s="704" t="s">
        <v>49</v>
      </c>
      <c r="G73" s="547" t="s">
        <v>11821</v>
      </c>
      <c r="H73" s="538"/>
      <c r="I73" s="538"/>
      <c r="L73" s="89"/>
      <c r="M73" s="89"/>
      <c r="N73" s="223" t="s">
        <v>11807</v>
      </c>
      <c r="O73" s="89"/>
      <c r="P73" s="89"/>
      <c r="Q73" s="89"/>
      <c r="R73" s="89"/>
      <c r="S73" s="89"/>
    </row>
    <row r="74">
      <c r="A74" s="14" t="s">
        <v>44</v>
      </c>
      <c r="B74" s="696">
        <v>71.0</v>
      </c>
      <c r="C74" s="699" t="s">
        <v>6305</v>
      </c>
      <c r="D74" s="700" t="s">
        <v>11926</v>
      </c>
      <c r="E74" s="698" t="s">
        <v>53</v>
      </c>
      <c r="G74" s="547" t="s">
        <v>3542</v>
      </c>
      <c r="H74" s="538"/>
      <c r="I74" s="538"/>
      <c r="L74" s="89"/>
      <c r="M74" s="89"/>
      <c r="N74" s="223" t="s">
        <v>11807</v>
      </c>
      <c r="O74" s="89"/>
      <c r="P74" s="89"/>
      <c r="Q74" s="89"/>
      <c r="R74" s="89"/>
      <c r="S74" s="89"/>
    </row>
    <row r="75">
      <c r="A75" s="14" t="s">
        <v>44</v>
      </c>
      <c r="B75" s="696">
        <v>72.0</v>
      </c>
      <c r="C75" s="699" t="s">
        <v>930</v>
      </c>
      <c r="D75" s="700" t="s">
        <v>1451</v>
      </c>
      <c r="E75" s="704" t="s">
        <v>49</v>
      </c>
      <c r="G75" s="547" t="s">
        <v>11848</v>
      </c>
      <c r="H75" s="547" t="s">
        <v>11849</v>
      </c>
      <c r="I75" s="547" t="s">
        <v>11850</v>
      </c>
      <c r="L75" s="89"/>
      <c r="M75" s="89"/>
      <c r="N75" s="223" t="s">
        <v>11807</v>
      </c>
      <c r="O75" s="89"/>
      <c r="P75" s="89"/>
      <c r="Q75" s="89"/>
      <c r="R75" s="89"/>
      <c r="S75" s="89"/>
    </row>
    <row r="76">
      <c r="A76" s="14" t="s">
        <v>44</v>
      </c>
      <c r="B76" s="696">
        <v>73.0</v>
      </c>
      <c r="C76" s="699" t="s">
        <v>575</v>
      </c>
      <c r="D76" s="700" t="s">
        <v>3023</v>
      </c>
      <c r="E76" s="704" t="s">
        <v>49</v>
      </c>
      <c r="G76" s="547" t="s">
        <v>11822</v>
      </c>
      <c r="H76" s="538"/>
      <c r="I76" s="538"/>
      <c r="L76" s="89"/>
      <c r="M76" s="89"/>
      <c r="N76" s="223" t="s">
        <v>11807</v>
      </c>
      <c r="O76" s="89"/>
      <c r="P76" s="89"/>
      <c r="Q76" s="89"/>
      <c r="R76" s="89"/>
      <c r="S76" s="89"/>
    </row>
    <row r="77">
      <c r="A77" s="14" t="s">
        <v>44</v>
      </c>
      <c r="B77" s="696">
        <v>74.0</v>
      </c>
      <c r="C77" s="700" t="s">
        <v>1974</v>
      </c>
      <c r="D77" s="700" t="s">
        <v>3372</v>
      </c>
      <c r="E77" s="704" t="s">
        <v>49</v>
      </c>
      <c r="F77" s="14" t="s">
        <v>498</v>
      </c>
      <c r="G77" s="547" t="s">
        <v>2667</v>
      </c>
      <c r="H77" s="547" t="s">
        <v>3542</v>
      </c>
      <c r="I77" s="538"/>
      <c r="K77" s="395" t="s">
        <v>11930</v>
      </c>
      <c r="L77" s="89"/>
      <c r="M77" s="89"/>
      <c r="N77" s="223" t="s">
        <v>11807</v>
      </c>
      <c r="O77" s="89"/>
      <c r="P77" s="89"/>
      <c r="Q77" s="89"/>
      <c r="R77" s="89"/>
      <c r="S77" s="89"/>
    </row>
    <row r="78">
      <c r="A78" s="14" t="s">
        <v>44</v>
      </c>
      <c r="B78" s="696">
        <v>75.0</v>
      </c>
      <c r="C78" s="699" t="s">
        <v>11931</v>
      </c>
      <c r="D78" s="700" t="s">
        <v>11934</v>
      </c>
      <c r="E78" s="698" t="s">
        <v>53</v>
      </c>
      <c r="G78" s="547" t="s">
        <v>3542</v>
      </c>
      <c r="H78" s="538"/>
      <c r="I78" s="538"/>
      <c r="L78" s="89"/>
      <c r="M78" s="89"/>
      <c r="N78" s="223" t="s">
        <v>11807</v>
      </c>
      <c r="O78" s="89"/>
      <c r="P78" s="89"/>
      <c r="Q78" s="89"/>
      <c r="R78" s="89"/>
      <c r="S78" s="89"/>
    </row>
    <row r="79">
      <c r="A79" s="14" t="s">
        <v>44</v>
      </c>
      <c r="B79" s="696">
        <v>76.0</v>
      </c>
      <c r="C79" s="697" t="s">
        <v>7861</v>
      </c>
      <c r="D79" s="697" t="s">
        <v>297</v>
      </c>
      <c r="E79" s="704" t="s">
        <v>49</v>
      </c>
      <c r="G79" s="547" t="s">
        <v>11935</v>
      </c>
      <c r="H79" s="538"/>
      <c r="I79" s="538"/>
      <c r="L79" s="89"/>
      <c r="M79" s="89"/>
      <c r="N79" s="223" t="s">
        <v>11807</v>
      </c>
      <c r="O79" s="89"/>
      <c r="P79" s="89"/>
      <c r="Q79" s="89"/>
      <c r="R79" s="89"/>
      <c r="S79" s="89"/>
    </row>
    <row r="80">
      <c r="A80" s="14" t="s">
        <v>44</v>
      </c>
      <c r="B80" s="696">
        <v>77.0</v>
      </c>
      <c r="C80" s="697" t="s">
        <v>622</v>
      </c>
      <c r="D80" s="697" t="s">
        <v>11936</v>
      </c>
      <c r="E80" s="704" t="s">
        <v>49</v>
      </c>
      <c r="G80" s="538"/>
      <c r="H80" s="538"/>
      <c r="I80" s="538"/>
      <c r="L80" s="89"/>
      <c r="M80" s="89"/>
      <c r="N80" s="223" t="s">
        <v>11807</v>
      </c>
      <c r="O80" s="89"/>
      <c r="P80" s="89"/>
      <c r="Q80" s="89"/>
      <c r="R80" s="89"/>
      <c r="S80" s="89"/>
    </row>
    <row r="81">
      <c r="A81" s="14" t="s">
        <v>44</v>
      </c>
      <c r="B81" s="696">
        <v>78.0</v>
      </c>
      <c r="C81" s="699" t="s">
        <v>2842</v>
      </c>
      <c r="D81" s="700" t="s">
        <v>11939</v>
      </c>
      <c r="E81" s="704" t="s">
        <v>49</v>
      </c>
      <c r="G81" s="547" t="s">
        <v>2667</v>
      </c>
      <c r="H81" s="547" t="s">
        <v>781</v>
      </c>
      <c r="I81" s="538"/>
      <c r="L81" s="89"/>
      <c r="M81" s="89"/>
      <c r="N81" s="223" t="s">
        <v>11807</v>
      </c>
      <c r="O81" s="89"/>
      <c r="P81" s="89"/>
      <c r="Q81" s="89"/>
      <c r="R81" s="89"/>
      <c r="S81" s="89"/>
    </row>
    <row r="82">
      <c r="A82" s="14" t="s">
        <v>44</v>
      </c>
      <c r="B82" s="696">
        <v>79.0</v>
      </c>
      <c r="C82" s="697" t="s">
        <v>11940</v>
      </c>
      <c r="D82" s="697" t="s">
        <v>11941</v>
      </c>
      <c r="E82" s="704" t="s">
        <v>49</v>
      </c>
      <c r="G82" s="547" t="s">
        <v>11821</v>
      </c>
      <c r="H82" s="538"/>
      <c r="I82" s="538"/>
      <c r="L82" s="89"/>
      <c r="M82" s="89"/>
      <c r="N82" s="223" t="s">
        <v>11807</v>
      </c>
      <c r="O82" s="89"/>
      <c r="P82" s="89"/>
      <c r="Q82" s="89"/>
      <c r="R82" s="89"/>
      <c r="S82" s="89"/>
    </row>
    <row r="83">
      <c r="A83" s="14" t="s">
        <v>44</v>
      </c>
      <c r="B83" s="696">
        <v>80.0</v>
      </c>
      <c r="C83" s="697" t="s">
        <v>455</v>
      </c>
      <c r="D83" s="697" t="s">
        <v>11942</v>
      </c>
      <c r="E83" s="704" t="s">
        <v>49</v>
      </c>
      <c r="G83" s="547" t="s">
        <v>11943</v>
      </c>
      <c r="H83" s="547" t="s">
        <v>3542</v>
      </c>
      <c r="I83" s="538"/>
      <c r="L83" s="89"/>
      <c r="M83" s="89"/>
      <c r="N83" s="223" t="s">
        <v>11807</v>
      </c>
      <c r="O83" s="89"/>
      <c r="P83" s="89"/>
      <c r="Q83" s="89"/>
      <c r="R83" s="89"/>
      <c r="S83" s="89"/>
    </row>
    <row r="84">
      <c r="A84" s="14" t="s">
        <v>44</v>
      </c>
      <c r="B84" s="696">
        <v>81.0</v>
      </c>
      <c r="C84" s="697" t="s">
        <v>1881</v>
      </c>
      <c r="D84" s="697" t="s">
        <v>8389</v>
      </c>
      <c r="E84" s="698" t="s">
        <v>53</v>
      </c>
      <c r="G84" s="547" t="s">
        <v>781</v>
      </c>
      <c r="H84" s="538"/>
      <c r="I84" s="538"/>
      <c r="L84" s="89"/>
      <c r="M84" s="89"/>
      <c r="N84" s="223" t="s">
        <v>11807</v>
      </c>
      <c r="O84" s="89"/>
      <c r="P84" s="89"/>
      <c r="Q84" s="89"/>
      <c r="R84" s="89"/>
      <c r="S84" s="89"/>
    </row>
    <row r="85">
      <c r="A85" s="14" t="s">
        <v>44</v>
      </c>
      <c r="B85" s="696">
        <v>82.0</v>
      </c>
      <c r="C85" s="697" t="s">
        <v>1058</v>
      </c>
      <c r="D85" s="697" t="s">
        <v>11945</v>
      </c>
      <c r="E85" s="704" t="s">
        <v>49</v>
      </c>
      <c r="G85" s="547" t="s">
        <v>3542</v>
      </c>
      <c r="H85" s="538"/>
      <c r="I85" s="538"/>
      <c r="L85" s="89"/>
      <c r="M85" s="89"/>
      <c r="N85" s="223" t="s">
        <v>11807</v>
      </c>
      <c r="O85" s="89"/>
      <c r="P85" s="89"/>
      <c r="Q85" s="89"/>
      <c r="R85" s="89"/>
      <c r="S85" s="89"/>
    </row>
    <row r="86">
      <c r="A86" s="14" t="s">
        <v>44</v>
      </c>
      <c r="B86" s="696">
        <v>83.0</v>
      </c>
      <c r="C86" s="697" t="s">
        <v>325</v>
      </c>
      <c r="D86" s="697" t="s">
        <v>11947</v>
      </c>
      <c r="E86" s="698" t="s">
        <v>53</v>
      </c>
      <c r="G86" s="547" t="s">
        <v>11948</v>
      </c>
      <c r="H86" s="547" t="s">
        <v>11812</v>
      </c>
      <c r="I86" s="538"/>
      <c r="L86" s="89"/>
      <c r="M86" s="89"/>
      <c r="N86" s="223" t="s">
        <v>11807</v>
      </c>
      <c r="O86" s="89"/>
      <c r="P86" s="89"/>
      <c r="Q86" s="89"/>
      <c r="R86" s="89"/>
      <c r="S86" s="89"/>
    </row>
    <row r="87">
      <c r="A87" s="14" t="s">
        <v>44</v>
      </c>
      <c r="B87" s="696">
        <v>84.0</v>
      </c>
      <c r="C87" s="697" t="s">
        <v>4848</v>
      </c>
      <c r="D87" s="697" t="s">
        <v>429</v>
      </c>
      <c r="E87" s="698" t="s">
        <v>53</v>
      </c>
      <c r="G87" s="547" t="s">
        <v>11949</v>
      </c>
      <c r="H87" s="547" t="s">
        <v>780</v>
      </c>
      <c r="I87" s="538"/>
      <c r="L87" s="89"/>
      <c r="M87" s="89"/>
      <c r="N87" s="223" t="s">
        <v>11807</v>
      </c>
      <c r="O87" s="89"/>
      <c r="P87" s="89"/>
      <c r="Q87" s="89"/>
      <c r="R87" s="89"/>
      <c r="S87" s="89"/>
    </row>
    <row r="88">
      <c r="A88" s="14" t="s">
        <v>44</v>
      </c>
      <c r="B88" s="696">
        <v>85.0</v>
      </c>
      <c r="C88" s="699" t="s">
        <v>767</v>
      </c>
      <c r="D88" s="700" t="s">
        <v>11950</v>
      </c>
      <c r="E88" s="698" t="s">
        <v>53</v>
      </c>
      <c r="G88" s="547" t="s">
        <v>11951</v>
      </c>
      <c r="H88" s="547" t="s">
        <v>3542</v>
      </c>
      <c r="I88" s="538"/>
      <c r="L88" s="89"/>
      <c r="M88" s="89"/>
      <c r="N88" s="223" t="s">
        <v>11807</v>
      </c>
      <c r="O88" s="89"/>
      <c r="P88" s="89"/>
      <c r="Q88" s="89"/>
      <c r="R88" s="89"/>
      <c r="S88" s="89"/>
    </row>
    <row r="89">
      <c r="A89" s="14" t="s">
        <v>44</v>
      </c>
      <c r="B89" s="696">
        <v>86.0</v>
      </c>
      <c r="C89" s="697" t="s">
        <v>325</v>
      </c>
      <c r="D89" s="697" t="s">
        <v>4255</v>
      </c>
      <c r="E89" s="698" t="s">
        <v>53</v>
      </c>
      <c r="G89" s="547" t="s">
        <v>11821</v>
      </c>
      <c r="H89" s="547" t="s">
        <v>11812</v>
      </c>
      <c r="I89" s="538"/>
      <c r="L89" s="89"/>
      <c r="M89" s="89"/>
      <c r="N89" s="223" t="s">
        <v>11807</v>
      </c>
      <c r="O89" s="89"/>
      <c r="P89" s="89"/>
      <c r="Q89" s="89"/>
      <c r="R89" s="89"/>
      <c r="S89" s="89"/>
    </row>
    <row r="90">
      <c r="A90" s="14" t="s">
        <v>44</v>
      </c>
      <c r="B90" s="696">
        <v>87.0</v>
      </c>
      <c r="C90" s="697" t="s">
        <v>1974</v>
      </c>
      <c r="D90" s="697" t="s">
        <v>11952</v>
      </c>
      <c r="E90" s="698" t="s">
        <v>53</v>
      </c>
      <c r="G90" s="538"/>
      <c r="H90" s="538"/>
      <c r="I90" s="538"/>
      <c r="L90" s="89"/>
      <c r="M90" s="89"/>
      <c r="N90" s="223" t="s">
        <v>11807</v>
      </c>
      <c r="O90" s="89"/>
      <c r="P90" s="89"/>
      <c r="Q90" s="89"/>
      <c r="R90" s="89"/>
      <c r="S90" s="89"/>
    </row>
    <row r="91">
      <c r="A91" s="14" t="s">
        <v>44</v>
      </c>
      <c r="B91" s="696">
        <v>88.0</v>
      </c>
      <c r="C91" s="697" t="s">
        <v>10853</v>
      </c>
      <c r="D91" s="697" t="s">
        <v>11955</v>
      </c>
      <c r="E91" s="698" t="s">
        <v>53</v>
      </c>
      <c r="G91" s="547" t="s">
        <v>11817</v>
      </c>
      <c r="H91" s="538"/>
      <c r="I91" s="538"/>
      <c r="L91" s="89"/>
      <c r="M91" s="89"/>
      <c r="N91" s="223" t="s">
        <v>11807</v>
      </c>
      <c r="O91" s="89"/>
      <c r="P91" s="89"/>
      <c r="Q91" s="89"/>
      <c r="R91" s="89"/>
      <c r="S91" s="89"/>
    </row>
    <row r="92">
      <c r="A92" s="14" t="s">
        <v>44</v>
      </c>
      <c r="B92" s="696">
        <v>89.0</v>
      </c>
      <c r="C92" s="699" t="s">
        <v>11956</v>
      </c>
      <c r="D92" s="700" t="s">
        <v>11957</v>
      </c>
      <c r="E92" s="698" t="s">
        <v>53</v>
      </c>
      <c r="G92" s="547" t="s">
        <v>781</v>
      </c>
      <c r="H92" s="547" t="s">
        <v>11812</v>
      </c>
      <c r="I92" s="538"/>
      <c r="L92" s="89"/>
      <c r="M92" s="89"/>
      <c r="N92" s="223" t="s">
        <v>11807</v>
      </c>
      <c r="O92" s="89"/>
      <c r="P92" s="89"/>
      <c r="Q92" s="89"/>
      <c r="R92" s="89"/>
      <c r="S92" s="89"/>
    </row>
    <row r="93">
      <c r="A93" s="14" t="s">
        <v>44</v>
      </c>
      <c r="B93" s="696">
        <v>90.0</v>
      </c>
      <c r="C93" s="699" t="s">
        <v>786</v>
      </c>
      <c r="D93" s="700" t="s">
        <v>11961</v>
      </c>
      <c r="E93" s="704" t="s">
        <v>49</v>
      </c>
      <c r="G93" s="547" t="s">
        <v>781</v>
      </c>
      <c r="H93" s="547" t="s">
        <v>11962</v>
      </c>
      <c r="I93" s="538"/>
      <c r="L93" s="89"/>
      <c r="M93" s="89"/>
      <c r="N93" s="223" t="s">
        <v>11807</v>
      </c>
      <c r="O93" s="89"/>
      <c r="P93" s="89"/>
      <c r="Q93" s="89"/>
      <c r="R93" s="89"/>
      <c r="S93" s="89"/>
    </row>
    <row r="94">
      <c r="A94" s="14" t="s">
        <v>44</v>
      </c>
      <c r="B94" s="696">
        <v>91.0</v>
      </c>
      <c r="C94" s="697" t="s">
        <v>4810</v>
      </c>
      <c r="D94" s="697" t="s">
        <v>11964</v>
      </c>
      <c r="E94" s="704" t="s">
        <v>49</v>
      </c>
      <c r="G94" s="547" t="s">
        <v>3542</v>
      </c>
      <c r="H94" s="538"/>
      <c r="I94" s="538"/>
      <c r="L94" s="89"/>
      <c r="M94" s="89"/>
      <c r="N94" s="223" t="s">
        <v>11807</v>
      </c>
      <c r="O94" s="89"/>
      <c r="P94" s="89"/>
      <c r="Q94" s="89"/>
      <c r="R94" s="89"/>
      <c r="S94" s="89"/>
    </row>
    <row r="95">
      <c r="A95" s="14" t="s">
        <v>44</v>
      </c>
      <c r="B95" s="696">
        <v>92.0</v>
      </c>
      <c r="C95" s="697" t="s">
        <v>2527</v>
      </c>
      <c r="D95" s="697" t="s">
        <v>11965</v>
      </c>
      <c r="E95" s="698" t="s">
        <v>53</v>
      </c>
      <c r="G95" s="547" t="s">
        <v>11817</v>
      </c>
      <c r="H95" s="547" t="s">
        <v>11966</v>
      </c>
      <c r="I95" s="538"/>
      <c r="L95" s="89"/>
      <c r="M95" s="89"/>
      <c r="N95" s="223" t="s">
        <v>11807</v>
      </c>
      <c r="O95" s="89"/>
      <c r="P95" s="89"/>
      <c r="Q95" s="89"/>
      <c r="R95" s="89"/>
      <c r="S95" s="89"/>
    </row>
    <row r="96">
      <c r="A96" s="14" t="s">
        <v>44</v>
      </c>
      <c r="B96" s="696">
        <v>93.0</v>
      </c>
      <c r="C96" s="699" t="s">
        <v>1054</v>
      </c>
      <c r="D96" s="700" t="s">
        <v>11970</v>
      </c>
      <c r="E96" s="704" t="s">
        <v>49</v>
      </c>
      <c r="G96" s="547" t="s">
        <v>11817</v>
      </c>
      <c r="H96" s="538"/>
      <c r="I96" s="538"/>
      <c r="L96" s="89"/>
      <c r="M96" s="89"/>
      <c r="N96" s="223" t="s">
        <v>11807</v>
      </c>
      <c r="O96" s="89"/>
      <c r="P96" s="89"/>
      <c r="Q96" s="89"/>
      <c r="R96" s="89"/>
      <c r="S96" s="89"/>
    </row>
    <row r="97">
      <c r="A97" s="14" t="s">
        <v>44</v>
      </c>
      <c r="B97" s="696">
        <v>94.0</v>
      </c>
      <c r="C97" s="697" t="s">
        <v>6494</v>
      </c>
      <c r="D97" s="697" t="s">
        <v>11971</v>
      </c>
      <c r="E97" s="698" t="s">
        <v>53</v>
      </c>
      <c r="G97" s="538"/>
      <c r="H97" s="538"/>
      <c r="I97" s="538"/>
      <c r="L97" s="89"/>
      <c r="M97" s="89"/>
      <c r="N97" s="223" t="s">
        <v>11807</v>
      </c>
      <c r="O97" s="89"/>
      <c r="P97" s="89"/>
      <c r="Q97" s="89"/>
      <c r="R97" s="89"/>
      <c r="S97" s="89"/>
    </row>
    <row r="98">
      <c r="A98" s="14" t="s">
        <v>44</v>
      </c>
      <c r="B98" s="696">
        <v>95.0</v>
      </c>
      <c r="C98" s="697" t="s">
        <v>2105</v>
      </c>
      <c r="D98" s="697" t="s">
        <v>11972</v>
      </c>
      <c r="E98" s="704" t="s">
        <v>49</v>
      </c>
      <c r="G98" s="547" t="s">
        <v>11821</v>
      </c>
      <c r="H98" s="547" t="s">
        <v>11973</v>
      </c>
      <c r="I98" s="538"/>
      <c r="L98" s="89"/>
      <c r="M98" s="89"/>
      <c r="N98" s="223" t="s">
        <v>11807</v>
      </c>
      <c r="O98" s="89"/>
      <c r="P98" s="89"/>
      <c r="Q98" s="89"/>
      <c r="R98" s="89"/>
      <c r="S98" s="89"/>
    </row>
    <row r="99">
      <c r="A99" s="14" t="s">
        <v>44</v>
      </c>
      <c r="B99" s="696">
        <v>96.0</v>
      </c>
      <c r="C99" s="697" t="s">
        <v>572</v>
      </c>
      <c r="D99" s="697" t="s">
        <v>11974</v>
      </c>
      <c r="E99" s="698" t="s">
        <v>53</v>
      </c>
      <c r="G99" s="547" t="s">
        <v>11817</v>
      </c>
      <c r="H99" s="547" t="s">
        <v>780</v>
      </c>
      <c r="I99" s="538"/>
      <c r="L99" s="89"/>
      <c r="M99" s="89"/>
      <c r="N99" s="223" t="s">
        <v>11807</v>
      </c>
      <c r="O99" s="89"/>
      <c r="P99" s="89"/>
      <c r="Q99" s="89"/>
      <c r="R99" s="89"/>
      <c r="S99" s="89"/>
    </row>
    <row r="100">
      <c r="A100" s="14" t="s">
        <v>44</v>
      </c>
      <c r="B100" s="696">
        <v>97.0</v>
      </c>
      <c r="C100" s="697" t="s">
        <v>11875</v>
      </c>
      <c r="D100" s="697" t="s">
        <v>11975</v>
      </c>
      <c r="E100" s="704" t="s">
        <v>49</v>
      </c>
      <c r="G100" s="547" t="s">
        <v>11887</v>
      </c>
      <c r="H100" s="547" t="s">
        <v>11822</v>
      </c>
      <c r="I100" s="538"/>
      <c r="L100" s="89"/>
      <c r="M100" s="89"/>
      <c r="N100" s="223" t="s">
        <v>11807</v>
      </c>
      <c r="O100" s="89"/>
      <c r="P100" s="89"/>
      <c r="Q100" s="89"/>
      <c r="R100" s="89"/>
      <c r="S100" s="89"/>
    </row>
    <row r="101">
      <c r="A101" s="14" t="s">
        <v>44</v>
      </c>
      <c r="B101" s="696">
        <v>98.0</v>
      </c>
      <c r="C101" s="697" t="s">
        <v>173</v>
      </c>
      <c r="D101" s="697" t="s">
        <v>3019</v>
      </c>
      <c r="E101" s="698" t="s">
        <v>53</v>
      </c>
      <c r="G101" s="547" t="s">
        <v>781</v>
      </c>
      <c r="H101" s="538"/>
      <c r="I101" s="538"/>
      <c r="L101" s="89"/>
      <c r="M101" s="89"/>
      <c r="N101" s="223" t="s">
        <v>11807</v>
      </c>
      <c r="O101" s="89"/>
      <c r="P101" s="89"/>
      <c r="Q101" s="89"/>
      <c r="R101" s="89"/>
      <c r="S101" s="89"/>
    </row>
    <row r="102">
      <c r="A102" s="14" t="s">
        <v>44</v>
      </c>
      <c r="B102" s="696">
        <v>99.0</v>
      </c>
      <c r="C102" s="697" t="s">
        <v>123</v>
      </c>
      <c r="D102" s="697" t="s">
        <v>11976</v>
      </c>
      <c r="E102" s="698" t="s">
        <v>53</v>
      </c>
      <c r="G102" s="547" t="s">
        <v>781</v>
      </c>
      <c r="H102" s="538"/>
      <c r="I102" s="538"/>
      <c r="L102" s="89"/>
      <c r="M102" s="89"/>
      <c r="N102" s="223" t="s">
        <v>11807</v>
      </c>
      <c r="O102" s="89"/>
      <c r="P102" s="89"/>
      <c r="Q102" s="89"/>
      <c r="R102" s="89"/>
      <c r="S102" s="89"/>
    </row>
    <row r="103">
      <c r="A103" s="14" t="s">
        <v>44</v>
      </c>
      <c r="B103" s="696">
        <v>100.0</v>
      </c>
      <c r="C103" s="697" t="s">
        <v>11977</v>
      </c>
      <c r="D103" s="697" t="s">
        <v>1254</v>
      </c>
      <c r="E103" s="698" t="s">
        <v>53</v>
      </c>
      <c r="G103" s="547" t="s">
        <v>781</v>
      </c>
      <c r="H103" s="547" t="s">
        <v>780</v>
      </c>
      <c r="I103" s="538"/>
      <c r="L103" s="89"/>
      <c r="M103" s="89"/>
      <c r="N103" s="223" t="s">
        <v>11807</v>
      </c>
      <c r="O103" s="89"/>
      <c r="P103" s="89"/>
      <c r="Q103" s="89"/>
      <c r="R103" s="89"/>
      <c r="S103" s="89"/>
    </row>
    <row r="104">
      <c r="A104" s="14" t="s">
        <v>44</v>
      </c>
      <c r="B104" s="696">
        <v>101.0</v>
      </c>
      <c r="C104" s="697" t="s">
        <v>11979</v>
      </c>
      <c r="D104" s="697" t="s">
        <v>9474</v>
      </c>
      <c r="E104" s="704" t="s">
        <v>49</v>
      </c>
      <c r="G104" s="547" t="s">
        <v>781</v>
      </c>
      <c r="H104" s="547" t="s">
        <v>11823</v>
      </c>
      <c r="I104" s="538"/>
      <c r="L104" s="89"/>
      <c r="M104" s="89"/>
      <c r="N104" s="223" t="s">
        <v>11807</v>
      </c>
      <c r="O104" s="89"/>
      <c r="P104" s="89"/>
      <c r="Q104" s="89"/>
      <c r="R104" s="89"/>
      <c r="S104" s="89"/>
    </row>
    <row r="105">
      <c r="A105" s="14" t="s">
        <v>44</v>
      </c>
      <c r="B105" s="696">
        <v>102.0</v>
      </c>
      <c r="C105" s="699" t="s">
        <v>2527</v>
      </c>
      <c r="D105" s="700" t="s">
        <v>467</v>
      </c>
      <c r="E105" s="704" t="s">
        <v>49</v>
      </c>
      <c r="G105" s="547" t="s">
        <v>11817</v>
      </c>
      <c r="H105" s="547" t="s">
        <v>11812</v>
      </c>
      <c r="I105" s="538"/>
      <c r="L105" s="89"/>
      <c r="M105" s="89"/>
      <c r="N105" s="223" t="s">
        <v>11807</v>
      </c>
      <c r="O105" s="89"/>
      <c r="P105" s="89"/>
      <c r="Q105" s="89"/>
      <c r="R105" s="89"/>
      <c r="S105" s="89"/>
    </row>
    <row r="106">
      <c r="A106" s="14" t="s">
        <v>44</v>
      </c>
      <c r="B106" s="696">
        <v>103.0</v>
      </c>
      <c r="C106" s="697" t="s">
        <v>4087</v>
      </c>
      <c r="D106" s="697" t="s">
        <v>3961</v>
      </c>
      <c r="E106" s="704" t="s">
        <v>49</v>
      </c>
      <c r="G106" s="547" t="s">
        <v>11817</v>
      </c>
      <c r="H106" s="547" t="s">
        <v>11982</v>
      </c>
      <c r="I106" s="538"/>
      <c r="L106" s="89"/>
      <c r="M106" s="89"/>
      <c r="N106" s="223" t="s">
        <v>11807</v>
      </c>
      <c r="O106" s="89"/>
      <c r="P106" s="89"/>
      <c r="Q106" s="89"/>
      <c r="R106" s="89"/>
      <c r="S106" s="89"/>
    </row>
    <row r="107">
      <c r="A107" s="14" t="s">
        <v>44</v>
      </c>
      <c r="B107" s="696">
        <v>104.0</v>
      </c>
      <c r="C107" s="697" t="s">
        <v>1058</v>
      </c>
      <c r="D107" s="697" t="s">
        <v>4464</v>
      </c>
      <c r="E107" s="698" t="s">
        <v>53</v>
      </c>
      <c r="G107" s="547" t="s">
        <v>11984</v>
      </c>
      <c r="H107" s="547" t="s">
        <v>11822</v>
      </c>
      <c r="I107" s="538"/>
      <c r="L107" s="89"/>
      <c r="M107" s="89"/>
      <c r="N107" s="223" t="s">
        <v>11807</v>
      </c>
      <c r="O107" s="89"/>
      <c r="P107" s="89"/>
      <c r="Q107" s="89"/>
      <c r="R107" s="89"/>
      <c r="S107" s="89"/>
    </row>
    <row r="108">
      <c r="A108" s="14" t="s">
        <v>44</v>
      </c>
      <c r="B108" s="696">
        <v>105.0</v>
      </c>
      <c r="C108" s="697" t="s">
        <v>971</v>
      </c>
      <c r="D108" s="697" t="s">
        <v>11993</v>
      </c>
      <c r="E108" s="698" t="s">
        <v>53</v>
      </c>
      <c r="G108" s="547" t="s">
        <v>11817</v>
      </c>
      <c r="H108" s="547" t="s">
        <v>780</v>
      </c>
      <c r="I108" s="538"/>
      <c r="L108" s="89"/>
      <c r="M108" s="89"/>
      <c r="N108" s="223" t="s">
        <v>11807</v>
      </c>
      <c r="O108" s="89"/>
      <c r="P108" s="89"/>
      <c r="Q108" s="89"/>
      <c r="R108" s="89"/>
      <c r="S108" s="89"/>
    </row>
    <row r="109">
      <c r="A109" s="14" t="s">
        <v>44</v>
      </c>
      <c r="B109" s="696">
        <v>106.0</v>
      </c>
      <c r="C109" s="697" t="s">
        <v>1054</v>
      </c>
      <c r="D109" s="697" t="s">
        <v>4961</v>
      </c>
      <c r="E109" s="698" t="s">
        <v>53</v>
      </c>
      <c r="G109" s="547" t="s">
        <v>781</v>
      </c>
      <c r="H109" s="547" t="s">
        <v>780</v>
      </c>
      <c r="I109" s="538"/>
      <c r="L109" s="89"/>
      <c r="M109" s="89"/>
      <c r="N109" s="223" t="s">
        <v>11807</v>
      </c>
      <c r="O109" s="89"/>
      <c r="P109" s="89"/>
      <c r="Q109" s="89"/>
      <c r="R109" s="89"/>
      <c r="S109" s="89"/>
    </row>
    <row r="110">
      <c r="A110" s="14" t="s">
        <v>44</v>
      </c>
      <c r="B110" s="696">
        <v>107.0</v>
      </c>
      <c r="C110" s="699" t="s">
        <v>551</v>
      </c>
      <c r="D110" s="700" t="s">
        <v>9824</v>
      </c>
      <c r="E110" s="698" t="s">
        <v>53</v>
      </c>
      <c r="G110" s="547" t="s">
        <v>3542</v>
      </c>
      <c r="H110" s="538"/>
      <c r="I110" s="538"/>
      <c r="L110" s="89"/>
      <c r="M110" s="89"/>
      <c r="N110" s="223" t="s">
        <v>11807</v>
      </c>
      <c r="O110" s="89"/>
      <c r="P110" s="89"/>
      <c r="Q110" s="89"/>
      <c r="R110" s="89"/>
      <c r="S110" s="89"/>
    </row>
    <row r="111">
      <c r="A111" s="14" t="s">
        <v>44</v>
      </c>
      <c r="B111" s="696">
        <v>108.0</v>
      </c>
      <c r="C111" s="697" t="s">
        <v>629</v>
      </c>
      <c r="D111" s="697" t="s">
        <v>6191</v>
      </c>
      <c r="E111" s="698" t="s">
        <v>53</v>
      </c>
      <c r="G111" s="547" t="s">
        <v>2184</v>
      </c>
      <c r="H111" s="547" t="s">
        <v>11812</v>
      </c>
      <c r="I111" s="538"/>
      <c r="L111" s="89"/>
      <c r="M111" s="89"/>
      <c r="N111" s="223" t="s">
        <v>11807</v>
      </c>
      <c r="O111" s="89"/>
      <c r="P111" s="89"/>
      <c r="Q111" s="89"/>
      <c r="R111" s="89"/>
      <c r="S111" s="89"/>
    </row>
    <row r="112">
      <c r="A112" s="14" t="s">
        <v>44</v>
      </c>
      <c r="B112" s="696">
        <v>109.0</v>
      </c>
      <c r="C112" s="697" t="s">
        <v>108</v>
      </c>
      <c r="D112" s="697" t="s">
        <v>3846</v>
      </c>
      <c r="E112" s="704" t="s">
        <v>49</v>
      </c>
      <c r="G112" s="547" t="s">
        <v>12011</v>
      </c>
      <c r="H112" s="538"/>
      <c r="I112" s="538"/>
      <c r="L112" s="89"/>
      <c r="M112" s="89"/>
      <c r="N112" s="223" t="s">
        <v>11807</v>
      </c>
      <c r="O112" s="89"/>
      <c r="P112" s="89"/>
      <c r="Q112" s="89"/>
      <c r="R112" s="89"/>
      <c r="S112" s="89"/>
    </row>
    <row r="113">
      <c r="A113" s="14" t="s">
        <v>44</v>
      </c>
      <c r="B113" s="696">
        <v>110.0</v>
      </c>
      <c r="C113" s="697" t="s">
        <v>1058</v>
      </c>
      <c r="D113" s="697" t="s">
        <v>12014</v>
      </c>
      <c r="E113" s="698" t="s">
        <v>53</v>
      </c>
      <c r="G113" s="547" t="s">
        <v>11817</v>
      </c>
      <c r="H113" s="547" t="s">
        <v>780</v>
      </c>
      <c r="I113" s="538"/>
      <c r="L113" s="89"/>
      <c r="M113" s="89"/>
      <c r="N113" s="223" t="s">
        <v>11807</v>
      </c>
      <c r="O113" s="89"/>
      <c r="P113" s="89"/>
      <c r="Q113" s="89"/>
      <c r="R113" s="89"/>
      <c r="S113" s="89"/>
    </row>
    <row r="114">
      <c r="A114" s="14" t="s">
        <v>44</v>
      </c>
      <c r="B114" s="696">
        <v>111.0</v>
      </c>
      <c r="C114" s="699" t="s">
        <v>6155</v>
      </c>
      <c r="D114" s="700" t="s">
        <v>4133</v>
      </c>
      <c r="E114" s="704" t="s">
        <v>49</v>
      </c>
      <c r="G114" s="547" t="s">
        <v>12030</v>
      </c>
      <c r="H114" s="538"/>
      <c r="I114" s="538"/>
      <c r="L114" s="89"/>
      <c r="M114" s="89"/>
      <c r="N114" s="223" t="s">
        <v>11807</v>
      </c>
      <c r="O114" s="89"/>
      <c r="P114" s="89"/>
      <c r="Q114" s="89"/>
      <c r="R114" s="89"/>
      <c r="S114" s="89"/>
    </row>
    <row r="115">
      <c r="A115" s="14" t="s">
        <v>44</v>
      </c>
      <c r="B115" s="696">
        <v>112.0</v>
      </c>
      <c r="C115" s="699" t="s">
        <v>157</v>
      </c>
      <c r="D115" s="700" t="s">
        <v>12050</v>
      </c>
      <c r="E115" s="698" t="s">
        <v>53</v>
      </c>
      <c r="G115" s="547" t="s">
        <v>3542</v>
      </c>
      <c r="H115" s="538"/>
      <c r="I115" s="538"/>
      <c r="L115" s="89"/>
      <c r="M115" s="89"/>
      <c r="N115" s="223" t="s">
        <v>11807</v>
      </c>
      <c r="O115" s="89"/>
      <c r="P115" s="89"/>
      <c r="Q115" s="89"/>
      <c r="R115" s="89"/>
      <c r="S115" s="89"/>
    </row>
    <row r="116">
      <c r="A116" s="14" t="s">
        <v>44</v>
      </c>
      <c r="B116" s="696">
        <v>113.0</v>
      </c>
      <c r="C116" s="697" t="s">
        <v>6310</v>
      </c>
      <c r="D116" s="697" t="s">
        <v>12054</v>
      </c>
      <c r="E116" s="704" t="s">
        <v>49</v>
      </c>
      <c r="G116" s="547" t="s">
        <v>2184</v>
      </c>
      <c r="H116" s="547" t="s">
        <v>11812</v>
      </c>
      <c r="I116" s="538"/>
      <c r="L116" s="89"/>
      <c r="M116" s="89"/>
      <c r="N116" s="223" t="s">
        <v>11807</v>
      </c>
      <c r="O116" s="89"/>
      <c r="P116" s="89"/>
      <c r="Q116" s="89"/>
      <c r="R116" s="89"/>
      <c r="S116" s="89"/>
    </row>
    <row r="117">
      <c r="A117" s="14" t="s">
        <v>44</v>
      </c>
      <c r="B117" s="696">
        <v>114.0</v>
      </c>
      <c r="C117" s="697" t="s">
        <v>12057</v>
      </c>
      <c r="D117" s="697" t="s">
        <v>2763</v>
      </c>
      <c r="E117" s="698" t="s">
        <v>53</v>
      </c>
      <c r="G117" s="547" t="s">
        <v>11821</v>
      </c>
      <c r="H117" s="547" t="s">
        <v>780</v>
      </c>
      <c r="I117" s="538"/>
      <c r="L117" s="89"/>
      <c r="M117" s="89"/>
      <c r="N117" s="223" t="s">
        <v>11807</v>
      </c>
      <c r="O117" s="89"/>
      <c r="P117" s="89"/>
      <c r="Q117" s="89"/>
      <c r="R117" s="89"/>
      <c r="S117" s="89"/>
    </row>
    <row r="118">
      <c r="A118" s="14" t="s">
        <v>44</v>
      </c>
      <c r="B118" s="696">
        <v>115.0</v>
      </c>
      <c r="C118" s="697" t="s">
        <v>367</v>
      </c>
      <c r="D118" s="697" t="s">
        <v>12067</v>
      </c>
      <c r="E118" s="698" t="s">
        <v>53</v>
      </c>
      <c r="G118" s="547" t="s">
        <v>2667</v>
      </c>
      <c r="H118" s="547" t="s">
        <v>12069</v>
      </c>
      <c r="I118" s="538"/>
      <c r="L118" s="89"/>
      <c r="M118" s="89"/>
      <c r="N118" s="223" t="s">
        <v>11807</v>
      </c>
      <c r="O118" s="89"/>
      <c r="P118" s="89"/>
      <c r="Q118" s="89"/>
      <c r="R118" s="89"/>
      <c r="S118" s="89"/>
    </row>
    <row r="119">
      <c r="A119" s="14" t="s">
        <v>44</v>
      </c>
      <c r="B119" s="696">
        <v>116.0</v>
      </c>
      <c r="C119" s="697" t="s">
        <v>1134</v>
      </c>
      <c r="D119" s="697" t="s">
        <v>447</v>
      </c>
      <c r="E119" s="704" t="s">
        <v>49</v>
      </c>
      <c r="G119" s="547" t="s">
        <v>12073</v>
      </c>
      <c r="H119" s="547" t="s">
        <v>12075</v>
      </c>
      <c r="I119" s="538"/>
      <c r="L119" s="89"/>
      <c r="M119" s="89"/>
      <c r="N119" s="223" t="s">
        <v>11807</v>
      </c>
      <c r="O119" s="89"/>
      <c r="P119" s="89"/>
      <c r="Q119" s="89"/>
      <c r="R119" s="89"/>
      <c r="S119" s="89"/>
    </row>
    <row r="120">
      <c r="A120" s="14" t="s">
        <v>44</v>
      </c>
      <c r="B120" s="696">
        <v>117.0</v>
      </c>
      <c r="C120" s="697" t="s">
        <v>12078</v>
      </c>
      <c r="D120" s="697" t="s">
        <v>2800</v>
      </c>
      <c r="E120" s="698" t="s">
        <v>53</v>
      </c>
      <c r="G120" s="547" t="s">
        <v>11822</v>
      </c>
      <c r="H120" s="538"/>
      <c r="I120" s="538"/>
      <c r="L120" s="89"/>
      <c r="M120" s="89"/>
      <c r="N120" s="223" t="s">
        <v>11807</v>
      </c>
      <c r="O120" s="89"/>
      <c r="P120" s="89"/>
      <c r="Q120" s="89"/>
      <c r="R120" s="89"/>
      <c r="S120" s="89"/>
    </row>
    <row r="121">
      <c r="A121" s="14" t="s">
        <v>44</v>
      </c>
      <c r="B121" s="696">
        <v>118.0</v>
      </c>
      <c r="C121" s="697" t="s">
        <v>325</v>
      </c>
      <c r="D121" s="697" t="s">
        <v>12083</v>
      </c>
      <c r="E121" s="698" t="s">
        <v>53</v>
      </c>
      <c r="G121" s="547" t="s">
        <v>3542</v>
      </c>
      <c r="H121" s="538"/>
      <c r="I121" s="538"/>
      <c r="L121" s="89"/>
      <c r="M121" s="89"/>
      <c r="N121" s="223" t="s">
        <v>11807</v>
      </c>
      <c r="O121" s="89"/>
      <c r="P121" s="89"/>
      <c r="Q121" s="89"/>
      <c r="R121" s="89"/>
      <c r="S121" s="89"/>
    </row>
    <row r="122">
      <c r="A122" s="14" t="s">
        <v>44</v>
      </c>
      <c r="B122" s="696">
        <v>119.0</v>
      </c>
      <c r="C122" s="697" t="s">
        <v>7861</v>
      </c>
      <c r="D122" s="697" t="s">
        <v>12088</v>
      </c>
      <c r="E122" s="704" t="s">
        <v>49</v>
      </c>
      <c r="G122" s="547" t="s">
        <v>2667</v>
      </c>
      <c r="H122" s="547" t="s">
        <v>3542</v>
      </c>
      <c r="I122" s="538"/>
      <c r="L122" s="89"/>
      <c r="M122" s="89"/>
      <c r="N122" s="223" t="s">
        <v>11807</v>
      </c>
      <c r="O122" s="89"/>
      <c r="P122" s="89"/>
      <c r="Q122" s="89"/>
      <c r="R122" s="89"/>
      <c r="S122" s="89"/>
    </row>
    <row r="123">
      <c r="A123" s="14" t="s">
        <v>44</v>
      </c>
      <c r="B123" s="696">
        <v>120.0</v>
      </c>
      <c r="C123" s="697" t="s">
        <v>12092</v>
      </c>
      <c r="D123" s="697" t="s">
        <v>3038</v>
      </c>
      <c r="E123" s="698" t="s">
        <v>53</v>
      </c>
      <c r="G123" s="547" t="s">
        <v>781</v>
      </c>
      <c r="H123" s="547" t="s">
        <v>11817</v>
      </c>
      <c r="I123" s="547" t="s">
        <v>11881</v>
      </c>
      <c r="L123" s="89"/>
      <c r="M123" s="89"/>
      <c r="N123" s="223" t="s">
        <v>11807</v>
      </c>
      <c r="O123" s="89"/>
      <c r="P123" s="89"/>
      <c r="Q123" s="89"/>
      <c r="R123" s="89"/>
      <c r="S123" s="89"/>
    </row>
    <row r="124">
      <c r="A124" s="14" t="s">
        <v>44</v>
      </c>
      <c r="B124" s="696">
        <v>121.0</v>
      </c>
      <c r="C124" s="697" t="s">
        <v>2490</v>
      </c>
      <c r="D124" s="697" t="s">
        <v>11831</v>
      </c>
      <c r="E124" s="704" t="s">
        <v>49</v>
      </c>
      <c r="G124" s="547" t="s">
        <v>2184</v>
      </c>
      <c r="H124" s="538"/>
      <c r="I124" s="538"/>
      <c r="L124" s="89"/>
      <c r="M124" s="89"/>
      <c r="N124" s="223" t="s">
        <v>11807</v>
      </c>
      <c r="O124" s="89"/>
      <c r="P124" s="89"/>
      <c r="Q124" s="89"/>
      <c r="R124" s="89"/>
      <c r="S124" s="89"/>
    </row>
    <row r="125">
      <c r="A125" s="14" t="s">
        <v>44</v>
      </c>
      <c r="B125" s="696">
        <v>122.0</v>
      </c>
      <c r="C125" s="697" t="s">
        <v>12096</v>
      </c>
      <c r="D125" s="697" t="s">
        <v>793</v>
      </c>
      <c r="E125" s="704" t="s">
        <v>49</v>
      </c>
      <c r="G125" s="547" t="s">
        <v>11812</v>
      </c>
      <c r="H125" s="538"/>
      <c r="I125" s="538"/>
      <c r="L125" s="89"/>
      <c r="M125" s="89"/>
      <c r="N125" s="223" t="s">
        <v>11807</v>
      </c>
      <c r="O125" s="89"/>
      <c r="P125" s="89"/>
      <c r="Q125" s="89"/>
      <c r="R125" s="89"/>
      <c r="S125" s="89"/>
    </row>
    <row r="126">
      <c r="A126" s="14" t="s">
        <v>44</v>
      </c>
      <c r="B126" s="696">
        <v>123.0</v>
      </c>
      <c r="C126" s="697" t="s">
        <v>2512</v>
      </c>
      <c r="D126" s="697" t="s">
        <v>1130</v>
      </c>
      <c r="E126" s="698" t="s">
        <v>53</v>
      </c>
      <c r="G126" s="547" t="s">
        <v>781</v>
      </c>
      <c r="H126" s="547" t="s">
        <v>11833</v>
      </c>
      <c r="I126" s="538"/>
      <c r="L126" s="89"/>
      <c r="M126" s="89"/>
      <c r="N126" s="223" t="s">
        <v>11807</v>
      </c>
      <c r="O126" s="89"/>
      <c r="P126" s="89"/>
      <c r="Q126" s="89"/>
      <c r="R126" s="89"/>
      <c r="S126" s="89"/>
    </row>
    <row r="127">
      <c r="A127" s="14" t="s">
        <v>44</v>
      </c>
      <c r="B127" s="696">
        <v>124.0</v>
      </c>
      <c r="C127" s="697" t="s">
        <v>1891</v>
      </c>
      <c r="D127" s="697" t="s">
        <v>7469</v>
      </c>
      <c r="E127" s="698" t="s">
        <v>53</v>
      </c>
      <c r="G127" s="547" t="s">
        <v>11833</v>
      </c>
      <c r="H127" s="547" t="s">
        <v>3542</v>
      </c>
      <c r="I127" s="538"/>
      <c r="L127" s="89"/>
      <c r="M127" s="89"/>
      <c r="N127" s="223" t="s">
        <v>11807</v>
      </c>
      <c r="O127" s="89"/>
      <c r="P127" s="89"/>
      <c r="Q127" s="89"/>
      <c r="R127" s="89"/>
      <c r="S127" s="89"/>
    </row>
    <row r="128">
      <c r="A128" s="70"/>
      <c r="B128" s="70"/>
      <c r="C128" s="71"/>
      <c r="D128" s="71"/>
      <c r="E128" s="70"/>
      <c r="F128" s="70"/>
      <c r="G128" s="70"/>
      <c r="H128" s="70"/>
      <c r="I128" s="70"/>
      <c r="J128" s="70"/>
      <c r="K128" s="70"/>
      <c r="L128" s="70"/>
      <c r="M128" s="70"/>
      <c r="N128" s="70"/>
      <c r="O128" s="70"/>
      <c r="P128" s="70"/>
      <c r="Q128" s="70"/>
      <c r="R128" s="70"/>
      <c r="S128" s="70"/>
      <c r="T128" s="70"/>
      <c r="U128" s="70"/>
      <c r="V128" s="70"/>
      <c r="W128" s="70"/>
      <c r="X128" s="70"/>
      <c r="Y128" s="70"/>
      <c r="Z128" s="70"/>
      <c r="AA128" s="70"/>
      <c r="AB128" s="70"/>
      <c r="AC128" s="70"/>
      <c r="AD128" s="70"/>
      <c r="AE128" s="70"/>
      <c r="AF128" s="70"/>
      <c r="AG128" s="70"/>
      <c r="AH128" s="70"/>
      <c r="AI128" s="70"/>
    </row>
    <row r="129">
      <c r="A129" s="14" t="s">
        <v>286</v>
      </c>
      <c r="B129" s="31">
        <v>1.0</v>
      </c>
      <c r="C129" s="35" t="s">
        <v>561</v>
      </c>
      <c r="D129" s="35" t="s">
        <v>505</v>
      </c>
      <c r="E129" s="51" t="s">
        <v>53</v>
      </c>
      <c r="G129" s="709" t="s">
        <v>3187</v>
      </c>
      <c r="H129" s="709" t="s">
        <v>1264</v>
      </c>
      <c r="I129" s="709" t="s">
        <v>12126</v>
      </c>
      <c r="J129" s="709" t="s">
        <v>12127</v>
      </c>
      <c r="K129" s="709" t="s">
        <v>12129</v>
      </c>
      <c r="L129" s="710"/>
      <c r="M129" s="710"/>
      <c r="N129" s="223" t="s">
        <v>11807</v>
      </c>
      <c r="O129" s="89"/>
      <c r="P129" s="89"/>
      <c r="Q129" s="89"/>
      <c r="R129" s="89"/>
      <c r="S129" s="89"/>
    </row>
    <row r="130">
      <c r="A130" s="14" t="s">
        <v>286</v>
      </c>
      <c r="B130" s="31">
        <v>2.0</v>
      </c>
      <c r="C130" s="35" t="s">
        <v>304</v>
      </c>
      <c r="D130" s="35" t="s">
        <v>1993</v>
      </c>
      <c r="E130" s="51" t="s">
        <v>53</v>
      </c>
      <c r="G130" s="709" t="s">
        <v>12150</v>
      </c>
      <c r="H130" s="709" t="s">
        <v>12151</v>
      </c>
      <c r="I130" s="709" t="s">
        <v>515</v>
      </c>
      <c r="J130" s="709" t="s">
        <v>12152</v>
      </c>
      <c r="K130" s="709" t="s">
        <v>781</v>
      </c>
      <c r="L130" s="710"/>
      <c r="M130" s="710"/>
      <c r="N130" s="223" t="s">
        <v>11807</v>
      </c>
      <c r="O130" s="89"/>
      <c r="P130" s="89"/>
      <c r="Q130" s="89"/>
      <c r="R130" s="89"/>
      <c r="S130" s="89"/>
    </row>
    <row r="131">
      <c r="A131" s="14" t="s">
        <v>286</v>
      </c>
      <c r="B131" s="31">
        <v>3.0</v>
      </c>
      <c r="C131" s="35" t="s">
        <v>1112</v>
      </c>
      <c r="D131" s="35" t="s">
        <v>12174</v>
      </c>
      <c r="E131" s="51" t="s">
        <v>53</v>
      </c>
      <c r="G131" s="709" t="s">
        <v>12150</v>
      </c>
      <c r="H131" s="709" t="s">
        <v>12151</v>
      </c>
      <c r="I131" s="709" t="s">
        <v>12152</v>
      </c>
      <c r="J131" s="709" t="s">
        <v>12175</v>
      </c>
      <c r="K131" s="709" t="s">
        <v>781</v>
      </c>
      <c r="L131" s="710"/>
      <c r="M131" s="710"/>
      <c r="N131" s="223" t="s">
        <v>11807</v>
      </c>
      <c r="O131" s="89"/>
      <c r="P131" s="89"/>
      <c r="Q131" s="89"/>
      <c r="R131" s="89"/>
      <c r="S131" s="89"/>
    </row>
    <row r="132">
      <c r="A132" s="14" t="s">
        <v>286</v>
      </c>
      <c r="B132" s="31">
        <v>4.0</v>
      </c>
      <c r="C132" s="35" t="s">
        <v>2490</v>
      </c>
      <c r="D132" s="35" t="s">
        <v>12189</v>
      </c>
      <c r="E132" s="51" t="s">
        <v>53</v>
      </c>
      <c r="G132" s="709" t="s">
        <v>3187</v>
      </c>
      <c r="H132" s="709" t="s">
        <v>12175</v>
      </c>
      <c r="I132" s="709" t="s">
        <v>781</v>
      </c>
      <c r="J132" s="709" t="s">
        <v>11817</v>
      </c>
      <c r="K132" s="709" t="s">
        <v>12129</v>
      </c>
      <c r="L132" s="710"/>
      <c r="M132" s="710"/>
      <c r="N132" s="223" t="s">
        <v>11807</v>
      </c>
      <c r="O132" s="89"/>
      <c r="P132" s="89"/>
      <c r="Q132" s="89"/>
      <c r="R132" s="89"/>
      <c r="S132" s="89"/>
    </row>
    <row r="133">
      <c r="A133" s="14" t="s">
        <v>286</v>
      </c>
      <c r="B133" s="31">
        <v>5.0</v>
      </c>
      <c r="C133" s="35" t="s">
        <v>561</v>
      </c>
      <c r="D133" s="35" t="s">
        <v>9914</v>
      </c>
      <c r="E133" s="51" t="s">
        <v>53</v>
      </c>
      <c r="G133" s="709" t="s">
        <v>1264</v>
      </c>
      <c r="H133" s="709" t="s">
        <v>12152</v>
      </c>
      <c r="I133" s="709" t="s">
        <v>11817</v>
      </c>
      <c r="J133" s="709" t="s">
        <v>12129</v>
      </c>
      <c r="K133" s="709" t="s">
        <v>780</v>
      </c>
      <c r="L133" s="710"/>
      <c r="M133" s="710"/>
      <c r="N133" s="223" t="s">
        <v>11807</v>
      </c>
      <c r="O133" s="89"/>
      <c r="P133" s="89"/>
      <c r="Q133" s="89"/>
      <c r="R133" s="89"/>
      <c r="S133" s="89"/>
    </row>
    <row r="134">
      <c r="A134" s="14" t="s">
        <v>286</v>
      </c>
      <c r="B134" s="31">
        <v>6.0</v>
      </c>
      <c r="C134" s="35" t="s">
        <v>1058</v>
      </c>
      <c r="D134" s="35" t="s">
        <v>12198</v>
      </c>
      <c r="E134" s="51" t="s">
        <v>53</v>
      </c>
      <c r="G134" s="709" t="s">
        <v>3187</v>
      </c>
      <c r="H134" s="709" t="s">
        <v>12151</v>
      </c>
      <c r="I134" s="709" t="s">
        <v>12152</v>
      </c>
      <c r="J134" s="709" t="s">
        <v>12175</v>
      </c>
      <c r="K134" s="709" t="s">
        <v>781</v>
      </c>
      <c r="L134" s="710"/>
      <c r="M134" s="710"/>
      <c r="N134" s="223" t="s">
        <v>11807</v>
      </c>
      <c r="O134" s="89"/>
      <c r="P134" s="89"/>
      <c r="Q134" s="89"/>
      <c r="R134" s="89"/>
      <c r="S134" s="89"/>
    </row>
    <row r="135">
      <c r="A135" s="14" t="s">
        <v>286</v>
      </c>
      <c r="B135" s="31">
        <v>7.0</v>
      </c>
      <c r="C135" s="35" t="s">
        <v>3578</v>
      </c>
      <c r="D135" s="35" t="s">
        <v>241</v>
      </c>
      <c r="E135" s="36" t="s">
        <v>49</v>
      </c>
      <c r="G135" s="709" t="s">
        <v>12199</v>
      </c>
      <c r="H135" s="709" t="s">
        <v>12175</v>
      </c>
      <c r="I135" s="709" t="s">
        <v>11817</v>
      </c>
      <c r="J135" s="709" t="s">
        <v>780</v>
      </c>
      <c r="K135" s="710"/>
      <c r="L135" s="710"/>
      <c r="M135" s="710"/>
      <c r="N135" s="223" t="s">
        <v>11807</v>
      </c>
      <c r="O135" s="89"/>
      <c r="P135" s="89"/>
      <c r="Q135" s="89"/>
      <c r="R135" s="89"/>
      <c r="S135" s="89"/>
    </row>
    <row r="136">
      <c r="A136" s="14" t="s">
        <v>286</v>
      </c>
      <c r="B136" s="31">
        <v>8.0</v>
      </c>
      <c r="C136" s="35" t="s">
        <v>5489</v>
      </c>
      <c r="D136" s="35" t="s">
        <v>3193</v>
      </c>
      <c r="E136" s="51" t="s">
        <v>53</v>
      </c>
      <c r="G136" s="709" t="s">
        <v>3187</v>
      </c>
      <c r="H136" s="709" t="s">
        <v>12175</v>
      </c>
      <c r="I136" s="709" t="s">
        <v>12151</v>
      </c>
      <c r="J136" s="709" t="s">
        <v>781</v>
      </c>
      <c r="K136" s="709" t="s">
        <v>515</v>
      </c>
      <c r="L136" s="710"/>
      <c r="M136" s="710"/>
      <c r="N136" s="223" t="s">
        <v>11807</v>
      </c>
      <c r="O136" s="89"/>
      <c r="P136" s="89"/>
      <c r="Q136" s="89"/>
      <c r="R136" s="89"/>
      <c r="S136" s="89"/>
    </row>
    <row r="137">
      <c r="A137" s="14" t="s">
        <v>286</v>
      </c>
      <c r="B137" s="31">
        <v>9.0</v>
      </c>
      <c r="C137" s="35" t="s">
        <v>552</v>
      </c>
      <c r="D137" s="35" t="s">
        <v>12200</v>
      </c>
      <c r="E137" s="51" t="s">
        <v>53</v>
      </c>
      <c r="G137" s="709" t="s">
        <v>12150</v>
      </c>
      <c r="H137" s="709" t="s">
        <v>12201</v>
      </c>
      <c r="I137" s="709" t="s">
        <v>1264</v>
      </c>
      <c r="J137" s="709" t="s">
        <v>578</v>
      </c>
      <c r="K137" s="710"/>
      <c r="L137" s="710"/>
      <c r="M137" s="710"/>
      <c r="N137" s="223" t="s">
        <v>11807</v>
      </c>
      <c r="O137" s="89"/>
      <c r="P137" s="89"/>
      <c r="Q137" s="89"/>
      <c r="R137" s="89"/>
      <c r="S137" s="89"/>
    </row>
    <row r="138">
      <c r="A138" s="14" t="s">
        <v>286</v>
      </c>
      <c r="B138" s="31">
        <v>10.0</v>
      </c>
      <c r="C138" s="35" t="s">
        <v>9795</v>
      </c>
      <c r="D138" s="35" t="s">
        <v>12202</v>
      </c>
      <c r="E138" s="36" t="s">
        <v>49</v>
      </c>
      <c r="G138" s="709" t="s">
        <v>12151</v>
      </c>
      <c r="H138" s="709" t="s">
        <v>1264</v>
      </c>
      <c r="I138" s="709" t="s">
        <v>12126</v>
      </c>
      <c r="J138" s="709" t="s">
        <v>515</v>
      </c>
      <c r="K138" s="709" t="s">
        <v>12129</v>
      </c>
      <c r="L138" s="709" t="s">
        <v>780</v>
      </c>
      <c r="M138" s="710"/>
      <c r="N138" s="223" t="s">
        <v>11807</v>
      </c>
      <c r="O138" s="89"/>
      <c r="P138" s="89"/>
      <c r="Q138" s="89"/>
      <c r="R138" s="89"/>
      <c r="S138" s="89"/>
    </row>
    <row r="139">
      <c r="A139" s="14" t="s">
        <v>286</v>
      </c>
      <c r="B139" s="31">
        <v>11.0</v>
      </c>
      <c r="C139" s="35" t="s">
        <v>3589</v>
      </c>
      <c r="D139" s="35" t="s">
        <v>11035</v>
      </c>
      <c r="E139" s="36" t="s">
        <v>49</v>
      </c>
      <c r="G139" s="709" t="s">
        <v>12150</v>
      </c>
      <c r="H139" s="709" t="s">
        <v>2667</v>
      </c>
      <c r="I139" s="709" t="s">
        <v>1264</v>
      </c>
      <c r="J139" s="709" t="s">
        <v>3187</v>
      </c>
      <c r="K139" s="709" t="s">
        <v>11984</v>
      </c>
      <c r="L139" s="709" t="s">
        <v>12126</v>
      </c>
      <c r="M139" s="709" t="s">
        <v>11817</v>
      </c>
      <c r="N139" s="223" t="s">
        <v>11807</v>
      </c>
      <c r="O139" s="89"/>
      <c r="P139" s="89"/>
      <c r="Q139" s="89"/>
      <c r="R139" s="89"/>
      <c r="S139" s="89"/>
    </row>
    <row r="140">
      <c r="A140" s="14" t="s">
        <v>286</v>
      </c>
      <c r="B140" s="31">
        <v>12.0</v>
      </c>
      <c r="C140" s="35" t="s">
        <v>45</v>
      </c>
      <c r="D140" s="35" t="s">
        <v>10716</v>
      </c>
      <c r="E140" s="51" t="s">
        <v>53</v>
      </c>
      <c r="G140" s="709" t="s">
        <v>12150</v>
      </c>
      <c r="H140" s="709" t="s">
        <v>12152</v>
      </c>
      <c r="I140" s="709" t="s">
        <v>12175</v>
      </c>
      <c r="J140" s="709" t="s">
        <v>515</v>
      </c>
      <c r="K140" s="709" t="s">
        <v>781</v>
      </c>
      <c r="L140" s="710"/>
      <c r="M140" s="710"/>
      <c r="N140" s="223" t="s">
        <v>11807</v>
      </c>
      <c r="O140" s="89"/>
      <c r="P140" s="89"/>
      <c r="Q140" s="89"/>
      <c r="R140" s="89"/>
      <c r="S140" s="89"/>
    </row>
    <row r="141">
      <c r="A141" s="14" t="s">
        <v>286</v>
      </c>
      <c r="B141" s="31">
        <v>13.0</v>
      </c>
      <c r="C141" s="35" t="s">
        <v>756</v>
      </c>
      <c r="D141" s="35" t="s">
        <v>456</v>
      </c>
      <c r="E141" s="51" t="s">
        <v>53</v>
      </c>
      <c r="G141" s="709" t="s">
        <v>12203</v>
      </c>
      <c r="H141" s="709" t="s">
        <v>12129</v>
      </c>
      <c r="I141" s="709" t="s">
        <v>780</v>
      </c>
      <c r="J141" s="709" t="s">
        <v>1264</v>
      </c>
      <c r="K141" s="710"/>
      <c r="L141" s="710"/>
      <c r="M141" s="710"/>
      <c r="N141" s="223" t="s">
        <v>11807</v>
      </c>
      <c r="O141" s="89"/>
      <c r="P141" s="89"/>
      <c r="Q141" s="89"/>
      <c r="R141" s="89"/>
      <c r="S141" s="89"/>
    </row>
    <row r="142">
      <c r="A142" s="14" t="s">
        <v>286</v>
      </c>
      <c r="B142" s="31">
        <v>14.0</v>
      </c>
      <c r="C142" s="35" t="s">
        <v>5101</v>
      </c>
      <c r="D142" s="35" t="s">
        <v>12204</v>
      </c>
      <c r="E142" s="51" t="s">
        <v>53</v>
      </c>
      <c r="F142" s="14" t="s">
        <v>1156</v>
      </c>
      <c r="G142" s="709" t="s">
        <v>1047</v>
      </c>
      <c r="H142" s="709" t="s">
        <v>1264</v>
      </c>
      <c r="I142" s="709" t="s">
        <v>11984</v>
      </c>
      <c r="J142" s="709" t="s">
        <v>2667</v>
      </c>
      <c r="K142" s="709" t="s">
        <v>12129</v>
      </c>
      <c r="L142" s="709" t="s">
        <v>578</v>
      </c>
      <c r="M142" s="710"/>
      <c r="N142" s="223" t="s">
        <v>11807</v>
      </c>
      <c r="O142" s="89"/>
      <c r="P142" s="89"/>
      <c r="Q142" s="89"/>
      <c r="R142" s="89"/>
      <c r="S142" s="89"/>
    </row>
    <row r="143">
      <c r="A143" s="14" t="s">
        <v>286</v>
      </c>
      <c r="B143" s="31">
        <v>15.0</v>
      </c>
      <c r="C143" s="35" t="s">
        <v>349</v>
      </c>
      <c r="D143" s="35" t="s">
        <v>12205</v>
      </c>
      <c r="E143" s="51" t="s">
        <v>53</v>
      </c>
      <c r="G143" s="709" t="s">
        <v>12150</v>
      </c>
      <c r="H143" s="709" t="s">
        <v>12175</v>
      </c>
      <c r="I143" s="709" t="s">
        <v>781</v>
      </c>
      <c r="J143" s="709" t="s">
        <v>11817</v>
      </c>
      <c r="K143" s="709" t="s">
        <v>578</v>
      </c>
      <c r="L143" s="710"/>
      <c r="M143" s="710"/>
      <c r="N143" s="223" t="s">
        <v>11807</v>
      </c>
      <c r="O143" s="89"/>
      <c r="P143" s="89"/>
      <c r="Q143" s="89"/>
      <c r="R143" s="89"/>
      <c r="S143" s="89"/>
    </row>
    <row r="144">
      <c r="A144" s="14" t="s">
        <v>286</v>
      </c>
      <c r="B144" s="31">
        <v>16.0</v>
      </c>
      <c r="C144" s="35" t="s">
        <v>997</v>
      </c>
      <c r="D144" s="35" t="s">
        <v>823</v>
      </c>
      <c r="E144" s="51" t="s">
        <v>53</v>
      </c>
      <c r="G144" s="709" t="s">
        <v>12150</v>
      </c>
      <c r="H144" s="709" t="s">
        <v>1264</v>
      </c>
      <c r="I144" s="709" t="s">
        <v>12152</v>
      </c>
      <c r="J144" s="709" t="s">
        <v>780</v>
      </c>
      <c r="K144" s="710"/>
      <c r="L144" s="710"/>
      <c r="M144" s="710"/>
      <c r="N144" s="223" t="s">
        <v>11807</v>
      </c>
      <c r="O144" s="89"/>
      <c r="P144" s="89"/>
      <c r="Q144" s="89"/>
      <c r="R144" s="89"/>
      <c r="S144" s="89"/>
    </row>
    <row r="145">
      <c r="A145" s="14" t="s">
        <v>286</v>
      </c>
      <c r="B145" s="31">
        <v>17.0</v>
      </c>
      <c r="C145" s="35" t="s">
        <v>157</v>
      </c>
      <c r="D145" s="35" t="s">
        <v>12206</v>
      </c>
      <c r="E145" s="36" t="s">
        <v>49</v>
      </c>
      <c r="G145" s="709" t="s">
        <v>12150</v>
      </c>
      <c r="H145" s="709" t="s">
        <v>12151</v>
      </c>
      <c r="I145" s="709" t="s">
        <v>12152</v>
      </c>
      <c r="J145" s="709" t="s">
        <v>12175</v>
      </c>
      <c r="K145" s="709" t="s">
        <v>781</v>
      </c>
      <c r="L145" s="710"/>
      <c r="M145" s="710"/>
      <c r="N145" s="223" t="s">
        <v>11807</v>
      </c>
      <c r="O145" s="89"/>
      <c r="P145" s="89"/>
      <c r="Q145" s="89"/>
      <c r="R145" s="89"/>
      <c r="S145" s="89"/>
    </row>
    <row r="146">
      <c r="A146" s="14" t="s">
        <v>286</v>
      </c>
      <c r="B146" s="31">
        <v>18.0</v>
      </c>
      <c r="C146" s="35" t="s">
        <v>4848</v>
      </c>
      <c r="D146" s="35" t="s">
        <v>12207</v>
      </c>
      <c r="E146" s="51" t="s">
        <v>53</v>
      </c>
      <c r="G146" s="709" t="s">
        <v>3120</v>
      </c>
      <c r="H146" s="709" t="s">
        <v>1264</v>
      </c>
      <c r="I146" s="709" t="s">
        <v>12208</v>
      </c>
      <c r="J146" s="709" t="s">
        <v>780</v>
      </c>
      <c r="K146" s="710"/>
      <c r="L146" s="710"/>
      <c r="M146" s="710"/>
      <c r="N146" s="223" t="s">
        <v>11807</v>
      </c>
      <c r="O146" s="89"/>
      <c r="P146" s="89"/>
      <c r="Q146" s="89"/>
      <c r="R146" s="89"/>
      <c r="S146" s="89"/>
    </row>
    <row r="147">
      <c r="A147" s="14" t="s">
        <v>286</v>
      </c>
      <c r="B147" s="31">
        <v>19.0</v>
      </c>
      <c r="C147" s="35" t="s">
        <v>278</v>
      </c>
      <c r="D147" s="35" t="s">
        <v>45</v>
      </c>
      <c r="E147" s="36" t="s">
        <v>49</v>
      </c>
      <c r="G147" s="709" t="s">
        <v>1264</v>
      </c>
      <c r="H147" s="709" t="s">
        <v>12175</v>
      </c>
      <c r="I147" s="709" t="s">
        <v>11817</v>
      </c>
      <c r="J147" s="709" t="s">
        <v>780</v>
      </c>
      <c r="K147" s="709" t="s">
        <v>12129</v>
      </c>
      <c r="L147" s="710"/>
      <c r="M147" s="710"/>
      <c r="N147" s="223" t="s">
        <v>11807</v>
      </c>
      <c r="O147" s="89"/>
      <c r="P147" s="89"/>
      <c r="Q147" s="89"/>
      <c r="R147" s="89"/>
      <c r="S147" s="89"/>
    </row>
    <row r="148">
      <c r="A148" s="14" t="s">
        <v>286</v>
      </c>
      <c r="B148" s="31">
        <v>20.0</v>
      </c>
      <c r="D148" s="38" t="s">
        <v>12209</v>
      </c>
      <c r="E148" s="51" t="s">
        <v>53</v>
      </c>
      <c r="G148" s="710"/>
      <c r="H148" s="710"/>
      <c r="I148" s="710"/>
      <c r="J148" s="710"/>
      <c r="K148" s="710"/>
      <c r="L148" s="710"/>
      <c r="M148" s="710"/>
      <c r="N148" s="223" t="s">
        <v>11807</v>
      </c>
      <c r="O148" s="89"/>
      <c r="P148" s="89"/>
      <c r="Q148" s="89"/>
      <c r="R148" s="89"/>
      <c r="S148" s="89"/>
    </row>
    <row r="149">
      <c r="A149" s="14" t="s">
        <v>286</v>
      </c>
      <c r="B149" s="31">
        <v>21.0</v>
      </c>
      <c r="C149" s="35" t="s">
        <v>10598</v>
      </c>
      <c r="D149" s="35" t="s">
        <v>567</v>
      </c>
      <c r="E149" s="36" t="s">
        <v>49</v>
      </c>
      <c r="G149" s="709" t="s">
        <v>3187</v>
      </c>
      <c r="H149" s="709" t="s">
        <v>2667</v>
      </c>
      <c r="I149" s="709" t="s">
        <v>1264</v>
      </c>
      <c r="J149" s="709" t="s">
        <v>515</v>
      </c>
      <c r="K149" s="709" t="s">
        <v>12129</v>
      </c>
      <c r="L149" s="710"/>
      <c r="M149" s="710"/>
      <c r="N149" s="223" t="s">
        <v>11807</v>
      </c>
      <c r="O149" s="89"/>
      <c r="P149" s="89"/>
      <c r="Q149" s="89"/>
      <c r="R149" s="89"/>
      <c r="S149" s="89"/>
    </row>
    <row r="150">
      <c r="A150" s="14" t="s">
        <v>286</v>
      </c>
      <c r="B150" s="31">
        <v>22.0</v>
      </c>
      <c r="C150" s="35" t="s">
        <v>344</v>
      </c>
      <c r="D150" s="35" t="s">
        <v>3678</v>
      </c>
      <c r="E150" s="36" t="s">
        <v>49</v>
      </c>
      <c r="G150" s="709" t="s">
        <v>12151</v>
      </c>
      <c r="H150" s="709" t="s">
        <v>781</v>
      </c>
      <c r="I150" s="709" t="s">
        <v>578</v>
      </c>
      <c r="J150" s="709" t="s">
        <v>12175</v>
      </c>
      <c r="K150" s="710"/>
      <c r="L150" s="710"/>
      <c r="M150" s="710"/>
      <c r="N150" s="223" t="s">
        <v>11807</v>
      </c>
      <c r="O150" s="89"/>
      <c r="P150" s="89"/>
      <c r="Q150" s="89"/>
      <c r="R150" s="89"/>
      <c r="S150" s="89"/>
    </row>
    <row r="151">
      <c r="A151" s="14" t="s">
        <v>286</v>
      </c>
      <c r="B151" s="31">
        <v>23.0</v>
      </c>
      <c r="C151" s="35" t="s">
        <v>5695</v>
      </c>
      <c r="D151" s="35" t="s">
        <v>12210</v>
      </c>
      <c r="E151" s="51" t="s">
        <v>53</v>
      </c>
      <c r="G151" s="709" t="s">
        <v>3187</v>
      </c>
      <c r="H151" s="709" t="s">
        <v>12151</v>
      </c>
      <c r="I151" s="709" t="s">
        <v>12129</v>
      </c>
      <c r="J151" s="709" t="s">
        <v>12211</v>
      </c>
      <c r="K151" s="709" t="s">
        <v>781</v>
      </c>
      <c r="L151" s="710"/>
      <c r="M151" s="710"/>
      <c r="N151" s="223" t="s">
        <v>11807</v>
      </c>
      <c r="O151" s="89"/>
      <c r="P151" s="89"/>
      <c r="Q151" s="89"/>
      <c r="R151" s="89"/>
      <c r="S151" s="89"/>
    </row>
    <row r="152">
      <c r="A152" s="14" t="s">
        <v>286</v>
      </c>
      <c r="B152" s="31">
        <v>24.0</v>
      </c>
      <c r="C152" s="35" t="s">
        <v>338</v>
      </c>
      <c r="D152" s="35" t="s">
        <v>429</v>
      </c>
      <c r="E152" s="51" t="s">
        <v>53</v>
      </c>
      <c r="G152" s="709" t="s">
        <v>515</v>
      </c>
      <c r="H152" s="709" t="s">
        <v>12152</v>
      </c>
      <c r="I152" s="709" t="s">
        <v>12126</v>
      </c>
      <c r="J152" s="709" t="s">
        <v>781</v>
      </c>
      <c r="K152" s="709" t="s">
        <v>780</v>
      </c>
      <c r="L152" s="709" t="s">
        <v>12175</v>
      </c>
      <c r="M152" s="710"/>
      <c r="N152" s="223" t="s">
        <v>11807</v>
      </c>
      <c r="O152" s="89"/>
      <c r="P152" s="89"/>
      <c r="Q152" s="89"/>
      <c r="R152" s="89"/>
      <c r="S152" s="89"/>
    </row>
    <row r="153">
      <c r="A153" s="14" t="s">
        <v>286</v>
      </c>
      <c r="B153" s="31">
        <v>25.0</v>
      </c>
      <c r="C153" s="35" t="s">
        <v>756</v>
      </c>
      <c r="D153" s="35" t="s">
        <v>5243</v>
      </c>
      <c r="E153" s="51" t="s">
        <v>53</v>
      </c>
      <c r="F153" s="14" t="s">
        <v>176</v>
      </c>
      <c r="G153" s="709" t="s">
        <v>12150</v>
      </c>
      <c r="H153" s="709" t="s">
        <v>11817</v>
      </c>
      <c r="I153" s="709" t="s">
        <v>957</v>
      </c>
      <c r="J153" s="709" t="s">
        <v>12151</v>
      </c>
      <c r="K153" s="709" t="s">
        <v>781</v>
      </c>
      <c r="L153" s="710"/>
      <c r="M153" s="710"/>
      <c r="N153" s="223" t="s">
        <v>11807</v>
      </c>
      <c r="O153" s="89"/>
      <c r="P153" s="89"/>
      <c r="Q153" s="89"/>
      <c r="R153" s="89"/>
      <c r="S153" s="89"/>
    </row>
    <row r="154">
      <c r="A154" s="14" t="s">
        <v>286</v>
      </c>
      <c r="B154" s="31">
        <v>26.0</v>
      </c>
      <c r="C154" s="35" t="s">
        <v>12212</v>
      </c>
      <c r="D154" s="35" t="s">
        <v>3288</v>
      </c>
      <c r="E154" s="36" t="s">
        <v>49</v>
      </c>
      <c r="F154" s="14" t="s">
        <v>498</v>
      </c>
      <c r="G154" s="709" t="s">
        <v>3187</v>
      </c>
      <c r="H154" s="709" t="s">
        <v>2667</v>
      </c>
      <c r="I154" s="709" t="s">
        <v>1264</v>
      </c>
      <c r="J154" s="709" t="s">
        <v>515</v>
      </c>
      <c r="K154" s="709" t="s">
        <v>11984</v>
      </c>
      <c r="L154" s="709" t="s">
        <v>11817</v>
      </c>
      <c r="M154" s="710"/>
      <c r="N154" s="223" t="s">
        <v>11807</v>
      </c>
      <c r="O154" s="89"/>
      <c r="P154" s="89"/>
      <c r="Q154" s="89"/>
      <c r="R154" s="89"/>
      <c r="S154" s="89"/>
    </row>
    <row r="155">
      <c r="A155" s="14" t="s">
        <v>286</v>
      </c>
      <c r="B155" s="31">
        <v>27.0</v>
      </c>
      <c r="C155" s="35" t="s">
        <v>2635</v>
      </c>
      <c r="D155" s="35" t="s">
        <v>12213</v>
      </c>
      <c r="E155" s="36" t="s">
        <v>49</v>
      </c>
      <c r="G155" s="709" t="s">
        <v>12150</v>
      </c>
      <c r="H155" s="709" t="s">
        <v>1264</v>
      </c>
      <c r="I155" s="709" t="s">
        <v>12152</v>
      </c>
      <c r="J155" s="709" t="s">
        <v>515</v>
      </c>
      <c r="K155" s="709" t="s">
        <v>12175</v>
      </c>
      <c r="L155" s="710"/>
      <c r="M155" s="710"/>
      <c r="N155" s="223" t="s">
        <v>11807</v>
      </c>
      <c r="O155" s="89"/>
      <c r="P155" s="89"/>
      <c r="Q155" s="89"/>
      <c r="R155" s="89"/>
      <c r="S155" s="89"/>
    </row>
    <row r="156">
      <c r="A156" s="14" t="s">
        <v>286</v>
      </c>
      <c r="B156" s="31">
        <v>28.0</v>
      </c>
      <c r="C156" s="35" t="s">
        <v>997</v>
      </c>
      <c r="D156" s="35" t="s">
        <v>12214</v>
      </c>
      <c r="E156" s="51" t="s">
        <v>53</v>
      </c>
      <c r="G156" s="709" t="s">
        <v>515</v>
      </c>
      <c r="H156" s="709" t="s">
        <v>1264</v>
      </c>
      <c r="I156" s="709" t="s">
        <v>12175</v>
      </c>
      <c r="J156" s="709" t="s">
        <v>12126</v>
      </c>
      <c r="K156" s="709" t="s">
        <v>780</v>
      </c>
      <c r="L156" s="709" t="s">
        <v>578</v>
      </c>
      <c r="M156" s="710"/>
      <c r="N156" s="223" t="s">
        <v>11807</v>
      </c>
      <c r="O156" s="89"/>
      <c r="P156" s="89"/>
      <c r="Q156" s="89"/>
      <c r="R156" s="89"/>
      <c r="S156" s="89"/>
    </row>
    <row r="157">
      <c r="A157" s="14" t="s">
        <v>286</v>
      </c>
      <c r="B157" s="31">
        <v>29.0</v>
      </c>
      <c r="C157" s="35" t="s">
        <v>987</v>
      </c>
      <c r="D157" s="35" t="s">
        <v>12215</v>
      </c>
      <c r="E157" s="36" t="s">
        <v>49</v>
      </c>
      <c r="G157" s="709" t="s">
        <v>3187</v>
      </c>
      <c r="H157" s="709" t="s">
        <v>12126</v>
      </c>
      <c r="I157" s="709" t="s">
        <v>781</v>
      </c>
      <c r="J157" s="709" t="s">
        <v>515</v>
      </c>
      <c r="K157" s="709" t="s">
        <v>780</v>
      </c>
      <c r="L157" s="709" t="s">
        <v>578</v>
      </c>
      <c r="M157" s="710"/>
      <c r="N157" s="223" t="s">
        <v>11807</v>
      </c>
      <c r="O157" s="89"/>
      <c r="P157" s="89"/>
      <c r="Q157" s="89"/>
      <c r="R157" s="89"/>
      <c r="S157" s="89"/>
    </row>
    <row r="158">
      <c r="A158" s="14" t="s">
        <v>286</v>
      </c>
      <c r="B158" s="31">
        <v>30.0</v>
      </c>
      <c r="C158" s="35" t="s">
        <v>4892</v>
      </c>
      <c r="D158" s="35" t="s">
        <v>793</v>
      </c>
      <c r="E158" s="36" t="s">
        <v>49</v>
      </c>
      <c r="G158" s="709" t="s">
        <v>12150</v>
      </c>
      <c r="H158" s="709" t="s">
        <v>1264</v>
      </c>
      <c r="I158" s="709" t="s">
        <v>12152</v>
      </c>
      <c r="J158" s="709" t="s">
        <v>3187</v>
      </c>
      <c r="K158" s="709" t="s">
        <v>11817</v>
      </c>
      <c r="L158" s="710"/>
      <c r="M158" s="710"/>
      <c r="N158" s="223" t="s">
        <v>11807</v>
      </c>
      <c r="O158" s="89"/>
      <c r="P158" s="89"/>
      <c r="Q158" s="89"/>
      <c r="R158" s="89"/>
      <c r="S158" s="89"/>
    </row>
    <row r="159">
      <c r="A159" s="14" t="s">
        <v>286</v>
      </c>
      <c r="B159" s="31">
        <v>31.0</v>
      </c>
      <c r="C159" s="35" t="s">
        <v>2045</v>
      </c>
      <c r="D159" s="38" t="s">
        <v>12216</v>
      </c>
      <c r="E159" s="51" t="s">
        <v>53</v>
      </c>
      <c r="G159" s="709" t="s">
        <v>2667</v>
      </c>
      <c r="H159" s="709" t="s">
        <v>1272</v>
      </c>
      <c r="I159" s="709" t="s">
        <v>12217</v>
      </c>
      <c r="J159" s="709" t="s">
        <v>578</v>
      </c>
      <c r="K159" s="709" t="s">
        <v>11817</v>
      </c>
      <c r="L159" s="709" t="s">
        <v>780</v>
      </c>
      <c r="M159" s="710"/>
      <c r="N159" s="223" t="s">
        <v>11807</v>
      </c>
      <c r="O159" s="89"/>
      <c r="P159" s="89"/>
      <c r="Q159" s="89"/>
      <c r="R159" s="89"/>
      <c r="S159" s="89"/>
    </row>
    <row r="160">
      <c r="A160" s="14" t="s">
        <v>286</v>
      </c>
      <c r="B160" s="31">
        <v>32.0</v>
      </c>
      <c r="C160" s="35" t="s">
        <v>4848</v>
      </c>
      <c r="D160" s="35" t="s">
        <v>12218</v>
      </c>
      <c r="E160" s="36" t="s">
        <v>49</v>
      </c>
      <c r="G160" s="709" t="s">
        <v>12150</v>
      </c>
      <c r="H160" s="709" t="s">
        <v>11817</v>
      </c>
      <c r="I160" s="709" t="s">
        <v>781</v>
      </c>
      <c r="J160" s="709" t="s">
        <v>780</v>
      </c>
      <c r="K160" s="709" t="s">
        <v>578</v>
      </c>
      <c r="L160" s="710"/>
      <c r="M160" s="710"/>
      <c r="N160" s="223" t="s">
        <v>11807</v>
      </c>
      <c r="O160" s="89"/>
      <c r="P160" s="89"/>
      <c r="Q160" s="89"/>
      <c r="R160" s="89"/>
      <c r="S160" s="89"/>
    </row>
    <row r="161">
      <c r="A161" s="14" t="s">
        <v>286</v>
      </c>
      <c r="B161" s="31">
        <v>33.0</v>
      </c>
      <c r="C161" s="35" t="s">
        <v>3309</v>
      </c>
      <c r="D161" s="35" t="s">
        <v>2102</v>
      </c>
      <c r="E161" s="51" t="s">
        <v>53</v>
      </c>
      <c r="G161" s="709" t="s">
        <v>3187</v>
      </c>
      <c r="H161" s="709" t="s">
        <v>2667</v>
      </c>
      <c r="I161" s="709" t="s">
        <v>877</v>
      </c>
      <c r="J161" s="709" t="s">
        <v>515</v>
      </c>
      <c r="K161" s="709" t="s">
        <v>578</v>
      </c>
      <c r="L161" s="710"/>
      <c r="M161" s="710"/>
      <c r="N161" s="223" t="s">
        <v>11807</v>
      </c>
      <c r="O161" s="89"/>
      <c r="P161" s="89"/>
      <c r="Q161" s="89"/>
      <c r="R161" s="89"/>
      <c r="S161" s="89"/>
    </row>
    <row r="162">
      <c r="A162" s="14" t="s">
        <v>286</v>
      </c>
      <c r="B162" s="31">
        <v>34.0</v>
      </c>
      <c r="C162" s="35" t="s">
        <v>1505</v>
      </c>
      <c r="D162" s="35" t="s">
        <v>12219</v>
      </c>
      <c r="E162" s="51" t="s">
        <v>53</v>
      </c>
      <c r="G162" s="709" t="s">
        <v>12150</v>
      </c>
      <c r="H162" s="709" t="s">
        <v>12152</v>
      </c>
      <c r="I162" s="709" t="s">
        <v>12175</v>
      </c>
      <c r="J162" s="709" t="s">
        <v>12126</v>
      </c>
      <c r="K162" s="709" t="s">
        <v>781</v>
      </c>
      <c r="L162" s="709" t="s">
        <v>11817</v>
      </c>
      <c r="M162" s="710"/>
      <c r="N162" s="223" t="s">
        <v>11807</v>
      </c>
      <c r="O162" s="89"/>
      <c r="P162" s="89"/>
      <c r="Q162" s="89"/>
      <c r="R162" s="89"/>
      <c r="S162" s="89"/>
    </row>
    <row r="163">
      <c r="A163" s="14" t="s">
        <v>286</v>
      </c>
      <c r="B163" s="31">
        <v>35.0</v>
      </c>
      <c r="C163" s="35" t="s">
        <v>561</v>
      </c>
      <c r="D163" s="35" t="s">
        <v>12220</v>
      </c>
      <c r="E163" s="36" t="s">
        <v>49</v>
      </c>
      <c r="G163" s="709" t="s">
        <v>12150</v>
      </c>
      <c r="H163" s="709" t="s">
        <v>12175</v>
      </c>
      <c r="I163" s="709" t="s">
        <v>781</v>
      </c>
      <c r="J163" s="709" t="s">
        <v>12152</v>
      </c>
      <c r="K163" s="709" t="s">
        <v>578</v>
      </c>
      <c r="L163" s="710"/>
      <c r="M163" s="710"/>
      <c r="N163" s="223" t="s">
        <v>11807</v>
      </c>
      <c r="O163" s="89"/>
      <c r="P163" s="89"/>
      <c r="Q163" s="89"/>
      <c r="R163" s="89"/>
      <c r="S163" s="89"/>
    </row>
    <row r="164">
      <c r="A164" s="14" t="s">
        <v>286</v>
      </c>
      <c r="B164" s="31">
        <v>36.0</v>
      </c>
      <c r="C164" s="35" t="s">
        <v>971</v>
      </c>
      <c r="D164" s="35" t="s">
        <v>118</v>
      </c>
      <c r="E164" s="36" t="s">
        <v>49</v>
      </c>
      <c r="G164" s="709" t="s">
        <v>12175</v>
      </c>
      <c r="H164" s="709" t="s">
        <v>12126</v>
      </c>
      <c r="I164" s="709" t="s">
        <v>781</v>
      </c>
      <c r="J164" s="709" t="s">
        <v>11817</v>
      </c>
      <c r="K164" s="709" t="s">
        <v>12129</v>
      </c>
      <c r="L164" s="709" t="s">
        <v>578</v>
      </c>
      <c r="M164" s="710"/>
      <c r="N164" s="223" t="s">
        <v>11807</v>
      </c>
      <c r="O164" s="89"/>
      <c r="P164" s="89"/>
      <c r="Q164" s="89"/>
      <c r="R164" s="89"/>
      <c r="S164" s="89"/>
    </row>
    <row r="165">
      <c r="A165" s="14" t="s">
        <v>286</v>
      </c>
      <c r="B165" s="31">
        <v>37.0</v>
      </c>
      <c r="C165" s="35" t="s">
        <v>572</v>
      </c>
      <c r="D165" s="35" t="s">
        <v>4929</v>
      </c>
      <c r="E165" s="51" t="s">
        <v>53</v>
      </c>
      <c r="G165" s="709" t="s">
        <v>515</v>
      </c>
      <c r="H165" s="709" t="s">
        <v>1264</v>
      </c>
      <c r="I165" s="709" t="s">
        <v>780</v>
      </c>
      <c r="J165" s="709" t="s">
        <v>536</v>
      </c>
      <c r="K165" s="710"/>
      <c r="L165" s="710"/>
      <c r="M165" s="710"/>
      <c r="N165" s="223" t="s">
        <v>11807</v>
      </c>
      <c r="O165" s="89"/>
      <c r="P165" s="89"/>
      <c r="Q165" s="89"/>
      <c r="R165" s="89"/>
      <c r="S165" s="89"/>
    </row>
    <row r="166">
      <c r="A166" s="14" t="s">
        <v>286</v>
      </c>
      <c r="B166" s="31">
        <v>38.0</v>
      </c>
      <c r="C166" s="35" t="s">
        <v>1276</v>
      </c>
      <c r="D166" s="35" t="s">
        <v>2763</v>
      </c>
      <c r="E166" s="51" t="s">
        <v>53</v>
      </c>
      <c r="G166" s="709" t="s">
        <v>3187</v>
      </c>
      <c r="H166" s="709" t="s">
        <v>7383</v>
      </c>
      <c r="I166" s="709" t="s">
        <v>1264</v>
      </c>
      <c r="J166" s="709" t="s">
        <v>11817</v>
      </c>
      <c r="K166" s="709" t="s">
        <v>578</v>
      </c>
      <c r="L166" s="710"/>
      <c r="M166" s="710"/>
      <c r="N166" s="223" t="s">
        <v>11807</v>
      </c>
      <c r="O166" s="89"/>
      <c r="P166" s="89"/>
      <c r="Q166" s="89"/>
      <c r="R166" s="89"/>
      <c r="S166" s="89"/>
    </row>
    <row r="167">
      <c r="A167" s="14" t="s">
        <v>286</v>
      </c>
      <c r="B167" s="31">
        <v>39.0</v>
      </c>
      <c r="C167" s="35" t="s">
        <v>278</v>
      </c>
      <c r="D167" s="35" t="s">
        <v>2637</v>
      </c>
      <c r="E167" s="36" t="s">
        <v>49</v>
      </c>
      <c r="G167" s="709" t="s">
        <v>12150</v>
      </c>
      <c r="H167" s="709" t="s">
        <v>515</v>
      </c>
      <c r="I167" s="709" t="s">
        <v>2667</v>
      </c>
      <c r="J167" s="709" t="s">
        <v>3187</v>
      </c>
      <c r="K167" s="709" t="s">
        <v>1264</v>
      </c>
      <c r="L167" s="709" t="s">
        <v>12152</v>
      </c>
      <c r="M167" s="709" t="s">
        <v>11984</v>
      </c>
      <c r="N167" s="223" t="s">
        <v>11807</v>
      </c>
      <c r="O167" s="89"/>
      <c r="P167" s="89"/>
      <c r="Q167" s="89"/>
      <c r="R167" s="89"/>
      <c r="S167" s="89"/>
    </row>
    <row r="168">
      <c r="A168" s="14" t="s">
        <v>286</v>
      </c>
      <c r="B168" s="31">
        <v>40.0</v>
      </c>
      <c r="C168" s="35" t="s">
        <v>2323</v>
      </c>
      <c r="D168" s="35" t="s">
        <v>12221</v>
      </c>
      <c r="E168" s="36" t="s">
        <v>49</v>
      </c>
      <c r="G168" s="709" t="s">
        <v>3187</v>
      </c>
      <c r="H168" s="709" t="s">
        <v>2667</v>
      </c>
      <c r="I168" s="709" t="s">
        <v>12151</v>
      </c>
      <c r="J168" s="709" t="s">
        <v>12152</v>
      </c>
      <c r="K168" s="709" t="s">
        <v>12129</v>
      </c>
      <c r="L168" s="709" t="s">
        <v>515</v>
      </c>
      <c r="M168" s="709" t="s">
        <v>781</v>
      </c>
      <c r="N168" s="223" t="s">
        <v>11807</v>
      </c>
      <c r="O168" s="89"/>
      <c r="P168" s="89"/>
      <c r="Q168" s="89"/>
      <c r="R168" s="89"/>
      <c r="S168" s="89"/>
    </row>
    <row r="169">
      <c r="A169" s="14" t="s">
        <v>286</v>
      </c>
      <c r="B169" s="31">
        <v>41.0</v>
      </c>
      <c r="C169" s="35" t="s">
        <v>5229</v>
      </c>
      <c r="D169" s="35" t="s">
        <v>12222</v>
      </c>
      <c r="E169" s="51" t="s">
        <v>53</v>
      </c>
      <c r="G169" s="709" t="s">
        <v>12150</v>
      </c>
      <c r="H169" s="709" t="s">
        <v>781</v>
      </c>
      <c r="I169" s="709" t="s">
        <v>12151</v>
      </c>
      <c r="J169" s="709" t="s">
        <v>515</v>
      </c>
      <c r="K169" s="709" t="s">
        <v>11817</v>
      </c>
      <c r="L169" s="710"/>
      <c r="M169" s="710"/>
      <c r="N169" s="223" t="s">
        <v>11807</v>
      </c>
      <c r="O169" s="89"/>
      <c r="P169" s="89"/>
      <c r="Q169" s="89"/>
      <c r="R169" s="89"/>
      <c r="S169" s="89"/>
    </row>
    <row r="170">
      <c r="A170" s="14" t="s">
        <v>286</v>
      </c>
      <c r="B170" s="31">
        <v>42.0</v>
      </c>
      <c r="C170" s="35" t="s">
        <v>12223</v>
      </c>
      <c r="D170" s="35" t="s">
        <v>12224</v>
      </c>
      <c r="E170" s="36" t="s">
        <v>49</v>
      </c>
      <c r="G170" s="709" t="s">
        <v>12151</v>
      </c>
      <c r="H170" s="709" t="s">
        <v>12129</v>
      </c>
      <c r="I170" s="709" t="s">
        <v>780</v>
      </c>
      <c r="J170" s="709" t="s">
        <v>781</v>
      </c>
      <c r="K170" s="709" t="s">
        <v>578</v>
      </c>
      <c r="L170" s="710"/>
      <c r="M170" s="710"/>
      <c r="N170" s="223" t="s">
        <v>11807</v>
      </c>
      <c r="O170" s="89"/>
      <c r="P170" s="89"/>
      <c r="Q170" s="89"/>
      <c r="R170" s="89"/>
      <c r="S170" s="89"/>
    </row>
    <row r="171">
      <c r="A171" s="14" t="s">
        <v>286</v>
      </c>
      <c r="B171" s="31">
        <v>43.0</v>
      </c>
      <c r="C171" s="35" t="s">
        <v>98</v>
      </c>
      <c r="D171" s="35" t="s">
        <v>12225</v>
      </c>
      <c r="E171" s="51" t="s">
        <v>53</v>
      </c>
      <c r="G171" s="709" t="s">
        <v>12226</v>
      </c>
      <c r="H171" s="709" t="s">
        <v>781</v>
      </c>
      <c r="I171" s="709" t="s">
        <v>780</v>
      </c>
      <c r="J171" s="709" t="s">
        <v>12126</v>
      </c>
      <c r="K171" s="709" t="s">
        <v>578</v>
      </c>
      <c r="L171" s="710"/>
      <c r="M171" s="710"/>
      <c r="N171" s="223" t="s">
        <v>11807</v>
      </c>
      <c r="O171" s="89"/>
      <c r="P171" s="89"/>
      <c r="Q171" s="89"/>
      <c r="R171" s="89"/>
      <c r="S171" s="89"/>
    </row>
    <row r="172">
      <c r="A172" s="14" t="s">
        <v>286</v>
      </c>
      <c r="B172" s="31">
        <v>44.0</v>
      </c>
      <c r="C172" s="35" t="s">
        <v>679</v>
      </c>
      <c r="D172" s="35" t="s">
        <v>530</v>
      </c>
      <c r="E172" s="51" t="s">
        <v>53</v>
      </c>
      <c r="G172" s="709" t="s">
        <v>10832</v>
      </c>
      <c r="H172" s="709" t="s">
        <v>2667</v>
      </c>
      <c r="I172" s="709" t="s">
        <v>1264</v>
      </c>
      <c r="J172" s="709" t="s">
        <v>12151</v>
      </c>
      <c r="K172" s="709" t="s">
        <v>12129</v>
      </c>
      <c r="L172" s="709" t="s">
        <v>578</v>
      </c>
      <c r="M172" s="710"/>
      <c r="N172" s="223" t="s">
        <v>11807</v>
      </c>
      <c r="O172" s="89"/>
      <c r="P172" s="89"/>
      <c r="Q172" s="89"/>
      <c r="R172" s="89"/>
      <c r="S172" s="89"/>
    </row>
    <row r="173">
      <c r="A173" s="14" t="s">
        <v>286</v>
      </c>
      <c r="B173" s="31">
        <v>45.0</v>
      </c>
      <c r="C173" s="74" t="s">
        <v>759</v>
      </c>
      <c r="D173" s="74" t="s">
        <v>2637</v>
      </c>
      <c r="E173" s="36" t="s">
        <v>49</v>
      </c>
      <c r="G173" s="709" t="s">
        <v>12150</v>
      </c>
      <c r="H173" s="709" t="s">
        <v>515</v>
      </c>
      <c r="I173" s="709" t="s">
        <v>2667</v>
      </c>
      <c r="J173" s="709" t="s">
        <v>3187</v>
      </c>
      <c r="K173" s="709" t="s">
        <v>1264</v>
      </c>
      <c r="L173" s="709" t="s">
        <v>12152</v>
      </c>
      <c r="M173" s="709" t="s">
        <v>11984</v>
      </c>
      <c r="N173" s="223" t="s">
        <v>11807</v>
      </c>
      <c r="O173" s="89"/>
      <c r="P173" s="89"/>
      <c r="Q173" s="89"/>
      <c r="R173" s="89"/>
      <c r="S173" s="89"/>
    </row>
    <row r="174">
      <c r="A174" s="14" t="s">
        <v>286</v>
      </c>
      <c r="B174" s="31">
        <v>46.0</v>
      </c>
      <c r="C174" s="35" t="s">
        <v>338</v>
      </c>
      <c r="D174" s="35" t="s">
        <v>1254</v>
      </c>
      <c r="E174" s="51" t="s">
        <v>53</v>
      </c>
      <c r="G174" s="709" t="s">
        <v>3187</v>
      </c>
      <c r="H174" s="709" t="s">
        <v>12151</v>
      </c>
      <c r="I174" s="709" t="s">
        <v>1264</v>
      </c>
      <c r="J174" s="709" t="s">
        <v>12227</v>
      </c>
      <c r="K174" s="709" t="s">
        <v>11817</v>
      </c>
      <c r="L174" s="709" t="s">
        <v>12129</v>
      </c>
      <c r="M174" s="710"/>
      <c r="N174" s="223" t="s">
        <v>11807</v>
      </c>
      <c r="O174" s="89"/>
      <c r="P174" s="89"/>
      <c r="Q174" s="89"/>
      <c r="R174" s="89"/>
      <c r="S174" s="89"/>
    </row>
    <row r="175">
      <c r="A175" s="70"/>
      <c r="B175" s="70"/>
      <c r="C175" s="71"/>
      <c r="D175" s="71"/>
      <c r="E175" s="70"/>
      <c r="F175" s="70"/>
      <c r="G175" s="70"/>
      <c r="H175" s="70"/>
      <c r="I175" s="70"/>
      <c r="J175" s="70"/>
      <c r="K175" s="70"/>
      <c r="L175" s="70"/>
      <c r="M175" s="70"/>
      <c r="N175" s="70"/>
      <c r="O175" s="70"/>
      <c r="P175" s="70"/>
      <c r="Q175" s="70"/>
      <c r="R175" s="70"/>
      <c r="S175" s="70"/>
      <c r="T175" s="70"/>
      <c r="U175" s="70"/>
      <c r="V175" s="70"/>
      <c r="W175" s="70"/>
      <c r="X175" s="70"/>
      <c r="Y175" s="70"/>
      <c r="Z175" s="70"/>
      <c r="AA175" s="70"/>
      <c r="AB175" s="70"/>
      <c r="AC175" s="70"/>
      <c r="AD175" s="70"/>
      <c r="AE175" s="70"/>
      <c r="AF175" s="70"/>
      <c r="AG175" s="70"/>
      <c r="AH175" s="70"/>
      <c r="AI175" s="70"/>
    </row>
    <row r="176">
      <c r="A176" s="14" t="s">
        <v>421</v>
      </c>
      <c r="C176" s="77" t="s">
        <v>2189</v>
      </c>
      <c r="D176" s="77" t="s">
        <v>12228</v>
      </c>
      <c r="E176" s="51" t="s">
        <v>53</v>
      </c>
    </row>
    <row r="177">
      <c r="A177" s="70"/>
      <c r="B177" s="70"/>
      <c r="C177" s="71"/>
      <c r="D177" s="71"/>
      <c r="E177" s="70"/>
      <c r="F177" s="70"/>
      <c r="G177" s="70"/>
      <c r="H177" s="70"/>
      <c r="I177" s="70"/>
      <c r="J177" s="70"/>
      <c r="K177" s="70"/>
      <c r="L177" s="70"/>
      <c r="M177" s="70"/>
      <c r="N177" s="70"/>
      <c r="O177" s="70"/>
      <c r="P177" s="70"/>
      <c r="Q177" s="70"/>
      <c r="R177" s="70"/>
      <c r="S177" s="70"/>
      <c r="T177" s="70"/>
      <c r="U177" s="70"/>
      <c r="V177" s="70"/>
      <c r="W177" s="70"/>
      <c r="X177" s="70"/>
      <c r="Y177" s="70"/>
      <c r="Z177" s="70"/>
      <c r="AA177" s="70"/>
      <c r="AB177" s="70"/>
      <c r="AC177" s="70"/>
      <c r="AD177" s="70"/>
      <c r="AE177" s="70"/>
      <c r="AF177" s="70"/>
      <c r="AG177" s="70"/>
      <c r="AH177" s="70"/>
      <c r="AI177" s="70"/>
    </row>
    <row r="178">
      <c r="A178" s="14" t="s">
        <v>427</v>
      </c>
      <c r="B178" s="14">
        <v>1.0</v>
      </c>
      <c r="C178" s="77" t="s">
        <v>1583</v>
      </c>
      <c r="D178" s="77"/>
      <c r="E178" s="36" t="s">
        <v>49</v>
      </c>
      <c r="L178" s="89"/>
      <c r="M178" s="89"/>
      <c r="N178" s="89"/>
      <c r="O178" s="89"/>
      <c r="P178" s="89"/>
      <c r="Q178" s="89"/>
      <c r="R178" s="89"/>
      <c r="S178" s="89"/>
    </row>
    <row r="179">
      <c r="A179" s="14" t="s">
        <v>427</v>
      </c>
      <c r="B179" s="14">
        <v>2.0</v>
      </c>
      <c r="C179" s="77" t="s">
        <v>622</v>
      </c>
      <c r="D179" s="77" t="s">
        <v>62</v>
      </c>
      <c r="E179" s="51" t="s">
        <v>53</v>
      </c>
      <c r="L179" s="89"/>
      <c r="M179" s="89"/>
      <c r="N179" s="89"/>
      <c r="O179" s="89"/>
      <c r="P179" s="89"/>
      <c r="Q179" s="89"/>
      <c r="R179" s="89"/>
      <c r="S179" s="89"/>
    </row>
    <row r="180">
      <c r="A180" s="14" t="s">
        <v>427</v>
      </c>
      <c r="B180" s="14">
        <v>3.0</v>
      </c>
      <c r="C180" s="77" t="s">
        <v>683</v>
      </c>
      <c r="D180" s="77" t="s">
        <v>2352</v>
      </c>
      <c r="E180" s="51" t="s">
        <v>53</v>
      </c>
      <c r="L180" s="89"/>
      <c r="M180" s="89"/>
      <c r="N180" s="89"/>
      <c r="O180" s="89"/>
      <c r="P180" s="89"/>
      <c r="Q180" s="89"/>
      <c r="R180" s="89"/>
      <c r="S180" s="89"/>
    </row>
    <row r="181">
      <c r="A181" s="14" t="s">
        <v>427</v>
      </c>
      <c r="B181" s="14">
        <v>4.0</v>
      </c>
      <c r="C181" s="77" t="s">
        <v>1058</v>
      </c>
      <c r="D181" s="77" t="s">
        <v>12198</v>
      </c>
      <c r="E181" s="51" t="s">
        <v>53</v>
      </c>
      <c r="L181" s="89"/>
      <c r="M181" s="89"/>
      <c r="N181" s="89"/>
      <c r="O181" s="89"/>
      <c r="P181" s="89"/>
      <c r="Q181" s="89"/>
      <c r="R181" s="89"/>
      <c r="S181" s="89"/>
    </row>
    <row r="182">
      <c r="A182" s="14" t="s">
        <v>427</v>
      </c>
      <c r="B182" s="14">
        <v>5.0</v>
      </c>
      <c r="C182" s="77" t="s">
        <v>588</v>
      </c>
      <c r="D182" s="77" t="s">
        <v>6798</v>
      </c>
      <c r="E182" s="51" t="s">
        <v>53</v>
      </c>
      <c r="L182" s="89"/>
      <c r="M182" s="89"/>
      <c r="N182" s="89"/>
      <c r="O182" s="89"/>
      <c r="P182" s="89"/>
      <c r="Q182" s="89"/>
      <c r="R182" s="89"/>
      <c r="S182" s="89"/>
    </row>
    <row r="183">
      <c r="A183" s="14" t="s">
        <v>427</v>
      </c>
      <c r="B183" s="14">
        <v>6.0</v>
      </c>
      <c r="C183" s="77" t="s">
        <v>476</v>
      </c>
      <c r="D183" s="77" t="s">
        <v>11945</v>
      </c>
      <c r="E183" s="36" t="s">
        <v>49</v>
      </c>
      <c r="L183" s="89"/>
      <c r="M183" s="89"/>
      <c r="N183" s="89"/>
      <c r="O183" s="89"/>
      <c r="P183" s="89"/>
      <c r="Q183" s="89"/>
      <c r="R183" s="89"/>
      <c r="S183" s="89"/>
    </row>
    <row r="184">
      <c r="A184" s="14" t="s">
        <v>427</v>
      </c>
      <c r="B184" s="14">
        <v>7.0</v>
      </c>
      <c r="C184" s="77" t="s">
        <v>338</v>
      </c>
      <c r="D184" s="77" t="s">
        <v>1993</v>
      </c>
      <c r="E184" s="51" t="s">
        <v>53</v>
      </c>
      <c r="L184" s="89"/>
      <c r="M184" s="89"/>
      <c r="N184" s="89"/>
      <c r="O184" s="89"/>
      <c r="P184" s="89"/>
      <c r="Q184" s="89"/>
      <c r="R184" s="89"/>
      <c r="S184" s="89"/>
    </row>
    <row r="185">
      <c r="A185" s="70"/>
      <c r="B185" s="70"/>
      <c r="C185" s="71"/>
      <c r="D185" s="71"/>
      <c r="E185" s="70"/>
      <c r="F185" s="70"/>
      <c r="G185" s="70"/>
      <c r="H185" s="70"/>
      <c r="I185" s="70"/>
      <c r="J185" s="70"/>
      <c r="K185" s="70"/>
      <c r="L185" s="70"/>
      <c r="M185" s="70"/>
      <c r="N185" s="70"/>
      <c r="O185" s="70"/>
      <c r="P185" s="70"/>
      <c r="Q185" s="70"/>
      <c r="R185" s="70"/>
      <c r="S185" s="70"/>
      <c r="T185" s="70"/>
      <c r="U185" s="70"/>
      <c r="V185" s="70"/>
      <c r="W185" s="70"/>
      <c r="X185" s="70"/>
      <c r="Y185" s="70"/>
      <c r="Z185" s="70"/>
      <c r="AA185" s="70"/>
      <c r="AB185" s="70"/>
      <c r="AC185" s="70"/>
      <c r="AD185" s="70"/>
      <c r="AE185" s="70"/>
      <c r="AF185" s="70"/>
      <c r="AG185" s="70"/>
      <c r="AH185" s="70"/>
      <c r="AI185" s="70"/>
    </row>
    <row r="186">
      <c r="A186" s="14" t="s">
        <v>430</v>
      </c>
      <c r="B186" s="14" t="s">
        <v>431</v>
      </c>
      <c r="C186" s="77" t="s">
        <v>4630</v>
      </c>
      <c r="D186" s="77" t="s">
        <v>5222</v>
      </c>
      <c r="E186" s="51" t="s">
        <v>53</v>
      </c>
    </row>
    <row r="187">
      <c r="A187" s="14" t="s">
        <v>430</v>
      </c>
      <c r="B187" s="14" t="s">
        <v>434</v>
      </c>
      <c r="C187" s="77" t="s">
        <v>225</v>
      </c>
      <c r="D187" s="77" t="s">
        <v>45</v>
      </c>
      <c r="E187" s="14" t="s">
        <v>53</v>
      </c>
    </row>
    <row r="188">
      <c r="A188" s="70"/>
      <c r="B188" s="70"/>
      <c r="C188" s="71"/>
      <c r="D188" s="71"/>
      <c r="E188" s="70"/>
      <c r="F188" s="70"/>
      <c r="G188" s="70"/>
      <c r="H188" s="70"/>
      <c r="I188" s="70"/>
      <c r="J188" s="70"/>
      <c r="K188" s="70"/>
      <c r="L188" s="70"/>
      <c r="M188" s="70"/>
      <c r="N188" s="70"/>
      <c r="O188" s="70"/>
      <c r="P188" s="70"/>
      <c r="Q188" s="70"/>
      <c r="R188" s="70"/>
      <c r="S188" s="70"/>
      <c r="T188" s="70"/>
      <c r="U188" s="70"/>
      <c r="V188" s="70"/>
      <c r="W188" s="70"/>
      <c r="X188" s="70"/>
      <c r="Y188" s="70"/>
      <c r="Z188" s="70"/>
      <c r="AA188" s="70"/>
      <c r="AB188" s="70"/>
      <c r="AC188" s="70"/>
      <c r="AD188" s="70"/>
      <c r="AE188" s="70"/>
      <c r="AF188" s="70"/>
      <c r="AG188" s="70"/>
      <c r="AH188" s="70"/>
      <c r="AI188" s="70"/>
    </row>
    <row r="189">
      <c r="A189" s="14" t="s">
        <v>438</v>
      </c>
      <c r="C189" s="77" t="s">
        <v>551</v>
      </c>
      <c r="D189" s="77" t="s">
        <v>62</v>
      </c>
      <c r="E189" s="51" t="s">
        <v>53</v>
      </c>
      <c r="L189" s="89"/>
      <c r="M189" s="89"/>
      <c r="N189" s="89"/>
      <c r="O189" s="89"/>
      <c r="P189" s="89"/>
      <c r="Q189" s="89"/>
      <c r="R189" s="89"/>
      <c r="S189" s="89"/>
    </row>
    <row r="190">
      <c r="A190" s="70"/>
      <c r="B190" s="70"/>
      <c r="C190" s="71"/>
      <c r="D190" s="71"/>
      <c r="E190" s="70"/>
      <c r="F190" s="70"/>
      <c r="G190" s="70"/>
      <c r="H190" s="70"/>
      <c r="I190" s="70"/>
      <c r="J190" s="70"/>
      <c r="K190" s="70"/>
      <c r="L190" s="70"/>
      <c r="M190" s="70"/>
      <c r="N190" s="70"/>
      <c r="O190" s="70"/>
      <c r="P190" s="70"/>
      <c r="Q190" s="70"/>
      <c r="R190" s="70"/>
      <c r="S190" s="70"/>
      <c r="T190" s="70"/>
      <c r="U190" s="70"/>
      <c r="V190" s="70"/>
      <c r="W190" s="70"/>
      <c r="X190" s="70"/>
      <c r="Y190" s="70"/>
      <c r="Z190" s="70"/>
      <c r="AA190" s="70"/>
      <c r="AB190" s="70"/>
      <c r="AC190" s="70"/>
      <c r="AD190" s="70"/>
      <c r="AE190" s="70"/>
      <c r="AF190" s="70"/>
      <c r="AG190" s="70"/>
      <c r="AH190" s="70"/>
      <c r="AI190" s="70"/>
    </row>
    <row r="191">
      <c r="C191" s="139"/>
      <c r="D191" s="139"/>
    </row>
    <row r="192">
      <c r="C192" s="139"/>
      <c r="D192" s="139"/>
    </row>
    <row r="193">
      <c r="C193" s="139"/>
      <c r="D193" s="139"/>
    </row>
    <row r="194">
      <c r="C194" s="139"/>
      <c r="D194" s="139"/>
    </row>
    <row r="195">
      <c r="C195" s="139"/>
      <c r="D195" s="139"/>
    </row>
    <row r="196">
      <c r="C196" s="139"/>
      <c r="D196" s="139"/>
    </row>
    <row r="197">
      <c r="C197" s="139"/>
      <c r="D197" s="139"/>
    </row>
    <row r="198">
      <c r="C198" s="139"/>
      <c r="D198" s="139"/>
    </row>
    <row r="199">
      <c r="C199" s="139"/>
      <c r="D199" s="139"/>
    </row>
    <row r="200">
      <c r="C200" s="139"/>
      <c r="D200" s="139"/>
    </row>
    <row r="201">
      <c r="C201" s="139"/>
      <c r="D201" s="139"/>
    </row>
    <row r="202">
      <c r="C202" s="139"/>
      <c r="D202" s="139"/>
    </row>
    <row r="203">
      <c r="C203" s="139"/>
      <c r="D203" s="139"/>
    </row>
    <row r="204">
      <c r="C204" s="139"/>
      <c r="D204" s="139"/>
    </row>
    <row r="205">
      <c r="C205" s="139"/>
      <c r="D205" s="139"/>
    </row>
    <row r="206">
      <c r="C206" s="139"/>
      <c r="D206" s="139"/>
    </row>
    <row r="207">
      <c r="C207" s="139"/>
      <c r="D207" s="139"/>
    </row>
    <row r="208">
      <c r="C208" s="139"/>
      <c r="D208" s="139"/>
    </row>
    <row r="209">
      <c r="C209" s="139"/>
      <c r="D209" s="139"/>
    </row>
    <row r="210">
      <c r="C210" s="139"/>
      <c r="D210" s="139"/>
    </row>
    <row r="211">
      <c r="C211" s="139"/>
      <c r="D211" s="139"/>
    </row>
    <row r="212">
      <c r="C212" s="139"/>
      <c r="D212" s="139"/>
    </row>
    <row r="213">
      <c r="C213" s="139"/>
      <c r="D213" s="139"/>
    </row>
    <row r="214">
      <c r="C214" s="139"/>
      <c r="D214" s="139"/>
    </row>
    <row r="215">
      <c r="C215" s="139"/>
      <c r="D215" s="139"/>
    </row>
    <row r="216">
      <c r="C216" s="139"/>
      <c r="D216" s="139"/>
    </row>
    <row r="217">
      <c r="C217" s="139"/>
      <c r="D217" s="139"/>
    </row>
    <row r="218">
      <c r="C218" s="139"/>
      <c r="D218" s="139"/>
    </row>
    <row r="219">
      <c r="C219" s="139"/>
      <c r="D219" s="139"/>
    </row>
    <row r="220">
      <c r="C220" s="139"/>
      <c r="D220" s="139"/>
    </row>
    <row r="221">
      <c r="C221" s="139"/>
      <c r="D221" s="139"/>
    </row>
    <row r="222">
      <c r="C222" s="139"/>
      <c r="D222" s="139"/>
    </row>
    <row r="223">
      <c r="C223" s="139"/>
      <c r="D223" s="139"/>
    </row>
    <row r="224">
      <c r="C224" s="139"/>
      <c r="D224" s="139"/>
    </row>
    <row r="225">
      <c r="C225" s="139"/>
      <c r="D225" s="139"/>
    </row>
    <row r="226">
      <c r="C226" s="139"/>
      <c r="D226" s="139"/>
    </row>
    <row r="227">
      <c r="C227" s="139"/>
      <c r="D227" s="139"/>
    </row>
    <row r="228">
      <c r="C228" s="139"/>
      <c r="D228" s="139"/>
    </row>
    <row r="229">
      <c r="C229" s="139"/>
      <c r="D229" s="139"/>
    </row>
    <row r="230">
      <c r="C230" s="139"/>
      <c r="D230" s="139"/>
    </row>
    <row r="231">
      <c r="C231" s="139"/>
      <c r="D231" s="139"/>
    </row>
    <row r="232">
      <c r="C232" s="139"/>
      <c r="D232" s="139"/>
    </row>
    <row r="233">
      <c r="C233" s="139"/>
      <c r="D233" s="139"/>
    </row>
    <row r="234">
      <c r="C234" s="139"/>
      <c r="D234" s="139"/>
    </row>
    <row r="235">
      <c r="C235" s="139"/>
      <c r="D235" s="139"/>
    </row>
    <row r="236">
      <c r="C236" s="139"/>
      <c r="D236" s="139"/>
    </row>
    <row r="237">
      <c r="C237" s="139"/>
      <c r="D237" s="139"/>
    </row>
    <row r="238">
      <c r="C238" s="139"/>
      <c r="D238" s="139"/>
    </row>
    <row r="239">
      <c r="C239" s="139"/>
      <c r="D239" s="139"/>
    </row>
    <row r="240">
      <c r="C240" s="139"/>
      <c r="D240" s="139"/>
    </row>
    <row r="241">
      <c r="C241" s="139"/>
      <c r="D241" s="139"/>
    </row>
    <row r="242">
      <c r="C242" s="139"/>
      <c r="D242" s="139"/>
    </row>
    <row r="243">
      <c r="C243" s="139"/>
      <c r="D243" s="139"/>
    </row>
    <row r="244">
      <c r="C244" s="139"/>
      <c r="D244" s="139"/>
    </row>
    <row r="245">
      <c r="C245" s="139"/>
      <c r="D245" s="139"/>
    </row>
    <row r="246">
      <c r="C246" s="139"/>
      <c r="D246" s="139"/>
    </row>
    <row r="247">
      <c r="C247" s="139"/>
      <c r="D247" s="139"/>
    </row>
    <row r="248">
      <c r="C248" s="139"/>
      <c r="D248" s="139"/>
    </row>
    <row r="249">
      <c r="C249" s="139"/>
      <c r="D249" s="139"/>
    </row>
    <row r="250">
      <c r="C250" s="139"/>
      <c r="D250" s="139"/>
    </row>
    <row r="251">
      <c r="C251" s="139"/>
      <c r="D251" s="139"/>
    </row>
    <row r="252">
      <c r="C252" s="139"/>
      <c r="D252" s="139"/>
    </row>
    <row r="253">
      <c r="C253" s="139"/>
      <c r="D253" s="139"/>
    </row>
    <row r="254">
      <c r="C254" s="139"/>
      <c r="D254" s="139"/>
    </row>
    <row r="255">
      <c r="C255" s="139"/>
      <c r="D255" s="139"/>
    </row>
    <row r="256">
      <c r="C256" s="139"/>
      <c r="D256" s="139"/>
    </row>
    <row r="257">
      <c r="C257" s="139"/>
      <c r="D257" s="139"/>
    </row>
    <row r="258">
      <c r="C258" s="139"/>
      <c r="D258" s="139"/>
    </row>
    <row r="259">
      <c r="C259" s="139"/>
      <c r="D259" s="139"/>
    </row>
    <row r="260">
      <c r="C260" s="139"/>
      <c r="D260" s="139"/>
    </row>
    <row r="261">
      <c r="C261" s="139"/>
      <c r="D261" s="139"/>
    </row>
    <row r="262">
      <c r="C262" s="139"/>
      <c r="D262" s="139"/>
    </row>
    <row r="263">
      <c r="C263" s="139"/>
      <c r="D263" s="139"/>
    </row>
    <row r="264">
      <c r="C264" s="139"/>
      <c r="D264" s="139"/>
    </row>
    <row r="265">
      <c r="C265" s="139"/>
      <c r="D265" s="139"/>
    </row>
    <row r="266">
      <c r="C266" s="139"/>
      <c r="D266" s="139"/>
    </row>
    <row r="267">
      <c r="C267" s="139"/>
      <c r="D267" s="139"/>
    </row>
    <row r="268">
      <c r="C268" s="139"/>
      <c r="D268" s="139"/>
    </row>
    <row r="269">
      <c r="C269" s="139"/>
      <c r="D269" s="139"/>
    </row>
    <row r="270">
      <c r="C270" s="139"/>
      <c r="D270" s="139"/>
    </row>
    <row r="271">
      <c r="C271" s="139"/>
      <c r="D271" s="139"/>
    </row>
    <row r="272">
      <c r="C272" s="139"/>
      <c r="D272" s="139"/>
    </row>
    <row r="273">
      <c r="C273" s="139"/>
      <c r="D273" s="139"/>
    </row>
    <row r="274">
      <c r="C274" s="139"/>
      <c r="D274" s="139"/>
    </row>
    <row r="275">
      <c r="C275" s="139"/>
      <c r="D275" s="139"/>
    </row>
    <row r="276">
      <c r="C276" s="139"/>
      <c r="D276" s="139"/>
    </row>
    <row r="277">
      <c r="C277" s="139"/>
      <c r="D277" s="139"/>
    </row>
    <row r="278">
      <c r="C278" s="139"/>
      <c r="D278" s="139"/>
    </row>
    <row r="279">
      <c r="C279" s="139"/>
      <c r="D279" s="139"/>
    </row>
    <row r="280">
      <c r="C280" s="139"/>
      <c r="D280" s="139"/>
    </row>
    <row r="281">
      <c r="C281" s="139"/>
      <c r="D281" s="139"/>
    </row>
    <row r="282">
      <c r="C282" s="139"/>
      <c r="D282" s="139"/>
    </row>
    <row r="283">
      <c r="C283" s="139"/>
      <c r="D283" s="139"/>
    </row>
    <row r="284">
      <c r="C284" s="139"/>
      <c r="D284" s="139"/>
    </row>
    <row r="285">
      <c r="C285" s="139"/>
      <c r="D285" s="139"/>
    </row>
    <row r="286">
      <c r="C286" s="139"/>
      <c r="D286" s="139"/>
    </row>
    <row r="287">
      <c r="C287" s="139"/>
      <c r="D287" s="139"/>
    </row>
    <row r="288">
      <c r="C288" s="139"/>
      <c r="D288" s="139"/>
    </row>
    <row r="289">
      <c r="C289" s="139"/>
      <c r="D289" s="139"/>
    </row>
    <row r="290">
      <c r="C290" s="139"/>
      <c r="D290" s="139"/>
    </row>
    <row r="291">
      <c r="C291" s="139"/>
      <c r="D291" s="139"/>
    </row>
    <row r="292">
      <c r="C292" s="139"/>
      <c r="D292" s="139"/>
    </row>
    <row r="293">
      <c r="C293" s="139"/>
      <c r="D293" s="139"/>
    </row>
    <row r="294">
      <c r="C294" s="139"/>
      <c r="D294" s="139"/>
    </row>
    <row r="295">
      <c r="C295" s="139"/>
      <c r="D295" s="139"/>
    </row>
    <row r="296">
      <c r="C296" s="139"/>
      <c r="D296" s="139"/>
    </row>
    <row r="297">
      <c r="C297" s="139"/>
      <c r="D297" s="139"/>
    </row>
    <row r="298">
      <c r="C298" s="139"/>
      <c r="D298" s="139"/>
    </row>
    <row r="299">
      <c r="C299" s="139"/>
      <c r="D299" s="139"/>
    </row>
    <row r="300">
      <c r="C300" s="139"/>
      <c r="D300" s="139"/>
    </row>
    <row r="301">
      <c r="C301" s="139"/>
      <c r="D301" s="139"/>
    </row>
    <row r="302">
      <c r="C302" s="139"/>
      <c r="D302" s="139"/>
    </row>
    <row r="303">
      <c r="C303" s="139"/>
      <c r="D303" s="139"/>
    </row>
    <row r="304">
      <c r="C304" s="139"/>
      <c r="D304" s="139"/>
    </row>
    <row r="305">
      <c r="C305" s="139"/>
      <c r="D305" s="139"/>
    </row>
    <row r="306">
      <c r="C306" s="139"/>
      <c r="D306" s="139"/>
    </row>
    <row r="307">
      <c r="C307" s="139"/>
      <c r="D307" s="139"/>
    </row>
    <row r="308">
      <c r="C308" s="139"/>
      <c r="D308" s="139"/>
    </row>
    <row r="309">
      <c r="C309" s="139"/>
      <c r="D309" s="139"/>
    </row>
    <row r="310">
      <c r="C310" s="139"/>
      <c r="D310" s="139"/>
    </row>
    <row r="311">
      <c r="C311" s="139"/>
      <c r="D311" s="139"/>
    </row>
    <row r="312">
      <c r="C312" s="139"/>
      <c r="D312" s="139"/>
    </row>
    <row r="313">
      <c r="C313" s="139"/>
      <c r="D313" s="139"/>
    </row>
    <row r="314">
      <c r="C314" s="139"/>
      <c r="D314" s="139"/>
    </row>
    <row r="315">
      <c r="C315" s="139"/>
      <c r="D315" s="139"/>
    </row>
    <row r="316">
      <c r="C316" s="139"/>
      <c r="D316" s="139"/>
    </row>
    <row r="317">
      <c r="C317" s="139"/>
      <c r="D317" s="139"/>
    </row>
    <row r="318">
      <c r="C318" s="139"/>
      <c r="D318" s="139"/>
    </row>
    <row r="319">
      <c r="C319" s="139"/>
      <c r="D319" s="139"/>
    </row>
    <row r="320">
      <c r="C320" s="139"/>
      <c r="D320" s="139"/>
    </row>
    <row r="321">
      <c r="C321" s="139"/>
      <c r="D321" s="139"/>
    </row>
    <row r="322">
      <c r="C322" s="139"/>
      <c r="D322" s="139"/>
    </row>
    <row r="323">
      <c r="C323" s="139"/>
      <c r="D323" s="139"/>
    </row>
    <row r="324">
      <c r="C324" s="139"/>
      <c r="D324" s="139"/>
    </row>
    <row r="325">
      <c r="C325" s="139"/>
      <c r="D325" s="139"/>
    </row>
    <row r="326">
      <c r="C326" s="139"/>
      <c r="D326" s="139"/>
    </row>
    <row r="327">
      <c r="C327" s="139"/>
      <c r="D327" s="139"/>
    </row>
    <row r="328">
      <c r="C328" s="139"/>
      <c r="D328" s="139"/>
    </row>
    <row r="329">
      <c r="C329" s="139"/>
      <c r="D329" s="139"/>
    </row>
    <row r="330">
      <c r="C330" s="139"/>
      <c r="D330" s="139"/>
    </row>
    <row r="331">
      <c r="C331" s="139"/>
      <c r="D331" s="139"/>
    </row>
    <row r="332">
      <c r="C332" s="139"/>
      <c r="D332" s="139"/>
    </row>
    <row r="333">
      <c r="C333" s="139"/>
      <c r="D333" s="139"/>
    </row>
    <row r="334">
      <c r="C334" s="139"/>
      <c r="D334" s="139"/>
    </row>
    <row r="335">
      <c r="C335" s="139"/>
      <c r="D335" s="139"/>
    </row>
    <row r="336">
      <c r="C336" s="139"/>
      <c r="D336" s="139"/>
    </row>
    <row r="337">
      <c r="C337" s="139"/>
      <c r="D337" s="139"/>
    </row>
    <row r="338">
      <c r="C338" s="139"/>
      <c r="D338" s="139"/>
    </row>
    <row r="339">
      <c r="C339" s="139"/>
      <c r="D339" s="139"/>
    </row>
    <row r="340">
      <c r="C340" s="139"/>
      <c r="D340" s="139"/>
    </row>
    <row r="341">
      <c r="C341" s="139"/>
      <c r="D341" s="139"/>
    </row>
    <row r="342">
      <c r="C342" s="139"/>
      <c r="D342" s="139"/>
    </row>
    <row r="343">
      <c r="C343" s="139"/>
      <c r="D343" s="139"/>
    </row>
    <row r="344">
      <c r="C344" s="139"/>
      <c r="D344" s="139"/>
    </row>
    <row r="345">
      <c r="C345" s="139"/>
      <c r="D345" s="139"/>
    </row>
    <row r="346">
      <c r="C346" s="139"/>
      <c r="D346" s="139"/>
    </row>
    <row r="347">
      <c r="C347" s="139"/>
      <c r="D347" s="139"/>
    </row>
    <row r="348">
      <c r="C348" s="139"/>
      <c r="D348" s="139"/>
    </row>
    <row r="349">
      <c r="C349" s="139"/>
      <c r="D349" s="139"/>
    </row>
    <row r="350">
      <c r="C350" s="139"/>
      <c r="D350" s="139"/>
    </row>
    <row r="351">
      <c r="C351" s="139"/>
      <c r="D351" s="139"/>
    </row>
    <row r="352">
      <c r="C352" s="139"/>
      <c r="D352" s="139"/>
    </row>
    <row r="353">
      <c r="C353" s="139"/>
      <c r="D353" s="139"/>
    </row>
    <row r="354">
      <c r="C354" s="139"/>
      <c r="D354" s="139"/>
    </row>
    <row r="355">
      <c r="C355" s="139"/>
      <c r="D355" s="139"/>
    </row>
    <row r="356">
      <c r="C356" s="139"/>
      <c r="D356" s="139"/>
    </row>
    <row r="357">
      <c r="C357" s="139"/>
      <c r="D357" s="139"/>
    </row>
    <row r="358">
      <c r="C358" s="139"/>
      <c r="D358" s="139"/>
    </row>
    <row r="359">
      <c r="C359" s="139"/>
      <c r="D359" s="139"/>
    </row>
    <row r="360">
      <c r="C360" s="139"/>
      <c r="D360" s="139"/>
    </row>
    <row r="361">
      <c r="C361" s="139"/>
      <c r="D361" s="139"/>
    </row>
    <row r="362">
      <c r="C362" s="139"/>
      <c r="D362" s="139"/>
    </row>
    <row r="363">
      <c r="C363" s="139"/>
      <c r="D363" s="139"/>
    </row>
    <row r="364">
      <c r="C364" s="139"/>
      <c r="D364" s="139"/>
    </row>
    <row r="365">
      <c r="C365" s="139"/>
      <c r="D365" s="139"/>
    </row>
    <row r="366">
      <c r="C366" s="139"/>
      <c r="D366" s="139"/>
    </row>
    <row r="367">
      <c r="C367" s="139"/>
      <c r="D367" s="139"/>
    </row>
    <row r="368">
      <c r="C368" s="139"/>
      <c r="D368" s="139"/>
    </row>
    <row r="369">
      <c r="C369" s="139"/>
      <c r="D369" s="139"/>
    </row>
    <row r="370">
      <c r="C370" s="139"/>
      <c r="D370" s="139"/>
    </row>
    <row r="371">
      <c r="C371" s="139"/>
      <c r="D371" s="139"/>
    </row>
    <row r="372">
      <c r="C372" s="139"/>
      <c r="D372" s="139"/>
    </row>
    <row r="373">
      <c r="C373" s="139"/>
      <c r="D373" s="139"/>
    </row>
    <row r="374">
      <c r="C374" s="139"/>
      <c r="D374" s="139"/>
    </row>
    <row r="375">
      <c r="C375" s="139"/>
      <c r="D375" s="139"/>
    </row>
    <row r="376">
      <c r="C376" s="139"/>
      <c r="D376" s="139"/>
    </row>
    <row r="377">
      <c r="C377" s="139"/>
      <c r="D377" s="139"/>
    </row>
    <row r="378">
      <c r="C378" s="139"/>
      <c r="D378" s="139"/>
    </row>
    <row r="379">
      <c r="C379" s="139"/>
      <c r="D379" s="139"/>
    </row>
    <row r="380">
      <c r="C380" s="139"/>
      <c r="D380" s="139"/>
    </row>
    <row r="381">
      <c r="C381" s="139"/>
      <c r="D381" s="139"/>
    </row>
    <row r="382">
      <c r="C382" s="139"/>
      <c r="D382" s="139"/>
    </row>
    <row r="383">
      <c r="C383" s="139"/>
      <c r="D383" s="139"/>
    </row>
    <row r="384">
      <c r="C384" s="139"/>
      <c r="D384" s="139"/>
    </row>
    <row r="385">
      <c r="C385" s="139"/>
      <c r="D385" s="139"/>
    </row>
    <row r="386">
      <c r="C386" s="139"/>
      <c r="D386" s="139"/>
    </row>
    <row r="387">
      <c r="C387" s="139"/>
      <c r="D387" s="139"/>
    </row>
    <row r="388">
      <c r="C388" s="139"/>
      <c r="D388" s="139"/>
    </row>
    <row r="389">
      <c r="C389" s="139"/>
      <c r="D389" s="139"/>
    </row>
    <row r="390">
      <c r="C390" s="139"/>
      <c r="D390" s="139"/>
    </row>
    <row r="391">
      <c r="C391" s="139"/>
      <c r="D391" s="139"/>
    </row>
    <row r="392">
      <c r="C392" s="139"/>
      <c r="D392" s="139"/>
    </row>
    <row r="393">
      <c r="C393" s="139"/>
      <c r="D393" s="139"/>
    </row>
    <row r="394">
      <c r="C394" s="139"/>
      <c r="D394" s="139"/>
    </row>
    <row r="395">
      <c r="C395" s="139"/>
      <c r="D395" s="139"/>
    </row>
    <row r="396">
      <c r="C396" s="139"/>
      <c r="D396" s="139"/>
    </row>
    <row r="397">
      <c r="C397" s="139"/>
      <c r="D397" s="139"/>
    </row>
    <row r="398">
      <c r="C398" s="139"/>
      <c r="D398" s="139"/>
    </row>
    <row r="399">
      <c r="C399" s="139"/>
      <c r="D399" s="139"/>
    </row>
    <row r="400">
      <c r="C400" s="139"/>
      <c r="D400" s="139"/>
    </row>
    <row r="401">
      <c r="C401" s="139"/>
      <c r="D401" s="139"/>
    </row>
    <row r="402">
      <c r="C402" s="139"/>
      <c r="D402" s="139"/>
    </row>
    <row r="403">
      <c r="C403" s="139"/>
      <c r="D403" s="139"/>
    </row>
    <row r="404">
      <c r="C404" s="139"/>
      <c r="D404" s="139"/>
    </row>
    <row r="405">
      <c r="C405" s="139"/>
      <c r="D405" s="139"/>
    </row>
    <row r="406">
      <c r="C406" s="139"/>
      <c r="D406" s="139"/>
    </row>
    <row r="407">
      <c r="C407" s="139"/>
      <c r="D407" s="139"/>
    </row>
    <row r="408">
      <c r="C408" s="139"/>
      <c r="D408" s="139"/>
    </row>
    <row r="409">
      <c r="C409" s="139"/>
      <c r="D409" s="139"/>
    </row>
    <row r="410">
      <c r="C410" s="139"/>
      <c r="D410" s="139"/>
    </row>
    <row r="411">
      <c r="C411" s="139"/>
      <c r="D411" s="139"/>
    </row>
    <row r="412">
      <c r="C412" s="139"/>
      <c r="D412" s="139"/>
    </row>
    <row r="413">
      <c r="C413" s="139"/>
      <c r="D413" s="139"/>
    </row>
    <row r="414">
      <c r="C414" s="139"/>
      <c r="D414" s="139"/>
    </row>
    <row r="415">
      <c r="C415" s="139"/>
      <c r="D415" s="139"/>
    </row>
    <row r="416">
      <c r="C416" s="139"/>
      <c r="D416" s="139"/>
    </row>
    <row r="417">
      <c r="C417" s="139"/>
      <c r="D417" s="139"/>
    </row>
    <row r="418">
      <c r="C418" s="139"/>
      <c r="D418" s="139"/>
    </row>
    <row r="419">
      <c r="C419" s="139"/>
      <c r="D419" s="139"/>
    </row>
    <row r="420">
      <c r="C420" s="139"/>
      <c r="D420" s="139"/>
    </row>
    <row r="421">
      <c r="C421" s="139"/>
      <c r="D421" s="139"/>
    </row>
    <row r="422">
      <c r="C422" s="139"/>
      <c r="D422" s="139"/>
    </row>
    <row r="423">
      <c r="C423" s="139"/>
      <c r="D423" s="139"/>
    </row>
    <row r="424">
      <c r="C424" s="139"/>
      <c r="D424" s="139"/>
    </row>
    <row r="425">
      <c r="C425" s="139"/>
      <c r="D425" s="139"/>
    </row>
    <row r="426">
      <c r="C426" s="139"/>
      <c r="D426" s="139"/>
    </row>
    <row r="427">
      <c r="C427" s="139"/>
      <c r="D427" s="139"/>
    </row>
    <row r="428">
      <c r="C428" s="139"/>
      <c r="D428" s="139"/>
    </row>
    <row r="429">
      <c r="C429" s="139"/>
      <c r="D429" s="139"/>
    </row>
    <row r="430">
      <c r="C430" s="139"/>
      <c r="D430" s="139"/>
    </row>
    <row r="431">
      <c r="C431" s="139"/>
      <c r="D431" s="139"/>
    </row>
    <row r="432">
      <c r="C432" s="139"/>
      <c r="D432" s="139"/>
    </row>
    <row r="433">
      <c r="C433" s="139"/>
      <c r="D433" s="139"/>
    </row>
    <row r="434">
      <c r="C434" s="139"/>
      <c r="D434" s="139"/>
    </row>
    <row r="435">
      <c r="C435" s="139"/>
      <c r="D435" s="139"/>
    </row>
    <row r="436">
      <c r="C436" s="139"/>
      <c r="D436" s="139"/>
    </row>
    <row r="437">
      <c r="C437" s="139"/>
      <c r="D437" s="139"/>
    </row>
    <row r="438">
      <c r="C438" s="139"/>
      <c r="D438" s="139"/>
    </row>
    <row r="439">
      <c r="C439" s="139"/>
      <c r="D439" s="139"/>
    </row>
    <row r="440">
      <c r="C440" s="139"/>
      <c r="D440" s="139"/>
    </row>
    <row r="441">
      <c r="C441" s="139"/>
      <c r="D441" s="139"/>
    </row>
    <row r="442">
      <c r="C442" s="139"/>
      <c r="D442" s="139"/>
    </row>
    <row r="443">
      <c r="C443" s="139"/>
      <c r="D443" s="139"/>
    </row>
    <row r="444">
      <c r="C444" s="139"/>
      <c r="D444" s="139"/>
    </row>
    <row r="445">
      <c r="C445" s="139"/>
      <c r="D445" s="139"/>
    </row>
    <row r="446">
      <c r="C446" s="139"/>
      <c r="D446" s="139"/>
    </row>
    <row r="447">
      <c r="C447" s="139"/>
      <c r="D447" s="139"/>
    </row>
    <row r="448">
      <c r="C448" s="139"/>
      <c r="D448" s="139"/>
    </row>
    <row r="449">
      <c r="C449" s="139"/>
      <c r="D449" s="139"/>
    </row>
    <row r="450">
      <c r="C450" s="139"/>
      <c r="D450" s="139"/>
    </row>
    <row r="451">
      <c r="C451" s="139"/>
      <c r="D451" s="139"/>
    </row>
    <row r="452">
      <c r="C452" s="139"/>
      <c r="D452" s="139"/>
    </row>
    <row r="453">
      <c r="C453" s="139"/>
      <c r="D453" s="139"/>
    </row>
    <row r="454">
      <c r="C454" s="139"/>
      <c r="D454" s="139"/>
    </row>
    <row r="455">
      <c r="C455" s="139"/>
      <c r="D455" s="139"/>
    </row>
    <row r="456">
      <c r="C456" s="139"/>
      <c r="D456" s="139"/>
    </row>
    <row r="457">
      <c r="C457" s="139"/>
      <c r="D457" s="139"/>
    </row>
    <row r="458">
      <c r="C458" s="139"/>
      <c r="D458" s="139"/>
    </row>
    <row r="459">
      <c r="C459" s="139"/>
      <c r="D459" s="139"/>
    </row>
    <row r="460">
      <c r="C460" s="139"/>
      <c r="D460" s="139"/>
    </row>
    <row r="461">
      <c r="C461" s="139"/>
      <c r="D461" s="139"/>
    </row>
    <row r="462">
      <c r="C462" s="139"/>
      <c r="D462" s="139"/>
    </row>
    <row r="463">
      <c r="C463" s="139"/>
      <c r="D463" s="139"/>
    </row>
    <row r="464">
      <c r="C464" s="139"/>
      <c r="D464" s="139"/>
    </row>
    <row r="465">
      <c r="C465" s="139"/>
      <c r="D465" s="139"/>
    </row>
    <row r="466">
      <c r="C466" s="139"/>
      <c r="D466" s="139"/>
    </row>
    <row r="467">
      <c r="C467" s="139"/>
      <c r="D467" s="139"/>
    </row>
    <row r="468">
      <c r="C468" s="139"/>
      <c r="D468" s="139"/>
    </row>
    <row r="469">
      <c r="C469" s="139"/>
      <c r="D469" s="139"/>
    </row>
    <row r="470">
      <c r="C470" s="139"/>
      <c r="D470" s="139"/>
    </row>
    <row r="471">
      <c r="C471" s="139"/>
      <c r="D471" s="139"/>
    </row>
    <row r="472">
      <c r="C472" s="139"/>
      <c r="D472" s="139"/>
    </row>
    <row r="473">
      <c r="C473" s="139"/>
      <c r="D473" s="139"/>
    </row>
    <row r="474">
      <c r="C474" s="139"/>
      <c r="D474" s="139"/>
    </row>
    <row r="475">
      <c r="C475" s="139"/>
      <c r="D475" s="139"/>
    </row>
    <row r="476">
      <c r="C476" s="139"/>
      <c r="D476" s="139"/>
    </row>
    <row r="477">
      <c r="C477" s="139"/>
      <c r="D477" s="139"/>
    </row>
    <row r="478">
      <c r="C478" s="139"/>
      <c r="D478" s="139"/>
    </row>
    <row r="479">
      <c r="C479" s="139"/>
      <c r="D479" s="139"/>
    </row>
    <row r="480">
      <c r="C480" s="139"/>
      <c r="D480" s="139"/>
    </row>
    <row r="481">
      <c r="C481" s="139"/>
      <c r="D481" s="139"/>
    </row>
    <row r="482">
      <c r="C482" s="139"/>
      <c r="D482" s="139"/>
    </row>
    <row r="483">
      <c r="C483" s="139"/>
      <c r="D483" s="139"/>
    </row>
    <row r="484">
      <c r="C484" s="139"/>
      <c r="D484" s="139"/>
    </row>
    <row r="485">
      <c r="C485" s="139"/>
      <c r="D485" s="139"/>
    </row>
    <row r="486">
      <c r="C486" s="139"/>
      <c r="D486" s="139"/>
    </row>
    <row r="487">
      <c r="C487" s="139"/>
      <c r="D487" s="139"/>
    </row>
    <row r="488">
      <c r="C488" s="139"/>
      <c r="D488" s="139"/>
    </row>
    <row r="489">
      <c r="C489" s="139"/>
      <c r="D489" s="139"/>
    </row>
    <row r="490">
      <c r="C490" s="139"/>
      <c r="D490" s="139"/>
    </row>
    <row r="491">
      <c r="C491" s="139"/>
      <c r="D491" s="139"/>
    </row>
    <row r="492">
      <c r="C492" s="139"/>
      <c r="D492" s="139"/>
    </row>
    <row r="493">
      <c r="C493" s="139"/>
      <c r="D493" s="139"/>
    </row>
    <row r="494">
      <c r="C494" s="139"/>
      <c r="D494" s="139"/>
    </row>
    <row r="495">
      <c r="C495" s="139"/>
      <c r="D495" s="139"/>
    </row>
    <row r="496">
      <c r="C496" s="139"/>
      <c r="D496" s="139"/>
    </row>
    <row r="497">
      <c r="C497" s="139"/>
      <c r="D497" s="139"/>
    </row>
    <row r="498">
      <c r="C498" s="139"/>
      <c r="D498" s="139"/>
    </row>
    <row r="499">
      <c r="C499" s="139"/>
      <c r="D499" s="139"/>
    </row>
    <row r="500">
      <c r="C500" s="139"/>
      <c r="D500" s="139"/>
    </row>
    <row r="501">
      <c r="C501" s="139"/>
      <c r="D501" s="139"/>
    </row>
    <row r="502">
      <c r="C502" s="139"/>
      <c r="D502" s="139"/>
    </row>
    <row r="503">
      <c r="C503" s="139"/>
      <c r="D503" s="139"/>
    </row>
    <row r="504">
      <c r="C504" s="139"/>
      <c r="D504" s="139"/>
    </row>
    <row r="505">
      <c r="C505" s="139"/>
      <c r="D505" s="139"/>
    </row>
    <row r="506">
      <c r="C506" s="139"/>
      <c r="D506" s="139"/>
    </row>
    <row r="507">
      <c r="C507" s="139"/>
      <c r="D507" s="139"/>
    </row>
    <row r="508">
      <c r="C508" s="139"/>
      <c r="D508" s="139"/>
    </row>
    <row r="509">
      <c r="C509" s="139"/>
      <c r="D509" s="139"/>
    </row>
    <row r="510">
      <c r="C510" s="139"/>
      <c r="D510" s="139"/>
    </row>
    <row r="511">
      <c r="C511" s="139"/>
      <c r="D511" s="139"/>
    </row>
    <row r="512">
      <c r="C512" s="139"/>
      <c r="D512" s="139"/>
    </row>
    <row r="513">
      <c r="C513" s="139"/>
      <c r="D513" s="139"/>
    </row>
    <row r="514">
      <c r="C514" s="139"/>
      <c r="D514" s="139"/>
    </row>
    <row r="515">
      <c r="C515" s="139"/>
      <c r="D515" s="139"/>
    </row>
    <row r="516">
      <c r="C516" s="139"/>
      <c r="D516" s="139"/>
    </row>
    <row r="517">
      <c r="C517" s="139"/>
      <c r="D517" s="139"/>
    </row>
    <row r="518">
      <c r="C518" s="139"/>
      <c r="D518" s="139"/>
    </row>
    <row r="519">
      <c r="C519" s="139"/>
      <c r="D519" s="139"/>
    </row>
    <row r="520">
      <c r="C520" s="139"/>
      <c r="D520" s="139"/>
    </row>
    <row r="521">
      <c r="C521" s="139"/>
      <c r="D521" s="139"/>
    </row>
    <row r="522">
      <c r="C522" s="139"/>
      <c r="D522" s="139"/>
    </row>
    <row r="523">
      <c r="C523" s="139"/>
      <c r="D523" s="139"/>
    </row>
    <row r="524">
      <c r="C524" s="139"/>
      <c r="D524" s="139"/>
    </row>
    <row r="525">
      <c r="C525" s="139"/>
      <c r="D525" s="139"/>
    </row>
    <row r="526">
      <c r="C526" s="139"/>
      <c r="D526" s="139"/>
    </row>
    <row r="527">
      <c r="C527" s="139"/>
      <c r="D527" s="139"/>
    </row>
    <row r="528">
      <c r="C528" s="139"/>
      <c r="D528" s="139"/>
    </row>
    <row r="529">
      <c r="C529" s="139"/>
      <c r="D529" s="139"/>
    </row>
    <row r="530">
      <c r="C530" s="139"/>
      <c r="D530" s="139"/>
    </row>
    <row r="531">
      <c r="C531" s="139"/>
      <c r="D531" s="139"/>
    </row>
    <row r="532">
      <c r="C532" s="139"/>
      <c r="D532" s="139"/>
    </row>
    <row r="533">
      <c r="C533" s="139"/>
      <c r="D533" s="139"/>
    </row>
    <row r="534">
      <c r="C534" s="139"/>
      <c r="D534" s="139"/>
    </row>
    <row r="535">
      <c r="C535" s="139"/>
      <c r="D535" s="139"/>
    </row>
    <row r="536">
      <c r="C536" s="139"/>
      <c r="D536" s="139"/>
    </row>
    <row r="537">
      <c r="C537" s="139"/>
      <c r="D537" s="139"/>
    </row>
    <row r="538">
      <c r="C538" s="139"/>
      <c r="D538" s="139"/>
    </row>
    <row r="539">
      <c r="C539" s="139"/>
      <c r="D539" s="139"/>
    </row>
    <row r="540">
      <c r="C540" s="139"/>
      <c r="D540" s="139"/>
    </row>
    <row r="541">
      <c r="C541" s="139"/>
      <c r="D541" s="139"/>
    </row>
    <row r="542">
      <c r="C542" s="139"/>
      <c r="D542" s="139"/>
    </row>
    <row r="543">
      <c r="C543" s="139"/>
      <c r="D543" s="139"/>
    </row>
    <row r="544">
      <c r="C544" s="139"/>
      <c r="D544" s="139"/>
    </row>
    <row r="545">
      <c r="C545" s="139"/>
      <c r="D545" s="139"/>
    </row>
    <row r="546">
      <c r="C546" s="139"/>
      <c r="D546" s="139"/>
    </row>
    <row r="547">
      <c r="C547" s="139"/>
      <c r="D547" s="139"/>
    </row>
    <row r="548">
      <c r="C548" s="139"/>
      <c r="D548" s="139"/>
    </row>
    <row r="549">
      <c r="C549" s="139"/>
      <c r="D549" s="139"/>
    </row>
    <row r="550">
      <c r="C550" s="139"/>
      <c r="D550" s="139"/>
    </row>
    <row r="551">
      <c r="C551" s="139"/>
      <c r="D551" s="139"/>
    </row>
    <row r="552">
      <c r="C552" s="139"/>
      <c r="D552" s="139"/>
    </row>
    <row r="553">
      <c r="C553" s="139"/>
      <c r="D553" s="139"/>
    </row>
    <row r="554">
      <c r="C554" s="139"/>
      <c r="D554" s="139"/>
    </row>
    <row r="555">
      <c r="C555" s="139"/>
      <c r="D555" s="139"/>
    </row>
    <row r="556">
      <c r="C556" s="139"/>
      <c r="D556" s="139"/>
    </row>
    <row r="557">
      <c r="C557" s="139"/>
      <c r="D557" s="139"/>
    </row>
    <row r="558">
      <c r="C558" s="139"/>
      <c r="D558" s="139"/>
    </row>
    <row r="559">
      <c r="C559" s="139"/>
      <c r="D559" s="139"/>
    </row>
    <row r="560">
      <c r="C560" s="139"/>
      <c r="D560" s="139"/>
    </row>
    <row r="561">
      <c r="C561" s="139"/>
      <c r="D561" s="139"/>
    </row>
    <row r="562">
      <c r="C562" s="139"/>
      <c r="D562" s="139"/>
    </row>
    <row r="563">
      <c r="C563" s="139"/>
      <c r="D563" s="139"/>
    </row>
    <row r="564">
      <c r="C564" s="139"/>
      <c r="D564" s="139"/>
    </row>
    <row r="565">
      <c r="C565" s="139"/>
      <c r="D565" s="139"/>
    </row>
    <row r="566">
      <c r="C566" s="139"/>
      <c r="D566" s="139"/>
    </row>
    <row r="567">
      <c r="C567" s="139"/>
      <c r="D567" s="139"/>
    </row>
    <row r="568">
      <c r="C568" s="139"/>
      <c r="D568" s="139"/>
    </row>
    <row r="569">
      <c r="C569" s="139"/>
      <c r="D569" s="139"/>
    </row>
    <row r="570">
      <c r="C570" s="139"/>
      <c r="D570" s="139"/>
    </row>
    <row r="571">
      <c r="C571" s="139"/>
      <c r="D571" s="139"/>
    </row>
    <row r="572">
      <c r="C572" s="139"/>
      <c r="D572" s="139"/>
    </row>
    <row r="573">
      <c r="C573" s="139"/>
      <c r="D573" s="139"/>
    </row>
    <row r="574">
      <c r="C574" s="139"/>
      <c r="D574" s="139"/>
    </row>
    <row r="575">
      <c r="C575" s="139"/>
      <c r="D575" s="139"/>
    </row>
    <row r="576">
      <c r="C576" s="139"/>
      <c r="D576" s="139"/>
    </row>
    <row r="577">
      <c r="C577" s="139"/>
      <c r="D577" s="139"/>
    </row>
    <row r="578">
      <c r="C578" s="139"/>
      <c r="D578" s="139"/>
    </row>
    <row r="579">
      <c r="C579" s="139"/>
      <c r="D579" s="139"/>
    </row>
    <row r="580">
      <c r="C580" s="139"/>
      <c r="D580" s="139"/>
    </row>
    <row r="581">
      <c r="C581" s="139"/>
      <c r="D581" s="139"/>
    </row>
    <row r="582">
      <c r="C582" s="139"/>
      <c r="D582" s="139"/>
    </row>
    <row r="583">
      <c r="C583" s="139"/>
      <c r="D583" s="139"/>
    </row>
    <row r="584">
      <c r="C584" s="139"/>
      <c r="D584" s="139"/>
    </row>
    <row r="585">
      <c r="C585" s="139"/>
      <c r="D585" s="139"/>
    </row>
    <row r="586">
      <c r="C586" s="139"/>
      <c r="D586" s="139"/>
    </row>
    <row r="587">
      <c r="C587" s="139"/>
      <c r="D587" s="139"/>
    </row>
    <row r="588">
      <c r="C588" s="139"/>
      <c r="D588" s="139"/>
    </row>
    <row r="589">
      <c r="C589" s="139"/>
      <c r="D589" s="139"/>
    </row>
    <row r="590">
      <c r="C590" s="139"/>
      <c r="D590" s="139"/>
    </row>
    <row r="591">
      <c r="C591" s="139"/>
      <c r="D591" s="139"/>
    </row>
    <row r="592">
      <c r="C592" s="139"/>
      <c r="D592" s="139"/>
    </row>
    <row r="593">
      <c r="C593" s="139"/>
      <c r="D593" s="139"/>
    </row>
    <row r="594">
      <c r="C594" s="139"/>
      <c r="D594" s="139"/>
    </row>
    <row r="595">
      <c r="C595" s="139"/>
      <c r="D595" s="139"/>
    </row>
    <row r="596">
      <c r="C596" s="139"/>
      <c r="D596" s="139"/>
    </row>
    <row r="597">
      <c r="C597" s="139"/>
      <c r="D597" s="139"/>
    </row>
    <row r="598">
      <c r="C598" s="139"/>
      <c r="D598" s="139"/>
    </row>
    <row r="599">
      <c r="C599" s="139"/>
      <c r="D599" s="139"/>
    </row>
    <row r="600">
      <c r="C600" s="139"/>
      <c r="D600" s="139"/>
    </row>
    <row r="601">
      <c r="C601" s="139"/>
      <c r="D601" s="139"/>
    </row>
    <row r="602">
      <c r="C602" s="139"/>
      <c r="D602" s="139"/>
    </row>
    <row r="603">
      <c r="C603" s="139"/>
      <c r="D603" s="139"/>
    </row>
    <row r="604">
      <c r="C604" s="139"/>
      <c r="D604" s="139"/>
    </row>
    <row r="605">
      <c r="C605" s="139"/>
      <c r="D605" s="139"/>
    </row>
    <row r="606">
      <c r="C606" s="139"/>
      <c r="D606" s="139"/>
    </row>
    <row r="607">
      <c r="C607" s="139"/>
      <c r="D607" s="139"/>
    </row>
    <row r="608">
      <c r="C608" s="139"/>
      <c r="D608" s="139"/>
    </row>
    <row r="609">
      <c r="C609" s="139"/>
      <c r="D609" s="139"/>
    </row>
    <row r="610">
      <c r="C610" s="139"/>
      <c r="D610" s="139"/>
    </row>
    <row r="611">
      <c r="C611" s="139"/>
      <c r="D611" s="139"/>
    </row>
    <row r="612">
      <c r="C612" s="139"/>
      <c r="D612" s="139"/>
    </row>
    <row r="613">
      <c r="C613" s="139"/>
      <c r="D613" s="139"/>
    </row>
    <row r="614">
      <c r="C614" s="139"/>
      <c r="D614" s="139"/>
    </row>
    <row r="615">
      <c r="C615" s="139"/>
      <c r="D615" s="139"/>
    </row>
    <row r="616">
      <c r="C616" s="139"/>
      <c r="D616" s="139"/>
    </row>
    <row r="617">
      <c r="C617" s="139"/>
      <c r="D617" s="139"/>
    </row>
    <row r="618">
      <c r="C618" s="139"/>
      <c r="D618" s="139"/>
    </row>
    <row r="619">
      <c r="C619" s="139"/>
      <c r="D619" s="139"/>
    </row>
    <row r="620">
      <c r="C620" s="139"/>
      <c r="D620" s="139"/>
    </row>
    <row r="621">
      <c r="C621" s="139"/>
      <c r="D621" s="139"/>
    </row>
    <row r="622">
      <c r="C622" s="139"/>
      <c r="D622" s="139"/>
    </row>
    <row r="623">
      <c r="C623" s="139"/>
      <c r="D623" s="139"/>
    </row>
    <row r="624">
      <c r="C624" s="139"/>
      <c r="D624" s="139"/>
    </row>
    <row r="625">
      <c r="C625" s="139"/>
      <c r="D625" s="139"/>
    </row>
    <row r="626">
      <c r="C626" s="139"/>
      <c r="D626" s="139"/>
    </row>
    <row r="627">
      <c r="C627" s="139"/>
      <c r="D627" s="139"/>
    </row>
    <row r="628">
      <c r="C628" s="139"/>
      <c r="D628" s="139"/>
    </row>
    <row r="629">
      <c r="C629" s="139"/>
      <c r="D629" s="139"/>
    </row>
    <row r="630">
      <c r="C630" s="139"/>
      <c r="D630" s="139"/>
    </row>
    <row r="631">
      <c r="C631" s="139"/>
      <c r="D631" s="139"/>
    </row>
    <row r="632">
      <c r="C632" s="139"/>
      <c r="D632" s="139"/>
    </row>
    <row r="633">
      <c r="C633" s="139"/>
      <c r="D633" s="139"/>
    </row>
    <row r="634">
      <c r="C634" s="139"/>
      <c r="D634" s="139"/>
    </row>
    <row r="635">
      <c r="C635" s="139"/>
      <c r="D635" s="139"/>
    </row>
    <row r="636">
      <c r="C636" s="139"/>
      <c r="D636" s="139"/>
    </row>
    <row r="637">
      <c r="C637" s="139"/>
      <c r="D637" s="139"/>
    </row>
    <row r="638">
      <c r="C638" s="139"/>
      <c r="D638" s="139"/>
    </row>
    <row r="639">
      <c r="C639" s="139"/>
      <c r="D639" s="139"/>
    </row>
    <row r="640">
      <c r="C640" s="139"/>
      <c r="D640" s="139"/>
    </row>
    <row r="641">
      <c r="C641" s="139"/>
      <c r="D641" s="139"/>
    </row>
    <row r="642">
      <c r="C642" s="139"/>
      <c r="D642" s="139"/>
    </row>
    <row r="643">
      <c r="C643" s="139"/>
      <c r="D643" s="139"/>
    </row>
    <row r="644">
      <c r="C644" s="139"/>
      <c r="D644" s="139"/>
    </row>
    <row r="645">
      <c r="C645" s="139"/>
      <c r="D645" s="139"/>
    </row>
    <row r="646">
      <c r="C646" s="139"/>
      <c r="D646" s="139"/>
    </row>
    <row r="647">
      <c r="C647" s="139"/>
      <c r="D647" s="139"/>
    </row>
    <row r="648">
      <c r="C648" s="139"/>
      <c r="D648" s="139"/>
    </row>
    <row r="649">
      <c r="C649" s="139"/>
      <c r="D649" s="139"/>
    </row>
    <row r="650">
      <c r="C650" s="139"/>
      <c r="D650" s="139"/>
    </row>
    <row r="651">
      <c r="C651" s="139"/>
      <c r="D651" s="139"/>
    </row>
    <row r="652">
      <c r="C652" s="139"/>
      <c r="D652" s="139"/>
    </row>
    <row r="653">
      <c r="C653" s="139"/>
      <c r="D653" s="139"/>
    </row>
    <row r="654">
      <c r="C654" s="139"/>
      <c r="D654" s="139"/>
    </row>
    <row r="655">
      <c r="C655" s="139"/>
      <c r="D655" s="139"/>
    </row>
    <row r="656">
      <c r="C656" s="139"/>
      <c r="D656" s="139"/>
    </row>
    <row r="657">
      <c r="C657" s="139"/>
      <c r="D657" s="139"/>
    </row>
    <row r="658">
      <c r="C658" s="139"/>
      <c r="D658" s="139"/>
    </row>
    <row r="659">
      <c r="C659" s="139"/>
      <c r="D659" s="139"/>
    </row>
    <row r="660">
      <c r="C660" s="139"/>
      <c r="D660" s="139"/>
    </row>
    <row r="661">
      <c r="C661" s="139"/>
      <c r="D661" s="139"/>
    </row>
    <row r="662">
      <c r="C662" s="139"/>
      <c r="D662" s="139"/>
    </row>
    <row r="663">
      <c r="C663" s="139"/>
      <c r="D663" s="139"/>
    </row>
    <row r="664">
      <c r="C664" s="139"/>
      <c r="D664" s="139"/>
    </row>
    <row r="665">
      <c r="C665" s="139"/>
      <c r="D665" s="139"/>
    </row>
    <row r="666">
      <c r="C666" s="139"/>
      <c r="D666" s="139"/>
    </row>
    <row r="667">
      <c r="C667" s="139"/>
      <c r="D667" s="139"/>
    </row>
    <row r="668">
      <c r="C668" s="139"/>
      <c r="D668" s="139"/>
    </row>
    <row r="669">
      <c r="C669" s="139"/>
      <c r="D669" s="139"/>
    </row>
    <row r="670">
      <c r="C670" s="139"/>
      <c r="D670" s="139"/>
    </row>
    <row r="671">
      <c r="C671" s="139"/>
      <c r="D671" s="139"/>
    </row>
    <row r="672">
      <c r="C672" s="139"/>
      <c r="D672" s="139"/>
    </row>
    <row r="673">
      <c r="C673" s="139"/>
      <c r="D673" s="139"/>
    </row>
    <row r="674">
      <c r="C674" s="139"/>
      <c r="D674" s="139"/>
    </row>
    <row r="675">
      <c r="C675" s="139"/>
      <c r="D675" s="139"/>
    </row>
    <row r="676">
      <c r="C676" s="139"/>
      <c r="D676" s="139"/>
    </row>
    <row r="677">
      <c r="C677" s="139"/>
      <c r="D677" s="139"/>
    </row>
    <row r="678">
      <c r="C678" s="139"/>
      <c r="D678" s="139"/>
    </row>
    <row r="679">
      <c r="C679" s="139"/>
      <c r="D679" s="139"/>
    </row>
    <row r="680">
      <c r="C680" s="139"/>
      <c r="D680" s="139"/>
    </row>
    <row r="681">
      <c r="C681" s="139"/>
      <c r="D681" s="139"/>
    </row>
    <row r="682">
      <c r="C682" s="139"/>
      <c r="D682" s="139"/>
    </row>
    <row r="683">
      <c r="C683" s="139"/>
      <c r="D683" s="139"/>
    </row>
    <row r="684">
      <c r="C684" s="139"/>
      <c r="D684" s="139"/>
    </row>
    <row r="685">
      <c r="C685" s="139"/>
      <c r="D685" s="139"/>
    </row>
    <row r="686">
      <c r="C686" s="139"/>
      <c r="D686" s="139"/>
    </row>
    <row r="687">
      <c r="C687" s="139"/>
      <c r="D687" s="139"/>
    </row>
    <row r="688">
      <c r="C688" s="139"/>
      <c r="D688" s="139"/>
    </row>
    <row r="689">
      <c r="C689" s="139"/>
      <c r="D689" s="139"/>
    </row>
    <row r="690">
      <c r="C690" s="139"/>
      <c r="D690" s="139"/>
    </row>
    <row r="691">
      <c r="C691" s="139"/>
      <c r="D691" s="139"/>
    </row>
    <row r="692">
      <c r="C692" s="139"/>
      <c r="D692" s="139"/>
    </row>
    <row r="693">
      <c r="C693" s="139"/>
      <c r="D693" s="139"/>
    </row>
    <row r="694">
      <c r="C694" s="139"/>
      <c r="D694" s="139"/>
    </row>
    <row r="695">
      <c r="C695" s="139"/>
      <c r="D695" s="139"/>
    </row>
    <row r="696">
      <c r="C696" s="139"/>
      <c r="D696" s="139"/>
    </row>
    <row r="697">
      <c r="C697" s="139"/>
      <c r="D697" s="139"/>
    </row>
    <row r="698">
      <c r="C698" s="139"/>
      <c r="D698" s="139"/>
    </row>
    <row r="699">
      <c r="C699" s="139"/>
      <c r="D699" s="139"/>
    </row>
    <row r="700">
      <c r="C700" s="139"/>
      <c r="D700" s="139"/>
    </row>
    <row r="701">
      <c r="C701" s="139"/>
      <c r="D701" s="139"/>
    </row>
    <row r="702">
      <c r="C702" s="139"/>
      <c r="D702" s="139"/>
    </row>
    <row r="703">
      <c r="C703" s="139"/>
      <c r="D703" s="139"/>
    </row>
    <row r="704">
      <c r="C704" s="139"/>
      <c r="D704" s="139"/>
    </row>
    <row r="705">
      <c r="C705" s="139"/>
      <c r="D705" s="139"/>
    </row>
    <row r="706">
      <c r="C706" s="139"/>
      <c r="D706" s="139"/>
    </row>
    <row r="707">
      <c r="C707" s="139"/>
      <c r="D707" s="139"/>
    </row>
    <row r="708">
      <c r="C708" s="139"/>
      <c r="D708" s="139"/>
    </row>
    <row r="709">
      <c r="C709" s="139"/>
      <c r="D709" s="139"/>
    </row>
    <row r="710">
      <c r="C710" s="139"/>
      <c r="D710" s="139"/>
    </row>
    <row r="711">
      <c r="C711" s="139"/>
      <c r="D711" s="139"/>
    </row>
    <row r="712">
      <c r="C712" s="139"/>
      <c r="D712" s="139"/>
    </row>
    <row r="713">
      <c r="C713" s="139"/>
      <c r="D713" s="139"/>
    </row>
    <row r="714">
      <c r="C714" s="139"/>
      <c r="D714" s="139"/>
    </row>
    <row r="715">
      <c r="C715" s="139"/>
      <c r="D715" s="139"/>
    </row>
    <row r="716">
      <c r="C716" s="139"/>
      <c r="D716" s="139"/>
    </row>
    <row r="717">
      <c r="C717" s="139"/>
      <c r="D717" s="139"/>
    </row>
    <row r="718">
      <c r="C718" s="139"/>
      <c r="D718" s="139"/>
    </row>
    <row r="719">
      <c r="C719" s="139"/>
      <c r="D719" s="139"/>
    </row>
    <row r="720">
      <c r="C720" s="139"/>
      <c r="D720" s="139"/>
    </row>
    <row r="721">
      <c r="C721" s="139"/>
      <c r="D721" s="139"/>
    </row>
    <row r="722">
      <c r="C722" s="139"/>
      <c r="D722" s="139"/>
    </row>
    <row r="723">
      <c r="C723" s="139"/>
      <c r="D723" s="139"/>
    </row>
    <row r="724">
      <c r="C724" s="139"/>
      <c r="D724" s="139"/>
    </row>
    <row r="725">
      <c r="C725" s="139"/>
      <c r="D725" s="139"/>
    </row>
    <row r="726">
      <c r="C726" s="139"/>
      <c r="D726" s="139"/>
    </row>
    <row r="727">
      <c r="C727" s="139"/>
      <c r="D727" s="139"/>
    </row>
    <row r="728">
      <c r="C728" s="139"/>
      <c r="D728" s="139"/>
    </row>
    <row r="729">
      <c r="C729" s="139"/>
      <c r="D729" s="139"/>
    </row>
    <row r="730">
      <c r="C730" s="139"/>
      <c r="D730" s="139"/>
    </row>
    <row r="731">
      <c r="C731" s="139"/>
      <c r="D731" s="139"/>
    </row>
    <row r="732">
      <c r="C732" s="139"/>
      <c r="D732" s="139"/>
    </row>
    <row r="733">
      <c r="C733" s="139"/>
      <c r="D733" s="139"/>
    </row>
    <row r="734">
      <c r="C734" s="139"/>
      <c r="D734" s="139"/>
    </row>
    <row r="735">
      <c r="C735" s="139"/>
      <c r="D735" s="139"/>
    </row>
    <row r="736">
      <c r="C736" s="139"/>
      <c r="D736" s="139"/>
    </row>
    <row r="737">
      <c r="C737" s="139"/>
      <c r="D737" s="139"/>
    </row>
    <row r="738">
      <c r="C738" s="139"/>
      <c r="D738" s="139"/>
    </row>
    <row r="739">
      <c r="C739" s="139"/>
      <c r="D739" s="139"/>
    </row>
    <row r="740">
      <c r="C740" s="139"/>
      <c r="D740" s="139"/>
    </row>
    <row r="741">
      <c r="C741" s="139"/>
      <c r="D741" s="139"/>
    </row>
    <row r="742">
      <c r="C742" s="139"/>
      <c r="D742" s="139"/>
    </row>
    <row r="743">
      <c r="C743" s="139"/>
      <c r="D743" s="139"/>
    </row>
    <row r="744">
      <c r="C744" s="139"/>
      <c r="D744" s="139"/>
    </row>
    <row r="745">
      <c r="C745" s="139"/>
      <c r="D745" s="139"/>
    </row>
    <row r="746">
      <c r="C746" s="139"/>
      <c r="D746" s="139"/>
    </row>
    <row r="747">
      <c r="C747" s="139"/>
      <c r="D747" s="139"/>
    </row>
    <row r="748">
      <c r="C748" s="139"/>
      <c r="D748" s="139"/>
    </row>
    <row r="749">
      <c r="C749" s="139"/>
      <c r="D749" s="139"/>
    </row>
    <row r="750">
      <c r="C750" s="139"/>
      <c r="D750" s="139"/>
    </row>
    <row r="751">
      <c r="C751" s="139"/>
      <c r="D751" s="139"/>
    </row>
    <row r="752">
      <c r="C752" s="139"/>
      <c r="D752" s="139"/>
    </row>
    <row r="753">
      <c r="C753" s="139"/>
      <c r="D753" s="139"/>
    </row>
    <row r="754">
      <c r="C754" s="139"/>
      <c r="D754" s="139"/>
    </row>
    <row r="755">
      <c r="C755" s="139"/>
      <c r="D755" s="139"/>
    </row>
    <row r="756">
      <c r="C756" s="139"/>
      <c r="D756" s="139"/>
    </row>
    <row r="757">
      <c r="C757" s="139"/>
      <c r="D757" s="139"/>
    </row>
    <row r="758">
      <c r="C758" s="139"/>
      <c r="D758" s="139"/>
    </row>
    <row r="759">
      <c r="C759" s="139"/>
      <c r="D759" s="139"/>
    </row>
    <row r="760">
      <c r="C760" s="139"/>
      <c r="D760" s="139"/>
    </row>
    <row r="761">
      <c r="C761" s="139"/>
      <c r="D761" s="139"/>
    </row>
    <row r="762">
      <c r="C762" s="139"/>
      <c r="D762" s="139"/>
    </row>
    <row r="763">
      <c r="C763" s="139"/>
      <c r="D763" s="139"/>
    </row>
    <row r="764">
      <c r="C764" s="139"/>
      <c r="D764" s="139"/>
    </row>
    <row r="765">
      <c r="C765" s="139"/>
      <c r="D765" s="139"/>
    </row>
    <row r="766">
      <c r="C766" s="139"/>
      <c r="D766" s="139"/>
    </row>
    <row r="767">
      <c r="C767" s="139"/>
      <c r="D767" s="139"/>
    </row>
    <row r="768">
      <c r="C768" s="139"/>
      <c r="D768" s="139"/>
    </row>
    <row r="769">
      <c r="C769" s="139"/>
      <c r="D769" s="139"/>
    </row>
    <row r="770">
      <c r="C770" s="139"/>
      <c r="D770" s="139"/>
    </row>
    <row r="771">
      <c r="C771" s="139"/>
      <c r="D771" s="139"/>
    </row>
    <row r="772">
      <c r="C772" s="139"/>
      <c r="D772" s="139"/>
    </row>
    <row r="773">
      <c r="C773" s="139"/>
      <c r="D773" s="139"/>
    </row>
    <row r="774">
      <c r="C774" s="139"/>
      <c r="D774" s="139"/>
    </row>
    <row r="775">
      <c r="C775" s="139"/>
      <c r="D775" s="139"/>
    </row>
    <row r="776">
      <c r="C776" s="139"/>
      <c r="D776" s="139"/>
    </row>
    <row r="777">
      <c r="C777" s="139"/>
      <c r="D777" s="139"/>
    </row>
    <row r="778">
      <c r="C778" s="139"/>
      <c r="D778" s="139"/>
    </row>
    <row r="779">
      <c r="C779" s="139"/>
      <c r="D779" s="139"/>
    </row>
    <row r="780">
      <c r="C780" s="139"/>
      <c r="D780" s="139"/>
    </row>
    <row r="781">
      <c r="C781" s="139"/>
      <c r="D781" s="139"/>
    </row>
    <row r="782">
      <c r="C782" s="139"/>
      <c r="D782" s="139"/>
    </row>
    <row r="783">
      <c r="C783" s="139"/>
      <c r="D783" s="139"/>
    </row>
    <row r="784">
      <c r="C784" s="139"/>
      <c r="D784" s="139"/>
    </row>
    <row r="785">
      <c r="C785" s="139"/>
      <c r="D785" s="139"/>
    </row>
    <row r="786">
      <c r="C786" s="139"/>
      <c r="D786" s="139"/>
    </row>
    <row r="787">
      <c r="C787" s="139"/>
      <c r="D787" s="139"/>
    </row>
    <row r="788">
      <c r="C788" s="139"/>
      <c r="D788" s="139"/>
    </row>
    <row r="789">
      <c r="C789" s="139"/>
      <c r="D789" s="139"/>
    </row>
    <row r="790">
      <c r="C790" s="139"/>
      <c r="D790" s="139"/>
    </row>
    <row r="791">
      <c r="C791" s="139"/>
      <c r="D791" s="139"/>
    </row>
    <row r="792">
      <c r="C792" s="139"/>
      <c r="D792" s="139"/>
    </row>
    <row r="793">
      <c r="C793" s="139"/>
      <c r="D793" s="139"/>
    </row>
    <row r="794">
      <c r="C794" s="139"/>
      <c r="D794" s="139"/>
    </row>
    <row r="795">
      <c r="C795" s="139"/>
      <c r="D795" s="139"/>
    </row>
    <row r="796">
      <c r="C796" s="139"/>
      <c r="D796" s="139"/>
    </row>
    <row r="797">
      <c r="C797" s="139"/>
      <c r="D797" s="139"/>
    </row>
    <row r="798">
      <c r="C798" s="139"/>
      <c r="D798" s="139"/>
    </row>
    <row r="799">
      <c r="C799" s="139"/>
      <c r="D799" s="139"/>
    </row>
    <row r="800">
      <c r="C800" s="139"/>
      <c r="D800" s="139"/>
    </row>
    <row r="801">
      <c r="C801" s="139"/>
      <c r="D801" s="139"/>
    </row>
    <row r="802">
      <c r="C802" s="139"/>
      <c r="D802" s="139"/>
    </row>
    <row r="803">
      <c r="C803" s="139"/>
      <c r="D803" s="139"/>
    </row>
    <row r="804">
      <c r="C804" s="139"/>
      <c r="D804" s="139"/>
    </row>
    <row r="805">
      <c r="C805" s="139"/>
      <c r="D805" s="139"/>
    </row>
    <row r="806">
      <c r="C806" s="139"/>
      <c r="D806" s="139"/>
    </row>
    <row r="807">
      <c r="C807" s="139"/>
      <c r="D807" s="139"/>
    </row>
    <row r="808">
      <c r="C808" s="139"/>
      <c r="D808" s="139"/>
    </row>
    <row r="809">
      <c r="C809" s="139"/>
      <c r="D809" s="139"/>
    </row>
    <row r="810">
      <c r="C810" s="139"/>
      <c r="D810" s="139"/>
    </row>
    <row r="811">
      <c r="C811" s="139"/>
      <c r="D811" s="139"/>
    </row>
    <row r="812">
      <c r="C812" s="139"/>
      <c r="D812" s="139"/>
    </row>
    <row r="813">
      <c r="C813" s="139"/>
      <c r="D813" s="139"/>
    </row>
    <row r="814">
      <c r="C814" s="139"/>
      <c r="D814" s="139"/>
    </row>
    <row r="815">
      <c r="C815" s="139"/>
      <c r="D815" s="139"/>
    </row>
    <row r="816">
      <c r="C816" s="139"/>
      <c r="D816" s="139"/>
    </row>
    <row r="817">
      <c r="C817" s="139"/>
      <c r="D817" s="139"/>
    </row>
    <row r="818">
      <c r="C818" s="139"/>
      <c r="D818" s="139"/>
    </row>
    <row r="819">
      <c r="C819" s="139"/>
      <c r="D819" s="139"/>
    </row>
    <row r="820">
      <c r="C820" s="139"/>
      <c r="D820" s="139"/>
    </row>
    <row r="821">
      <c r="C821" s="139"/>
      <c r="D821" s="139"/>
    </row>
    <row r="822">
      <c r="C822" s="139"/>
      <c r="D822" s="139"/>
    </row>
    <row r="823">
      <c r="C823" s="139"/>
      <c r="D823" s="139"/>
    </row>
    <row r="824">
      <c r="C824" s="139"/>
      <c r="D824" s="139"/>
    </row>
    <row r="825">
      <c r="C825" s="139"/>
      <c r="D825" s="139"/>
    </row>
    <row r="826">
      <c r="C826" s="139"/>
      <c r="D826" s="139"/>
    </row>
    <row r="827">
      <c r="C827" s="139"/>
      <c r="D827" s="139"/>
    </row>
    <row r="828">
      <c r="C828" s="139"/>
      <c r="D828" s="139"/>
    </row>
    <row r="829">
      <c r="C829" s="139"/>
      <c r="D829" s="139"/>
    </row>
    <row r="830">
      <c r="C830" s="139"/>
      <c r="D830" s="139"/>
    </row>
    <row r="831">
      <c r="C831" s="139"/>
      <c r="D831" s="139"/>
    </row>
    <row r="832">
      <c r="C832" s="139"/>
      <c r="D832" s="139"/>
    </row>
    <row r="833">
      <c r="C833" s="139"/>
      <c r="D833" s="139"/>
    </row>
    <row r="834">
      <c r="C834" s="139"/>
      <c r="D834" s="139"/>
    </row>
    <row r="835">
      <c r="C835" s="139"/>
      <c r="D835" s="139"/>
    </row>
    <row r="836">
      <c r="C836" s="139"/>
      <c r="D836" s="139"/>
    </row>
    <row r="837">
      <c r="C837" s="139"/>
      <c r="D837" s="139"/>
    </row>
    <row r="838">
      <c r="C838" s="139"/>
      <c r="D838" s="139"/>
    </row>
    <row r="839">
      <c r="C839" s="139"/>
      <c r="D839" s="139"/>
    </row>
    <row r="840">
      <c r="C840" s="139"/>
      <c r="D840" s="139"/>
    </row>
    <row r="841">
      <c r="C841" s="139"/>
      <c r="D841" s="139"/>
    </row>
    <row r="842">
      <c r="C842" s="139"/>
      <c r="D842" s="139"/>
    </row>
    <row r="843">
      <c r="C843" s="139"/>
      <c r="D843" s="139"/>
    </row>
    <row r="844">
      <c r="C844" s="139"/>
      <c r="D844" s="139"/>
    </row>
    <row r="845">
      <c r="C845" s="139"/>
      <c r="D845" s="139"/>
    </row>
    <row r="846">
      <c r="C846" s="139"/>
      <c r="D846" s="139"/>
    </row>
    <row r="847">
      <c r="C847" s="139"/>
      <c r="D847" s="139"/>
    </row>
    <row r="848">
      <c r="C848" s="139"/>
      <c r="D848" s="139"/>
    </row>
    <row r="849">
      <c r="C849" s="139"/>
      <c r="D849" s="139"/>
    </row>
    <row r="850">
      <c r="C850" s="139"/>
      <c r="D850" s="139"/>
    </row>
    <row r="851">
      <c r="C851" s="139"/>
      <c r="D851" s="139"/>
    </row>
    <row r="852">
      <c r="C852" s="139"/>
      <c r="D852" s="139"/>
    </row>
    <row r="853">
      <c r="C853" s="139"/>
      <c r="D853" s="139"/>
    </row>
    <row r="854">
      <c r="C854" s="139"/>
      <c r="D854" s="139"/>
    </row>
    <row r="855">
      <c r="C855" s="139"/>
      <c r="D855" s="139"/>
    </row>
    <row r="856">
      <c r="C856" s="139"/>
      <c r="D856" s="139"/>
    </row>
    <row r="857">
      <c r="C857" s="139"/>
      <c r="D857" s="139"/>
    </row>
    <row r="858">
      <c r="C858" s="139"/>
      <c r="D858" s="139"/>
    </row>
    <row r="859">
      <c r="C859" s="139"/>
      <c r="D859" s="139"/>
    </row>
    <row r="860">
      <c r="C860" s="139"/>
      <c r="D860" s="139"/>
    </row>
    <row r="861">
      <c r="C861" s="139"/>
      <c r="D861" s="139"/>
    </row>
    <row r="862">
      <c r="C862" s="139"/>
      <c r="D862" s="139"/>
    </row>
    <row r="863">
      <c r="C863" s="139"/>
      <c r="D863" s="139"/>
    </row>
    <row r="864">
      <c r="C864" s="139"/>
      <c r="D864" s="139"/>
    </row>
    <row r="865">
      <c r="C865" s="139"/>
      <c r="D865" s="139"/>
    </row>
    <row r="866">
      <c r="C866" s="139"/>
      <c r="D866" s="139"/>
    </row>
    <row r="867">
      <c r="C867" s="139"/>
      <c r="D867" s="139"/>
    </row>
    <row r="868">
      <c r="C868" s="139"/>
      <c r="D868" s="139"/>
    </row>
    <row r="869">
      <c r="C869" s="139"/>
      <c r="D869" s="139"/>
    </row>
    <row r="870">
      <c r="C870" s="139"/>
      <c r="D870" s="139"/>
    </row>
    <row r="871">
      <c r="C871" s="139"/>
      <c r="D871" s="139"/>
    </row>
    <row r="872">
      <c r="C872" s="139"/>
      <c r="D872" s="139"/>
    </row>
    <row r="873">
      <c r="C873" s="139"/>
      <c r="D873" s="139"/>
    </row>
    <row r="874">
      <c r="C874" s="139"/>
      <c r="D874" s="139"/>
    </row>
    <row r="875">
      <c r="C875" s="139"/>
      <c r="D875" s="139"/>
    </row>
    <row r="876">
      <c r="C876" s="139"/>
      <c r="D876" s="139"/>
    </row>
    <row r="877">
      <c r="C877" s="139"/>
      <c r="D877" s="139"/>
    </row>
    <row r="878">
      <c r="C878" s="139"/>
      <c r="D878" s="139"/>
    </row>
    <row r="879">
      <c r="C879" s="139"/>
      <c r="D879" s="139"/>
    </row>
    <row r="880">
      <c r="C880" s="139"/>
      <c r="D880" s="139"/>
    </row>
    <row r="881">
      <c r="C881" s="139"/>
      <c r="D881" s="139"/>
    </row>
    <row r="882">
      <c r="C882" s="139"/>
      <c r="D882" s="139"/>
    </row>
    <row r="883">
      <c r="C883" s="139"/>
      <c r="D883" s="139"/>
    </row>
    <row r="884">
      <c r="C884" s="139"/>
      <c r="D884" s="139"/>
    </row>
    <row r="885">
      <c r="C885" s="139"/>
      <c r="D885" s="139"/>
    </row>
    <row r="886">
      <c r="C886" s="139"/>
      <c r="D886" s="139"/>
    </row>
    <row r="887">
      <c r="C887" s="139"/>
      <c r="D887" s="139"/>
    </row>
    <row r="888">
      <c r="C888" s="139"/>
      <c r="D888" s="139"/>
    </row>
    <row r="889">
      <c r="C889" s="139"/>
      <c r="D889" s="139"/>
    </row>
    <row r="890">
      <c r="C890" s="139"/>
      <c r="D890" s="139"/>
    </row>
    <row r="891">
      <c r="C891" s="139"/>
      <c r="D891" s="139"/>
    </row>
    <row r="892">
      <c r="C892" s="139"/>
      <c r="D892" s="139"/>
    </row>
    <row r="893">
      <c r="C893" s="139"/>
      <c r="D893" s="139"/>
    </row>
    <row r="894">
      <c r="C894" s="139"/>
      <c r="D894" s="139"/>
    </row>
    <row r="895">
      <c r="C895" s="139"/>
      <c r="D895" s="139"/>
    </row>
    <row r="896">
      <c r="C896" s="139"/>
      <c r="D896" s="139"/>
    </row>
    <row r="897">
      <c r="C897" s="139"/>
      <c r="D897" s="139"/>
    </row>
    <row r="898">
      <c r="C898" s="139"/>
      <c r="D898" s="139"/>
    </row>
    <row r="899">
      <c r="C899" s="139"/>
      <c r="D899" s="139"/>
    </row>
    <row r="900">
      <c r="C900" s="139"/>
      <c r="D900" s="139"/>
    </row>
    <row r="901">
      <c r="C901" s="139"/>
      <c r="D901" s="139"/>
    </row>
    <row r="902">
      <c r="C902" s="139"/>
      <c r="D902" s="139"/>
    </row>
    <row r="903">
      <c r="C903" s="139"/>
      <c r="D903" s="139"/>
    </row>
    <row r="904">
      <c r="C904" s="139"/>
      <c r="D904" s="139"/>
    </row>
    <row r="905">
      <c r="C905" s="139"/>
      <c r="D905" s="139"/>
    </row>
    <row r="906">
      <c r="C906" s="139"/>
      <c r="D906" s="139"/>
    </row>
    <row r="907">
      <c r="C907" s="139"/>
      <c r="D907" s="139"/>
    </row>
    <row r="908">
      <c r="C908" s="139"/>
      <c r="D908" s="139"/>
    </row>
    <row r="909">
      <c r="C909" s="139"/>
      <c r="D909" s="139"/>
    </row>
    <row r="910">
      <c r="C910" s="139"/>
      <c r="D910" s="139"/>
    </row>
    <row r="911">
      <c r="C911" s="139"/>
      <c r="D911" s="139"/>
    </row>
    <row r="912">
      <c r="C912" s="139"/>
      <c r="D912" s="139"/>
    </row>
    <row r="913">
      <c r="C913" s="139"/>
      <c r="D913" s="139"/>
    </row>
    <row r="914">
      <c r="C914" s="139"/>
      <c r="D914" s="139"/>
    </row>
    <row r="915">
      <c r="C915" s="139"/>
      <c r="D915" s="139"/>
    </row>
    <row r="916">
      <c r="C916" s="139"/>
      <c r="D916" s="139"/>
    </row>
    <row r="917">
      <c r="C917" s="139"/>
      <c r="D917" s="139"/>
    </row>
    <row r="918">
      <c r="C918" s="139"/>
      <c r="D918" s="139"/>
    </row>
    <row r="919">
      <c r="C919" s="139"/>
      <c r="D919" s="139"/>
    </row>
    <row r="920">
      <c r="C920" s="139"/>
      <c r="D920" s="139"/>
    </row>
    <row r="921">
      <c r="C921" s="139"/>
      <c r="D921" s="139"/>
    </row>
    <row r="922">
      <c r="C922" s="139"/>
      <c r="D922" s="139"/>
    </row>
    <row r="923">
      <c r="C923" s="139"/>
      <c r="D923" s="139"/>
    </row>
    <row r="924">
      <c r="C924" s="139"/>
      <c r="D924" s="139"/>
    </row>
    <row r="925">
      <c r="C925" s="139"/>
      <c r="D925" s="139"/>
    </row>
    <row r="926">
      <c r="C926" s="139"/>
      <c r="D926" s="139"/>
    </row>
    <row r="927">
      <c r="C927" s="139"/>
      <c r="D927" s="139"/>
    </row>
    <row r="928">
      <c r="C928" s="139"/>
      <c r="D928" s="139"/>
    </row>
    <row r="929">
      <c r="C929" s="139"/>
      <c r="D929" s="139"/>
    </row>
    <row r="930">
      <c r="C930" s="139"/>
      <c r="D930" s="139"/>
    </row>
    <row r="931">
      <c r="C931" s="139"/>
      <c r="D931" s="139"/>
    </row>
    <row r="932">
      <c r="C932" s="139"/>
      <c r="D932" s="139"/>
    </row>
    <row r="933">
      <c r="C933" s="139"/>
      <c r="D933" s="139"/>
    </row>
    <row r="934">
      <c r="C934" s="139"/>
      <c r="D934" s="139"/>
    </row>
    <row r="935">
      <c r="C935" s="139"/>
      <c r="D935" s="139"/>
    </row>
    <row r="936">
      <c r="C936" s="139"/>
      <c r="D936" s="139"/>
    </row>
    <row r="937">
      <c r="C937" s="139"/>
      <c r="D937" s="139"/>
    </row>
    <row r="938">
      <c r="C938" s="139"/>
      <c r="D938" s="139"/>
    </row>
    <row r="939">
      <c r="C939" s="139"/>
      <c r="D939" s="139"/>
    </row>
    <row r="940">
      <c r="C940" s="139"/>
      <c r="D940" s="139"/>
    </row>
    <row r="941">
      <c r="C941" s="139"/>
      <c r="D941" s="139"/>
    </row>
    <row r="942">
      <c r="C942" s="139"/>
      <c r="D942" s="139"/>
    </row>
    <row r="943">
      <c r="C943" s="139"/>
      <c r="D943" s="139"/>
    </row>
    <row r="944">
      <c r="C944" s="139"/>
      <c r="D944" s="139"/>
    </row>
    <row r="945">
      <c r="C945" s="139"/>
      <c r="D945" s="139"/>
    </row>
    <row r="946">
      <c r="C946" s="139"/>
      <c r="D946" s="139"/>
    </row>
    <row r="947">
      <c r="C947" s="139"/>
      <c r="D947" s="139"/>
    </row>
    <row r="948">
      <c r="C948" s="139"/>
      <c r="D948" s="139"/>
    </row>
    <row r="949">
      <c r="C949" s="139"/>
      <c r="D949" s="139"/>
    </row>
    <row r="950">
      <c r="C950" s="139"/>
      <c r="D950" s="139"/>
    </row>
    <row r="951">
      <c r="C951" s="139"/>
      <c r="D951" s="139"/>
    </row>
    <row r="952">
      <c r="C952" s="139"/>
      <c r="D952" s="139"/>
    </row>
    <row r="953">
      <c r="C953" s="139"/>
      <c r="D953" s="139"/>
    </row>
    <row r="954">
      <c r="C954" s="139"/>
      <c r="D954" s="139"/>
    </row>
    <row r="955">
      <c r="C955" s="139"/>
      <c r="D955" s="139"/>
    </row>
    <row r="956">
      <c r="C956" s="139"/>
      <c r="D956" s="139"/>
    </row>
    <row r="957">
      <c r="C957" s="139"/>
      <c r="D957" s="139"/>
    </row>
    <row r="958">
      <c r="C958" s="139"/>
      <c r="D958" s="139"/>
    </row>
    <row r="959">
      <c r="C959" s="139"/>
      <c r="D959" s="139"/>
    </row>
    <row r="960">
      <c r="C960" s="139"/>
      <c r="D960" s="139"/>
    </row>
    <row r="961">
      <c r="C961" s="139"/>
      <c r="D961" s="139"/>
    </row>
    <row r="962">
      <c r="C962" s="139"/>
      <c r="D962" s="139"/>
    </row>
    <row r="963">
      <c r="C963" s="139"/>
      <c r="D963" s="139"/>
    </row>
    <row r="964">
      <c r="C964" s="139"/>
      <c r="D964" s="139"/>
    </row>
    <row r="965">
      <c r="C965" s="139"/>
      <c r="D965" s="139"/>
    </row>
    <row r="966">
      <c r="C966" s="139"/>
      <c r="D966" s="139"/>
    </row>
    <row r="967">
      <c r="C967" s="139"/>
      <c r="D967" s="139"/>
    </row>
    <row r="968">
      <c r="C968" s="139"/>
      <c r="D968" s="139"/>
    </row>
    <row r="969">
      <c r="C969" s="139"/>
      <c r="D969" s="139"/>
    </row>
    <row r="970">
      <c r="C970" s="139"/>
      <c r="D970" s="139"/>
    </row>
    <row r="971">
      <c r="C971" s="139"/>
      <c r="D971" s="139"/>
    </row>
    <row r="972">
      <c r="C972" s="139"/>
      <c r="D972" s="139"/>
    </row>
    <row r="973">
      <c r="C973" s="139"/>
      <c r="D973" s="139"/>
    </row>
    <row r="974">
      <c r="C974" s="139"/>
      <c r="D974" s="139"/>
    </row>
    <row r="975">
      <c r="C975" s="139"/>
      <c r="D975" s="139"/>
    </row>
    <row r="976">
      <c r="C976" s="139"/>
      <c r="D976" s="139"/>
    </row>
    <row r="977">
      <c r="C977" s="139"/>
      <c r="D977" s="139"/>
    </row>
    <row r="978">
      <c r="C978" s="139"/>
      <c r="D978" s="139"/>
    </row>
    <row r="979">
      <c r="C979" s="139"/>
      <c r="D979" s="139"/>
    </row>
    <row r="980">
      <c r="C980" s="139"/>
      <c r="D980" s="139"/>
    </row>
    <row r="981">
      <c r="C981" s="139"/>
      <c r="D981" s="139"/>
    </row>
    <row r="982">
      <c r="C982" s="139"/>
      <c r="D982" s="139"/>
    </row>
    <row r="983">
      <c r="C983" s="139"/>
      <c r="D983" s="139"/>
    </row>
    <row r="984">
      <c r="C984" s="139"/>
      <c r="D984" s="139"/>
    </row>
    <row r="985">
      <c r="C985" s="139"/>
      <c r="D985" s="139"/>
    </row>
    <row r="986">
      <c r="C986" s="139"/>
      <c r="D986" s="139"/>
    </row>
    <row r="987">
      <c r="C987" s="139"/>
      <c r="D987" s="139"/>
    </row>
    <row r="988">
      <c r="C988" s="139"/>
      <c r="D988" s="139"/>
    </row>
    <row r="989">
      <c r="C989" s="139"/>
      <c r="D989" s="139"/>
    </row>
    <row r="990">
      <c r="C990" s="139"/>
      <c r="D990" s="139"/>
    </row>
    <row r="991">
      <c r="C991" s="139"/>
      <c r="D991" s="139"/>
    </row>
    <row r="992">
      <c r="C992" s="139"/>
      <c r="D992" s="139"/>
    </row>
    <row r="993">
      <c r="C993" s="139"/>
      <c r="D993" s="139"/>
    </row>
    <row r="994">
      <c r="C994" s="139"/>
      <c r="D994" s="139"/>
    </row>
    <row r="995">
      <c r="C995" s="139"/>
      <c r="D995" s="139"/>
    </row>
    <row r="996">
      <c r="C996" s="139"/>
      <c r="D996" s="139"/>
    </row>
    <row r="997">
      <c r="C997" s="139"/>
      <c r="D997" s="139"/>
    </row>
    <row r="998">
      <c r="C998" s="139"/>
      <c r="D998" s="139"/>
    </row>
    <row r="999">
      <c r="C999" s="139"/>
      <c r="D999" s="139"/>
    </row>
    <row r="1000">
      <c r="C1000" s="139"/>
      <c r="D1000" s="139"/>
    </row>
    <row r="1001">
      <c r="C1001" s="139"/>
      <c r="D1001" s="139"/>
    </row>
    <row r="1002">
      <c r="C1002" s="139"/>
      <c r="D1002" s="139"/>
    </row>
  </sheetData>
  <mergeCells count="3">
    <mergeCell ref="O1:P1"/>
    <mergeCell ref="H65:I65"/>
    <mergeCell ref="L1:N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C6"/>
    <hyperlink r:id="rId2" ref="C8"/>
    <hyperlink r:id="rId3" ref="C10"/>
    <hyperlink r:id="rId4" ref="C23"/>
    <hyperlink r:id="rId5" ref="C25"/>
    <hyperlink r:id="rId6" ref="C27"/>
    <hyperlink r:id="rId7" ref="C30"/>
    <hyperlink r:id="rId8" ref="C33"/>
    <hyperlink r:id="rId9" ref="C41"/>
    <hyperlink r:id="rId10" ref="C47"/>
    <hyperlink r:id="rId11" ref="C50"/>
    <hyperlink r:id="rId12" ref="C52"/>
    <hyperlink r:id="rId13" ref="C55"/>
    <hyperlink r:id="rId14" ref="C56"/>
    <hyperlink r:id="rId15" ref="C57"/>
    <hyperlink r:id="rId16" ref="C69"/>
    <hyperlink r:id="rId17" ref="C74"/>
    <hyperlink r:id="rId18" ref="C75"/>
    <hyperlink r:id="rId19" ref="C76"/>
    <hyperlink r:id="rId20" ref="K77"/>
    <hyperlink r:id="rId21" ref="C78"/>
    <hyperlink r:id="rId22" ref="C81"/>
    <hyperlink r:id="rId23" ref="C88"/>
    <hyperlink r:id="rId24" ref="C92"/>
    <hyperlink r:id="rId25" ref="C93"/>
    <hyperlink r:id="rId26" ref="C96"/>
    <hyperlink r:id="rId27" ref="C105"/>
    <hyperlink r:id="rId28" ref="C110"/>
    <hyperlink r:id="rId29" ref="C114"/>
    <hyperlink r:id="rId30" ref="C115"/>
    <hyperlink r:id="rId31" ref="C129"/>
    <hyperlink r:id="rId32" ref="C130"/>
    <hyperlink r:id="rId33" ref="C131"/>
    <hyperlink r:id="rId34" ref="C132"/>
    <hyperlink r:id="rId35" ref="C133"/>
    <hyperlink r:id="rId36" ref="C134"/>
    <hyperlink r:id="rId37" ref="C135"/>
    <hyperlink r:id="rId38" ref="C136"/>
    <hyperlink r:id="rId39" ref="C137"/>
    <hyperlink r:id="rId40" ref="C138"/>
    <hyperlink r:id="rId41" ref="C139"/>
    <hyperlink r:id="rId42" ref="C140"/>
    <hyperlink r:id="rId43" ref="C141"/>
    <hyperlink r:id="rId44" ref="C142"/>
    <hyperlink r:id="rId45" ref="C143"/>
    <hyperlink r:id="rId46" ref="C144"/>
    <hyperlink r:id="rId47" ref="C145"/>
    <hyperlink r:id="rId48" ref="C146"/>
    <hyperlink r:id="rId49" ref="C147"/>
    <hyperlink r:id="rId50" ref="C149"/>
    <hyperlink r:id="rId51" ref="C150"/>
    <hyperlink r:id="rId52" ref="C151"/>
    <hyperlink r:id="rId53" ref="C152"/>
    <hyperlink r:id="rId54" ref="C154"/>
    <hyperlink r:id="rId55" ref="C155"/>
    <hyperlink r:id="rId56" ref="C156"/>
    <hyperlink r:id="rId57" ref="C157"/>
    <hyperlink r:id="rId58" ref="C158"/>
    <hyperlink r:id="rId59" ref="C159"/>
    <hyperlink r:id="rId60" ref="C160"/>
    <hyperlink r:id="rId61" ref="C161"/>
    <hyperlink r:id="rId62" ref="C162"/>
    <hyperlink r:id="rId63" ref="C163"/>
    <hyperlink r:id="rId64" ref="C164"/>
    <hyperlink r:id="rId65" ref="C165"/>
    <hyperlink r:id="rId66" ref="C166"/>
    <hyperlink r:id="rId67" ref="C167"/>
    <hyperlink r:id="rId68" ref="C168"/>
    <hyperlink r:id="rId69" ref="C169"/>
    <hyperlink r:id="rId70" ref="C170"/>
    <hyperlink r:id="rId71" ref="C171"/>
    <hyperlink r:id="rId72" ref="C172"/>
    <hyperlink r:id="rId73" ref="C174"/>
  </hyperlinks>
  <drawing r:id="rId74"/>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4.43" defaultRowHeight="15.75" outlineLevelRow="1"/>
  <cols>
    <col customWidth="1" min="1" max="1" width="8.14"/>
    <col customWidth="1" min="2" max="2" width="6.14"/>
    <col customWidth="1" min="3" max="3" width="11.86"/>
  </cols>
  <sheetData>
    <row r="1" ht="15.0" customHeight="1" outlineLevel="1">
      <c r="A1" s="1" t="s">
        <v>0</v>
      </c>
      <c r="B1" s="2" t="s">
        <v>1</v>
      </c>
      <c r="C1" s="2" t="s">
        <v>2</v>
      </c>
      <c r="D1" s="2" t="s">
        <v>2</v>
      </c>
      <c r="E1" s="3"/>
      <c r="F1" s="30" t="s">
        <v>1577</v>
      </c>
      <c r="G1" s="30" t="s">
        <v>4</v>
      </c>
      <c r="H1" s="30" t="s">
        <v>5</v>
      </c>
      <c r="I1" s="30" t="s">
        <v>6</v>
      </c>
      <c r="J1" s="30" t="s">
        <v>7</v>
      </c>
      <c r="K1" s="1" t="s">
        <v>8</v>
      </c>
      <c r="L1" s="7" t="s">
        <v>9</v>
      </c>
      <c r="N1" s="10" t="s">
        <v>14</v>
      </c>
      <c r="P1" s="167"/>
      <c r="Q1" s="167"/>
      <c r="R1" s="30"/>
      <c r="S1" s="20"/>
      <c r="T1" s="20"/>
      <c r="U1" s="20"/>
      <c r="V1" s="20"/>
      <c r="W1" s="20"/>
      <c r="X1" s="20"/>
      <c r="Y1" s="20"/>
      <c r="Z1" s="20"/>
      <c r="AA1" s="20"/>
      <c r="AB1" s="20"/>
      <c r="AC1" s="20"/>
      <c r="AD1" s="20"/>
    </row>
    <row r="2" ht="16.5" customHeight="1" outlineLevel="1">
      <c r="A2" s="23"/>
      <c r="B2" s="23"/>
      <c r="C2" s="325"/>
      <c r="D2" s="436"/>
      <c r="E2" s="3"/>
      <c r="F2" s="168">
        <v>43808.0</v>
      </c>
      <c r="G2" s="168">
        <v>43495.0</v>
      </c>
      <c r="H2" s="21">
        <f>G2-TODAY()</f>
        <v>-240</v>
      </c>
      <c r="I2" s="168">
        <v>43473.0</v>
      </c>
      <c r="J2" s="168">
        <v>43553.0</v>
      </c>
      <c r="K2" s="23"/>
      <c r="L2" s="26">
        <f>CountIFS($E:$E,"=Dem",$A:$A,"=House")</f>
        <v>9</v>
      </c>
      <c r="M2" s="28">
        <f>CountIFS($E:$E,"=Rep",$A:$A,"=House")</f>
        <v>61</v>
      </c>
      <c r="N2" s="26">
        <f>CountIFS($E:$E,"=Dem",$A:$A,"=Senate")</f>
        <v>6</v>
      </c>
      <c r="O2" s="28">
        <f>CountIFS($E:$E,"=Rep",$A:$A,"=Senate")</f>
        <v>29</v>
      </c>
      <c r="P2" s="167"/>
      <c r="Q2" s="167"/>
      <c r="R2" s="30"/>
      <c r="S2" s="20"/>
      <c r="T2" s="20"/>
      <c r="U2" s="20"/>
      <c r="V2" s="20"/>
      <c r="W2" s="20"/>
      <c r="X2" s="20"/>
      <c r="Y2" s="20"/>
      <c r="Z2" s="20"/>
      <c r="AA2" s="20"/>
      <c r="AB2" s="20"/>
      <c r="AC2" s="20"/>
      <c r="AD2" s="20"/>
    </row>
    <row r="3">
      <c r="A3" s="30" t="s">
        <v>29</v>
      </c>
      <c r="B3" s="30" t="s">
        <v>30</v>
      </c>
      <c r="C3" s="2" t="s">
        <v>31</v>
      </c>
      <c r="D3" s="2" t="s">
        <v>32</v>
      </c>
      <c r="E3" s="3" t="s">
        <v>33</v>
      </c>
      <c r="F3" s="1" t="s">
        <v>10</v>
      </c>
      <c r="G3" s="1" t="s">
        <v>34</v>
      </c>
      <c r="H3" s="1" t="s">
        <v>34</v>
      </c>
      <c r="I3" s="1" t="s">
        <v>34</v>
      </c>
      <c r="J3" s="1" t="s">
        <v>34</v>
      </c>
      <c r="K3" s="1" t="s">
        <v>35</v>
      </c>
      <c r="L3" s="19" t="s">
        <v>36</v>
      </c>
      <c r="M3" s="19" t="s">
        <v>37</v>
      </c>
      <c r="N3" s="19" t="s">
        <v>38</v>
      </c>
      <c r="O3" s="17" t="s">
        <v>39</v>
      </c>
      <c r="P3" s="11" t="s">
        <v>40</v>
      </c>
      <c r="Q3" s="11" t="s">
        <v>41</v>
      </c>
      <c r="R3" s="17" t="s">
        <v>42</v>
      </c>
      <c r="S3" s="20"/>
      <c r="T3" s="20"/>
      <c r="U3" s="20"/>
      <c r="V3" s="20"/>
      <c r="W3" s="20"/>
      <c r="X3" s="20"/>
      <c r="Y3" s="20"/>
      <c r="Z3" s="20"/>
      <c r="AA3" s="20"/>
      <c r="AB3" s="20"/>
      <c r="AC3" s="20"/>
      <c r="AD3" s="20"/>
    </row>
    <row r="4">
      <c r="A4" s="14" t="s">
        <v>44</v>
      </c>
      <c r="B4" s="330">
        <v>1.0</v>
      </c>
      <c r="C4" s="38" t="s">
        <v>11983</v>
      </c>
      <c r="D4" s="77" t="s">
        <v>11986</v>
      </c>
      <c r="E4" s="51" t="s">
        <v>53</v>
      </c>
      <c r="L4" s="14" t="s">
        <v>11987</v>
      </c>
      <c r="M4" s="14" t="s">
        <v>11988</v>
      </c>
    </row>
    <row r="5">
      <c r="A5" s="14" t="s">
        <v>44</v>
      </c>
      <c r="C5" s="38" t="s">
        <v>1897</v>
      </c>
      <c r="D5" s="706" t="s">
        <v>11989</v>
      </c>
      <c r="E5" s="36" t="s">
        <v>49</v>
      </c>
      <c r="F5" s="14" t="s">
        <v>1965</v>
      </c>
      <c r="L5" s="14" t="s">
        <v>11990</v>
      </c>
      <c r="M5" s="707" t="str">
        <f t="shared" ref="M5:M64" si="1">concatenate(lower(C5),".",lower(D5),"@sdlegislature.gov")</f>
        <v>steven.mccleerey@sdlegislature.gov</v>
      </c>
    </row>
    <row r="6">
      <c r="A6" s="14" t="s">
        <v>44</v>
      </c>
      <c r="B6" s="330">
        <v>2.0</v>
      </c>
      <c r="C6" s="38" t="s">
        <v>7330</v>
      </c>
      <c r="D6" s="77" t="s">
        <v>11994</v>
      </c>
      <c r="E6" s="51" t="s">
        <v>53</v>
      </c>
      <c r="F6" s="14" t="s">
        <v>11995</v>
      </c>
      <c r="L6" s="14" t="s">
        <v>11996</v>
      </c>
      <c r="M6" s="707" t="str">
        <f t="shared" si="1"/>
        <v>lana.greenfield@sdlegislature.gov</v>
      </c>
    </row>
    <row r="7">
      <c r="A7" s="14" t="s">
        <v>44</v>
      </c>
      <c r="C7" s="38" t="s">
        <v>11997</v>
      </c>
      <c r="D7" s="706" t="s">
        <v>11998</v>
      </c>
      <c r="E7" s="51" t="s">
        <v>53</v>
      </c>
      <c r="M7" s="707" t="str">
        <f t="shared" si="1"/>
        <v>kaleb.weis@sdlegislature.gov</v>
      </c>
    </row>
    <row r="8">
      <c r="A8" s="14" t="s">
        <v>44</v>
      </c>
      <c r="B8" s="330">
        <v>3.0</v>
      </c>
      <c r="C8" s="38" t="s">
        <v>4087</v>
      </c>
      <c r="D8" s="706" t="s">
        <v>1329</v>
      </c>
      <c r="E8" s="51" t="s">
        <v>53</v>
      </c>
      <c r="L8" s="14" t="s">
        <v>11999</v>
      </c>
      <c r="M8" s="707" t="str">
        <f t="shared" si="1"/>
        <v>carl.perry@sdlegislature.gov</v>
      </c>
    </row>
    <row r="9">
      <c r="A9" s="14" t="s">
        <v>44</v>
      </c>
      <c r="C9" s="38" t="s">
        <v>4759</v>
      </c>
      <c r="D9" s="706" t="s">
        <v>12000</v>
      </c>
      <c r="E9" s="51" t="s">
        <v>53</v>
      </c>
      <c r="L9" s="14" t="s">
        <v>12001</v>
      </c>
      <c r="M9" s="707" t="str">
        <f t="shared" si="1"/>
        <v>drew.dennert@sdlegislature.gov</v>
      </c>
    </row>
    <row r="10">
      <c r="A10" s="14" t="s">
        <v>44</v>
      </c>
      <c r="B10" s="330">
        <v>4.0</v>
      </c>
      <c r="C10" s="38" t="s">
        <v>1242</v>
      </c>
      <c r="D10" s="706" t="s">
        <v>12002</v>
      </c>
      <c r="E10" s="51" t="s">
        <v>53</v>
      </c>
      <c r="L10" s="14" t="s">
        <v>12003</v>
      </c>
      <c r="M10" s="707" t="str">
        <f t="shared" si="1"/>
        <v>fred.deutsch@sdlegislature.gov</v>
      </c>
    </row>
    <row r="11">
      <c r="A11" s="14" t="s">
        <v>44</v>
      </c>
      <c r="C11" s="38" t="s">
        <v>278</v>
      </c>
      <c r="D11" s="77" t="s">
        <v>5314</v>
      </c>
      <c r="E11" s="51" t="s">
        <v>53</v>
      </c>
      <c r="L11" s="14" t="s">
        <v>12004</v>
      </c>
      <c r="M11" s="707" t="str">
        <f t="shared" si="1"/>
        <v>john.mills@sdlegislature.gov</v>
      </c>
    </row>
    <row r="12">
      <c r="A12" s="14" t="s">
        <v>44</v>
      </c>
      <c r="B12" s="330">
        <v>5.0</v>
      </c>
      <c r="C12" s="38" t="s">
        <v>2045</v>
      </c>
      <c r="D12" s="706" t="s">
        <v>4775</v>
      </c>
      <c r="E12" s="51" t="s">
        <v>53</v>
      </c>
      <c r="L12" s="14" t="s">
        <v>12005</v>
      </c>
      <c r="M12" s="707" t="str">
        <f t="shared" si="1"/>
        <v>hugh.bartels@sdlegislature.gov</v>
      </c>
    </row>
    <row r="13">
      <c r="A13" s="14" t="s">
        <v>44</v>
      </c>
      <c r="C13" s="38" t="s">
        <v>123</v>
      </c>
      <c r="D13" s="706" t="s">
        <v>5632</v>
      </c>
      <c r="E13" s="51" t="s">
        <v>53</v>
      </c>
      <c r="L13" s="14" t="s">
        <v>12006</v>
      </c>
      <c r="M13" s="707" t="str">
        <f t="shared" si="1"/>
        <v>nancy.york@sdlegislature.gov</v>
      </c>
    </row>
    <row r="14">
      <c r="A14" s="14" t="s">
        <v>44</v>
      </c>
      <c r="B14" s="330">
        <v>6.0</v>
      </c>
      <c r="C14" s="38" t="s">
        <v>5620</v>
      </c>
      <c r="D14" s="706" t="s">
        <v>11312</v>
      </c>
      <c r="E14" s="51" t="s">
        <v>53</v>
      </c>
      <c r="L14" s="14" t="s">
        <v>12008</v>
      </c>
      <c r="M14" s="707" t="str">
        <f t="shared" si="1"/>
        <v>herman.otten@sdlegislature.gov</v>
      </c>
    </row>
    <row r="15">
      <c r="A15" s="14" t="s">
        <v>44</v>
      </c>
      <c r="C15" s="38" t="s">
        <v>7050</v>
      </c>
      <c r="D15" s="706" t="s">
        <v>12009</v>
      </c>
      <c r="E15" s="51" t="s">
        <v>53</v>
      </c>
      <c r="M15" s="707" t="str">
        <f t="shared" si="1"/>
        <v>isaac.latterell@sdlegislature.gov</v>
      </c>
    </row>
    <row r="16">
      <c r="A16" s="14" t="s">
        <v>44</v>
      </c>
      <c r="B16" s="330">
        <v>7.0</v>
      </c>
      <c r="C16" s="38" t="s">
        <v>1146</v>
      </c>
      <c r="D16" s="77" t="s">
        <v>10848</v>
      </c>
      <c r="E16" s="51" t="s">
        <v>53</v>
      </c>
      <c r="L16" s="14" t="s">
        <v>12013</v>
      </c>
      <c r="M16" s="707" t="str">
        <f t="shared" si="1"/>
        <v>doug.post@sdlegislature.gov</v>
      </c>
    </row>
    <row r="17">
      <c r="A17" s="14" t="s">
        <v>44</v>
      </c>
      <c r="C17" s="38" t="s">
        <v>225</v>
      </c>
      <c r="D17" s="77" t="s">
        <v>607</v>
      </c>
      <c r="E17" s="51" t="s">
        <v>53</v>
      </c>
      <c r="L17" s="14" t="s">
        <v>12015</v>
      </c>
      <c r="M17" s="707" t="str">
        <f t="shared" si="1"/>
        <v>tim.reed@sdlegislature.gov</v>
      </c>
    </row>
    <row r="18">
      <c r="A18" s="14" t="s">
        <v>44</v>
      </c>
      <c r="B18" s="330">
        <v>8.0</v>
      </c>
      <c r="C18" s="38" t="s">
        <v>12016</v>
      </c>
      <c r="D18" s="706" t="s">
        <v>12017</v>
      </c>
      <c r="E18" s="51" t="s">
        <v>53</v>
      </c>
      <c r="L18" s="14" t="s">
        <v>12018</v>
      </c>
      <c r="M18" s="707" t="str">
        <f t="shared" si="1"/>
        <v>marli.wiese@sdlegislature.gov</v>
      </c>
    </row>
    <row r="19">
      <c r="A19" s="14" t="s">
        <v>44</v>
      </c>
      <c r="C19" s="38" t="s">
        <v>412</v>
      </c>
      <c r="D19" s="706" t="s">
        <v>8970</v>
      </c>
      <c r="E19" s="51" t="s">
        <v>53</v>
      </c>
      <c r="M19" s="707" t="str">
        <f t="shared" si="1"/>
        <v>randy.gross@sdlegislature.gov</v>
      </c>
    </row>
    <row r="20">
      <c r="A20" s="14" t="s">
        <v>44</v>
      </c>
      <c r="B20" s="330">
        <v>9.0</v>
      </c>
      <c r="C20" s="77" t="s">
        <v>7370</v>
      </c>
      <c r="D20" s="77" t="s">
        <v>2358</v>
      </c>
      <c r="E20" s="51" t="s">
        <v>53</v>
      </c>
      <c r="L20" s="14" t="s">
        <v>12019</v>
      </c>
      <c r="M20" s="707" t="str">
        <f t="shared" si="1"/>
        <v>deb.peters@sdlegislature.gov</v>
      </c>
    </row>
    <row r="21">
      <c r="A21" s="14" t="s">
        <v>44</v>
      </c>
      <c r="C21" s="38" t="s">
        <v>2490</v>
      </c>
      <c r="D21" s="706" t="s">
        <v>12020</v>
      </c>
      <c r="E21" s="51" t="s">
        <v>53</v>
      </c>
      <c r="L21" s="14" t="s">
        <v>12021</v>
      </c>
      <c r="M21" s="707" t="str">
        <f t="shared" si="1"/>
        <v>michael.saba@sdlegislature.gov</v>
      </c>
    </row>
    <row r="22">
      <c r="A22" s="14" t="s">
        <v>44</v>
      </c>
      <c r="B22" s="330">
        <v>10.0</v>
      </c>
      <c r="C22" s="38" t="s">
        <v>1897</v>
      </c>
      <c r="D22" s="706" t="s">
        <v>12022</v>
      </c>
      <c r="E22" s="51" t="s">
        <v>53</v>
      </c>
      <c r="F22" s="14" t="s">
        <v>254</v>
      </c>
      <c r="L22" s="14" t="s">
        <v>12023</v>
      </c>
      <c r="M22" s="707" t="str">
        <f t="shared" si="1"/>
        <v>steven.haugaard@sdlegislature.gov</v>
      </c>
    </row>
    <row r="23">
      <c r="A23" s="14" t="s">
        <v>44</v>
      </c>
      <c r="C23" s="38" t="s">
        <v>1146</v>
      </c>
      <c r="D23" s="706" t="s">
        <v>12024</v>
      </c>
      <c r="E23" s="51" t="s">
        <v>53</v>
      </c>
      <c r="L23" s="14" t="s">
        <v>12025</v>
      </c>
      <c r="M23" s="707" t="str">
        <f t="shared" si="1"/>
        <v>doug.barthel@sdlegislature.gov</v>
      </c>
    </row>
    <row r="24">
      <c r="A24" s="14" t="s">
        <v>44</v>
      </c>
      <c r="B24" s="330">
        <v>11.0</v>
      </c>
      <c r="C24" s="38" t="s">
        <v>91</v>
      </c>
      <c r="D24" s="706" t="s">
        <v>12026</v>
      </c>
      <c r="E24" s="51" t="s">
        <v>53</v>
      </c>
      <c r="L24" s="14" t="s">
        <v>12027</v>
      </c>
      <c r="M24" s="707" t="str">
        <f t="shared" si="1"/>
        <v>mark.willadsen@sdlegislature.gov</v>
      </c>
    </row>
    <row r="25">
      <c r="A25" s="14" t="s">
        <v>44</v>
      </c>
      <c r="C25" s="38" t="s">
        <v>173</v>
      </c>
      <c r="D25" s="706" t="s">
        <v>12028</v>
      </c>
      <c r="E25" s="51" t="s">
        <v>53</v>
      </c>
      <c r="F25" s="14" t="s">
        <v>1188</v>
      </c>
      <c r="L25" s="14" t="s">
        <v>12029</v>
      </c>
      <c r="M25" s="707" t="str">
        <f t="shared" si="1"/>
        <v>chris.karr@sdlegislature.gov</v>
      </c>
    </row>
    <row r="26">
      <c r="A26" s="14" t="s">
        <v>44</v>
      </c>
      <c r="B26" s="330">
        <v>12.0</v>
      </c>
      <c r="C26" s="38" t="s">
        <v>9030</v>
      </c>
      <c r="D26" s="706" t="s">
        <v>12031</v>
      </c>
      <c r="E26" s="51" t="s">
        <v>53</v>
      </c>
      <c r="F26" s="14" t="s">
        <v>1479</v>
      </c>
      <c r="L26" s="14" t="s">
        <v>12032</v>
      </c>
      <c r="M26" s="707" t="str">
        <f t="shared" si="1"/>
        <v>arch.beal@sdlegislature.gov</v>
      </c>
    </row>
    <row r="27">
      <c r="A27" s="14" t="s">
        <v>44</v>
      </c>
      <c r="C27" s="38" t="s">
        <v>3337</v>
      </c>
      <c r="D27" s="706" t="s">
        <v>1216</v>
      </c>
      <c r="E27" s="51" t="s">
        <v>53</v>
      </c>
      <c r="L27" s="14" t="s">
        <v>12033</v>
      </c>
      <c r="M27" s="707" t="str">
        <f t="shared" si="1"/>
        <v>manny.steele@sdlegislature.gov</v>
      </c>
    </row>
    <row r="28">
      <c r="A28" s="14" t="s">
        <v>44</v>
      </c>
      <c r="B28" s="330">
        <v>13.0</v>
      </c>
      <c r="C28" s="38" t="s">
        <v>130</v>
      </c>
      <c r="D28" s="706" t="s">
        <v>435</v>
      </c>
      <c r="E28" s="51" t="s">
        <v>53</v>
      </c>
      <c r="M28" s="707" t="str">
        <f t="shared" si="1"/>
        <v>kelly.sullivan@sdlegislature.gov</v>
      </c>
    </row>
    <row r="29">
      <c r="A29" s="14" t="s">
        <v>44</v>
      </c>
      <c r="C29" s="38" t="s">
        <v>4426</v>
      </c>
      <c r="D29" s="706" t="s">
        <v>6554</v>
      </c>
      <c r="E29" s="51" t="s">
        <v>53</v>
      </c>
      <c r="L29" s="14" t="s">
        <v>12035</v>
      </c>
      <c r="M29" s="707" t="str">
        <f t="shared" si="1"/>
        <v>sue.peterson@sdlegislature.gov</v>
      </c>
    </row>
    <row r="30">
      <c r="A30" s="14" t="s">
        <v>44</v>
      </c>
      <c r="B30" s="330">
        <v>14.0</v>
      </c>
      <c r="C30" s="38" t="s">
        <v>839</v>
      </c>
      <c r="D30" s="706" t="s">
        <v>12038</v>
      </c>
      <c r="E30" s="51" t="s">
        <v>53</v>
      </c>
      <c r="M30" s="707" t="str">
        <f t="shared" si="1"/>
        <v>larry.zikmund@sdlegislature.gov</v>
      </c>
    </row>
    <row r="31">
      <c r="A31" s="14" t="s">
        <v>44</v>
      </c>
      <c r="C31" s="38" t="s">
        <v>2994</v>
      </c>
      <c r="D31" s="706" t="s">
        <v>79</v>
      </c>
      <c r="E31" s="36" t="s">
        <v>49</v>
      </c>
      <c r="F31" s="14" t="s">
        <v>2004</v>
      </c>
      <c r="L31" s="14" t="s">
        <v>12041</v>
      </c>
      <c r="M31" s="707" t="str">
        <f t="shared" si="1"/>
        <v>erin.healy@sdlegislature.gov</v>
      </c>
    </row>
    <row r="32">
      <c r="A32" s="14" t="s">
        <v>44</v>
      </c>
      <c r="B32" s="330">
        <v>15.0</v>
      </c>
      <c r="C32" s="38" t="s">
        <v>978</v>
      </c>
      <c r="D32" s="706" t="s">
        <v>12042</v>
      </c>
      <c r="E32" s="36" t="s">
        <v>49</v>
      </c>
      <c r="L32" s="14" t="s">
        <v>12043</v>
      </c>
      <c r="M32" s="707" t="str">
        <f t="shared" si="1"/>
        <v>linda.duba@sdlegislature.gov</v>
      </c>
    </row>
    <row r="33">
      <c r="A33" s="14" t="s">
        <v>44</v>
      </c>
      <c r="C33" s="38" t="s">
        <v>283</v>
      </c>
      <c r="D33" s="706" t="s">
        <v>1451</v>
      </c>
      <c r="E33" s="36" t="s">
        <v>49</v>
      </c>
      <c r="F33" s="14" t="s">
        <v>498</v>
      </c>
      <c r="L33" s="14" t="s">
        <v>12044</v>
      </c>
      <c r="M33" s="707" t="str">
        <f t="shared" si="1"/>
        <v>jamie.smith@sdlegislature.gov</v>
      </c>
    </row>
    <row r="34">
      <c r="A34" s="14" t="s">
        <v>44</v>
      </c>
      <c r="B34" s="330">
        <v>16.0</v>
      </c>
      <c r="C34" s="38" t="s">
        <v>108</v>
      </c>
      <c r="D34" s="706" t="s">
        <v>3961</v>
      </c>
      <c r="E34" s="51" t="s">
        <v>53</v>
      </c>
      <c r="L34" s="14" t="s">
        <v>12045</v>
      </c>
      <c r="M34" s="707" t="str">
        <f t="shared" si="1"/>
        <v>david.anderson@sdlegislature.gov</v>
      </c>
    </row>
    <row r="35">
      <c r="A35" s="14" t="s">
        <v>44</v>
      </c>
      <c r="C35" s="38" t="s">
        <v>971</v>
      </c>
      <c r="D35" s="706" t="s">
        <v>8556</v>
      </c>
      <c r="E35" s="51" t="s">
        <v>53</v>
      </c>
      <c r="F35" s="14" t="s">
        <v>1188</v>
      </c>
      <c r="L35" s="14" t="s">
        <v>12046</v>
      </c>
      <c r="M35" s="707" t="str">
        <f t="shared" si="1"/>
        <v>kevin.jensen@sdlegislature.gov</v>
      </c>
    </row>
    <row r="36">
      <c r="A36" s="14" t="s">
        <v>44</v>
      </c>
      <c r="B36" s="330">
        <v>17.0</v>
      </c>
      <c r="C36" s="38" t="s">
        <v>123</v>
      </c>
      <c r="D36" s="706" t="s">
        <v>172</v>
      </c>
      <c r="E36" s="51" t="s">
        <v>53</v>
      </c>
      <c r="L36" s="14" t="s">
        <v>12047</v>
      </c>
      <c r="M36" s="707" t="str">
        <f t="shared" si="1"/>
        <v>nancy.rasmussen@sdlegislature.gov</v>
      </c>
    </row>
    <row r="37">
      <c r="A37" s="14" t="s">
        <v>44</v>
      </c>
      <c r="C37" s="38" t="s">
        <v>2250</v>
      </c>
      <c r="D37" s="706" t="s">
        <v>12048</v>
      </c>
      <c r="E37" s="36" t="s">
        <v>49</v>
      </c>
      <c r="L37" s="14" t="s">
        <v>12049</v>
      </c>
      <c r="M37" s="707" t="str">
        <f t="shared" si="1"/>
        <v>ray.ring@sdlegislature.gov</v>
      </c>
    </row>
    <row r="38">
      <c r="A38" s="14" t="s">
        <v>44</v>
      </c>
      <c r="B38" s="330">
        <v>18.0</v>
      </c>
      <c r="C38" s="38" t="s">
        <v>837</v>
      </c>
      <c r="D38" s="706" t="s">
        <v>12051</v>
      </c>
      <c r="E38" s="51" t="s">
        <v>53</v>
      </c>
      <c r="L38" s="14" t="s">
        <v>12052</v>
      </c>
      <c r="M38" s="707" t="str">
        <f t="shared" si="1"/>
        <v>jean.hunhoff@sdlegislature.gov</v>
      </c>
    </row>
    <row r="39">
      <c r="A39" s="14" t="s">
        <v>44</v>
      </c>
      <c r="C39" s="38" t="s">
        <v>2780</v>
      </c>
      <c r="D39" s="706" t="s">
        <v>12053</v>
      </c>
      <c r="E39" s="36" t="s">
        <v>49</v>
      </c>
      <c r="M39" s="707" t="str">
        <f t="shared" si="1"/>
        <v>ryan.cwach@sdlegislature.gov</v>
      </c>
    </row>
    <row r="40">
      <c r="A40" s="14" t="s">
        <v>44</v>
      </c>
      <c r="B40" s="330">
        <v>19.0</v>
      </c>
      <c r="C40" s="38" t="s">
        <v>4892</v>
      </c>
      <c r="D40" s="706" t="s">
        <v>6554</v>
      </c>
      <c r="E40" s="51" t="s">
        <v>53</v>
      </c>
      <c r="L40" s="14" t="s">
        <v>12056</v>
      </c>
      <c r="M40" s="707" t="str">
        <f t="shared" si="1"/>
        <v>kent.peterson@sdlegislature.gov</v>
      </c>
    </row>
    <row r="41">
      <c r="A41" s="14" t="s">
        <v>44</v>
      </c>
      <c r="C41" s="38" t="s">
        <v>257</v>
      </c>
      <c r="D41" s="706" t="s">
        <v>12058</v>
      </c>
      <c r="E41" s="51" t="s">
        <v>53</v>
      </c>
      <c r="L41" s="14" t="s">
        <v>12059</v>
      </c>
      <c r="M41" s="707" t="str">
        <f t="shared" si="1"/>
        <v>kyle.schoenfish@sdlegislature.gov</v>
      </c>
    </row>
    <row r="42">
      <c r="A42" s="14" t="s">
        <v>44</v>
      </c>
      <c r="B42" s="330">
        <v>20.0</v>
      </c>
      <c r="C42" s="38" t="s">
        <v>185</v>
      </c>
      <c r="D42" s="706" t="s">
        <v>12061</v>
      </c>
      <c r="E42" s="51" t="s">
        <v>53</v>
      </c>
      <c r="L42" s="14" t="s">
        <v>12062</v>
      </c>
      <c r="M42" s="707" t="str">
        <f t="shared" si="1"/>
        <v>lance.koth@sdlegislature.gov</v>
      </c>
    </row>
    <row r="43">
      <c r="A43" s="14" t="s">
        <v>44</v>
      </c>
      <c r="C43" s="38" t="s">
        <v>679</v>
      </c>
      <c r="D43" s="706" t="s">
        <v>12063</v>
      </c>
      <c r="E43" s="51" t="s">
        <v>53</v>
      </c>
      <c r="L43" s="14" t="s">
        <v>12064</v>
      </c>
      <c r="M43" s="707" t="str">
        <f t="shared" si="1"/>
        <v>paul.miskimins@sdlegislature.gov</v>
      </c>
    </row>
    <row r="44">
      <c r="A44" s="14" t="s">
        <v>44</v>
      </c>
      <c r="B44" s="330">
        <v>21.0</v>
      </c>
      <c r="C44" s="38" t="s">
        <v>8680</v>
      </c>
      <c r="D44" s="77" t="s">
        <v>12065</v>
      </c>
      <c r="E44" s="51" t="s">
        <v>53</v>
      </c>
      <c r="L44" s="14" t="s">
        <v>12068</v>
      </c>
      <c r="M44" s="707" t="str">
        <f t="shared" si="1"/>
        <v>caleb.finck@sdlegislature.gov</v>
      </c>
    </row>
    <row r="45">
      <c r="A45" s="14" t="s">
        <v>44</v>
      </c>
      <c r="C45" s="38" t="s">
        <v>629</v>
      </c>
      <c r="D45" s="706" t="s">
        <v>12071</v>
      </c>
      <c r="E45" s="51" t="s">
        <v>53</v>
      </c>
      <c r="F45" s="14" t="s">
        <v>176</v>
      </c>
      <c r="L45" s="14" t="s">
        <v>12072</v>
      </c>
      <c r="M45" s="707" t="str">
        <f t="shared" si="1"/>
        <v>lee.qualm@sdlegislature.gov</v>
      </c>
    </row>
    <row r="46">
      <c r="A46" s="14" t="s">
        <v>44</v>
      </c>
      <c r="B46" s="330">
        <v>22.0</v>
      </c>
      <c r="C46" s="38" t="s">
        <v>1040</v>
      </c>
      <c r="D46" s="706" t="s">
        <v>12074</v>
      </c>
      <c r="E46" s="51" t="s">
        <v>53</v>
      </c>
      <c r="M46" s="707" t="str">
        <f t="shared" si="1"/>
        <v>roger.chase@sdlegislature.gov</v>
      </c>
    </row>
    <row r="47">
      <c r="A47" s="14" t="s">
        <v>44</v>
      </c>
      <c r="C47" s="38" t="s">
        <v>419</v>
      </c>
      <c r="D47" s="706" t="s">
        <v>12076</v>
      </c>
      <c r="E47" s="51" t="s">
        <v>53</v>
      </c>
      <c r="L47" s="14" t="s">
        <v>12077</v>
      </c>
      <c r="M47" s="707" t="str">
        <f t="shared" si="1"/>
        <v>bob.glanzer@sdlegislature.gov</v>
      </c>
    </row>
    <row r="48">
      <c r="A48" s="14" t="s">
        <v>44</v>
      </c>
      <c r="B48" s="330">
        <v>23.0</v>
      </c>
      <c r="C48" s="38" t="s">
        <v>1532</v>
      </c>
      <c r="D48" s="706" t="s">
        <v>12079</v>
      </c>
      <c r="E48" s="51" t="s">
        <v>53</v>
      </c>
      <c r="F48" s="14" t="s">
        <v>751</v>
      </c>
      <c r="L48" s="14" t="s">
        <v>12080</v>
      </c>
      <c r="M48" s="707" t="str">
        <f t="shared" si="1"/>
        <v>spencer.gosch@sdlegislature.gov</v>
      </c>
    </row>
    <row r="49">
      <c r="A49" s="14" t="s">
        <v>44</v>
      </c>
      <c r="C49" s="38" t="s">
        <v>278</v>
      </c>
      <c r="D49" s="77" t="s">
        <v>12081</v>
      </c>
      <c r="E49" s="51" t="s">
        <v>53</v>
      </c>
      <c r="L49" s="14" t="s">
        <v>12082</v>
      </c>
      <c r="M49" s="707" t="str">
        <f t="shared" si="1"/>
        <v>john.lake@sdlegislature.gov</v>
      </c>
    </row>
    <row r="50">
      <c r="A50" s="14" t="s">
        <v>44</v>
      </c>
      <c r="B50" s="330">
        <v>24.0</v>
      </c>
      <c r="C50" s="38" t="s">
        <v>225</v>
      </c>
      <c r="D50" s="706" t="s">
        <v>12084</v>
      </c>
      <c r="E50" s="51" t="s">
        <v>53</v>
      </c>
      <c r="L50" s="14" t="s">
        <v>12085</v>
      </c>
      <c r="M50" s="707" t="str">
        <f t="shared" si="1"/>
        <v>tim.rounds@sdlegislature.gov</v>
      </c>
    </row>
    <row r="51">
      <c r="A51" s="14" t="s">
        <v>44</v>
      </c>
      <c r="C51" s="38" t="s">
        <v>514</v>
      </c>
      <c r="D51" s="706" t="s">
        <v>12086</v>
      </c>
      <c r="E51" s="51" t="s">
        <v>53</v>
      </c>
      <c r="L51" s="14" t="s">
        <v>12087</v>
      </c>
      <c r="M51" s="707" t="str">
        <f t="shared" si="1"/>
        <v>mary.duvall@sdlegislature.gov</v>
      </c>
    </row>
    <row r="52">
      <c r="A52" s="14" t="s">
        <v>44</v>
      </c>
      <c r="B52" s="330">
        <v>25.0</v>
      </c>
      <c r="C52" s="38" t="s">
        <v>1387</v>
      </c>
      <c r="D52" s="706" t="s">
        <v>1653</v>
      </c>
      <c r="E52" s="51" t="s">
        <v>53</v>
      </c>
      <c r="F52" s="14" t="s">
        <v>1188</v>
      </c>
      <c r="L52" s="14" t="s">
        <v>12090</v>
      </c>
      <c r="M52" s="707" t="str">
        <f t="shared" si="1"/>
        <v>jon.hansen@sdlegislature.gov</v>
      </c>
    </row>
    <row r="53">
      <c r="A53" s="14" t="s">
        <v>44</v>
      </c>
      <c r="C53" s="38" t="s">
        <v>338</v>
      </c>
      <c r="D53" s="706" t="s">
        <v>12091</v>
      </c>
      <c r="E53" s="51" t="s">
        <v>53</v>
      </c>
      <c r="L53" s="14" t="s">
        <v>12093</v>
      </c>
      <c r="M53" s="707" t="str">
        <f t="shared" si="1"/>
        <v>tom.pischke@sdlegislature.gov</v>
      </c>
    </row>
    <row r="54">
      <c r="A54" s="14" t="s">
        <v>44</v>
      </c>
      <c r="B54" s="330" t="s">
        <v>7601</v>
      </c>
      <c r="C54" s="38" t="s">
        <v>5855</v>
      </c>
      <c r="D54" s="706" t="s">
        <v>12094</v>
      </c>
      <c r="E54" s="36" t="s">
        <v>49</v>
      </c>
      <c r="M54" s="707" t="str">
        <f t="shared" si="1"/>
        <v>shawn.bordeaux@sdlegislature.gov</v>
      </c>
    </row>
    <row r="55">
      <c r="A55" s="14" t="s">
        <v>44</v>
      </c>
      <c r="B55" s="330" t="s">
        <v>7607</v>
      </c>
      <c r="C55" s="78" t="s">
        <v>1340</v>
      </c>
      <c r="D55" s="266" t="s">
        <v>12095</v>
      </c>
      <c r="E55" s="51" t="s">
        <v>53</v>
      </c>
      <c r="M55" s="707" t="str">
        <f t="shared" si="1"/>
        <v>rebecca.reimer@sdlegislature.gov</v>
      </c>
    </row>
    <row r="56">
      <c r="A56" s="14" t="s">
        <v>44</v>
      </c>
      <c r="B56" s="330">
        <v>27.0</v>
      </c>
      <c r="C56" s="38" t="s">
        <v>55</v>
      </c>
      <c r="D56" s="706" t="s">
        <v>12097</v>
      </c>
      <c r="E56" s="51" t="s">
        <v>53</v>
      </c>
      <c r="L56" s="14" t="s">
        <v>12098</v>
      </c>
      <c r="M56" s="707" t="str">
        <f t="shared" si="1"/>
        <v>steve.livermont@sdlegislature.gov</v>
      </c>
    </row>
    <row r="57">
      <c r="A57" s="14" t="s">
        <v>44</v>
      </c>
      <c r="C57" s="38" t="s">
        <v>12099</v>
      </c>
      <c r="D57" s="706" t="s">
        <v>12100</v>
      </c>
      <c r="E57" s="36" t="s">
        <v>49</v>
      </c>
      <c r="M57" s="707" t="str">
        <f t="shared" si="1"/>
        <v>peri.pourier@sdlegislature.gov</v>
      </c>
    </row>
    <row r="58">
      <c r="A58" s="14" t="s">
        <v>44</v>
      </c>
      <c r="B58" s="330" t="s">
        <v>7627</v>
      </c>
      <c r="C58" s="38" t="s">
        <v>12101</v>
      </c>
      <c r="D58" s="706" t="s">
        <v>12102</v>
      </c>
      <c r="E58" s="36" t="s">
        <v>49</v>
      </c>
      <c r="F58" s="14" t="s">
        <v>2004</v>
      </c>
      <c r="M58" s="707" t="str">
        <f t="shared" si="1"/>
        <v>oren.lesmeister@sdlegislature.gov</v>
      </c>
    </row>
    <row r="59">
      <c r="A59" s="14" t="s">
        <v>44</v>
      </c>
      <c r="B59" s="330" t="s">
        <v>7634</v>
      </c>
      <c r="C59" s="38" t="s">
        <v>224</v>
      </c>
      <c r="D59" s="706" t="s">
        <v>4242</v>
      </c>
      <c r="E59" s="51" t="s">
        <v>53</v>
      </c>
      <c r="L59" s="14" t="s">
        <v>12103</v>
      </c>
      <c r="M59" s="707" t="str">
        <f t="shared" si="1"/>
        <v>sam.marty@sdlegislature.gov</v>
      </c>
    </row>
    <row r="60">
      <c r="A60" s="14" t="s">
        <v>44</v>
      </c>
      <c r="B60" s="330">
        <v>29.0</v>
      </c>
      <c r="C60" s="38" t="s">
        <v>561</v>
      </c>
      <c r="D60" s="706" t="s">
        <v>12104</v>
      </c>
      <c r="E60" s="51" t="s">
        <v>53</v>
      </c>
      <c r="L60" s="14" t="s">
        <v>12105</v>
      </c>
      <c r="M60" s="707" t="str">
        <f t="shared" si="1"/>
        <v>thomas.brunner@sdlegislature.gov</v>
      </c>
    </row>
    <row r="61">
      <c r="A61" s="14" t="s">
        <v>44</v>
      </c>
      <c r="C61" s="38" t="s">
        <v>619</v>
      </c>
      <c r="D61" s="706" t="s">
        <v>12106</v>
      </c>
      <c r="E61" s="51" t="s">
        <v>53</v>
      </c>
      <c r="M61" s="707" t="str">
        <f t="shared" si="1"/>
        <v>kirk.chaffee@sdlegislature.gov</v>
      </c>
    </row>
    <row r="62">
      <c r="A62" s="14" t="s">
        <v>44</v>
      </c>
      <c r="B62" s="330">
        <v>30.0</v>
      </c>
      <c r="C62" s="38" t="s">
        <v>2133</v>
      </c>
      <c r="D62" s="706" t="s">
        <v>12107</v>
      </c>
      <c r="E62" s="51" t="s">
        <v>53</v>
      </c>
      <c r="L62" s="14" t="s">
        <v>12108</v>
      </c>
      <c r="M62" s="707" t="str">
        <f t="shared" si="1"/>
        <v>julie.fryemueller@sdlegislature.gov</v>
      </c>
    </row>
    <row r="63">
      <c r="A63" s="14" t="s">
        <v>44</v>
      </c>
      <c r="C63" s="38" t="s">
        <v>225</v>
      </c>
      <c r="D63" s="706" t="s">
        <v>9741</v>
      </c>
      <c r="E63" s="51" t="s">
        <v>53</v>
      </c>
      <c r="F63" s="14" t="s">
        <v>1188</v>
      </c>
      <c r="L63" s="14" t="s">
        <v>12109</v>
      </c>
      <c r="M63" s="707" t="str">
        <f t="shared" si="1"/>
        <v>tim.goodwin@sdlegislature.gov</v>
      </c>
    </row>
    <row r="64">
      <c r="A64" s="14" t="s">
        <v>44</v>
      </c>
      <c r="B64" s="330">
        <v>31.0</v>
      </c>
      <c r="C64" s="38" t="s">
        <v>2507</v>
      </c>
      <c r="D64" s="706" t="s">
        <v>6734</v>
      </c>
      <c r="E64" s="51" t="s">
        <v>53</v>
      </c>
      <c r="L64" s="14" t="s">
        <v>12112</v>
      </c>
      <c r="M64" s="707" t="str">
        <f t="shared" si="1"/>
        <v>timothy.johns@sdlegislature.gov</v>
      </c>
    </row>
    <row r="65">
      <c r="A65" s="14" t="s">
        <v>44</v>
      </c>
      <c r="C65" s="78" t="s">
        <v>1287</v>
      </c>
      <c r="D65" s="266" t="s">
        <v>12113</v>
      </c>
      <c r="E65" s="51" t="s">
        <v>53</v>
      </c>
      <c r="F65" s="14" t="s">
        <v>12114</v>
      </c>
      <c r="L65" s="14" t="s">
        <v>12114</v>
      </c>
      <c r="M65" s="707"/>
    </row>
    <row r="66">
      <c r="A66" s="14" t="s">
        <v>44</v>
      </c>
      <c r="B66" s="330">
        <v>32.0</v>
      </c>
      <c r="C66" s="38" t="s">
        <v>12115</v>
      </c>
      <c r="D66" s="706" t="s">
        <v>12116</v>
      </c>
      <c r="E66" s="51" t="s">
        <v>53</v>
      </c>
      <c r="L66" s="14" t="s">
        <v>12117</v>
      </c>
      <c r="M66" s="707" t="str">
        <f t="shared" ref="M66:M73" si="2">concatenate(lower(C66),".",lower(D66),"@sdlegislature.gov")</f>
        <v>scyller.borglum@sdlegislature.gov</v>
      </c>
    </row>
    <row r="67">
      <c r="A67" s="14" t="s">
        <v>44</v>
      </c>
      <c r="C67" s="38" t="s">
        <v>173</v>
      </c>
      <c r="D67" s="706" t="s">
        <v>118</v>
      </c>
      <c r="E67" s="51" t="s">
        <v>53</v>
      </c>
      <c r="L67" s="14" t="s">
        <v>12118</v>
      </c>
      <c r="M67" s="707" t="str">
        <f t="shared" si="2"/>
        <v>chris.johnson@sdlegislature.gov</v>
      </c>
    </row>
    <row r="68">
      <c r="A68" s="14" t="s">
        <v>44</v>
      </c>
      <c r="B68" s="330">
        <v>33.0</v>
      </c>
      <c r="C68" s="38" t="s">
        <v>12119</v>
      </c>
      <c r="D68" s="706" t="s">
        <v>297</v>
      </c>
      <c r="E68" s="51" t="s">
        <v>53</v>
      </c>
      <c r="M68" s="707" t="str">
        <f t="shared" si="2"/>
        <v>taffy.howard@sdlegislature.gov</v>
      </c>
    </row>
    <row r="69">
      <c r="A69" s="14" t="s">
        <v>44</v>
      </c>
      <c r="C69" s="38" t="s">
        <v>108</v>
      </c>
      <c r="D69" s="706" t="s">
        <v>118</v>
      </c>
      <c r="E69" s="51" t="s">
        <v>53</v>
      </c>
      <c r="M69" s="707" t="str">
        <f t="shared" si="2"/>
        <v>david.johnson@sdlegislature.gov</v>
      </c>
    </row>
    <row r="70">
      <c r="A70" s="14" t="s">
        <v>44</v>
      </c>
      <c r="B70" s="330">
        <v>34.0</v>
      </c>
      <c r="C70" s="38" t="s">
        <v>157</v>
      </c>
      <c r="D70" s="706" t="s">
        <v>12120</v>
      </c>
      <c r="E70" s="51" t="s">
        <v>53</v>
      </c>
      <c r="F70" s="14" t="s">
        <v>1188</v>
      </c>
      <c r="L70" s="14" t="s">
        <v>12121</v>
      </c>
      <c r="M70" s="707" t="str">
        <f t="shared" si="2"/>
        <v>mike.diedrich@sdlegislature.gov</v>
      </c>
    </row>
    <row r="71">
      <c r="A71" s="14" t="s">
        <v>44</v>
      </c>
      <c r="C71" s="78" t="s">
        <v>12122</v>
      </c>
      <c r="D71" s="266" t="s">
        <v>413</v>
      </c>
      <c r="E71" s="51" t="s">
        <v>53</v>
      </c>
      <c r="M71" s="707" t="str">
        <f t="shared" si="2"/>
        <v>jess.olson@sdlegislature.gov</v>
      </c>
    </row>
    <row r="72">
      <c r="A72" s="14" t="s">
        <v>44</v>
      </c>
      <c r="B72" s="330">
        <v>35.0</v>
      </c>
      <c r="C72" s="38" t="s">
        <v>3053</v>
      </c>
      <c r="D72" s="706" t="s">
        <v>12124</v>
      </c>
      <c r="E72" s="51" t="s">
        <v>53</v>
      </c>
      <c r="M72" s="707" t="str">
        <f t="shared" si="2"/>
        <v>tina.mulally@sdlegislature.gov</v>
      </c>
    </row>
    <row r="73">
      <c r="A73" s="14" t="s">
        <v>44</v>
      </c>
      <c r="C73" s="38" t="s">
        <v>980</v>
      </c>
      <c r="D73" s="706" t="s">
        <v>3202</v>
      </c>
      <c r="E73" s="51" t="s">
        <v>53</v>
      </c>
      <c r="M73" s="707" t="str">
        <f t="shared" si="2"/>
        <v>tony.randolph@sdlegislature.gov</v>
      </c>
    </row>
    <row r="74">
      <c r="A74" s="70"/>
      <c r="B74" s="70"/>
      <c r="C74" s="71"/>
      <c r="D74" s="139"/>
      <c r="E74" s="70"/>
      <c r="F74" s="70"/>
      <c r="G74" s="70"/>
      <c r="H74" s="70"/>
      <c r="I74" s="70"/>
      <c r="J74" s="70"/>
      <c r="K74" s="70"/>
      <c r="L74" s="70"/>
      <c r="M74" s="70"/>
      <c r="N74" s="70"/>
      <c r="O74" s="70"/>
      <c r="P74" s="70"/>
      <c r="Q74" s="70"/>
      <c r="R74" s="70"/>
      <c r="S74" s="70"/>
      <c r="T74" s="70"/>
      <c r="U74" s="70"/>
      <c r="V74" s="70"/>
      <c r="W74" s="70"/>
      <c r="X74" s="70"/>
      <c r="Y74" s="70"/>
      <c r="Z74" s="70"/>
      <c r="AA74" s="70"/>
      <c r="AB74" s="70"/>
      <c r="AC74" s="70"/>
      <c r="AD74" s="70"/>
      <c r="AE74" s="70"/>
      <c r="AF74" s="70"/>
      <c r="AG74" s="70"/>
      <c r="AH74" s="70"/>
    </row>
    <row r="75">
      <c r="A75" s="14" t="s">
        <v>286</v>
      </c>
      <c r="B75" s="31">
        <v>1.0</v>
      </c>
      <c r="C75" s="38" t="s">
        <v>1446</v>
      </c>
      <c r="D75" s="706" t="s">
        <v>12128</v>
      </c>
      <c r="E75" s="36" t="s">
        <v>49</v>
      </c>
      <c r="L75" s="14" t="s">
        <v>12130</v>
      </c>
      <c r="M75" s="707" t="str">
        <f t="shared" ref="M75:M109" si="3">concatenate(lower(C75),".",lower(D75),"@sdlegislature.gov")</f>
        <v>susan.wismer@sdlegislature.gov</v>
      </c>
    </row>
    <row r="76">
      <c r="A76" s="14" t="s">
        <v>286</v>
      </c>
      <c r="B76" s="31">
        <v>2.0</v>
      </c>
      <c r="C76" s="38" t="s">
        <v>12131</v>
      </c>
      <c r="D76" s="706" t="s">
        <v>11994</v>
      </c>
      <c r="E76" s="51" t="s">
        <v>53</v>
      </c>
      <c r="F76" s="14" t="s">
        <v>12132</v>
      </c>
      <c r="L76" s="14" t="s">
        <v>12133</v>
      </c>
      <c r="M76" s="707" t="str">
        <f t="shared" si="3"/>
        <v>brock.greenfield@sdlegislature.gov</v>
      </c>
    </row>
    <row r="77">
      <c r="A77" s="14" t="s">
        <v>286</v>
      </c>
      <c r="B77" s="31">
        <v>3.0</v>
      </c>
      <c r="C77" s="38" t="s">
        <v>1874</v>
      </c>
      <c r="D77" s="706" t="s">
        <v>12134</v>
      </c>
      <c r="E77" s="51" t="s">
        <v>53</v>
      </c>
      <c r="F77" s="14" t="s">
        <v>1188</v>
      </c>
      <c r="L77" s="14" t="s">
        <v>12135</v>
      </c>
      <c r="M77" s="707" t="str">
        <f t="shared" si="3"/>
        <v>al.novstrup@sdlegislature.gov</v>
      </c>
    </row>
    <row r="78">
      <c r="A78" s="14" t="s">
        <v>286</v>
      </c>
      <c r="B78" s="31">
        <v>4.0</v>
      </c>
      <c r="C78" s="38" t="s">
        <v>278</v>
      </c>
      <c r="D78" s="706" t="s">
        <v>12136</v>
      </c>
      <c r="E78" s="51" t="s">
        <v>53</v>
      </c>
      <c r="L78" s="14" t="s">
        <v>12137</v>
      </c>
      <c r="M78" s="707" t="str">
        <f t="shared" si="3"/>
        <v>john.wiik@sdlegislature.gov</v>
      </c>
    </row>
    <row r="79">
      <c r="A79" s="14" t="s">
        <v>286</v>
      </c>
      <c r="B79" s="31">
        <v>5.0</v>
      </c>
      <c r="C79" s="38" t="s">
        <v>629</v>
      </c>
      <c r="D79" s="77" t="s">
        <v>12138</v>
      </c>
      <c r="E79" s="51" t="s">
        <v>53</v>
      </c>
      <c r="M79" s="707" t="str">
        <f t="shared" si="3"/>
        <v>lee.schoenbeck@sdlegislature.gov</v>
      </c>
    </row>
    <row r="80">
      <c r="A80" s="14" t="s">
        <v>286</v>
      </c>
      <c r="B80" s="31">
        <v>6.0</v>
      </c>
      <c r="C80" s="38" t="s">
        <v>5360</v>
      </c>
      <c r="D80" s="706" t="s">
        <v>11312</v>
      </c>
      <c r="E80" s="51" t="s">
        <v>53</v>
      </c>
      <c r="L80" s="14" t="s">
        <v>12139</v>
      </c>
      <c r="M80" s="707" t="str">
        <f t="shared" si="3"/>
        <v>ernie.otten@sdlegislature.gov</v>
      </c>
    </row>
    <row r="81">
      <c r="A81" s="14" t="s">
        <v>286</v>
      </c>
      <c r="B81" s="31">
        <v>7.0</v>
      </c>
      <c r="C81" s="38" t="s">
        <v>12141</v>
      </c>
      <c r="D81" s="706" t="s">
        <v>1451</v>
      </c>
      <c r="E81" s="51" t="s">
        <v>53</v>
      </c>
      <c r="L81" s="14" t="s">
        <v>12142</v>
      </c>
      <c r="M81" s="707" t="str">
        <f t="shared" si="3"/>
        <v>vj.smith@sdlegislature.gov</v>
      </c>
    </row>
    <row r="82">
      <c r="A82" s="14" t="s">
        <v>286</v>
      </c>
      <c r="B82" s="31">
        <v>8.0</v>
      </c>
      <c r="C82" s="38" t="s">
        <v>1581</v>
      </c>
      <c r="D82" s="706" t="s">
        <v>12143</v>
      </c>
      <c r="E82" s="51" t="s">
        <v>53</v>
      </c>
      <c r="F82" s="14" t="s">
        <v>1188</v>
      </c>
      <c r="M82" s="707" t="str">
        <f t="shared" si="3"/>
        <v>jordan.youngberg@sdlegislature.gov</v>
      </c>
    </row>
    <row r="83">
      <c r="A83" s="14" t="s">
        <v>286</v>
      </c>
      <c r="B83" s="31">
        <v>9.0</v>
      </c>
      <c r="C83" s="38" t="s">
        <v>6418</v>
      </c>
      <c r="D83" s="706" t="s">
        <v>12144</v>
      </c>
      <c r="E83" s="51" t="s">
        <v>53</v>
      </c>
      <c r="L83" s="14" t="s">
        <v>12145</v>
      </c>
      <c r="M83" s="707" t="str">
        <f t="shared" si="3"/>
        <v>wayne.steinhauer@sdlegislature.gov</v>
      </c>
    </row>
    <row r="84">
      <c r="A84" s="14" t="s">
        <v>286</v>
      </c>
      <c r="B84" s="31">
        <v>10.0</v>
      </c>
      <c r="C84" s="38" t="s">
        <v>3040</v>
      </c>
      <c r="D84" s="706" t="s">
        <v>5008</v>
      </c>
      <c r="E84" s="51" t="s">
        <v>53</v>
      </c>
      <c r="L84" s="14" t="s">
        <v>12146</v>
      </c>
      <c r="M84" s="707" t="str">
        <f t="shared" si="3"/>
        <v>margaret.sutton@sdlegislature.gov</v>
      </c>
    </row>
    <row r="85">
      <c r="A85" s="14" t="s">
        <v>286</v>
      </c>
      <c r="B85" s="31">
        <v>11.0</v>
      </c>
      <c r="C85" s="38" t="s">
        <v>476</v>
      </c>
      <c r="D85" s="706" t="s">
        <v>12148</v>
      </c>
      <c r="E85" s="51" t="s">
        <v>53</v>
      </c>
      <c r="L85" s="14" t="s">
        <v>12149</v>
      </c>
      <c r="M85" s="707" t="str">
        <f t="shared" si="3"/>
        <v>jim.stalzer@sdlegislature.gov</v>
      </c>
    </row>
    <row r="86">
      <c r="A86" s="14" t="s">
        <v>286</v>
      </c>
      <c r="B86" s="31">
        <v>12.0</v>
      </c>
      <c r="C86" s="38" t="s">
        <v>1288</v>
      </c>
      <c r="D86" s="706" t="s">
        <v>12153</v>
      </c>
      <c r="E86" s="51" t="s">
        <v>53</v>
      </c>
      <c r="L86" s="14" t="s">
        <v>12154</v>
      </c>
      <c r="M86" s="707" t="str">
        <f t="shared" si="3"/>
        <v>blake.curd@sdlegislature.gov</v>
      </c>
    </row>
    <row r="87">
      <c r="A87" s="14" t="s">
        <v>286</v>
      </c>
      <c r="B87" s="31">
        <v>13.0</v>
      </c>
      <c r="C87" s="38" t="s">
        <v>792</v>
      </c>
      <c r="D87" s="706" t="s">
        <v>12155</v>
      </c>
      <c r="E87" s="51" t="s">
        <v>53</v>
      </c>
      <c r="L87" s="14" t="s">
        <v>12156</v>
      </c>
      <c r="M87" s="707" t="str">
        <f t="shared" si="3"/>
        <v>jack.kolbeck@sdlegislature.gov</v>
      </c>
    </row>
    <row r="88">
      <c r="A88" s="14" t="s">
        <v>286</v>
      </c>
      <c r="B88" s="31">
        <v>14.0</v>
      </c>
      <c r="C88" s="38" t="s">
        <v>7370</v>
      </c>
      <c r="D88" s="706" t="s">
        <v>12157</v>
      </c>
      <c r="E88" s="51" t="s">
        <v>53</v>
      </c>
      <c r="L88" s="14" t="s">
        <v>12158</v>
      </c>
      <c r="M88" s="707" t="str">
        <f t="shared" si="3"/>
        <v>deb.soholt@sdlegislature.gov</v>
      </c>
    </row>
    <row r="89">
      <c r="A89" s="14" t="s">
        <v>286</v>
      </c>
      <c r="B89" s="31">
        <v>15.0</v>
      </c>
      <c r="C89" s="38" t="s">
        <v>12159</v>
      </c>
      <c r="D89" s="706" t="s">
        <v>12160</v>
      </c>
      <c r="E89" s="36" t="s">
        <v>49</v>
      </c>
      <c r="F89" s="14" t="s">
        <v>2004</v>
      </c>
      <c r="L89" s="14" t="s">
        <v>12161</v>
      </c>
      <c r="M89" s="707" t="str">
        <f t="shared" si="3"/>
        <v>reynold.nesiba@sdlegislature.gov</v>
      </c>
    </row>
    <row r="90">
      <c r="A90" s="14" t="s">
        <v>286</v>
      </c>
      <c r="B90" s="31">
        <v>16.0</v>
      </c>
      <c r="C90" s="38" t="s">
        <v>476</v>
      </c>
      <c r="D90" s="706" t="s">
        <v>12162</v>
      </c>
      <c r="E90" s="51" t="s">
        <v>53</v>
      </c>
      <c r="F90" s="14" t="s">
        <v>1479</v>
      </c>
      <c r="L90" s="14" t="s">
        <v>12163</v>
      </c>
      <c r="M90" s="707" t="str">
        <f t="shared" si="3"/>
        <v>jim.bolin@sdlegislature.gov</v>
      </c>
    </row>
    <row r="91">
      <c r="A91" s="14" t="s">
        <v>286</v>
      </c>
      <c r="B91" s="31">
        <v>17.0</v>
      </c>
      <c r="C91" s="38" t="s">
        <v>802</v>
      </c>
      <c r="D91" s="706" t="s">
        <v>12164</v>
      </c>
      <c r="E91" s="51" t="s">
        <v>53</v>
      </c>
      <c r="L91" s="14" t="s">
        <v>12165</v>
      </c>
      <c r="M91" s="707" t="str">
        <f t="shared" si="3"/>
        <v>arthur.rusch@sdlegislature.gov</v>
      </c>
    </row>
    <row r="92">
      <c r="A92" s="14" t="s">
        <v>286</v>
      </c>
      <c r="B92" s="31">
        <v>18.0</v>
      </c>
      <c r="C92" s="38" t="s">
        <v>373</v>
      </c>
      <c r="D92" s="706" t="s">
        <v>1791</v>
      </c>
      <c r="E92" s="36" t="s">
        <v>49</v>
      </c>
      <c r="F92" s="14" t="s">
        <v>1965</v>
      </c>
      <c r="L92" s="14" t="s">
        <v>12166</v>
      </c>
      <c r="M92" s="707" t="str">
        <f t="shared" si="3"/>
        <v>craig.kennedy@sdlegislature.gov</v>
      </c>
    </row>
    <row r="93">
      <c r="A93" s="14" t="s">
        <v>286</v>
      </c>
      <c r="B93" s="31">
        <v>19.0</v>
      </c>
      <c r="C93" s="38" t="s">
        <v>12167</v>
      </c>
      <c r="D93" s="706" t="s">
        <v>3823</v>
      </c>
      <c r="E93" s="51" t="s">
        <v>53</v>
      </c>
      <c r="L93" s="14" t="s">
        <v>12168</v>
      </c>
      <c r="M93" s="707" t="str">
        <f t="shared" si="3"/>
        <v>stace.nelson@sdlegislature.gov</v>
      </c>
    </row>
    <row r="94">
      <c r="A94" s="14" t="s">
        <v>286</v>
      </c>
      <c r="B94" s="31">
        <v>20.0</v>
      </c>
      <c r="C94" s="38" t="s">
        <v>2506</v>
      </c>
      <c r="D94" s="706" t="s">
        <v>12169</v>
      </c>
      <c r="E94" s="51" t="s">
        <v>53</v>
      </c>
      <c r="F94" s="14" t="s">
        <v>1188</v>
      </c>
      <c r="L94" s="14" t="s">
        <v>12170</v>
      </c>
      <c r="M94" s="707" t="str">
        <f t="shared" si="3"/>
        <v>joshua.klumb@sdlegislature.gov</v>
      </c>
    </row>
    <row r="95">
      <c r="A95" s="14" t="s">
        <v>286</v>
      </c>
      <c r="B95" s="31">
        <v>21.0</v>
      </c>
      <c r="C95" s="38" t="s">
        <v>5301</v>
      </c>
      <c r="D95" s="706" t="s">
        <v>12171</v>
      </c>
      <c r="E95" s="36" t="s">
        <v>49</v>
      </c>
      <c r="L95" s="14" t="s">
        <v>12172</v>
      </c>
      <c r="M95" s="707" t="str">
        <f t="shared" si="3"/>
        <v>rocky.blare@sdlegislature.gov</v>
      </c>
    </row>
    <row r="96">
      <c r="A96" s="14" t="s">
        <v>286</v>
      </c>
      <c r="B96" s="31">
        <v>22.0</v>
      </c>
      <c r="C96" s="38" t="s">
        <v>476</v>
      </c>
      <c r="D96" s="706" t="s">
        <v>6034</v>
      </c>
      <c r="E96" s="51" t="s">
        <v>53</v>
      </c>
      <c r="L96" s="14" t="s">
        <v>12173</v>
      </c>
      <c r="M96" s="707" t="str">
        <f t="shared" si="3"/>
        <v>jim.white@sdlegislature.gov</v>
      </c>
    </row>
    <row r="97">
      <c r="A97" s="14" t="s">
        <v>286</v>
      </c>
      <c r="B97" s="31">
        <v>23.0</v>
      </c>
      <c r="C97" s="38" t="s">
        <v>786</v>
      </c>
      <c r="D97" s="706" t="s">
        <v>6979</v>
      </c>
      <c r="E97" s="51" t="s">
        <v>53</v>
      </c>
      <c r="L97" s="14" t="s">
        <v>12176</v>
      </c>
      <c r="M97" s="707" t="str">
        <f t="shared" si="3"/>
        <v>justin.cronin@sdlegislature.gov</v>
      </c>
    </row>
    <row r="98">
      <c r="A98" s="14" t="s">
        <v>286</v>
      </c>
      <c r="B98" s="31">
        <v>24.0</v>
      </c>
      <c r="C98" s="38" t="s">
        <v>683</v>
      </c>
      <c r="D98" s="706" t="s">
        <v>10747</v>
      </c>
      <c r="E98" s="51" t="s">
        <v>53</v>
      </c>
      <c r="L98" s="14" t="s">
        <v>12177</v>
      </c>
      <c r="M98" s="707" t="str">
        <f t="shared" si="3"/>
        <v>jeff.monroe@sdlegislature.gov</v>
      </c>
    </row>
    <row r="99">
      <c r="A99" s="14" t="s">
        <v>286</v>
      </c>
      <c r="B99" s="31">
        <v>25.0</v>
      </c>
      <c r="C99" s="38" t="s">
        <v>10592</v>
      </c>
      <c r="D99" s="706" t="s">
        <v>12178</v>
      </c>
      <c r="E99" s="51" t="s">
        <v>53</v>
      </c>
      <c r="F99" s="14" t="s">
        <v>176</v>
      </c>
      <c r="L99" s="14" t="s">
        <v>12179</v>
      </c>
      <c r="M99" s="707" t="str">
        <f t="shared" si="3"/>
        <v>kris.langer@sdlegislature.gov</v>
      </c>
    </row>
    <row r="100">
      <c r="A100" s="14" t="s">
        <v>286</v>
      </c>
      <c r="B100" s="31">
        <v>26.0</v>
      </c>
      <c r="C100" s="38" t="s">
        <v>3163</v>
      </c>
      <c r="D100" s="706" t="s">
        <v>10198</v>
      </c>
      <c r="E100" s="36" t="s">
        <v>49</v>
      </c>
      <c r="F100" s="14" t="s">
        <v>498</v>
      </c>
      <c r="L100" s="14" t="s">
        <v>12180</v>
      </c>
      <c r="M100" s="707" t="str">
        <f t="shared" si="3"/>
        <v>troy.heinert@sdlegislature.gov</v>
      </c>
    </row>
    <row r="101">
      <c r="A101" s="14" t="s">
        <v>286</v>
      </c>
      <c r="B101" s="31">
        <v>27.0</v>
      </c>
      <c r="C101" s="38" t="s">
        <v>12181</v>
      </c>
      <c r="D101" s="706" t="s">
        <v>271</v>
      </c>
      <c r="E101" s="36" t="s">
        <v>49</v>
      </c>
      <c r="M101" s="707" t="str">
        <f t="shared" si="3"/>
        <v>reddawn.foster@sdlegislature.gov</v>
      </c>
    </row>
    <row r="102">
      <c r="A102" s="14" t="s">
        <v>286</v>
      </c>
      <c r="B102" s="31">
        <v>28.0</v>
      </c>
      <c r="C102" s="38" t="s">
        <v>2780</v>
      </c>
      <c r="D102" s="706" t="s">
        <v>12182</v>
      </c>
      <c r="E102" s="51" t="s">
        <v>53</v>
      </c>
      <c r="L102" s="14" t="s">
        <v>12183</v>
      </c>
      <c r="M102" s="707" t="str">
        <f t="shared" si="3"/>
        <v>ryan.maher@sdlegislature.gov</v>
      </c>
    </row>
    <row r="103">
      <c r="A103" s="14" t="s">
        <v>286</v>
      </c>
      <c r="B103" s="31">
        <v>29.0</v>
      </c>
      <c r="C103" s="38" t="s">
        <v>199</v>
      </c>
      <c r="D103" s="706" t="s">
        <v>12184</v>
      </c>
      <c r="E103" s="51" t="s">
        <v>53</v>
      </c>
      <c r="M103" s="707" t="str">
        <f t="shared" si="3"/>
        <v>gary.cammack@sdlegislature.gov</v>
      </c>
    </row>
    <row r="104">
      <c r="A104" s="14" t="s">
        <v>286</v>
      </c>
      <c r="B104" s="31">
        <v>30.0</v>
      </c>
      <c r="C104" s="38" t="s">
        <v>185</v>
      </c>
      <c r="D104" s="706" t="s">
        <v>1054</v>
      </c>
      <c r="E104" s="51" t="s">
        <v>53</v>
      </c>
      <c r="M104" s="707" t="str">
        <f t="shared" si="3"/>
        <v>lance.russell@sdlegislature.gov</v>
      </c>
    </row>
    <row r="105">
      <c r="A105" s="14" t="s">
        <v>286</v>
      </c>
      <c r="B105" s="31">
        <v>31.0</v>
      </c>
      <c r="C105" s="38" t="s">
        <v>419</v>
      </c>
      <c r="D105" s="706" t="s">
        <v>12185</v>
      </c>
      <c r="E105" s="51" t="s">
        <v>53</v>
      </c>
      <c r="F105" s="14" t="s">
        <v>1188</v>
      </c>
      <c r="L105" s="14" t="s">
        <v>12186</v>
      </c>
      <c r="M105" s="707" t="str">
        <f t="shared" si="3"/>
        <v>bob.ewing@sdlegislature.gov</v>
      </c>
    </row>
    <row r="106">
      <c r="A106" s="14" t="s">
        <v>286</v>
      </c>
      <c r="B106" s="31">
        <v>32.0</v>
      </c>
      <c r="C106" s="38" t="s">
        <v>551</v>
      </c>
      <c r="D106" s="706" t="s">
        <v>12187</v>
      </c>
      <c r="E106" s="51" t="s">
        <v>53</v>
      </c>
      <c r="L106" s="14" t="s">
        <v>12188</v>
      </c>
      <c r="M106" s="707" t="str">
        <f t="shared" si="3"/>
        <v>alan.solano@sdlegislature.gov</v>
      </c>
    </row>
    <row r="107">
      <c r="A107" s="14" t="s">
        <v>286</v>
      </c>
      <c r="B107" s="31">
        <v>33.0</v>
      </c>
      <c r="C107" s="38" t="s">
        <v>1483</v>
      </c>
      <c r="D107" s="706" t="s">
        <v>8556</v>
      </c>
      <c r="E107" s="51" t="s">
        <v>53</v>
      </c>
      <c r="L107" s="14" t="s">
        <v>12190</v>
      </c>
      <c r="M107" s="707" t="str">
        <f t="shared" si="3"/>
        <v>phil.jensen@sdlegislature.gov</v>
      </c>
    </row>
    <row r="108">
      <c r="A108" s="14" t="s">
        <v>286</v>
      </c>
      <c r="B108" s="31">
        <v>34.0</v>
      </c>
      <c r="C108" s="38" t="s">
        <v>2512</v>
      </c>
      <c r="D108" s="706" t="s">
        <v>12191</v>
      </c>
      <c r="E108" s="51" t="s">
        <v>53</v>
      </c>
      <c r="L108" s="14" t="s">
        <v>12192</v>
      </c>
      <c r="M108" s="707" t="str">
        <f t="shared" si="3"/>
        <v>jeffrey.partridge@sdlegislature.gov</v>
      </c>
    </row>
    <row r="109">
      <c r="A109" s="14" t="s">
        <v>286</v>
      </c>
      <c r="B109" s="31">
        <v>35.0</v>
      </c>
      <c r="C109" s="38" t="s">
        <v>9031</v>
      </c>
      <c r="D109" s="706" t="s">
        <v>11536</v>
      </c>
      <c r="E109" s="51" t="s">
        <v>53</v>
      </c>
      <c r="M109" s="707" t="str">
        <f t="shared" si="3"/>
        <v>lynne.disanto@sdlegislature.gov</v>
      </c>
    </row>
    <row r="110">
      <c r="A110" s="70"/>
      <c r="B110" s="70"/>
      <c r="C110" s="71"/>
      <c r="D110" s="139"/>
      <c r="E110" s="70"/>
      <c r="F110" s="70"/>
      <c r="G110" s="70"/>
      <c r="H110" s="70"/>
      <c r="I110" s="70"/>
      <c r="J110" s="70"/>
      <c r="K110" s="70"/>
      <c r="L110" s="70"/>
      <c r="M110" s="70"/>
      <c r="N110" s="70"/>
      <c r="O110" s="70"/>
      <c r="P110" s="70"/>
      <c r="Q110" s="70"/>
      <c r="R110" s="70"/>
      <c r="S110" s="70"/>
      <c r="T110" s="70"/>
      <c r="U110" s="70"/>
      <c r="V110" s="70"/>
      <c r="W110" s="70"/>
      <c r="X110" s="70"/>
      <c r="Y110" s="70"/>
      <c r="Z110" s="70"/>
      <c r="AA110" s="70"/>
      <c r="AB110" s="70"/>
      <c r="AC110" s="70"/>
      <c r="AD110" s="70"/>
      <c r="AE110" s="70"/>
      <c r="AF110" s="70"/>
      <c r="AG110" s="70"/>
      <c r="AH110" s="70"/>
    </row>
    <row r="111">
      <c r="A111" s="14" t="s">
        <v>421</v>
      </c>
      <c r="C111" s="77" t="s">
        <v>12193</v>
      </c>
      <c r="D111" s="139"/>
      <c r="E111" s="51" t="s">
        <v>53</v>
      </c>
    </row>
    <row r="112">
      <c r="A112" s="70"/>
      <c r="B112" s="70"/>
      <c r="C112" s="71"/>
      <c r="D112" s="139"/>
      <c r="E112" s="70"/>
      <c r="F112" s="70"/>
      <c r="G112" s="70"/>
      <c r="H112" s="70"/>
      <c r="I112" s="70"/>
      <c r="J112" s="70"/>
      <c r="K112" s="70"/>
      <c r="L112" s="70"/>
      <c r="M112" s="70"/>
      <c r="N112" s="70"/>
      <c r="O112" s="70"/>
      <c r="P112" s="70"/>
      <c r="Q112" s="70"/>
      <c r="R112" s="70"/>
      <c r="S112" s="70"/>
      <c r="T112" s="70"/>
      <c r="U112" s="70"/>
      <c r="V112" s="70"/>
      <c r="W112" s="70"/>
      <c r="X112" s="70"/>
      <c r="Y112" s="70"/>
      <c r="Z112" s="70"/>
      <c r="AA112" s="70"/>
      <c r="AB112" s="70"/>
      <c r="AC112" s="70"/>
      <c r="AD112" s="70"/>
      <c r="AE112" s="70"/>
      <c r="AF112" s="70"/>
      <c r="AG112" s="70"/>
      <c r="AH112" s="70"/>
    </row>
    <row r="113">
      <c r="A113" s="14" t="s">
        <v>427</v>
      </c>
      <c r="C113" s="77" t="s">
        <v>12194</v>
      </c>
      <c r="D113" s="139"/>
      <c r="E113" s="51" t="s">
        <v>53</v>
      </c>
    </row>
    <row r="114">
      <c r="A114" s="70"/>
      <c r="B114" s="70"/>
      <c r="C114" s="71"/>
      <c r="D114" s="139"/>
      <c r="E114" s="70"/>
      <c r="F114" s="70"/>
      <c r="G114" s="70"/>
      <c r="H114" s="70"/>
      <c r="I114" s="70"/>
      <c r="J114" s="70"/>
      <c r="K114" s="70"/>
      <c r="L114" s="70"/>
      <c r="M114" s="70"/>
      <c r="N114" s="70"/>
      <c r="O114" s="70"/>
      <c r="P114" s="70"/>
      <c r="Q114" s="70"/>
      <c r="R114" s="70"/>
      <c r="S114" s="70"/>
      <c r="T114" s="70"/>
      <c r="U114" s="70"/>
      <c r="V114" s="70"/>
      <c r="W114" s="70"/>
      <c r="X114" s="70"/>
      <c r="Y114" s="70"/>
      <c r="Z114" s="70"/>
      <c r="AA114" s="70"/>
      <c r="AB114" s="70"/>
      <c r="AC114" s="70"/>
      <c r="AD114" s="70"/>
      <c r="AE114" s="70"/>
      <c r="AF114" s="70"/>
      <c r="AG114" s="70"/>
      <c r="AH114" s="70"/>
    </row>
    <row r="115">
      <c r="A115" s="14" t="s">
        <v>430</v>
      </c>
      <c r="C115" s="77" t="s">
        <v>12195</v>
      </c>
      <c r="D115" s="139"/>
      <c r="E115" s="51" t="s">
        <v>53</v>
      </c>
    </row>
    <row r="116">
      <c r="A116" s="14" t="s">
        <v>430</v>
      </c>
      <c r="C116" s="77" t="s">
        <v>12196</v>
      </c>
      <c r="D116" s="139"/>
      <c r="E116" s="51" t="s">
        <v>53</v>
      </c>
    </row>
    <row r="117">
      <c r="A117" s="70"/>
      <c r="B117" s="70"/>
      <c r="C117" s="71"/>
      <c r="D117" s="139"/>
      <c r="E117" s="70"/>
      <c r="F117" s="70"/>
      <c r="G117" s="70"/>
      <c r="H117" s="70"/>
      <c r="I117" s="70"/>
      <c r="J117" s="70"/>
      <c r="K117" s="70"/>
      <c r="L117" s="70"/>
      <c r="M117" s="70"/>
      <c r="N117" s="70"/>
      <c r="O117" s="70"/>
      <c r="P117" s="70"/>
      <c r="Q117" s="70"/>
      <c r="R117" s="70"/>
      <c r="S117" s="70"/>
      <c r="T117" s="70"/>
      <c r="U117" s="70"/>
      <c r="V117" s="70"/>
      <c r="W117" s="70"/>
      <c r="X117" s="70"/>
      <c r="Y117" s="70"/>
      <c r="Z117" s="70"/>
      <c r="AA117" s="70"/>
      <c r="AB117" s="70"/>
      <c r="AC117" s="70"/>
      <c r="AD117" s="70"/>
      <c r="AE117" s="70"/>
      <c r="AF117" s="70"/>
      <c r="AG117" s="70"/>
      <c r="AH117" s="70"/>
    </row>
    <row r="118">
      <c r="A118" s="14" t="s">
        <v>438</v>
      </c>
      <c r="C118" s="77" t="s">
        <v>12197</v>
      </c>
      <c r="D118" s="139"/>
      <c r="E118" s="51" t="s">
        <v>53</v>
      </c>
    </row>
    <row r="119">
      <c r="A119" s="70"/>
      <c r="B119" s="70"/>
      <c r="C119" s="71"/>
      <c r="D119" s="139"/>
      <c r="E119" s="70"/>
      <c r="F119" s="70"/>
      <c r="G119" s="70"/>
      <c r="H119" s="70"/>
      <c r="I119" s="70"/>
      <c r="J119" s="70"/>
      <c r="K119" s="70"/>
      <c r="L119" s="70"/>
      <c r="M119" s="70"/>
      <c r="N119" s="70"/>
      <c r="O119" s="70"/>
      <c r="P119" s="70"/>
      <c r="Q119" s="70"/>
      <c r="R119" s="70"/>
      <c r="S119" s="70"/>
      <c r="T119" s="70"/>
      <c r="U119" s="70"/>
      <c r="V119" s="70"/>
      <c r="W119" s="70"/>
      <c r="X119" s="70"/>
      <c r="Y119" s="70"/>
      <c r="Z119" s="70"/>
      <c r="AA119" s="70"/>
      <c r="AB119" s="70"/>
      <c r="AC119" s="70"/>
      <c r="AD119" s="70"/>
      <c r="AE119" s="70"/>
      <c r="AF119" s="70"/>
      <c r="AG119" s="70"/>
      <c r="AH119" s="70"/>
    </row>
    <row r="120">
      <c r="C120" s="139"/>
      <c r="D120" s="139"/>
    </row>
    <row r="121">
      <c r="C121" s="139"/>
      <c r="D121" s="139"/>
    </row>
    <row r="122">
      <c r="C122" s="139"/>
      <c r="D122" s="139"/>
    </row>
    <row r="123">
      <c r="C123" s="139"/>
      <c r="D123" s="139"/>
    </row>
    <row r="124">
      <c r="C124" s="139"/>
      <c r="D124" s="139"/>
    </row>
    <row r="125">
      <c r="C125" s="139"/>
      <c r="D125" s="139"/>
    </row>
    <row r="126">
      <c r="C126" s="139"/>
      <c r="D126" s="139"/>
    </row>
    <row r="127">
      <c r="C127" s="139"/>
      <c r="D127" s="139"/>
    </row>
    <row r="128">
      <c r="C128" s="139"/>
      <c r="D128" s="139"/>
    </row>
    <row r="129">
      <c r="C129" s="139"/>
      <c r="D129" s="139"/>
    </row>
    <row r="130">
      <c r="C130" s="139"/>
      <c r="D130" s="139"/>
    </row>
    <row r="131">
      <c r="C131" s="139"/>
      <c r="D131" s="139"/>
    </row>
    <row r="132">
      <c r="C132" s="139"/>
      <c r="D132" s="139"/>
    </row>
    <row r="133">
      <c r="C133" s="139"/>
      <c r="D133" s="139"/>
    </row>
    <row r="134">
      <c r="C134" s="139"/>
      <c r="D134" s="139"/>
    </row>
    <row r="135">
      <c r="C135" s="139"/>
      <c r="D135" s="139"/>
    </row>
    <row r="136">
      <c r="C136" s="139"/>
      <c r="D136" s="139"/>
    </row>
    <row r="137">
      <c r="C137" s="139"/>
      <c r="D137" s="139"/>
    </row>
    <row r="138">
      <c r="C138" s="139"/>
      <c r="D138" s="139"/>
    </row>
    <row r="139">
      <c r="C139" s="139"/>
      <c r="D139" s="139"/>
    </row>
    <row r="140">
      <c r="C140" s="139"/>
      <c r="D140" s="139"/>
    </row>
    <row r="141">
      <c r="C141" s="139"/>
      <c r="D141" s="139"/>
    </row>
    <row r="142">
      <c r="C142" s="139"/>
      <c r="D142" s="139"/>
    </row>
    <row r="143">
      <c r="C143" s="139"/>
      <c r="D143" s="139"/>
    </row>
    <row r="144">
      <c r="C144" s="139"/>
      <c r="D144" s="139"/>
    </row>
    <row r="145">
      <c r="C145" s="139"/>
      <c r="D145" s="139"/>
    </row>
    <row r="146">
      <c r="C146" s="139"/>
      <c r="D146" s="139"/>
    </row>
    <row r="147">
      <c r="C147" s="139"/>
      <c r="D147" s="139"/>
    </row>
    <row r="148">
      <c r="C148" s="139"/>
      <c r="D148" s="139"/>
    </row>
    <row r="149">
      <c r="C149" s="139"/>
      <c r="D149" s="139"/>
    </row>
    <row r="150">
      <c r="C150" s="139"/>
      <c r="D150" s="139"/>
    </row>
    <row r="151">
      <c r="C151" s="139"/>
      <c r="D151" s="139"/>
    </row>
    <row r="152">
      <c r="C152" s="139"/>
      <c r="D152" s="139"/>
    </row>
    <row r="153">
      <c r="C153" s="139"/>
      <c r="D153" s="139"/>
    </row>
    <row r="154">
      <c r="C154" s="139"/>
      <c r="D154" s="139"/>
    </row>
    <row r="155">
      <c r="C155" s="139"/>
      <c r="D155" s="139"/>
    </row>
    <row r="156">
      <c r="C156" s="139"/>
      <c r="D156" s="139"/>
    </row>
    <row r="157">
      <c r="C157" s="139"/>
      <c r="D157" s="139"/>
    </row>
    <row r="158">
      <c r="C158" s="139"/>
      <c r="D158" s="139"/>
    </row>
    <row r="159">
      <c r="C159" s="139"/>
      <c r="D159" s="139"/>
    </row>
    <row r="160">
      <c r="C160" s="139"/>
      <c r="D160" s="139"/>
    </row>
    <row r="161">
      <c r="C161" s="139"/>
      <c r="D161" s="139"/>
    </row>
    <row r="162">
      <c r="C162" s="139"/>
      <c r="D162" s="139"/>
    </row>
    <row r="163">
      <c r="C163" s="139"/>
      <c r="D163" s="139"/>
    </row>
    <row r="164">
      <c r="C164" s="139"/>
      <c r="D164" s="139"/>
    </row>
    <row r="165">
      <c r="C165" s="139"/>
      <c r="D165" s="139"/>
    </row>
    <row r="166">
      <c r="C166" s="139"/>
      <c r="D166" s="139"/>
    </row>
    <row r="167">
      <c r="C167" s="139"/>
      <c r="D167" s="139"/>
    </row>
    <row r="168">
      <c r="C168" s="139"/>
      <c r="D168" s="139"/>
    </row>
    <row r="169">
      <c r="C169" s="139"/>
      <c r="D169" s="139"/>
    </row>
    <row r="170">
      <c r="C170" s="139"/>
      <c r="D170" s="139"/>
    </row>
    <row r="171">
      <c r="C171" s="139"/>
      <c r="D171" s="139"/>
    </row>
    <row r="172">
      <c r="C172" s="139"/>
      <c r="D172" s="139"/>
    </row>
    <row r="173">
      <c r="C173" s="139"/>
      <c r="D173" s="139"/>
    </row>
    <row r="174">
      <c r="C174" s="139"/>
      <c r="D174" s="139"/>
    </row>
    <row r="175">
      <c r="C175" s="139"/>
      <c r="D175" s="139"/>
    </row>
    <row r="176">
      <c r="C176" s="139"/>
      <c r="D176" s="139"/>
    </row>
    <row r="177">
      <c r="C177" s="139"/>
      <c r="D177" s="139"/>
    </row>
    <row r="178">
      <c r="C178" s="139"/>
      <c r="D178" s="139"/>
    </row>
    <row r="179">
      <c r="C179" s="139"/>
      <c r="D179" s="139"/>
    </row>
    <row r="180">
      <c r="C180" s="139"/>
      <c r="D180" s="139"/>
    </row>
    <row r="181">
      <c r="C181" s="139"/>
      <c r="D181" s="139"/>
    </row>
    <row r="182">
      <c r="C182" s="139"/>
      <c r="D182" s="139"/>
    </row>
    <row r="183">
      <c r="C183" s="139"/>
      <c r="D183" s="139"/>
    </row>
    <row r="184">
      <c r="C184" s="139"/>
      <c r="D184" s="139"/>
    </row>
    <row r="185">
      <c r="C185" s="139"/>
      <c r="D185" s="139"/>
    </row>
    <row r="186">
      <c r="C186" s="139"/>
      <c r="D186" s="139"/>
    </row>
    <row r="187">
      <c r="C187" s="139"/>
      <c r="D187" s="139"/>
    </row>
    <row r="188">
      <c r="C188" s="139"/>
      <c r="D188" s="139"/>
    </row>
    <row r="189">
      <c r="C189" s="139"/>
      <c r="D189" s="139"/>
    </row>
    <row r="190">
      <c r="C190" s="139"/>
      <c r="D190" s="139"/>
    </row>
    <row r="191">
      <c r="C191" s="139"/>
      <c r="D191" s="139"/>
    </row>
    <row r="192">
      <c r="C192" s="139"/>
      <c r="D192" s="139"/>
    </row>
    <row r="193">
      <c r="C193" s="139"/>
      <c r="D193" s="139"/>
    </row>
    <row r="194">
      <c r="C194" s="139"/>
      <c r="D194" s="139"/>
    </row>
    <row r="195">
      <c r="C195" s="139"/>
      <c r="D195" s="139"/>
    </row>
    <row r="196">
      <c r="C196" s="139"/>
      <c r="D196" s="139"/>
    </row>
    <row r="197">
      <c r="C197" s="139"/>
      <c r="D197" s="139"/>
    </row>
    <row r="198">
      <c r="C198" s="139"/>
      <c r="D198" s="139"/>
    </row>
    <row r="199">
      <c r="C199" s="139"/>
      <c r="D199" s="139"/>
    </row>
    <row r="200">
      <c r="C200" s="139"/>
      <c r="D200" s="139"/>
    </row>
    <row r="201">
      <c r="C201" s="139"/>
      <c r="D201" s="139"/>
    </row>
    <row r="202">
      <c r="C202" s="139"/>
      <c r="D202" s="139"/>
    </row>
    <row r="203">
      <c r="C203" s="139"/>
      <c r="D203" s="139"/>
    </row>
    <row r="204">
      <c r="C204" s="139"/>
      <c r="D204" s="139"/>
    </row>
    <row r="205">
      <c r="C205" s="139"/>
      <c r="D205" s="139"/>
    </row>
    <row r="206">
      <c r="C206" s="139"/>
      <c r="D206" s="139"/>
    </row>
    <row r="207">
      <c r="C207" s="139"/>
      <c r="D207" s="139"/>
    </row>
    <row r="208">
      <c r="C208" s="139"/>
      <c r="D208" s="139"/>
    </row>
    <row r="209">
      <c r="C209" s="139"/>
      <c r="D209" s="139"/>
    </row>
    <row r="210">
      <c r="C210" s="139"/>
      <c r="D210" s="139"/>
    </row>
    <row r="211">
      <c r="C211" s="139"/>
      <c r="D211" s="139"/>
    </row>
    <row r="212">
      <c r="C212" s="139"/>
      <c r="D212" s="139"/>
    </row>
    <row r="213">
      <c r="C213" s="139"/>
      <c r="D213" s="139"/>
    </row>
    <row r="214">
      <c r="C214" s="139"/>
      <c r="D214" s="139"/>
    </row>
    <row r="215">
      <c r="C215" s="139"/>
      <c r="D215" s="139"/>
    </row>
    <row r="216">
      <c r="C216" s="139"/>
      <c r="D216" s="139"/>
    </row>
    <row r="217">
      <c r="C217" s="139"/>
      <c r="D217" s="139"/>
    </row>
    <row r="218">
      <c r="C218" s="139"/>
      <c r="D218" s="139"/>
    </row>
    <row r="219">
      <c r="C219" s="139"/>
      <c r="D219" s="139"/>
    </row>
    <row r="220">
      <c r="C220" s="139"/>
      <c r="D220" s="139"/>
    </row>
    <row r="221">
      <c r="C221" s="139"/>
      <c r="D221" s="139"/>
    </row>
    <row r="222">
      <c r="C222" s="139"/>
      <c r="D222" s="139"/>
    </row>
    <row r="223">
      <c r="C223" s="139"/>
      <c r="D223" s="139"/>
    </row>
    <row r="224">
      <c r="C224" s="139"/>
      <c r="D224" s="139"/>
    </row>
    <row r="225">
      <c r="C225" s="139"/>
      <c r="D225" s="139"/>
    </row>
    <row r="226">
      <c r="C226" s="139"/>
      <c r="D226" s="139"/>
    </row>
    <row r="227">
      <c r="C227" s="139"/>
      <c r="D227" s="139"/>
    </row>
    <row r="228">
      <c r="C228" s="139"/>
      <c r="D228" s="139"/>
    </row>
    <row r="229">
      <c r="C229" s="139"/>
      <c r="D229" s="139"/>
    </row>
    <row r="230">
      <c r="C230" s="139"/>
      <c r="D230" s="139"/>
    </row>
    <row r="231">
      <c r="C231" s="139"/>
      <c r="D231" s="139"/>
    </row>
    <row r="232">
      <c r="C232" s="139"/>
      <c r="D232" s="139"/>
    </row>
    <row r="233">
      <c r="C233" s="139"/>
      <c r="D233" s="139"/>
    </row>
    <row r="234">
      <c r="C234" s="139"/>
      <c r="D234" s="139"/>
    </row>
    <row r="235">
      <c r="C235" s="139"/>
      <c r="D235" s="139"/>
    </row>
    <row r="236">
      <c r="C236" s="139"/>
      <c r="D236" s="139"/>
    </row>
    <row r="237">
      <c r="C237" s="139"/>
      <c r="D237" s="139"/>
    </row>
    <row r="238">
      <c r="C238" s="139"/>
      <c r="D238" s="139"/>
    </row>
    <row r="239">
      <c r="C239" s="139"/>
      <c r="D239" s="139"/>
    </row>
    <row r="240">
      <c r="C240" s="139"/>
      <c r="D240" s="139"/>
    </row>
    <row r="241">
      <c r="C241" s="139"/>
      <c r="D241" s="139"/>
    </row>
    <row r="242">
      <c r="C242" s="139"/>
      <c r="D242" s="139"/>
    </row>
    <row r="243">
      <c r="C243" s="139"/>
      <c r="D243" s="139"/>
    </row>
    <row r="244">
      <c r="C244" s="139"/>
      <c r="D244" s="139"/>
    </row>
    <row r="245">
      <c r="C245" s="139"/>
      <c r="D245" s="139"/>
    </row>
    <row r="246">
      <c r="C246" s="139"/>
      <c r="D246" s="139"/>
    </row>
    <row r="247">
      <c r="C247" s="139"/>
      <c r="D247" s="139"/>
    </row>
    <row r="248">
      <c r="C248" s="139"/>
      <c r="D248" s="139"/>
    </row>
    <row r="249">
      <c r="C249" s="139"/>
      <c r="D249" s="139"/>
    </row>
    <row r="250">
      <c r="C250" s="139"/>
      <c r="D250" s="139"/>
    </row>
    <row r="251">
      <c r="C251" s="139"/>
      <c r="D251" s="139"/>
    </row>
    <row r="252">
      <c r="C252" s="139"/>
      <c r="D252" s="139"/>
    </row>
    <row r="253">
      <c r="C253" s="139"/>
      <c r="D253" s="139"/>
    </row>
    <row r="254">
      <c r="C254" s="139"/>
      <c r="D254" s="139"/>
    </row>
    <row r="255">
      <c r="C255" s="139"/>
      <c r="D255" s="139"/>
    </row>
    <row r="256">
      <c r="C256" s="139"/>
      <c r="D256" s="139"/>
    </row>
    <row r="257">
      <c r="C257" s="139"/>
      <c r="D257" s="139"/>
    </row>
    <row r="258">
      <c r="C258" s="139"/>
      <c r="D258" s="139"/>
    </row>
    <row r="259">
      <c r="C259" s="139"/>
      <c r="D259" s="139"/>
    </row>
    <row r="260">
      <c r="C260" s="139"/>
      <c r="D260" s="139"/>
    </row>
    <row r="261">
      <c r="C261" s="139"/>
      <c r="D261" s="139"/>
    </row>
    <row r="262">
      <c r="C262" s="139"/>
      <c r="D262" s="139"/>
    </row>
    <row r="263">
      <c r="C263" s="139"/>
      <c r="D263" s="139"/>
    </row>
    <row r="264">
      <c r="C264" s="139"/>
      <c r="D264" s="139"/>
    </row>
    <row r="265">
      <c r="C265" s="139"/>
      <c r="D265" s="139"/>
    </row>
    <row r="266">
      <c r="C266" s="139"/>
      <c r="D266" s="139"/>
    </row>
    <row r="267">
      <c r="C267" s="139"/>
      <c r="D267" s="139"/>
    </row>
    <row r="268">
      <c r="C268" s="139"/>
      <c r="D268" s="139"/>
    </row>
    <row r="269">
      <c r="C269" s="139"/>
      <c r="D269" s="139"/>
    </row>
    <row r="270">
      <c r="C270" s="139"/>
      <c r="D270" s="139"/>
    </row>
    <row r="271">
      <c r="C271" s="139"/>
      <c r="D271" s="139"/>
    </row>
    <row r="272">
      <c r="C272" s="139"/>
      <c r="D272" s="139"/>
    </row>
    <row r="273">
      <c r="C273" s="139"/>
      <c r="D273" s="139"/>
    </row>
    <row r="274">
      <c r="C274" s="139"/>
      <c r="D274" s="139"/>
    </row>
    <row r="275">
      <c r="C275" s="139"/>
      <c r="D275" s="139"/>
    </row>
    <row r="276">
      <c r="C276" s="139"/>
      <c r="D276" s="139"/>
    </row>
    <row r="277">
      <c r="C277" s="139"/>
      <c r="D277" s="139"/>
    </row>
    <row r="278">
      <c r="C278" s="139"/>
      <c r="D278" s="139"/>
    </row>
    <row r="279">
      <c r="C279" s="139"/>
      <c r="D279" s="139"/>
    </row>
    <row r="280">
      <c r="C280" s="139"/>
      <c r="D280" s="139"/>
    </row>
    <row r="281">
      <c r="C281" s="139"/>
      <c r="D281" s="139"/>
    </row>
    <row r="282">
      <c r="C282" s="139"/>
      <c r="D282" s="139"/>
    </row>
    <row r="283">
      <c r="C283" s="139"/>
      <c r="D283" s="139"/>
    </row>
    <row r="284">
      <c r="C284" s="139"/>
      <c r="D284" s="139"/>
    </row>
    <row r="285">
      <c r="C285" s="139"/>
      <c r="D285" s="139"/>
    </row>
    <row r="286">
      <c r="C286" s="139"/>
      <c r="D286" s="139"/>
    </row>
    <row r="287">
      <c r="C287" s="139"/>
      <c r="D287" s="139"/>
    </row>
    <row r="288">
      <c r="C288" s="139"/>
      <c r="D288" s="139"/>
    </row>
    <row r="289">
      <c r="C289" s="139"/>
      <c r="D289" s="139"/>
    </row>
    <row r="290">
      <c r="C290" s="139"/>
      <c r="D290" s="139"/>
    </row>
    <row r="291">
      <c r="C291" s="139"/>
      <c r="D291" s="139"/>
    </row>
    <row r="292">
      <c r="C292" s="139"/>
      <c r="D292" s="139"/>
    </row>
    <row r="293">
      <c r="C293" s="139"/>
      <c r="D293" s="139"/>
    </row>
    <row r="294">
      <c r="C294" s="139"/>
      <c r="D294" s="139"/>
    </row>
    <row r="295">
      <c r="C295" s="139"/>
      <c r="D295" s="139"/>
    </row>
    <row r="296">
      <c r="C296" s="139"/>
      <c r="D296" s="139"/>
    </row>
    <row r="297">
      <c r="C297" s="139"/>
      <c r="D297" s="139"/>
    </row>
    <row r="298">
      <c r="C298" s="139"/>
      <c r="D298" s="139"/>
    </row>
    <row r="299">
      <c r="C299" s="139"/>
      <c r="D299" s="139"/>
    </row>
    <row r="300">
      <c r="C300" s="139"/>
      <c r="D300" s="139"/>
    </row>
    <row r="301">
      <c r="C301" s="139"/>
      <c r="D301" s="139"/>
    </row>
    <row r="302">
      <c r="C302" s="139"/>
      <c r="D302" s="139"/>
    </row>
    <row r="303">
      <c r="C303" s="139"/>
      <c r="D303" s="139"/>
    </row>
    <row r="304">
      <c r="C304" s="139"/>
      <c r="D304" s="139"/>
    </row>
    <row r="305">
      <c r="C305" s="139"/>
      <c r="D305" s="139"/>
    </row>
    <row r="306">
      <c r="C306" s="139"/>
      <c r="D306" s="139"/>
    </row>
    <row r="307">
      <c r="C307" s="139"/>
      <c r="D307" s="139"/>
    </row>
    <row r="308">
      <c r="C308" s="139"/>
      <c r="D308" s="139"/>
    </row>
    <row r="309">
      <c r="C309" s="139"/>
      <c r="D309" s="139"/>
    </row>
    <row r="310">
      <c r="C310" s="139"/>
      <c r="D310" s="139"/>
    </row>
    <row r="311">
      <c r="C311" s="139"/>
      <c r="D311" s="139"/>
    </row>
    <row r="312">
      <c r="C312" s="139"/>
      <c r="D312" s="139"/>
    </row>
    <row r="313">
      <c r="C313" s="139"/>
      <c r="D313" s="139"/>
    </row>
    <row r="314">
      <c r="C314" s="139"/>
      <c r="D314" s="139"/>
    </row>
    <row r="315">
      <c r="C315" s="139"/>
      <c r="D315" s="139"/>
    </row>
    <row r="316">
      <c r="C316" s="139"/>
      <c r="D316" s="139"/>
    </row>
    <row r="317">
      <c r="C317" s="139"/>
      <c r="D317" s="139"/>
    </row>
    <row r="318">
      <c r="C318" s="139"/>
      <c r="D318" s="139"/>
    </row>
    <row r="319">
      <c r="C319" s="139"/>
      <c r="D319" s="139"/>
    </row>
    <row r="320">
      <c r="C320" s="139"/>
      <c r="D320" s="139"/>
    </row>
    <row r="321">
      <c r="C321" s="139"/>
      <c r="D321" s="139"/>
    </row>
    <row r="322">
      <c r="C322" s="139"/>
      <c r="D322" s="139"/>
    </row>
    <row r="323">
      <c r="C323" s="139"/>
      <c r="D323" s="139"/>
    </row>
    <row r="324">
      <c r="C324" s="139"/>
      <c r="D324" s="139"/>
    </row>
    <row r="325">
      <c r="C325" s="139"/>
      <c r="D325" s="139"/>
    </row>
    <row r="326">
      <c r="C326" s="139"/>
      <c r="D326" s="139"/>
    </row>
    <row r="327">
      <c r="C327" s="139"/>
      <c r="D327" s="139"/>
    </row>
    <row r="328">
      <c r="C328" s="139"/>
      <c r="D328" s="139"/>
    </row>
    <row r="329">
      <c r="C329" s="139"/>
      <c r="D329" s="139"/>
    </row>
    <row r="330">
      <c r="C330" s="139"/>
      <c r="D330" s="139"/>
    </row>
    <row r="331">
      <c r="C331" s="139"/>
      <c r="D331" s="139"/>
    </row>
    <row r="332">
      <c r="C332" s="139"/>
      <c r="D332" s="139"/>
    </row>
    <row r="333">
      <c r="C333" s="139"/>
      <c r="D333" s="139"/>
    </row>
    <row r="334">
      <c r="C334" s="139"/>
      <c r="D334" s="139"/>
    </row>
    <row r="335">
      <c r="C335" s="139"/>
      <c r="D335" s="139"/>
    </row>
    <row r="336">
      <c r="C336" s="139"/>
      <c r="D336" s="139"/>
    </row>
    <row r="337">
      <c r="C337" s="139"/>
      <c r="D337" s="139"/>
    </row>
    <row r="338">
      <c r="C338" s="139"/>
      <c r="D338" s="139"/>
    </row>
    <row r="339">
      <c r="C339" s="139"/>
      <c r="D339" s="139"/>
    </row>
    <row r="340">
      <c r="C340" s="139"/>
      <c r="D340" s="139"/>
    </row>
    <row r="341">
      <c r="C341" s="139"/>
      <c r="D341" s="139"/>
    </row>
    <row r="342">
      <c r="C342" s="139"/>
      <c r="D342" s="139"/>
    </row>
    <row r="343">
      <c r="C343" s="139"/>
      <c r="D343" s="139"/>
    </row>
    <row r="344">
      <c r="C344" s="139"/>
      <c r="D344" s="139"/>
    </row>
    <row r="345">
      <c r="C345" s="139"/>
      <c r="D345" s="139"/>
    </row>
    <row r="346">
      <c r="C346" s="139"/>
      <c r="D346" s="139"/>
    </row>
    <row r="347">
      <c r="C347" s="139"/>
      <c r="D347" s="139"/>
    </row>
    <row r="348">
      <c r="C348" s="139"/>
      <c r="D348" s="139"/>
    </row>
    <row r="349">
      <c r="C349" s="139"/>
      <c r="D349" s="139"/>
    </row>
    <row r="350">
      <c r="C350" s="139"/>
      <c r="D350" s="139"/>
    </row>
    <row r="351">
      <c r="C351" s="139"/>
      <c r="D351" s="139"/>
    </row>
    <row r="352">
      <c r="C352" s="139"/>
      <c r="D352" s="139"/>
    </row>
    <row r="353">
      <c r="C353" s="139"/>
      <c r="D353" s="139"/>
    </row>
    <row r="354">
      <c r="C354" s="139"/>
      <c r="D354" s="139"/>
    </row>
    <row r="355">
      <c r="C355" s="139"/>
      <c r="D355" s="139"/>
    </row>
    <row r="356">
      <c r="C356" s="139"/>
      <c r="D356" s="139"/>
    </row>
    <row r="357">
      <c r="C357" s="139"/>
      <c r="D357" s="139"/>
    </row>
    <row r="358">
      <c r="C358" s="139"/>
      <c r="D358" s="139"/>
    </row>
    <row r="359">
      <c r="C359" s="139"/>
      <c r="D359" s="139"/>
    </row>
    <row r="360">
      <c r="C360" s="139"/>
      <c r="D360" s="139"/>
    </row>
    <row r="361">
      <c r="C361" s="139"/>
      <c r="D361" s="139"/>
    </row>
    <row r="362">
      <c r="C362" s="139"/>
      <c r="D362" s="139"/>
    </row>
    <row r="363">
      <c r="C363" s="139"/>
      <c r="D363" s="139"/>
    </row>
    <row r="364">
      <c r="C364" s="139"/>
      <c r="D364" s="139"/>
    </row>
    <row r="365">
      <c r="C365" s="139"/>
      <c r="D365" s="139"/>
    </row>
    <row r="366">
      <c r="C366" s="139"/>
      <c r="D366" s="139"/>
    </row>
    <row r="367">
      <c r="C367" s="139"/>
      <c r="D367" s="139"/>
    </row>
    <row r="368">
      <c r="C368" s="139"/>
      <c r="D368" s="139"/>
    </row>
    <row r="369">
      <c r="C369" s="139"/>
      <c r="D369" s="139"/>
    </row>
    <row r="370">
      <c r="C370" s="139"/>
      <c r="D370" s="139"/>
    </row>
    <row r="371">
      <c r="C371" s="139"/>
      <c r="D371" s="139"/>
    </row>
    <row r="372">
      <c r="C372" s="139"/>
      <c r="D372" s="139"/>
    </row>
    <row r="373">
      <c r="C373" s="139"/>
      <c r="D373" s="139"/>
    </row>
    <row r="374">
      <c r="C374" s="139"/>
      <c r="D374" s="139"/>
    </row>
    <row r="375">
      <c r="C375" s="139"/>
      <c r="D375" s="139"/>
    </row>
    <row r="376">
      <c r="C376" s="139"/>
      <c r="D376" s="139"/>
    </row>
    <row r="377">
      <c r="C377" s="139"/>
      <c r="D377" s="139"/>
    </row>
    <row r="378">
      <c r="C378" s="139"/>
      <c r="D378" s="139"/>
    </row>
    <row r="379">
      <c r="C379" s="139"/>
      <c r="D379" s="139"/>
    </row>
    <row r="380">
      <c r="C380" s="139"/>
      <c r="D380" s="139"/>
    </row>
    <row r="381">
      <c r="C381" s="139"/>
      <c r="D381" s="139"/>
    </row>
    <row r="382">
      <c r="C382" s="139"/>
      <c r="D382" s="139"/>
    </row>
    <row r="383">
      <c r="C383" s="139"/>
      <c r="D383" s="139"/>
    </row>
    <row r="384">
      <c r="C384" s="139"/>
      <c r="D384" s="139"/>
    </row>
    <row r="385">
      <c r="C385" s="139"/>
      <c r="D385" s="139"/>
    </row>
    <row r="386">
      <c r="C386" s="139"/>
      <c r="D386" s="139"/>
    </row>
    <row r="387">
      <c r="C387" s="139"/>
      <c r="D387" s="139"/>
    </row>
    <row r="388">
      <c r="C388" s="139"/>
      <c r="D388" s="139"/>
    </row>
    <row r="389">
      <c r="C389" s="139"/>
      <c r="D389" s="139"/>
    </row>
    <row r="390">
      <c r="C390" s="139"/>
      <c r="D390" s="139"/>
    </row>
    <row r="391">
      <c r="C391" s="139"/>
      <c r="D391" s="139"/>
    </row>
    <row r="392">
      <c r="C392" s="139"/>
      <c r="D392" s="139"/>
    </row>
    <row r="393">
      <c r="C393" s="139"/>
      <c r="D393" s="139"/>
    </row>
    <row r="394">
      <c r="C394" s="139"/>
      <c r="D394" s="139"/>
    </row>
    <row r="395">
      <c r="C395" s="139"/>
      <c r="D395" s="139"/>
    </row>
    <row r="396">
      <c r="C396" s="139"/>
      <c r="D396" s="139"/>
    </row>
    <row r="397">
      <c r="C397" s="139"/>
      <c r="D397" s="139"/>
    </row>
    <row r="398">
      <c r="C398" s="139"/>
      <c r="D398" s="139"/>
    </row>
    <row r="399">
      <c r="C399" s="139"/>
      <c r="D399" s="139"/>
    </row>
    <row r="400">
      <c r="C400" s="139"/>
      <c r="D400" s="139"/>
    </row>
    <row r="401">
      <c r="C401" s="139"/>
      <c r="D401" s="139"/>
    </row>
    <row r="402">
      <c r="C402" s="139"/>
      <c r="D402" s="139"/>
    </row>
    <row r="403">
      <c r="C403" s="139"/>
      <c r="D403" s="139"/>
    </row>
    <row r="404">
      <c r="C404" s="139"/>
      <c r="D404" s="139"/>
    </row>
    <row r="405">
      <c r="C405" s="139"/>
      <c r="D405" s="139"/>
    </row>
    <row r="406">
      <c r="C406" s="139"/>
      <c r="D406" s="139"/>
    </row>
    <row r="407">
      <c r="C407" s="139"/>
      <c r="D407" s="139"/>
    </row>
    <row r="408">
      <c r="C408" s="139"/>
      <c r="D408" s="139"/>
    </row>
    <row r="409">
      <c r="C409" s="139"/>
      <c r="D409" s="139"/>
    </row>
    <row r="410">
      <c r="C410" s="139"/>
      <c r="D410" s="139"/>
    </row>
    <row r="411">
      <c r="C411" s="139"/>
      <c r="D411" s="139"/>
    </row>
    <row r="412">
      <c r="C412" s="139"/>
      <c r="D412" s="139"/>
    </row>
    <row r="413">
      <c r="C413" s="139"/>
      <c r="D413" s="139"/>
    </row>
    <row r="414">
      <c r="C414" s="139"/>
      <c r="D414" s="139"/>
    </row>
    <row r="415">
      <c r="C415" s="139"/>
      <c r="D415" s="139"/>
    </row>
    <row r="416">
      <c r="C416" s="139"/>
      <c r="D416" s="139"/>
    </row>
    <row r="417">
      <c r="C417" s="139"/>
      <c r="D417" s="139"/>
    </row>
    <row r="418">
      <c r="C418" s="139"/>
      <c r="D418" s="139"/>
    </row>
    <row r="419">
      <c r="C419" s="139"/>
      <c r="D419" s="139"/>
    </row>
    <row r="420">
      <c r="C420" s="139"/>
      <c r="D420" s="139"/>
    </row>
    <row r="421">
      <c r="C421" s="139"/>
      <c r="D421" s="139"/>
    </row>
    <row r="422">
      <c r="C422" s="139"/>
      <c r="D422" s="139"/>
    </row>
    <row r="423">
      <c r="C423" s="139"/>
      <c r="D423" s="139"/>
    </row>
    <row r="424">
      <c r="C424" s="139"/>
      <c r="D424" s="139"/>
    </row>
    <row r="425">
      <c r="C425" s="139"/>
      <c r="D425" s="139"/>
    </row>
    <row r="426">
      <c r="C426" s="139"/>
      <c r="D426" s="139"/>
    </row>
    <row r="427">
      <c r="C427" s="139"/>
      <c r="D427" s="139"/>
    </row>
    <row r="428">
      <c r="C428" s="139"/>
      <c r="D428" s="139"/>
    </row>
    <row r="429">
      <c r="C429" s="139"/>
      <c r="D429" s="139"/>
    </row>
    <row r="430">
      <c r="C430" s="139"/>
      <c r="D430" s="139"/>
    </row>
    <row r="431">
      <c r="C431" s="139"/>
      <c r="D431" s="139"/>
    </row>
    <row r="432">
      <c r="C432" s="139"/>
      <c r="D432" s="139"/>
    </row>
    <row r="433">
      <c r="C433" s="139"/>
      <c r="D433" s="139"/>
    </row>
    <row r="434">
      <c r="C434" s="139"/>
      <c r="D434" s="139"/>
    </row>
    <row r="435">
      <c r="C435" s="139"/>
      <c r="D435" s="139"/>
    </row>
    <row r="436">
      <c r="C436" s="139"/>
      <c r="D436" s="139"/>
    </row>
    <row r="437">
      <c r="C437" s="139"/>
      <c r="D437" s="139"/>
    </row>
    <row r="438">
      <c r="C438" s="139"/>
      <c r="D438" s="139"/>
    </row>
    <row r="439">
      <c r="C439" s="139"/>
      <c r="D439" s="139"/>
    </row>
    <row r="440">
      <c r="C440" s="139"/>
      <c r="D440" s="139"/>
    </row>
    <row r="441">
      <c r="C441" s="139"/>
      <c r="D441" s="139"/>
    </row>
    <row r="442">
      <c r="C442" s="139"/>
      <c r="D442" s="139"/>
    </row>
    <row r="443">
      <c r="C443" s="139"/>
      <c r="D443" s="139"/>
    </row>
    <row r="444">
      <c r="C444" s="139"/>
      <c r="D444" s="139"/>
    </row>
    <row r="445">
      <c r="C445" s="139"/>
      <c r="D445" s="139"/>
    </row>
    <row r="446">
      <c r="C446" s="139"/>
      <c r="D446" s="139"/>
    </row>
    <row r="447">
      <c r="C447" s="139"/>
      <c r="D447" s="139"/>
    </row>
    <row r="448">
      <c r="C448" s="139"/>
      <c r="D448" s="139"/>
    </row>
    <row r="449">
      <c r="C449" s="139"/>
      <c r="D449" s="139"/>
    </row>
    <row r="450">
      <c r="C450" s="139"/>
      <c r="D450" s="139"/>
    </row>
    <row r="451">
      <c r="C451" s="139"/>
      <c r="D451" s="139"/>
    </row>
    <row r="452">
      <c r="C452" s="139"/>
      <c r="D452" s="139"/>
    </row>
    <row r="453">
      <c r="C453" s="139"/>
      <c r="D453" s="139"/>
    </row>
    <row r="454">
      <c r="C454" s="139"/>
      <c r="D454" s="139"/>
    </row>
    <row r="455">
      <c r="C455" s="139"/>
      <c r="D455" s="139"/>
    </row>
    <row r="456">
      <c r="C456" s="139"/>
      <c r="D456" s="139"/>
    </row>
    <row r="457">
      <c r="C457" s="139"/>
      <c r="D457" s="139"/>
    </row>
    <row r="458">
      <c r="C458" s="139"/>
      <c r="D458" s="139"/>
    </row>
    <row r="459">
      <c r="C459" s="139"/>
      <c r="D459" s="139"/>
    </row>
    <row r="460">
      <c r="C460" s="139"/>
      <c r="D460" s="139"/>
    </row>
    <row r="461">
      <c r="C461" s="139"/>
      <c r="D461" s="139"/>
    </row>
    <row r="462">
      <c r="C462" s="139"/>
      <c r="D462" s="139"/>
    </row>
    <row r="463">
      <c r="C463" s="139"/>
      <c r="D463" s="139"/>
    </row>
    <row r="464">
      <c r="C464" s="139"/>
      <c r="D464" s="139"/>
    </row>
    <row r="465">
      <c r="C465" s="139"/>
      <c r="D465" s="139"/>
    </row>
    <row r="466">
      <c r="C466" s="139"/>
      <c r="D466" s="139"/>
    </row>
    <row r="467">
      <c r="C467" s="139"/>
      <c r="D467" s="139"/>
    </row>
    <row r="468">
      <c r="C468" s="139"/>
      <c r="D468" s="139"/>
    </row>
    <row r="469">
      <c r="C469" s="139"/>
      <c r="D469" s="139"/>
    </row>
    <row r="470">
      <c r="C470" s="139"/>
      <c r="D470" s="139"/>
    </row>
    <row r="471">
      <c r="C471" s="139"/>
      <c r="D471" s="139"/>
    </row>
    <row r="472">
      <c r="C472" s="139"/>
      <c r="D472" s="139"/>
    </row>
    <row r="473">
      <c r="C473" s="139"/>
      <c r="D473" s="139"/>
    </row>
    <row r="474">
      <c r="C474" s="139"/>
      <c r="D474" s="139"/>
    </row>
    <row r="475">
      <c r="C475" s="139"/>
      <c r="D475" s="139"/>
    </row>
    <row r="476">
      <c r="C476" s="139"/>
      <c r="D476" s="139"/>
    </row>
    <row r="477">
      <c r="C477" s="139"/>
      <c r="D477" s="139"/>
    </row>
    <row r="478">
      <c r="C478" s="139"/>
      <c r="D478" s="139"/>
    </row>
    <row r="479">
      <c r="C479" s="139"/>
      <c r="D479" s="139"/>
    </row>
    <row r="480">
      <c r="C480" s="139"/>
      <c r="D480" s="139"/>
    </row>
    <row r="481">
      <c r="C481" s="139"/>
      <c r="D481" s="139"/>
    </row>
    <row r="482">
      <c r="C482" s="139"/>
      <c r="D482" s="139"/>
    </row>
    <row r="483">
      <c r="C483" s="139"/>
      <c r="D483" s="139"/>
    </row>
    <row r="484">
      <c r="C484" s="139"/>
      <c r="D484" s="139"/>
    </row>
    <row r="485">
      <c r="C485" s="139"/>
      <c r="D485" s="139"/>
    </row>
    <row r="486">
      <c r="C486" s="139"/>
      <c r="D486" s="139"/>
    </row>
    <row r="487">
      <c r="C487" s="139"/>
      <c r="D487" s="139"/>
    </row>
    <row r="488">
      <c r="C488" s="139"/>
      <c r="D488" s="139"/>
    </row>
    <row r="489">
      <c r="C489" s="139"/>
      <c r="D489" s="139"/>
    </row>
    <row r="490">
      <c r="C490" s="139"/>
      <c r="D490" s="139"/>
    </row>
    <row r="491">
      <c r="C491" s="139"/>
      <c r="D491" s="139"/>
    </row>
    <row r="492">
      <c r="C492" s="139"/>
      <c r="D492" s="139"/>
    </row>
    <row r="493">
      <c r="C493" s="139"/>
      <c r="D493" s="139"/>
    </row>
    <row r="494">
      <c r="C494" s="139"/>
      <c r="D494" s="139"/>
    </row>
    <row r="495">
      <c r="C495" s="139"/>
      <c r="D495" s="139"/>
    </row>
    <row r="496">
      <c r="C496" s="139"/>
      <c r="D496" s="139"/>
    </row>
    <row r="497">
      <c r="C497" s="139"/>
      <c r="D497" s="139"/>
    </row>
    <row r="498">
      <c r="C498" s="139"/>
      <c r="D498" s="139"/>
    </row>
    <row r="499">
      <c r="C499" s="139"/>
      <c r="D499" s="139"/>
    </row>
    <row r="500">
      <c r="C500" s="139"/>
      <c r="D500" s="139"/>
    </row>
    <row r="501">
      <c r="C501" s="139"/>
      <c r="D501" s="139"/>
    </row>
    <row r="502">
      <c r="C502" s="139"/>
      <c r="D502" s="139"/>
    </row>
    <row r="503">
      <c r="C503" s="139"/>
      <c r="D503" s="139"/>
    </row>
    <row r="504">
      <c r="C504" s="139"/>
      <c r="D504" s="139"/>
    </row>
    <row r="505">
      <c r="C505" s="139"/>
      <c r="D505" s="139"/>
    </row>
    <row r="506">
      <c r="C506" s="139"/>
      <c r="D506" s="139"/>
    </row>
    <row r="507">
      <c r="C507" s="139"/>
      <c r="D507" s="139"/>
    </row>
    <row r="508">
      <c r="C508" s="139"/>
      <c r="D508" s="139"/>
    </row>
    <row r="509">
      <c r="C509" s="139"/>
      <c r="D509" s="139"/>
    </row>
    <row r="510">
      <c r="C510" s="139"/>
      <c r="D510" s="139"/>
    </row>
    <row r="511">
      <c r="C511" s="139"/>
      <c r="D511" s="139"/>
    </row>
    <row r="512">
      <c r="C512" s="139"/>
      <c r="D512" s="139"/>
    </row>
    <row r="513">
      <c r="C513" s="139"/>
      <c r="D513" s="139"/>
    </row>
    <row r="514">
      <c r="C514" s="139"/>
      <c r="D514" s="139"/>
    </row>
    <row r="515">
      <c r="C515" s="139"/>
      <c r="D515" s="139"/>
    </row>
    <row r="516">
      <c r="C516" s="139"/>
      <c r="D516" s="139"/>
    </row>
    <row r="517">
      <c r="C517" s="139"/>
      <c r="D517" s="139"/>
    </row>
    <row r="518">
      <c r="C518" s="139"/>
      <c r="D518" s="139"/>
    </row>
    <row r="519">
      <c r="C519" s="139"/>
      <c r="D519" s="139"/>
    </row>
    <row r="520">
      <c r="C520" s="139"/>
      <c r="D520" s="139"/>
    </row>
    <row r="521">
      <c r="C521" s="139"/>
      <c r="D521" s="139"/>
    </row>
    <row r="522">
      <c r="C522" s="139"/>
      <c r="D522" s="139"/>
    </row>
    <row r="523">
      <c r="C523" s="139"/>
      <c r="D523" s="139"/>
    </row>
    <row r="524">
      <c r="C524" s="139"/>
      <c r="D524" s="139"/>
    </row>
    <row r="525">
      <c r="C525" s="139"/>
      <c r="D525" s="139"/>
    </row>
    <row r="526">
      <c r="C526" s="139"/>
      <c r="D526" s="139"/>
    </row>
    <row r="527">
      <c r="C527" s="139"/>
      <c r="D527" s="139"/>
    </row>
    <row r="528">
      <c r="C528" s="139"/>
      <c r="D528" s="139"/>
    </row>
    <row r="529">
      <c r="C529" s="139"/>
      <c r="D529" s="139"/>
    </row>
    <row r="530">
      <c r="C530" s="139"/>
      <c r="D530" s="139"/>
    </row>
    <row r="531">
      <c r="C531" s="139"/>
      <c r="D531" s="139"/>
    </row>
    <row r="532">
      <c r="C532" s="139"/>
      <c r="D532" s="139"/>
    </row>
    <row r="533">
      <c r="C533" s="139"/>
      <c r="D533" s="139"/>
    </row>
    <row r="534">
      <c r="C534" s="139"/>
      <c r="D534" s="139"/>
    </row>
    <row r="535">
      <c r="C535" s="139"/>
      <c r="D535" s="139"/>
    </row>
    <row r="536">
      <c r="C536" s="139"/>
      <c r="D536" s="139"/>
    </row>
    <row r="537">
      <c r="C537" s="139"/>
      <c r="D537" s="139"/>
    </row>
    <row r="538">
      <c r="C538" s="139"/>
      <c r="D538" s="139"/>
    </row>
    <row r="539">
      <c r="C539" s="139"/>
      <c r="D539" s="139"/>
    </row>
    <row r="540">
      <c r="C540" s="139"/>
      <c r="D540" s="139"/>
    </row>
    <row r="541">
      <c r="C541" s="139"/>
      <c r="D541" s="139"/>
    </row>
    <row r="542">
      <c r="C542" s="139"/>
      <c r="D542" s="139"/>
    </row>
    <row r="543">
      <c r="C543" s="139"/>
      <c r="D543" s="139"/>
    </row>
    <row r="544">
      <c r="C544" s="139"/>
      <c r="D544" s="139"/>
    </row>
    <row r="545">
      <c r="C545" s="139"/>
      <c r="D545" s="139"/>
    </row>
    <row r="546">
      <c r="C546" s="139"/>
      <c r="D546" s="139"/>
    </row>
    <row r="547">
      <c r="C547" s="139"/>
      <c r="D547" s="139"/>
    </row>
    <row r="548">
      <c r="C548" s="139"/>
      <c r="D548" s="139"/>
    </row>
    <row r="549">
      <c r="C549" s="139"/>
      <c r="D549" s="139"/>
    </row>
    <row r="550">
      <c r="C550" s="139"/>
      <c r="D550" s="139"/>
    </row>
    <row r="551">
      <c r="C551" s="139"/>
      <c r="D551" s="139"/>
    </row>
    <row r="552">
      <c r="C552" s="139"/>
      <c r="D552" s="139"/>
    </row>
    <row r="553">
      <c r="C553" s="139"/>
      <c r="D553" s="139"/>
    </row>
    <row r="554">
      <c r="C554" s="139"/>
      <c r="D554" s="139"/>
    </row>
    <row r="555">
      <c r="C555" s="139"/>
      <c r="D555" s="139"/>
    </row>
    <row r="556">
      <c r="C556" s="139"/>
      <c r="D556" s="139"/>
    </row>
    <row r="557">
      <c r="C557" s="139"/>
      <c r="D557" s="139"/>
    </row>
    <row r="558">
      <c r="C558" s="139"/>
      <c r="D558" s="139"/>
    </row>
    <row r="559">
      <c r="C559" s="139"/>
      <c r="D559" s="139"/>
    </row>
    <row r="560">
      <c r="C560" s="139"/>
      <c r="D560" s="139"/>
    </row>
    <row r="561">
      <c r="C561" s="139"/>
      <c r="D561" s="139"/>
    </row>
    <row r="562">
      <c r="C562" s="139"/>
      <c r="D562" s="139"/>
    </row>
    <row r="563">
      <c r="C563" s="139"/>
      <c r="D563" s="139"/>
    </row>
    <row r="564">
      <c r="C564" s="139"/>
      <c r="D564" s="139"/>
    </row>
    <row r="565">
      <c r="C565" s="139"/>
      <c r="D565" s="139"/>
    </row>
    <row r="566">
      <c r="C566" s="139"/>
      <c r="D566" s="139"/>
    </row>
    <row r="567">
      <c r="C567" s="139"/>
      <c r="D567" s="139"/>
    </row>
    <row r="568">
      <c r="C568" s="139"/>
      <c r="D568" s="139"/>
    </row>
    <row r="569">
      <c r="C569" s="139"/>
      <c r="D569" s="139"/>
    </row>
    <row r="570">
      <c r="C570" s="139"/>
      <c r="D570" s="139"/>
    </row>
    <row r="571">
      <c r="C571" s="139"/>
      <c r="D571" s="139"/>
    </row>
    <row r="572">
      <c r="C572" s="139"/>
      <c r="D572" s="139"/>
    </row>
    <row r="573">
      <c r="C573" s="139"/>
      <c r="D573" s="139"/>
    </row>
    <row r="574">
      <c r="C574" s="139"/>
      <c r="D574" s="139"/>
    </row>
    <row r="575">
      <c r="C575" s="139"/>
      <c r="D575" s="139"/>
    </row>
    <row r="576">
      <c r="C576" s="139"/>
      <c r="D576" s="139"/>
    </row>
    <row r="577">
      <c r="C577" s="139"/>
      <c r="D577" s="139"/>
    </row>
    <row r="578">
      <c r="C578" s="139"/>
      <c r="D578" s="139"/>
    </row>
    <row r="579">
      <c r="C579" s="139"/>
      <c r="D579" s="139"/>
    </row>
    <row r="580">
      <c r="C580" s="139"/>
      <c r="D580" s="139"/>
    </row>
    <row r="581">
      <c r="C581" s="139"/>
      <c r="D581" s="139"/>
    </row>
    <row r="582">
      <c r="C582" s="139"/>
      <c r="D582" s="139"/>
    </row>
    <row r="583">
      <c r="C583" s="139"/>
      <c r="D583" s="139"/>
    </row>
    <row r="584">
      <c r="C584" s="139"/>
      <c r="D584" s="139"/>
    </row>
    <row r="585">
      <c r="C585" s="139"/>
      <c r="D585" s="139"/>
    </row>
    <row r="586">
      <c r="C586" s="139"/>
      <c r="D586" s="139"/>
    </row>
    <row r="587">
      <c r="C587" s="139"/>
      <c r="D587" s="139"/>
    </row>
    <row r="588">
      <c r="C588" s="139"/>
      <c r="D588" s="139"/>
    </row>
    <row r="589">
      <c r="C589" s="139"/>
      <c r="D589" s="139"/>
    </row>
    <row r="590">
      <c r="C590" s="139"/>
      <c r="D590" s="139"/>
    </row>
    <row r="591">
      <c r="C591" s="139"/>
      <c r="D591" s="139"/>
    </row>
    <row r="592">
      <c r="C592" s="139"/>
      <c r="D592" s="139"/>
    </row>
    <row r="593">
      <c r="C593" s="139"/>
      <c r="D593" s="139"/>
    </row>
    <row r="594">
      <c r="C594" s="139"/>
      <c r="D594" s="139"/>
    </row>
    <row r="595">
      <c r="C595" s="139"/>
      <c r="D595" s="139"/>
    </row>
    <row r="596">
      <c r="C596" s="139"/>
      <c r="D596" s="139"/>
    </row>
    <row r="597">
      <c r="C597" s="139"/>
      <c r="D597" s="139"/>
    </row>
    <row r="598">
      <c r="C598" s="139"/>
      <c r="D598" s="139"/>
    </row>
    <row r="599">
      <c r="C599" s="139"/>
      <c r="D599" s="139"/>
    </row>
    <row r="600">
      <c r="C600" s="139"/>
      <c r="D600" s="139"/>
    </row>
    <row r="601">
      <c r="C601" s="139"/>
      <c r="D601" s="139"/>
    </row>
    <row r="602">
      <c r="C602" s="139"/>
      <c r="D602" s="139"/>
    </row>
    <row r="603">
      <c r="C603" s="139"/>
      <c r="D603" s="139"/>
    </row>
    <row r="604">
      <c r="C604" s="139"/>
      <c r="D604" s="139"/>
    </row>
    <row r="605">
      <c r="C605" s="139"/>
      <c r="D605" s="139"/>
    </row>
    <row r="606">
      <c r="C606" s="139"/>
      <c r="D606" s="139"/>
    </row>
    <row r="607">
      <c r="C607" s="139"/>
      <c r="D607" s="139"/>
    </row>
    <row r="608">
      <c r="C608" s="139"/>
      <c r="D608" s="139"/>
    </row>
    <row r="609">
      <c r="C609" s="139"/>
      <c r="D609" s="139"/>
    </row>
    <row r="610">
      <c r="C610" s="139"/>
      <c r="D610" s="139"/>
    </row>
    <row r="611">
      <c r="C611" s="139"/>
      <c r="D611" s="139"/>
    </row>
    <row r="612">
      <c r="C612" s="139"/>
      <c r="D612" s="139"/>
    </row>
    <row r="613">
      <c r="C613" s="139"/>
      <c r="D613" s="139"/>
    </row>
    <row r="614">
      <c r="C614" s="139"/>
      <c r="D614" s="139"/>
    </row>
    <row r="615">
      <c r="C615" s="139"/>
      <c r="D615" s="139"/>
    </row>
    <row r="616">
      <c r="C616" s="139"/>
      <c r="D616" s="139"/>
    </row>
    <row r="617">
      <c r="C617" s="139"/>
      <c r="D617" s="139"/>
    </row>
    <row r="618">
      <c r="C618" s="139"/>
      <c r="D618" s="139"/>
    </row>
    <row r="619">
      <c r="C619" s="139"/>
      <c r="D619" s="139"/>
    </row>
    <row r="620">
      <c r="C620" s="139"/>
      <c r="D620" s="139"/>
    </row>
    <row r="621">
      <c r="C621" s="139"/>
      <c r="D621" s="139"/>
    </row>
    <row r="622">
      <c r="C622" s="139"/>
      <c r="D622" s="139"/>
    </row>
    <row r="623">
      <c r="C623" s="139"/>
      <c r="D623" s="139"/>
    </row>
    <row r="624">
      <c r="C624" s="139"/>
      <c r="D624" s="139"/>
    </row>
    <row r="625">
      <c r="C625" s="139"/>
      <c r="D625" s="139"/>
    </row>
    <row r="626">
      <c r="C626" s="139"/>
      <c r="D626" s="139"/>
    </row>
    <row r="627">
      <c r="C627" s="139"/>
      <c r="D627" s="139"/>
    </row>
    <row r="628">
      <c r="C628" s="139"/>
      <c r="D628" s="139"/>
    </row>
    <row r="629">
      <c r="C629" s="139"/>
      <c r="D629" s="139"/>
    </row>
    <row r="630">
      <c r="C630" s="139"/>
      <c r="D630" s="139"/>
    </row>
    <row r="631">
      <c r="C631" s="139"/>
      <c r="D631" s="139"/>
    </row>
    <row r="632">
      <c r="C632" s="139"/>
      <c r="D632" s="139"/>
    </row>
    <row r="633">
      <c r="C633" s="139"/>
      <c r="D633" s="139"/>
    </row>
    <row r="634">
      <c r="C634" s="139"/>
      <c r="D634" s="139"/>
    </row>
    <row r="635">
      <c r="C635" s="139"/>
      <c r="D635" s="139"/>
    </row>
    <row r="636">
      <c r="C636" s="139"/>
      <c r="D636" s="139"/>
    </row>
    <row r="637">
      <c r="C637" s="139"/>
      <c r="D637" s="139"/>
    </row>
    <row r="638">
      <c r="C638" s="139"/>
      <c r="D638" s="139"/>
    </row>
    <row r="639">
      <c r="C639" s="139"/>
      <c r="D639" s="139"/>
    </row>
    <row r="640">
      <c r="C640" s="139"/>
      <c r="D640" s="139"/>
    </row>
    <row r="641">
      <c r="C641" s="139"/>
      <c r="D641" s="139"/>
    </row>
    <row r="642">
      <c r="C642" s="139"/>
      <c r="D642" s="139"/>
    </row>
    <row r="643">
      <c r="C643" s="139"/>
      <c r="D643" s="139"/>
    </row>
    <row r="644">
      <c r="C644" s="139"/>
      <c r="D644" s="139"/>
    </row>
    <row r="645">
      <c r="C645" s="139"/>
      <c r="D645" s="139"/>
    </row>
    <row r="646">
      <c r="C646" s="139"/>
      <c r="D646" s="139"/>
    </row>
    <row r="647">
      <c r="C647" s="139"/>
      <c r="D647" s="139"/>
    </row>
    <row r="648">
      <c r="C648" s="139"/>
      <c r="D648" s="139"/>
    </row>
    <row r="649">
      <c r="C649" s="139"/>
      <c r="D649" s="139"/>
    </row>
    <row r="650">
      <c r="C650" s="139"/>
      <c r="D650" s="139"/>
    </row>
    <row r="651">
      <c r="C651" s="139"/>
      <c r="D651" s="139"/>
    </row>
    <row r="652">
      <c r="C652" s="139"/>
      <c r="D652" s="139"/>
    </row>
    <row r="653">
      <c r="C653" s="139"/>
      <c r="D653" s="139"/>
    </row>
    <row r="654">
      <c r="C654" s="139"/>
      <c r="D654" s="139"/>
    </row>
    <row r="655">
      <c r="C655" s="139"/>
      <c r="D655" s="139"/>
    </row>
    <row r="656">
      <c r="C656" s="139"/>
      <c r="D656" s="139"/>
    </row>
    <row r="657">
      <c r="C657" s="139"/>
      <c r="D657" s="139"/>
    </row>
    <row r="658">
      <c r="C658" s="139"/>
      <c r="D658" s="139"/>
    </row>
    <row r="659">
      <c r="C659" s="139"/>
      <c r="D659" s="139"/>
    </row>
    <row r="660">
      <c r="C660" s="139"/>
      <c r="D660" s="139"/>
    </row>
    <row r="661">
      <c r="C661" s="139"/>
      <c r="D661" s="139"/>
    </row>
    <row r="662">
      <c r="C662" s="139"/>
      <c r="D662" s="139"/>
    </row>
    <row r="663">
      <c r="C663" s="139"/>
      <c r="D663" s="139"/>
    </row>
    <row r="664">
      <c r="C664" s="139"/>
      <c r="D664" s="139"/>
    </row>
    <row r="665">
      <c r="C665" s="139"/>
      <c r="D665" s="139"/>
    </row>
    <row r="666">
      <c r="C666" s="139"/>
      <c r="D666" s="139"/>
    </row>
    <row r="667">
      <c r="C667" s="139"/>
      <c r="D667" s="139"/>
    </row>
    <row r="668">
      <c r="C668" s="139"/>
      <c r="D668" s="139"/>
    </row>
    <row r="669">
      <c r="C669" s="139"/>
      <c r="D669" s="139"/>
    </row>
    <row r="670">
      <c r="C670" s="139"/>
      <c r="D670" s="139"/>
    </row>
    <row r="671">
      <c r="C671" s="139"/>
      <c r="D671" s="139"/>
    </row>
    <row r="672">
      <c r="C672" s="139"/>
      <c r="D672" s="139"/>
    </row>
    <row r="673">
      <c r="C673" s="139"/>
      <c r="D673" s="139"/>
    </row>
    <row r="674">
      <c r="C674" s="139"/>
      <c r="D674" s="139"/>
    </row>
    <row r="675">
      <c r="C675" s="139"/>
      <c r="D675" s="139"/>
    </row>
    <row r="676">
      <c r="C676" s="139"/>
      <c r="D676" s="139"/>
    </row>
    <row r="677">
      <c r="C677" s="139"/>
      <c r="D677" s="139"/>
    </row>
    <row r="678">
      <c r="C678" s="139"/>
      <c r="D678" s="139"/>
    </row>
    <row r="679">
      <c r="C679" s="139"/>
      <c r="D679" s="139"/>
    </row>
    <row r="680">
      <c r="C680" s="139"/>
      <c r="D680" s="139"/>
    </row>
    <row r="681">
      <c r="C681" s="139"/>
      <c r="D681" s="139"/>
    </row>
    <row r="682">
      <c r="C682" s="139"/>
      <c r="D682" s="139"/>
    </row>
    <row r="683">
      <c r="C683" s="139"/>
      <c r="D683" s="139"/>
    </row>
    <row r="684">
      <c r="C684" s="139"/>
      <c r="D684" s="139"/>
    </row>
    <row r="685">
      <c r="C685" s="139"/>
      <c r="D685" s="139"/>
    </row>
    <row r="686">
      <c r="C686" s="139"/>
      <c r="D686" s="139"/>
    </row>
    <row r="687">
      <c r="C687" s="139"/>
      <c r="D687" s="139"/>
    </row>
    <row r="688">
      <c r="C688" s="139"/>
      <c r="D688" s="139"/>
    </row>
    <row r="689">
      <c r="C689" s="139"/>
      <c r="D689" s="139"/>
    </row>
    <row r="690">
      <c r="C690" s="139"/>
      <c r="D690" s="139"/>
    </row>
    <row r="691">
      <c r="C691" s="139"/>
      <c r="D691" s="139"/>
    </row>
    <row r="692">
      <c r="C692" s="139"/>
      <c r="D692" s="139"/>
    </row>
    <row r="693">
      <c r="C693" s="139"/>
      <c r="D693" s="139"/>
    </row>
    <row r="694">
      <c r="C694" s="139"/>
      <c r="D694" s="139"/>
    </row>
    <row r="695">
      <c r="C695" s="139"/>
      <c r="D695" s="139"/>
    </row>
    <row r="696">
      <c r="C696" s="139"/>
      <c r="D696" s="139"/>
    </row>
    <row r="697">
      <c r="C697" s="139"/>
      <c r="D697" s="139"/>
    </row>
    <row r="698">
      <c r="C698" s="139"/>
      <c r="D698" s="139"/>
    </row>
    <row r="699">
      <c r="C699" s="139"/>
      <c r="D699" s="139"/>
    </row>
    <row r="700">
      <c r="C700" s="139"/>
      <c r="D700" s="139"/>
    </row>
    <row r="701">
      <c r="C701" s="139"/>
      <c r="D701" s="139"/>
    </row>
    <row r="702">
      <c r="C702" s="139"/>
      <c r="D702" s="139"/>
    </row>
    <row r="703">
      <c r="C703" s="139"/>
      <c r="D703" s="139"/>
    </row>
    <row r="704">
      <c r="C704" s="139"/>
      <c r="D704" s="139"/>
    </row>
    <row r="705">
      <c r="C705" s="139"/>
      <c r="D705" s="139"/>
    </row>
    <row r="706">
      <c r="C706" s="139"/>
      <c r="D706" s="139"/>
    </row>
    <row r="707">
      <c r="C707" s="139"/>
      <c r="D707" s="139"/>
    </row>
    <row r="708">
      <c r="C708" s="139"/>
      <c r="D708" s="139"/>
    </row>
    <row r="709">
      <c r="C709" s="139"/>
      <c r="D709" s="139"/>
    </row>
    <row r="710">
      <c r="C710" s="139"/>
      <c r="D710" s="139"/>
    </row>
    <row r="711">
      <c r="C711" s="139"/>
      <c r="D711" s="139"/>
    </row>
    <row r="712">
      <c r="C712" s="139"/>
      <c r="D712" s="139"/>
    </row>
    <row r="713">
      <c r="C713" s="139"/>
      <c r="D713" s="139"/>
    </row>
    <row r="714">
      <c r="C714" s="139"/>
      <c r="D714" s="139"/>
    </row>
    <row r="715">
      <c r="C715" s="139"/>
      <c r="D715" s="139"/>
    </row>
    <row r="716">
      <c r="C716" s="139"/>
      <c r="D716" s="139"/>
    </row>
    <row r="717">
      <c r="C717" s="139"/>
      <c r="D717" s="139"/>
    </row>
    <row r="718">
      <c r="C718" s="139"/>
      <c r="D718" s="139"/>
    </row>
    <row r="719">
      <c r="C719" s="139"/>
      <c r="D719" s="139"/>
    </row>
    <row r="720">
      <c r="C720" s="139"/>
      <c r="D720" s="139"/>
    </row>
    <row r="721">
      <c r="C721" s="139"/>
      <c r="D721" s="139"/>
    </row>
    <row r="722">
      <c r="C722" s="139"/>
      <c r="D722" s="139"/>
    </row>
    <row r="723">
      <c r="C723" s="139"/>
      <c r="D723" s="139"/>
    </row>
    <row r="724">
      <c r="C724" s="139"/>
      <c r="D724" s="139"/>
    </row>
    <row r="725">
      <c r="C725" s="139"/>
      <c r="D725" s="139"/>
    </row>
    <row r="726">
      <c r="C726" s="139"/>
      <c r="D726" s="139"/>
    </row>
    <row r="727">
      <c r="C727" s="139"/>
      <c r="D727" s="139"/>
    </row>
    <row r="728">
      <c r="C728" s="139"/>
      <c r="D728" s="139"/>
    </row>
    <row r="729">
      <c r="C729" s="139"/>
      <c r="D729" s="139"/>
    </row>
    <row r="730">
      <c r="C730" s="139"/>
      <c r="D730" s="139"/>
    </row>
    <row r="731">
      <c r="C731" s="139"/>
      <c r="D731" s="139"/>
    </row>
    <row r="732">
      <c r="C732" s="139"/>
      <c r="D732" s="139"/>
    </row>
    <row r="733">
      <c r="C733" s="139"/>
      <c r="D733" s="139"/>
    </row>
    <row r="734">
      <c r="C734" s="139"/>
      <c r="D734" s="139"/>
    </row>
    <row r="735">
      <c r="C735" s="139"/>
      <c r="D735" s="139"/>
    </row>
    <row r="736">
      <c r="C736" s="139"/>
      <c r="D736" s="139"/>
    </row>
    <row r="737">
      <c r="C737" s="139"/>
      <c r="D737" s="139"/>
    </row>
    <row r="738">
      <c r="C738" s="139"/>
      <c r="D738" s="139"/>
    </row>
    <row r="739">
      <c r="C739" s="139"/>
      <c r="D739" s="139"/>
    </row>
    <row r="740">
      <c r="C740" s="139"/>
      <c r="D740" s="139"/>
    </row>
    <row r="741">
      <c r="C741" s="139"/>
      <c r="D741" s="139"/>
    </row>
    <row r="742">
      <c r="C742" s="139"/>
      <c r="D742" s="139"/>
    </row>
    <row r="743">
      <c r="C743" s="139"/>
      <c r="D743" s="139"/>
    </row>
    <row r="744">
      <c r="C744" s="139"/>
      <c r="D744" s="139"/>
    </row>
    <row r="745">
      <c r="C745" s="139"/>
      <c r="D745" s="139"/>
    </row>
    <row r="746">
      <c r="C746" s="139"/>
      <c r="D746" s="139"/>
    </row>
    <row r="747">
      <c r="C747" s="139"/>
      <c r="D747" s="139"/>
    </row>
    <row r="748">
      <c r="C748" s="139"/>
      <c r="D748" s="139"/>
    </row>
    <row r="749">
      <c r="C749" s="139"/>
      <c r="D749" s="139"/>
    </row>
    <row r="750">
      <c r="C750" s="139"/>
      <c r="D750" s="139"/>
    </row>
    <row r="751">
      <c r="C751" s="139"/>
      <c r="D751" s="139"/>
    </row>
    <row r="752">
      <c r="C752" s="139"/>
      <c r="D752" s="139"/>
    </row>
    <row r="753">
      <c r="C753" s="139"/>
      <c r="D753" s="139"/>
    </row>
    <row r="754">
      <c r="C754" s="139"/>
      <c r="D754" s="139"/>
    </row>
    <row r="755">
      <c r="C755" s="139"/>
      <c r="D755" s="139"/>
    </row>
    <row r="756">
      <c r="C756" s="139"/>
      <c r="D756" s="139"/>
    </row>
    <row r="757">
      <c r="C757" s="139"/>
      <c r="D757" s="139"/>
    </row>
    <row r="758">
      <c r="C758" s="139"/>
      <c r="D758" s="139"/>
    </row>
    <row r="759">
      <c r="C759" s="139"/>
      <c r="D759" s="139"/>
    </row>
    <row r="760">
      <c r="C760" s="139"/>
      <c r="D760" s="139"/>
    </row>
    <row r="761">
      <c r="C761" s="139"/>
      <c r="D761" s="139"/>
    </row>
    <row r="762">
      <c r="C762" s="139"/>
      <c r="D762" s="139"/>
    </row>
    <row r="763">
      <c r="C763" s="139"/>
      <c r="D763" s="139"/>
    </row>
    <row r="764">
      <c r="C764" s="139"/>
      <c r="D764" s="139"/>
    </row>
    <row r="765">
      <c r="C765" s="139"/>
      <c r="D765" s="139"/>
    </row>
    <row r="766">
      <c r="C766" s="139"/>
      <c r="D766" s="139"/>
    </row>
    <row r="767">
      <c r="C767" s="139"/>
      <c r="D767" s="139"/>
    </row>
    <row r="768">
      <c r="C768" s="139"/>
      <c r="D768" s="139"/>
    </row>
    <row r="769">
      <c r="C769" s="139"/>
      <c r="D769" s="139"/>
    </row>
    <row r="770">
      <c r="C770" s="139"/>
      <c r="D770" s="139"/>
    </row>
    <row r="771">
      <c r="C771" s="139"/>
      <c r="D771" s="139"/>
    </row>
    <row r="772">
      <c r="C772" s="139"/>
      <c r="D772" s="139"/>
    </row>
    <row r="773">
      <c r="C773" s="139"/>
      <c r="D773" s="139"/>
    </row>
    <row r="774">
      <c r="C774" s="139"/>
      <c r="D774" s="139"/>
    </row>
    <row r="775">
      <c r="C775" s="139"/>
      <c r="D775" s="139"/>
    </row>
    <row r="776">
      <c r="C776" s="139"/>
      <c r="D776" s="139"/>
    </row>
    <row r="777">
      <c r="C777" s="139"/>
      <c r="D777" s="139"/>
    </row>
    <row r="778">
      <c r="C778" s="139"/>
      <c r="D778" s="139"/>
    </row>
    <row r="779">
      <c r="C779" s="139"/>
      <c r="D779" s="139"/>
    </row>
    <row r="780">
      <c r="C780" s="139"/>
      <c r="D780" s="139"/>
    </row>
    <row r="781">
      <c r="C781" s="139"/>
      <c r="D781" s="139"/>
    </row>
    <row r="782">
      <c r="C782" s="139"/>
      <c r="D782" s="139"/>
    </row>
    <row r="783">
      <c r="C783" s="139"/>
      <c r="D783" s="139"/>
    </row>
    <row r="784">
      <c r="C784" s="139"/>
      <c r="D784" s="139"/>
    </row>
    <row r="785">
      <c r="C785" s="139"/>
      <c r="D785" s="139"/>
    </row>
    <row r="786">
      <c r="C786" s="139"/>
      <c r="D786" s="139"/>
    </row>
    <row r="787">
      <c r="C787" s="139"/>
      <c r="D787" s="139"/>
    </row>
    <row r="788">
      <c r="C788" s="139"/>
      <c r="D788" s="139"/>
    </row>
    <row r="789">
      <c r="C789" s="139"/>
      <c r="D789" s="139"/>
    </row>
    <row r="790">
      <c r="C790" s="139"/>
      <c r="D790" s="139"/>
    </row>
    <row r="791">
      <c r="C791" s="139"/>
      <c r="D791" s="139"/>
    </row>
    <row r="792">
      <c r="C792" s="139"/>
      <c r="D792" s="139"/>
    </row>
    <row r="793">
      <c r="C793" s="139"/>
      <c r="D793" s="139"/>
    </row>
    <row r="794">
      <c r="C794" s="139"/>
      <c r="D794" s="139"/>
    </row>
    <row r="795">
      <c r="C795" s="139"/>
      <c r="D795" s="139"/>
    </row>
    <row r="796">
      <c r="C796" s="139"/>
      <c r="D796" s="139"/>
    </row>
    <row r="797">
      <c r="C797" s="139"/>
      <c r="D797" s="139"/>
    </row>
    <row r="798">
      <c r="C798" s="139"/>
      <c r="D798" s="139"/>
    </row>
    <row r="799">
      <c r="C799" s="139"/>
      <c r="D799" s="139"/>
    </row>
    <row r="800">
      <c r="C800" s="139"/>
      <c r="D800" s="139"/>
    </row>
    <row r="801">
      <c r="C801" s="139"/>
      <c r="D801" s="139"/>
    </row>
    <row r="802">
      <c r="C802" s="139"/>
      <c r="D802" s="139"/>
    </row>
    <row r="803">
      <c r="C803" s="139"/>
      <c r="D803" s="139"/>
    </row>
    <row r="804">
      <c r="C804" s="139"/>
      <c r="D804" s="139"/>
    </row>
    <row r="805">
      <c r="C805" s="139"/>
      <c r="D805" s="139"/>
    </row>
    <row r="806">
      <c r="C806" s="139"/>
      <c r="D806" s="139"/>
    </row>
    <row r="807">
      <c r="C807" s="139"/>
      <c r="D807" s="139"/>
    </row>
    <row r="808">
      <c r="C808" s="139"/>
      <c r="D808" s="139"/>
    </row>
    <row r="809">
      <c r="C809" s="139"/>
      <c r="D809" s="139"/>
    </row>
    <row r="810">
      <c r="C810" s="139"/>
      <c r="D810" s="139"/>
    </row>
    <row r="811">
      <c r="C811" s="139"/>
      <c r="D811" s="139"/>
    </row>
    <row r="812">
      <c r="C812" s="139"/>
      <c r="D812" s="139"/>
    </row>
    <row r="813">
      <c r="C813" s="139"/>
      <c r="D813" s="139"/>
    </row>
    <row r="814">
      <c r="C814" s="139"/>
      <c r="D814" s="139"/>
    </row>
    <row r="815">
      <c r="C815" s="139"/>
      <c r="D815" s="139"/>
    </row>
    <row r="816">
      <c r="C816" s="139"/>
      <c r="D816" s="139"/>
    </row>
    <row r="817">
      <c r="C817" s="139"/>
      <c r="D817" s="139"/>
    </row>
    <row r="818">
      <c r="C818" s="139"/>
      <c r="D818" s="139"/>
    </row>
    <row r="819">
      <c r="C819" s="139"/>
      <c r="D819" s="139"/>
    </row>
    <row r="820">
      <c r="C820" s="139"/>
      <c r="D820" s="139"/>
    </row>
    <row r="821">
      <c r="C821" s="139"/>
      <c r="D821" s="139"/>
    </row>
    <row r="822">
      <c r="C822" s="139"/>
      <c r="D822" s="139"/>
    </row>
    <row r="823">
      <c r="C823" s="139"/>
      <c r="D823" s="139"/>
    </row>
    <row r="824">
      <c r="C824" s="139"/>
      <c r="D824" s="139"/>
    </row>
    <row r="825">
      <c r="C825" s="139"/>
      <c r="D825" s="139"/>
    </row>
    <row r="826">
      <c r="C826" s="139"/>
      <c r="D826" s="139"/>
    </row>
    <row r="827">
      <c r="C827" s="139"/>
      <c r="D827" s="139"/>
    </row>
    <row r="828">
      <c r="C828" s="139"/>
      <c r="D828" s="139"/>
    </row>
    <row r="829">
      <c r="C829" s="139"/>
      <c r="D829" s="139"/>
    </row>
    <row r="830">
      <c r="C830" s="139"/>
      <c r="D830" s="139"/>
    </row>
    <row r="831">
      <c r="C831" s="139"/>
      <c r="D831" s="139"/>
    </row>
    <row r="832">
      <c r="C832" s="139"/>
      <c r="D832" s="139"/>
    </row>
    <row r="833">
      <c r="C833" s="139"/>
      <c r="D833" s="139"/>
    </row>
    <row r="834">
      <c r="C834" s="139"/>
      <c r="D834" s="139"/>
    </row>
    <row r="835">
      <c r="C835" s="139"/>
      <c r="D835" s="139"/>
    </row>
    <row r="836">
      <c r="C836" s="139"/>
      <c r="D836" s="139"/>
    </row>
    <row r="837">
      <c r="C837" s="139"/>
      <c r="D837" s="139"/>
    </row>
    <row r="838">
      <c r="C838" s="139"/>
      <c r="D838" s="139"/>
    </row>
    <row r="839">
      <c r="C839" s="139"/>
      <c r="D839" s="139"/>
    </row>
    <row r="840">
      <c r="C840" s="139"/>
      <c r="D840" s="139"/>
    </row>
    <row r="841">
      <c r="C841" s="139"/>
      <c r="D841" s="139"/>
    </row>
    <row r="842">
      <c r="C842" s="139"/>
      <c r="D842" s="139"/>
    </row>
    <row r="843">
      <c r="C843" s="139"/>
      <c r="D843" s="139"/>
    </row>
    <row r="844">
      <c r="C844" s="139"/>
      <c r="D844" s="139"/>
    </row>
    <row r="845">
      <c r="C845" s="139"/>
      <c r="D845" s="139"/>
    </row>
    <row r="846">
      <c r="C846" s="139"/>
      <c r="D846" s="139"/>
    </row>
    <row r="847">
      <c r="C847" s="139"/>
      <c r="D847" s="139"/>
    </row>
    <row r="848">
      <c r="C848" s="139"/>
      <c r="D848" s="139"/>
    </row>
    <row r="849">
      <c r="C849" s="139"/>
      <c r="D849" s="139"/>
    </row>
    <row r="850">
      <c r="C850" s="139"/>
      <c r="D850" s="139"/>
    </row>
    <row r="851">
      <c r="C851" s="139"/>
      <c r="D851" s="139"/>
    </row>
    <row r="852">
      <c r="C852" s="139"/>
      <c r="D852" s="139"/>
    </row>
    <row r="853">
      <c r="C853" s="139"/>
      <c r="D853" s="139"/>
    </row>
    <row r="854">
      <c r="C854" s="139"/>
      <c r="D854" s="139"/>
    </row>
    <row r="855">
      <c r="C855" s="139"/>
      <c r="D855" s="139"/>
    </row>
    <row r="856">
      <c r="C856" s="139"/>
      <c r="D856" s="139"/>
    </row>
    <row r="857">
      <c r="C857" s="139"/>
      <c r="D857" s="139"/>
    </row>
    <row r="858">
      <c r="C858" s="139"/>
      <c r="D858" s="139"/>
    </row>
    <row r="859">
      <c r="C859" s="139"/>
      <c r="D859" s="139"/>
    </row>
    <row r="860">
      <c r="C860" s="139"/>
      <c r="D860" s="139"/>
    </row>
    <row r="861">
      <c r="C861" s="139"/>
      <c r="D861" s="139"/>
    </row>
    <row r="862">
      <c r="C862" s="139"/>
      <c r="D862" s="139"/>
    </row>
    <row r="863">
      <c r="C863" s="139"/>
      <c r="D863" s="139"/>
    </row>
    <row r="864">
      <c r="C864" s="139"/>
      <c r="D864" s="139"/>
    </row>
    <row r="865">
      <c r="C865" s="139"/>
      <c r="D865" s="139"/>
    </row>
    <row r="866">
      <c r="C866" s="139"/>
      <c r="D866" s="139"/>
    </row>
    <row r="867">
      <c r="C867" s="139"/>
      <c r="D867" s="139"/>
    </row>
    <row r="868">
      <c r="C868" s="139"/>
      <c r="D868" s="139"/>
    </row>
    <row r="869">
      <c r="C869" s="139"/>
      <c r="D869" s="139"/>
    </row>
    <row r="870">
      <c r="C870" s="139"/>
      <c r="D870" s="139"/>
    </row>
    <row r="871">
      <c r="C871" s="139"/>
      <c r="D871" s="139"/>
    </row>
    <row r="872">
      <c r="C872" s="139"/>
      <c r="D872" s="139"/>
    </row>
    <row r="873">
      <c r="C873" s="139"/>
      <c r="D873" s="139"/>
    </row>
    <row r="874">
      <c r="C874" s="139"/>
      <c r="D874" s="139"/>
    </row>
    <row r="875">
      <c r="C875" s="139"/>
      <c r="D875" s="139"/>
    </row>
    <row r="876">
      <c r="C876" s="139"/>
      <c r="D876" s="139"/>
    </row>
    <row r="877">
      <c r="C877" s="139"/>
      <c r="D877" s="139"/>
    </row>
    <row r="878">
      <c r="C878" s="139"/>
      <c r="D878" s="139"/>
    </row>
    <row r="879">
      <c r="C879" s="139"/>
      <c r="D879" s="139"/>
    </row>
    <row r="880">
      <c r="C880" s="139"/>
      <c r="D880" s="139"/>
    </row>
    <row r="881">
      <c r="C881" s="139"/>
      <c r="D881" s="139"/>
    </row>
    <row r="882">
      <c r="C882" s="139"/>
      <c r="D882" s="139"/>
    </row>
    <row r="883">
      <c r="C883" s="139"/>
      <c r="D883" s="139"/>
    </row>
    <row r="884">
      <c r="C884" s="139"/>
      <c r="D884" s="139"/>
    </row>
    <row r="885">
      <c r="C885" s="139"/>
      <c r="D885" s="139"/>
    </row>
    <row r="886">
      <c r="C886" s="139"/>
      <c r="D886" s="139"/>
    </row>
    <row r="887">
      <c r="C887" s="139"/>
      <c r="D887" s="139"/>
    </row>
    <row r="888">
      <c r="C888" s="139"/>
      <c r="D888" s="139"/>
    </row>
    <row r="889">
      <c r="C889" s="139"/>
      <c r="D889" s="139"/>
    </row>
    <row r="890">
      <c r="C890" s="139"/>
      <c r="D890" s="139"/>
    </row>
    <row r="891">
      <c r="C891" s="139"/>
      <c r="D891" s="139"/>
    </row>
    <row r="892">
      <c r="C892" s="139"/>
      <c r="D892" s="139"/>
    </row>
    <row r="893">
      <c r="C893" s="139"/>
      <c r="D893" s="139"/>
    </row>
    <row r="894">
      <c r="C894" s="139"/>
      <c r="D894" s="139"/>
    </row>
    <row r="895">
      <c r="C895" s="139"/>
      <c r="D895" s="139"/>
    </row>
    <row r="896">
      <c r="C896" s="139"/>
      <c r="D896" s="139"/>
    </row>
    <row r="897">
      <c r="C897" s="139"/>
      <c r="D897" s="139"/>
    </row>
    <row r="898">
      <c r="C898" s="139"/>
      <c r="D898" s="139"/>
    </row>
    <row r="899">
      <c r="C899" s="139"/>
      <c r="D899" s="139"/>
    </row>
    <row r="900">
      <c r="C900" s="139"/>
      <c r="D900" s="139"/>
    </row>
    <row r="901">
      <c r="C901" s="139"/>
      <c r="D901" s="139"/>
    </row>
    <row r="902">
      <c r="C902" s="139"/>
      <c r="D902" s="139"/>
    </row>
    <row r="903">
      <c r="C903" s="139"/>
      <c r="D903" s="139"/>
    </row>
    <row r="904">
      <c r="C904" s="139"/>
      <c r="D904" s="139"/>
    </row>
    <row r="905">
      <c r="C905" s="139"/>
      <c r="D905" s="139"/>
    </row>
    <row r="906">
      <c r="C906" s="139"/>
      <c r="D906" s="139"/>
    </row>
    <row r="907">
      <c r="C907" s="139"/>
      <c r="D907" s="139"/>
    </row>
    <row r="908">
      <c r="C908" s="139"/>
      <c r="D908" s="139"/>
    </row>
    <row r="909">
      <c r="C909" s="139"/>
      <c r="D909" s="139"/>
    </row>
    <row r="910">
      <c r="C910" s="139"/>
      <c r="D910" s="139"/>
    </row>
    <row r="911">
      <c r="C911" s="139"/>
      <c r="D911" s="139"/>
    </row>
    <row r="912">
      <c r="C912" s="139"/>
      <c r="D912" s="139"/>
    </row>
    <row r="913">
      <c r="C913" s="139"/>
      <c r="D913" s="139"/>
    </row>
    <row r="914">
      <c r="C914" s="139"/>
      <c r="D914" s="139"/>
    </row>
    <row r="915">
      <c r="C915" s="139"/>
      <c r="D915" s="139"/>
    </row>
    <row r="916">
      <c r="C916" s="139"/>
      <c r="D916" s="139"/>
    </row>
    <row r="917">
      <c r="C917" s="139"/>
      <c r="D917" s="139"/>
    </row>
    <row r="918">
      <c r="C918" s="139"/>
      <c r="D918" s="139"/>
    </row>
    <row r="919">
      <c r="C919" s="139"/>
      <c r="D919" s="139"/>
    </row>
    <row r="920">
      <c r="C920" s="139"/>
      <c r="D920" s="139"/>
    </row>
    <row r="921">
      <c r="C921" s="139"/>
      <c r="D921" s="139"/>
    </row>
    <row r="922">
      <c r="C922" s="139"/>
      <c r="D922" s="139"/>
    </row>
    <row r="923">
      <c r="C923" s="139"/>
      <c r="D923" s="139"/>
    </row>
    <row r="924">
      <c r="C924" s="139"/>
      <c r="D924" s="139"/>
    </row>
    <row r="925">
      <c r="C925" s="139"/>
      <c r="D925" s="139"/>
    </row>
    <row r="926">
      <c r="C926" s="139"/>
      <c r="D926" s="139"/>
    </row>
    <row r="927">
      <c r="C927" s="139"/>
      <c r="D927" s="139"/>
    </row>
    <row r="928">
      <c r="C928" s="139"/>
      <c r="D928" s="139"/>
    </row>
    <row r="929">
      <c r="C929" s="139"/>
      <c r="D929" s="139"/>
    </row>
    <row r="930">
      <c r="C930" s="139"/>
      <c r="D930" s="139"/>
    </row>
    <row r="931">
      <c r="C931" s="139"/>
      <c r="D931" s="139"/>
    </row>
    <row r="932">
      <c r="C932" s="139"/>
      <c r="D932" s="139"/>
    </row>
    <row r="933">
      <c r="C933" s="139"/>
      <c r="D933" s="139"/>
    </row>
    <row r="934">
      <c r="C934" s="139"/>
      <c r="D934" s="139"/>
    </row>
    <row r="935">
      <c r="C935" s="139"/>
      <c r="D935" s="139"/>
    </row>
    <row r="936">
      <c r="C936" s="139"/>
      <c r="D936" s="139"/>
    </row>
    <row r="937">
      <c r="C937" s="139"/>
      <c r="D937" s="139"/>
    </row>
    <row r="938">
      <c r="C938" s="139"/>
      <c r="D938" s="139"/>
    </row>
    <row r="939">
      <c r="C939" s="139"/>
      <c r="D939" s="139"/>
    </row>
    <row r="940">
      <c r="C940" s="139"/>
      <c r="D940" s="139"/>
    </row>
    <row r="941">
      <c r="C941" s="139"/>
      <c r="D941" s="139"/>
    </row>
    <row r="942">
      <c r="C942" s="139"/>
      <c r="D942" s="139"/>
    </row>
    <row r="943">
      <c r="C943" s="139"/>
      <c r="D943" s="139"/>
    </row>
    <row r="944">
      <c r="C944" s="139"/>
      <c r="D944" s="139"/>
    </row>
    <row r="945">
      <c r="C945" s="139"/>
      <c r="D945" s="139"/>
    </row>
    <row r="946">
      <c r="C946" s="139"/>
      <c r="D946" s="139"/>
    </row>
    <row r="947">
      <c r="C947" s="139"/>
      <c r="D947" s="139"/>
    </row>
    <row r="948">
      <c r="C948" s="139"/>
      <c r="D948" s="139"/>
    </row>
    <row r="949">
      <c r="C949" s="139"/>
      <c r="D949" s="139"/>
    </row>
    <row r="950">
      <c r="C950" s="139"/>
      <c r="D950" s="139"/>
    </row>
    <row r="951">
      <c r="C951" s="139"/>
      <c r="D951" s="139"/>
    </row>
    <row r="952">
      <c r="C952" s="139"/>
      <c r="D952" s="139"/>
    </row>
    <row r="953">
      <c r="C953" s="139"/>
      <c r="D953" s="139"/>
    </row>
    <row r="954">
      <c r="C954" s="139"/>
      <c r="D954" s="139"/>
    </row>
    <row r="955">
      <c r="C955" s="139"/>
      <c r="D955" s="139"/>
    </row>
    <row r="956">
      <c r="C956" s="139"/>
      <c r="D956" s="139"/>
    </row>
    <row r="957">
      <c r="C957" s="139"/>
      <c r="D957" s="139"/>
    </row>
    <row r="958">
      <c r="C958" s="139"/>
      <c r="D958" s="139"/>
    </row>
    <row r="959">
      <c r="C959" s="139"/>
      <c r="D959" s="139"/>
    </row>
    <row r="960">
      <c r="C960" s="139"/>
      <c r="D960" s="139"/>
    </row>
    <row r="961">
      <c r="C961" s="139"/>
      <c r="D961" s="139"/>
    </row>
    <row r="962">
      <c r="C962" s="139"/>
      <c r="D962" s="139"/>
    </row>
    <row r="963">
      <c r="C963" s="139"/>
      <c r="D963" s="139"/>
    </row>
    <row r="964">
      <c r="C964" s="139"/>
      <c r="D964" s="139"/>
    </row>
    <row r="965">
      <c r="C965" s="139"/>
      <c r="D965" s="139"/>
    </row>
    <row r="966">
      <c r="C966" s="139"/>
      <c r="D966" s="139"/>
    </row>
    <row r="967">
      <c r="C967" s="139"/>
      <c r="D967" s="139"/>
    </row>
    <row r="968">
      <c r="C968" s="139"/>
      <c r="D968" s="139"/>
    </row>
    <row r="969">
      <c r="C969" s="139"/>
      <c r="D969" s="139"/>
    </row>
    <row r="970">
      <c r="C970" s="139"/>
      <c r="D970" s="139"/>
    </row>
    <row r="971">
      <c r="C971" s="139"/>
      <c r="D971" s="139"/>
    </row>
    <row r="972">
      <c r="C972" s="139"/>
      <c r="D972" s="139"/>
    </row>
    <row r="973">
      <c r="C973" s="139"/>
      <c r="D973" s="139"/>
    </row>
    <row r="974">
      <c r="C974" s="139"/>
      <c r="D974" s="139"/>
    </row>
    <row r="975">
      <c r="C975" s="139"/>
      <c r="D975" s="139"/>
    </row>
    <row r="976">
      <c r="C976" s="139"/>
      <c r="D976" s="139"/>
    </row>
    <row r="977">
      <c r="C977" s="139"/>
      <c r="D977" s="139"/>
    </row>
    <row r="978">
      <c r="C978" s="139"/>
      <c r="D978" s="139"/>
    </row>
    <row r="979">
      <c r="C979" s="139"/>
      <c r="D979" s="139"/>
    </row>
    <row r="980">
      <c r="C980" s="139"/>
      <c r="D980" s="139"/>
    </row>
    <row r="981">
      <c r="C981" s="139"/>
      <c r="D981" s="139"/>
    </row>
    <row r="982">
      <c r="C982" s="139"/>
      <c r="D982" s="139"/>
    </row>
    <row r="983">
      <c r="C983" s="139"/>
      <c r="D983" s="139"/>
    </row>
    <row r="984">
      <c r="C984" s="139"/>
      <c r="D984" s="139"/>
    </row>
    <row r="985">
      <c r="C985" s="139"/>
      <c r="D985" s="139"/>
    </row>
    <row r="986">
      <c r="C986" s="139"/>
      <c r="D986" s="139"/>
    </row>
    <row r="987">
      <c r="C987" s="139"/>
      <c r="D987" s="139"/>
    </row>
    <row r="988">
      <c r="C988" s="139"/>
      <c r="D988" s="139"/>
    </row>
    <row r="989">
      <c r="C989" s="139"/>
      <c r="D989" s="139"/>
    </row>
    <row r="990">
      <c r="C990" s="139"/>
      <c r="D990" s="139"/>
    </row>
    <row r="991">
      <c r="C991" s="139"/>
      <c r="D991" s="139"/>
    </row>
    <row r="992">
      <c r="C992" s="139"/>
      <c r="D992" s="139"/>
    </row>
    <row r="993">
      <c r="C993" s="139"/>
      <c r="D993" s="139"/>
    </row>
    <row r="994">
      <c r="C994" s="139"/>
      <c r="D994" s="139"/>
    </row>
    <row r="995">
      <c r="C995" s="139"/>
      <c r="D995" s="139"/>
    </row>
    <row r="996">
      <c r="C996" s="139"/>
      <c r="D996" s="139"/>
    </row>
    <row r="997">
      <c r="C997" s="139"/>
      <c r="D997" s="139"/>
    </row>
    <row r="998">
      <c r="C998" s="139"/>
      <c r="D998" s="139"/>
    </row>
    <row r="999">
      <c r="C999" s="139"/>
      <c r="D999" s="139"/>
    </row>
    <row r="1000">
      <c r="C1000" s="139"/>
      <c r="D1000" s="139"/>
    </row>
    <row r="1001">
      <c r="C1001" s="139"/>
      <c r="D1001" s="139"/>
    </row>
    <row r="1002">
      <c r="C1002" s="139"/>
      <c r="D1002" s="139"/>
    </row>
  </sheetData>
  <mergeCells count="35">
    <mergeCell ref="B64:B65"/>
    <mergeCell ref="B66:B67"/>
    <mergeCell ref="B68:B69"/>
    <mergeCell ref="B70:B71"/>
    <mergeCell ref="B72:B73"/>
    <mergeCell ref="B50:B51"/>
    <mergeCell ref="B46:B47"/>
    <mergeCell ref="B48:B49"/>
    <mergeCell ref="B22:B23"/>
    <mergeCell ref="B20:B21"/>
    <mergeCell ref="L1:M1"/>
    <mergeCell ref="N1:O1"/>
    <mergeCell ref="B8:B9"/>
    <mergeCell ref="B16:B17"/>
    <mergeCell ref="B10:B11"/>
    <mergeCell ref="B28:B29"/>
    <mergeCell ref="B26:B27"/>
    <mergeCell ref="B32:B33"/>
    <mergeCell ref="B30:B31"/>
    <mergeCell ref="B34:B35"/>
    <mergeCell ref="B24:B25"/>
    <mergeCell ref="B12:B13"/>
    <mergeCell ref="B14:B15"/>
    <mergeCell ref="B6:B7"/>
    <mergeCell ref="B4:B5"/>
    <mergeCell ref="B18:B19"/>
    <mergeCell ref="B42:B43"/>
    <mergeCell ref="B44:B45"/>
    <mergeCell ref="B62:B63"/>
    <mergeCell ref="B56:B57"/>
    <mergeCell ref="B60:B61"/>
    <mergeCell ref="B38:B39"/>
    <mergeCell ref="B36:B37"/>
    <mergeCell ref="B52:B53"/>
    <mergeCell ref="B40:B4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drawing r:id="rId2"/>
  <legacyDrawing r:id="rId3"/>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FC5E8"/>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1" max="1" width="12.14"/>
    <col customWidth="1" min="2" max="2" width="9.57"/>
    <col customWidth="1" min="3" max="3" width="14.14"/>
    <col customWidth="1" min="7" max="7" width="13.29"/>
  </cols>
  <sheetData>
    <row r="1" ht="15.0" customHeight="1" outlineLevel="1">
      <c r="A1" s="1" t="s">
        <v>0</v>
      </c>
      <c r="B1" s="2" t="s">
        <v>1</v>
      </c>
      <c r="C1" s="2" t="s">
        <v>2</v>
      </c>
      <c r="D1" s="2" t="s">
        <v>2</v>
      </c>
      <c r="E1" s="3"/>
      <c r="F1" s="365" t="s">
        <v>1577</v>
      </c>
      <c r="G1" s="30" t="s">
        <v>4</v>
      </c>
      <c r="H1" s="30" t="s">
        <v>5</v>
      </c>
      <c r="I1" s="30" t="s">
        <v>6</v>
      </c>
      <c r="J1" s="30" t="s">
        <v>7</v>
      </c>
      <c r="K1" s="1" t="s">
        <v>8</v>
      </c>
      <c r="L1" s="7" t="s">
        <v>9</v>
      </c>
      <c r="N1" s="10" t="s">
        <v>14</v>
      </c>
      <c r="P1" s="167"/>
      <c r="Q1" s="167"/>
      <c r="R1" s="30"/>
      <c r="S1" s="20"/>
      <c r="T1" s="20"/>
      <c r="U1" s="20"/>
      <c r="V1" s="20"/>
      <c r="W1" s="20"/>
      <c r="X1" s="20"/>
      <c r="Y1" s="20"/>
      <c r="Z1" s="20"/>
      <c r="AA1" s="20"/>
      <c r="AB1" s="20"/>
      <c r="AC1" s="20"/>
      <c r="AD1" s="20"/>
    </row>
    <row r="2" ht="16.5" customHeight="1" outlineLevel="1">
      <c r="A2" s="21" t="s">
        <v>492</v>
      </c>
      <c r="B2" s="23"/>
      <c r="C2" s="21"/>
      <c r="D2" s="21"/>
      <c r="E2" s="3"/>
      <c r="F2" s="367">
        <v>43426.0</v>
      </c>
      <c r="G2" s="168"/>
      <c r="H2" s="151"/>
      <c r="I2" s="168">
        <v>43473.0</v>
      </c>
      <c r="J2" s="168"/>
      <c r="K2" s="23"/>
      <c r="L2" s="26">
        <f>CountIFS($E:$E,"=Dem",$A:$A,"=House")</f>
        <v>26</v>
      </c>
      <c r="M2" s="28">
        <f>CountIFS($E:$E,"=Rep",$A:$A,"=House")</f>
        <v>73</v>
      </c>
      <c r="N2" s="26">
        <f>CountIFS($E:$E,"=Dem",$A:$A,"=Senate")</f>
        <v>5</v>
      </c>
      <c r="O2" s="28">
        <f>CountIFS($E:$E,"=Rep",$A:$A,"=Senate")</f>
        <v>28</v>
      </c>
      <c r="P2" s="167"/>
      <c r="Q2" s="167"/>
      <c r="R2" s="30"/>
      <c r="S2" s="20"/>
      <c r="T2" s="20"/>
      <c r="U2" s="20"/>
      <c r="V2" s="20"/>
      <c r="W2" s="20"/>
      <c r="X2" s="20"/>
      <c r="Y2" s="20"/>
      <c r="Z2" s="20"/>
      <c r="AA2" s="20"/>
      <c r="AB2" s="20"/>
      <c r="AC2" s="20"/>
      <c r="AD2" s="20"/>
    </row>
    <row r="3">
      <c r="A3" s="30" t="s">
        <v>29</v>
      </c>
      <c r="B3" s="30" t="s">
        <v>30</v>
      </c>
      <c r="C3" s="2" t="s">
        <v>31</v>
      </c>
      <c r="D3" s="2" t="s">
        <v>32</v>
      </c>
      <c r="E3" s="3" t="s">
        <v>33</v>
      </c>
      <c r="F3" s="1" t="s">
        <v>10</v>
      </c>
      <c r="G3" s="1" t="s">
        <v>34</v>
      </c>
      <c r="H3" s="1" t="s">
        <v>34</v>
      </c>
      <c r="I3" s="1" t="s">
        <v>34</v>
      </c>
      <c r="J3" s="1" t="s">
        <v>34</v>
      </c>
      <c r="K3" s="1" t="s">
        <v>35</v>
      </c>
      <c r="L3" s="19" t="s">
        <v>36</v>
      </c>
      <c r="M3" s="19" t="s">
        <v>37</v>
      </c>
      <c r="N3" s="19" t="s">
        <v>38</v>
      </c>
      <c r="O3" s="17" t="s">
        <v>39</v>
      </c>
      <c r="P3" s="11" t="s">
        <v>40</v>
      </c>
      <c r="Q3" s="11" t="s">
        <v>41</v>
      </c>
      <c r="R3" s="17" t="s">
        <v>42</v>
      </c>
      <c r="S3" s="20"/>
      <c r="T3" s="20"/>
      <c r="U3" s="30"/>
      <c r="V3" s="30" t="s">
        <v>1590</v>
      </c>
      <c r="W3" s="30" t="s">
        <v>1592</v>
      </c>
      <c r="X3" s="30" t="s">
        <v>37</v>
      </c>
      <c r="Y3" s="30"/>
      <c r="Z3" s="20"/>
      <c r="AA3" s="20"/>
      <c r="AB3" s="20"/>
      <c r="AC3" s="20"/>
      <c r="AD3" s="20"/>
    </row>
    <row r="4">
      <c r="A4" s="14" t="s">
        <v>44</v>
      </c>
      <c r="B4" s="31">
        <v>1.0</v>
      </c>
      <c r="C4" s="35" t="s">
        <v>278</v>
      </c>
      <c r="D4" s="35" t="s">
        <v>103</v>
      </c>
      <c r="E4" s="51" t="s">
        <v>53</v>
      </c>
      <c r="F4" s="426"/>
      <c r="G4" s="712" t="s">
        <v>12229</v>
      </c>
      <c r="H4" s="712" t="s">
        <v>12230</v>
      </c>
      <c r="I4" s="712" t="s">
        <v>12231</v>
      </c>
      <c r="J4" s="712" t="s">
        <v>12232</v>
      </c>
      <c r="L4" s="89"/>
      <c r="M4" s="89" t="str">
        <f t="shared" ref="M4:M102" si="1">concatenate("rep.",lower(C4),".",lower(D4),"@capitol.tn.gov")</f>
        <v>rep.john.crawford@capitol.tn.gov</v>
      </c>
      <c r="N4" s="89"/>
      <c r="O4" s="89"/>
      <c r="P4" s="89"/>
      <c r="Q4" s="89"/>
      <c r="R4" s="89"/>
      <c r="V4" t="str">
        <f t="shared" ref="V4:V102" si="2">if(A4="house","Representative","Senator")</f>
        <v>Representative</v>
      </c>
      <c r="W4" s="35" t="s">
        <v>103</v>
      </c>
      <c r="X4" t="str">
        <f t="shared" ref="X4:X102" si="3">if(W4="","",M4)</f>
        <v>rep.john.crawford@capitol.tn.gov</v>
      </c>
    </row>
    <row r="5">
      <c r="A5" s="14" t="s">
        <v>44</v>
      </c>
      <c r="B5" s="31">
        <v>2.0</v>
      </c>
      <c r="C5" s="35" t="s">
        <v>5523</v>
      </c>
      <c r="D5" s="35" t="s">
        <v>12233</v>
      </c>
      <c r="E5" s="51" t="s">
        <v>53</v>
      </c>
      <c r="F5" s="426"/>
      <c r="G5" s="712" t="s">
        <v>781</v>
      </c>
      <c r="H5" s="712" t="s">
        <v>12234</v>
      </c>
      <c r="L5" s="223" t="s">
        <v>12235</v>
      </c>
      <c r="M5" s="89" t="str">
        <f t="shared" si="1"/>
        <v>rep.bud.hulsey@capitol.tn.gov</v>
      </c>
      <c r="N5" s="89"/>
      <c r="O5" s="89"/>
      <c r="P5" s="89"/>
      <c r="Q5" s="89"/>
      <c r="R5" s="89"/>
      <c r="V5" t="str">
        <f t="shared" si="2"/>
        <v>Representative</v>
      </c>
      <c r="W5" s="35" t="s">
        <v>12233</v>
      </c>
      <c r="X5" t="str">
        <f t="shared" si="3"/>
        <v>rep.bud.hulsey@capitol.tn.gov</v>
      </c>
    </row>
    <row r="6">
      <c r="A6" s="14" t="s">
        <v>44</v>
      </c>
      <c r="B6" s="31">
        <v>3.0</v>
      </c>
      <c r="C6" s="35" t="s">
        <v>2507</v>
      </c>
      <c r="D6" s="35" t="s">
        <v>485</v>
      </c>
      <c r="E6" s="51" t="s">
        <v>53</v>
      </c>
      <c r="F6" s="426"/>
      <c r="G6" s="713" t="s">
        <v>12236</v>
      </c>
      <c r="H6" s="713" t="s">
        <v>12232</v>
      </c>
      <c r="L6" s="89"/>
      <c r="M6" s="89" t="str">
        <f t="shared" si="1"/>
        <v>rep.timothy.hill@capitol.tn.gov</v>
      </c>
      <c r="N6" s="89"/>
      <c r="O6" s="89"/>
      <c r="P6" s="89"/>
      <c r="Q6" s="89"/>
      <c r="R6" s="89"/>
      <c r="V6" t="str">
        <f t="shared" si="2"/>
        <v>Representative</v>
      </c>
      <c r="W6" s="35" t="s">
        <v>485</v>
      </c>
      <c r="X6" t="str">
        <f t="shared" si="3"/>
        <v>rep.timothy.hill@capitol.tn.gov</v>
      </c>
    </row>
    <row r="7">
      <c r="A7" s="14" t="s">
        <v>44</v>
      </c>
      <c r="B7" s="31">
        <v>4.0</v>
      </c>
      <c r="C7" s="35" t="s">
        <v>278</v>
      </c>
      <c r="D7" s="38" t="s">
        <v>12240</v>
      </c>
      <c r="E7" s="51" t="s">
        <v>53</v>
      </c>
      <c r="F7" s="426"/>
      <c r="G7" s="713" t="s">
        <v>12241</v>
      </c>
      <c r="H7" s="713" t="s">
        <v>12243</v>
      </c>
      <c r="L7" s="89"/>
      <c r="M7" s="89" t="str">
        <f t="shared" si="1"/>
        <v>rep.john.holsclaw@capitol.tn.gov</v>
      </c>
      <c r="N7" s="89"/>
      <c r="O7" s="89"/>
      <c r="P7" s="89"/>
      <c r="Q7" s="89"/>
      <c r="R7" s="89"/>
      <c r="V7" t="str">
        <f t="shared" si="2"/>
        <v>Representative</v>
      </c>
      <c r="W7" s="38" t="s">
        <v>12240</v>
      </c>
      <c r="X7" t="str">
        <f t="shared" si="3"/>
        <v>rep.john.holsclaw@capitol.tn.gov</v>
      </c>
    </row>
    <row r="8">
      <c r="A8" s="14" t="s">
        <v>44</v>
      </c>
      <c r="B8" s="31">
        <v>5.0</v>
      </c>
      <c r="C8" s="35" t="s">
        <v>108</v>
      </c>
      <c r="D8" s="35" t="s">
        <v>5463</v>
      </c>
      <c r="E8" s="51" t="s">
        <v>53</v>
      </c>
      <c r="F8" s="426"/>
      <c r="G8" s="713" t="s">
        <v>12234</v>
      </c>
      <c r="H8" s="713" t="s">
        <v>12248</v>
      </c>
      <c r="L8" s="89"/>
      <c r="M8" s="89" t="str">
        <f t="shared" si="1"/>
        <v>rep.david.hawk@capitol.tn.gov</v>
      </c>
      <c r="N8" s="89"/>
      <c r="O8" s="89"/>
      <c r="P8" s="89"/>
      <c r="Q8" s="89"/>
      <c r="R8" s="89"/>
      <c r="V8" t="str">
        <f t="shared" si="2"/>
        <v>Representative</v>
      </c>
      <c r="W8" s="35" t="s">
        <v>5463</v>
      </c>
      <c r="X8" t="str">
        <f t="shared" si="3"/>
        <v>rep.david.hawk@capitol.tn.gov</v>
      </c>
    </row>
    <row r="9">
      <c r="A9" s="14" t="s">
        <v>44</v>
      </c>
      <c r="B9" s="31">
        <v>6.0</v>
      </c>
      <c r="C9" s="35" t="s">
        <v>3519</v>
      </c>
      <c r="D9" s="77" t="s">
        <v>12251</v>
      </c>
      <c r="E9" s="51" t="s">
        <v>53</v>
      </c>
      <c r="F9" s="426"/>
      <c r="G9" s="713" t="s">
        <v>12252</v>
      </c>
      <c r="H9" s="713" t="s">
        <v>781</v>
      </c>
      <c r="L9" s="223" t="s">
        <v>12253</v>
      </c>
      <c r="M9" s="89" t="str">
        <f t="shared" si="1"/>
        <v>rep.micah.vanhuss@capitol.tn.gov</v>
      </c>
      <c r="N9" s="89"/>
      <c r="O9" s="89"/>
      <c r="P9" s="89"/>
      <c r="Q9" s="89"/>
      <c r="R9" s="89"/>
      <c r="V9" t="str">
        <f t="shared" si="2"/>
        <v>Representative</v>
      </c>
      <c r="W9" s="77" t="s">
        <v>12251</v>
      </c>
      <c r="X9" t="str">
        <f t="shared" si="3"/>
        <v>rep.micah.vanhuss@capitol.tn.gov</v>
      </c>
    </row>
    <row r="10">
      <c r="A10" s="14" t="s">
        <v>44</v>
      </c>
      <c r="B10" s="31">
        <v>7.0</v>
      </c>
      <c r="C10" s="35" t="s">
        <v>896</v>
      </c>
      <c r="D10" s="35" t="s">
        <v>485</v>
      </c>
      <c r="E10" s="51" t="s">
        <v>53</v>
      </c>
      <c r="F10" s="426"/>
      <c r="G10" s="713" t="s">
        <v>12252</v>
      </c>
      <c r="H10" s="713" t="s">
        <v>12232</v>
      </c>
      <c r="I10" s="713" t="s">
        <v>12258</v>
      </c>
      <c r="L10" s="89"/>
      <c r="M10" s="89" t="str">
        <f t="shared" si="1"/>
        <v>rep.matthew.hill@capitol.tn.gov</v>
      </c>
      <c r="N10" s="89"/>
      <c r="O10" s="89"/>
      <c r="P10" s="89"/>
      <c r="Q10" s="89"/>
      <c r="R10" s="89"/>
      <c r="V10" t="str">
        <f t="shared" si="2"/>
        <v>Representative</v>
      </c>
      <c r="W10" s="35" t="s">
        <v>485</v>
      </c>
      <c r="X10" t="str">
        <f t="shared" si="3"/>
        <v>rep.matthew.hill@capitol.tn.gov</v>
      </c>
    </row>
    <row r="11">
      <c r="A11" s="14" t="s">
        <v>44</v>
      </c>
      <c r="B11" s="31">
        <v>8.0</v>
      </c>
      <c r="C11" s="78" t="s">
        <v>3900</v>
      </c>
      <c r="D11" s="78" t="s">
        <v>3756</v>
      </c>
      <c r="E11" s="51" t="s">
        <v>53</v>
      </c>
      <c r="F11" s="426"/>
      <c r="G11" s="713" t="s">
        <v>12259</v>
      </c>
      <c r="H11" s="713" t="s">
        <v>12230</v>
      </c>
      <c r="L11" s="89"/>
      <c r="M11" s="89" t="str">
        <f t="shared" si="1"/>
        <v>rep.jerome.moon@capitol.tn.gov</v>
      </c>
      <c r="N11" s="89"/>
      <c r="O11" s="89"/>
      <c r="P11" s="89"/>
      <c r="Q11" s="89"/>
      <c r="R11" s="89"/>
      <c r="V11" t="str">
        <f t="shared" si="2"/>
        <v>Representative</v>
      </c>
      <c r="W11" s="78" t="s">
        <v>3756</v>
      </c>
      <c r="X11" t="str">
        <f t="shared" si="3"/>
        <v>rep.jerome.moon@capitol.tn.gov</v>
      </c>
    </row>
    <row r="12">
      <c r="A12" s="14" t="s">
        <v>44</v>
      </c>
      <c r="B12" s="31">
        <v>9.0</v>
      </c>
      <c r="C12" s="35" t="s">
        <v>199</v>
      </c>
      <c r="D12" s="35" t="s">
        <v>8268</v>
      </c>
      <c r="E12" s="51" t="s">
        <v>53</v>
      </c>
      <c r="F12" s="426"/>
      <c r="G12" s="713" t="s">
        <v>12234</v>
      </c>
      <c r="H12" s="713" t="s">
        <v>12248</v>
      </c>
      <c r="L12" s="89"/>
      <c r="M12" s="89" t="str">
        <f t="shared" si="1"/>
        <v>rep.gary.hicks@capitol.tn.gov</v>
      </c>
      <c r="N12" s="89"/>
      <c r="O12" s="89"/>
      <c r="P12" s="89"/>
      <c r="Q12" s="89"/>
      <c r="R12" s="89"/>
      <c r="V12" t="str">
        <f t="shared" si="2"/>
        <v>Representative</v>
      </c>
      <c r="W12" s="35" t="s">
        <v>8268</v>
      </c>
      <c r="X12" t="str">
        <f t="shared" si="3"/>
        <v>rep.gary.hicks@capitol.tn.gov</v>
      </c>
    </row>
    <row r="13">
      <c r="A13" s="14" t="s">
        <v>44</v>
      </c>
      <c r="B13" s="31">
        <v>10.0</v>
      </c>
      <c r="C13" s="77" t="s">
        <v>1291</v>
      </c>
      <c r="D13" s="38" t="s">
        <v>7244</v>
      </c>
      <c r="E13" s="51" t="s">
        <v>53</v>
      </c>
      <c r="F13" s="426"/>
      <c r="G13" s="713" t="s">
        <v>12234</v>
      </c>
      <c r="H13" s="713" t="s">
        <v>781</v>
      </c>
      <c r="L13" s="89"/>
      <c r="M13" s="89" t="str">
        <f t="shared" si="1"/>
        <v>rep.rick.eldridge@capitol.tn.gov</v>
      </c>
      <c r="N13" s="89"/>
      <c r="O13" s="89"/>
      <c r="P13" s="89"/>
      <c r="Q13" s="89"/>
      <c r="R13" s="89"/>
      <c r="V13" t="str">
        <f t="shared" si="2"/>
        <v>Representative</v>
      </c>
      <c r="W13" s="38" t="s">
        <v>7244</v>
      </c>
      <c r="X13" t="str">
        <f t="shared" si="3"/>
        <v>rep.rick.eldridge@capitol.tn.gov</v>
      </c>
    </row>
    <row r="14">
      <c r="A14" s="14" t="s">
        <v>44</v>
      </c>
      <c r="B14" s="31">
        <v>11.0</v>
      </c>
      <c r="C14" s="35" t="s">
        <v>657</v>
      </c>
      <c r="D14" s="35" t="s">
        <v>12280</v>
      </c>
      <c r="E14" s="51" t="s">
        <v>53</v>
      </c>
      <c r="F14" s="426"/>
      <c r="G14" s="713" t="s">
        <v>12231</v>
      </c>
      <c r="L14" s="89"/>
      <c r="M14" s="89" t="str">
        <f t="shared" si="1"/>
        <v>rep.jeremy.faison@capitol.tn.gov</v>
      </c>
      <c r="N14" s="89"/>
      <c r="O14" s="89"/>
      <c r="P14" s="89"/>
      <c r="Q14" s="89"/>
      <c r="R14" s="89"/>
      <c r="V14" t="str">
        <f t="shared" si="2"/>
        <v>Representative</v>
      </c>
      <c r="W14" s="35" t="s">
        <v>12280</v>
      </c>
      <c r="X14" t="str">
        <f t="shared" si="3"/>
        <v>rep.jeremy.faison@capitol.tn.gov</v>
      </c>
    </row>
    <row r="15">
      <c r="A15" s="14" t="s">
        <v>44</v>
      </c>
      <c r="B15" s="31">
        <v>12.0</v>
      </c>
      <c r="C15" s="35" t="s">
        <v>3296</v>
      </c>
      <c r="D15" s="35" t="s">
        <v>4774</v>
      </c>
      <c r="E15" s="51" t="s">
        <v>53</v>
      </c>
      <c r="F15" s="426"/>
      <c r="G15" s="713" t="s">
        <v>12285</v>
      </c>
      <c r="L15" s="89"/>
      <c r="M15" s="89" t="str">
        <f t="shared" si="1"/>
        <v>rep.dale.carr@capitol.tn.gov</v>
      </c>
      <c r="N15" s="89"/>
      <c r="O15" s="89"/>
      <c r="P15" s="89"/>
      <c r="Q15" s="89"/>
      <c r="R15" s="89"/>
      <c r="V15" t="str">
        <f t="shared" si="2"/>
        <v>Representative</v>
      </c>
      <c r="W15" s="35" t="s">
        <v>4774</v>
      </c>
      <c r="X15" t="str">
        <f t="shared" si="3"/>
        <v>rep.dale.carr@capitol.tn.gov</v>
      </c>
    </row>
    <row r="16">
      <c r="A16" s="14" t="s">
        <v>44</v>
      </c>
      <c r="B16" s="31">
        <v>13.0</v>
      </c>
      <c r="C16" s="38" t="s">
        <v>1980</v>
      </c>
      <c r="D16" s="38" t="s">
        <v>118</v>
      </c>
      <c r="E16" s="36" t="s">
        <v>49</v>
      </c>
      <c r="F16" s="426"/>
      <c r="G16" s="713" t="s">
        <v>12259</v>
      </c>
      <c r="L16" s="89"/>
      <c r="M16" s="89" t="str">
        <f t="shared" si="1"/>
        <v>rep.gloria.johnson@capitol.tn.gov</v>
      </c>
      <c r="N16" s="89"/>
      <c r="O16" s="89"/>
      <c r="P16" s="89"/>
      <c r="Q16" s="89"/>
      <c r="R16" s="89"/>
      <c r="V16" t="str">
        <f t="shared" si="2"/>
        <v>Representative</v>
      </c>
      <c r="W16" s="38" t="s">
        <v>118</v>
      </c>
      <c r="X16" t="str">
        <f t="shared" si="3"/>
        <v>rep.gloria.johnson@capitol.tn.gov</v>
      </c>
    </row>
    <row r="17">
      <c r="A17" s="14" t="s">
        <v>44</v>
      </c>
      <c r="B17" s="31">
        <v>14.0</v>
      </c>
      <c r="C17" s="38" t="s">
        <v>1231</v>
      </c>
      <c r="D17" s="38" t="s">
        <v>9721</v>
      </c>
      <c r="E17" s="51" t="s">
        <v>53</v>
      </c>
      <c r="F17" s="426"/>
      <c r="G17" s="713" t="s">
        <v>12290</v>
      </c>
      <c r="H17" s="713" t="s">
        <v>12232</v>
      </c>
      <c r="L17" s="89"/>
      <c r="M17" s="89" t="str">
        <f t="shared" si="1"/>
        <v>rep.jason.zachary@capitol.tn.gov</v>
      </c>
      <c r="N17" s="89"/>
      <c r="O17" s="89"/>
      <c r="P17" s="89"/>
      <c r="Q17" s="89"/>
      <c r="R17" s="89"/>
      <c r="V17" t="str">
        <f t="shared" si="2"/>
        <v>Representative</v>
      </c>
      <c r="W17" s="38" t="s">
        <v>9721</v>
      </c>
      <c r="X17" t="str">
        <f t="shared" si="3"/>
        <v>rep.jason.zachary@capitol.tn.gov</v>
      </c>
    </row>
    <row r="18">
      <c r="A18" s="14" t="s">
        <v>44</v>
      </c>
      <c r="B18" s="31">
        <v>15.0</v>
      </c>
      <c r="C18" s="35" t="s">
        <v>12291</v>
      </c>
      <c r="D18" s="35" t="s">
        <v>8047</v>
      </c>
      <c r="E18" s="36" t="s">
        <v>49</v>
      </c>
      <c r="F18" s="126" t="s">
        <v>1965</v>
      </c>
      <c r="H18" s="713" t="s">
        <v>12234</v>
      </c>
      <c r="I18" s="713" t="s">
        <v>12296</v>
      </c>
      <c r="L18" s="89"/>
      <c r="M18" s="89" t="str">
        <f t="shared" si="1"/>
        <v>rep.roderick.staples@capitol.tn.gov</v>
      </c>
      <c r="N18" s="89"/>
      <c r="O18" s="89"/>
      <c r="P18" s="89"/>
      <c r="Q18" s="89"/>
      <c r="R18" s="89"/>
      <c r="V18" t="str">
        <f t="shared" si="2"/>
        <v>Representative</v>
      </c>
      <c r="W18" s="35" t="s">
        <v>8047</v>
      </c>
      <c r="X18" t="str">
        <f t="shared" si="3"/>
        <v>rep.roderick.staples@capitol.tn.gov</v>
      </c>
    </row>
    <row r="19">
      <c r="A19" s="14" t="s">
        <v>44</v>
      </c>
      <c r="B19" s="31">
        <v>16.0</v>
      </c>
      <c r="C19" s="35" t="s">
        <v>325</v>
      </c>
      <c r="D19" s="35" t="s">
        <v>825</v>
      </c>
      <c r="E19" s="51" t="s">
        <v>53</v>
      </c>
      <c r="F19" s="126" t="s">
        <v>751</v>
      </c>
      <c r="H19" s="713" t="s">
        <v>12301</v>
      </c>
      <c r="I19" s="713" t="s">
        <v>12302</v>
      </c>
      <c r="L19" s="223" t="s">
        <v>12303</v>
      </c>
      <c r="M19" s="89" t="str">
        <f t="shared" si="1"/>
        <v>rep.bill.dunn@capitol.tn.gov</v>
      </c>
      <c r="N19" s="89"/>
      <c r="O19" s="89"/>
      <c r="P19" s="89"/>
      <c r="Q19" s="89"/>
      <c r="R19" s="89"/>
      <c r="V19" t="str">
        <f t="shared" si="2"/>
        <v>Representative</v>
      </c>
      <c r="W19" s="35" t="s">
        <v>825</v>
      </c>
      <c r="X19" t="str">
        <f t="shared" si="3"/>
        <v>rep.bill.dunn@capitol.tn.gov</v>
      </c>
    </row>
    <row r="20">
      <c r="A20" s="14" t="s">
        <v>44</v>
      </c>
      <c r="B20" s="31">
        <v>17.0</v>
      </c>
      <c r="C20" s="35" t="s">
        <v>80</v>
      </c>
      <c r="D20" s="35" t="s">
        <v>3331</v>
      </c>
      <c r="E20" s="51" t="s">
        <v>53</v>
      </c>
      <c r="F20" s="426"/>
      <c r="G20" s="718" t="s">
        <v>12234</v>
      </c>
      <c r="H20" s="713" t="s">
        <v>781</v>
      </c>
      <c r="L20" s="223" t="s">
        <v>12312</v>
      </c>
      <c r="M20" s="89" t="str">
        <f t="shared" si="1"/>
        <v>rep.andrew.farmer@capitol.tn.gov</v>
      </c>
      <c r="N20" s="89"/>
      <c r="O20" s="89"/>
      <c r="P20" s="89"/>
      <c r="Q20" s="89"/>
      <c r="R20" s="89"/>
      <c r="V20" t="str">
        <f t="shared" si="2"/>
        <v>Representative</v>
      </c>
      <c r="W20" s="35" t="s">
        <v>3331</v>
      </c>
      <c r="X20" t="str">
        <f t="shared" si="3"/>
        <v>rep.andrew.farmer@capitol.tn.gov</v>
      </c>
    </row>
    <row r="21">
      <c r="A21" s="14" t="s">
        <v>44</v>
      </c>
      <c r="B21" s="31">
        <v>18.0</v>
      </c>
      <c r="C21" s="35" t="s">
        <v>456</v>
      </c>
      <c r="D21" s="35" t="s">
        <v>552</v>
      </c>
      <c r="E21" s="51" t="s">
        <v>53</v>
      </c>
      <c r="F21" s="426"/>
      <c r="G21" s="713" t="s">
        <v>781</v>
      </c>
      <c r="H21" s="713" t="s">
        <v>12232</v>
      </c>
      <c r="L21" s="89"/>
      <c r="M21" s="89" t="str">
        <f t="shared" si="1"/>
        <v>rep.martin.daniel@capitol.tn.gov</v>
      </c>
      <c r="N21" s="89"/>
      <c r="O21" s="89"/>
      <c r="P21" s="89"/>
      <c r="Q21" s="89"/>
      <c r="R21" s="89"/>
      <c r="V21" t="str">
        <f t="shared" si="2"/>
        <v>Representative</v>
      </c>
      <c r="W21" s="35" t="s">
        <v>552</v>
      </c>
      <c r="X21" t="str">
        <f t="shared" si="3"/>
        <v>rep.martin.daniel@capitol.tn.gov</v>
      </c>
    </row>
    <row r="22">
      <c r="A22" s="14" t="s">
        <v>44</v>
      </c>
      <c r="B22" s="31">
        <v>19.0</v>
      </c>
      <c r="C22" s="38" t="s">
        <v>76</v>
      </c>
      <c r="D22" s="38" t="s">
        <v>3221</v>
      </c>
      <c r="E22" s="51" t="s">
        <v>53</v>
      </c>
      <c r="F22" s="426"/>
      <c r="G22" s="713" t="s">
        <v>12241</v>
      </c>
      <c r="H22" s="713" t="s">
        <v>12259</v>
      </c>
      <c r="L22" s="89"/>
      <c r="M22" s="89" t="str">
        <f t="shared" si="1"/>
        <v>rep.dave.wright@capitol.tn.gov</v>
      </c>
      <c r="N22" s="89"/>
      <c r="O22" s="89"/>
      <c r="P22" s="89"/>
      <c r="Q22" s="89"/>
      <c r="R22" s="89"/>
      <c r="V22" t="str">
        <f t="shared" si="2"/>
        <v>Representative</v>
      </c>
      <c r="W22" s="38" t="s">
        <v>3221</v>
      </c>
      <c r="X22" t="str">
        <f t="shared" si="3"/>
        <v>rep.dave.wright@capitol.tn.gov</v>
      </c>
    </row>
    <row r="23">
      <c r="A23" s="14" t="s">
        <v>44</v>
      </c>
      <c r="B23" s="31">
        <v>20.0</v>
      </c>
      <c r="C23" s="35" t="s">
        <v>419</v>
      </c>
      <c r="D23" s="35" t="s">
        <v>12321</v>
      </c>
      <c r="E23" s="51" t="s">
        <v>53</v>
      </c>
      <c r="F23" s="426"/>
      <c r="G23" s="713" t="s">
        <v>12234</v>
      </c>
      <c r="H23" s="713" t="s">
        <v>12322</v>
      </c>
      <c r="L23" s="89"/>
      <c r="M23" s="89" t="str">
        <f t="shared" si="1"/>
        <v>rep.bob.ramsey@capitol.tn.gov</v>
      </c>
      <c r="N23" s="89"/>
      <c r="O23" s="89"/>
      <c r="P23" s="89"/>
      <c r="Q23" s="89"/>
      <c r="R23" s="89"/>
      <c r="V23" t="str">
        <f t="shared" si="2"/>
        <v>Representative</v>
      </c>
      <c r="W23" s="35" t="s">
        <v>12321</v>
      </c>
      <c r="X23" t="str">
        <f t="shared" si="3"/>
        <v>rep.bob.ramsey@capitol.tn.gov</v>
      </c>
    </row>
    <row r="24">
      <c r="A24" s="14" t="s">
        <v>44</v>
      </c>
      <c r="B24" s="31">
        <v>21.0</v>
      </c>
      <c r="C24" s="38" t="s">
        <v>12323</v>
      </c>
      <c r="D24" s="38" t="s">
        <v>1054</v>
      </c>
      <c r="E24" s="51" t="s">
        <v>53</v>
      </c>
      <c r="F24" s="426"/>
      <c r="G24" s="713" t="s">
        <v>12232</v>
      </c>
      <c r="H24" s="713" t="s">
        <v>12285</v>
      </c>
      <c r="L24" s="89"/>
      <c r="M24" s="89" t="str">
        <f t="shared" si="1"/>
        <v>rep.lowell.russell@capitol.tn.gov</v>
      </c>
      <c r="N24" s="89"/>
      <c r="O24" s="89"/>
      <c r="P24" s="89"/>
      <c r="Q24" s="89"/>
      <c r="R24" s="89"/>
      <c r="V24" t="str">
        <f t="shared" si="2"/>
        <v>Representative</v>
      </c>
      <c r="W24" s="38" t="s">
        <v>1054</v>
      </c>
      <c r="X24" t="str">
        <f t="shared" si="3"/>
        <v>rep.lowell.russell@capitol.tn.gov</v>
      </c>
    </row>
    <row r="25">
      <c r="A25" s="14" t="s">
        <v>44</v>
      </c>
      <c r="B25" s="31">
        <v>22.0</v>
      </c>
      <c r="C25" s="35" t="s">
        <v>239</v>
      </c>
      <c r="D25" s="35" t="s">
        <v>7245</v>
      </c>
      <c r="E25" s="51" t="s">
        <v>53</v>
      </c>
      <c r="F25" s="426"/>
      <c r="G25" s="713" t="s">
        <v>781</v>
      </c>
      <c r="H25" s="713" t="s">
        <v>12333</v>
      </c>
      <c r="L25" s="89"/>
      <c r="M25" s="89" t="str">
        <f t="shared" si="1"/>
        <v>rep.dan.howell@capitol.tn.gov</v>
      </c>
      <c r="N25" s="89"/>
      <c r="O25" s="89"/>
      <c r="P25" s="89"/>
      <c r="Q25" s="89"/>
      <c r="R25" s="89"/>
      <c r="V25" t="str">
        <f t="shared" si="2"/>
        <v>Representative</v>
      </c>
      <c r="W25" s="35" t="s">
        <v>7245</v>
      </c>
      <c r="X25" t="str">
        <f t="shared" si="3"/>
        <v>rep.dan.howell@capitol.tn.gov</v>
      </c>
    </row>
    <row r="26">
      <c r="A26" s="14" t="s">
        <v>44</v>
      </c>
      <c r="B26" s="31">
        <v>23.0</v>
      </c>
      <c r="C26" s="38" t="s">
        <v>91</v>
      </c>
      <c r="D26" s="38" t="s">
        <v>12334</v>
      </c>
      <c r="E26" s="51" t="s">
        <v>53</v>
      </c>
      <c r="F26" s="426"/>
      <c r="G26" s="713" t="s">
        <v>12335</v>
      </c>
      <c r="H26" s="713" t="s">
        <v>12243</v>
      </c>
      <c r="L26" s="89"/>
      <c r="M26" s="89" t="str">
        <f t="shared" si="1"/>
        <v>rep.mark.cochran@capitol.tn.gov</v>
      </c>
      <c r="N26" s="89"/>
      <c r="O26" s="89"/>
      <c r="P26" s="89"/>
      <c r="Q26" s="89"/>
      <c r="R26" s="89"/>
      <c r="V26" t="str">
        <f t="shared" si="2"/>
        <v>Representative</v>
      </c>
      <c r="W26" s="38" t="s">
        <v>12334</v>
      </c>
      <c r="X26" t="str">
        <f t="shared" si="3"/>
        <v>rep.mark.cochran@capitol.tn.gov</v>
      </c>
    </row>
    <row r="27">
      <c r="A27" s="14" t="s">
        <v>44</v>
      </c>
      <c r="B27" s="31">
        <v>24.0</v>
      </c>
      <c r="C27" s="38" t="s">
        <v>91</v>
      </c>
      <c r="D27" s="38" t="s">
        <v>293</v>
      </c>
      <c r="E27" s="51" t="s">
        <v>53</v>
      </c>
      <c r="F27" s="426"/>
      <c r="G27" s="713" t="s">
        <v>12258</v>
      </c>
      <c r="H27" s="713" t="s">
        <v>12340</v>
      </c>
      <c r="L27" s="89"/>
      <c r="M27" s="89" t="str">
        <f t="shared" si="1"/>
        <v>rep.mark.hall@capitol.tn.gov</v>
      </c>
      <c r="N27" s="89"/>
      <c r="O27" s="89"/>
      <c r="P27" s="89"/>
      <c r="Q27" s="89"/>
      <c r="R27" s="89"/>
      <c r="V27" t="str">
        <f t="shared" si="2"/>
        <v>Representative</v>
      </c>
      <c r="W27" s="38" t="s">
        <v>293</v>
      </c>
      <c r="X27" t="str">
        <f t="shared" si="3"/>
        <v>rep.mark.hall@capitol.tn.gov</v>
      </c>
    </row>
    <row r="28">
      <c r="A28" s="14" t="s">
        <v>44</v>
      </c>
      <c r="B28" s="31">
        <v>25.0</v>
      </c>
      <c r="C28" s="35" t="s">
        <v>1204</v>
      </c>
      <c r="D28" s="35" t="s">
        <v>4846</v>
      </c>
      <c r="E28" s="51" t="s">
        <v>53</v>
      </c>
      <c r="F28" s="126" t="s">
        <v>12345</v>
      </c>
      <c r="G28" s="713" t="s">
        <v>12296</v>
      </c>
      <c r="H28" s="713" t="s">
        <v>12348</v>
      </c>
      <c r="L28" s="89"/>
      <c r="M28" s="89" t="str">
        <f t="shared" si="1"/>
        <v>rep.cameron.sexton@capitol.tn.gov</v>
      </c>
      <c r="N28" s="89"/>
      <c r="O28" s="89"/>
      <c r="P28" s="89"/>
      <c r="Q28" s="89"/>
      <c r="R28" s="89"/>
      <c r="V28" t="str">
        <f t="shared" si="2"/>
        <v>Representative</v>
      </c>
      <c r="W28" s="35" t="s">
        <v>4846</v>
      </c>
      <c r="X28" t="str">
        <f t="shared" si="3"/>
        <v>rep.cameron.sexton@capitol.tn.gov</v>
      </c>
    </row>
    <row r="29">
      <c r="A29" s="14" t="s">
        <v>44</v>
      </c>
      <c r="B29" s="31">
        <v>26.0</v>
      </c>
      <c r="C29" s="38" t="s">
        <v>1651</v>
      </c>
      <c r="D29" s="38" t="s">
        <v>1451</v>
      </c>
      <c r="E29" s="51" t="s">
        <v>53</v>
      </c>
      <c r="F29" s="426"/>
      <c r="G29" s="713" t="s">
        <v>12296</v>
      </c>
      <c r="H29" s="713" t="s">
        <v>12258</v>
      </c>
      <c r="L29" s="89"/>
      <c r="M29" s="89" t="str">
        <f t="shared" si="1"/>
        <v>rep.robin.smith@capitol.tn.gov</v>
      </c>
      <c r="N29" s="89"/>
      <c r="O29" s="89"/>
      <c r="P29" s="89"/>
      <c r="Q29" s="89"/>
      <c r="R29" s="89"/>
      <c r="V29" t="str">
        <f t="shared" si="2"/>
        <v>Representative</v>
      </c>
      <c r="W29" s="38" t="s">
        <v>1451</v>
      </c>
      <c r="X29" t="str">
        <f t="shared" si="3"/>
        <v>rep.robin.smith@capitol.tn.gov</v>
      </c>
    </row>
    <row r="30">
      <c r="A30" s="14" t="s">
        <v>44</v>
      </c>
      <c r="B30" s="31">
        <v>27.0</v>
      </c>
      <c r="C30" s="35" t="s">
        <v>12352</v>
      </c>
      <c r="D30" s="35" t="s">
        <v>12355</v>
      </c>
      <c r="E30" s="51" t="s">
        <v>53</v>
      </c>
      <c r="F30" s="426"/>
      <c r="G30" s="713" t="s">
        <v>12241</v>
      </c>
      <c r="L30" s="89"/>
      <c r="M30" s="89" t="str">
        <f t="shared" si="1"/>
        <v>rep.patsy.hazlewood@capitol.tn.gov</v>
      </c>
      <c r="N30" s="89"/>
      <c r="O30" s="89"/>
      <c r="P30" s="89"/>
      <c r="Q30" s="89"/>
      <c r="R30" s="89"/>
      <c r="V30" t="str">
        <f t="shared" si="2"/>
        <v>Representative</v>
      </c>
      <c r="W30" s="35" t="s">
        <v>12355</v>
      </c>
      <c r="X30" t="str">
        <f t="shared" si="3"/>
        <v>rep.patsy.hazlewood@capitol.tn.gov</v>
      </c>
    </row>
    <row r="31">
      <c r="A31" s="14" t="s">
        <v>44</v>
      </c>
      <c r="B31" s="31">
        <v>28.0</v>
      </c>
      <c r="C31" s="38" t="s">
        <v>12356</v>
      </c>
      <c r="D31" s="38" t="s">
        <v>10644</v>
      </c>
      <c r="E31" s="36" t="s">
        <v>49</v>
      </c>
      <c r="F31" s="426"/>
      <c r="G31" s="713" t="s">
        <v>12259</v>
      </c>
      <c r="L31" s="89"/>
      <c r="M31" s="89" t="str">
        <f t="shared" si="1"/>
        <v>rep.yusuf.hakeem@capitol.tn.gov</v>
      </c>
      <c r="N31" s="89"/>
      <c r="O31" s="89"/>
      <c r="P31" s="89"/>
      <c r="Q31" s="89"/>
      <c r="R31" s="89"/>
      <c r="V31" t="str">
        <f t="shared" si="2"/>
        <v>Representative</v>
      </c>
      <c r="W31" s="38" t="s">
        <v>10644</v>
      </c>
      <c r="X31" t="str">
        <f t="shared" si="3"/>
        <v>rep.yusuf.hakeem@capitol.tn.gov</v>
      </c>
    </row>
    <row r="32">
      <c r="A32" s="14" t="s">
        <v>44</v>
      </c>
      <c r="B32" s="31">
        <v>29.0</v>
      </c>
      <c r="C32" s="35" t="s">
        <v>157</v>
      </c>
      <c r="D32" s="35" t="s">
        <v>1256</v>
      </c>
      <c r="E32" s="51" t="s">
        <v>53</v>
      </c>
      <c r="F32" s="426"/>
      <c r="G32" s="713" t="s">
        <v>781</v>
      </c>
      <c r="H32" s="713" t="s">
        <v>12296</v>
      </c>
      <c r="I32" s="713" t="s">
        <v>12361</v>
      </c>
      <c r="L32" s="89"/>
      <c r="M32" s="89" t="str">
        <f t="shared" si="1"/>
        <v>rep.mike.carter@capitol.tn.gov</v>
      </c>
      <c r="N32" s="89"/>
      <c r="O32" s="89"/>
      <c r="P32" s="89"/>
      <c r="Q32" s="89"/>
      <c r="R32" s="89"/>
      <c r="V32" t="str">
        <f t="shared" si="2"/>
        <v>Representative</v>
      </c>
      <c r="W32" s="35" t="s">
        <v>1256</v>
      </c>
      <c r="X32" t="str">
        <f t="shared" si="3"/>
        <v>rep.mike.carter@capitol.tn.gov</v>
      </c>
    </row>
    <row r="33">
      <c r="A33" s="14" t="s">
        <v>44</v>
      </c>
      <c r="B33" s="31">
        <v>30.0</v>
      </c>
      <c r="C33" s="38" t="s">
        <v>12362</v>
      </c>
      <c r="D33" s="38" t="s">
        <v>12363</v>
      </c>
      <c r="E33" s="51" t="s">
        <v>53</v>
      </c>
      <c r="F33" s="426"/>
      <c r="G33" s="713" t="s">
        <v>12258</v>
      </c>
      <c r="H33" s="713" t="s">
        <v>12259</v>
      </c>
      <c r="L33" s="89"/>
      <c r="M33" s="89" t="str">
        <f t="shared" si="1"/>
        <v>rep.esther.helton@capitol.tn.gov</v>
      </c>
      <c r="N33" s="89"/>
      <c r="O33" s="89"/>
      <c r="P33" s="89"/>
      <c r="Q33" s="89"/>
      <c r="R33" s="89"/>
      <c r="V33" t="str">
        <f t="shared" si="2"/>
        <v>Representative</v>
      </c>
      <c r="W33" s="38" t="s">
        <v>12363</v>
      </c>
      <c r="X33" t="str">
        <f t="shared" si="3"/>
        <v>rep.esther.helton@capitol.tn.gov</v>
      </c>
    </row>
    <row r="34">
      <c r="A34" s="14" t="s">
        <v>44</v>
      </c>
      <c r="B34" s="31">
        <v>31.0</v>
      </c>
      <c r="C34" s="35" t="s">
        <v>1813</v>
      </c>
      <c r="D34" s="35" t="s">
        <v>807</v>
      </c>
      <c r="E34" s="51" t="s">
        <v>53</v>
      </c>
      <c r="F34" s="426"/>
      <c r="G34" s="713" t="s">
        <v>12232</v>
      </c>
      <c r="H34" s="713" t="s">
        <v>12259</v>
      </c>
      <c r="L34" s="89"/>
      <c r="M34" s="89" t="str">
        <f t="shared" si="1"/>
        <v>rep.ron.travis@capitol.tn.gov</v>
      </c>
      <c r="N34" s="89"/>
      <c r="O34" s="89"/>
      <c r="P34" s="89"/>
      <c r="Q34" s="89"/>
      <c r="R34" s="89"/>
      <c r="V34" t="str">
        <f t="shared" si="2"/>
        <v>Representative</v>
      </c>
      <c r="W34" s="35" t="s">
        <v>807</v>
      </c>
      <c r="X34" t="str">
        <f t="shared" si="3"/>
        <v>rep.ron.travis@capitol.tn.gov</v>
      </c>
    </row>
    <row r="35">
      <c r="A35" s="14" t="s">
        <v>44</v>
      </c>
      <c r="B35" s="31">
        <v>32.0</v>
      </c>
      <c r="C35" s="35" t="s">
        <v>4892</v>
      </c>
      <c r="D35" s="35" t="s">
        <v>12380</v>
      </c>
      <c r="E35" s="51" t="s">
        <v>53</v>
      </c>
      <c r="F35" s="426"/>
      <c r="G35" s="713" t="s">
        <v>12348</v>
      </c>
      <c r="L35" s="89"/>
      <c r="M35" s="89" t="str">
        <f t="shared" si="1"/>
        <v>rep.kent.calfee@capitol.tn.gov</v>
      </c>
      <c r="N35" s="89"/>
      <c r="O35" s="89"/>
      <c r="P35" s="89"/>
      <c r="Q35" s="89"/>
      <c r="R35" s="89"/>
      <c r="V35" t="str">
        <f t="shared" si="2"/>
        <v>Representative</v>
      </c>
      <c r="W35" s="35" t="s">
        <v>12380</v>
      </c>
      <c r="X35" t="str">
        <f t="shared" si="3"/>
        <v>rep.kent.calfee@capitol.tn.gov</v>
      </c>
    </row>
    <row r="36">
      <c r="A36" s="14" t="s">
        <v>44</v>
      </c>
      <c r="B36" s="31">
        <v>33.0</v>
      </c>
      <c r="C36" s="35" t="s">
        <v>278</v>
      </c>
      <c r="D36" s="35" t="s">
        <v>5685</v>
      </c>
      <c r="E36" s="51" t="s">
        <v>53</v>
      </c>
      <c r="F36" s="426"/>
      <c r="G36" s="713" t="s">
        <v>12348</v>
      </c>
      <c r="H36" s="713" t="s">
        <v>515</v>
      </c>
      <c r="L36" s="89"/>
      <c r="M36" s="89" t="str">
        <f t="shared" si="1"/>
        <v>rep.john.ragan@capitol.tn.gov</v>
      </c>
      <c r="N36" s="89"/>
      <c r="O36" s="89"/>
      <c r="P36" s="89"/>
      <c r="Q36" s="89"/>
      <c r="R36" s="89"/>
      <c r="V36" t="str">
        <f t="shared" si="2"/>
        <v>Representative</v>
      </c>
      <c r="W36" s="35" t="s">
        <v>5685</v>
      </c>
      <c r="X36" t="str">
        <f t="shared" si="3"/>
        <v>rep.john.ragan@capitol.tn.gov</v>
      </c>
    </row>
    <row r="37">
      <c r="A37" s="14" t="s">
        <v>44</v>
      </c>
      <c r="B37" s="31">
        <v>34.0</v>
      </c>
      <c r="C37" s="38" t="s">
        <v>225</v>
      </c>
      <c r="D37" s="38" t="s">
        <v>12387</v>
      </c>
      <c r="E37" s="51" t="s">
        <v>53</v>
      </c>
      <c r="F37" s="426"/>
      <c r="G37" s="713" t="s">
        <v>12259</v>
      </c>
      <c r="L37" s="89"/>
      <c r="M37" s="89" t="str">
        <f t="shared" si="1"/>
        <v>rep.tim.rudd@capitol.tn.gov</v>
      </c>
      <c r="N37" s="89"/>
      <c r="O37" s="89"/>
      <c r="P37" s="89"/>
      <c r="Q37" s="89"/>
      <c r="R37" s="89"/>
      <c r="V37" t="str">
        <f t="shared" si="2"/>
        <v>Representative</v>
      </c>
      <c r="W37" s="38" t="s">
        <v>12387</v>
      </c>
      <c r="X37" t="str">
        <f t="shared" si="3"/>
        <v>rep.tim.rudd@capitol.tn.gov</v>
      </c>
    </row>
    <row r="38">
      <c r="A38" s="14" t="s">
        <v>44</v>
      </c>
      <c r="B38" s="31">
        <v>35.0</v>
      </c>
      <c r="C38" s="35" t="s">
        <v>2105</v>
      </c>
      <c r="D38" s="35" t="s">
        <v>4846</v>
      </c>
      <c r="E38" s="51" t="s">
        <v>53</v>
      </c>
      <c r="F38" s="426"/>
      <c r="G38" s="713" t="s">
        <v>12252</v>
      </c>
      <c r="H38" s="722" t="s">
        <v>12258</v>
      </c>
      <c r="L38" s="89"/>
      <c r="M38" s="89" t="str">
        <f t="shared" si="1"/>
        <v>rep.jerry.sexton@capitol.tn.gov</v>
      </c>
      <c r="N38" s="89"/>
      <c r="O38" s="89"/>
      <c r="P38" s="89"/>
      <c r="Q38" s="89"/>
      <c r="R38" s="89"/>
      <c r="V38" t="str">
        <f t="shared" si="2"/>
        <v>Representative</v>
      </c>
      <c r="W38" s="35" t="s">
        <v>4846</v>
      </c>
      <c r="X38" t="str">
        <f t="shared" si="3"/>
        <v>rep.jerry.sexton@capitol.tn.gov</v>
      </c>
    </row>
    <row r="39">
      <c r="A39" s="14" t="s">
        <v>44</v>
      </c>
      <c r="B39" s="31">
        <v>36.0</v>
      </c>
      <c r="C39" s="35" t="s">
        <v>2194</v>
      </c>
      <c r="D39" s="35" t="s">
        <v>12396</v>
      </c>
      <c r="E39" s="51" t="s">
        <v>53</v>
      </c>
      <c r="F39" s="426"/>
      <c r="G39" s="713" t="s">
        <v>12397</v>
      </c>
      <c r="H39" s="722" t="s">
        <v>12402</v>
      </c>
      <c r="L39" s="89"/>
      <c r="M39" s="89" t="str">
        <f t="shared" si="1"/>
        <v>rep.dennis.powers@capitol.tn.gov</v>
      </c>
      <c r="N39" s="89"/>
      <c r="O39" s="89"/>
      <c r="P39" s="89"/>
      <c r="Q39" s="89"/>
      <c r="R39" s="89"/>
      <c r="V39" t="str">
        <f t="shared" si="2"/>
        <v>Representative</v>
      </c>
      <c r="W39" s="35" t="s">
        <v>12396</v>
      </c>
      <c r="X39" t="str">
        <f t="shared" si="3"/>
        <v>rep.dennis.powers@capitol.tn.gov</v>
      </c>
    </row>
    <row r="40">
      <c r="A40" s="14" t="s">
        <v>44</v>
      </c>
      <c r="B40" s="31">
        <v>37.0</v>
      </c>
      <c r="C40" s="38" t="s">
        <v>2746</v>
      </c>
      <c r="D40" s="38" t="s">
        <v>12403</v>
      </c>
      <c r="E40" s="51" t="s">
        <v>53</v>
      </c>
      <c r="F40" s="426"/>
      <c r="G40" s="713" t="s">
        <v>12301</v>
      </c>
      <c r="H40" s="713" t="s">
        <v>12301</v>
      </c>
      <c r="L40" s="89"/>
      <c r="M40" s="89" t="str">
        <f t="shared" si="1"/>
        <v>rep.charlie.baum@capitol.tn.gov</v>
      </c>
      <c r="N40" s="89"/>
      <c r="O40" s="89"/>
      <c r="P40" s="89"/>
      <c r="Q40" s="89"/>
      <c r="R40" s="89"/>
      <c r="V40" t="str">
        <f t="shared" si="2"/>
        <v>Representative</v>
      </c>
      <c r="W40" s="38" t="s">
        <v>12403</v>
      </c>
      <c r="X40" t="str">
        <f t="shared" si="3"/>
        <v>rep.charlie.baum@capitol.tn.gov</v>
      </c>
    </row>
    <row r="41">
      <c r="A41" s="14" t="s">
        <v>44</v>
      </c>
      <c r="B41" s="31">
        <v>38.0</v>
      </c>
      <c r="C41" s="35" t="s">
        <v>130</v>
      </c>
      <c r="D41" s="35" t="s">
        <v>12420</v>
      </c>
      <c r="E41" s="51" t="s">
        <v>53</v>
      </c>
      <c r="F41" s="426"/>
      <c r="G41" s="713" t="s">
        <v>12234</v>
      </c>
      <c r="H41" s="713" t="s">
        <v>12248</v>
      </c>
      <c r="L41" s="89"/>
      <c r="M41" s="89" t="str">
        <f t="shared" si="1"/>
        <v>rep.kelly.keisling@capitol.tn.gov</v>
      </c>
      <c r="N41" s="89"/>
      <c r="O41" s="89"/>
      <c r="P41" s="89"/>
      <c r="Q41" s="89"/>
      <c r="R41" s="89"/>
      <c r="V41" t="str">
        <f t="shared" si="2"/>
        <v>Representative</v>
      </c>
      <c r="W41" s="35" t="s">
        <v>12420</v>
      </c>
      <c r="X41" t="str">
        <f t="shared" si="3"/>
        <v>rep.kelly.keisling@capitol.tn.gov</v>
      </c>
    </row>
    <row r="42">
      <c r="A42" s="14" t="s">
        <v>44</v>
      </c>
      <c r="B42" s="31">
        <v>39.0</v>
      </c>
      <c r="C42" s="38" t="s">
        <v>4545</v>
      </c>
      <c r="D42" s="38" t="s">
        <v>12423</v>
      </c>
      <c r="E42" s="51" t="s">
        <v>53</v>
      </c>
      <c r="F42" s="426"/>
      <c r="G42" s="713" t="s">
        <v>781</v>
      </c>
      <c r="H42" s="713" t="s">
        <v>12431</v>
      </c>
      <c r="L42" s="89"/>
      <c r="M42" s="89" t="str">
        <f t="shared" si="1"/>
        <v>rep.iris.rudder@capitol.tn.gov</v>
      </c>
      <c r="N42" s="89"/>
      <c r="O42" s="89"/>
      <c r="P42" s="89"/>
      <c r="Q42" s="89"/>
      <c r="R42" s="89"/>
      <c r="V42" t="str">
        <f t="shared" si="2"/>
        <v>Representative</v>
      </c>
      <c r="W42" s="38" t="s">
        <v>12423</v>
      </c>
      <c r="X42" t="str">
        <f t="shared" si="3"/>
        <v>rep.iris.rudder@capitol.tn.gov</v>
      </c>
    </row>
    <row r="43">
      <c r="A43" s="14" t="s">
        <v>44</v>
      </c>
      <c r="B43" s="31">
        <v>40.0</v>
      </c>
      <c r="C43" s="35" t="s">
        <v>134</v>
      </c>
      <c r="D43" s="35" t="s">
        <v>481</v>
      </c>
      <c r="E43" s="51" t="s">
        <v>53</v>
      </c>
      <c r="F43" s="426"/>
      <c r="G43" s="713" t="s">
        <v>12285</v>
      </c>
      <c r="K43" s="14" t="s">
        <v>12444</v>
      </c>
      <c r="L43" s="223" t="s">
        <v>12445</v>
      </c>
      <c r="M43" s="89" t="str">
        <f t="shared" si="1"/>
        <v>rep.terri.weaver@capitol.tn.gov</v>
      </c>
      <c r="N43" s="89"/>
      <c r="O43" s="89"/>
      <c r="P43" s="89"/>
      <c r="Q43" s="89"/>
      <c r="R43" s="89"/>
      <c r="V43" t="str">
        <f t="shared" si="2"/>
        <v>Representative</v>
      </c>
      <c r="W43" s="35" t="s">
        <v>481</v>
      </c>
      <c r="X43" t="str">
        <f t="shared" si="3"/>
        <v>rep.terri.weaver@capitol.tn.gov</v>
      </c>
    </row>
    <row r="44">
      <c r="A44" s="14" t="s">
        <v>44</v>
      </c>
      <c r="B44" s="31">
        <v>41.0</v>
      </c>
      <c r="C44" s="35" t="s">
        <v>278</v>
      </c>
      <c r="D44" s="35" t="s">
        <v>12446</v>
      </c>
      <c r="E44" s="36" t="s">
        <v>49</v>
      </c>
      <c r="F44" s="426"/>
      <c r="G44" s="713" t="s">
        <v>12232</v>
      </c>
      <c r="H44" s="713" t="s">
        <v>12296</v>
      </c>
      <c r="L44" s="89"/>
      <c r="M44" s="89" t="str">
        <f t="shared" si="1"/>
        <v>rep.john.windle@capitol.tn.gov</v>
      </c>
      <c r="N44" s="89"/>
      <c r="O44" s="89"/>
      <c r="P44" s="89"/>
      <c r="Q44" s="89"/>
      <c r="R44" s="89"/>
      <c r="V44" t="str">
        <f t="shared" si="2"/>
        <v>Representative</v>
      </c>
      <c r="W44" s="35" t="s">
        <v>12446</v>
      </c>
      <c r="X44" t="str">
        <f t="shared" si="3"/>
        <v>rep.john.windle@capitol.tn.gov</v>
      </c>
    </row>
    <row r="45">
      <c r="A45" s="14" t="s">
        <v>44</v>
      </c>
      <c r="B45" s="31">
        <v>42.0</v>
      </c>
      <c r="C45" s="35" t="s">
        <v>2780</v>
      </c>
      <c r="D45" s="35" t="s">
        <v>793</v>
      </c>
      <c r="E45" s="51" t="s">
        <v>53</v>
      </c>
      <c r="F45" s="426"/>
      <c r="G45" s="713" t="s">
        <v>12348</v>
      </c>
      <c r="L45" s="89"/>
      <c r="M45" s="89" t="str">
        <f t="shared" si="1"/>
        <v>rep.ryan.williams@capitol.tn.gov</v>
      </c>
      <c r="N45" s="89"/>
      <c r="O45" s="89"/>
      <c r="P45" s="89"/>
      <c r="Q45" s="89"/>
      <c r="R45" s="89"/>
      <c r="V45" t="str">
        <f t="shared" si="2"/>
        <v>Representative</v>
      </c>
      <c r="W45" s="35" t="s">
        <v>793</v>
      </c>
      <c r="X45" t="str">
        <f t="shared" si="3"/>
        <v>rep.ryan.williams@capitol.tn.gov</v>
      </c>
    </row>
    <row r="46">
      <c r="A46" s="14" t="s">
        <v>44</v>
      </c>
      <c r="B46" s="31">
        <v>43.0</v>
      </c>
      <c r="C46" s="38" t="s">
        <v>679</v>
      </c>
      <c r="D46" s="38" t="s">
        <v>12457</v>
      </c>
      <c r="E46" s="51" t="s">
        <v>53</v>
      </c>
      <c r="F46" s="426"/>
      <c r="G46" s="713" t="s">
        <v>781</v>
      </c>
      <c r="H46" s="713"/>
      <c r="L46" s="89"/>
      <c r="M46" s="89" t="str">
        <f t="shared" si="1"/>
        <v>rep.paul.sherrell@capitol.tn.gov</v>
      </c>
      <c r="N46" s="89"/>
      <c r="O46" s="89"/>
      <c r="P46" s="89"/>
      <c r="Q46" s="89"/>
      <c r="R46" s="89"/>
      <c r="V46" t="str">
        <f t="shared" si="2"/>
        <v>Representative</v>
      </c>
      <c r="W46" s="38" t="s">
        <v>12457</v>
      </c>
      <c r="X46" t="str">
        <f t="shared" si="3"/>
        <v>rep.paul.sherrell@capitol.tn.gov</v>
      </c>
    </row>
    <row r="47">
      <c r="A47" s="14" t="s">
        <v>44</v>
      </c>
      <c r="B47" s="31">
        <v>44.0</v>
      </c>
      <c r="C47" s="35" t="s">
        <v>1058</v>
      </c>
      <c r="D47" s="35" t="s">
        <v>12469</v>
      </c>
      <c r="E47" s="51" t="s">
        <v>53</v>
      </c>
      <c r="F47" s="126" t="s">
        <v>176</v>
      </c>
      <c r="G47" s="713" t="s">
        <v>781</v>
      </c>
      <c r="H47" s="713" t="s">
        <v>12296</v>
      </c>
      <c r="I47" s="713" t="s">
        <v>12475</v>
      </c>
      <c r="L47" s="89"/>
      <c r="M47" s="89" t="str">
        <f t="shared" si="1"/>
        <v>rep.william.lamberth@capitol.tn.gov</v>
      </c>
      <c r="N47" s="89"/>
      <c r="O47" s="89"/>
      <c r="P47" s="89"/>
      <c r="Q47" s="89"/>
      <c r="R47" s="89"/>
      <c r="V47" t="str">
        <f t="shared" si="2"/>
        <v>Representative</v>
      </c>
      <c r="W47" s="35" t="s">
        <v>12469</v>
      </c>
      <c r="X47" t="str">
        <f t="shared" si="3"/>
        <v>rep.william.lamberth@capitol.tn.gov</v>
      </c>
    </row>
    <row r="48">
      <c r="A48" s="14" t="s">
        <v>44</v>
      </c>
      <c r="B48" s="31">
        <v>45.0</v>
      </c>
      <c r="C48" s="38" t="s">
        <v>1421</v>
      </c>
      <c r="D48" s="38" t="s">
        <v>463</v>
      </c>
      <c r="E48" s="51" t="s">
        <v>53</v>
      </c>
      <c r="F48" s="426"/>
      <c r="G48" s="713" t="s">
        <v>12479</v>
      </c>
      <c r="H48" s="713" t="s">
        <v>12333</v>
      </c>
      <c r="L48" s="89"/>
      <c r="M48" s="89" t="str">
        <f t="shared" si="1"/>
        <v>rep.johnny.garrett@capitol.tn.gov</v>
      </c>
      <c r="N48" s="89"/>
      <c r="O48" s="89"/>
      <c r="P48" s="89"/>
      <c r="Q48" s="89"/>
      <c r="R48" s="89"/>
      <c r="V48" t="str">
        <f t="shared" si="2"/>
        <v>Representative</v>
      </c>
      <c r="W48" s="38" t="s">
        <v>463</v>
      </c>
      <c r="X48" t="str">
        <f t="shared" si="3"/>
        <v>rep.johnny.garrett@capitol.tn.gov</v>
      </c>
    </row>
    <row r="49">
      <c r="A49" s="14" t="s">
        <v>44</v>
      </c>
      <c r="B49" s="31">
        <v>46.0</v>
      </c>
      <c r="C49" s="78" t="s">
        <v>2063</v>
      </c>
      <c r="D49" s="78" t="s">
        <v>388</v>
      </c>
      <c r="E49" s="51" t="s">
        <v>53</v>
      </c>
      <c r="F49" s="426"/>
      <c r="G49" s="713" t="s">
        <v>12232</v>
      </c>
      <c r="H49" s="713" t="s">
        <v>12491</v>
      </c>
      <c r="L49" s="89"/>
      <c r="M49" s="89" t="str">
        <f t="shared" si="1"/>
        <v>rep.clark.boyd@capitol.tn.gov</v>
      </c>
      <c r="N49" s="89"/>
      <c r="O49" s="89"/>
      <c r="P49" s="89"/>
      <c r="Q49" s="89"/>
      <c r="R49" s="89"/>
      <c r="V49" t="str">
        <f t="shared" si="2"/>
        <v>Representative</v>
      </c>
      <c r="W49" s="78" t="s">
        <v>388</v>
      </c>
      <c r="X49" t="str">
        <f t="shared" si="3"/>
        <v>rep.clark.boyd@capitol.tn.gov</v>
      </c>
    </row>
    <row r="50">
      <c r="A50" s="14" t="s">
        <v>44</v>
      </c>
      <c r="B50" s="31">
        <v>47.0</v>
      </c>
      <c r="C50" s="38" t="s">
        <v>4690</v>
      </c>
      <c r="D50" s="38" t="s">
        <v>12493</v>
      </c>
      <c r="E50" s="51" t="s">
        <v>53</v>
      </c>
      <c r="F50" s="426"/>
      <c r="G50" s="713" t="s">
        <v>12234</v>
      </c>
      <c r="H50" s="713" t="s">
        <v>12248</v>
      </c>
      <c r="L50" s="89"/>
      <c r="M50" s="89" t="str">
        <f t="shared" si="1"/>
        <v>rep.rush.bricken@capitol.tn.gov</v>
      </c>
      <c r="N50" s="89"/>
      <c r="O50" s="89"/>
      <c r="P50" s="89"/>
      <c r="Q50" s="89"/>
      <c r="R50" s="89"/>
      <c r="V50" t="str">
        <f t="shared" si="2"/>
        <v>Representative</v>
      </c>
      <c r="W50" s="38" t="s">
        <v>12493</v>
      </c>
      <c r="X50" t="str">
        <f t="shared" si="3"/>
        <v>rep.rush.bricken@capitol.tn.gov</v>
      </c>
    </row>
    <row r="51">
      <c r="A51" s="14" t="s">
        <v>44</v>
      </c>
      <c r="B51" s="31">
        <v>48.0</v>
      </c>
      <c r="C51" s="35" t="s">
        <v>2775</v>
      </c>
      <c r="D51" s="35" t="s">
        <v>1990</v>
      </c>
      <c r="E51" s="51" t="s">
        <v>53</v>
      </c>
      <c r="F51" s="426"/>
      <c r="G51" s="713" t="s">
        <v>12506</v>
      </c>
      <c r="H51" s="713" t="s">
        <v>12252</v>
      </c>
      <c r="L51" s="89"/>
      <c r="M51" s="89" t="str">
        <f t="shared" si="1"/>
        <v>rep.bryan.terry@capitol.tn.gov</v>
      </c>
      <c r="N51" s="89"/>
      <c r="O51" s="89"/>
      <c r="P51" s="89"/>
      <c r="Q51" s="89"/>
      <c r="R51" s="89"/>
      <c r="V51" t="str">
        <f t="shared" si="2"/>
        <v>Representative</v>
      </c>
      <c r="W51" s="35" t="s">
        <v>1990</v>
      </c>
      <c r="X51" t="str">
        <f t="shared" si="3"/>
        <v>rep.bryan.terry@capitol.tn.gov</v>
      </c>
    </row>
    <row r="52">
      <c r="A52" s="14" t="s">
        <v>44</v>
      </c>
      <c r="B52" s="31">
        <v>49.0</v>
      </c>
      <c r="C52" s="35" t="s">
        <v>157</v>
      </c>
      <c r="D52" s="35" t="s">
        <v>8438</v>
      </c>
      <c r="E52" s="51" t="s">
        <v>53</v>
      </c>
      <c r="F52" s="426"/>
      <c r="G52" s="713" t="s">
        <v>12402</v>
      </c>
      <c r="H52" s="713" t="s">
        <v>12519</v>
      </c>
      <c r="L52" s="89"/>
      <c r="M52" s="89" t="str">
        <f t="shared" si="1"/>
        <v>rep.mike.sparks@capitol.tn.gov</v>
      </c>
      <c r="N52" s="89"/>
      <c r="O52" s="89"/>
      <c r="P52" s="89"/>
      <c r="Q52" s="89"/>
      <c r="R52" s="89"/>
      <c r="V52" t="str">
        <f t="shared" si="2"/>
        <v>Representative</v>
      </c>
      <c r="W52" s="35" t="s">
        <v>8438</v>
      </c>
      <c r="X52" t="str">
        <f t="shared" si="3"/>
        <v>rep.mike.sparks@capitol.tn.gov</v>
      </c>
    </row>
    <row r="53">
      <c r="A53" s="14" t="s">
        <v>44</v>
      </c>
      <c r="B53" s="31">
        <v>50.0</v>
      </c>
      <c r="C53" s="35" t="s">
        <v>12520</v>
      </c>
      <c r="D53" s="35" t="s">
        <v>2206</v>
      </c>
      <c r="E53" s="36" t="s">
        <v>49</v>
      </c>
      <c r="F53" s="126"/>
      <c r="G53" s="713" t="s">
        <v>781</v>
      </c>
      <c r="L53" s="89"/>
      <c r="M53" s="89" t="str">
        <f t="shared" si="1"/>
        <v>rep.bo.mitchell@capitol.tn.gov</v>
      </c>
      <c r="N53" s="89"/>
      <c r="O53" s="89"/>
      <c r="P53" s="89"/>
      <c r="Q53" s="89"/>
      <c r="R53" s="89"/>
      <c r="V53" t="str">
        <f t="shared" si="2"/>
        <v>Representative</v>
      </c>
      <c r="W53" s="35" t="s">
        <v>2206</v>
      </c>
      <c r="X53" t="str">
        <f t="shared" si="3"/>
        <v>rep.bo.mitchell@capitol.tn.gov</v>
      </c>
    </row>
    <row r="54">
      <c r="A54" s="14" t="s">
        <v>44</v>
      </c>
      <c r="B54" s="31">
        <v>51.0</v>
      </c>
      <c r="C54" s="35" t="s">
        <v>325</v>
      </c>
      <c r="D54" s="35" t="s">
        <v>1494</v>
      </c>
      <c r="E54" s="36" t="s">
        <v>49</v>
      </c>
      <c r="F54" s="426"/>
      <c r="G54" s="713" t="s">
        <v>781</v>
      </c>
      <c r="H54" s="713" t="s">
        <v>12333</v>
      </c>
      <c r="L54" s="89"/>
      <c r="M54" s="89" t="str">
        <f t="shared" si="1"/>
        <v>rep.bill.beck@capitol.tn.gov</v>
      </c>
      <c r="N54" s="89"/>
      <c r="O54" s="89"/>
      <c r="P54" s="89"/>
      <c r="Q54" s="89"/>
      <c r="R54" s="89"/>
      <c r="V54" t="str">
        <f t="shared" si="2"/>
        <v>Representative</v>
      </c>
      <c r="W54" s="35" t="s">
        <v>1494</v>
      </c>
      <c r="X54" t="str">
        <f t="shared" si="3"/>
        <v>rep.bill.beck@capitol.tn.gov</v>
      </c>
    </row>
    <row r="55">
      <c r="A55" s="14" t="s">
        <v>44</v>
      </c>
      <c r="B55" s="31">
        <v>52.0</v>
      </c>
      <c r="C55" s="35" t="s">
        <v>157</v>
      </c>
      <c r="D55" s="35" t="s">
        <v>3220</v>
      </c>
      <c r="E55" s="36" t="s">
        <v>49</v>
      </c>
      <c r="F55" s="126" t="s">
        <v>2029</v>
      </c>
      <c r="G55" s="713" t="s">
        <v>12348</v>
      </c>
      <c r="L55" s="89"/>
      <c r="M55" s="89" t="str">
        <f t="shared" si="1"/>
        <v>rep.mike.stewart@capitol.tn.gov</v>
      </c>
      <c r="N55" s="89"/>
      <c r="O55" s="89"/>
      <c r="P55" s="89"/>
      <c r="Q55" s="89"/>
      <c r="R55" s="89"/>
      <c r="V55" t="str">
        <f t="shared" si="2"/>
        <v>Representative</v>
      </c>
      <c r="W55" s="35" t="s">
        <v>3220</v>
      </c>
      <c r="X55" t="str">
        <f t="shared" si="3"/>
        <v>rep.mike.stewart@capitol.tn.gov</v>
      </c>
    </row>
    <row r="56">
      <c r="A56" s="14" t="s">
        <v>44</v>
      </c>
      <c r="B56" s="31">
        <v>53.0</v>
      </c>
      <c r="C56" s="35" t="s">
        <v>1231</v>
      </c>
      <c r="D56" s="35" t="s">
        <v>3264</v>
      </c>
      <c r="E56" s="36" t="s">
        <v>49</v>
      </c>
      <c r="F56" s="126" t="s">
        <v>2004</v>
      </c>
      <c r="G56" s="713" t="s">
        <v>12234</v>
      </c>
      <c r="L56" s="223" t="s">
        <v>12549</v>
      </c>
      <c r="M56" s="89" t="str">
        <f t="shared" si="1"/>
        <v>rep.jason.powell@capitol.tn.gov</v>
      </c>
      <c r="N56" s="89"/>
      <c r="O56" s="89"/>
      <c r="P56" s="89"/>
      <c r="Q56" s="89"/>
      <c r="R56" s="89"/>
      <c r="V56" t="str">
        <f t="shared" si="2"/>
        <v>Representative</v>
      </c>
      <c r="W56" s="35" t="s">
        <v>3264</v>
      </c>
      <c r="X56" t="str">
        <f t="shared" si="3"/>
        <v>rep.jason.powell@capitol.tn.gov</v>
      </c>
    </row>
    <row r="57">
      <c r="A57" s="14" t="s">
        <v>44</v>
      </c>
      <c r="B57" s="31">
        <v>54.0</v>
      </c>
      <c r="C57" s="38" t="s">
        <v>2635</v>
      </c>
      <c r="D57" s="38" t="s">
        <v>12550</v>
      </c>
      <c r="E57" s="36" t="s">
        <v>49</v>
      </c>
      <c r="F57" s="426"/>
      <c r="G57" s="713" t="s">
        <v>12252</v>
      </c>
      <c r="H57" s="713" t="s">
        <v>12258</v>
      </c>
      <c r="L57" s="89"/>
      <c r="M57" s="89" t="str">
        <f t="shared" si="1"/>
        <v>rep.vincent.dixie@capitol.tn.gov</v>
      </c>
      <c r="N57" s="89"/>
      <c r="O57" s="89"/>
      <c r="P57" s="89"/>
      <c r="Q57" s="89"/>
      <c r="R57" s="89"/>
      <c r="V57" t="str">
        <f t="shared" si="2"/>
        <v>Representative</v>
      </c>
      <c r="W57" s="38" t="s">
        <v>12550</v>
      </c>
      <c r="X57" t="str">
        <f t="shared" si="3"/>
        <v>rep.vincent.dixie@capitol.tn.gov</v>
      </c>
    </row>
    <row r="58">
      <c r="A58" s="14" t="s">
        <v>44</v>
      </c>
      <c r="B58" s="31">
        <v>55.0</v>
      </c>
      <c r="C58" s="35" t="s">
        <v>278</v>
      </c>
      <c r="D58" s="35" t="s">
        <v>9824</v>
      </c>
      <c r="E58" s="36" t="s">
        <v>49</v>
      </c>
      <c r="F58" s="426"/>
      <c r="G58" s="713" t="s">
        <v>12559</v>
      </c>
      <c r="L58" s="89"/>
      <c r="M58" s="89" t="str">
        <f t="shared" si="1"/>
        <v>rep.john.clemmons@capitol.tn.gov</v>
      </c>
      <c r="N58" s="89"/>
      <c r="O58" s="89"/>
      <c r="P58" s="89"/>
      <c r="Q58" s="89"/>
      <c r="R58" s="89"/>
      <c r="V58" t="str">
        <f t="shared" si="2"/>
        <v>Representative</v>
      </c>
      <c r="W58" s="35" t="s">
        <v>9824</v>
      </c>
      <c r="X58" t="str">
        <f t="shared" si="3"/>
        <v>rep.john.clemmons@capitol.tn.gov</v>
      </c>
    </row>
    <row r="59">
      <c r="A59" s="14" t="s">
        <v>44</v>
      </c>
      <c r="B59" s="31">
        <v>56.0</v>
      </c>
      <c r="C59" s="38" t="s">
        <v>419</v>
      </c>
      <c r="D59" s="38" t="s">
        <v>4879</v>
      </c>
      <c r="E59" s="36" t="s">
        <v>49</v>
      </c>
      <c r="F59" s="426"/>
      <c r="G59" s="713" t="s">
        <v>12259</v>
      </c>
      <c r="L59" s="89"/>
      <c r="M59" s="89" t="str">
        <f t="shared" si="1"/>
        <v>rep.bob.freeman@capitol.tn.gov</v>
      </c>
      <c r="N59" s="89"/>
      <c r="O59" s="89"/>
      <c r="P59" s="89"/>
      <c r="Q59" s="89"/>
      <c r="R59" s="89"/>
      <c r="V59" t="str">
        <f t="shared" si="2"/>
        <v>Representative</v>
      </c>
      <c r="W59" s="38" t="s">
        <v>4879</v>
      </c>
      <c r="X59" t="str">
        <f t="shared" si="3"/>
        <v>rep.bob.freeman@capitol.tn.gov</v>
      </c>
    </row>
    <row r="60">
      <c r="A60" s="14" t="s">
        <v>44</v>
      </c>
      <c r="B60" s="31">
        <v>57.0</v>
      </c>
      <c r="C60" s="35" t="s">
        <v>1446</v>
      </c>
      <c r="D60" s="35" t="s">
        <v>66</v>
      </c>
      <c r="E60" s="51" t="s">
        <v>53</v>
      </c>
      <c r="F60" s="426"/>
      <c r="G60" s="713" t="s">
        <v>12290</v>
      </c>
      <c r="L60" s="223" t="s">
        <v>12574</v>
      </c>
      <c r="M60" s="89" t="str">
        <f t="shared" si="1"/>
        <v>rep.susan.lynn@capitol.tn.gov</v>
      </c>
      <c r="N60" s="89"/>
      <c r="O60" s="89"/>
      <c r="P60" s="89"/>
      <c r="Q60" s="89"/>
      <c r="R60" s="89"/>
      <c r="V60" t="str">
        <f t="shared" si="2"/>
        <v>Representative</v>
      </c>
      <c r="W60" s="35" t="s">
        <v>66</v>
      </c>
      <c r="X60" t="str">
        <f t="shared" si="3"/>
        <v>rep.susan.lynn@capitol.tn.gov</v>
      </c>
    </row>
    <row r="61">
      <c r="A61" s="14" t="s">
        <v>44</v>
      </c>
      <c r="B61" s="31">
        <v>58.0</v>
      </c>
      <c r="C61" s="35" t="s">
        <v>4516</v>
      </c>
      <c r="D61" s="38" t="s">
        <v>1235</v>
      </c>
      <c r="E61" s="36" t="s">
        <v>49</v>
      </c>
      <c r="F61" s="126" t="s">
        <v>3469</v>
      </c>
      <c r="G61" s="713" t="s">
        <v>12234</v>
      </c>
      <c r="H61" s="713" t="s">
        <v>12248</v>
      </c>
      <c r="L61" s="89"/>
      <c r="M61" s="89" t="str">
        <f t="shared" si="1"/>
        <v>rep.harold.love@capitol.tn.gov</v>
      </c>
      <c r="N61" s="89"/>
      <c r="O61" s="89"/>
      <c r="P61" s="89"/>
      <c r="Q61" s="89"/>
      <c r="R61" s="89"/>
      <c r="V61" t="str">
        <f t="shared" si="2"/>
        <v>Representative</v>
      </c>
      <c r="W61" s="38" t="s">
        <v>1235</v>
      </c>
      <c r="X61" t="str">
        <f t="shared" si="3"/>
        <v>rep.harold.love@capitol.tn.gov</v>
      </c>
    </row>
    <row r="62">
      <c r="A62" s="14" t="s">
        <v>44</v>
      </c>
      <c r="B62" s="31">
        <v>59.0</v>
      </c>
      <c r="C62" s="38" t="s">
        <v>1231</v>
      </c>
      <c r="D62" s="38" t="s">
        <v>9874</v>
      </c>
      <c r="E62" s="36" t="s">
        <v>49</v>
      </c>
      <c r="F62" s="426"/>
      <c r="G62" s="713" t="s">
        <v>781</v>
      </c>
      <c r="H62" s="713" t="s">
        <v>12590</v>
      </c>
      <c r="L62" s="89"/>
      <c r="M62" s="89" t="str">
        <f t="shared" si="1"/>
        <v>rep.jason.potts@capitol.tn.gov</v>
      </c>
      <c r="N62" s="89"/>
      <c r="O62" s="89"/>
      <c r="P62" s="89"/>
      <c r="Q62" s="89"/>
      <c r="R62" s="89"/>
      <c r="V62" t="str">
        <f t="shared" si="2"/>
        <v>Representative</v>
      </c>
      <c r="W62" s="38" t="s">
        <v>9874</v>
      </c>
      <c r="X62" t="str">
        <f t="shared" si="3"/>
        <v>rep.jason.potts@capitol.tn.gov</v>
      </c>
    </row>
    <row r="63">
      <c r="A63" s="14" t="s">
        <v>44</v>
      </c>
      <c r="B63" s="31">
        <v>60.0</v>
      </c>
      <c r="C63" s="35" t="s">
        <v>3375</v>
      </c>
      <c r="D63" s="35" t="s">
        <v>12598</v>
      </c>
      <c r="E63" s="36" t="s">
        <v>49</v>
      </c>
      <c r="F63" s="426"/>
      <c r="G63" s="713" t="s">
        <v>12258</v>
      </c>
      <c r="L63" s="89"/>
      <c r="M63" s="89" t="str">
        <f t="shared" si="1"/>
        <v>rep.darren.jernigan@capitol.tn.gov</v>
      </c>
      <c r="N63" s="89"/>
      <c r="O63" s="89"/>
      <c r="P63" s="89"/>
      <c r="Q63" s="89"/>
      <c r="R63" s="89"/>
      <c r="V63" t="str">
        <f t="shared" si="2"/>
        <v>Representative</v>
      </c>
      <c r="W63" s="35" t="s">
        <v>12598</v>
      </c>
      <c r="X63" t="str">
        <f t="shared" si="3"/>
        <v>rep.darren.jernigan@capitol.tn.gov</v>
      </c>
    </row>
    <row r="64">
      <c r="A64" s="14" t="s">
        <v>44</v>
      </c>
      <c r="B64" s="31">
        <v>61.0</v>
      </c>
      <c r="C64" s="38" t="s">
        <v>2500</v>
      </c>
      <c r="D64" s="38" t="s">
        <v>12603</v>
      </c>
      <c r="E64" s="51" t="s">
        <v>53</v>
      </c>
      <c r="F64" s="426"/>
      <c r="G64" s="713" t="s">
        <v>781</v>
      </c>
      <c r="L64" s="89"/>
      <c r="M64" s="89" t="str">
        <f t="shared" si="1"/>
        <v>rep.brandon.ogles@capitol.tn.gov</v>
      </c>
      <c r="N64" s="89"/>
      <c r="O64" s="89"/>
      <c r="P64" s="89"/>
      <c r="Q64" s="89"/>
      <c r="R64" s="89"/>
      <c r="V64" t="str">
        <f t="shared" si="2"/>
        <v>Representative</v>
      </c>
      <c r="W64" s="38" t="s">
        <v>12603</v>
      </c>
      <c r="X64" t="str">
        <f t="shared" si="3"/>
        <v>rep.brandon.ogles@capitol.tn.gov</v>
      </c>
    </row>
    <row r="65">
      <c r="A65" s="14" t="s">
        <v>44</v>
      </c>
      <c r="B65" s="31">
        <v>62.0</v>
      </c>
      <c r="C65" s="35" t="s">
        <v>2570</v>
      </c>
      <c r="D65" s="35" t="s">
        <v>902</v>
      </c>
      <c r="E65" s="51" t="s">
        <v>53</v>
      </c>
      <c r="F65" s="426"/>
      <c r="G65" s="713" t="s">
        <v>12241</v>
      </c>
      <c r="H65" s="713" t="s">
        <v>12621</v>
      </c>
      <c r="K65" s="14" t="s">
        <v>12629</v>
      </c>
      <c r="L65" s="89"/>
      <c r="M65" s="89" t="str">
        <f t="shared" si="1"/>
        <v>rep.pat.marsh@capitol.tn.gov</v>
      </c>
      <c r="N65" s="89"/>
      <c r="O65" s="89"/>
      <c r="P65" s="89"/>
      <c r="Q65" s="89"/>
      <c r="R65" s="89"/>
      <c r="V65" t="str">
        <f t="shared" si="2"/>
        <v>Representative</v>
      </c>
      <c r="W65" s="35" t="s">
        <v>902</v>
      </c>
      <c r="X65" t="str">
        <f t="shared" si="3"/>
        <v>rep.pat.marsh@capitol.tn.gov</v>
      </c>
    </row>
    <row r="66">
      <c r="A66" s="14" t="s">
        <v>44</v>
      </c>
      <c r="B66" s="31">
        <v>63.0</v>
      </c>
      <c r="C66" s="35" t="s">
        <v>7931</v>
      </c>
      <c r="D66" s="35" t="s">
        <v>12634</v>
      </c>
      <c r="E66" s="51" t="s">
        <v>53</v>
      </c>
      <c r="F66" s="126" t="s">
        <v>254</v>
      </c>
      <c r="G66" s="713" t="s">
        <v>12232</v>
      </c>
      <c r="L66" s="89"/>
      <c r="M66" s="89" t="str">
        <f t="shared" si="1"/>
        <v>rep.glen.casada@capitol.tn.gov</v>
      </c>
      <c r="N66" s="89"/>
      <c r="O66" s="89"/>
      <c r="P66" s="89"/>
      <c r="Q66" s="89"/>
      <c r="R66" s="89"/>
      <c r="V66" t="str">
        <f t="shared" si="2"/>
        <v>Representative</v>
      </c>
      <c r="W66" s="35" t="s">
        <v>12634</v>
      </c>
      <c r="X66" t="str">
        <f t="shared" si="3"/>
        <v>rep.glen.casada@capitol.tn.gov</v>
      </c>
    </row>
    <row r="67">
      <c r="A67" s="14" t="s">
        <v>44</v>
      </c>
      <c r="B67" s="31">
        <v>64.0</v>
      </c>
      <c r="C67" s="38" t="s">
        <v>45</v>
      </c>
      <c r="D67" s="38" t="s">
        <v>12641</v>
      </c>
      <c r="E67" s="51" t="s">
        <v>53</v>
      </c>
      <c r="F67" s="426"/>
      <c r="G67" s="713" t="s">
        <v>12642</v>
      </c>
      <c r="L67" s="89"/>
      <c r="M67" s="89" t="str">
        <f t="shared" si="1"/>
        <v>rep.scott.cepicky@capitol.tn.gov</v>
      </c>
      <c r="N67" s="89"/>
      <c r="O67" s="89"/>
      <c r="P67" s="89"/>
      <c r="Q67" s="89"/>
      <c r="R67" s="89"/>
      <c r="V67" t="str">
        <f t="shared" si="2"/>
        <v>Representative</v>
      </c>
      <c r="W67" s="38" t="s">
        <v>12641</v>
      </c>
      <c r="X67" t="str">
        <f t="shared" si="3"/>
        <v>rep.scott.cepicky@capitol.tn.gov</v>
      </c>
    </row>
    <row r="68">
      <c r="A68" s="14" t="s">
        <v>44</v>
      </c>
      <c r="B68" s="31">
        <v>65.0</v>
      </c>
      <c r="C68" s="35" t="s">
        <v>224</v>
      </c>
      <c r="D68" s="35" t="s">
        <v>12647</v>
      </c>
      <c r="E68" s="51" t="s">
        <v>53</v>
      </c>
      <c r="F68" s="426"/>
      <c r="G68" s="713" t="s">
        <v>12252</v>
      </c>
      <c r="L68" s="89"/>
      <c r="M68" s="89" t="str">
        <f t="shared" si="1"/>
        <v>rep.sam.whitson@capitol.tn.gov</v>
      </c>
      <c r="N68" s="89"/>
      <c r="O68" s="89"/>
      <c r="P68" s="89"/>
      <c r="Q68" s="89"/>
      <c r="R68" s="89"/>
      <c r="V68" t="str">
        <f t="shared" si="2"/>
        <v>Representative</v>
      </c>
      <c r="W68" s="35" t="s">
        <v>12647</v>
      </c>
      <c r="X68" t="str">
        <f t="shared" si="3"/>
        <v>rep.sam.whitson@capitol.tn.gov</v>
      </c>
    </row>
    <row r="69">
      <c r="A69" s="14" t="s">
        <v>44</v>
      </c>
      <c r="B69" s="31">
        <v>66.0</v>
      </c>
      <c r="C69" s="35" t="s">
        <v>12649</v>
      </c>
      <c r="D69" s="38" t="s">
        <v>12653</v>
      </c>
      <c r="E69" s="51" t="s">
        <v>53</v>
      </c>
      <c r="F69" s="426"/>
      <c r="G69" s="713" t="s">
        <v>12258</v>
      </c>
      <c r="H69" s="713" t="s">
        <v>12340</v>
      </c>
      <c r="L69" s="89"/>
      <c r="M69" s="89" t="str">
        <f t="shared" si="1"/>
        <v>rep.sabi.dockumar@capitol.tn.gov</v>
      </c>
      <c r="N69" s="89"/>
      <c r="O69" s="89"/>
      <c r="P69" s="89"/>
      <c r="Q69" s="89"/>
      <c r="R69" s="89"/>
      <c r="V69" t="str">
        <f t="shared" si="2"/>
        <v>Representative</v>
      </c>
      <c r="W69" s="38" t="s">
        <v>12653</v>
      </c>
      <c r="X69" t="str">
        <f t="shared" si="3"/>
        <v>rep.sabi.dockumar@capitol.tn.gov</v>
      </c>
    </row>
    <row r="70">
      <c r="A70" s="14" t="s">
        <v>44</v>
      </c>
      <c r="B70" s="31">
        <v>67.0</v>
      </c>
      <c r="C70" s="38" t="s">
        <v>1231</v>
      </c>
      <c r="D70" s="38" t="s">
        <v>1429</v>
      </c>
      <c r="E70" s="36" t="s">
        <v>49</v>
      </c>
      <c r="F70" s="426"/>
      <c r="G70" s="713" t="s">
        <v>12662</v>
      </c>
      <c r="L70" s="223" t="s">
        <v>12667</v>
      </c>
      <c r="M70" s="89" t="str">
        <f t="shared" si="1"/>
        <v>rep.jason.hodges@capitol.tn.gov</v>
      </c>
      <c r="N70" s="89"/>
      <c r="O70" s="89"/>
      <c r="P70" s="89"/>
      <c r="Q70" s="89"/>
      <c r="R70" s="89"/>
      <c r="V70" t="str">
        <f t="shared" si="2"/>
        <v>Representative</v>
      </c>
      <c r="W70" s="38" t="s">
        <v>1429</v>
      </c>
      <c r="X70" t="str">
        <f t="shared" si="3"/>
        <v>rep.jason.hodges@capitol.tn.gov</v>
      </c>
    </row>
    <row r="71">
      <c r="A71" s="14" t="s">
        <v>44</v>
      </c>
      <c r="B71" s="31">
        <v>68.0</v>
      </c>
      <c r="C71" s="35" t="s">
        <v>4099</v>
      </c>
      <c r="D71" s="35" t="s">
        <v>118</v>
      </c>
      <c r="E71" s="51" t="s">
        <v>53</v>
      </c>
      <c r="F71" s="426"/>
      <c r="G71" s="713" t="s">
        <v>781</v>
      </c>
      <c r="L71" s="89"/>
      <c r="M71" s="89" t="str">
        <f t="shared" si="1"/>
        <v>rep.curtis.johnson@capitol.tn.gov</v>
      </c>
      <c r="N71" s="89"/>
      <c r="O71" s="89"/>
      <c r="P71" s="89"/>
      <c r="Q71" s="89"/>
      <c r="R71" s="89"/>
      <c r="V71" t="str">
        <f t="shared" si="2"/>
        <v>Representative</v>
      </c>
      <c r="W71" s="35" t="s">
        <v>118</v>
      </c>
      <c r="X71" t="str">
        <f t="shared" si="3"/>
        <v>rep.curtis.johnson@capitol.tn.gov</v>
      </c>
    </row>
    <row r="72">
      <c r="A72" s="14" t="s">
        <v>44</v>
      </c>
      <c r="B72" s="31">
        <v>69.0</v>
      </c>
      <c r="C72" s="38" t="s">
        <v>2490</v>
      </c>
      <c r="D72" s="38" t="s">
        <v>12678</v>
      </c>
      <c r="E72" s="51" t="s">
        <v>53</v>
      </c>
      <c r="F72" s="426"/>
      <c r="G72" s="713" t="s">
        <v>4146</v>
      </c>
      <c r="L72" s="89"/>
      <c r="M72" s="89" t="str">
        <f t="shared" si="1"/>
        <v>rep.michael.curcio@capitol.tn.gov</v>
      </c>
      <c r="N72" s="89"/>
      <c r="O72" s="89"/>
      <c r="P72" s="89"/>
      <c r="Q72" s="89"/>
      <c r="R72" s="89"/>
      <c r="V72" t="str">
        <f t="shared" si="2"/>
        <v>Representative</v>
      </c>
      <c r="W72" s="38" t="s">
        <v>12678</v>
      </c>
      <c r="X72" t="str">
        <f t="shared" si="3"/>
        <v>rep.michael.curcio@capitol.tn.gov</v>
      </c>
    </row>
    <row r="73">
      <c r="A73" s="14" t="s">
        <v>44</v>
      </c>
      <c r="B73" s="31">
        <v>70.0</v>
      </c>
      <c r="C73" s="38" t="s">
        <v>868</v>
      </c>
      <c r="D73" s="38" t="s">
        <v>12679</v>
      </c>
      <c r="E73" s="51" t="s">
        <v>53</v>
      </c>
      <c r="F73" s="426"/>
      <c r="G73" s="713" t="s">
        <v>781</v>
      </c>
      <c r="H73" s="713" t="s">
        <v>12475</v>
      </c>
      <c r="L73" s="89"/>
      <c r="M73" s="89" t="str">
        <f t="shared" si="1"/>
        <v>rep.clay.doggett@capitol.tn.gov</v>
      </c>
      <c r="N73" s="89"/>
      <c r="O73" s="89"/>
      <c r="P73" s="89"/>
      <c r="Q73" s="89"/>
      <c r="R73" s="89"/>
      <c r="V73" t="str">
        <f t="shared" si="2"/>
        <v>Representative</v>
      </c>
      <c r="W73" s="38" t="s">
        <v>12679</v>
      </c>
      <c r="X73" t="str">
        <f t="shared" si="3"/>
        <v>rep.clay.doggett@capitol.tn.gov</v>
      </c>
    </row>
    <row r="74">
      <c r="A74" s="14" t="s">
        <v>44</v>
      </c>
      <c r="B74" s="31">
        <v>71.0</v>
      </c>
      <c r="C74" s="35" t="s">
        <v>108</v>
      </c>
      <c r="D74" s="35" t="s">
        <v>2840</v>
      </c>
      <c r="E74" s="51" t="s">
        <v>53</v>
      </c>
      <c r="F74" s="426"/>
      <c r="G74" s="713" t="s">
        <v>12258</v>
      </c>
      <c r="L74" s="89"/>
      <c r="M74" s="89" t="str">
        <f t="shared" si="1"/>
        <v>rep.david.byrd@capitol.tn.gov</v>
      </c>
      <c r="N74" s="89"/>
      <c r="O74" s="89"/>
      <c r="P74" s="89"/>
      <c r="Q74" s="89"/>
      <c r="R74" s="89"/>
      <c r="V74" t="str">
        <f t="shared" si="2"/>
        <v>Representative</v>
      </c>
      <c r="W74" s="35" t="s">
        <v>2840</v>
      </c>
      <c r="X74" t="str">
        <f t="shared" si="3"/>
        <v>rep.david.byrd@capitol.tn.gov</v>
      </c>
    </row>
    <row r="75">
      <c r="A75" s="14" t="s">
        <v>44</v>
      </c>
      <c r="B75" s="31">
        <v>72.0</v>
      </c>
      <c r="C75" s="38" t="s">
        <v>619</v>
      </c>
      <c r="D75" s="38" t="s">
        <v>12699</v>
      </c>
      <c r="E75" s="51" t="s">
        <v>53</v>
      </c>
      <c r="F75" s="426"/>
      <c r="G75" s="713" t="s">
        <v>12241</v>
      </c>
      <c r="L75" s="89"/>
      <c r="M75" s="89" t="str">
        <f t="shared" si="1"/>
        <v>rep.kirk.haston@capitol.tn.gov</v>
      </c>
      <c r="N75" s="89"/>
      <c r="O75" s="89"/>
      <c r="P75" s="89"/>
      <c r="Q75" s="89"/>
      <c r="R75" s="89"/>
      <c r="V75" t="str">
        <f t="shared" si="2"/>
        <v>Representative</v>
      </c>
      <c r="W75" s="38" t="s">
        <v>12699</v>
      </c>
      <c r="X75" t="str">
        <f t="shared" si="3"/>
        <v>rep.kirk.haston@capitol.tn.gov</v>
      </c>
    </row>
    <row r="76">
      <c r="A76" s="14" t="s">
        <v>44</v>
      </c>
      <c r="B76" s="31">
        <v>73.0</v>
      </c>
      <c r="C76" s="38" t="s">
        <v>173</v>
      </c>
      <c r="D76" s="38" t="s">
        <v>1974</v>
      </c>
      <c r="E76" s="51" t="s">
        <v>53</v>
      </c>
      <c r="F76" s="426"/>
      <c r="G76" s="713" t="s">
        <v>12234</v>
      </c>
      <c r="L76" s="89"/>
      <c r="M76" s="89" t="str">
        <f t="shared" si="1"/>
        <v>rep.chris.todd@capitol.tn.gov</v>
      </c>
      <c r="N76" s="89"/>
      <c r="O76" s="89"/>
      <c r="P76" s="89"/>
      <c r="Q76" s="89"/>
      <c r="R76" s="89"/>
      <c r="V76" t="str">
        <f t="shared" si="2"/>
        <v>Representative</v>
      </c>
      <c r="W76" s="38" t="s">
        <v>1974</v>
      </c>
      <c r="X76" t="str">
        <f t="shared" si="3"/>
        <v>rep.chris.todd@capitol.tn.gov</v>
      </c>
    </row>
    <row r="77">
      <c r="A77" s="14" t="s">
        <v>44</v>
      </c>
      <c r="B77" s="31">
        <v>74.0</v>
      </c>
      <c r="C77" s="35" t="s">
        <v>1013</v>
      </c>
      <c r="D77" s="35" t="s">
        <v>7963</v>
      </c>
      <c r="E77" s="51" t="s">
        <v>53</v>
      </c>
      <c r="F77" s="426"/>
      <c r="G77" s="713" t="s">
        <v>12348</v>
      </c>
      <c r="L77" s="89"/>
      <c r="M77" s="89" t="str">
        <f t="shared" si="1"/>
        <v>rep.jay.reedy@capitol.tn.gov</v>
      </c>
      <c r="N77" s="89"/>
      <c r="O77" s="89"/>
      <c r="P77" s="89"/>
      <c r="Q77" s="89"/>
      <c r="R77" s="89"/>
      <c r="V77" t="str">
        <f t="shared" si="2"/>
        <v>Representative</v>
      </c>
      <c r="W77" s="35" t="s">
        <v>7963</v>
      </c>
      <c r="X77" t="str">
        <f t="shared" si="3"/>
        <v>rep.jay.reedy@capitol.tn.gov</v>
      </c>
    </row>
    <row r="78">
      <c r="A78" s="14" t="s">
        <v>44</v>
      </c>
      <c r="B78" s="31">
        <v>75.0</v>
      </c>
      <c r="C78" s="38" t="s">
        <v>1193</v>
      </c>
      <c r="D78" s="38" t="s">
        <v>12724</v>
      </c>
      <c r="E78" s="51" t="s">
        <v>53</v>
      </c>
      <c r="F78" s="426"/>
      <c r="G78" s="713" t="s">
        <v>781</v>
      </c>
      <c r="L78" s="89"/>
      <c r="M78" s="89" t="str">
        <f t="shared" si="1"/>
        <v>rep.bruce.griffey@capitol.tn.gov</v>
      </c>
      <c r="N78" s="89"/>
      <c r="O78" s="89"/>
      <c r="P78" s="89"/>
      <c r="Q78" s="89"/>
      <c r="R78" s="89"/>
      <c r="V78" t="str">
        <f t="shared" si="2"/>
        <v>Representative</v>
      </c>
      <c r="W78" s="38" t="s">
        <v>12724</v>
      </c>
      <c r="X78" t="str">
        <f t="shared" si="3"/>
        <v>rep.bruce.griffey@capitol.tn.gov</v>
      </c>
    </row>
    <row r="79">
      <c r="A79" s="14" t="s">
        <v>44</v>
      </c>
      <c r="B79" s="31">
        <v>76.0</v>
      </c>
      <c r="C79" s="35" t="s">
        <v>109</v>
      </c>
      <c r="D79" s="35" t="s">
        <v>3339</v>
      </c>
      <c r="E79" s="51" t="s">
        <v>53</v>
      </c>
      <c r="F79" s="426"/>
      <c r="G79" s="713" t="s">
        <v>12290</v>
      </c>
      <c r="L79" s="89"/>
      <c r="M79" s="89" t="str">
        <f t="shared" si="1"/>
        <v>rep.andy.holt@capitol.tn.gov</v>
      </c>
      <c r="N79" s="89"/>
      <c r="O79" s="89"/>
      <c r="P79" s="89"/>
      <c r="Q79" s="89"/>
      <c r="R79" s="89"/>
      <c r="V79" t="str">
        <f t="shared" si="2"/>
        <v>Representative</v>
      </c>
      <c r="W79" s="35" t="s">
        <v>3339</v>
      </c>
      <c r="X79" t="str">
        <f t="shared" si="3"/>
        <v>rep.andy.holt@capitol.tn.gov</v>
      </c>
    </row>
    <row r="80">
      <c r="A80" s="14" t="s">
        <v>44</v>
      </c>
      <c r="B80" s="31">
        <v>77.0</v>
      </c>
      <c r="C80" s="35" t="s">
        <v>325</v>
      </c>
      <c r="D80" s="35" t="s">
        <v>9918</v>
      </c>
      <c r="E80" s="51" t="s">
        <v>53</v>
      </c>
      <c r="F80" s="426"/>
      <c r="G80" s="713" t="s">
        <v>781</v>
      </c>
      <c r="H80" s="713" t="s">
        <v>12234</v>
      </c>
      <c r="L80" s="89"/>
      <c r="M80" s="89" t="str">
        <f t="shared" si="1"/>
        <v>rep.bill.sanderson@capitol.tn.gov</v>
      </c>
      <c r="N80" s="89"/>
      <c r="O80" s="89"/>
      <c r="P80" s="89"/>
      <c r="Q80" s="89"/>
      <c r="R80" s="89"/>
      <c r="V80" t="str">
        <f t="shared" si="2"/>
        <v>Representative</v>
      </c>
      <c r="W80" s="35" t="s">
        <v>9918</v>
      </c>
      <c r="X80" t="str">
        <f t="shared" si="3"/>
        <v>rep.bill.sanderson@capitol.tn.gov</v>
      </c>
    </row>
    <row r="81">
      <c r="A81" s="14" t="s">
        <v>44</v>
      </c>
      <c r="B81" s="31">
        <v>78.0</v>
      </c>
      <c r="C81" s="35" t="s">
        <v>514</v>
      </c>
      <c r="D81" s="35" t="s">
        <v>1782</v>
      </c>
      <c r="E81" s="51" t="s">
        <v>53</v>
      </c>
      <c r="F81" s="426"/>
      <c r="G81" s="713" t="s">
        <v>781</v>
      </c>
      <c r="H81" s="713" t="s">
        <v>12590</v>
      </c>
      <c r="L81" s="89"/>
      <c r="M81" s="89" t="str">
        <f t="shared" si="1"/>
        <v>rep.mary.littleton@capitol.tn.gov</v>
      </c>
      <c r="N81" s="89"/>
      <c r="O81" s="89"/>
      <c r="P81" s="89"/>
      <c r="Q81" s="89"/>
      <c r="R81" s="89"/>
      <c r="V81" t="str">
        <f t="shared" si="2"/>
        <v>Representative</v>
      </c>
      <c r="W81" s="35" t="s">
        <v>1782</v>
      </c>
      <c r="X81" t="str">
        <f t="shared" si="3"/>
        <v>rep.mary.littleton@capitol.tn.gov</v>
      </c>
    </row>
    <row r="82">
      <c r="A82" s="14" t="s">
        <v>44</v>
      </c>
      <c r="B82" s="31">
        <v>79.0</v>
      </c>
      <c r="C82" s="35" t="s">
        <v>4099</v>
      </c>
      <c r="D82" s="35" t="s">
        <v>12739</v>
      </c>
      <c r="E82" s="51" t="s">
        <v>53</v>
      </c>
      <c r="F82" s="426"/>
      <c r="G82" s="713" t="s">
        <v>12348</v>
      </c>
      <c r="H82" s="713" t="s">
        <v>12232</v>
      </c>
      <c r="L82" s="89"/>
      <c r="M82" s="89" t="str">
        <f t="shared" si="1"/>
        <v>rep.curtis.halford@capitol.tn.gov</v>
      </c>
      <c r="N82" s="89"/>
      <c r="O82" s="89"/>
      <c r="P82" s="89"/>
      <c r="Q82" s="89"/>
      <c r="R82" s="89"/>
      <c r="V82" t="str">
        <f t="shared" si="2"/>
        <v>Representative</v>
      </c>
      <c r="W82" s="35" t="s">
        <v>12739</v>
      </c>
      <c r="X82" t="str">
        <f t="shared" si="3"/>
        <v>rep.curtis.halford@capitol.tn.gov</v>
      </c>
    </row>
    <row r="83">
      <c r="A83" s="14" t="s">
        <v>44</v>
      </c>
      <c r="B83" s="31">
        <v>80.0</v>
      </c>
      <c r="C83" s="35" t="s">
        <v>1421</v>
      </c>
      <c r="D83" s="35" t="s">
        <v>183</v>
      </c>
      <c r="E83" s="36" t="s">
        <v>49</v>
      </c>
      <c r="F83" s="426"/>
      <c r="G83" s="713" t="s">
        <v>12248</v>
      </c>
      <c r="H83" s="713" t="s">
        <v>12234</v>
      </c>
      <c r="L83" s="89"/>
      <c r="M83" s="89" t="str">
        <f t="shared" si="1"/>
        <v>rep.johnny.shaw@capitol.tn.gov</v>
      </c>
      <c r="N83" s="89"/>
      <c r="O83" s="89"/>
      <c r="P83" s="89"/>
      <c r="Q83" s="89"/>
      <c r="R83" s="89"/>
      <c r="V83" t="str">
        <f t="shared" si="2"/>
        <v>Representative</v>
      </c>
      <c r="W83" s="35" t="s">
        <v>183</v>
      </c>
      <c r="X83" t="str">
        <f t="shared" si="3"/>
        <v>rep.johnny.shaw@capitol.tn.gov</v>
      </c>
    </row>
    <row r="84">
      <c r="A84" s="14" t="s">
        <v>44</v>
      </c>
      <c r="B84" s="31">
        <v>81.0</v>
      </c>
      <c r="C84" s="35" t="s">
        <v>2601</v>
      </c>
      <c r="D84" s="35" t="s">
        <v>3416</v>
      </c>
      <c r="E84" s="51" t="s">
        <v>53</v>
      </c>
      <c r="F84" s="426"/>
      <c r="G84" s="713" t="s">
        <v>12744</v>
      </c>
      <c r="L84" s="223" t="s">
        <v>12745</v>
      </c>
      <c r="M84" s="89" t="str">
        <f t="shared" si="1"/>
        <v>rep.debra.moody@capitol.tn.gov</v>
      </c>
      <c r="N84" s="89"/>
      <c r="O84" s="89"/>
      <c r="P84" s="89"/>
      <c r="Q84" s="89"/>
      <c r="R84" s="89"/>
      <c r="V84" t="str">
        <f t="shared" si="2"/>
        <v>Representative</v>
      </c>
      <c r="W84" s="35" t="s">
        <v>3416</v>
      </c>
      <c r="X84" t="str">
        <f t="shared" si="3"/>
        <v>rep.debra.moody@capitol.tn.gov</v>
      </c>
    </row>
    <row r="85">
      <c r="A85" s="14" t="s">
        <v>44</v>
      </c>
      <c r="B85" s="31">
        <v>82.0</v>
      </c>
      <c r="C85" s="38" t="s">
        <v>173</v>
      </c>
      <c r="D85" s="38" t="s">
        <v>12748</v>
      </c>
      <c r="E85" s="51" t="s">
        <v>53</v>
      </c>
      <c r="F85" s="426"/>
      <c r="G85" s="713" t="s">
        <v>12751</v>
      </c>
      <c r="L85" s="89"/>
      <c r="M85" s="89" t="str">
        <f t="shared" si="1"/>
        <v>rep.chris.hurt@capitol.tn.gov</v>
      </c>
      <c r="N85" s="89"/>
      <c r="O85" s="89"/>
      <c r="P85" s="89"/>
      <c r="Q85" s="89"/>
      <c r="R85" s="89"/>
      <c r="V85" t="str">
        <f t="shared" si="2"/>
        <v>Representative</v>
      </c>
      <c r="W85" s="38" t="s">
        <v>12748</v>
      </c>
      <c r="X85" t="str">
        <f t="shared" si="3"/>
        <v>rep.chris.hurt@capitol.tn.gov</v>
      </c>
    </row>
    <row r="86">
      <c r="A86" s="14" t="s">
        <v>44</v>
      </c>
      <c r="B86" s="31">
        <v>83.0</v>
      </c>
      <c r="C86" s="35" t="s">
        <v>91</v>
      </c>
      <c r="D86" s="35" t="s">
        <v>6034</v>
      </c>
      <c r="E86" s="51" t="s">
        <v>53</v>
      </c>
      <c r="F86" s="426"/>
      <c r="G86" s="713" t="s">
        <v>12232</v>
      </c>
      <c r="L86" s="89"/>
      <c r="M86" s="89" t="str">
        <f t="shared" si="1"/>
        <v>rep.mark.white@capitol.tn.gov</v>
      </c>
      <c r="N86" s="89"/>
      <c r="O86" s="89"/>
      <c r="P86" s="89"/>
      <c r="Q86" s="89"/>
      <c r="R86" s="89"/>
      <c r="V86" t="str">
        <f t="shared" si="2"/>
        <v>Representative</v>
      </c>
      <c r="W86" s="35" t="s">
        <v>6034</v>
      </c>
      <c r="X86" t="str">
        <f t="shared" si="3"/>
        <v>rep.mark.white@capitol.tn.gov</v>
      </c>
    </row>
    <row r="87">
      <c r="A87" s="14" t="s">
        <v>44</v>
      </c>
      <c r="B87" s="31">
        <v>84.0</v>
      </c>
      <c r="C87" s="35" t="s">
        <v>622</v>
      </c>
      <c r="D87" s="35" t="s">
        <v>12759</v>
      </c>
      <c r="E87" s="36" t="s">
        <v>49</v>
      </c>
      <c r="F87" s="426"/>
      <c r="G87" s="713" t="s">
        <v>781</v>
      </c>
      <c r="H87" s="713" t="s">
        <v>12333</v>
      </c>
      <c r="L87" s="89"/>
      <c r="M87" s="89" t="str">
        <f t="shared" si="1"/>
        <v>rep.joe.towns@capitol.tn.gov</v>
      </c>
      <c r="N87" s="89"/>
      <c r="O87" s="89"/>
      <c r="P87" s="89"/>
      <c r="Q87" s="89"/>
      <c r="R87" s="89"/>
      <c r="V87" t="str">
        <f t="shared" si="2"/>
        <v>Representative</v>
      </c>
      <c r="W87" s="35" t="s">
        <v>12759</v>
      </c>
      <c r="X87" t="str">
        <f t="shared" si="3"/>
        <v>rep.joe.towns@capitol.tn.gov</v>
      </c>
    </row>
    <row r="88">
      <c r="A88" s="14" t="s">
        <v>44</v>
      </c>
      <c r="B88" s="31">
        <v>85.0</v>
      </c>
      <c r="C88" s="38" t="s">
        <v>386</v>
      </c>
      <c r="D88" s="38" t="s">
        <v>7652</v>
      </c>
      <c r="E88" s="36" t="s">
        <v>49</v>
      </c>
      <c r="F88" s="426"/>
      <c r="G88" s="713" t="s">
        <v>12241</v>
      </c>
      <c r="L88" s="89"/>
      <c r="M88" s="89" t="str">
        <f t="shared" si="1"/>
        <v>rep.jesse.chism@capitol.tn.gov</v>
      </c>
      <c r="N88" s="89"/>
      <c r="O88" s="89"/>
      <c r="P88" s="89"/>
      <c r="Q88" s="89"/>
      <c r="R88" s="89"/>
      <c r="V88" t="str">
        <f t="shared" si="2"/>
        <v>Representative</v>
      </c>
      <c r="W88" s="38" t="s">
        <v>7652</v>
      </c>
      <c r="X88" t="str">
        <f t="shared" si="3"/>
        <v>rep.jesse.chism@capitol.tn.gov</v>
      </c>
    </row>
    <row r="89">
      <c r="A89" s="14" t="s">
        <v>44</v>
      </c>
      <c r="B89" s="31">
        <v>86.0</v>
      </c>
      <c r="C89" s="38" t="s">
        <v>384</v>
      </c>
      <c r="D89" s="38" t="s">
        <v>1336</v>
      </c>
      <c r="E89" s="36" t="s">
        <v>49</v>
      </c>
      <c r="F89" s="426"/>
      <c r="G89" s="722" t="s">
        <v>12258</v>
      </c>
      <c r="L89" s="89"/>
      <c r="M89" s="89" t="str">
        <f t="shared" si="1"/>
        <v>rep.barbara.cooper@capitol.tn.gov</v>
      </c>
      <c r="N89" s="89"/>
      <c r="O89" s="89"/>
      <c r="P89" s="89"/>
      <c r="Q89" s="89"/>
      <c r="R89" s="89"/>
      <c r="V89" t="str">
        <f t="shared" si="2"/>
        <v>Representative</v>
      </c>
      <c r="W89" s="38" t="s">
        <v>1336</v>
      </c>
      <c r="X89" t="str">
        <f t="shared" si="3"/>
        <v>rep.barbara.cooper@capitol.tn.gov</v>
      </c>
    </row>
    <row r="90">
      <c r="A90" s="14" t="s">
        <v>44</v>
      </c>
      <c r="B90" s="31">
        <v>87.0</v>
      </c>
      <c r="C90" s="35" t="s">
        <v>1153</v>
      </c>
      <c r="D90" s="35" t="s">
        <v>12780</v>
      </c>
      <c r="E90" s="36" t="s">
        <v>49</v>
      </c>
      <c r="F90" s="126" t="s">
        <v>498</v>
      </c>
      <c r="G90" s="713" t="s">
        <v>781</v>
      </c>
      <c r="H90" s="722" t="s">
        <v>12296</v>
      </c>
      <c r="L90" s="89"/>
      <c r="M90" s="89" t="str">
        <f t="shared" si="1"/>
        <v>rep.karen.camper@capitol.tn.gov</v>
      </c>
      <c r="N90" s="89"/>
      <c r="O90" s="89"/>
      <c r="P90" s="89"/>
      <c r="Q90" s="89"/>
      <c r="R90" s="89"/>
      <c r="V90" t="str">
        <f t="shared" si="2"/>
        <v>Representative</v>
      </c>
      <c r="W90" s="35" t="s">
        <v>12780</v>
      </c>
      <c r="X90" t="str">
        <f t="shared" si="3"/>
        <v>rep.karen.camper@capitol.tn.gov</v>
      </c>
    </row>
    <row r="91">
      <c r="A91" s="14" t="s">
        <v>44</v>
      </c>
      <c r="B91" s="31">
        <v>88.0</v>
      </c>
      <c r="C91" s="35" t="s">
        <v>839</v>
      </c>
      <c r="D91" s="35" t="s">
        <v>1501</v>
      </c>
      <c r="E91" s="36" t="s">
        <v>49</v>
      </c>
      <c r="F91" s="426"/>
      <c r="G91" s="713" t="s">
        <v>12252</v>
      </c>
      <c r="H91" s="713" t="s">
        <v>12258</v>
      </c>
      <c r="L91" s="89"/>
      <c r="M91" s="89" t="str">
        <f t="shared" si="1"/>
        <v>rep.larry.miller@capitol.tn.gov</v>
      </c>
      <c r="N91" s="89"/>
      <c r="O91" s="89"/>
      <c r="P91" s="89"/>
      <c r="Q91" s="89"/>
      <c r="R91" s="89"/>
      <c r="V91" t="str">
        <f t="shared" si="2"/>
        <v>Representative</v>
      </c>
      <c r="W91" s="35" t="s">
        <v>1501</v>
      </c>
      <c r="X91" t="str">
        <f t="shared" si="3"/>
        <v>rep.larry.miller@capitol.tn.gov</v>
      </c>
    </row>
    <row r="92">
      <c r="A92" s="14" t="s">
        <v>44</v>
      </c>
      <c r="B92" s="31">
        <v>89.0</v>
      </c>
      <c r="C92" s="38" t="s">
        <v>786</v>
      </c>
      <c r="D92" s="38" t="s">
        <v>6434</v>
      </c>
      <c r="E92" s="51" t="s">
        <v>53</v>
      </c>
      <c r="F92" s="426"/>
      <c r="G92" s="713" t="s">
        <v>12348</v>
      </c>
      <c r="H92" s="713" t="s">
        <v>12234</v>
      </c>
      <c r="L92" s="89"/>
      <c r="M92" s="89" t="str">
        <f t="shared" si="1"/>
        <v>rep.justin.lafferty@capitol.tn.gov</v>
      </c>
      <c r="N92" s="89"/>
      <c r="O92" s="89"/>
      <c r="P92" s="89"/>
      <c r="Q92" s="89"/>
      <c r="R92" s="89"/>
      <c r="V92" t="str">
        <f t="shared" si="2"/>
        <v>Representative</v>
      </c>
      <c r="W92" s="38" t="s">
        <v>6434</v>
      </c>
      <c r="X92" t="str">
        <f t="shared" si="3"/>
        <v>rep.justin.lafferty@capitol.tn.gov</v>
      </c>
    </row>
    <row r="93">
      <c r="A93" s="14" t="s">
        <v>44</v>
      </c>
      <c r="B93" s="31">
        <v>90.0</v>
      </c>
      <c r="C93" s="35" t="s">
        <v>278</v>
      </c>
      <c r="D93" s="35" t="s">
        <v>12790</v>
      </c>
      <c r="E93" s="36" t="s">
        <v>49</v>
      </c>
      <c r="F93" s="126" t="s">
        <v>12791</v>
      </c>
      <c r="H93" s="722" t="s">
        <v>12296</v>
      </c>
      <c r="L93" s="223" t="s">
        <v>12795</v>
      </c>
      <c r="M93" s="89" t="str">
        <f t="shared" si="1"/>
        <v>rep.john.deberry@capitol.tn.gov</v>
      </c>
      <c r="N93" s="89"/>
      <c r="O93" s="89"/>
      <c r="P93" s="89"/>
      <c r="Q93" s="89"/>
      <c r="R93" s="89"/>
      <c r="V93" t="str">
        <f t="shared" si="2"/>
        <v>Representative</v>
      </c>
      <c r="W93" s="35" t="s">
        <v>12790</v>
      </c>
      <c r="X93" t="str">
        <f t="shared" si="3"/>
        <v>rep.john.deberry@capitol.tn.gov</v>
      </c>
    </row>
    <row r="94">
      <c r="A94" s="14" t="s">
        <v>44</v>
      </c>
      <c r="B94" s="31">
        <v>91.0</v>
      </c>
      <c r="C94" s="38" t="s">
        <v>12797</v>
      </c>
      <c r="D94" s="38" t="s">
        <v>7476</v>
      </c>
      <c r="E94" s="36" t="s">
        <v>49</v>
      </c>
      <c r="F94" s="426"/>
      <c r="G94" s="713" t="s">
        <v>12285</v>
      </c>
      <c r="L94" s="89"/>
      <c r="M94" s="89" t="str">
        <f t="shared" si="1"/>
        <v>rep.london.lamar@capitol.tn.gov</v>
      </c>
      <c r="N94" s="89"/>
      <c r="O94" s="89"/>
      <c r="P94" s="89"/>
      <c r="Q94" s="89"/>
      <c r="R94" s="89"/>
      <c r="V94" t="str">
        <f t="shared" si="2"/>
        <v>Representative</v>
      </c>
      <c r="W94" s="38" t="s">
        <v>7476</v>
      </c>
      <c r="X94" t="str">
        <f t="shared" si="3"/>
        <v>rep.london.lamar@capitol.tn.gov</v>
      </c>
    </row>
    <row r="95">
      <c r="A95" s="14" t="s">
        <v>44</v>
      </c>
      <c r="B95" s="31">
        <v>92.0</v>
      </c>
      <c r="C95" s="35" t="s">
        <v>1291</v>
      </c>
      <c r="D95" s="35" t="s">
        <v>10113</v>
      </c>
      <c r="E95" s="51" t="s">
        <v>53</v>
      </c>
      <c r="F95" s="126" t="s">
        <v>1188</v>
      </c>
      <c r="G95" s="722" t="s">
        <v>12234</v>
      </c>
      <c r="H95" s="713" t="s">
        <v>12229</v>
      </c>
      <c r="L95" s="89"/>
      <c r="M95" s="89" t="str">
        <f t="shared" si="1"/>
        <v>rep.rick.tillis@capitol.tn.gov</v>
      </c>
      <c r="N95" s="89"/>
      <c r="O95" s="89"/>
      <c r="P95" s="89"/>
      <c r="Q95" s="89"/>
      <c r="R95" s="89"/>
      <c r="V95" t="str">
        <f t="shared" si="2"/>
        <v>Representative</v>
      </c>
      <c r="W95" s="35" t="s">
        <v>10113</v>
      </c>
      <c r="X95" t="str">
        <f t="shared" si="3"/>
        <v>rep.rick.tillis@capitol.tn.gov</v>
      </c>
    </row>
    <row r="96">
      <c r="A96" s="14" t="s">
        <v>44</v>
      </c>
      <c r="B96" s="31">
        <v>93.0</v>
      </c>
      <c r="C96" s="38" t="s">
        <v>12809</v>
      </c>
      <c r="D96" s="35" t="s">
        <v>12810</v>
      </c>
      <c r="E96" s="36" t="s">
        <v>49</v>
      </c>
      <c r="F96" s="426"/>
      <c r="G96" s="722" t="s">
        <v>12348</v>
      </c>
      <c r="L96" s="89"/>
      <c r="M96" s="89" t="str">
        <f t="shared" si="1"/>
        <v>rep.ga.hardaway@capitol.tn.gov</v>
      </c>
      <c r="N96" s="89"/>
      <c r="O96" s="89"/>
      <c r="P96" s="89"/>
      <c r="Q96" s="89"/>
      <c r="R96" s="89"/>
      <c r="V96" t="str">
        <f t="shared" si="2"/>
        <v>Representative</v>
      </c>
      <c r="W96" s="35" t="s">
        <v>12810</v>
      </c>
      <c r="X96" t="str">
        <f t="shared" si="3"/>
        <v>rep.ga.hardaway@capitol.tn.gov</v>
      </c>
    </row>
    <row r="97">
      <c r="A97" s="14" t="s">
        <v>44</v>
      </c>
      <c r="B97" s="31">
        <v>94.0</v>
      </c>
      <c r="C97" s="74" t="s">
        <v>1813</v>
      </c>
      <c r="D97" s="74" t="s">
        <v>12811</v>
      </c>
      <c r="E97" s="51" t="s">
        <v>53</v>
      </c>
      <c r="F97" s="126" t="s">
        <v>1479</v>
      </c>
      <c r="H97" s="713" t="s">
        <v>12258</v>
      </c>
      <c r="L97" s="89"/>
      <c r="M97" s="89" t="str">
        <f t="shared" si="1"/>
        <v>rep.ron.gant@capitol.tn.gov</v>
      </c>
      <c r="N97" s="89"/>
      <c r="O97" s="89"/>
      <c r="P97" s="89"/>
      <c r="Q97" s="89"/>
      <c r="R97" s="89"/>
      <c r="V97" t="str">
        <f t="shared" si="2"/>
        <v>Representative</v>
      </c>
      <c r="W97" s="74" t="s">
        <v>12811</v>
      </c>
      <c r="X97" t="str">
        <f t="shared" si="3"/>
        <v>rep.ron.gant@capitol.tn.gov</v>
      </c>
    </row>
    <row r="98">
      <c r="A98" s="14" t="s">
        <v>44</v>
      </c>
      <c r="B98" s="31">
        <v>95.0</v>
      </c>
      <c r="C98" s="38" t="s">
        <v>971</v>
      </c>
      <c r="D98" s="38" t="s">
        <v>12816</v>
      </c>
      <c r="E98" s="51" t="s">
        <v>53</v>
      </c>
      <c r="F98" s="722" t="s">
        <v>12258</v>
      </c>
      <c r="L98" s="89"/>
      <c r="M98" s="89" t="str">
        <f t="shared" si="1"/>
        <v>rep.kevin.vaughan@capitol.tn.gov</v>
      </c>
      <c r="N98" s="89"/>
      <c r="O98" s="89"/>
      <c r="P98" s="89"/>
      <c r="Q98" s="89"/>
      <c r="R98" s="89"/>
      <c r="V98" t="str">
        <f t="shared" si="2"/>
        <v>Representative</v>
      </c>
      <c r="W98" s="38" t="s">
        <v>12816</v>
      </c>
      <c r="X98" t="str">
        <f t="shared" si="3"/>
        <v>rep.kevin.vaughan@capitol.tn.gov</v>
      </c>
    </row>
    <row r="99">
      <c r="A99" s="14" t="s">
        <v>44</v>
      </c>
      <c r="B99" s="31">
        <v>96.0</v>
      </c>
      <c r="C99" s="35" t="s">
        <v>5752</v>
      </c>
      <c r="D99" s="35" t="s">
        <v>59</v>
      </c>
      <c r="E99" s="36" t="s">
        <v>49</v>
      </c>
      <c r="F99" s="713" t="s">
        <v>12243</v>
      </c>
      <c r="L99" s="89"/>
      <c r="M99" s="89" t="str">
        <f t="shared" si="1"/>
        <v>rep.dwayne.thompson@capitol.tn.gov</v>
      </c>
      <c r="N99" s="89"/>
      <c r="O99" s="89"/>
      <c r="P99" s="89"/>
      <c r="Q99" s="89"/>
      <c r="R99" s="89"/>
      <c r="V99" t="str">
        <f t="shared" si="2"/>
        <v>Representative</v>
      </c>
      <c r="W99" s="35" t="s">
        <v>59</v>
      </c>
      <c r="X99" t="str">
        <f t="shared" si="3"/>
        <v>rep.dwayne.thompson@capitol.tn.gov</v>
      </c>
    </row>
    <row r="100">
      <c r="A100" s="14" t="s">
        <v>44</v>
      </c>
      <c r="B100" s="31">
        <v>97.0</v>
      </c>
      <c r="C100" s="35" t="s">
        <v>476</v>
      </c>
      <c r="D100" s="35" t="s">
        <v>10684</v>
      </c>
      <c r="E100" s="51" t="s">
        <v>53</v>
      </c>
      <c r="F100" s="713" t="s">
        <v>12243</v>
      </c>
      <c r="L100" s="89"/>
      <c r="M100" s="89" t="str">
        <f t="shared" si="1"/>
        <v>rep.jim.coley@capitol.tn.gov</v>
      </c>
      <c r="N100" s="89"/>
      <c r="O100" s="89"/>
      <c r="P100" s="89"/>
      <c r="Q100" s="89"/>
      <c r="R100" s="89"/>
      <c r="V100" t="str">
        <f t="shared" si="2"/>
        <v>Representative</v>
      </c>
      <c r="W100" s="35" t="s">
        <v>10684</v>
      </c>
      <c r="X100" t="str">
        <f t="shared" si="3"/>
        <v>rep.jim.coley@capitol.tn.gov</v>
      </c>
    </row>
    <row r="101">
      <c r="A101" s="14" t="s">
        <v>44</v>
      </c>
      <c r="B101" s="31">
        <v>98.0</v>
      </c>
      <c r="C101" s="35" t="s">
        <v>4489</v>
      </c>
      <c r="D101" s="35" t="s">
        <v>12825</v>
      </c>
      <c r="E101" s="36" t="s">
        <v>49</v>
      </c>
      <c r="F101" s="126" t="s">
        <v>12826</v>
      </c>
      <c r="H101" s="713" t="s">
        <v>781</v>
      </c>
      <c r="I101" s="713" t="s">
        <v>12475</v>
      </c>
      <c r="L101" s="89"/>
      <c r="M101" s="89" t="str">
        <f t="shared" si="1"/>
        <v>rep.antonio.parkinson@capitol.tn.gov</v>
      </c>
      <c r="N101" s="89"/>
      <c r="O101" s="89"/>
      <c r="P101" s="89"/>
      <c r="Q101" s="89"/>
      <c r="R101" s="89"/>
      <c r="V101" t="str">
        <f t="shared" si="2"/>
        <v>Representative</v>
      </c>
      <c r="W101" s="35" t="s">
        <v>12825</v>
      </c>
      <c r="X101" t="str">
        <f t="shared" si="3"/>
        <v>rep.antonio.parkinson@capitol.tn.gov</v>
      </c>
    </row>
    <row r="102">
      <c r="A102" s="14" t="s">
        <v>44</v>
      </c>
      <c r="B102" s="164">
        <v>99.0</v>
      </c>
      <c r="C102" s="38" t="s">
        <v>338</v>
      </c>
      <c r="D102" s="38" t="s">
        <v>12827</v>
      </c>
      <c r="E102" s="51" t="s">
        <v>53</v>
      </c>
      <c r="F102" s="713" t="s">
        <v>12258</v>
      </c>
      <c r="G102" s="713" t="s">
        <v>12340</v>
      </c>
      <c r="L102" s="89"/>
      <c r="M102" s="89" t="str">
        <f t="shared" si="1"/>
        <v>rep.tom.leatherwood@capitol.tn.gov</v>
      </c>
      <c r="N102" s="89"/>
      <c r="O102" s="89"/>
      <c r="P102" s="89"/>
      <c r="Q102" s="89"/>
      <c r="R102" s="89"/>
      <c r="V102" t="str">
        <f t="shared" si="2"/>
        <v>Representative</v>
      </c>
      <c r="W102" s="38" t="s">
        <v>12827</v>
      </c>
      <c r="X102" t="str">
        <f t="shared" si="3"/>
        <v>rep.tom.leatherwood@capitol.tn.gov</v>
      </c>
    </row>
    <row r="103">
      <c r="A103" s="70"/>
      <c r="B103" s="70"/>
      <c r="C103" s="71"/>
      <c r="D103" s="71"/>
      <c r="E103" s="70"/>
      <c r="F103" s="417"/>
      <c r="G103" s="70"/>
      <c r="H103" s="70"/>
      <c r="I103" s="70"/>
      <c r="J103" s="70"/>
      <c r="K103" s="70"/>
      <c r="L103" s="70"/>
      <c r="M103" s="70"/>
      <c r="N103" s="70"/>
      <c r="O103" s="70"/>
      <c r="P103" s="70"/>
      <c r="Q103" s="70"/>
      <c r="R103" s="70"/>
      <c r="S103" s="70"/>
      <c r="T103" s="70"/>
      <c r="U103" s="70"/>
      <c r="V103" s="70"/>
      <c r="W103" s="71"/>
      <c r="X103" s="70"/>
      <c r="Y103" s="70"/>
      <c r="Z103" s="70"/>
      <c r="AA103" s="70"/>
      <c r="AB103" s="70"/>
      <c r="AC103" s="70"/>
      <c r="AD103" s="70"/>
      <c r="AE103" s="70"/>
      <c r="AF103" s="70"/>
      <c r="AG103" s="70"/>
      <c r="AH103" s="70"/>
    </row>
    <row r="104">
      <c r="A104" s="14" t="s">
        <v>286</v>
      </c>
      <c r="B104" s="31">
        <v>1.0</v>
      </c>
      <c r="C104" s="35" t="s">
        <v>55</v>
      </c>
      <c r="D104" s="35" t="s">
        <v>12835</v>
      </c>
      <c r="E104" s="51" t="s">
        <v>53</v>
      </c>
      <c r="F104" s="563"/>
      <c r="L104" s="89"/>
      <c r="M104" s="89" t="str">
        <f t="shared" ref="M104:M136" si="4">concatenate("sen.",lower(C104),".",lower(D104),"@capitol.tn.gov")</f>
        <v>sen.steve.southerland@capitol.tn.gov</v>
      </c>
      <c r="N104" s="89"/>
      <c r="O104" s="89"/>
      <c r="P104" s="89"/>
      <c r="Q104" s="89"/>
      <c r="R104" s="89"/>
      <c r="V104" t="str">
        <f t="shared" ref="V104:V136" si="5">if(B104="house","Representative","Senator")</f>
        <v>Senator</v>
      </c>
      <c r="W104" s="35" t="s">
        <v>12835</v>
      </c>
      <c r="X104" t="str">
        <f t="shared" ref="X104:X136" si="6">if(W104="","",M104)</f>
        <v>sen.steve.southerland@capitol.tn.gov</v>
      </c>
    </row>
    <row r="105">
      <c r="A105" s="14" t="s">
        <v>286</v>
      </c>
      <c r="B105" s="31">
        <v>2.0</v>
      </c>
      <c r="C105" s="35" t="s">
        <v>2989</v>
      </c>
      <c r="D105" s="35" t="s">
        <v>12849</v>
      </c>
      <c r="E105" s="51" t="s">
        <v>53</v>
      </c>
      <c r="F105" s="563"/>
      <c r="L105" s="89"/>
      <c r="M105" s="89" t="str">
        <f t="shared" si="4"/>
        <v>sen.art.swann@capitol.tn.gov</v>
      </c>
      <c r="N105" s="89"/>
      <c r="O105" s="89"/>
      <c r="P105" s="89"/>
      <c r="Q105" s="89"/>
      <c r="R105" s="89"/>
      <c r="V105" t="str">
        <f t="shared" si="5"/>
        <v>Senator</v>
      </c>
      <c r="W105" s="35" t="s">
        <v>12849</v>
      </c>
      <c r="X105" t="str">
        <f t="shared" si="6"/>
        <v>sen.art.swann@capitol.tn.gov</v>
      </c>
    </row>
    <row r="106">
      <c r="A106" s="14" t="s">
        <v>286</v>
      </c>
      <c r="B106" s="31">
        <v>3.0</v>
      </c>
      <c r="C106" s="35" t="s">
        <v>7567</v>
      </c>
      <c r="D106" s="35" t="s">
        <v>4675</v>
      </c>
      <c r="E106" s="51" t="s">
        <v>53</v>
      </c>
      <c r="F106" s="563"/>
      <c r="L106" s="89"/>
      <c r="M106" s="89" t="str">
        <f t="shared" si="4"/>
        <v>sen.rusty.crowe@capitol.tn.gov</v>
      </c>
      <c r="N106" s="89"/>
      <c r="O106" s="89"/>
      <c r="P106" s="89"/>
      <c r="Q106" s="89"/>
      <c r="R106" s="89"/>
      <c r="V106" t="str">
        <f t="shared" si="5"/>
        <v>Senator</v>
      </c>
      <c r="W106" s="35" t="s">
        <v>4675</v>
      </c>
      <c r="X106" t="str">
        <f t="shared" si="6"/>
        <v>sen.rusty.crowe@capitol.tn.gov</v>
      </c>
    </row>
    <row r="107">
      <c r="A107" s="14" t="s">
        <v>286</v>
      </c>
      <c r="B107" s="31">
        <v>4.0</v>
      </c>
      <c r="C107" s="35" t="s">
        <v>1387</v>
      </c>
      <c r="D107" s="35" t="s">
        <v>12857</v>
      </c>
      <c r="E107" s="51" t="s">
        <v>53</v>
      </c>
      <c r="F107" s="563"/>
      <c r="L107" s="89"/>
      <c r="M107" s="89" t="str">
        <f t="shared" si="4"/>
        <v>sen.jon.lundberg@capitol.tn.gov</v>
      </c>
      <c r="N107" s="89"/>
      <c r="O107" s="89"/>
      <c r="P107" s="89"/>
      <c r="Q107" s="89"/>
      <c r="R107" s="89"/>
      <c r="V107" t="str">
        <f t="shared" si="5"/>
        <v>Senator</v>
      </c>
      <c r="W107" s="35" t="s">
        <v>12857</v>
      </c>
      <c r="X107" t="str">
        <f t="shared" si="6"/>
        <v>sen.jon.lundberg@capitol.tn.gov</v>
      </c>
    </row>
    <row r="108">
      <c r="A108" s="14" t="s">
        <v>286</v>
      </c>
      <c r="B108" s="31">
        <v>5.0</v>
      </c>
      <c r="C108" s="35" t="s">
        <v>412</v>
      </c>
      <c r="D108" s="35" t="s">
        <v>12861</v>
      </c>
      <c r="E108" s="51" t="s">
        <v>53</v>
      </c>
      <c r="F108" s="567" t="s">
        <v>1056</v>
      </c>
      <c r="L108" s="89"/>
      <c r="M108" s="89" t="str">
        <f t="shared" si="4"/>
        <v>sen.randy.mcnally@capitol.tn.gov</v>
      </c>
      <c r="N108" s="89"/>
      <c r="O108" s="89"/>
      <c r="P108" s="89"/>
      <c r="Q108" s="89"/>
      <c r="R108" s="89"/>
      <c r="V108" t="str">
        <f t="shared" si="5"/>
        <v>Senator</v>
      </c>
      <c r="W108" s="35" t="s">
        <v>12861</v>
      </c>
      <c r="X108" t="str">
        <f t="shared" si="6"/>
        <v>sen.randy.mcnally@capitol.tn.gov</v>
      </c>
    </row>
    <row r="109">
      <c r="A109" s="14" t="s">
        <v>286</v>
      </c>
      <c r="B109" s="31">
        <v>6.0</v>
      </c>
      <c r="C109" s="35" t="s">
        <v>364</v>
      </c>
      <c r="D109" s="35" t="s">
        <v>5243</v>
      </c>
      <c r="E109" s="51" t="s">
        <v>53</v>
      </c>
      <c r="F109" s="591"/>
      <c r="L109" s="89"/>
      <c r="M109" s="89" t="str">
        <f t="shared" si="4"/>
        <v>sen.becky.massey@capitol.tn.gov</v>
      </c>
      <c r="N109" s="89"/>
      <c r="O109" s="89"/>
      <c r="P109" s="89"/>
      <c r="Q109" s="89"/>
      <c r="R109" s="89"/>
      <c r="V109" t="str">
        <f t="shared" si="5"/>
        <v>Senator</v>
      </c>
      <c r="W109" s="35" t="s">
        <v>5243</v>
      </c>
      <c r="X109" t="str">
        <f t="shared" si="6"/>
        <v>sen.becky.massey@capitol.tn.gov</v>
      </c>
    </row>
    <row r="110">
      <c r="A110" s="14" t="s">
        <v>286</v>
      </c>
      <c r="B110" s="31">
        <v>7.0</v>
      </c>
      <c r="C110" s="35" t="s">
        <v>1112</v>
      </c>
      <c r="D110" s="35" t="s">
        <v>8403</v>
      </c>
      <c r="E110" s="51" t="s">
        <v>53</v>
      </c>
      <c r="F110" s="591"/>
      <c r="L110" s="89"/>
      <c r="M110" s="89" t="str">
        <f t="shared" si="4"/>
        <v>sen.richard.briggs@capitol.tn.gov</v>
      </c>
      <c r="N110" s="89"/>
      <c r="O110" s="89"/>
      <c r="P110" s="89"/>
      <c r="Q110" s="89"/>
      <c r="R110" s="89"/>
      <c r="V110" t="str">
        <f t="shared" si="5"/>
        <v>Senator</v>
      </c>
      <c r="W110" s="35" t="s">
        <v>8403</v>
      </c>
      <c r="X110" t="str">
        <f t="shared" si="6"/>
        <v>sen.richard.briggs@capitol.tn.gov</v>
      </c>
    </row>
    <row r="111">
      <c r="A111" s="14" t="s">
        <v>286</v>
      </c>
      <c r="B111" s="31">
        <v>8.0</v>
      </c>
      <c r="C111" s="35" t="s">
        <v>1000</v>
      </c>
      <c r="D111" s="35" t="s">
        <v>12878</v>
      </c>
      <c r="E111" s="51" t="s">
        <v>53</v>
      </c>
      <c r="F111" s="563"/>
      <c r="L111" s="89"/>
      <c r="M111" s="89" t="str">
        <f t="shared" si="4"/>
        <v>sen.frank.niceley@capitol.tn.gov</v>
      </c>
      <c r="N111" s="89"/>
      <c r="O111" s="89"/>
      <c r="P111" s="89"/>
      <c r="Q111" s="89"/>
      <c r="R111" s="89"/>
      <c r="V111" t="str">
        <f t="shared" si="5"/>
        <v>Senator</v>
      </c>
      <c r="W111" s="35" t="s">
        <v>12878</v>
      </c>
      <c r="X111" t="str">
        <f t="shared" si="6"/>
        <v>sen.frank.niceley@capitol.tn.gov</v>
      </c>
    </row>
    <row r="112">
      <c r="A112" s="14" t="s">
        <v>286</v>
      </c>
      <c r="B112" s="31">
        <v>9.0</v>
      </c>
      <c r="C112" s="35" t="s">
        <v>157</v>
      </c>
      <c r="D112" s="35" t="s">
        <v>3007</v>
      </c>
      <c r="E112" s="51" t="s">
        <v>53</v>
      </c>
      <c r="F112" s="563"/>
      <c r="L112" s="89"/>
      <c r="M112" s="89" t="str">
        <f t="shared" si="4"/>
        <v>sen.mike.bell@capitol.tn.gov</v>
      </c>
      <c r="N112" s="89"/>
      <c r="O112" s="89"/>
      <c r="P112" s="89"/>
      <c r="Q112" s="89"/>
      <c r="R112" s="89"/>
      <c r="V112" t="str">
        <f t="shared" si="5"/>
        <v>Senator</v>
      </c>
      <c r="W112" s="35" t="s">
        <v>3007</v>
      </c>
      <c r="X112" t="str">
        <f t="shared" si="6"/>
        <v>sen.mike.bell@capitol.tn.gov</v>
      </c>
    </row>
    <row r="113">
      <c r="A113" s="14" t="s">
        <v>286</v>
      </c>
      <c r="B113" s="31">
        <v>10.0</v>
      </c>
      <c r="C113" s="35" t="s">
        <v>1974</v>
      </c>
      <c r="D113" s="35" t="s">
        <v>12879</v>
      </c>
      <c r="E113" s="51" t="s">
        <v>53</v>
      </c>
      <c r="F113" s="591"/>
      <c r="L113" s="89"/>
      <c r="M113" s="89" t="str">
        <f t="shared" si="4"/>
        <v>sen.todd.gardenhire@capitol.tn.gov</v>
      </c>
      <c r="N113" s="89"/>
      <c r="O113" s="89"/>
      <c r="P113" s="89"/>
      <c r="Q113" s="89"/>
      <c r="R113" s="89"/>
      <c r="V113" t="str">
        <f t="shared" si="5"/>
        <v>Senator</v>
      </c>
      <c r="W113" s="35" t="s">
        <v>12879</v>
      </c>
      <c r="X113" t="str">
        <f t="shared" si="6"/>
        <v>sen.todd.gardenhire@capitol.tn.gov</v>
      </c>
    </row>
    <row r="114">
      <c r="A114" s="14" t="s">
        <v>286</v>
      </c>
      <c r="B114" s="31">
        <v>11.0</v>
      </c>
      <c r="C114" s="35" t="s">
        <v>12520</v>
      </c>
      <c r="D114" s="35" t="s">
        <v>853</v>
      </c>
      <c r="E114" s="51" t="s">
        <v>53</v>
      </c>
      <c r="F114" s="591"/>
      <c r="L114" s="89"/>
      <c r="M114" s="89" t="str">
        <f t="shared" si="4"/>
        <v>sen.bo.watson@capitol.tn.gov</v>
      </c>
      <c r="N114" s="89"/>
      <c r="O114" s="89"/>
      <c r="P114" s="89"/>
      <c r="Q114" s="89"/>
      <c r="R114" s="89"/>
      <c r="V114" t="str">
        <f t="shared" si="5"/>
        <v>Senator</v>
      </c>
      <c r="W114" s="35" t="s">
        <v>853</v>
      </c>
      <c r="X114" t="str">
        <f t="shared" si="6"/>
        <v>sen.bo.watson@capitol.tn.gov</v>
      </c>
    </row>
    <row r="115">
      <c r="A115" s="14" t="s">
        <v>286</v>
      </c>
      <c r="B115" s="31">
        <v>12.0</v>
      </c>
      <c r="C115" s="35" t="s">
        <v>1049</v>
      </c>
      <c r="D115" s="35" t="s">
        <v>12880</v>
      </c>
      <c r="E115" s="51" t="s">
        <v>53</v>
      </c>
      <c r="F115" s="567" t="s">
        <v>1684</v>
      </c>
      <c r="L115" s="89"/>
      <c r="M115" s="89" t="str">
        <f t="shared" si="4"/>
        <v>sen.ken.yager@capitol.tn.gov</v>
      </c>
      <c r="N115" s="89"/>
      <c r="O115" s="89"/>
      <c r="P115" s="89"/>
      <c r="Q115" s="89"/>
      <c r="R115" s="89"/>
      <c r="V115" t="str">
        <f t="shared" si="5"/>
        <v>Senator</v>
      </c>
      <c r="W115" s="35" t="s">
        <v>12880</v>
      </c>
      <c r="X115" t="str">
        <f t="shared" si="6"/>
        <v>sen.ken.yager@capitol.tn.gov</v>
      </c>
    </row>
    <row r="116">
      <c r="A116" s="14" t="s">
        <v>286</v>
      </c>
      <c r="B116" s="31">
        <v>13.0</v>
      </c>
      <c r="C116" s="38" t="s">
        <v>9525</v>
      </c>
      <c r="D116" s="38" t="s">
        <v>6034</v>
      </c>
      <c r="E116" s="51" t="s">
        <v>53</v>
      </c>
      <c r="F116" s="591"/>
      <c r="L116" s="89"/>
      <c r="M116" s="89" t="str">
        <f t="shared" si="4"/>
        <v>sen.dawn.white@capitol.tn.gov</v>
      </c>
      <c r="N116" s="89"/>
      <c r="O116" s="89"/>
      <c r="P116" s="89"/>
      <c r="Q116" s="89"/>
      <c r="R116" s="89"/>
      <c r="V116" t="str">
        <f t="shared" si="5"/>
        <v>Senator</v>
      </c>
      <c r="W116" s="38" t="s">
        <v>6034</v>
      </c>
      <c r="X116" t="str">
        <f t="shared" si="6"/>
        <v>sen.dawn.white@capitol.tn.gov</v>
      </c>
    </row>
    <row r="117">
      <c r="A117" s="14" t="s">
        <v>286</v>
      </c>
      <c r="B117" s="31">
        <v>14.0</v>
      </c>
      <c r="C117" s="35" t="s">
        <v>756</v>
      </c>
      <c r="D117" s="35" t="s">
        <v>3278</v>
      </c>
      <c r="E117" s="51" t="s">
        <v>53</v>
      </c>
      <c r="F117" s="563"/>
      <c r="L117" s="89"/>
      <c r="M117" s="89" t="str">
        <f t="shared" si="4"/>
        <v>sen.shane.reeves@capitol.tn.gov</v>
      </c>
      <c r="N117" s="89"/>
      <c r="O117" s="89"/>
      <c r="P117" s="89"/>
      <c r="Q117" s="89"/>
      <c r="R117" s="89"/>
      <c r="V117" t="str">
        <f t="shared" si="5"/>
        <v>Senator</v>
      </c>
      <c r="W117" s="35" t="s">
        <v>3278</v>
      </c>
      <c r="X117" t="str">
        <f t="shared" si="6"/>
        <v>sen.shane.reeves@capitol.tn.gov</v>
      </c>
    </row>
    <row r="118">
      <c r="A118" s="14" t="s">
        <v>286</v>
      </c>
      <c r="B118" s="31">
        <v>15.0</v>
      </c>
      <c r="C118" s="35" t="s">
        <v>679</v>
      </c>
      <c r="D118" s="35" t="s">
        <v>4464</v>
      </c>
      <c r="E118" s="51" t="s">
        <v>53</v>
      </c>
      <c r="F118" s="563"/>
      <c r="L118" s="89"/>
      <c r="M118" s="89" t="str">
        <f t="shared" si="4"/>
        <v>sen.paul.bailey@capitol.tn.gov</v>
      </c>
      <c r="N118" s="89"/>
      <c r="O118" s="89"/>
      <c r="P118" s="89"/>
      <c r="Q118" s="89"/>
      <c r="R118" s="89"/>
      <c r="V118" t="str">
        <f t="shared" si="5"/>
        <v>Senator</v>
      </c>
      <c r="W118" s="35" t="s">
        <v>4464</v>
      </c>
      <c r="X118" t="str">
        <f t="shared" si="6"/>
        <v>sen.paul.bailey@capitol.tn.gov</v>
      </c>
    </row>
    <row r="119">
      <c r="A119" s="14" t="s">
        <v>286</v>
      </c>
      <c r="B119" s="31">
        <v>16.0</v>
      </c>
      <c r="C119" s="35" t="s">
        <v>2084</v>
      </c>
      <c r="D119" s="35" t="s">
        <v>5276</v>
      </c>
      <c r="E119" s="51" t="s">
        <v>53</v>
      </c>
      <c r="F119" s="563"/>
      <c r="L119" s="223" t="s">
        <v>12885</v>
      </c>
      <c r="M119" s="89" t="str">
        <f t="shared" si="4"/>
        <v>sen.janice.bowling@capitol.tn.gov</v>
      </c>
      <c r="N119" s="89"/>
      <c r="O119" s="89"/>
      <c r="P119" s="89"/>
      <c r="Q119" s="89"/>
      <c r="R119" s="89"/>
      <c r="V119" t="str">
        <f t="shared" si="5"/>
        <v>Senator</v>
      </c>
      <c r="W119" s="35" t="s">
        <v>5276</v>
      </c>
      <c r="X119" t="str">
        <f t="shared" si="6"/>
        <v>sen.janice.bowling@capitol.tn.gov</v>
      </c>
    </row>
    <row r="120">
      <c r="A120" s="14" t="s">
        <v>286</v>
      </c>
      <c r="B120" s="31">
        <v>17.0</v>
      </c>
      <c r="C120" s="35" t="s">
        <v>91</v>
      </c>
      <c r="D120" s="35" t="s">
        <v>12886</v>
      </c>
      <c r="E120" s="51" t="s">
        <v>53</v>
      </c>
      <c r="F120" s="563"/>
      <c r="L120" s="89"/>
      <c r="M120" s="89" t="str">
        <f t="shared" si="4"/>
        <v>sen.mark.pody@capitol.tn.gov</v>
      </c>
      <c r="N120" s="89"/>
      <c r="O120" s="89"/>
      <c r="P120" s="89"/>
      <c r="Q120" s="89"/>
      <c r="R120" s="89"/>
      <c r="V120" t="str">
        <f t="shared" si="5"/>
        <v>Senator</v>
      </c>
      <c r="W120" s="35" t="s">
        <v>12886</v>
      </c>
      <c r="X120" t="str">
        <f t="shared" si="6"/>
        <v>sen.mark.pody@capitol.tn.gov</v>
      </c>
    </row>
    <row r="121">
      <c r="A121" s="14" t="s">
        <v>286</v>
      </c>
      <c r="B121" s="31">
        <v>18.0</v>
      </c>
      <c r="C121" s="35" t="s">
        <v>12887</v>
      </c>
      <c r="D121" s="35" t="s">
        <v>12888</v>
      </c>
      <c r="E121" s="51" t="s">
        <v>53</v>
      </c>
      <c r="F121" s="563"/>
      <c r="L121" s="89"/>
      <c r="M121" s="89" t="str">
        <f t="shared" si="4"/>
        <v>sen.ferrell.haile@capitol.tn.gov</v>
      </c>
      <c r="N121" s="89"/>
      <c r="O121" s="89"/>
      <c r="P121" s="89"/>
      <c r="Q121" s="89"/>
      <c r="R121" s="89"/>
      <c r="V121" t="str">
        <f t="shared" si="5"/>
        <v>Senator</v>
      </c>
      <c r="W121" s="35" t="s">
        <v>12888</v>
      </c>
      <c r="X121" t="str">
        <f t="shared" si="6"/>
        <v>sen.ferrell.haile@capitol.tn.gov</v>
      </c>
    </row>
    <row r="122">
      <c r="A122" s="14" t="s">
        <v>286</v>
      </c>
      <c r="B122" s="31">
        <v>19.0</v>
      </c>
      <c r="C122" s="38" t="s">
        <v>2755</v>
      </c>
      <c r="D122" s="38" t="s">
        <v>12889</v>
      </c>
      <c r="E122" s="36" t="s">
        <v>49</v>
      </c>
      <c r="F122" s="724" t="s">
        <v>3469</v>
      </c>
      <c r="L122" s="223" t="s">
        <v>12890</v>
      </c>
      <c r="M122" s="89" t="str">
        <f t="shared" si="4"/>
        <v>sen.brenda.gilmore@capitol.tn.gov</v>
      </c>
      <c r="N122" s="89"/>
      <c r="O122" s="89"/>
      <c r="P122" s="89"/>
      <c r="Q122" s="89"/>
      <c r="R122" s="89"/>
      <c r="V122" t="str">
        <f t="shared" si="5"/>
        <v>Senator</v>
      </c>
      <c r="W122" s="38" t="s">
        <v>12889</v>
      </c>
      <c r="X122" t="str">
        <f t="shared" si="6"/>
        <v>sen.brenda.gilmore@capitol.tn.gov</v>
      </c>
    </row>
    <row r="123">
      <c r="A123" s="14" t="s">
        <v>286</v>
      </c>
      <c r="B123" s="31">
        <v>20.0</v>
      </c>
      <c r="C123" s="35" t="s">
        <v>1897</v>
      </c>
      <c r="D123" s="35" t="s">
        <v>3754</v>
      </c>
      <c r="E123" s="51" t="s">
        <v>53</v>
      </c>
      <c r="F123" s="591"/>
      <c r="K123" s="14" t="s">
        <v>12891</v>
      </c>
      <c r="L123" s="223" t="s">
        <v>12892</v>
      </c>
      <c r="M123" s="89" t="str">
        <f t="shared" si="4"/>
        <v>sen.steven.dickerson@capitol.tn.gov</v>
      </c>
      <c r="N123" s="89"/>
      <c r="O123" s="89"/>
      <c r="P123" s="89"/>
      <c r="Q123" s="89"/>
      <c r="R123" s="89"/>
      <c r="V123" t="str">
        <f t="shared" si="5"/>
        <v>Senator</v>
      </c>
      <c r="W123" s="35" t="s">
        <v>3754</v>
      </c>
      <c r="X123" t="str">
        <f t="shared" si="6"/>
        <v>sen.steven.dickerson@capitol.tn.gov</v>
      </c>
    </row>
    <row r="124">
      <c r="A124" s="14" t="s">
        <v>286</v>
      </c>
      <c r="B124" s="31">
        <v>21.0</v>
      </c>
      <c r="C124" s="35" t="s">
        <v>683</v>
      </c>
      <c r="D124" s="35" t="s">
        <v>12896</v>
      </c>
      <c r="E124" s="36" t="s">
        <v>49</v>
      </c>
      <c r="F124" s="724" t="s">
        <v>498</v>
      </c>
      <c r="L124" s="89"/>
      <c r="M124" s="89" t="str">
        <f t="shared" si="4"/>
        <v>sen.jeff.yarbro@capitol.tn.gov</v>
      </c>
      <c r="N124" s="89"/>
      <c r="O124" s="89"/>
      <c r="P124" s="89"/>
      <c r="Q124" s="89"/>
      <c r="R124" s="89"/>
      <c r="V124" t="str">
        <f t="shared" si="5"/>
        <v>Senator</v>
      </c>
      <c r="W124" s="35" t="s">
        <v>12896</v>
      </c>
      <c r="X124" t="str">
        <f t="shared" si="6"/>
        <v>sen.jeff.yarbro@capitol.tn.gov</v>
      </c>
    </row>
    <row r="125">
      <c r="A125" s="14" t="s">
        <v>286</v>
      </c>
      <c r="B125" s="31">
        <v>22.0</v>
      </c>
      <c r="C125" s="35" t="s">
        <v>91</v>
      </c>
      <c r="D125" s="35" t="s">
        <v>2574</v>
      </c>
      <c r="E125" s="51" t="s">
        <v>53</v>
      </c>
      <c r="F125" s="563"/>
      <c r="L125" s="89"/>
      <c r="M125" s="89" t="str">
        <f t="shared" si="4"/>
        <v>sen.mark.green@capitol.tn.gov</v>
      </c>
      <c r="N125" s="89"/>
      <c r="O125" s="89"/>
      <c r="P125" s="89"/>
      <c r="Q125" s="89"/>
      <c r="R125" s="89"/>
      <c r="V125" t="str">
        <f t="shared" si="5"/>
        <v>Senator</v>
      </c>
      <c r="W125" s="35" t="s">
        <v>2574</v>
      </c>
      <c r="X125" t="str">
        <f t="shared" si="6"/>
        <v>sen.mark.green@capitol.tn.gov</v>
      </c>
    </row>
    <row r="126">
      <c r="A126" s="14" t="s">
        <v>286</v>
      </c>
      <c r="B126" s="31">
        <v>23.0</v>
      </c>
      <c r="C126" s="35" t="s">
        <v>792</v>
      </c>
      <c r="D126" s="35" t="s">
        <v>118</v>
      </c>
      <c r="E126" s="51" t="s">
        <v>53</v>
      </c>
      <c r="F126" s="567" t="s">
        <v>176</v>
      </c>
      <c r="L126" s="89"/>
      <c r="M126" s="89" t="str">
        <f t="shared" si="4"/>
        <v>sen.jack.johnson@capitol.tn.gov</v>
      </c>
      <c r="N126" s="89"/>
      <c r="O126" s="89"/>
      <c r="P126" s="89"/>
      <c r="Q126" s="89"/>
      <c r="R126" s="89"/>
      <c r="V126" t="str">
        <f t="shared" si="5"/>
        <v>Senator</v>
      </c>
      <c r="W126" s="35" t="s">
        <v>118</v>
      </c>
      <c r="X126" t="str">
        <f t="shared" si="6"/>
        <v>sen.jack.johnson@capitol.tn.gov</v>
      </c>
    </row>
    <row r="127">
      <c r="A127" s="14" t="s">
        <v>286</v>
      </c>
      <c r="B127" s="31">
        <v>24.0</v>
      </c>
      <c r="C127" s="35" t="s">
        <v>278</v>
      </c>
      <c r="D127" s="35" t="s">
        <v>378</v>
      </c>
      <c r="E127" s="51" t="s">
        <v>53</v>
      </c>
      <c r="F127" s="563"/>
      <c r="L127" s="89"/>
      <c r="M127" s="89" t="str">
        <f t="shared" si="4"/>
        <v>sen.john.stevens@capitol.tn.gov</v>
      </c>
      <c r="N127" s="89"/>
      <c r="O127" s="89"/>
      <c r="P127" s="89"/>
      <c r="Q127" s="89"/>
      <c r="R127" s="89"/>
      <c r="V127" t="str">
        <f t="shared" si="5"/>
        <v>Senator</v>
      </c>
      <c r="W127" s="35" t="s">
        <v>378</v>
      </c>
      <c r="X127" t="str">
        <f t="shared" si="6"/>
        <v>sen.john.stevens@capitol.tn.gov</v>
      </c>
    </row>
    <row r="128">
      <c r="A128" s="14" t="s">
        <v>286</v>
      </c>
      <c r="B128" s="31">
        <v>25.0</v>
      </c>
      <c r="C128" s="35" t="s">
        <v>341</v>
      </c>
      <c r="D128" s="35" t="s">
        <v>788</v>
      </c>
      <c r="E128" s="51" t="s">
        <v>53</v>
      </c>
      <c r="F128" s="563"/>
      <c r="L128" s="89"/>
      <c r="M128" s="89" t="str">
        <f t="shared" si="4"/>
        <v>sen.kerry.roberts@capitol.tn.gov</v>
      </c>
      <c r="N128" s="89"/>
      <c r="O128" s="89"/>
      <c r="P128" s="89"/>
      <c r="Q128" s="89"/>
      <c r="R128" s="89"/>
      <c r="V128" t="str">
        <f t="shared" si="5"/>
        <v>Senator</v>
      </c>
      <c r="W128" s="35" t="s">
        <v>788</v>
      </c>
      <c r="X128" t="str">
        <f t="shared" si="6"/>
        <v>sen.kerry.roberts@capitol.tn.gov</v>
      </c>
    </row>
    <row r="129">
      <c r="A129" s="14" t="s">
        <v>286</v>
      </c>
      <c r="B129" s="31">
        <v>26.0</v>
      </c>
      <c r="C129" s="35" t="s">
        <v>12897</v>
      </c>
      <c r="D129" s="35" t="s">
        <v>12898</v>
      </c>
      <c r="E129" s="51" t="s">
        <v>53</v>
      </c>
      <c r="F129" s="563"/>
      <c r="K129" s="14" t="s">
        <v>12899</v>
      </c>
      <c r="L129" s="223" t="s">
        <v>12900</v>
      </c>
      <c r="M129" s="89" t="str">
        <f t="shared" si="4"/>
        <v>sen.dolores.gresham@capitol.tn.gov</v>
      </c>
      <c r="N129" s="89"/>
      <c r="O129" s="89"/>
      <c r="P129" s="89"/>
      <c r="Q129" s="89"/>
      <c r="R129" s="89"/>
      <c r="V129" t="str">
        <f t="shared" si="5"/>
        <v>Senator</v>
      </c>
      <c r="W129" s="35" t="s">
        <v>12898</v>
      </c>
      <c r="X129" t="str">
        <f t="shared" si="6"/>
        <v>sen.dolores.gresham@capitol.tn.gov</v>
      </c>
    </row>
    <row r="130">
      <c r="A130" s="14" t="s">
        <v>286</v>
      </c>
      <c r="B130" s="31">
        <v>27.0</v>
      </c>
      <c r="C130" s="35" t="s">
        <v>636</v>
      </c>
      <c r="D130" s="35" t="s">
        <v>567</v>
      </c>
      <c r="E130" s="51" t="s">
        <v>53</v>
      </c>
      <c r="F130" s="563"/>
      <c r="L130" s="89"/>
      <c r="M130" s="89" t="str">
        <f t="shared" si="4"/>
        <v>sen.ed.jackson@capitol.tn.gov</v>
      </c>
      <c r="N130" s="89"/>
      <c r="O130" s="89"/>
      <c r="P130" s="89"/>
      <c r="Q130" s="89"/>
      <c r="R130" s="89"/>
      <c r="V130" t="str">
        <f t="shared" si="5"/>
        <v>Senator</v>
      </c>
      <c r="W130" s="35" t="s">
        <v>567</v>
      </c>
      <c r="X130" t="str">
        <f t="shared" si="6"/>
        <v>sen.ed.jackson@capitol.tn.gov</v>
      </c>
    </row>
    <row r="131">
      <c r="A131" s="14" t="s">
        <v>286</v>
      </c>
      <c r="B131" s="31">
        <v>28.0</v>
      </c>
      <c r="C131" s="35" t="s">
        <v>7629</v>
      </c>
      <c r="D131" s="35" t="s">
        <v>2625</v>
      </c>
      <c r="E131" s="51" t="s">
        <v>53</v>
      </c>
      <c r="F131" s="563"/>
      <c r="L131" s="89"/>
      <c r="M131" s="89" t="str">
        <f t="shared" si="4"/>
        <v>sen.joey.hensley@capitol.tn.gov</v>
      </c>
      <c r="N131" s="89"/>
      <c r="O131" s="89"/>
      <c r="P131" s="89"/>
      <c r="Q131" s="89"/>
      <c r="R131" s="89"/>
      <c r="V131" t="str">
        <f t="shared" si="5"/>
        <v>Senator</v>
      </c>
      <c r="W131" s="35" t="s">
        <v>2625</v>
      </c>
      <c r="X131" t="str">
        <f t="shared" si="6"/>
        <v>sen.joey.hensley@capitol.tn.gov</v>
      </c>
    </row>
    <row r="132">
      <c r="A132" s="14" t="s">
        <v>286</v>
      </c>
      <c r="B132" s="31">
        <v>29.0</v>
      </c>
      <c r="C132" s="38" t="s">
        <v>12906</v>
      </c>
      <c r="D132" s="38" t="s">
        <v>12907</v>
      </c>
      <c r="E132" s="36" t="s">
        <v>49</v>
      </c>
      <c r="F132" s="724" t="s">
        <v>12909</v>
      </c>
      <c r="L132" s="89"/>
      <c r="M132" s="89" t="str">
        <f t="shared" si="4"/>
        <v>sen.raumesh.akbari@capitol.tn.gov</v>
      </c>
      <c r="N132" s="89"/>
      <c r="O132" s="89"/>
      <c r="P132" s="89"/>
      <c r="Q132" s="89"/>
      <c r="R132" s="89"/>
      <c r="V132" t="str">
        <f t="shared" si="5"/>
        <v>Senator</v>
      </c>
      <c r="W132" s="38" t="s">
        <v>12907</v>
      </c>
      <c r="X132" t="str">
        <f t="shared" si="6"/>
        <v>sen.raumesh.akbari@capitol.tn.gov</v>
      </c>
    </row>
    <row r="133">
      <c r="A133" s="14" t="s">
        <v>286</v>
      </c>
      <c r="B133" s="31">
        <v>30.0</v>
      </c>
      <c r="C133" s="35" t="s">
        <v>171</v>
      </c>
      <c r="D133" s="35" t="s">
        <v>257</v>
      </c>
      <c r="E133" s="36" t="s">
        <v>49</v>
      </c>
      <c r="F133" s="724" t="s">
        <v>12826</v>
      </c>
      <c r="L133" s="89"/>
      <c r="M133" s="89" t="str">
        <f t="shared" si="4"/>
        <v>sen.sara.kyle@capitol.tn.gov</v>
      </c>
      <c r="N133" s="89"/>
      <c r="O133" s="89"/>
      <c r="P133" s="89"/>
      <c r="Q133" s="89"/>
      <c r="R133" s="89"/>
      <c r="V133" t="str">
        <f t="shared" si="5"/>
        <v>Senator</v>
      </c>
      <c r="W133" s="35" t="s">
        <v>257</v>
      </c>
      <c r="X133" t="str">
        <f t="shared" si="6"/>
        <v>sen.sara.kyle@capitol.tn.gov</v>
      </c>
    </row>
    <row r="134">
      <c r="A134" s="14" t="s">
        <v>286</v>
      </c>
      <c r="B134" s="31">
        <v>31.0</v>
      </c>
      <c r="C134" s="35" t="s">
        <v>1331</v>
      </c>
      <c r="D134" s="35" t="s">
        <v>12915</v>
      </c>
      <c r="E134" s="51" t="s">
        <v>53</v>
      </c>
      <c r="F134" s="591"/>
      <c r="L134" s="89"/>
      <c r="M134" s="89" t="str">
        <f t="shared" si="4"/>
        <v>sen.brian.kelsey@capitol.tn.gov</v>
      </c>
      <c r="N134" s="89"/>
      <c r="O134" s="89"/>
      <c r="P134" s="89"/>
      <c r="Q134" s="89"/>
      <c r="R134" s="89"/>
      <c r="V134" t="str">
        <f t="shared" si="5"/>
        <v>Senator</v>
      </c>
      <c r="W134" s="35" t="s">
        <v>12915</v>
      </c>
      <c r="X134" t="str">
        <f t="shared" si="6"/>
        <v>sen.brian.kelsey@capitol.tn.gov</v>
      </c>
    </row>
    <row r="135">
      <c r="A135" s="14" t="s">
        <v>286</v>
      </c>
      <c r="B135" s="31">
        <v>32.0</v>
      </c>
      <c r="C135" s="35" t="s">
        <v>91</v>
      </c>
      <c r="D135" s="35" t="s">
        <v>10218</v>
      </c>
      <c r="E135" s="51" t="s">
        <v>53</v>
      </c>
      <c r="F135" s="563"/>
      <c r="L135" s="89"/>
      <c r="M135" s="89" t="str">
        <f t="shared" si="4"/>
        <v>sen.mark.norris@capitol.tn.gov</v>
      </c>
      <c r="N135" s="89"/>
      <c r="O135" s="89"/>
      <c r="P135" s="89"/>
      <c r="Q135" s="89"/>
      <c r="R135" s="89"/>
      <c r="V135" t="str">
        <f t="shared" si="5"/>
        <v>Senator</v>
      </c>
      <c r="W135" s="35" t="s">
        <v>10218</v>
      </c>
      <c r="X135" t="str">
        <f t="shared" si="6"/>
        <v>sen.mark.norris@capitol.tn.gov</v>
      </c>
    </row>
    <row r="136">
      <c r="A136" s="14" t="s">
        <v>286</v>
      </c>
      <c r="B136" s="31">
        <v>33.0</v>
      </c>
      <c r="C136" s="14" t="s">
        <v>5695</v>
      </c>
      <c r="D136" s="38" t="s">
        <v>3039</v>
      </c>
      <c r="E136" s="36" t="s">
        <v>49</v>
      </c>
      <c r="F136" s="724" t="s">
        <v>2004</v>
      </c>
      <c r="L136" s="89"/>
      <c r="M136" s="89" t="str">
        <f t="shared" si="4"/>
        <v>sen.katrina.robinson@capitol.tn.gov</v>
      </c>
      <c r="N136" s="89"/>
      <c r="O136" s="89"/>
      <c r="P136" s="89"/>
      <c r="Q136" s="89"/>
      <c r="R136" s="89"/>
      <c r="V136" t="str">
        <f t="shared" si="5"/>
        <v>Senator</v>
      </c>
      <c r="W136" s="38" t="s">
        <v>3039</v>
      </c>
      <c r="X136" t="str">
        <f t="shared" si="6"/>
        <v>sen.katrina.robinson@capitol.tn.gov</v>
      </c>
    </row>
    <row r="137">
      <c r="A137" s="70"/>
      <c r="B137" s="70"/>
      <c r="C137" s="71"/>
      <c r="D137" s="71"/>
      <c r="E137" s="70"/>
      <c r="F137" s="417"/>
      <c r="G137" s="70"/>
      <c r="H137" s="70"/>
      <c r="I137" s="70"/>
      <c r="J137" s="70"/>
      <c r="K137" s="70"/>
      <c r="L137" s="70"/>
      <c r="M137" s="70"/>
      <c r="N137" s="70"/>
      <c r="O137" s="70"/>
      <c r="P137" s="70"/>
      <c r="Q137" s="70"/>
      <c r="R137" s="70"/>
      <c r="S137" s="70"/>
      <c r="T137" s="70"/>
      <c r="U137" s="70"/>
      <c r="V137" s="70"/>
      <c r="W137" s="70"/>
      <c r="X137" s="70"/>
      <c r="Y137" s="70"/>
      <c r="Z137" s="70"/>
      <c r="AA137" s="70"/>
      <c r="AB137" s="70"/>
      <c r="AC137" s="70"/>
      <c r="AD137" s="70"/>
      <c r="AE137" s="70"/>
      <c r="AF137" s="70"/>
      <c r="AG137" s="70"/>
      <c r="AH137" s="70"/>
    </row>
    <row r="138">
      <c r="A138" s="14" t="s">
        <v>421</v>
      </c>
      <c r="C138" s="77" t="s">
        <v>325</v>
      </c>
      <c r="D138" s="77" t="s">
        <v>629</v>
      </c>
      <c r="E138" s="51" t="s">
        <v>53</v>
      </c>
      <c r="F138" s="426"/>
      <c r="L138" s="89"/>
      <c r="M138" s="89"/>
      <c r="N138" s="89"/>
      <c r="O138" s="89"/>
      <c r="P138" s="89"/>
      <c r="Q138" s="89"/>
      <c r="R138" s="89"/>
    </row>
    <row r="139">
      <c r="A139" s="70"/>
      <c r="B139" s="70"/>
      <c r="C139" s="71"/>
      <c r="D139" s="71"/>
      <c r="E139" s="70"/>
      <c r="F139" s="417"/>
      <c r="G139" s="70"/>
      <c r="H139" s="70"/>
      <c r="I139" s="70"/>
      <c r="J139" s="70"/>
      <c r="K139" s="70"/>
      <c r="L139" s="70"/>
      <c r="M139" s="70"/>
      <c r="N139" s="70"/>
      <c r="O139" s="70"/>
      <c r="P139" s="70"/>
      <c r="Q139" s="70"/>
      <c r="R139" s="70"/>
      <c r="S139" s="70"/>
      <c r="T139" s="70"/>
      <c r="U139" s="70"/>
      <c r="V139" s="70"/>
      <c r="W139" s="70"/>
      <c r="X139" s="70"/>
      <c r="Y139" s="70"/>
      <c r="Z139" s="70"/>
      <c r="AA139" s="70"/>
      <c r="AB139" s="70"/>
      <c r="AC139" s="70"/>
      <c r="AD139" s="70"/>
      <c r="AE139" s="70"/>
      <c r="AF139" s="70"/>
      <c r="AG139" s="70"/>
      <c r="AH139" s="70"/>
    </row>
    <row r="140">
      <c r="A140" s="14" t="s">
        <v>427</v>
      </c>
      <c r="B140" s="14">
        <v>1.0</v>
      </c>
      <c r="C140" s="77" t="s">
        <v>1483</v>
      </c>
      <c r="D140" s="77" t="s">
        <v>10722</v>
      </c>
      <c r="E140" s="51" t="s">
        <v>53</v>
      </c>
      <c r="F140" s="426"/>
      <c r="L140" s="89"/>
      <c r="M140" s="89"/>
      <c r="N140" s="89"/>
      <c r="O140" s="89"/>
      <c r="P140" s="89"/>
      <c r="Q140" s="89"/>
      <c r="R140" s="89"/>
    </row>
    <row r="141">
      <c r="A141" s="14" t="s">
        <v>427</v>
      </c>
      <c r="B141" s="14">
        <v>2.0</v>
      </c>
      <c r="C141" s="77" t="s">
        <v>225</v>
      </c>
      <c r="D141" s="77" t="s">
        <v>12919</v>
      </c>
      <c r="E141" s="51" t="s">
        <v>53</v>
      </c>
      <c r="F141" s="426"/>
      <c r="L141" s="89"/>
      <c r="M141" s="89"/>
      <c r="N141" s="89"/>
      <c r="O141" s="89"/>
      <c r="P141" s="89"/>
      <c r="Q141" s="89"/>
      <c r="R141" s="89"/>
    </row>
    <row r="142">
      <c r="A142" s="14" t="s">
        <v>427</v>
      </c>
      <c r="B142" s="14">
        <v>3.0</v>
      </c>
      <c r="C142" s="77" t="s">
        <v>177</v>
      </c>
      <c r="D142" s="77" t="s">
        <v>12920</v>
      </c>
      <c r="E142" s="51" t="s">
        <v>53</v>
      </c>
      <c r="F142" s="426"/>
      <c r="L142" s="89"/>
      <c r="M142" s="89"/>
      <c r="N142" s="89"/>
      <c r="O142" s="89"/>
      <c r="P142" s="89"/>
      <c r="Q142" s="89"/>
      <c r="R142" s="89"/>
    </row>
    <row r="143">
      <c r="A143" s="14" t="s">
        <v>427</v>
      </c>
      <c r="B143" s="14">
        <v>4.0</v>
      </c>
      <c r="C143" s="77" t="s">
        <v>45</v>
      </c>
      <c r="D143" s="77" t="s">
        <v>12921</v>
      </c>
      <c r="E143" s="51" t="s">
        <v>53</v>
      </c>
      <c r="F143" s="426"/>
      <c r="L143" s="89"/>
      <c r="M143" s="89"/>
      <c r="N143" s="89"/>
      <c r="O143" s="89"/>
      <c r="P143" s="89"/>
      <c r="Q143" s="89"/>
      <c r="R143" s="89"/>
    </row>
    <row r="144">
      <c r="A144" s="14" t="s">
        <v>427</v>
      </c>
      <c r="B144" s="14">
        <v>5.0</v>
      </c>
      <c r="C144" s="77" t="s">
        <v>476</v>
      </c>
      <c r="D144" s="77" t="s">
        <v>1336</v>
      </c>
      <c r="E144" s="36" t="s">
        <v>49</v>
      </c>
      <c r="F144" s="426"/>
      <c r="L144" s="89"/>
      <c r="M144" s="89"/>
      <c r="N144" s="89"/>
      <c r="O144" s="89"/>
      <c r="P144" s="89"/>
      <c r="Q144" s="89"/>
      <c r="R144" s="89"/>
    </row>
    <row r="145">
      <c r="A145" s="14" t="s">
        <v>427</v>
      </c>
      <c r="B145" s="14">
        <v>6.0</v>
      </c>
      <c r="C145" s="77" t="s">
        <v>278</v>
      </c>
      <c r="D145" s="77" t="s">
        <v>2719</v>
      </c>
      <c r="E145" s="51" t="s">
        <v>53</v>
      </c>
      <c r="F145" s="426"/>
      <c r="L145" s="89"/>
      <c r="M145" s="89"/>
      <c r="N145" s="89"/>
      <c r="O145" s="89"/>
      <c r="P145" s="89"/>
      <c r="Q145" s="89"/>
      <c r="R145" s="89"/>
    </row>
    <row r="146">
      <c r="A146" s="14" t="s">
        <v>427</v>
      </c>
      <c r="B146" s="14">
        <v>7.0</v>
      </c>
      <c r="C146" s="77" t="s">
        <v>91</v>
      </c>
      <c r="D146" s="77" t="s">
        <v>2574</v>
      </c>
      <c r="E146" s="51" t="s">
        <v>53</v>
      </c>
      <c r="F146" s="426"/>
      <c r="L146" s="89"/>
      <c r="M146" s="89"/>
      <c r="N146" s="89"/>
      <c r="O146" s="89"/>
      <c r="P146" s="89"/>
      <c r="Q146" s="89"/>
      <c r="R146" s="89"/>
    </row>
    <row r="147">
      <c r="A147" s="14" t="s">
        <v>427</v>
      </c>
      <c r="B147" s="14">
        <v>8.0</v>
      </c>
      <c r="C147" s="77" t="s">
        <v>108</v>
      </c>
      <c r="D147" s="77" t="s">
        <v>12925</v>
      </c>
      <c r="E147" s="51" t="s">
        <v>53</v>
      </c>
      <c r="F147" s="426"/>
      <c r="N147" s="89"/>
      <c r="O147" s="89"/>
      <c r="P147" s="89"/>
      <c r="Q147" s="89"/>
      <c r="R147" s="89"/>
    </row>
    <row r="148">
      <c r="A148" s="14" t="s">
        <v>427</v>
      </c>
      <c r="B148" s="14">
        <v>9.0</v>
      </c>
      <c r="C148" s="77" t="s">
        <v>55</v>
      </c>
      <c r="D148" s="77" t="s">
        <v>2878</v>
      </c>
      <c r="E148" s="36" t="s">
        <v>49</v>
      </c>
      <c r="F148" s="426"/>
      <c r="L148" s="89"/>
      <c r="M148" s="89"/>
      <c r="N148" s="89"/>
      <c r="O148" s="89"/>
      <c r="P148" s="89"/>
      <c r="Q148" s="89"/>
      <c r="R148" s="89"/>
    </row>
    <row r="149">
      <c r="A149" s="70"/>
      <c r="B149" s="70"/>
      <c r="C149" s="71"/>
      <c r="D149" s="71"/>
      <c r="E149" s="70"/>
      <c r="F149" s="417"/>
      <c r="G149" s="70"/>
      <c r="H149" s="70"/>
      <c r="I149" s="70"/>
      <c r="J149" s="70"/>
      <c r="L149" s="89"/>
      <c r="M149" s="89"/>
      <c r="N149" s="70"/>
      <c r="O149" s="70"/>
      <c r="P149" s="70"/>
      <c r="Q149" s="70"/>
      <c r="R149" s="70"/>
      <c r="S149" s="70"/>
      <c r="T149" s="70"/>
      <c r="U149" s="70"/>
      <c r="V149" s="70"/>
      <c r="W149" s="70"/>
      <c r="X149" s="70"/>
      <c r="Y149" s="70"/>
      <c r="Z149" s="70"/>
      <c r="AA149" s="70"/>
      <c r="AB149" s="70"/>
      <c r="AC149" s="70"/>
      <c r="AD149" s="70"/>
      <c r="AE149" s="70"/>
      <c r="AF149" s="70"/>
      <c r="AG149" s="70"/>
      <c r="AH149" s="70"/>
    </row>
    <row r="150">
      <c r="A150" s="14" t="s">
        <v>430</v>
      </c>
      <c r="B150" s="14" t="s">
        <v>431</v>
      </c>
      <c r="C150" s="77" t="s">
        <v>7476</v>
      </c>
      <c r="D150" s="77" t="s">
        <v>505</v>
      </c>
      <c r="E150" s="51" t="s">
        <v>53</v>
      </c>
      <c r="F150" s="426"/>
      <c r="K150" s="70"/>
      <c r="L150" s="70"/>
      <c r="M150" s="70"/>
    </row>
    <row r="151">
      <c r="A151" s="14" t="s">
        <v>430</v>
      </c>
      <c r="B151" s="14" t="s">
        <v>434</v>
      </c>
      <c r="C151" s="77" t="s">
        <v>12926</v>
      </c>
      <c r="D151" s="77" t="s">
        <v>12927</v>
      </c>
      <c r="E151" s="51" t="s">
        <v>53</v>
      </c>
      <c r="F151" s="426"/>
    </row>
    <row r="152">
      <c r="A152" s="70"/>
      <c r="B152" s="70"/>
      <c r="C152" s="71"/>
      <c r="D152" s="71"/>
      <c r="E152" s="70"/>
      <c r="F152" s="417"/>
      <c r="G152" s="70"/>
      <c r="H152" s="70"/>
      <c r="I152" s="70"/>
      <c r="J152" s="70"/>
      <c r="N152" s="70"/>
      <c r="O152" s="70"/>
      <c r="P152" s="70"/>
      <c r="Q152" s="70"/>
      <c r="R152" s="70"/>
      <c r="S152" s="70"/>
      <c r="T152" s="70"/>
      <c r="U152" s="70"/>
      <c r="V152" s="70"/>
      <c r="W152" s="70"/>
      <c r="X152" s="70"/>
      <c r="Y152" s="70"/>
      <c r="Z152" s="70"/>
      <c r="AA152" s="70"/>
      <c r="AB152" s="70"/>
      <c r="AC152" s="70"/>
      <c r="AD152" s="70"/>
      <c r="AE152" s="70"/>
      <c r="AF152" s="70"/>
      <c r="AG152" s="70"/>
      <c r="AH152" s="70"/>
    </row>
    <row r="153">
      <c r="A153" s="14" t="s">
        <v>438</v>
      </c>
      <c r="C153" s="77" t="s">
        <v>12860</v>
      </c>
      <c r="D153" s="77" t="s">
        <v>12928</v>
      </c>
      <c r="E153" s="51" t="s">
        <v>53</v>
      </c>
      <c r="F153" s="426"/>
      <c r="K153" s="70"/>
      <c r="L153" s="70"/>
      <c r="M153" s="70"/>
    </row>
    <row r="154">
      <c r="A154" s="70"/>
      <c r="B154" s="70"/>
      <c r="C154" s="71"/>
      <c r="D154" s="71"/>
      <c r="E154" s="70"/>
      <c r="F154" s="417"/>
      <c r="G154" s="70"/>
      <c r="H154" s="70"/>
      <c r="I154" s="70"/>
      <c r="J154" s="70"/>
      <c r="N154" s="70"/>
      <c r="O154" s="70"/>
      <c r="P154" s="70"/>
      <c r="Q154" s="70"/>
      <c r="R154" s="70"/>
      <c r="S154" s="70"/>
      <c r="T154" s="70"/>
      <c r="U154" s="70"/>
      <c r="V154" s="70"/>
      <c r="W154" s="70"/>
      <c r="X154" s="70"/>
      <c r="Y154" s="70"/>
      <c r="Z154" s="70"/>
      <c r="AA154" s="70"/>
      <c r="AB154" s="70"/>
      <c r="AC154" s="70"/>
      <c r="AD154" s="70"/>
      <c r="AE154" s="70"/>
      <c r="AF154" s="70"/>
      <c r="AG154" s="70"/>
      <c r="AH154" s="70"/>
    </row>
    <row r="155">
      <c r="C155" s="139"/>
      <c r="D155" s="139"/>
      <c r="F155" s="426"/>
      <c r="K155" s="70"/>
      <c r="L155" s="70"/>
      <c r="M155" s="70"/>
    </row>
    <row r="156">
      <c r="C156" s="139"/>
      <c r="D156" s="139"/>
      <c r="F156" s="426"/>
    </row>
    <row r="157">
      <c r="C157" s="139"/>
      <c r="D157" s="139"/>
      <c r="F157" s="426"/>
    </row>
    <row r="158">
      <c r="C158" s="139"/>
      <c r="D158" s="139"/>
      <c r="F158" s="426"/>
    </row>
    <row r="159">
      <c r="C159" s="139"/>
      <c r="D159" s="139"/>
      <c r="F159" s="426"/>
    </row>
    <row r="160">
      <c r="C160" s="139"/>
      <c r="D160" s="139"/>
      <c r="F160" s="426"/>
    </row>
    <row r="161">
      <c r="C161" s="139"/>
      <c r="D161" s="139"/>
      <c r="F161" s="426"/>
    </row>
    <row r="162">
      <c r="C162" s="139"/>
      <c r="D162" s="139"/>
      <c r="F162" s="426"/>
    </row>
    <row r="163">
      <c r="C163" s="139"/>
      <c r="D163" s="139"/>
      <c r="F163" s="426"/>
    </row>
    <row r="164">
      <c r="C164" s="139"/>
      <c r="D164" s="139"/>
      <c r="F164" s="426"/>
    </row>
    <row r="165">
      <c r="C165" s="139"/>
      <c r="D165" s="139"/>
      <c r="F165" s="426"/>
    </row>
    <row r="166">
      <c r="C166" s="139"/>
      <c r="D166" s="139"/>
      <c r="F166" s="426"/>
    </row>
    <row r="167">
      <c r="C167" s="139"/>
      <c r="D167" s="139"/>
      <c r="F167" s="426"/>
    </row>
    <row r="168">
      <c r="C168" s="139"/>
      <c r="D168" s="139"/>
      <c r="F168" s="426"/>
    </row>
    <row r="169">
      <c r="C169" s="139"/>
      <c r="D169" s="139"/>
      <c r="F169" s="426"/>
    </row>
    <row r="170">
      <c r="C170" s="139"/>
      <c r="D170" s="139"/>
      <c r="F170" s="426"/>
    </row>
    <row r="171">
      <c r="C171" s="139"/>
      <c r="D171" s="139"/>
      <c r="F171" s="426"/>
    </row>
    <row r="172">
      <c r="C172" s="139"/>
      <c r="D172" s="139"/>
      <c r="F172" s="426"/>
    </row>
    <row r="173">
      <c r="C173" s="139"/>
      <c r="D173" s="139"/>
      <c r="F173" s="426"/>
    </row>
    <row r="174">
      <c r="C174" s="139"/>
      <c r="D174" s="139"/>
      <c r="F174" s="426"/>
    </row>
    <row r="175">
      <c r="C175" s="139"/>
      <c r="D175" s="139"/>
      <c r="F175" s="426"/>
    </row>
    <row r="176">
      <c r="C176" s="139"/>
      <c r="D176" s="139"/>
      <c r="F176" s="426"/>
    </row>
    <row r="177">
      <c r="C177" s="139"/>
      <c r="D177" s="139"/>
      <c r="F177" s="426"/>
    </row>
    <row r="178">
      <c r="C178" s="139"/>
      <c r="D178" s="139"/>
      <c r="F178" s="426"/>
    </row>
    <row r="179">
      <c r="C179" s="139"/>
      <c r="D179" s="139"/>
      <c r="F179" s="426"/>
    </row>
    <row r="180">
      <c r="C180" s="139"/>
      <c r="D180" s="139"/>
      <c r="F180" s="426"/>
    </row>
    <row r="181">
      <c r="C181" s="139"/>
      <c r="D181" s="139"/>
      <c r="F181" s="426"/>
    </row>
    <row r="182">
      <c r="C182" s="139"/>
      <c r="D182" s="139"/>
      <c r="F182" s="426"/>
    </row>
    <row r="183">
      <c r="C183" s="139"/>
      <c r="D183" s="139"/>
      <c r="F183" s="426"/>
    </row>
    <row r="184">
      <c r="C184" s="139"/>
      <c r="D184" s="139"/>
      <c r="F184" s="426"/>
    </row>
    <row r="185">
      <c r="C185" s="139"/>
      <c r="D185" s="139"/>
      <c r="F185" s="426"/>
    </row>
    <row r="186">
      <c r="C186" s="139"/>
      <c r="D186" s="139"/>
      <c r="F186" s="426"/>
    </row>
    <row r="187">
      <c r="C187" s="139"/>
      <c r="D187" s="139"/>
      <c r="F187" s="426"/>
    </row>
    <row r="188">
      <c r="C188" s="139"/>
      <c r="D188" s="139"/>
      <c r="F188" s="426"/>
    </row>
    <row r="189">
      <c r="C189" s="139"/>
      <c r="D189" s="139"/>
      <c r="F189" s="426"/>
    </row>
    <row r="190">
      <c r="C190" s="139"/>
      <c r="D190" s="139"/>
      <c r="F190" s="426"/>
    </row>
    <row r="191">
      <c r="C191" s="139"/>
      <c r="D191" s="139"/>
      <c r="F191" s="426"/>
    </row>
    <row r="192">
      <c r="C192" s="139"/>
      <c r="D192" s="139"/>
      <c r="F192" s="426"/>
    </row>
    <row r="193">
      <c r="C193" s="139"/>
      <c r="D193" s="139"/>
      <c r="F193" s="426"/>
    </row>
    <row r="194">
      <c r="C194" s="139"/>
      <c r="D194" s="139"/>
      <c r="F194" s="426"/>
    </row>
    <row r="195">
      <c r="C195" s="139"/>
      <c r="D195" s="139"/>
      <c r="F195" s="426"/>
    </row>
    <row r="196">
      <c r="C196" s="139"/>
      <c r="D196" s="139"/>
      <c r="F196" s="426"/>
    </row>
    <row r="197">
      <c r="C197" s="139"/>
      <c r="D197" s="139"/>
      <c r="F197" s="426"/>
    </row>
    <row r="198">
      <c r="C198" s="139"/>
      <c r="D198" s="139"/>
      <c r="F198" s="426"/>
    </row>
    <row r="199">
      <c r="C199" s="139"/>
      <c r="D199" s="139"/>
      <c r="F199" s="426"/>
    </row>
    <row r="200">
      <c r="C200" s="139"/>
      <c r="D200" s="139"/>
      <c r="F200" s="426"/>
    </row>
    <row r="201">
      <c r="C201" s="139"/>
      <c r="D201" s="139"/>
      <c r="F201" s="426"/>
    </row>
    <row r="202">
      <c r="C202" s="139"/>
      <c r="D202" s="139"/>
      <c r="F202" s="426"/>
    </row>
    <row r="203">
      <c r="C203" s="139"/>
      <c r="D203" s="139"/>
      <c r="F203" s="426"/>
    </row>
    <row r="204">
      <c r="C204" s="139"/>
      <c r="D204" s="139"/>
      <c r="F204" s="426"/>
    </row>
    <row r="205">
      <c r="C205" s="139"/>
      <c r="D205" s="139"/>
      <c r="F205" s="426"/>
    </row>
    <row r="206">
      <c r="C206" s="139"/>
      <c r="D206" s="139"/>
      <c r="F206" s="426"/>
    </row>
    <row r="207">
      <c r="C207" s="139"/>
      <c r="D207" s="139"/>
      <c r="F207" s="426"/>
    </row>
    <row r="208">
      <c r="C208" s="139"/>
      <c r="D208" s="139"/>
      <c r="F208" s="426"/>
    </row>
    <row r="209">
      <c r="C209" s="139"/>
      <c r="D209" s="139"/>
      <c r="F209" s="426"/>
    </row>
    <row r="210">
      <c r="C210" s="139"/>
      <c r="D210" s="139"/>
      <c r="F210" s="426"/>
    </row>
    <row r="211">
      <c r="C211" s="139"/>
      <c r="D211" s="139"/>
      <c r="F211" s="426"/>
    </row>
    <row r="212">
      <c r="C212" s="139"/>
      <c r="D212" s="139"/>
      <c r="F212" s="426"/>
    </row>
    <row r="213">
      <c r="C213" s="139"/>
      <c r="D213" s="139"/>
      <c r="F213" s="426"/>
    </row>
    <row r="214">
      <c r="C214" s="139"/>
      <c r="D214" s="139"/>
      <c r="F214" s="426"/>
    </row>
    <row r="215">
      <c r="C215" s="139"/>
      <c r="D215" s="139"/>
      <c r="F215" s="426"/>
    </row>
    <row r="216">
      <c r="C216" s="139"/>
      <c r="D216" s="139"/>
      <c r="F216" s="426"/>
    </row>
    <row r="217">
      <c r="C217" s="139"/>
      <c r="D217" s="139"/>
      <c r="F217" s="426"/>
    </row>
    <row r="218">
      <c r="C218" s="139"/>
      <c r="D218" s="139"/>
      <c r="F218" s="426"/>
    </row>
    <row r="219">
      <c r="C219" s="139"/>
      <c r="D219" s="139"/>
      <c r="F219" s="426"/>
    </row>
    <row r="220">
      <c r="C220" s="139"/>
      <c r="D220" s="139"/>
      <c r="F220" s="426"/>
    </row>
    <row r="221">
      <c r="C221" s="139"/>
      <c r="D221" s="139"/>
      <c r="F221" s="426"/>
    </row>
    <row r="222">
      <c r="C222" s="139"/>
      <c r="D222" s="139"/>
      <c r="F222" s="426"/>
    </row>
    <row r="223">
      <c r="C223" s="139"/>
      <c r="D223" s="139"/>
      <c r="F223" s="426"/>
    </row>
    <row r="224">
      <c r="C224" s="139"/>
      <c r="D224" s="139"/>
      <c r="F224" s="426"/>
    </row>
    <row r="225">
      <c r="C225" s="139"/>
      <c r="D225" s="139"/>
      <c r="F225" s="426"/>
    </row>
    <row r="226">
      <c r="C226" s="139"/>
      <c r="D226" s="139"/>
      <c r="F226" s="426"/>
    </row>
    <row r="227">
      <c r="C227" s="139"/>
      <c r="D227" s="139"/>
      <c r="F227" s="426"/>
    </row>
    <row r="228">
      <c r="C228" s="139"/>
      <c r="D228" s="139"/>
      <c r="F228" s="426"/>
    </row>
    <row r="229">
      <c r="C229" s="139"/>
      <c r="D229" s="139"/>
      <c r="F229" s="426"/>
    </row>
    <row r="230">
      <c r="C230" s="139"/>
      <c r="D230" s="139"/>
      <c r="F230" s="426"/>
    </row>
    <row r="231">
      <c r="C231" s="139"/>
      <c r="D231" s="139"/>
      <c r="F231" s="426"/>
    </row>
    <row r="232">
      <c r="C232" s="139"/>
      <c r="D232" s="139"/>
      <c r="F232" s="426"/>
    </row>
    <row r="233">
      <c r="C233" s="139"/>
      <c r="D233" s="139"/>
      <c r="F233" s="426"/>
    </row>
    <row r="234">
      <c r="C234" s="139"/>
      <c r="D234" s="139"/>
      <c r="F234" s="426"/>
    </row>
    <row r="235">
      <c r="C235" s="139"/>
      <c r="D235" s="139"/>
      <c r="F235" s="426"/>
    </row>
    <row r="236">
      <c r="C236" s="139"/>
      <c r="D236" s="139"/>
      <c r="F236" s="426"/>
    </row>
    <row r="237">
      <c r="C237" s="139"/>
      <c r="D237" s="139"/>
      <c r="F237" s="426"/>
    </row>
    <row r="238">
      <c r="C238" s="139"/>
      <c r="D238" s="139"/>
      <c r="F238" s="426"/>
    </row>
    <row r="239">
      <c r="C239" s="139"/>
      <c r="D239" s="139"/>
      <c r="F239" s="426"/>
    </row>
    <row r="240">
      <c r="C240" s="139"/>
      <c r="D240" s="139"/>
      <c r="F240" s="426"/>
    </row>
    <row r="241">
      <c r="C241" s="139"/>
      <c r="D241" s="139"/>
      <c r="F241" s="426"/>
    </row>
    <row r="242">
      <c r="C242" s="139"/>
      <c r="D242" s="139"/>
      <c r="F242" s="426"/>
    </row>
    <row r="243">
      <c r="C243" s="139"/>
      <c r="D243" s="139"/>
      <c r="F243" s="426"/>
    </row>
    <row r="244">
      <c r="C244" s="139"/>
      <c r="D244" s="139"/>
      <c r="F244" s="426"/>
    </row>
    <row r="245">
      <c r="C245" s="139"/>
      <c r="D245" s="139"/>
      <c r="F245" s="426"/>
    </row>
    <row r="246">
      <c r="C246" s="139"/>
      <c r="D246" s="139"/>
      <c r="F246" s="426"/>
    </row>
    <row r="247">
      <c r="C247" s="139"/>
      <c r="D247" s="139"/>
      <c r="F247" s="426"/>
    </row>
    <row r="248">
      <c r="C248" s="139"/>
      <c r="D248" s="139"/>
      <c r="F248" s="426"/>
    </row>
    <row r="249">
      <c r="C249" s="139"/>
      <c r="D249" s="139"/>
      <c r="F249" s="426"/>
    </row>
    <row r="250">
      <c r="C250" s="139"/>
      <c r="D250" s="139"/>
      <c r="F250" s="426"/>
    </row>
    <row r="251">
      <c r="C251" s="139"/>
      <c r="D251" s="139"/>
      <c r="F251" s="426"/>
    </row>
    <row r="252">
      <c r="C252" s="139"/>
      <c r="D252" s="139"/>
      <c r="F252" s="426"/>
    </row>
    <row r="253">
      <c r="C253" s="139"/>
      <c r="D253" s="139"/>
      <c r="F253" s="426"/>
    </row>
    <row r="254">
      <c r="C254" s="139"/>
      <c r="D254" s="139"/>
      <c r="F254" s="426"/>
    </row>
    <row r="255">
      <c r="C255" s="139"/>
      <c r="D255" s="139"/>
      <c r="F255" s="426"/>
    </row>
    <row r="256">
      <c r="C256" s="139"/>
      <c r="D256" s="139"/>
      <c r="F256" s="426"/>
    </row>
    <row r="257">
      <c r="C257" s="139"/>
      <c r="D257" s="139"/>
      <c r="F257" s="426"/>
    </row>
    <row r="258">
      <c r="C258" s="139"/>
      <c r="D258" s="139"/>
      <c r="F258" s="426"/>
    </row>
    <row r="259">
      <c r="C259" s="139"/>
      <c r="D259" s="139"/>
      <c r="F259" s="426"/>
    </row>
    <row r="260">
      <c r="C260" s="139"/>
      <c r="D260" s="139"/>
      <c r="F260" s="426"/>
    </row>
    <row r="261">
      <c r="C261" s="139"/>
      <c r="D261" s="139"/>
      <c r="F261" s="426"/>
    </row>
    <row r="262">
      <c r="C262" s="139"/>
      <c r="D262" s="139"/>
      <c r="F262" s="426"/>
    </row>
    <row r="263">
      <c r="C263" s="139"/>
      <c r="D263" s="139"/>
      <c r="F263" s="426"/>
    </row>
    <row r="264">
      <c r="C264" s="139"/>
      <c r="D264" s="139"/>
      <c r="F264" s="426"/>
    </row>
    <row r="265">
      <c r="C265" s="139"/>
      <c r="D265" s="139"/>
      <c r="F265" s="426"/>
    </row>
    <row r="266">
      <c r="C266" s="139"/>
      <c r="D266" s="139"/>
      <c r="F266" s="426"/>
    </row>
    <row r="267">
      <c r="C267" s="139"/>
      <c r="D267" s="139"/>
      <c r="F267" s="426"/>
    </row>
    <row r="268">
      <c r="C268" s="139"/>
      <c r="D268" s="139"/>
      <c r="F268" s="426"/>
    </row>
    <row r="269">
      <c r="C269" s="139"/>
      <c r="D269" s="139"/>
      <c r="F269" s="426"/>
    </row>
    <row r="270">
      <c r="C270" s="139"/>
      <c r="D270" s="139"/>
      <c r="F270" s="426"/>
    </row>
    <row r="271">
      <c r="C271" s="139"/>
      <c r="D271" s="139"/>
      <c r="F271" s="426"/>
    </row>
    <row r="272">
      <c r="C272" s="139"/>
      <c r="D272" s="139"/>
      <c r="F272" s="426"/>
    </row>
    <row r="273">
      <c r="C273" s="139"/>
      <c r="D273" s="139"/>
      <c r="F273" s="426"/>
    </row>
    <row r="274">
      <c r="C274" s="139"/>
      <c r="D274" s="139"/>
      <c r="F274" s="426"/>
    </row>
    <row r="275">
      <c r="C275" s="139"/>
      <c r="D275" s="139"/>
      <c r="F275" s="426"/>
    </row>
    <row r="276">
      <c r="C276" s="139"/>
      <c r="D276" s="139"/>
      <c r="F276" s="426"/>
    </row>
    <row r="277">
      <c r="C277" s="139"/>
      <c r="D277" s="139"/>
      <c r="F277" s="426"/>
    </row>
    <row r="278">
      <c r="C278" s="139"/>
      <c r="D278" s="139"/>
      <c r="F278" s="426"/>
    </row>
    <row r="279">
      <c r="C279" s="139"/>
      <c r="D279" s="139"/>
      <c r="F279" s="426"/>
    </row>
    <row r="280">
      <c r="C280" s="139"/>
      <c r="D280" s="139"/>
      <c r="F280" s="426"/>
    </row>
    <row r="281">
      <c r="C281" s="139"/>
      <c r="D281" s="139"/>
      <c r="F281" s="426"/>
    </row>
    <row r="282">
      <c r="C282" s="139"/>
      <c r="D282" s="139"/>
      <c r="F282" s="426"/>
    </row>
    <row r="283">
      <c r="C283" s="139"/>
      <c r="D283" s="139"/>
      <c r="F283" s="426"/>
    </row>
    <row r="284">
      <c r="C284" s="139"/>
      <c r="D284" s="139"/>
      <c r="F284" s="426"/>
    </row>
    <row r="285">
      <c r="C285" s="139"/>
      <c r="D285" s="139"/>
      <c r="F285" s="426"/>
    </row>
    <row r="286">
      <c r="C286" s="139"/>
      <c r="D286" s="139"/>
      <c r="F286" s="426"/>
    </row>
    <row r="287">
      <c r="C287" s="139"/>
      <c r="D287" s="139"/>
      <c r="F287" s="426"/>
    </row>
    <row r="288">
      <c r="C288" s="139"/>
      <c r="D288" s="139"/>
      <c r="F288" s="426"/>
    </row>
    <row r="289">
      <c r="C289" s="139"/>
      <c r="D289" s="139"/>
      <c r="F289" s="426"/>
    </row>
    <row r="290">
      <c r="C290" s="139"/>
      <c r="D290" s="139"/>
      <c r="F290" s="426"/>
    </row>
    <row r="291">
      <c r="C291" s="139"/>
      <c r="D291" s="139"/>
      <c r="F291" s="426"/>
    </row>
    <row r="292">
      <c r="C292" s="139"/>
      <c r="D292" s="139"/>
      <c r="F292" s="426"/>
    </row>
    <row r="293">
      <c r="C293" s="139"/>
      <c r="D293" s="139"/>
      <c r="F293" s="426"/>
    </row>
    <row r="294">
      <c r="C294" s="139"/>
      <c r="D294" s="139"/>
      <c r="F294" s="426"/>
    </row>
    <row r="295">
      <c r="C295" s="139"/>
      <c r="D295" s="139"/>
      <c r="F295" s="426"/>
    </row>
    <row r="296">
      <c r="C296" s="139"/>
      <c r="D296" s="139"/>
      <c r="F296" s="426"/>
    </row>
    <row r="297">
      <c r="C297" s="139"/>
      <c r="D297" s="139"/>
      <c r="F297" s="426"/>
    </row>
    <row r="298">
      <c r="C298" s="139"/>
      <c r="D298" s="139"/>
      <c r="F298" s="426"/>
    </row>
    <row r="299">
      <c r="C299" s="139"/>
      <c r="D299" s="139"/>
      <c r="F299" s="426"/>
    </row>
    <row r="300">
      <c r="C300" s="139"/>
      <c r="D300" s="139"/>
      <c r="F300" s="426"/>
    </row>
    <row r="301">
      <c r="C301" s="139"/>
      <c r="D301" s="139"/>
      <c r="F301" s="426"/>
    </row>
    <row r="302">
      <c r="C302" s="139"/>
      <c r="D302" s="139"/>
      <c r="F302" s="426"/>
    </row>
    <row r="303">
      <c r="C303" s="139"/>
      <c r="D303" s="139"/>
      <c r="F303" s="426"/>
    </row>
    <row r="304">
      <c r="C304" s="139"/>
      <c r="D304" s="139"/>
      <c r="F304" s="426"/>
    </row>
    <row r="305">
      <c r="C305" s="139"/>
      <c r="D305" s="139"/>
      <c r="F305" s="426"/>
    </row>
    <row r="306">
      <c r="C306" s="139"/>
      <c r="D306" s="139"/>
      <c r="F306" s="426"/>
    </row>
    <row r="307">
      <c r="C307" s="139"/>
      <c r="D307" s="139"/>
      <c r="F307" s="426"/>
    </row>
    <row r="308">
      <c r="C308" s="139"/>
      <c r="D308" s="139"/>
      <c r="F308" s="426"/>
    </row>
    <row r="309">
      <c r="C309" s="139"/>
      <c r="D309" s="139"/>
      <c r="F309" s="426"/>
    </row>
    <row r="310">
      <c r="C310" s="139"/>
      <c r="D310" s="139"/>
      <c r="F310" s="426"/>
    </row>
    <row r="311">
      <c r="C311" s="139"/>
      <c r="D311" s="139"/>
      <c r="F311" s="426"/>
    </row>
    <row r="312">
      <c r="C312" s="139"/>
      <c r="D312" s="139"/>
      <c r="F312" s="426"/>
    </row>
    <row r="313">
      <c r="C313" s="139"/>
      <c r="D313" s="139"/>
      <c r="F313" s="426"/>
    </row>
    <row r="314">
      <c r="C314" s="139"/>
      <c r="D314" s="139"/>
      <c r="F314" s="426"/>
    </row>
    <row r="315">
      <c r="C315" s="139"/>
      <c r="D315" s="139"/>
      <c r="F315" s="426"/>
    </row>
    <row r="316">
      <c r="C316" s="139"/>
      <c r="D316" s="139"/>
      <c r="F316" s="426"/>
    </row>
    <row r="317">
      <c r="C317" s="139"/>
      <c r="D317" s="139"/>
      <c r="F317" s="426"/>
    </row>
    <row r="318">
      <c r="C318" s="139"/>
      <c r="D318" s="139"/>
      <c r="F318" s="426"/>
    </row>
    <row r="319">
      <c r="C319" s="139"/>
      <c r="D319" s="139"/>
      <c r="F319" s="426"/>
    </row>
    <row r="320">
      <c r="C320" s="139"/>
      <c r="D320" s="139"/>
      <c r="F320" s="426"/>
    </row>
    <row r="321">
      <c r="C321" s="139"/>
      <c r="D321" s="139"/>
      <c r="F321" s="426"/>
    </row>
    <row r="322">
      <c r="C322" s="139"/>
      <c r="D322" s="139"/>
      <c r="F322" s="426"/>
    </row>
    <row r="323">
      <c r="C323" s="139"/>
      <c r="D323" s="139"/>
      <c r="F323" s="426"/>
    </row>
    <row r="324">
      <c r="C324" s="139"/>
      <c r="D324" s="139"/>
      <c r="F324" s="426"/>
    </row>
    <row r="325">
      <c r="C325" s="139"/>
      <c r="D325" s="139"/>
      <c r="F325" s="426"/>
    </row>
    <row r="326">
      <c r="C326" s="139"/>
      <c r="D326" s="139"/>
      <c r="F326" s="426"/>
    </row>
    <row r="327">
      <c r="C327" s="139"/>
      <c r="D327" s="139"/>
      <c r="F327" s="426"/>
    </row>
    <row r="328">
      <c r="C328" s="139"/>
      <c r="D328" s="139"/>
      <c r="F328" s="426"/>
    </row>
    <row r="329">
      <c r="C329" s="139"/>
      <c r="D329" s="139"/>
      <c r="F329" s="426"/>
    </row>
    <row r="330">
      <c r="C330" s="139"/>
      <c r="D330" s="139"/>
      <c r="F330" s="426"/>
    </row>
    <row r="331">
      <c r="C331" s="139"/>
      <c r="D331" s="139"/>
      <c r="F331" s="426"/>
    </row>
    <row r="332">
      <c r="C332" s="139"/>
      <c r="D332" s="139"/>
      <c r="F332" s="426"/>
    </row>
    <row r="333">
      <c r="C333" s="139"/>
      <c r="D333" s="139"/>
      <c r="F333" s="426"/>
    </row>
    <row r="334">
      <c r="C334" s="139"/>
      <c r="D334" s="139"/>
      <c r="F334" s="426"/>
    </row>
    <row r="335">
      <c r="C335" s="139"/>
      <c r="D335" s="139"/>
      <c r="F335" s="426"/>
    </row>
    <row r="336">
      <c r="C336" s="139"/>
      <c r="D336" s="139"/>
      <c r="F336" s="426"/>
    </row>
    <row r="337">
      <c r="C337" s="139"/>
      <c r="D337" s="139"/>
      <c r="F337" s="426"/>
    </row>
    <row r="338">
      <c r="C338" s="139"/>
      <c r="D338" s="139"/>
      <c r="F338" s="426"/>
    </row>
    <row r="339">
      <c r="C339" s="139"/>
      <c r="D339" s="139"/>
      <c r="F339" s="426"/>
    </row>
    <row r="340">
      <c r="C340" s="139"/>
      <c r="D340" s="139"/>
      <c r="F340" s="426"/>
    </row>
    <row r="341">
      <c r="C341" s="139"/>
      <c r="D341" s="139"/>
      <c r="F341" s="426"/>
    </row>
    <row r="342">
      <c r="C342" s="139"/>
      <c r="D342" s="139"/>
      <c r="F342" s="426"/>
    </row>
    <row r="343">
      <c r="C343" s="139"/>
      <c r="D343" s="139"/>
      <c r="F343" s="426"/>
    </row>
    <row r="344">
      <c r="C344" s="139"/>
      <c r="D344" s="139"/>
      <c r="F344" s="426"/>
    </row>
    <row r="345">
      <c r="C345" s="139"/>
      <c r="D345" s="139"/>
      <c r="F345" s="426"/>
    </row>
    <row r="346">
      <c r="C346" s="139"/>
      <c r="D346" s="139"/>
      <c r="F346" s="426"/>
    </row>
    <row r="347">
      <c r="C347" s="139"/>
      <c r="D347" s="139"/>
      <c r="F347" s="426"/>
    </row>
    <row r="348">
      <c r="C348" s="139"/>
      <c r="D348" s="139"/>
      <c r="F348" s="426"/>
    </row>
    <row r="349">
      <c r="C349" s="139"/>
      <c r="D349" s="139"/>
      <c r="F349" s="426"/>
    </row>
    <row r="350">
      <c r="C350" s="139"/>
      <c r="D350" s="139"/>
      <c r="F350" s="426"/>
    </row>
    <row r="351">
      <c r="C351" s="139"/>
      <c r="D351" s="139"/>
      <c r="F351" s="426"/>
    </row>
    <row r="352">
      <c r="C352" s="139"/>
      <c r="D352" s="139"/>
      <c r="F352" s="426"/>
    </row>
    <row r="353">
      <c r="C353" s="139"/>
      <c r="D353" s="139"/>
      <c r="F353" s="426"/>
    </row>
    <row r="354">
      <c r="C354" s="139"/>
      <c r="D354" s="139"/>
      <c r="F354" s="426"/>
    </row>
    <row r="355">
      <c r="C355" s="139"/>
      <c r="D355" s="139"/>
      <c r="F355" s="426"/>
    </row>
    <row r="356">
      <c r="C356" s="139"/>
      <c r="D356" s="139"/>
      <c r="F356" s="426"/>
    </row>
    <row r="357">
      <c r="C357" s="139"/>
      <c r="D357" s="139"/>
      <c r="F357" s="426"/>
    </row>
    <row r="358">
      <c r="C358" s="139"/>
      <c r="D358" s="139"/>
      <c r="F358" s="426"/>
    </row>
    <row r="359">
      <c r="C359" s="139"/>
      <c r="D359" s="139"/>
      <c r="F359" s="426"/>
    </row>
    <row r="360">
      <c r="C360" s="139"/>
      <c r="D360" s="139"/>
      <c r="F360" s="426"/>
    </row>
    <row r="361">
      <c r="C361" s="139"/>
      <c r="D361" s="139"/>
      <c r="F361" s="426"/>
    </row>
    <row r="362">
      <c r="C362" s="139"/>
      <c r="D362" s="139"/>
      <c r="F362" s="426"/>
    </row>
    <row r="363">
      <c r="C363" s="139"/>
      <c r="D363" s="139"/>
      <c r="F363" s="426"/>
    </row>
    <row r="364">
      <c r="C364" s="139"/>
      <c r="D364" s="139"/>
      <c r="F364" s="426"/>
    </row>
    <row r="365">
      <c r="C365" s="139"/>
      <c r="D365" s="139"/>
      <c r="F365" s="426"/>
    </row>
    <row r="366">
      <c r="C366" s="139"/>
      <c r="D366" s="139"/>
      <c r="F366" s="426"/>
    </row>
    <row r="367">
      <c r="C367" s="139"/>
      <c r="D367" s="139"/>
      <c r="F367" s="426"/>
    </row>
    <row r="368">
      <c r="C368" s="139"/>
      <c r="D368" s="139"/>
      <c r="F368" s="426"/>
    </row>
    <row r="369">
      <c r="C369" s="139"/>
      <c r="D369" s="139"/>
      <c r="F369" s="426"/>
    </row>
    <row r="370">
      <c r="C370" s="139"/>
      <c r="D370" s="139"/>
      <c r="F370" s="426"/>
    </row>
    <row r="371">
      <c r="C371" s="139"/>
      <c r="D371" s="139"/>
      <c r="F371" s="426"/>
    </row>
    <row r="372">
      <c r="C372" s="139"/>
      <c r="D372" s="139"/>
      <c r="F372" s="426"/>
    </row>
    <row r="373">
      <c r="C373" s="139"/>
      <c r="D373" s="139"/>
      <c r="F373" s="426"/>
    </row>
    <row r="374">
      <c r="C374" s="139"/>
      <c r="D374" s="139"/>
      <c r="F374" s="426"/>
    </row>
    <row r="375">
      <c r="C375" s="139"/>
      <c r="D375" s="139"/>
      <c r="F375" s="426"/>
    </row>
    <row r="376">
      <c r="C376" s="139"/>
      <c r="D376" s="139"/>
      <c r="F376" s="426"/>
    </row>
    <row r="377">
      <c r="C377" s="139"/>
      <c r="D377" s="139"/>
      <c r="F377" s="426"/>
    </row>
    <row r="378">
      <c r="C378" s="139"/>
      <c r="D378" s="139"/>
      <c r="F378" s="426"/>
    </row>
    <row r="379">
      <c r="C379" s="139"/>
      <c r="D379" s="139"/>
      <c r="F379" s="426"/>
    </row>
    <row r="380">
      <c r="C380" s="139"/>
      <c r="D380" s="139"/>
      <c r="F380" s="426"/>
    </row>
    <row r="381">
      <c r="C381" s="139"/>
      <c r="D381" s="139"/>
      <c r="F381" s="426"/>
    </row>
    <row r="382">
      <c r="C382" s="139"/>
      <c r="D382" s="139"/>
      <c r="F382" s="426"/>
    </row>
    <row r="383">
      <c r="C383" s="139"/>
      <c r="D383" s="139"/>
      <c r="F383" s="426"/>
    </row>
    <row r="384">
      <c r="C384" s="139"/>
      <c r="D384" s="139"/>
      <c r="F384" s="426"/>
    </row>
    <row r="385">
      <c r="C385" s="139"/>
      <c r="D385" s="139"/>
      <c r="F385" s="426"/>
    </row>
    <row r="386">
      <c r="C386" s="139"/>
      <c r="D386" s="139"/>
      <c r="F386" s="426"/>
    </row>
    <row r="387">
      <c r="C387" s="139"/>
      <c r="D387" s="139"/>
      <c r="F387" s="426"/>
    </row>
    <row r="388">
      <c r="C388" s="139"/>
      <c r="D388" s="139"/>
      <c r="F388" s="426"/>
    </row>
    <row r="389">
      <c r="C389" s="139"/>
      <c r="D389" s="139"/>
      <c r="F389" s="426"/>
    </row>
    <row r="390">
      <c r="C390" s="139"/>
      <c r="D390" s="139"/>
      <c r="F390" s="426"/>
    </row>
    <row r="391">
      <c r="C391" s="139"/>
      <c r="D391" s="139"/>
      <c r="F391" s="426"/>
    </row>
    <row r="392">
      <c r="C392" s="139"/>
      <c r="D392" s="139"/>
      <c r="F392" s="426"/>
    </row>
    <row r="393">
      <c r="C393" s="139"/>
      <c r="D393" s="139"/>
      <c r="F393" s="426"/>
    </row>
    <row r="394">
      <c r="C394" s="139"/>
      <c r="D394" s="139"/>
      <c r="F394" s="426"/>
    </row>
    <row r="395">
      <c r="C395" s="139"/>
      <c r="D395" s="139"/>
      <c r="F395" s="426"/>
    </row>
    <row r="396">
      <c r="C396" s="139"/>
      <c r="D396" s="139"/>
      <c r="F396" s="426"/>
    </row>
    <row r="397">
      <c r="C397" s="139"/>
      <c r="D397" s="139"/>
      <c r="F397" s="426"/>
    </row>
    <row r="398">
      <c r="C398" s="139"/>
      <c r="D398" s="139"/>
      <c r="F398" s="426"/>
    </row>
    <row r="399">
      <c r="C399" s="139"/>
      <c r="D399" s="139"/>
      <c r="F399" s="426"/>
    </row>
    <row r="400">
      <c r="C400" s="139"/>
      <c r="D400" s="139"/>
      <c r="F400" s="426"/>
    </row>
    <row r="401">
      <c r="C401" s="139"/>
      <c r="D401" s="139"/>
      <c r="F401" s="426"/>
    </row>
    <row r="402">
      <c r="C402" s="139"/>
      <c r="D402" s="139"/>
      <c r="F402" s="426"/>
    </row>
    <row r="403">
      <c r="C403" s="139"/>
      <c r="D403" s="139"/>
      <c r="F403" s="426"/>
    </row>
    <row r="404">
      <c r="C404" s="139"/>
      <c r="D404" s="139"/>
      <c r="F404" s="426"/>
    </row>
    <row r="405">
      <c r="C405" s="139"/>
      <c r="D405" s="139"/>
      <c r="F405" s="426"/>
    </row>
    <row r="406">
      <c r="C406" s="139"/>
      <c r="D406" s="139"/>
      <c r="F406" s="426"/>
    </row>
    <row r="407">
      <c r="C407" s="139"/>
      <c r="D407" s="139"/>
      <c r="F407" s="426"/>
    </row>
    <row r="408">
      <c r="C408" s="139"/>
      <c r="D408" s="139"/>
      <c r="F408" s="426"/>
    </row>
    <row r="409">
      <c r="C409" s="139"/>
      <c r="D409" s="139"/>
      <c r="F409" s="426"/>
    </row>
    <row r="410">
      <c r="C410" s="139"/>
      <c r="D410" s="139"/>
      <c r="F410" s="426"/>
    </row>
    <row r="411">
      <c r="C411" s="139"/>
      <c r="D411" s="139"/>
      <c r="F411" s="426"/>
    </row>
    <row r="412">
      <c r="C412" s="139"/>
      <c r="D412" s="139"/>
      <c r="F412" s="426"/>
    </row>
    <row r="413">
      <c r="C413" s="139"/>
      <c r="D413" s="139"/>
      <c r="F413" s="426"/>
    </row>
    <row r="414">
      <c r="C414" s="139"/>
      <c r="D414" s="139"/>
      <c r="F414" s="426"/>
    </row>
    <row r="415">
      <c r="C415" s="139"/>
      <c r="D415" s="139"/>
      <c r="F415" s="426"/>
    </row>
    <row r="416">
      <c r="C416" s="139"/>
      <c r="D416" s="139"/>
      <c r="F416" s="426"/>
    </row>
    <row r="417">
      <c r="C417" s="139"/>
      <c r="D417" s="139"/>
      <c r="F417" s="426"/>
    </row>
    <row r="418">
      <c r="C418" s="139"/>
      <c r="D418" s="139"/>
      <c r="F418" s="426"/>
    </row>
    <row r="419">
      <c r="C419" s="139"/>
      <c r="D419" s="139"/>
      <c r="F419" s="426"/>
    </row>
    <row r="420">
      <c r="C420" s="139"/>
      <c r="D420" s="139"/>
      <c r="F420" s="426"/>
    </row>
    <row r="421">
      <c r="C421" s="139"/>
      <c r="D421" s="139"/>
      <c r="F421" s="426"/>
    </row>
    <row r="422">
      <c r="C422" s="139"/>
      <c r="D422" s="139"/>
      <c r="F422" s="426"/>
    </row>
    <row r="423">
      <c r="C423" s="139"/>
      <c r="D423" s="139"/>
      <c r="F423" s="426"/>
    </row>
    <row r="424">
      <c r="C424" s="139"/>
      <c r="D424" s="139"/>
      <c r="F424" s="426"/>
    </row>
    <row r="425">
      <c r="C425" s="139"/>
      <c r="D425" s="139"/>
      <c r="F425" s="426"/>
    </row>
    <row r="426">
      <c r="C426" s="139"/>
      <c r="D426" s="139"/>
      <c r="F426" s="426"/>
    </row>
    <row r="427">
      <c r="C427" s="139"/>
      <c r="D427" s="139"/>
      <c r="F427" s="426"/>
    </row>
    <row r="428">
      <c r="C428" s="139"/>
      <c r="D428" s="139"/>
      <c r="F428" s="426"/>
    </row>
    <row r="429">
      <c r="C429" s="139"/>
      <c r="D429" s="139"/>
      <c r="F429" s="426"/>
    </row>
    <row r="430">
      <c r="C430" s="139"/>
      <c r="D430" s="139"/>
      <c r="F430" s="426"/>
    </row>
    <row r="431">
      <c r="C431" s="139"/>
      <c r="D431" s="139"/>
      <c r="F431" s="426"/>
    </row>
    <row r="432">
      <c r="C432" s="139"/>
      <c r="D432" s="139"/>
      <c r="F432" s="426"/>
    </row>
    <row r="433">
      <c r="C433" s="139"/>
      <c r="D433" s="139"/>
      <c r="F433" s="426"/>
    </row>
    <row r="434">
      <c r="C434" s="139"/>
      <c r="D434" s="139"/>
      <c r="F434" s="426"/>
    </row>
    <row r="435">
      <c r="C435" s="139"/>
      <c r="D435" s="139"/>
      <c r="F435" s="426"/>
    </row>
    <row r="436">
      <c r="C436" s="139"/>
      <c r="D436" s="139"/>
      <c r="F436" s="426"/>
    </row>
    <row r="437">
      <c r="C437" s="139"/>
      <c r="D437" s="139"/>
      <c r="F437" s="426"/>
    </row>
    <row r="438">
      <c r="C438" s="139"/>
      <c r="D438" s="139"/>
      <c r="F438" s="426"/>
    </row>
    <row r="439">
      <c r="C439" s="139"/>
      <c r="D439" s="139"/>
      <c r="F439" s="426"/>
    </row>
    <row r="440">
      <c r="C440" s="139"/>
      <c r="D440" s="139"/>
      <c r="F440" s="426"/>
    </row>
    <row r="441">
      <c r="C441" s="139"/>
      <c r="D441" s="139"/>
      <c r="F441" s="426"/>
    </row>
    <row r="442">
      <c r="C442" s="139"/>
      <c r="D442" s="139"/>
      <c r="F442" s="426"/>
    </row>
    <row r="443">
      <c r="C443" s="139"/>
      <c r="D443" s="139"/>
      <c r="F443" s="426"/>
    </row>
    <row r="444">
      <c r="C444" s="139"/>
      <c r="D444" s="139"/>
      <c r="F444" s="426"/>
    </row>
    <row r="445">
      <c r="C445" s="139"/>
      <c r="D445" s="139"/>
      <c r="F445" s="426"/>
    </row>
    <row r="446">
      <c r="C446" s="139"/>
      <c r="D446" s="139"/>
      <c r="F446" s="426"/>
    </row>
    <row r="447">
      <c r="C447" s="139"/>
      <c r="D447" s="139"/>
      <c r="F447" s="426"/>
    </row>
    <row r="448">
      <c r="C448" s="139"/>
      <c r="D448" s="139"/>
      <c r="F448" s="426"/>
    </row>
    <row r="449">
      <c r="C449" s="139"/>
      <c r="D449" s="139"/>
      <c r="F449" s="426"/>
    </row>
    <row r="450">
      <c r="C450" s="139"/>
      <c r="D450" s="139"/>
      <c r="F450" s="426"/>
    </row>
    <row r="451">
      <c r="C451" s="139"/>
      <c r="D451" s="139"/>
      <c r="F451" s="426"/>
    </row>
    <row r="452">
      <c r="C452" s="139"/>
      <c r="D452" s="139"/>
      <c r="F452" s="426"/>
    </row>
    <row r="453">
      <c r="C453" s="139"/>
      <c r="D453" s="139"/>
      <c r="F453" s="426"/>
    </row>
    <row r="454">
      <c r="C454" s="139"/>
      <c r="D454" s="139"/>
      <c r="F454" s="426"/>
    </row>
    <row r="455">
      <c r="C455" s="139"/>
      <c r="D455" s="139"/>
      <c r="F455" s="426"/>
    </row>
    <row r="456">
      <c r="C456" s="139"/>
      <c r="D456" s="139"/>
      <c r="F456" s="426"/>
    </row>
    <row r="457">
      <c r="C457" s="139"/>
      <c r="D457" s="139"/>
      <c r="F457" s="426"/>
    </row>
    <row r="458">
      <c r="C458" s="139"/>
      <c r="D458" s="139"/>
      <c r="F458" s="426"/>
    </row>
    <row r="459">
      <c r="C459" s="139"/>
      <c r="D459" s="139"/>
      <c r="F459" s="426"/>
    </row>
    <row r="460">
      <c r="C460" s="139"/>
      <c r="D460" s="139"/>
      <c r="F460" s="426"/>
    </row>
    <row r="461">
      <c r="C461" s="139"/>
      <c r="D461" s="139"/>
      <c r="F461" s="426"/>
    </row>
    <row r="462">
      <c r="C462" s="139"/>
      <c r="D462" s="139"/>
      <c r="F462" s="426"/>
    </row>
    <row r="463">
      <c r="C463" s="139"/>
      <c r="D463" s="139"/>
      <c r="F463" s="426"/>
    </row>
    <row r="464">
      <c r="C464" s="139"/>
      <c r="D464" s="139"/>
      <c r="F464" s="426"/>
    </row>
    <row r="465">
      <c r="C465" s="139"/>
      <c r="D465" s="139"/>
      <c r="F465" s="426"/>
    </row>
    <row r="466">
      <c r="C466" s="139"/>
      <c r="D466" s="139"/>
      <c r="F466" s="426"/>
    </row>
    <row r="467">
      <c r="C467" s="139"/>
      <c r="D467" s="139"/>
      <c r="F467" s="426"/>
    </row>
    <row r="468">
      <c r="C468" s="139"/>
      <c r="D468" s="139"/>
      <c r="F468" s="426"/>
    </row>
    <row r="469">
      <c r="C469" s="139"/>
      <c r="D469" s="139"/>
      <c r="F469" s="426"/>
    </row>
    <row r="470">
      <c r="C470" s="139"/>
      <c r="D470" s="139"/>
      <c r="F470" s="426"/>
    </row>
    <row r="471">
      <c r="C471" s="139"/>
      <c r="D471" s="139"/>
      <c r="F471" s="426"/>
    </row>
    <row r="472">
      <c r="C472" s="139"/>
      <c r="D472" s="139"/>
      <c r="F472" s="426"/>
    </row>
    <row r="473">
      <c r="C473" s="139"/>
      <c r="D473" s="139"/>
      <c r="F473" s="426"/>
    </row>
    <row r="474">
      <c r="C474" s="139"/>
      <c r="D474" s="139"/>
      <c r="F474" s="426"/>
    </row>
    <row r="475">
      <c r="C475" s="139"/>
      <c r="D475" s="139"/>
      <c r="F475" s="426"/>
    </row>
    <row r="476">
      <c r="C476" s="139"/>
      <c r="D476" s="139"/>
      <c r="F476" s="426"/>
    </row>
    <row r="477">
      <c r="C477" s="139"/>
      <c r="D477" s="139"/>
      <c r="F477" s="426"/>
    </row>
    <row r="478">
      <c r="C478" s="139"/>
      <c r="D478" s="139"/>
      <c r="F478" s="426"/>
    </row>
    <row r="479">
      <c r="C479" s="139"/>
      <c r="D479" s="139"/>
      <c r="F479" s="426"/>
    </row>
    <row r="480">
      <c r="C480" s="139"/>
      <c r="D480" s="139"/>
      <c r="F480" s="426"/>
    </row>
    <row r="481">
      <c r="C481" s="139"/>
      <c r="D481" s="139"/>
      <c r="F481" s="426"/>
    </row>
    <row r="482">
      <c r="C482" s="139"/>
      <c r="D482" s="139"/>
      <c r="F482" s="426"/>
    </row>
    <row r="483">
      <c r="C483" s="139"/>
      <c r="D483" s="139"/>
      <c r="F483" s="426"/>
    </row>
    <row r="484">
      <c r="C484" s="139"/>
      <c r="D484" s="139"/>
      <c r="F484" s="426"/>
    </row>
    <row r="485">
      <c r="C485" s="139"/>
      <c r="D485" s="139"/>
      <c r="F485" s="426"/>
    </row>
    <row r="486">
      <c r="C486" s="139"/>
      <c r="D486" s="139"/>
      <c r="F486" s="426"/>
    </row>
    <row r="487">
      <c r="C487" s="139"/>
      <c r="D487" s="139"/>
      <c r="F487" s="426"/>
    </row>
    <row r="488">
      <c r="C488" s="139"/>
      <c r="D488" s="139"/>
      <c r="F488" s="426"/>
    </row>
    <row r="489">
      <c r="C489" s="139"/>
      <c r="D489" s="139"/>
      <c r="F489" s="426"/>
    </row>
    <row r="490">
      <c r="C490" s="139"/>
      <c r="D490" s="139"/>
      <c r="F490" s="426"/>
    </row>
    <row r="491">
      <c r="C491" s="139"/>
      <c r="D491" s="139"/>
      <c r="F491" s="426"/>
    </row>
    <row r="492">
      <c r="C492" s="139"/>
      <c r="D492" s="139"/>
      <c r="F492" s="426"/>
    </row>
    <row r="493">
      <c r="C493" s="139"/>
      <c r="D493" s="139"/>
      <c r="F493" s="426"/>
    </row>
    <row r="494">
      <c r="C494" s="139"/>
      <c r="D494" s="139"/>
      <c r="F494" s="426"/>
    </row>
    <row r="495">
      <c r="C495" s="139"/>
      <c r="D495" s="139"/>
      <c r="F495" s="426"/>
    </row>
    <row r="496">
      <c r="C496" s="139"/>
      <c r="D496" s="139"/>
      <c r="F496" s="426"/>
    </row>
    <row r="497">
      <c r="C497" s="139"/>
      <c r="D497" s="139"/>
      <c r="F497" s="426"/>
    </row>
    <row r="498">
      <c r="C498" s="139"/>
      <c r="D498" s="139"/>
      <c r="F498" s="426"/>
    </row>
    <row r="499">
      <c r="C499" s="139"/>
      <c r="D499" s="139"/>
      <c r="F499" s="426"/>
    </row>
    <row r="500">
      <c r="C500" s="139"/>
      <c r="D500" s="139"/>
      <c r="F500" s="426"/>
    </row>
    <row r="501">
      <c r="C501" s="139"/>
      <c r="D501" s="139"/>
      <c r="F501" s="426"/>
    </row>
    <row r="502">
      <c r="C502" s="139"/>
      <c r="D502" s="139"/>
      <c r="F502" s="426"/>
    </row>
    <row r="503">
      <c r="C503" s="139"/>
      <c r="D503" s="139"/>
      <c r="F503" s="426"/>
    </row>
    <row r="504">
      <c r="C504" s="139"/>
      <c r="D504" s="139"/>
      <c r="F504" s="426"/>
    </row>
    <row r="505">
      <c r="C505" s="139"/>
      <c r="D505" s="139"/>
      <c r="F505" s="426"/>
    </row>
    <row r="506">
      <c r="C506" s="139"/>
      <c r="D506" s="139"/>
      <c r="F506" s="426"/>
    </row>
    <row r="507">
      <c r="C507" s="139"/>
      <c r="D507" s="139"/>
      <c r="F507" s="426"/>
    </row>
    <row r="508">
      <c r="C508" s="139"/>
      <c r="D508" s="139"/>
      <c r="F508" s="426"/>
    </row>
    <row r="509">
      <c r="C509" s="139"/>
      <c r="D509" s="139"/>
      <c r="F509" s="426"/>
    </row>
    <row r="510">
      <c r="C510" s="139"/>
      <c r="D510" s="139"/>
      <c r="F510" s="426"/>
    </row>
    <row r="511">
      <c r="C511" s="139"/>
      <c r="D511" s="139"/>
      <c r="F511" s="426"/>
    </row>
    <row r="512">
      <c r="C512" s="139"/>
      <c r="D512" s="139"/>
      <c r="F512" s="426"/>
    </row>
    <row r="513">
      <c r="C513" s="139"/>
      <c r="D513" s="139"/>
      <c r="F513" s="426"/>
    </row>
    <row r="514">
      <c r="C514" s="139"/>
      <c r="D514" s="139"/>
      <c r="F514" s="426"/>
    </row>
    <row r="515">
      <c r="C515" s="139"/>
      <c r="D515" s="139"/>
      <c r="F515" s="426"/>
    </row>
    <row r="516">
      <c r="C516" s="139"/>
      <c r="D516" s="139"/>
      <c r="F516" s="426"/>
    </row>
    <row r="517">
      <c r="C517" s="139"/>
      <c r="D517" s="139"/>
      <c r="F517" s="426"/>
    </row>
    <row r="518">
      <c r="C518" s="139"/>
      <c r="D518" s="139"/>
      <c r="F518" s="426"/>
    </row>
    <row r="519">
      <c r="C519" s="139"/>
      <c r="D519" s="139"/>
      <c r="F519" s="426"/>
    </row>
    <row r="520">
      <c r="C520" s="139"/>
      <c r="D520" s="139"/>
      <c r="F520" s="426"/>
    </row>
    <row r="521">
      <c r="C521" s="139"/>
      <c r="D521" s="139"/>
      <c r="F521" s="426"/>
    </row>
    <row r="522">
      <c r="C522" s="139"/>
      <c r="D522" s="139"/>
      <c r="F522" s="426"/>
    </row>
    <row r="523">
      <c r="C523" s="139"/>
      <c r="D523" s="139"/>
      <c r="F523" s="426"/>
    </row>
    <row r="524">
      <c r="C524" s="139"/>
      <c r="D524" s="139"/>
      <c r="F524" s="426"/>
    </row>
    <row r="525">
      <c r="C525" s="139"/>
      <c r="D525" s="139"/>
      <c r="F525" s="426"/>
    </row>
    <row r="526">
      <c r="C526" s="139"/>
      <c r="D526" s="139"/>
      <c r="F526" s="426"/>
    </row>
    <row r="527">
      <c r="C527" s="139"/>
      <c r="D527" s="139"/>
      <c r="F527" s="426"/>
    </row>
    <row r="528">
      <c r="C528" s="139"/>
      <c r="D528" s="139"/>
      <c r="F528" s="426"/>
    </row>
    <row r="529">
      <c r="C529" s="139"/>
      <c r="D529" s="139"/>
      <c r="F529" s="426"/>
    </row>
    <row r="530">
      <c r="C530" s="139"/>
      <c r="D530" s="139"/>
      <c r="F530" s="426"/>
    </row>
    <row r="531">
      <c r="C531" s="139"/>
      <c r="D531" s="139"/>
      <c r="F531" s="426"/>
    </row>
    <row r="532">
      <c r="C532" s="139"/>
      <c r="D532" s="139"/>
      <c r="F532" s="426"/>
    </row>
    <row r="533">
      <c r="C533" s="139"/>
      <c r="D533" s="139"/>
      <c r="F533" s="426"/>
    </row>
    <row r="534">
      <c r="C534" s="139"/>
      <c r="D534" s="139"/>
      <c r="F534" s="426"/>
    </row>
    <row r="535">
      <c r="C535" s="139"/>
      <c r="D535" s="139"/>
      <c r="F535" s="426"/>
    </row>
    <row r="536">
      <c r="C536" s="139"/>
      <c r="D536" s="139"/>
      <c r="F536" s="426"/>
    </row>
    <row r="537">
      <c r="C537" s="139"/>
      <c r="D537" s="139"/>
      <c r="F537" s="426"/>
    </row>
    <row r="538">
      <c r="C538" s="139"/>
      <c r="D538" s="139"/>
      <c r="F538" s="426"/>
    </row>
    <row r="539">
      <c r="C539" s="139"/>
      <c r="D539" s="139"/>
      <c r="F539" s="426"/>
    </row>
    <row r="540">
      <c r="C540" s="139"/>
      <c r="D540" s="139"/>
      <c r="F540" s="426"/>
    </row>
    <row r="541">
      <c r="C541" s="139"/>
      <c r="D541" s="139"/>
      <c r="F541" s="426"/>
    </row>
    <row r="542">
      <c r="C542" s="139"/>
      <c r="D542" s="139"/>
      <c r="F542" s="426"/>
    </row>
    <row r="543">
      <c r="C543" s="139"/>
      <c r="D543" s="139"/>
      <c r="F543" s="426"/>
    </row>
    <row r="544">
      <c r="C544" s="139"/>
      <c r="D544" s="139"/>
      <c r="F544" s="426"/>
    </row>
    <row r="545">
      <c r="C545" s="139"/>
      <c r="D545" s="139"/>
      <c r="F545" s="426"/>
    </row>
    <row r="546">
      <c r="C546" s="139"/>
      <c r="D546" s="139"/>
      <c r="F546" s="426"/>
    </row>
    <row r="547">
      <c r="C547" s="139"/>
      <c r="D547" s="139"/>
      <c r="F547" s="426"/>
    </row>
    <row r="548">
      <c r="C548" s="139"/>
      <c r="D548" s="139"/>
      <c r="F548" s="426"/>
    </row>
    <row r="549">
      <c r="C549" s="139"/>
      <c r="D549" s="139"/>
      <c r="F549" s="426"/>
    </row>
    <row r="550">
      <c r="C550" s="139"/>
      <c r="D550" s="139"/>
      <c r="F550" s="426"/>
    </row>
    <row r="551">
      <c r="C551" s="139"/>
      <c r="D551" s="139"/>
      <c r="F551" s="426"/>
    </row>
    <row r="552">
      <c r="C552" s="139"/>
      <c r="D552" s="139"/>
      <c r="F552" s="426"/>
    </row>
    <row r="553">
      <c r="C553" s="139"/>
      <c r="D553" s="139"/>
      <c r="F553" s="426"/>
    </row>
    <row r="554">
      <c r="C554" s="139"/>
      <c r="D554" s="139"/>
      <c r="F554" s="426"/>
    </row>
    <row r="555">
      <c r="C555" s="139"/>
      <c r="D555" s="139"/>
      <c r="F555" s="426"/>
    </row>
    <row r="556">
      <c r="C556" s="139"/>
      <c r="D556" s="139"/>
      <c r="F556" s="426"/>
    </row>
    <row r="557">
      <c r="C557" s="139"/>
      <c r="D557" s="139"/>
      <c r="F557" s="426"/>
    </row>
    <row r="558">
      <c r="C558" s="139"/>
      <c r="D558" s="139"/>
      <c r="F558" s="426"/>
    </row>
    <row r="559">
      <c r="C559" s="139"/>
      <c r="D559" s="139"/>
      <c r="F559" s="426"/>
    </row>
    <row r="560">
      <c r="C560" s="139"/>
      <c r="D560" s="139"/>
      <c r="F560" s="426"/>
    </row>
    <row r="561">
      <c r="C561" s="139"/>
      <c r="D561" s="139"/>
      <c r="F561" s="426"/>
    </row>
    <row r="562">
      <c r="C562" s="139"/>
      <c r="D562" s="139"/>
      <c r="F562" s="426"/>
    </row>
    <row r="563">
      <c r="C563" s="139"/>
      <c r="D563" s="139"/>
      <c r="F563" s="426"/>
    </row>
    <row r="564">
      <c r="C564" s="139"/>
      <c r="D564" s="139"/>
      <c r="F564" s="426"/>
    </row>
    <row r="565">
      <c r="C565" s="139"/>
      <c r="D565" s="139"/>
      <c r="F565" s="426"/>
    </row>
    <row r="566">
      <c r="C566" s="139"/>
      <c r="D566" s="139"/>
      <c r="F566" s="426"/>
    </row>
    <row r="567">
      <c r="C567" s="139"/>
      <c r="D567" s="139"/>
      <c r="F567" s="426"/>
    </row>
    <row r="568">
      <c r="C568" s="139"/>
      <c r="D568" s="139"/>
      <c r="F568" s="426"/>
    </row>
    <row r="569">
      <c r="C569" s="139"/>
      <c r="D569" s="139"/>
      <c r="F569" s="426"/>
    </row>
    <row r="570">
      <c r="C570" s="139"/>
      <c r="D570" s="139"/>
      <c r="F570" s="426"/>
    </row>
    <row r="571">
      <c r="C571" s="139"/>
      <c r="D571" s="139"/>
      <c r="F571" s="426"/>
    </row>
    <row r="572">
      <c r="C572" s="139"/>
      <c r="D572" s="139"/>
      <c r="F572" s="426"/>
    </row>
    <row r="573">
      <c r="C573" s="139"/>
      <c r="D573" s="139"/>
      <c r="F573" s="426"/>
    </row>
    <row r="574">
      <c r="C574" s="139"/>
      <c r="D574" s="139"/>
      <c r="F574" s="426"/>
    </row>
    <row r="575">
      <c r="C575" s="139"/>
      <c r="D575" s="139"/>
      <c r="F575" s="426"/>
    </row>
    <row r="576">
      <c r="C576" s="139"/>
      <c r="D576" s="139"/>
      <c r="F576" s="426"/>
    </row>
    <row r="577">
      <c r="C577" s="139"/>
      <c r="D577" s="139"/>
      <c r="F577" s="426"/>
    </row>
    <row r="578">
      <c r="C578" s="139"/>
      <c r="D578" s="139"/>
      <c r="F578" s="426"/>
    </row>
    <row r="579">
      <c r="C579" s="139"/>
      <c r="D579" s="139"/>
      <c r="F579" s="426"/>
    </row>
    <row r="580">
      <c r="C580" s="139"/>
      <c r="D580" s="139"/>
      <c r="F580" s="426"/>
    </row>
    <row r="581">
      <c r="C581" s="139"/>
      <c r="D581" s="139"/>
      <c r="F581" s="426"/>
    </row>
    <row r="582">
      <c r="C582" s="139"/>
      <c r="D582" s="139"/>
      <c r="F582" s="426"/>
    </row>
    <row r="583">
      <c r="C583" s="139"/>
      <c r="D583" s="139"/>
      <c r="F583" s="426"/>
    </row>
    <row r="584">
      <c r="C584" s="139"/>
      <c r="D584" s="139"/>
      <c r="F584" s="426"/>
    </row>
    <row r="585">
      <c r="C585" s="139"/>
      <c r="D585" s="139"/>
      <c r="F585" s="426"/>
    </row>
    <row r="586">
      <c r="C586" s="139"/>
      <c r="D586" s="139"/>
      <c r="F586" s="426"/>
    </row>
    <row r="587">
      <c r="C587" s="139"/>
      <c r="D587" s="139"/>
      <c r="F587" s="426"/>
    </row>
    <row r="588">
      <c r="C588" s="139"/>
      <c r="D588" s="139"/>
      <c r="F588" s="426"/>
    </row>
    <row r="589">
      <c r="C589" s="139"/>
      <c r="D589" s="139"/>
      <c r="F589" s="426"/>
    </row>
    <row r="590">
      <c r="C590" s="139"/>
      <c r="D590" s="139"/>
      <c r="F590" s="426"/>
    </row>
    <row r="591">
      <c r="C591" s="139"/>
      <c r="D591" s="139"/>
      <c r="F591" s="426"/>
    </row>
    <row r="592">
      <c r="C592" s="139"/>
      <c r="D592" s="139"/>
      <c r="F592" s="426"/>
    </row>
    <row r="593">
      <c r="C593" s="139"/>
      <c r="D593" s="139"/>
      <c r="F593" s="426"/>
    </row>
    <row r="594">
      <c r="C594" s="139"/>
      <c r="D594" s="139"/>
      <c r="F594" s="426"/>
    </row>
    <row r="595">
      <c r="C595" s="139"/>
      <c r="D595" s="139"/>
      <c r="F595" s="426"/>
    </row>
    <row r="596">
      <c r="C596" s="139"/>
      <c r="D596" s="139"/>
      <c r="F596" s="426"/>
    </row>
    <row r="597">
      <c r="C597" s="139"/>
      <c r="D597" s="139"/>
      <c r="F597" s="426"/>
    </row>
    <row r="598">
      <c r="C598" s="139"/>
      <c r="D598" s="139"/>
      <c r="F598" s="426"/>
    </row>
    <row r="599">
      <c r="C599" s="139"/>
      <c r="D599" s="139"/>
      <c r="F599" s="426"/>
    </row>
    <row r="600">
      <c r="C600" s="139"/>
      <c r="D600" s="139"/>
      <c r="F600" s="426"/>
    </row>
    <row r="601">
      <c r="C601" s="139"/>
      <c r="D601" s="139"/>
      <c r="F601" s="426"/>
    </row>
    <row r="602">
      <c r="C602" s="139"/>
      <c r="D602" s="139"/>
      <c r="F602" s="426"/>
    </row>
    <row r="603">
      <c r="C603" s="139"/>
      <c r="D603" s="139"/>
      <c r="F603" s="426"/>
    </row>
    <row r="604">
      <c r="C604" s="139"/>
      <c r="D604" s="139"/>
      <c r="F604" s="426"/>
    </row>
    <row r="605">
      <c r="C605" s="139"/>
      <c r="D605" s="139"/>
      <c r="F605" s="426"/>
    </row>
    <row r="606">
      <c r="C606" s="139"/>
      <c r="D606" s="139"/>
      <c r="F606" s="426"/>
    </row>
    <row r="607">
      <c r="C607" s="139"/>
      <c r="D607" s="139"/>
      <c r="F607" s="426"/>
    </row>
    <row r="608">
      <c r="C608" s="139"/>
      <c r="D608" s="139"/>
      <c r="F608" s="426"/>
    </row>
    <row r="609">
      <c r="C609" s="139"/>
      <c r="D609" s="139"/>
      <c r="F609" s="426"/>
    </row>
    <row r="610">
      <c r="C610" s="139"/>
      <c r="D610" s="139"/>
      <c r="F610" s="426"/>
    </row>
    <row r="611">
      <c r="C611" s="139"/>
      <c r="D611" s="139"/>
      <c r="F611" s="426"/>
    </row>
    <row r="612">
      <c r="C612" s="139"/>
      <c r="D612" s="139"/>
      <c r="F612" s="426"/>
    </row>
    <row r="613">
      <c r="C613" s="139"/>
      <c r="D613" s="139"/>
      <c r="F613" s="426"/>
    </row>
    <row r="614">
      <c r="C614" s="139"/>
      <c r="D614" s="139"/>
      <c r="F614" s="426"/>
    </row>
    <row r="615">
      <c r="C615" s="139"/>
      <c r="D615" s="139"/>
      <c r="F615" s="426"/>
    </row>
    <row r="616">
      <c r="C616" s="139"/>
      <c r="D616" s="139"/>
      <c r="F616" s="426"/>
    </row>
    <row r="617">
      <c r="C617" s="139"/>
      <c r="D617" s="139"/>
      <c r="F617" s="426"/>
    </row>
    <row r="618">
      <c r="C618" s="139"/>
      <c r="D618" s="139"/>
      <c r="F618" s="426"/>
    </row>
    <row r="619">
      <c r="C619" s="139"/>
      <c r="D619" s="139"/>
      <c r="F619" s="426"/>
    </row>
    <row r="620">
      <c r="C620" s="139"/>
      <c r="D620" s="139"/>
      <c r="F620" s="426"/>
    </row>
    <row r="621">
      <c r="C621" s="139"/>
      <c r="D621" s="139"/>
      <c r="F621" s="426"/>
    </row>
    <row r="622">
      <c r="C622" s="139"/>
      <c r="D622" s="139"/>
      <c r="F622" s="426"/>
    </row>
    <row r="623">
      <c r="C623" s="139"/>
      <c r="D623" s="139"/>
      <c r="F623" s="426"/>
    </row>
    <row r="624">
      <c r="C624" s="139"/>
      <c r="D624" s="139"/>
      <c r="F624" s="426"/>
    </row>
    <row r="625">
      <c r="C625" s="139"/>
      <c r="D625" s="139"/>
      <c r="F625" s="426"/>
    </row>
    <row r="626">
      <c r="C626" s="139"/>
      <c r="D626" s="139"/>
      <c r="F626" s="426"/>
    </row>
    <row r="627">
      <c r="C627" s="139"/>
      <c r="D627" s="139"/>
      <c r="F627" s="426"/>
    </row>
    <row r="628">
      <c r="C628" s="139"/>
      <c r="D628" s="139"/>
      <c r="F628" s="426"/>
    </row>
    <row r="629">
      <c r="C629" s="139"/>
      <c r="D629" s="139"/>
      <c r="F629" s="426"/>
    </row>
    <row r="630">
      <c r="C630" s="139"/>
      <c r="D630" s="139"/>
      <c r="F630" s="426"/>
    </row>
    <row r="631">
      <c r="C631" s="139"/>
      <c r="D631" s="139"/>
      <c r="F631" s="426"/>
    </row>
    <row r="632">
      <c r="C632" s="139"/>
      <c r="D632" s="139"/>
      <c r="F632" s="426"/>
    </row>
    <row r="633">
      <c r="C633" s="139"/>
      <c r="D633" s="139"/>
      <c r="F633" s="426"/>
    </row>
    <row r="634">
      <c r="C634" s="139"/>
      <c r="D634" s="139"/>
      <c r="F634" s="426"/>
    </row>
    <row r="635">
      <c r="C635" s="139"/>
      <c r="D635" s="139"/>
      <c r="F635" s="426"/>
    </row>
    <row r="636">
      <c r="C636" s="139"/>
      <c r="D636" s="139"/>
      <c r="F636" s="426"/>
    </row>
    <row r="637">
      <c r="C637" s="139"/>
      <c r="D637" s="139"/>
      <c r="F637" s="426"/>
    </row>
    <row r="638">
      <c r="C638" s="139"/>
      <c r="D638" s="139"/>
      <c r="F638" s="426"/>
    </row>
    <row r="639">
      <c r="C639" s="139"/>
      <c r="D639" s="139"/>
      <c r="F639" s="426"/>
    </row>
    <row r="640">
      <c r="C640" s="139"/>
      <c r="D640" s="139"/>
      <c r="F640" s="426"/>
    </row>
    <row r="641">
      <c r="C641" s="139"/>
      <c r="D641" s="139"/>
      <c r="F641" s="426"/>
    </row>
    <row r="642">
      <c r="C642" s="139"/>
      <c r="D642" s="139"/>
      <c r="F642" s="426"/>
    </row>
    <row r="643">
      <c r="C643" s="139"/>
      <c r="D643" s="139"/>
      <c r="F643" s="426"/>
    </row>
    <row r="644">
      <c r="C644" s="139"/>
      <c r="D644" s="139"/>
      <c r="F644" s="426"/>
    </row>
    <row r="645">
      <c r="C645" s="139"/>
      <c r="D645" s="139"/>
      <c r="F645" s="426"/>
    </row>
    <row r="646">
      <c r="C646" s="139"/>
      <c r="D646" s="139"/>
      <c r="F646" s="426"/>
    </row>
    <row r="647">
      <c r="C647" s="139"/>
      <c r="D647" s="139"/>
      <c r="F647" s="426"/>
    </row>
    <row r="648">
      <c r="C648" s="139"/>
      <c r="D648" s="139"/>
      <c r="F648" s="426"/>
    </row>
    <row r="649">
      <c r="C649" s="139"/>
      <c r="D649" s="139"/>
      <c r="F649" s="426"/>
    </row>
    <row r="650">
      <c r="C650" s="139"/>
      <c r="D650" s="139"/>
      <c r="F650" s="426"/>
    </row>
    <row r="651">
      <c r="C651" s="139"/>
      <c r="D651" s="139"/>
      <c r="F651" s="426"/>
    </row>
    <row r="652">
      <c r="C652" s="139"/>
      <c r="D652" s="139"/>
      <c r="F652" s="426"/>
    </row>
    <row r="653">
      <c r="C653" s="139"/>
      <c r="D653" s="139"/>
      <c r="F653" s="426"/>
    </row>
    <row r="654">
      <c r="C654" s="139"/>
      <c r="D654" s="139"/>
      <c r="F654" s="426"/>
    </row>
    <row r="655">
      <c r="C655" s="139"/>
      <c r="D655" s="139"/>
      <c r="F655" s="426"/>
    </row>
    <row r="656">
      <c r="C656" s="139"/>
      <c r="D656" s="139"/>
      <c r="F656" s="426"/>
    </row>
    <row r="657">
      <c r="C657" s="139"/>
      <c r="D657" s="139"/>
      <c r="F657" s="426"/>
    </row>
    <row r="658">
      <c r="C658" s="139"/>
      <c r="D658" s="139"/>
      <c r="F658" s="426"/>
    </row>
    <row r="659">
      <c r="C659" s="139"/>
      <c r="D659" s="139"/>
      <c r="F659" s="426"/>
    </row>
    <row r="660">
      <c r="C660" s="139"/>
      <c r="D660" s="139"/>
      <c r="F660" s="426"/>
    </row>
    <row r="661">
      <c r="C661" s="139"/>
      <c r="D661" s="139"/>
      <c r="F661" s="426"/>
    </row>
    <row r="662">
      <c r="C662" s="139"/>
      <c r="D662" s="139"/>
      <c r="F662" s="426"/>
    </row>
    <row r="663">
      <c r="C663" s="139"/>
      <c r="D663" s="139"/>
      <c r="F663" s="426"/>
    </row>
    <row r="664">
      <c r="C664" s="139"/>
      <c r="D664" s="139"/>
      <c r="F664" s="426"/>
    </row>
    <row r="665">
      <c r="C665" s="139"/>
      <c r="D665" s="139"/>
      <c r="F665" s="426"/>
    </row>
    <row r="666">
      <c r="C666" s="139"/>
      <c r="D666" s="139"/>
      <c r="F666" s="426"/>
    </row>
    <row r="667">
      <c r="C667" s="139"/>
      <c r="D667" s="139"/>
      <c r="F667" s="426"/>
    </row>
    <row r="668">
      <c r="C668" s="139"/>
      <c r="D668" s="139"/>
      <c r="F668" s="426"/>
    </row>
    <row r="669">
      <c r="C669" s="139"/>
      <c r="D669" s="139"/>
      <c r="F669" s="426"/>
    </row>
    <row r="670">
      <c r="C670" s="139"/>
      <c r="D670" s="139"/>
      <c r="F670" s="426"/>
    </row>
    <row r="671">
      <c r="C671" s="139"/>
      <c r="D671" s="139"/>
      <c r="F671" s="426"/>
    </row>
    <row r="672">
      <c r="C672" s="139"/>
      <c r="D672" s="139"/>
      <c r="F672" s="426"/>
    </row>
    <row r="673">
      <c r="C673" s="139"/>
      <c r="D673" s="139"/>
      <c r="F673" s="426"/>
    </row>
    <row r="674">
      <c r="C674" s="139"/>
      <c r="D674" s="139"/>
      <c r="F674" s="426"/>
    </row>
    <row r="675">
      <c r="C675" s="139"/>
      <c r="D675" s="139"/>
      <c r="F675" s="426"/>
    </row>
    <row r="676">
      <c r="C676" s="139"/>
      <c r="D676" s="139"/>
      <c r="F676" s="426"/>
    </row>
    <row r="677">
      <c r="C677" s="139"/>
      <c r="D677" s="139"/>
      <c r="F677" s="426"/>
    </row>
    <row r="678">
      <c r="C678" s="139"/>
      <c r="D678" s="139"/>
      <c r="F678" s="426"/>
    </row>
    <row r="679">
      <c r="C679" s="139"/>
      <c r="D679" s="139"/>
      <c r="F679" s="426"/>
    </row>
    <row r="680">
      <c r="C680" s="139"/>
      <c r="D680" s="139"/>
      <c r="F680" s="426"/>
    </row>
    <row r="681">
      <c r="C681" s="139"/>
      <c r="D681" s="139"/>
      <c r="F681" s="426"/>
    </row>
    <row r="682">
      <c r="C682" s="139"/>
      <c r="D682" s="139"/>
      <c r="F682" s="426"/>
    </row>
    <row r="683">
      <c r="C683" s="139"/>
      <c r="D683" s="139"/>
      <c r="F683" s="426"/>
    </row>
    <row r="684">
      <c r="C684" s="139"/>
      <c r="D684" s="139"/>
      <c r="F684" s="426"/>
    </row>
    <row r="685">
      <c r="C685" s="139"/>
      <c r="D685" s="139"/>
      <c r="F685" s="426"/>
    </row>
    <row r="686">
      <c r="C686" s="139"/>
      <c r="D686" s="139"/>
      <c r="F686" s="426"/>
    </row>
    <row r="687">
      <c r="C687" s="139"/>
      <c r="D687" s="139"/>
      <c r="F687" s="426"/>
    </row>
    <row r="688">
      <c r="C688" s="139"/>
      <c r="D688" s="139"/>
      <c r="F688" s="426"/>
    </row>
    <row r="689">
      <c r="C689" s="139"/>
      <c r="D689" s="139"/>
      <c r="F689" s="426"/>
    </row>
    <row r="690">
      <c r="C690" s="139"/>
      <c r="D690" s="139"/>
      <c r="F690" s="426"/>
    </row>
    <row r="691">
      <c r="C691" s="139"/>
      <c r="D691" s="139"/>
      <c r="F691" s="426"/>
    </row>
    <row r="692">
      <c r="C692" s="139"/>
      <c r="D692" s="139"/>
      <c r="F692" s="426"/>
    </row>
    <row r="693">
      <c r="C693" s="139"/>
      <c r="D693" s="139"/>
      <c r="F693" s="426"/>
    </row>
    <row r="694">
      <c r="C694" s="139"/>
      <c r="D694" s="139"/>
      <c r="F694" s="426"/>
    </row>
    <row r="695">
      <c r="C695" s="139"/>
      <c r="D695" s="139"/>
      <c r="F695" s="426"/>
    </row>
    <row r="696">
      <c r="C696" s="139"/>
      <c r="D696" s="139"/>
      <c r="F696" s="426"/>
    </row>
    <row r="697">
      <c r="C697" s="139"/>
      <c r="D697" s="139"/>
      <c r="F697" s="426"/>
    </row>
    <row r="698">
      <c r="C698" s="139"/>
      <c r="D698" s="139"/>
      <c r="F698" s="426"/>
    </row>
    <row r="699">
      <c r="C699" s="139"/>
      <c r="D699" s="139"/>
      <c r="F699" s="426"/>
    </row>
    <row r="700">
      <c r="C700" s="139"/>
      <c r="D700" s="139"/>
      <c r="F700" s="426"/>
    </row>
    <row r="701">
      <c r="C701" s="139"/>
      <c r="D701" s="139"/>
      <c r="F701" s="426"/>
    </row>
    <row r="702">
      <c r="C702" s="139"/>
      <c r="D702" s="139"/>
      <c r="F702" s="426"/>
    </row>
    <row r="703">
      <c r="C703" s="139"/>
      <c r="D703" s="139"/>
      <c r="F703" s="426"/>
    </row>
    <row r="704">
      <c r="C704" s="139"/>
      <c r="D704" s="139"/>
      <c r="F704" s="426"/>
    </row>
    <row r="705">
      <c r="C705" s="139"/>
      <c r="D705" s="139"/>
      <c r="F705" s="426"/>
    </row>
    <row r="706">
      <c r="C706" s="139"/>
      <c r="D706" s="139"/>
      <c r="F706" s="426"/>
    </row>
    <row r="707">
      <c r="C707" s="139"/>
      <c r="D707" s="139"/>
      <c r="F707" s="426"/>
    </row>
    <row r="708">
      <c r="C708" s="139"/>
      <c r="D708" s="139"/>
      <c r="F708" s="426"/>
    </row>
    <row r="709">
      <c r="C709" s="139"/>
      <c r="D709" s="139"/>
      <c r="F709" s="426"/>
    </row>
    <row r="710">
      <c r="C710" s="139"/>
      <c r="D710" s="139"/>
      <c r="F710" s="426"/>
    </row>
    <row r="711">
      <c r="C711" s="139"/>
      <c r="D711" s="139"/>
      <c r="F711" s="426"/>
    </row>
    <row r="712">
      <c r="C712" s="139"/>
      <c r="D712" s="139"/>
      <c r="F712" s="426"/>
    </row>
    <row r="713">
      <c r="C713" s="139"/>
      <c r="D713" s="139"/>
      <c r="F713" s="426"/>
    </row>
    <row r="714">
      <c r="C714" s="139"/>
      <c r="D714" s="139"/>
      <c r="F714" s="426"/>
    </row>
    <row r="715">
      <c r="C715" s="139"/>
      <c r="D715" s="139"/>
      <c r="F715" s="426"/>
    </row>
    <row r="716">
      <c r="C716" s="139"/>
      <c r="D716" s="139"/>
      <c r="F716" s="426"/>
    </row>
    <row r="717">
      <c r="C717" s="139"/>
      <c r="D717" s="139"/>
      <c r="F717" s="426"/>
    </row>
    <row r="718">
      <c r="C718" s="139"/>
      <c r="D718" s="139"/>
      <c r="F718" s="426"/>
    </row>
    <row r="719">
      <c r="C719" s="139"/>
      <c r="D719" s="139"/>
      <c r="F719" s="426"/>
    </row>
    <row r="720">
      <c r="C720" s="139"/>
      <c r="D720" s="139"/>
      <c r="F720" s="426"/>
    </row>
    <row r="721">
      <c r="C721" s="139"/>
      <c r="D721" s="139"/>
      <c r="F721" s="426"/>
    </row>
    <row r="722">
      <c r="C722" s="139"/>
      <c r="D722" s="139"/>
      <c r="F722" s="426"/>
    </row>
    <row r="723">
      <c r="C723" s="139"/>
      <c r="D723" s="139"/>
      <c r="F723" s="426"/>
    </row>
    <row r="724">
      <c r="C724" s="139"/>
      <c r="D724" s="139"/>
      <c r="F724" s="426"/>
    </row>
    <row r="725">
      <c r="C725" s="139"/>
      <c r="D725" s="139"/>
      <c r="F725" s="426"/>
    </row>
    <row r="726">
      <c r="C726" s="139"/>
      <c r="D726" s="139"/>
      <c r="F726" s="426"/>
    </row>
    <row r="727">
      <c r="C727" s="139"/>
      <c r="D727" s="139"/>
      <c r="F727" s="426"/>
    </row>
    <row r="728">
      <c r="C728" s="139"/>
      <c r="D728" s="139"/>
      <c r="F728" s="426"/>
    </row>
    <row r="729">
      <c r="C729" s="139"/>
      <c r="D729" s="139"/>
      <c r="F729" s="426"/>
    </row>
    <row r="730">
      <c r="C730" s="139"/>
      <c r="D730" s="139"/>
      <c r="F730" s="426"/>
    </row>
    <row r="731">
      <c r="C731" s="139"/>
      <c r="D731" s="139"/>
      <c r="F731" s="426"/>
    </row>
    <row r="732">
      <c r="C732" s="139"/>
      <c r="D732" s="139"/>
      <c r="F732" s="426"/>
    </row>
    <row r="733">
      <c r="C733" s="139"/>
      <c r="D733" s="139"/>
      <c r="F733" s="426"/>
    </row>
    <row r="734">
      <c r="C734" s="139"/>
      <c r="D734" s="139"/>
      <c r="F734" s="426"/>
    </row>
    <row r="735">
      <c r="C735" s="139"/>
      <c r="D735" s="139"/>
      <c r="F735" s="426"/>
    </row>
    <row r="736">
      <c r="C736" s="139"/>
      <c r="D736" s="139"/>
      <c r="F736" s="426"/>
    </row>
    <row r="737">
      <c r="C737" s="139"/>
      <c r="D737" s="139"/>
      <c r="F737" s="426"/>
    </row>
    <row r="738">
      <c r="C738" s="139"/>
      <c r="D738" s="139"/>
      <c r="F738" s="426"/>
    </row>
    <row r="739">
      <c r="C739" s="139"/>
      <c r="D739" s="139"/>
      <c r="F739" s="426"/>
    </row>
    <row r="740">
      <c r="C740" s="139"/>
      <c r="D740" s="139"/>
      <c r="F740" s="426"/>
    </row>
    <row r="741">
      <c r="C741" s="139"/>
      <c r="D741" s="139"/>
      <c r="F741" s="426"/>
    </row>
    <row r="742">
      <c r="C742" s="139"/>
      <c r="D742" s="139"/>
      <c r="F742" s="426"/>
    </row>
    <row r="743">
      <c r="C743" s="139"/>
      <c r="D743" s="139"/>
      <c r="F743" s="426"/>
    </row>
    <row r="744">
      <c r="C744" s="139"/>
      <c r="D744" s="139"/>
      <c r="F744" s="426"/>
    </row>
    <row r="745">
      <c r="C745" s="139"/>
      <c r="D745" s="139"/>
      <c r="F745" s="426"/>
    </row>
    <row r="746">
      <c r="C746" s="139"/>
      <c r="D746" s="139"/>
      <c r="F746" s="426"/>
    </row>
    <row r="747">
      <c r="C747" s="139"/>
      <c r="D747" s="139"/>
      <c r="F747" s="426"/>
    </row>
    <row r="748">
      <c r="C748" s="139"/>
      <c r="D748" s="139"/>
      <c r="F748" s="426"/>
    </row>
    <row r="749">
      <c r="C749" s="139"/>
      <c r="D749" s="139"/>
      <c r="F749" s="426"/>
    </row>
    <row r="750">
      <c r="C750" s="139"/>
      <c r="D750" s="139"/>
      <c r="F750" s="426"/>
    </row>
    <row r="751">
      <c r="C751" s="139"/>
      <c r="D751" s="139"/>
      <c r="F751" s="426"/>
    </row>
    <row r="752">
      <c r="C752" s="139"/>
      <c r="D752" s="139"/>
      <c r="F752" s="426"/>
    </row>
    <row r="753">
      <c r="C753" s="139"/>
      <c r="D753" s="139"/>
      <c r="F753" s="426"/>
    </row>
    <row r="754">
      <c r="C754" s="139"/>
      <c r="D754" s="139"/>
      <c r="F754" s="426"/>
    </row>
    <row r="755">
      <c r="C755" s="139"/>
      <c r="D755" s="139"/>
      <c r="F755" s="426"/>
    </row>
    <row r="756">
      <c r="C756" s="139"/>
      <c r="D756" s="139"/>
      <c r="F756" s="426"/>
    </row>
    <row r="757">
      <c r="C757" s="139"/>
      <c r="D757" s="139"/>
      <c r="F757" s="426"/>
    </row>
    <row r="758">
      <c r="C758" s="139"/>
      <c r="D758" s="139"/>
      <c r="F758" s="426"/>
    </row>
    <row r="759">
      <c r="C759" s="139"/>
      <c r="D759" s="139"/>
      <c r="F759" s="426"/>
    </row>
    <row r="760">
      <c r="C760" s="139"/>
      <c r="D760" s="139"/>
      <c r="F760" s="426"/>
    </row>
    <row r="761">
      <c r="C761" s="139"/>
      <c r="D761" s="139"/>
      <c r="F761" s="426"/>
    </row>
    <row r="762">
      <c r="C762" s="139"/>
      <c r="D762" s="139"/>
      <c r="F762" s="426"/>
    </row>
    <row r="763">
      <c r="C763" s="139"/>
      <c r="D763" s="139"/>
      <c r="F763" s="426"/>
    </row>
    <row r="764">
      <c r="C764" s="139"/>
      <c r="D764" s="139"/>
      <c r="F764" s="426"/>
    </row>
    <row r="765">
      <c r="C765" s="139"/>
      <c r="D765" s="139"/>
      <c r="F765" s="426"/>
    </row>
    <row r="766">
      <c r="C766" s="139"/>
      <c r="D766" s="139"/>
      <c r="F766" s="426"/>
    </row>
    <row r="767">
      <c r="C767" s="139"/>
      <c r="D767" s="139"/>
      <c r="F767" s="426"/>
    </row>
    <row r="768">
      <c r="C768" s="139"/>
      <c r="D768" s="139"/>
      <c r="F768" s="426"/>
    </row>
    <row r="769">
      <c r="C769" s="139"/>
      <c r="D769" s="139"/>
      <c r="F769" s="426"/>
    </row>
    <row r="770">
      <c r="C770" s="139"/>
      <c r="D770" s="139"/>
      <c r="F770" s="426"/>
    </row>
    <row r="771">
      <c r="C771" s="139"/>
      <c r="D771" s="139"/>
      <c r="F771" s="426"/>
    </row>
    <row r="772">
      <c r="C772" s="139"/>
      <c r="D772" s="139"/>
      <c r="F772" s="426"/>
    </row>
    <row r="773">
      <c r="C773" s="139"/>
      <c r="D773" s="139"/>
      <c r="F773" s="426"/>
    </row>
    <row r="774">
      <c r="C774" s="139"/>
      <c r="D774" s="139"/>
      <c r="F774" s="426"/>
    </row>
    <row r="775">
      <c r="C775" s="139"/>
      <c r="D775" s="139"/>
      <c r="F775" s="426"/>
    </row>
    <row r="776">
      <c r="C776" s="139"/>
      <c r="D776" s="139"/>
      <c r="F776" s="426"/>
    </row>
    <row r="777">
      <c r="C777" s="139"/>
      <c r="D777" s="139"/>
      <c r="F777" s="426"/>
    </row>
    <row r="778">
      <c r="C778" s="139"/>
      <c r="D778" s="139"/>
      <c r="F778" s="426"/>
    </row>
    <row r="779">
      <c r="C779" s="139"/>
      <c r="D779" s="139"/>
      <c r="F779" s="426"/>
    </row>
    <row r="780">
      <c r="C780" s="139"/>
      <c r="D780" s="139"/>
      <c r="F780" s="426"/>
    </row>
    <row r="781">
      <c r="C781" s="139"/>
      <c r="D781" s="139"/>
      <c r="F781" s="426"/>
    </row>
    <row r="782">
      <c r="C782" s="139"/>
      <c r="D782" s="139"/>
      <c r="F782" s="426"/>
    </row>
    <row r="783">
      <c r="C783" s="139"/>
      <c r="D783" s="139"/>
      <c r="F783" s="426"/>
    </row>
    <row r="784">
      <c r="C784" s="139"/>
      <c r="D784" s="139"/>
      <c r="F784" s="426"/>
    </row>
    <row r="785">
      <c r="C785" s="139"/>
      <c r="D785" s="139"/>
      <c r="F785" s="426"/>
    </row>
    <row r="786">
      <c r="C786" s="139"/>
      <c r="D786" s="139"/>
      <c r="F786" s="426"/>
    </row>
    <row r="787">
      <c r="C787" s="139"/>
      <c r="D787" s="139"/>
      <c r="F787" s="426"/>
    </row>
    <row r="788">
      <c r="C788" s="139"/>
      <c r="D788" s="139"/>
      <c r="F788" s="426"/>
    </row>
    <row r="789">
      <c r="C789" s="139"/>
      <c r="D789" s="139"/>
      <c r="F789" s="426"/>
    </row>
    <row r="790">
      <c r="C790" s="139"/>
      <c r="D790" s="139"/>
      <c r="F790" s="426"/>
    </row>
    <row r="791">
      <c r="C791" s="139"/>
      <c r="D791" s="139"/>
      <c r="F791" s="426"/>
    </row>
    <row r="792">
      <c r="C792" s="139"/>
      <c r="D792" s="139"/>
      <c r="F792" s="426"/>
    </row>
    <row r="793">
      <c r="C793" s="139"/>
      <c r="D793" s="139"/>
      <c r="F793" s="426"/>
    </row>
    <row r="794">
      <c r="C794" s="139"/>
      <c r="D794" s="139"/>
      <c r="F794" s="426"/>
    </row>
    <row r="795">
      <c r="C795" s="139"/>
      <c r="D795" s="139"/>
      <c r="F795" s="426"/>
    </row>
    <row r="796">
      <c r="C796" s="139"/>
      <c r="D796" s="139"/>
      <c r="F796" s="426"/>
    </row>
    <row r="797">
      <c r="C797" s="139"/>
      <c r="D797" s="139"/>
      <c r="F797" s="426"/>
    </row>
    <row r="798">
      <c r="C798" s="139"/>
      <c r="D798" s="139"/>
      <c r="F798" s="426"/>
    </row>
    <row r="799">
      <c r="C799" s="139"/>
      <c r="D799" s="139"/>
      <c r="F799" s="426"/>
    </row>
    <row r="800">
      <c r="C800" s="139"/>
      <c r="D800" s="139"/>
      <c r="F800" s="426"/>
    </row>
    <row r="801">
      <c r="C801" s="139"/>
      <c r="D801" s="139"/>
      <c r="F801" s="426"/>
    </row>
    <row r="802">
      <c r="C802" s="139"/>
      <c r="D802" s="139"/>
      <c r="F802" s="426"/>
    </row>
    <row r="803">
      <c r="C803" s="139"/>
      <c r="D803" s="139"/>
      <c r="F803" s="426"/>
    </row>
    <row r="804">
      <c r="C804" s="139"/>
      <c r="D804" s="139"/>
      <c r="F804" s="426"/>
    </row>
    <row r="805">
      <c r="C805" s="139"/>
      <c r="D805" s="139"/>
      <c r="F805" s="426"/>
    </row>
    <row r="806">
      <c r="C806" s="139"/>
      <c r="D806" s="139"/>
      <c r="F806" s="426"/>
    </row>
    <row r="807">
      <c r="C807" s="139"/>
      <c r="D807" s="139"/>
      <c r="F807" s="426"/>
    </row>
    <row r="808">
      <c r="C808" s="139"/>
      <c r="D808" s="139"/>
      <c r="F808" s="426"/>
    </row>
    <row r="809">
      <c r="C809" s="139"/>
      <c r="D809" s="139"/>
      <c r="F809" s="426"/>
    </row>
    <row r="810">
      <c r="C810" s="139"/>
      <c r="D810" s="139"/>
      <c r="F810" s="426"/>
    </row>
    <row r="811">
      <c r="C811" s="139"/>
      <c r="D811" s="139"/>
      <c r="F811" s="426"/>
    </row>
    <row r="812">
      <c r="C812" s="139"/>
      <c r="D812" s="139"/>
      <c r="F812" s="426"/>
    </row>
    <row r="813">
      <c r="C813" s="139"/>
      <c r="D813" s="139"/>
      <c r="F813" s="426"/>
    </row>
    <row r="814">
      <c r="C814" s="139"/>
      <c r="D814" s="139"/>
      <c r="F814" s="426"/>
    </row>
    <row r="815">
      <c r="C815" s="139"/>
      <c r="D815" s="139"/>
      <c r="F815" s="426"/>
    </row>
    <row r="816">
      <c r="C816" s="139"/>
      <c r="D816" s="139"/>
      <c r="F816" s="426"/>
    </row>
    <row r="817">
      <c r="C817" s="139"/>
      <c r="D817" s="139"/>
      <c r="F817" s="426"/>
    </row>
    <row r="818">
      <c r="C818" s="139"/>
      <c r="D818" s="139"/>
      <c r="F818" s="426"/>
    </row>
    <row r="819">
      <c r="C819" s="139"/>
      <c r="D819" s="139"/>
      <c r="F819" s="426"/>
    </row>
    <row r="820">
      <c r="C820" s="139"/>
      <c r="D820" s="139"/>
      <c r="F820" s="426"/>
    </row>
    <row r="821">
      <c r="C821" s="139"/>
      <c r="D821" s="139"/>
      <c r="F821" s="426"/>
    </row>
    <row r="822">
      <c r="C822" s="139"/>
      <c r="D822" s="139"/>
      <c r="F822" s="426"/>
    </row>
    <row r="823">
      <c r="C823" s="139"/>
      <c r="D823" s="139"/>
      <c r="F823" s="426"/>
    </row>
    <row r="824">
      <c r="C824" s="139"/>
      <c r="D824" s="139"/>
      <c r="F824" s="426"/>
    </row>
    <row r="825">
      <c r="C825" s="139"/>
      <c r="D825" s="139"/>
      <c r="F825" s="426"/>
    </row>
    <row r="826">
      <c r="C826" s="139"/>
      <c r="D826" s="139"/>
      <c r="F826" s="426"/>
    </row>
    <row r="827">
      <c r="C827" s="139"/>
      <c r="D827" s="139"/>
      <c r="F827" s="426"/>
    </row>
    <row r="828">
      <c r="C828" s="139"/>
      <c r="D828" s="139"/>
      <c r="F828" s="426"/>
    </row>
    <row r="829">
      <c r="C829" s="139"/>
      <c r="D829" s="139"/>
      <c r="F829" s="426"/>
    </row>
    <row r="830">
      <c r="C830" s="139"/>
      <c r="D830" s="139"/>
      <c r="F830" s="426"/>
    </row>
    <row r="831">
      <c r="C831" s="139"/>
      <c r="D831" s="139"/>
      <c r="F831" s="426"/>
    </row>
    <row r="832">
      <c r="C832" s="139"/>
      <c r="D832" s="139"/>
      <c r="F832" s="426"/>
    </row>
    <row r="833">
      <c r="C833" s="139"/>
      <c r="D833" s="139"/>
      <c r="F833" s="426"/>
    </row>
    <row r="834">
      <c r="C834" s="139"/>
      <c r="D834" s="139"/>
      <c r="F834" s="426"/>
    </row>
    <row r="835">
      <c r="C835" s="139"/>
      <c r="D835" s="139"/>
      <c r="F835" s="426"/>
    </row>
    <row r="836">
      <c r="C836" s="139"/>
      <c r="D836" s="139"/>
      <c r="F836" s="426"/>
    </row>
    <row r="837">
      <c r="C837" s="139"/>
      <c r="D837" s="139"/>
      <c r="F837" s="426"/>
    </row>
    <row r="838">
      <c r="C838" s="139"/>
      <c r="D838" s="139"/>
      <c r="F838" s="426"/>
    </row>
    <row r="839">
      <c r="C839" s="139"/>
      <c r="D839" s="139"/>
      <c r="F839" s="426"/>
    </row>
    <row r="840">
      <c r="C840" s="139"/>
      <c r="D840" s="139"/>
      <c r="F840" s="426"/>
    </row>
    <row r="841">
      <c r="C841" s="139"/>
      <c r="D841" s="139"/>
      <c r="F841" s="426"/>
    </row>
    <row r="842">
      <c r="C842" s="139"/>
      <c r="D842" s="139"/>
      <c r="F842" s="426"/>
    </row>
    <row r="843">
      <c r="C843" s="139"/>
      <c r="D843" s="139"/>
      <c r="F843" s="426"/>
    </row>
    <row r="844">
      <c r="C844" s="139"/>
      <c r="D844" s="139"/>
      <c r="F844" s="426"/>
    </row>
    <row r="845">
      <c r="C845" s="139"/>
      <c r="D845" s="139"/>
      <c r="F845" s="426"/>
    </row>
    <row r="846">
      <c r="C846" s="139"/>
      <c r="D846" s="139"/>
      <c r="F846" s="426"/>
    </row>
    <row r="847">
      <c r="C847" s="139"/>
      <c r="D847" s="139"/>
      <c r="F847" s="426"/>
    </row>
    <row r="848">
      <c r="C848" s="139"/>
      <c r="D848" s="139"/>
      <c r="F848" s="426"/>
    </row>
    <row r="849">
      <c r="C849" s="139"/>
      <c r="D849" s="139"/>
      <c r="F849" s="426"/>
    </row>
    <row r="850">
      <c r="C850" s="139"/>
      <c r="D850" s="139"/>
      <c r="F850" s="426"/>
    </row>
    <row r="851">
      <c r="C851" s="139"/>
      <c r="D851" s="139"/>
      <c r="F851" s="426"/>
    </row>
    <row r="852">
      <c r="C852" s="139"/>
      <c r="D852" s="139"/>
      <c r="F852" s="426"/>
    </row>
    <row r="853">
      <c r="C853" s="139"/>
      <c r="D853" s="139"/>
      <c r="F853" s="426"/>
    </row>
    <row r="854">
      <c r="C854" s="139"/>
      <c r="D854" s="139"/>
      <c r="F854" s="426"/>
    </row>
    <row r="855">
      <c r="C855" s="139"/>
      <c r="D855" s="139"/>
      <c r="F855" s="426"/>
    </row>
    <row r="856">
      <c r="C856" s="139"/>
      <c r="D856" s="139"/>
      <c r="F856" s="426"/>
    </row>
    <row r="857">
      <c r="C857" s="139"/>
      <c r="D857" s="139"/>
      <c r="F857" s="426"/>
    </row>
    <row r="858">
      <c r="C858" s="139"/>
      <c r="D858" s="139"/>
      <c r="F858" s="426"/>
    </row>
    <row r="859">
      <c r="C859" s="139"/>
      <c r="D859" s="139"/>
      <c r="F859" s="426"/>
    </row>
    <row r="860">
      <c r="C860" s="139"/>
      <c r="D860" s="139"/>
      <c r="F860" s="426"/>
    </row>
    <row r="861">
      <c r="C861" s="139"/>
      <c r="D861" s="139"/>
      <c r="F861" s="426"/>
    </row>
    <row r="862">
      <c r="C862" s="139"/>
      <c r="D862" s="139"/>
      <c r="F862" s="426"/>
    </row>
    <row r="863">
      <c r="C863" s="139"/>
      <c r="D863" s="139"/>
      <c r="F863" s="426"/>
    </row>
    <row r="864">
      <c r="C864" s="139"/>
      <c r="D864" s="139"/>
      <c r="F864" s="426"/>
    </row>
    <row r="865">
      <c r="C865" s="139"/>
      <c r="D865" s="139"/>
      <c r="F865" s="426"/>
    </row>
    <row r="866">
      <c r="C866" s="139"/>
      <c r="D866" s="139"/>
      <c r="F866" s="426"/>
    </row>
    <row r="867">
      <c r="C867" s="139"/>
      <c r="D867" s="139"/>
      <c r="F867" s="426"/>
    </row>
    <row r="868">
      <c r="C868" s="139"/>
      <c r="D868" s="139"/>
      <c r="F868" s="426"/>
    </row>
    <row r="869">
      <c r="C869" s="139"/>
      <c r="D869" s="139"/>
      <c r="F869" s="426"/>
    </row>
    <row r="870">
      <c r="C870" s="139"/>
      <c r="D870" s="139"/>
      <c r="F870" s="426"/>
    </row>
    <row r="871">
      <c r="C871" s="139"/>
      <c r="D871" s="139"/>
      <c r="F871" s="426"/>
    </row>
    <row r="872">
      <c r="C872" s="139"/>
      <c r="D872" s="139"/>
      <c r="F872" s="426"/>
    </row>
    <row r="873">
      <c r="C873" s="139"/>
      <c r="D873" s="139"/>
      <c r="F873" s="426"/>
    </row>
    <row r="874">
      <c r="C874" s="139"/>
      <c r="D874" s="139"/>
      <c r="F874" s="426"/>
    </row>
    <row r="875">
      <c r="C875" s="139"/>
      <c r="D875" s="139"/>
      <c r="F875" s="426"/>
    </row>
    <row r="876">
      <c r="C876" s="139"/>
      <c r="D876" s="139"/>
      <c r="F876" s="426"/>
    </row>
    <row r="877">
      <c r="C877" s="139"/>
      <c r="D877" s="139"/>
      <c r="F877" s="426"/>
    </row>
    <row r="878">
      <c r="C878" s="139"/>
      <c r="D878" s="139"/>
      <c r="F878" s="426"/>
    </row>
    <row r="879">
      <c r="C879" s="139"/>
      <c r="D879" s="139"/>
      <c r="F879" s="426"/>
    </row>
    <row r="880">
      <c r="C880" s="139"/>
      <c r="D880" s="139"/>
      <c r="F880" s="426"/>
    </row>
    <row r="881">
      <c r="C881" s="139"/>
      <c r="D881" s="139"/>
      <c r="F881" s="426"/>
    </row>
    <row r="882">
      <c r="C882" s="139"/>
      <c r="D882" s="139"/>
      <c r="F882" s="426"/>
    </row>
    <row r="883">
      <c r="C883" s="139"/>
      <c r="D883" s="139"/>
      <c r="F883" s="426"/>
    </row>
    <row r="884">
      <c r="C884" s="139"/>
      <c r="D884" s="139"/>
      <c r="F884" s="426"/>
    </row>
    <row r="885">
      <c r="C885" s="139"/>
      <c r="D885" s="139"/>
      <c r="F885" s="426"/>
    </row>
    <row r="886">
      <c r="C886" s="139"/>
      <c r="D886" s="139"/>
      <c r="F886" s="426"/>
    </row>
    <row r="887">
      <c r="C887" s="139"/>
      <c r="D887" s="139"/>
      <c r="F887" s="426"/>
    </row>
    <row r="888">
      <c r="C888" s="139"/>
      <c r="D888" s="139"/>
      <c r="F888" s="426"/>
    </row>
    <row r="889">
      <c r="C889" s="139"/>
      <c r="D889" s="139"/>
      <c r="F889" s="426"/>
    </row>
    <row r="890">
      <c r="C890" s="139"/>
      <c r="D890" s="139"/>
      <c r="F890" s="426"/>
    </row>
    <row r="891">
      <c r="C891" s="139"/>
      <c r="D891" s="139"/>
      <c r="F891" s="426"/>
    </row>
    <row r="892">
      <c r="C892" s="139"/>
      <c r="D892" s="139"/>
      <c r="F892" s="426"/>
    </row>
    <row r="893">
      <c r="C893" s="139"/>
      <c r="D893" s="139"/>
      <c r="F893" s="426"/>
    </row>
    <row r="894">
      <c r="C894" s="139"/>
      <c r="D894" s="139"/>
      <c r="F894" s="426"/>
    </row>
    <row r="895">
      <c r="C895" s="139"/>
      <c r="D895" s="139"/>
      <c r="F895" s="426"/>
    </row>
    <row r="896">
      <c r="C896" s="139"/>
      <c r="D896" s="139"/>
      <c r="F896" s="426"/>
    </row>
    <row r="897">
      <c r="C897" s="139"/>
      <c r="D897" s="139"/>
      <c r="F897" s="426"/>
    </row>
    <row r="898">
      <c r="C898" s="139"/>
      <c r="D898" s="139"/>
      <c r="F898" s="426"/>
    </row>
    <row r="899">
      <c r="C899" s="139"/>
      <c r="D899" s="139"/>
      <c r="F899" s="426"/>
    </row>
    <row r="900">
      <c r="C900" s="139"/>
      <c r="D900" s="139"/>
      <c r="F900" s="426"/>
    </row>
    <row r="901">
      <c r="C901" s="139"/>
      <c r="D901" s="139"/>
      <c r="F901" s="426"/>
    </row>
    <row r="902">
      <c r="C902" s="139"/>
      <c r="D902" s="139"/>
      <c r="F902" s="426"/>
    </row>
    <row r="903">
      <c r="C903" s="139"/>
      <c r="D903" s="139"/>
      <c r="F903" s="426"/>
    </row>
    <row r="904">
      <c r="C904" s="139"/>
      <c r="D904" s="139"/>
      <c r="F904" s="426"/>
    </row>
    <row r="905">
      <c r="C905" s="139"/>
      <c r="D905" s="139"/>
      <c r="F905" s="426"/>
    </row>
    <row r="906">
      <c r="C906" s="139"/>
      <c r="D906" s="139"/>
      <c r="F906" s="426"/>
    </row>
    <row r="907">
      <c r="C907" s="139"/>
      <c r="D907" s="139"/>
      <c r="F907" s="426"/>
    </row>
    <row r="908">
      <c r="C908" s="139"/>
      <c r="D908" s="139"/>
      <c r="F908" s="426"/>
    </row>
    <row r="909">
      <c r="C909" s="139"/>
      <c r="D909" s="139"/>
      <c r="F909" s="426"/>
    </row>
    <row r="910">
      <c r="C910" s="139"/>
      <c r="D910" s="139"/>
      <c r="F910" s="426"/>
    </row>
    <row r="911">
      <c r="C911" s="139"/>
      <c r="D911" s="139"/>
      <c r="F911" s="426"/>
    </row>
    <row r="912">
      <c r="C912" s="139"/>
      <c r="D912" s="139"/>
      <c r="F912" s="426"/>
    </row>
    <row r="913">
      <c r="C913" s="139"/>
      <c r="D913" s="139"/>
      <c r="F913" s="426"/>
    </row>
    <row r="914">
      <c r="C914" s="139"/>
      <c r="D914" s="139"/>
      <c r="F914" s="426"/>
    </row>
    <row r="915">
      <c r="C915" s="139"/>
      <c r="D915" s="139"/>
      <c r="F915" s="426"/>
    </row>
    <row r="916">
      <c r="C916" s="139"/>
      <c r="D916" s="139"/>
      <c r="F916" s="426"/>
    </row>
    <row r="917">
      <c r="C917" s="139"/>
      <c r="D917" s="139"/>
      <c r="F917" s="426"/>
    </row>
    <row r="918">
      <c r="C918" s="139"/>
      <c r="D918" s="139"/>
      <c r="F918" s="426"/>
    </row>
    <row r="919">
      <c r="C919" s="139"/>
      <c r="D919" s="139"/>
      <c r="F919" s="426"/>
    </row>
    <row r="920">
      <c r="C920" s="139"/>
      <c r="D920" s="139"/>
      <c r="F920" s="426"/>
    </row>
    <row r="921">
      <c r="C921" s="139"/>
      <c r="D921" s="139"/>
      <c r="F921" s="426"/>
    </row>
    <row r="922">
      <c r="C922" s="139"/>
      <c r="D922" s="139"/>
      <c r="F922" s="426"/>
    </row>
    <row r="923">
      <c r="C923" s="139"/>
      <c r="D923" s="139"/>
      <c r="F923" s="426"/>
    </row>
    <row r="924">
      <c r="C924" s="139"/>
      <c r="D924" s="139"/>
      <c r="F924" s="426"/>
    </row>
    <row r="925">
      <c r="C925" s="139"/>
      <c r="D925" s="139"/>
      <c r="F925" s="426"/>
    </row>
    <row r="926">
      <c r="C926" s="139"/>
      <c r="D926" s="139"/>
      <c r="F926" s="426"/>
    </row>
    <row r="927">
      <c r="C927" s="139"/>
      <c r="D927" s="139"/>
      <c r="F927" s="426"/>
    </row>
    <row r="928">
      <c r="C928" s="139"/>
      <c r="D928" s="139"/>
      <c r="F928" s="426"/>
    </row>
    <row r="929">
      <c r="C929" s="139"/>
      <c r="D929" s="139"/>
      <c r="F929" s="426"/>
    </row>
    <row r="930">
      <c r="C930" s="139"/>
      <c r="D930" s="139"/>
      <c r="F930" s="426"/>
    </row>
    <row r="931">
      <c r="C931" s="139"/>
      <c r="D931" s="139"/>
      <c r="F931" s="426"/>
    </row>
    <row r="932">
      <c r="C932" s="139"/>
      <c r="D932" s="139"/>
      <c r="F932" s="426"/>
    </row>
    <row r="933">
      <c r="C933" s="139"/>
      <c r="D933" s="139"/>
      <c r="F933" s="426"/>
    </row>
    <row r="934">
      <c r="C934" s="139"/>
      <c r="D934" s="139"/>
      <c r="F934" s="426"/>
    </row>
    <row r="935">
      <c r="C935" s="139"/>
      <c r="D935" s="139"/>
      <c r="F935" s="426"/>
    </row>
    <row r="936">
      <c r="C936" s="139"/>
      <c r="D936" s="139"/>
      <c r="F936" s="426"/>
    </row>
    <row r="937">
      <c r="C937" s="139"/>
      <c r="D937" s="139"/>
      <c r="F937" s="426"/>
    </row>
    <row r="938">
      <c r="C938" s="139"/>
      <c r="D938" s="139"/>
      <c r="F938" s="426"/>
    </row>
    <row r="939">
      <c r="C939" s="139"/>
      <c r="D939" s="139"/>
      <c r="F939" s="426"/>
    </row>
    <row r="940">
      <c r="C940" s="139"/>
      <c r="D940" s="139"/>
      <c r="F940" s="426"/>
    </row>
    <row r="941">
      <c r="C941" s="139"/>
      <c r="D941" s="139"/>
      <c r="F941" s="426"/>
    </row>
    <row r="942">
      <c r="C942" s="139"/>
      <c r="D942" s="139"/>
      <c r="F942" s="426"/>
    </row>
    <row r="943">
      <c r="C943" s="139"/>
      <c r="D943" s="139"/>
      <c r="F943" s="426"/>
    </row>
    <row r="944">
      <c r="C944" s="139"/>
      <c r="D944" s="139"/>
      <c r="F944" s="426"/>
    </row>
    <row r="945">
      <c r="C945" s="139"/>
      <c r="D945" s="139"/>
      <c r="F945" s="426"/>
    </row>
    <row r="946">
      <c r="C946" s="139"/>
      <c r="D946" s="139"/>
      <c r="F946" s="426"/>
    </row>
    <row r="947">
      <c r="C947" s="139"/>
      <c r="D947" s="139"/>
      <c r="F947" s="426"/>
    </row>
    <row r="948">
      <c r="C948" s="139"/>
      <c r="D948" s="139"/>
      <c r="F948" s="426"/>
    </row>
    <row r="949">
      <c r="C949" s="139"/>
      <c r="D949" s="139"/>
      <c r="F949" s="426"/>
    </row>
    <row r="950">
      <c r="C950" s="139"/>
      <c r="D950" s="139"/>
      <c r="F950" s="426"/>
    </row>
    <row r="951">
      <c r="C951" s="139"/>
      <c r="D951" s="139"/>
      <c r="F951" s="426"/>
    </row>
    <row r="952">
      <c r="C952" s="139"/>
      <c r="D952" s="139"/>
      <c r="F952" s="426"/>
    </row>
    <row r="953">
      <c r="C953" s="139"/>
      <c r="D953" s="139"/>
      <c r="F953" s="426"/>
    </row>
    <row r="954">
      <c r="C954" s="139"/>
      <c r="D954" s="139"/>
      <c r="F954" s="426"/>
    </row>
    <row r="955">
      <c r="C955" s="139"/>
      <c r="D955" s="139"/>
      <c r="F955" s="426"/>
    </row>
    <row r="956">
      <c r="C956" s="139"/>
      <c r="D956" s="139"/>
      <c r="F956" s="426"/>
    </row>
    <row r="957">
      <c r="C957" s="139"/>
      <c r="D957" s="139"/>
      <c r="F957" s="426"/>
    </row>
    <row r="958">
      <c r="C958" s="139"/>
      <c r="D958" s="139"/>
      <c r="F958" s="426"/>
    </row>
    <row r="959">
      <c r="C959" s="139"/>
      <c r="D959" s="139"/>
      <c r="F959" s="426"/>
    </row>
    <row r="960">
      <c r="C960" s="139"/>
      <c r="D960" s="139"/>
      <c r="F960" s="426"/>
    </row>
    <row r="961">
      <c r="C961" s="139"/>
      <c r="D961" s="139"/>
      <c r="F961" s="426"/>
    </row>
    <row r="962">
      <c r="C962" s="139"/>
      <c r="D962" s="139"/>
      <c r="F962" s="426"/>
    </row>
    <row r="963">
      <c r="C963" s="139"/>
      <c r="D963" s="139"/>
      <c r="F963" s="426"/>
    </row>
    <row r="964">
      <c r="C964" s="139"/>
      <c r="D964" s="139"/>
      <c r="F964" s="426"/>
    </row>
    <row r="965">
      <c r="C965" s="139"/>
      <c r="D965" s="139"/>
      <c r="F965" s="426"/>
    </row>
    <row r="966">
      <c r="C966" s="139"/>
      <c r="D966" s="139"/>
      <c r="F966" s="426"/>
    </row>
    <row r="967">
      <c r="C967" s="139"/>
      <c r="D967" s="139"/>
      <c r="F967" s="426"/>
    </row>
    <row r="968">
      <c r="C968" s="139"/>
      <c r="D968" s="139"/>
      <c r="F968" s="426"/>
    </row>
    <row r="969">
      <c r="C969" s="139"/>
      <c r="D969" s="139"/>
      <c r="F969" s="426"/>
    </row>
    <row r="970">
      <c r="C970" s="139"/>
      <c r="D970" s="139"/>
      <c r="F970" s="426"/>
    </row>
    <row r="971">
      <c r="C971" s="139"/>
      <c r="D971" s="139"/>
      <c r="F971" s="426"/>
    </row>
    <row r="972">
      <c r="C972" s="139"/>
      <c r="D972" s="139"/>
      <c r="F972" s="426"/>
    </row>
    <row r="973">
      <c r="C973" s="139"/>
      <c r="D973" s="139"/>
      <c r="F973" s="426"/>
    </row>
    <row r="974">
      <c r="C974" s="139"/>
      <c r="D974" s="139"/>
      <c r="F974" s="426"/>
    </row>
    <row r="975">
      <c r="C975" s="139"/>
      <c r="D975" s="139"/>
      <c r="F975" s="426"/>
    </row>
    <row r="976">
      <c r="C976" s="139"/>
      <c r="D976" s="139"/>
      <c r="F976" s="426"/>
    </row>
    <row r="977">
      <c r="C977" s="139"/>
      <c r="D977" s="139"/>
      <c r="F977" s="426"/>
    </row>
    <row r="978">
      <c r="C978" s="139"/>
      <c r="D978" s="139"/>
      <c r="F978" s="426"/>
    </row>
    <row r="979">
      <c r="C979" s="139"/>
      <c r="D979" s="139"/>
      <c r="F979" s="426"/>
    </row>
    <row r="980">
      <c r="C980" s="139"/>
      <c r="D980" s="139"/>
      <c r="F980" s="426"/>
    </row>
    <row r="981">
      <c r="C981" s="139"/>
      <c r="D981" s="139"/>
      <c r="F981" s="426"/>
    </row>
    <row r="982">
      <c r="C982" s="139"/>
      <c r="D982" s="139"/>
      <c r="F982" s="426"/>
    </row>
    <row r="983">
      <c r="C983" s="139"/>
      <c r="D983" s="139"/>
      <c r="F983" s="426"/>
    </row>
    <row r="984">
      <c r="C984" s="139"/>
      <c r="D984" s="139"/>
      <c r="F984" s="426"/>
    </row>
    <row r="985">
      <c r="C985" s="139"/>
      <c r="D985" s="139"/>
      <c r="F985" s="426"/>
    </row>
    <row r="986">
      <c r="C986" s="139"/>
      <c r="D986" s="139"/>
      <c r="F986" s="426"/>
    </row>
    <row r="987">
      <c r="C987" s="139"/>
      <c r="D987" s="139"/>
      <c r="F987" s="426"/>
    </row>
    <row r="988">
      <c r="C988" s="139"/>
      <c r="D988" s="139"/>
      <c r="F988" s="426"/>
    </row>
    <row r="989">
      <c r="C989" s="139"/>
      <c r="D989" s="139"/>
      <c r="F989" s="426"/>
    </row>
    <row r="990">
      <c r="C990" s="139"/>
      <c r="D990" s="139"/>
      <c r="F990" s="426"/>
    </row>
    <row r="991">
      <c r="C991" s="139"/>
      <c r="D991" s="139"/>
      <c r="F991" s="426"/>
    </row>
    <row r="992">
      <c r="C992" s="139"/>
      <c r="D992" s="139"/>
      <c r="F992" s="426"/>
    </row>
    <row r="993">
      <c r="C993" s="139"/>
      <c r="D993" s="139"/>
      <c r="F993" s="426"/>
    </row>
    <row r="994">
      <c r="C994" s="139"/>
      <c r="D994" s="139"/>
      <c r="F994" s="426"/>
    </row>
    <row r="995">
      <c r="C995" s="139"/>
      <c r="D995" s="139"/>
      <c r="F995" s="426"/>
    </row>
    <row r="996">
      <c r="C996" s="139"/>
      <c r="D996" s="139"/>
      <c r="F996" s="426"/>
    </row>
    <row r="997">
      <c r="C997" s="139"/>
      <c r="D997" s="139"/>
      <c r="F997" s="426"/>
    </row>
    <row r="998">
      <c r="C998" s="139"/>
      <c r="D998" s="139"/>
      <c r="F998" s="426"/>
    </row>
    <row r="999">
      <c r="C999" s="139"/>
      <c r="D999" s="139"/>
      <c r="F999" s="426"/>
    </row>
    <row r="1000">
      <c r="C1000" s="139"/>
      <c r="D1000" s="139"/>
      <c r="F1000" s="426"/>
    </row>
    <row r="1001">
      <c r="C1001" s="139"/>
      <c r="D1001" s="139"/>
      <c r="F1001" s="426"/>
    </row>
    <row r="1002">
      <c r="C1002" s="139"/>
      <c r="D1002" s="139"/>
      <c r="F1002" s="426"/>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C4"/>
    <hyperlink r:id="rId2" ref="G4"/>
    <hyperlink r:id="rId3" ref="H4"/>
    <hyperlink r:id="rId4" ref="I4"/>
    <hyperlink r:id="rId5" ref="J4"/>
    <hyperlink r:id="rId6" ref="C5"/>
    <hyperlink r:id="rId7" ref="G5"/>
    <hyperlink r:id="rId8" ref="H5"/>
    <hyperlink r:id="rId9" ref="C6"/>
    <hyperlink r:id="rId10" ref="G6"/>
    <hyperlink r:id="rId11" ref="H6"/>
    <hyperlink r:id="rId12" ref="C7"/>
    <hyperlink r:id="rId13" ref="G7"/>
    <hyperlink r:id="rId14" ref="H7"/>
    <hyperlink r:id="rId15" ref="C8"/>
    <hyperlink r:id="rId16" ref="G8"/>
    <hyperlink r:id="rId17" ref="H8"/>
    <hyperlink r:id="rId18" ref="G9"/>
    <hyperlink r:id="rId19" ref="H9"/>
    <hyperlink r:id="rId20" ref="C10"/>
    <hyperlink r:id="rId21" ref="G10"/>
    <hyperlink r:id="rId22" ref="H10"/>
    <hyperlink r:id="rId23" ref="I10"/>
    <hyperlink r:id="rId24" ref="G11"/>
    <hyperlink r:id="rId25" ref="H11"/>
    <hyperlink r:id="rId26" ref="C12"/>
    <hyperlink r:id="rId27" ref="G12"/>
    <hyperlink r:id="rId28" ref="H12"/>
    <hyperlink r:id="rId29" ref="G13"/>
    <hyperlink r:id="rId30" ref="H13"/>
    <hyperlink r:id="rId31" ref="C14"/>
    <hyperlink r:id="rId32" ref="G14"/>
    <hyperlink r:id="rId33" ref="C15"/>
    <hyperlink r:id="rId34" ref="G15"/>
    <hyperlink r:id="rId35" ref="G16"/>
    <hyperlink r:id="rId36" ref="G17"/>
    <hyperlink r:id="rId37" ref="H17"/>
    <hyperlink r:id="rId38" ref="C18"/>
    <hyperlink r:id="rId39" ref="H18"/>
    <hyperlink r:id="rId40" ref="I18"/>
    <hyperlink r:id="rId41" ref="C19"/>
    <hyperlink r:id="rId42" ref="H19"/>
    <hyperlink r:id="rId43" ref="I19"/>
    <hyperlink r:id="rId44" ref="C20"/>
    <hyperlink r:id="rId45" ref="G20"/>
    <hyperlink r:id="rId46" ref="H20"/>
    <hyperlink r:id="rId47" ref="C21"/>
    <hyperlink r:id="rId48" ref="G21"/>
    <hyperlink r:id="rId49" ref="H21"/>
    <hyperlink r:id="rId50" ref="G22"/>
    <hyperlink r:id="rId51" ref="H22"/>
    <hyperlink r:id="rId52" ref="C23"/>
    <hyperlink r:id="rId53" ref="G23"/>
    <hyperlink r:id="rId54" ref="G24"/>
    <hyperlink r:id="rId55" ref="H24"/>
    <hyperlink r:id="rId56" ref="C25"/>
    <hyperlink r:id="rId57" ref="G25"/>
    <hyperlink r:id="rId58" ref="H25"/>
    <hyperlink r:id="rId59" ref="G26"/>
    <hyperlink r:id="rId60" ref="H26"/>
    <hyperlink r:id="rId61" ref="G27"/>
    <hyperlink r:id="rId62" ref="H27"/>
    <hyperlink r:id="rId63" ref="C28"/>
    <hyperlink r:id="rId64" ref="G28"/>
    <hyperlink r:id="rId65" ref="H28"/>
    <hyperlink r:id="rId66" ref="G29"/>
    <hyperlink r:id="rId67" ref="H29"/>
    <hyperlink r:id="rId68" ref="C30"/>
    <hyperlink r:id="rId69" ref="G30"/>
    <hyperlink r:id="rId70" ref="G31"/>
    <hyperlink r:id="rId71" ref="C32"/>
    <hyperlink r:id="rId72" ref="G32"/>
    <hyperlink r:id="rId73" ref="H32"/>
    <hyperlink r:id="rId74" ref="G33"/>
    <hyperlink r:id="rId75" ref="H33"/>
    <hyperlink r:id="rId76" ref="C34"/>
    <hyperlink r:id="rId77" ref="G34"/>
    <hyperlink r:id="rId78" ref="H34"/>
    <hyperlink r:id="rId79" ref="C35"/>
    <hyperlink r:id="rId80" ref="G35"/>
    <hyperlink r:id="rId81" ref="C36"/>
    <hyperlink r:id="rId82" ref="G36"/>
    <hyperlink r:id="rId83" ref="H36"/>
    <hyperlink r:id="rId84" ref="G37"/>
    <hyperlink r:id="rId85" ref="C38"/>
    <hyperlink r:id="rId86" ref="G38"/>
    <hyperlink r:id="rId87" ref="H38"/>
    <hyperlink r:id="rId88" ref="C39"/>
    <hyperlink r:id="rId89" ref="G39"/>
    <hyperlink r:id="rId90" ref="H39"/>
    <hyperlink r:id="rId91" ref="G40"/>
    <hyperlink r:id="rId92" ref="H40"/>
    <hyperlink r:id="rId93" ref="C41"/>
    <hyperlink r:id="rId94" ref="G41"/>
    <hyperlink r:id="rId95" ref="H41"/>
    <hyperlink r:id="rId96" ref="G42"/>
    <hyperlink r:id="rId97" ref="C43"/>
    <hyperlink r:id="rId98" ref="G43"/>
    <hyperlink r:id="rId99" ref="C44"/>
    <hyperlink r:id="rId100" ref="G44"/>
    <hyperlink r:id="rId101" ref="H44"/>
    <hyperlink r:id="rId102" ref="C45"/>
    <hyperlink r:id="rId103" ref="G45"/>
    <hyperlink r:id="rId104" ref="G46"/>
    <hyperlink r:id="rId105" ref="C47"/>
    <hyperlink r:id="rId106" ref="G47"/>
    <hyperlink r:id="rId107" ref="H47"/>
    <hyperlink r:id="rId108" ref="I47"/>
    <hyperlink r:id="rId109" ref="H48"/>
    <hyperlink r:id="rId110" ref="G49"/>
    <hyperlink r:id="rId111" ref="H49"/>
    <hyperlink r:id="rId112" ref="G50"/>
    <hyperlink r:id="rId113" ref="H50"/>
    <hyperlink r:id="rId114" ref="C51"/>
    <hyperlink r:id="rId115" ref="H51"/>
    <hyperlink r:id="rId116" ref="C52"/>
    <hyperlink r:id="rId117" ref="G52"/>
    <hyperlink r:id="rId118" ref="C53"/>
    <hyperlink r:id="rId119" ref="G53"/>
    <hyperlink r:id="rId120" ref="C54"/>
    <hyperlink r:id="rId121" ref="G54"/>
    <hyperlink r:id="rId122" ref="H54"/>
    <hyperlink r:id="rId123" ref="C55"/>
    <hyperlink r:id="rId124" ref="G55"/>
    <hyperlink r:id="rId125" ref="C56"/>
    <hyperlink r:id="rId126" ref="G56"/>
    <hyperlink r:id="rId127" ref="G57"/>
    <hyperlink r:id="rId128" ref="H57"/>
    <hyperlink r:id="rId129" ref="C58"/>
    <hyperlink r:id="rId130" ref="G58"/>
    <hyperlink r:id="rId131" ref="G59"/>
    <hyperlink r:id="rId132" ref="C60"/>
    <hyperlink r:id="rId133" ref="G60"/>
    <hyperlink r:id="rId134" ref="C61"/>
    <hyperlink r:id="rId135" ref="G61"/>
    <hyperlink r:id="rId136" ref="H61"/>
    <hyperlink r:id="rId137" ref="G62"/>
    <hyperlink r:id="rId138" ref="H62"/>
    <hyperlink r:id="rId139" ref="C63"/>
    <hyperlink r:id="rId140" ref="G63"/>
    <hyperlink r:id="rId141" ref="G64"/>
    <hyperlink r:id="rId142" ref="C65"/>
    <hyperlink r:id="rId143" ref="G65"/>
    <hyperlink r:id="rId144" ref="H65"/>
    <hyperlink r:id="rId145" ref="C66"/>
    <hyperlink r:id="rId146" ref="G66"/>
    <hyperlink r:id="rId147" ref="G67"/>
    <hyperlink r:id="rId148" ref="C68"/>
    <hyperlink r:id="rId149" ref="G68"/>
    <hyperlink r:id="rId150" ref="C69"/>
    <hyperlink r:id="rId151" ref="G69"/>
    <hyperlink r:id="rId152" ref="H69"/>
    <hyperlink r:id="rId153" ref="G70"/>
    <hyperlink r:id="rId154" ref="C71"/>
    <hyperlink r:id="rId155" ref="G71"/>
    <hyperlink r:id="rId156" ref="G73"/>
    <hyperlink r:id="rId157" ref="H73"/>
    <hyperlink r:id="rId158" ref="C74"/>
    <hyperlink r:id="rId159" ref="G74"/>
    <hyperlink r:id="rId160" ref="G75"/>
    <hyperlink r:id="rId161" ref="G76"/>
    <hyperlink r:id="rId162" ref="C77"/>
    <hyperlink r:id="rId163" ref="G77"/>
    <hyperlink r:id="rId164" ref="G78"/>
    <hyperlink r:id="rId165" ref="C79"/>
    <hyperlink r:id="rId166" ref="G79"/>
    <hyperlink r:id="rId167" ref="C80"/>
    <hyperlink r:id="rId168" ref="G80"/>
    <hyperlink r:id="rId169" ref="H80"/>
    <hyperlink r:id="rId170" ref="C81"/>
    <hyperlink r:id="rId171" ref="G81"/>
    <hyperlink r:id="rId172" ref="H81"/>
    <hyperlink r:id="rId173" ref="C82"/>
    <hyperlink r:id="rId174" ref="G82"/>
    <hyperlink r:id="rId175" ref="H82"/>
    <hyperlink r:id="rId176" ref="C83"/>
    <hyperlink r:id="rId177" ref="G83"/>
    <hyperlink r:id="rId178" ref="H83"/>
    <hyperlink r:id="rId179" ref="C84"/>
    <hyperlink r:id="rId180" ref="G85"/>
    <hyperlink r:id="rId181" ref="C86"/>
    <hyperlink r:id="rId182" ref="G86"/>
    <hyperlink r:id="rId183" ref="C87"/>
    <hyperlink r:id="rId184" ref="G87"/>
    <hyperlink r:id="rId185" ref="H87"/>
    <hyperlink r:id="rId186" ref="G88"/>
    <hyperlink r:id="rId187" ref="G89"/>
    <hyperlink r:id="rId188" ref="C90"/>
    <hyperlink r:id="rId189" ref="G90"/>
    <hyperlink r:id="rId190" ref="H90"/>
    <hyperlink r:id="rId191" ref="C91"/>
    <hyperlink r:id="rId192" ref="G91"/>
    <hyperlink r:id="rId193" ref="H91"/>
    <hyperlink r:id="rId194" ref="G92"/>
    <hyperlink r:id="rId195" ref="H92"/>
    <hyperlink r:id="rId196" ref="C93"/>
    <hyperlink r:id="rId197" ref="H93"/>
    <hyperlink r:id="rId198" ref="G94"/>
    <hyperlink r:id="rId199" ref="C95"/>
    <hyperlink r:id="rId200" ref="G95"/>
    <hyperlink r:id="rId201" ref="H95"/>
    <hyperlink r:id="rId202" ref="G96"/>
    <hyperlink r:id="rId203" ref="H97"/>
    <hyperlink r:id="rId204" ref="F98"/>
    <hyperlink r:id="rId205" ref="C99"/>
    <hyperlink r:id="rId206" ref="F99"/>
    <hyperlink r:id="rId207" ref="C100"/>
    <hyperlink r:id="rId208" ref="F100"/>
    <hyperlink r:id="rId209" ref="C101"/>
    <hyperlink r:id="rId210" ref="H101"/>
    <hyperlink r:id="rId211" ref="I101"/>
    <hyperlink r:id="rId212" ref="F102"/>
    <hyperlink r:id="rId213" ref="G102"/>
    <hyperlink r:id="rId214" ref="C104"/>
    <hyperlink r:id="rId215" ref="C105"/>
    <hyperlink r:id="rId216" ref="C106"/>
    <hyperlink r:id="rId217" ref="C107"/>
    <hyperlink r:id="rId218" ref="C108"/>
    <hyperlink r:id="rId219" ref="C109"/>
    <hyperlink r:id="rId220" ref="C110"/>
    <hyperlink r:id="rId221" ref="C111"/>
    <hyperlink r:id="rId222" ref="C112"/>
    <hyperlink r:id="rId223" ref="C113"/>
    <hyperlink r:id="rId224" ref="C114"/>
    <hyperlink r:id="rId225" ref="C115"/>
    <hyperlink r:id="rId226" ref="C118"/>
    <hyperlink r:id="rId227" ref="C119"/>
    <hyperlink r:id="rId228" ref="C120"/>
    <hyperlink r:id="rId229" ref="C121"/>
    <hyperlink r:id="rId230" ref="C123"/>
    <hyperlink r:id="rId231" ref="C124"/>
    <hyperlink r:id="rId232" ref="C125"/>
    <hyperlink r:id="rId233" ref="C126"/>
    <hyperlink r:id="rId234" ref="C127"/>
    <hyperlink r:id="rId235" ref="C128"/>
    <hyperlink r:id="rId236" ref="C129"/>
    <hyperlink r:id="rId237" ref="C130"/>
    <hyperlink r:id="rId238" ref="C131"/>
    <hyperlink r:id="rId239" ref="C133"/>
    <hyperlink r:id="rId240" ref="C134"/>
    <hyperlink r:id="rId241" ref="C135"/>
  </hyperlinks>
  <drawing r:id="rId242"/>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FC5E8"/>
    <outlinePr summaryBelow="0" summaryRight="0"/>
  </sheetPr>
  <sheetViews>
    <sheetView workbookViewId="0"/>
  </sheetViews>
  <sheetFormatPr customHeight="1" defaultColWidth="14.43" defaultRowHeight="15.75" outlineLevelRow="1"/>
  <cols>
    <col customWidth="1" min="2" max="2" width="10.57"/>
    <col customWidth="1" min="3" max="3" width="16.57"/>
  </cols>
  <sheetData>
    <row r="1" ht="15.0" customHeight="1" outlineLevel="1">
      <c r="A1" s="1" t="s">
        <v>329</v>
      </c>
      <c r="B1" s="2" t="s">
        <v>1</v>
      </c>
      <c r="C1" s="2" t="s">
        <v>2</v>
      </c>
      <c r="D1" s="2" t="s">
        <v>2</v>
      </c>
      <c r="E1" s="3"/>
      <c r="F1" s="30"/>
      <c r="G1" s="30" t="s">
        <v>1577</v>
      </c>
      <c r="H1" s="30" t="s">
        <v>4</v>
      </c>
      <c r="I1" s="30" t="s">
        <v>5</v>
      </c>
      <c r="J1" s="30" t="s">
        <v>6</v>
      </c>
      <c r="K1" s="30" t="s">
        <v>7</v>
      </c>
      <c r="L1" s="1" t="s">
        <v>8</v>
      </c>
      <c r="M1" s="7" t="s">
        <v>9</v>
      </c>
      <c r="O1" s="10" t="s">
        <v>14</v>
      </c>
      <c r="Q1" s="167" t="s">
        <v>12237</v>
      </c>
      <c r="R1" s="167"/>
      <c r="S1" s="30"/>
      <c r="T1" s="20"/>
      <c r="U1" s="20"/>
      <c r="V1" s="20"/>
      <c r="W1" s="20"/>
      <c r="X1" s="20"/>
      <c r="Y1" s="20"/>
      <c r="Z1" s="20"/>
      <c r="AA1" s="20"/>
      <c r="AB1" s="20"/>
      <c r="AC1" s="20"/>
      <c r="AD1" s="20"/>
      <c r="AE1" s="20"/>
    </row>
    <row r="2" ht="16.5" customHeight="1" outlineLevel="1">
      <c r="A2" s="21" t="s">
        <v>492</v>
      </c>
      <c r="B2" s="21" t="s">
        <v>785</v>
      </c>
      <c r="C2" s="21" t="s">
        <v>12238</v>
      </c>
      <c r="D2" s="23"/>
      <c r="E2" s="3"/>
      <c r="F2" s="168"/>
      <c r="G2" s="168">
        <v>43416.0</v>
      </c>
      <c r="H2" s="168">
        <v>43532.0</v>
      </c>
      <c r="I2" s="21">
        <f>H2-TODAY()</f>
        <v>-203</v>
      </c>
      <c r="J2" s="168">
        <v>43473.0</v>
      </c>
      <c r="K2" s="168">
        <v>43612.0</v>
      </c>
      <c r="L2" s="23"/>
      <c r="M2" s="26">
        <f>CountIFS($E:$E,"=Dem",$A:$A,"=House")</f>
        <v>66</v>
      </c>
      <c r="N2" s="28">
        <f>CountIFS($E:$E,"=Rep",$A:$A,"=House")</f>
        <v>83</v>
      </c>
      <c r="O2" s="26">
        <f>CountIFS($E:$E,"=Dem",$A:$A,"=Senate")</f>
        <v>12</v>
      </c>
      <c r="P2" s="28">
        <f>CountIFS($E:$E,"=Rep",$A:$A,"=Senate")</f>
        <v>19</v>
      </c>
      <c r="Q2" s="714" t="s">
        <v>12239</v>
      </c>
      <c r="R2" s="167"/>
      <c r="S2" s="30"/>
      <c r="T2" s="20"/>
      <c r="U2" s="20"/>
      <c r="V2" s="20"/>
      <c r="W2" s="20"/>
      <c r="X2" s="20"/>
      <c r="Y2" s="20"/>
      <c r="Z2" s="20"/>
      <c r="AA2" s="20"/>
      <c r="AB2" s="20"/>
      <c r="AC2" s="20"/>
      <c r="AD2" s="20"/>
      <c r="AE2" s="20"/>
    </row>
    <row r="3">
      <c r="A3" s="30" t="s">
        <v>29</v>
      </c>
      <c r="B3" s="2" t="s">
        <v>30</v>
      </c>
      <c r="C3" s="2" t="s">
        <v>31</v>
      </c>
      <c r="D3" s="2" t="s">
        <v>32</v>
      </c>
      <c r="E3" s="3" t="s">
        <v>33</v>
      </c>
      <c r="F3" s="1"/>
      <c r="G3" s="1" t="s">
        <v>10</v>
      </c>
      <c r="H3" s="1" t="s">
        <v>34</v>
      </c>
      <c r="I3" s="1" t="s">
        <v>34</v>
      </c>
      <c r="J3" s="1" t="s">
        <v>34</v>
      </c>
      <c r="K3" s="1" t="s">
        <v>34</v>
      </c>
      <c r="L3" s="1" t="s">
        <v>35</v>
      </c>
      <c r="M3" s="19" t="s">
        <v>36</v>
      </c>
      <c r="N3" s="19" t="s">
        <v>37</v>
      </c>
      <c r="O3" s="19" t="s">
        <v>38</v>
      </c>
      <c r="P3" s="17" t="s">
        <v>39</v>
      </c>
      <c r="Q3" s="11" t="s">
        <v>40</v>
      </c>
      <c r="R3" s="11" t="s">
        <v>41</v>
      </c>
      <c r="S3" s="17" t="s">
        <v>42</v>
      </c>
      <c r="T3" s="20"/>
      <c r="U3" s="30" t="s">
        <v>12242</v>
      </c>
      <c r="V3" s="30" t="s">
        <v>1590</v>
      </c>
      <c r="W3" s="2" t="s">
        <v>1591</v>
      </c>
      <c r="X3" s="30" t="s">
        <v>1592</v>
      </c>
      <c r="Y3" s="30" t="s">
        <v>37</v>
      </c>
      <c r="Z3" s="30" t="s">
        <v>1593</v>
      </c>
      <c r="AA3" s="2" t="s">
        <v>1591</v>
      </c>
      <c r="AB3" s="30" t="s">
        <v>1592</v>
      </c>
      <c r="AC3" s="30" t="s">
        <v>37</v>
      </c>
      <c r="AD3" s="20"/>
      <c r="AE3" s="20"/>
    </row>
    <row r="4" ht="15.75" customHeight="1">
      <c r="A4" s="14" t="s">
        <v>44</v>
      </c>
      <c r="B4" s="35">
        <v>1.0</v>
      </c>
      <c r="C4" s="35" t="s">
        <v>199</v>
      </c>
      <c r="D4" s="35" t="s">
        <v>12244</v>
      </c>
      <c r="E4" s="51" t="s">
        <v>53</v>
      </c>
      <c r="F4" s="399"/>
      <c r="G4" s="399"/>
      <c r="H4" s="399" t="s">
        <v>12245</v>
      </c>
      <c r="L4" s="14" t="s">
        <v>12246</v>
      </c>
      <c r="M4" s="14" t="s">
        <v>12247</v>
      </c>
      <c r="N4" s="596" t="str">
        <f t="shared" ref="N4:N6" si="1">Concatenate("https://house.texas.gov/members/member-page/email/?district=",B4)</f>
        <v>https://house.texas.gov/members/member-page/email/?district=1</v>
      </c>
      <c r="P4" s="14">
        <v>2014.0</v>
      </c>
      <c r="Q4" s="14">
        <v>2020.0</v>
      </c>
      <c r="S4" s="14" t="s">
        <v>12249</v>
      </c>
      <c r="U4" s="14" t="s">
        <v>12250</v>
      </c>
      <c r="V4" t="str">
        <f t="shared" ref="V4:V51" si="2">if(W4="","",if(A4="House","Representative","Senator"))</f>
        <v/>
      </c>
      <c r="W4" s="139" t="str">
        <f t="shared" ref="W4:W95" si="3">if(AND(not(isblank($G4)),not(isnumber(search("minority",$G4)))),$C4,if(or(isnumber(search("Judiciary (Chair)",$H4)),isnumber(search("Judiciary (Vice Chair)",$H4))),$C4,""))</f>
        <v/>
      </c>
      <c r="X4" t="str">
        <f t="shared" ref="X4:X153" si="4">if(W4="","",D4)</f>
        <v/>
      </c>
      <c r="Y4" t="str">
        <f t="shared" ref="Y4:Y153" si="5">if(X4="","",N4)</f>
        <v/>
      </c>
      <c r="Z4" t="str">
        <f t="shared" ref="Z4:Z95" si="6">if(Y4="","",if(isblank($G4),$H4,$G4))</f>
        <v/>
      </c>
      <c r="AA4" s="139" t="str">
        <f t="shared" ref="AA4:AA22" si="7">if(AND(not(isblank($G4)),not(isnumber(search("minority",$G4)))),$C4,if(or(isnumber(search("Judiciary (Chair)",$H4)),isnumber(search("Judiciary (Vice Chair)",$H4))),$C4,""))</f>
        <v/>
      </c>
      <c r="AB4" t="str">
        <f>if(AA4="","",I4)</f>
        <v/>
      </c>
      <c r="AC4" t="str">
        <f>if(AB4="","",R4)</f>
        <v/>
      </c>
    </row>
    <row r="5" ht="16.5" customHeight="1">
      <c r="A5" s="14" t="s">
        <v>44</v>
      </c>
      <c r="B5" s="35">
        <v>2.0</v>
      </c>
      <c r="C5" s="35" t="s">
        <v>239</v>
      </c>
      <c r="D5" s="35" t="s">
        <v>11186</v>
      </c>
      <c r="E5" s="51" t="s">
        <v>53</v>
      </c>
      <c r="F5" s="399"/>
      <c r="G5" s="399"/>
      <c r="H5" s="399"/>
      <c r="L5" s="14" t="s">
        <v>12254</v>
      </c>
      <c r="M5" s="14" t="s">
        <v>12255</v>
      </c>
      <c r="N5" s="596" t="str">
        <f t="shared" si="1"/>
        <v>https://house.texas.gov/members/member-page/email/?district=2</v>
      </c>
      <c r="P5" s="14">
        <v>2002.0</v>
      </c>
      <c r="Q5" s="14">
        <v>2020.0</v>
      </c>
      <c r="S5" s="14" t="s">
        <v>12256</v>
      </c>
      <c r="U5" s="14" t="s">
        <v>12257</v>
      </c>
      <c r="V5" t="str">
        <f t="shared" si="2"/>
        <v/>
      </c>
      <c r="W5" s="139" t="str">
        <f t="shared" si="3"/>
        <v/>
      </c>
      <c r="X5" t="str">
        <f t="shared" si="4"/>
        <v/>
      </c>
      <c r="Y5" t="str">
        <f t="shared" si="5"/>
        <v/>
      </c>
      <c r="Z5" t="str">
        <f t="shared" si="6"/>
        <v/>
      </c>
      <c r="AA5" s="139" t="str">
        <f t="shared" si="7"/>
        <v/>
      </c>
    </row>
    <row r="6" ht="16.5" customHeight="1">
      <c r="A6" s="14" t="s">
        <v>44</v>
      </c>
      <c r="B6" s="35">
        <v>3.0</v>
      </c>
      <c r="C6" s="35" t="s">
        <v>4931</v>
      </c>
      <c r="D6" s="35" t="s">
        <v>3007</v>
      </c>
      <c r="E6" s="51" t="s">
        <v>53</v>
      </c>
      <c r="F6" s="399"/>
      <c r="G6" s="399"/>
      <c r="H6" s="399" t="s">
        <v>12260</v>
      </c>
      <c r="M6" s="14" t="s">
        <v>12261</v>
      </c>
      <c r="N6" s="596" t="str">
        <f t="shared" si="1"/>
        <v>https://house.texas.gov/members/member-page/email/?district=3</v>
      </c>
      <c r="P6" s="14">
        <v>2012.0</v>
      </c>
      <c r="Q6" s="14">
        <v>2020.0</v>
      </c>
      <c r="S6" s="14" t="s">
        <v>12262</v>
      </c>
      <c r="U6" s="14" t="s">
        <v>12263</v>
      </c>
      <c r="V6" t="str">
        <f t="shared" si="2"/>
        <v/>
      </c>
      <c r="W6" s="139" t="str">
        <f t="shared" si="3"/>
        <v/>
      </c>
      <c r="X6" t="str">
        <f t="shared" si="4"/>
        <v/>
      </c>
      <c r="Y6" t="str">
        <f t="shared" si="5"/>
        <v/>
      </c>
      <c r="Z6" t="str">
        <f t="shared" si="6"/>
        <v/>
      </c>
      <c r="AA6" s="139" t="str">
        <f t="shared" si="7"/>
        <v/>
      </c>
    </row>
    <row r="7">
      <c r="A7" s="14" t="s">
        <v>44</v>
      </c>
      <c r="B7" s="35">
        <v>4.0</v>
      </c>
      <c r="C7" s="38" t="s">
        <v>1617</v>
      </c>
      <c r="D7" s="38" t="s">
        <v>3007</v>
      </c>
      <c r="E7" s="51" t="s">
        <v>53</v>
      </c>
      <c r="F7" s="200"/>
      <c r="G7" s="200"/>
      <c r="H7" s="200"/>
      <c r="M7" s="14" t="s">
        <v>12264</v>
      </c>
      <c r="N7" s="395" t="s">
        <v>12265</v>
      </c>
      <c r="P7" s="14" t="s">
        <v>12266</v>
      </c>
      <c r="Q7" s="14">
        <v>2020.0</v>
      </c>
      <c r="S7" s="14" t="s">
        <v>12267</v>
      </c>
      <c r="U7" s="14" t="s">
        <v>12268</v>
      </c>
      <c r="V7" t="str">
        <f t="shared" si="2"/>
        <v/>
      </c>
      <c r="W7" s="139" t="str">
        <f t="shared" si="3"/>
        <v/>
      </c>
      <c r="X7" t="str">
        <f t="shared" si="4"/>
        <v/>
      </c>
      <c r="Y7" t="str">
        <f t="shared" si="5"/>
        <v/>
      </c>
      <c r="Z7" t="str">
        <f t="shared" si="6"/>
        <v/>
      </c>
      <c r="AA7" s="139" t="str">
        <f t="shared" si="7"/>
        <v/>
      </c>
    </row>
    <row r="8" ht="17.25" customHeight="1">
      <c r="A8" s="14" t="s">
        <v>44</v>
      </c>
      <c r="B8" s="35">
        <v>5.0</v>
      </c>
      <c r="C8" s="35" t="s">
        <v>7299</v>
      </c>
      <c r="D8" s="35" t="s">
        <v>12269</v>
      </c>
      <c r="E8" s="51" t="s">
        <v>53</v>
      </c>
      <c r="F8" s="200"/>
      <c r="G8" s="200"/>
      <c r="H8" s="399" t="s">
        <v>12270</v>
      </c>
      <c r="M8" s="14" t="s">
        <v>12271</v>
      </c>
      <c r="N8" s="596" t="str">
        <f t="shared" ref="N8:N30" si="8">Concatenate("https://house.texas.gov/members/member-page/email/?district=",B8)</f>
        <v>https://house.texas.gov/members/member-page/email/?district=5</v>
      </c>
      <c r="P8" s="14">
        <v>2016.0</v>
      </c>
      <c r="Q8" s="14" t="s">
        <v>12272</v>
      </c>
      <c r="S8" s="14" t="s">
        <v>12273</v>
      </c>
      <c r="U8" s="14" t="s">
        <v>12274</v>
      </c>
      <c r="V8" t="str">
        <f t="shared" si="2"/>
        <v/>
      </c>
      <c r="W8" s="139" t="str">
        <f t="shared" si="3"/>
        <v/>
      </c>
      <c r="X8" t="str">
        <f t="shared" si="4"/>
        <v/>
      </c>
      <c r="Y8" t="str">
        <f t="shared" si="5"/>
        <v/>
      </c>
      <c r="Z8" t="str">
        <f t="shared" si="6"/>
        <v/>
      </c>
      <c r="AA8" s="139" t="str">
        <f t="shared" si="7"/>
        <v/>
      </c>
    </row>
    <row r="9" ht="16.5" customHeight="1">
      <c r="A9" s="14" t="s">
        <v>44</v>
      </c>
      <c r="B9" s="35">
        <v>6.0</v>
      </c>
      <c r="C9" s="35" t="s">
        <v>163</v>
      </c>
      <c r="D9" s="35" t="s">
        <v>12275</v>
      </c>
      <c r="E9" s="51" t="s">
        <v>53</v>
      </c>
      <c r="F9" s="399"/>
      <c r="G9" s="399"/>
      <c r="H9" s="399" t="s">
        <v>12276</v>
      </c>
      <c r="M9" s="14" t="s">
        <v>12277</v>
      </c>
      <c r="N9" s="596" t="str">
        <f t="shared" si="8"/>
        <v>https://house.texas.gov/members/member-page/email/?district=6</v>
      </c>
      <c r="P9" s="14">
        <v>2012.0</v>
      </c>
      <c r="Q9" s="14">
        <v>2020.0</v>
      </c>
      <c r="S9" s="14" t="s">
        <v>12278</v>
      </c>
      <c r="U9" s="14" t="s">
        <v>12279</v>
      </c>
      <c r="V9" t="str">
        <f t="shared" si="2"/>
        <v/>
      </c>
      <c r="W9" s="139" t="str">
        <f t="shared" si="3"/>
        <v/>
      </c>
      <c r="X9" t="str">
        <f t="shared" si="4"/>
        <v/>
      </c>
      <c r="Y9" t="str">
        <f t="shared" si="5"/>
        <v/>
      </c>
      <c r="Z9" t="str">
        <f t="shared" si="6"/>
        <v/>
      </c>
      <c r="AA9" s="139" t="str">
        <f t="shared" si="7"/>
        <v/>
      </c>
    </row>
    <row r="10" ht="18.0" customHeight="1">
      <c r="A10" s="14" t="s">
        <v>44</v>
      </c>
      <c r="B10" s="35">
        <v>7.0</v>
      </c>
      <c r="C10" s="35" t="s">
        <v>1013</v>
      </c>
      <c r="D10" s="35" t="s">
        <v>4340</v>
      </c>
      <c r="E10" s="51" t="s">
        <v>53</v>
      </c>
      <c r="F10" s="399"/>
      <c r="G10" s="399"/>
      <c r="H10" s="399" t="s">
        <v>12281</v>
      </c>
      <c r="M10" s="14" t="s">
        <v>12282</v>
      </c>
      <c r="N10" s="596" t="str">
        <f t="shared" si="8"/>
        <v>https://house.texas.gov/members/member-page/email/?district=7</v>
      </c>
      <c r="P10" s="14">
        <v>2016.0</v>
      </c>
      <c r="Q10" s="14">
        <v>2020.0</v>
      </c>
      <c r="S10" s="14" t="s">
        <v>12283</v>
      </c>
      <c r="U10" s="14" t="s">
        <v>12284</v>
      </c>
      <c r="V10" t="str">
        <f t="shared" si="2"/>
        <v/>
      </c>
      <c r="W10" s="139" t="str">
        <f t="shared" si="3"/>
        <v/>
      </c>
      <c r="X10" t="str">
        <f t="shared" si="4"/>
        <v/>
      </c>
      <c r="Y10" t="str">
        <f t="shared" si="5"/>
        <v/>
      </c>
      <c r="Z10" t="str">
        <f t="shared" si="6"/>
        <v/>
      </c>
      <c r="AA10" s="139" t="str">
        <f t="shared" si="7"/>
        <v/>
      </c>
    </row>
    <row r="11">
      <c r="A11" s="14" t="s">
        <v>44</v>
      </c>
      <c r="B11" s="35">
        <v>8.0</v>
      </c>
      <c r="C11" s="38" t="s">
        <v>8551</v>
      </c>
      <c r="D11" s="38" t="s">
        <v>2362</v>
      </c>
      <c r="E11" s="51" t="s">
        <v>53</v>
      </c>
      <c r="F11" s="200"/>
      <c r="G11" s="200"/>
      <c r="H11" s="200"/>
      <c r="M11" s="14" t="s">
        <v>12286</v>
      </c>
      <c r="N11" s="596" t="str">
        <f t="shared" si="8"/>
        <v>https://house.texas.gov/members/member-page/email/?district=8</v>
      </c>
      <c r="P11" s="14" t="s">
        <v>12287</v>
      </c>
      <c r="Q11" s="14">
        <v>2020.0</v>
      </c>
      <c r="S11" s="14" t="s">
        <v>12288</v>
      </c>
      <c r="U11" s="14" t="s">
        <v>12289</v>
      </c>
      <c r="V11" t="str">
        <f t="shared" si="2"/>
        <v/>
      </c>
      <c r="W11" s="139" t="str">
        <f t="shared" si="3"/>
        <v/>
      </c>
      <c r="X11" t="str">
        <f t="shared" si="4"/>
        <v/>
      </c>
      <c r="Y11" t="str">
        <f t="shared" si="5"/>
        <v/>
      </c>
      <c r="Z11" t="str">
        <f t="shared" si="6"/>
        <v/>
      </c>
      <c r="AA11" s="139" t="str">
        <f t="shared" si="7"/>
        <v/>
      </c>
    </row>
    <row r="12" ht="18.75" customHeight="1">
      <c r="A12" s="14" t="s">
        <v>44</v>
      </c>
      <c r="B12" s="35">
        <v>9.0</v>
      </c>
      <c r="C12" s="35" t="s">
        <v>173</v>
      </c>
      <c r="D12" s="35" t="s">
        <v>12292</v>
      </c>
      <c r="E12" s="51" t="s">
        <v>53</v>
      </c>
      <c r="F12" s="399"/>
      <c r="G12" s="399"/>
      <c r="H12" s="200"/>
      <c r="M12" s="14" t="s">
        <v>12293</v>
      </c>
      <c r="N12" s="596" t="str">
        <f t="shared" si="8"/>
        <v>https://house.texas.gov/members/member-page/email/?district=9</v>
      </c>
      <c r="P12" s="14">
        <v>2012.0</v>
      </c>
      <c r="Q12" s="14">
        <v>2020.0</v>
      </c>
      <c r="S12" s="14" t="s">
        <v>12294</v>
      </c>
      <c r="U12" s="14" t="s">
        <v>12295</v>
      </c>
      <c r="V12" t="str">
        <f t="shared" si="2"/>
        <v/>
      </c>
      <c r="W12" s="139" t="str">
        <f t="shared" si="3"/>
        <v/>
      </c>
      <c r="X12" t="str">
        <f t="shared" si="4"/>
        <v/>
      </c>
      <c r="Y12" t="str">
        <f t="shared" si="5"/>
        <v/>
      </c>
      <c r="Z12" t="str">
        <f t="shared" si="6"/>
        <v/>
      </c>
      <c r="AA12" s="139" t="str">
        <f t="shared" si="7"/>
        <v/>
      </c>
    </row>
    <row r="13" ht="18.0" customHeight="1">
      <c r="A13" s="14" t="s">
        <v>44</v>
      </c>
      <c r="B13" s="35">
        <v>10.0</v>
      </c>
      <c r="C13" s="35" t="s">
        <v>278</v>
      </c>
      <c r="D13" s="35" t="s">
        <v>9773</v>
      </c>
      <c r="E13" s="51" t="s">
        <v>53</v>
      </c>
      <c r="F13" s="200"/>
      <c r="G13" s="200"/>
      <c r="H13" s="399" t="s">
        <v>12297</v>
      </c>
      <c r="M13" s="14" t="s">
        <v>12298</v>
      </c>
      <c r="N13" s="596" t="str">
        <f t="shared" si="8"/>
        <v>https://house.texas.gov/members/member-page/email/?district=10</v>
      </c>
      <c r="P13" s="14">
        <v>2014.0</v>
      </c>
      <c r="Q13" s="14">
        <v>2020.0</v>
      </c>
      <c r="S13" s="14" t="s">
        <v>12299</v>
      </c>
      <c r="U13" s="14" t="s">
        <v>12300</v>
      </c>
      <c r="V13" t="str">
        <f t="shared" si="2"/>
        <v/>
      </c>
      <c r="W13" s="139" t="str">
        <f t="shared" si="3"/>
        <v/>
      </c>
      <c r="X13" t="str">
        <f t="shared" si="4"/>
        <v/>
      </c>
      <c r="Y13" t="str">
        <f t="shared" si="5"/>
        <v/>
      </c>
      <c r="Z13" t="str">
        <f t="shared" si="6"/>
        <v/>
      </c>
      <c r="AA13" s="139" t="str">
        <f t="shared" si="7"/>
        <v/>
      </c>
    </row>
    <row r="14">
      <c r="A14" s="14" t="s">
        <v>44</v>
      </c>
      <c r="B14" s="35">
        <v>11.0</v>
      </c>
      <c r="C14" s="35" t="s">
        <v>807</v>
      </c>
      <c r="D14" s="35" t="s">
        <v>12305</v>
      </c>
      <c r="E14" s="51" t="s">
        <v>53</v>
      </c>
      <c r="F14" s="200"/>
      <c r="G14" s="200"/>
      <c r="H14" s="399" t="s">
        <v>12306</v>
      </c>
      <c r="M14" s="14" t="s">
        <v>12307</v>
      </c>
      <c r="N14" s="596" t="str">
        <f t="shared" si="8"/>
        <v>https://house.texas.gov/members/member-page/email/?district=11</v>
      </c>
      <c r="P14" s="14">
        <v>2012.0</v>
      </c>
      <c r="Q14" s="14">
        <v>2020.0</v>
      </c>
      <c r="S14" s="14" t="s">
        <v>12308</v>
      </c>
      <c r="U14" s="14" t="s">
        <v>12309</v>
      </c>
      <c r="V14" t="str">
        <f t="shared" si="2"/>
        <v/>
      </c>
      <c r="W14" s="139" t="str">
        <f t="shared" si="3"/>
        <v/>
      </c>
      <c r="X14" t="str">
        <f t="shared" si="4"/>
        <v/>
      </c>
      <c r="Y14" t="str">
        <f t="shared" si="5"/>
        <v/>
      </c>
      <c r="Z14" t="str">
        <f t="shared" si="6"/>
        <v/>
      </c>
      <c r="AA14" s="139" t="str">
        <f t="shared" si="7"/>
        <v/>
      </c>
    </row>
    <row r="15" ht="16.5" customHeight="1">
      <c r="A15" s="14" t="s">
        <v>44</v>
      </c>
      <c r="B15" s="35">
        <v>12.0</v>
      </c>
      <c r="C15" s="35" t="s">
        <v>257</v>
      </c>
      <c r="D15" s="35" t="s">
        <v>12313</v>
      </c>
      <c r="E15" s="51" t="s">
        <v>53</v>
      </c>
      <c r="F15" s="200"/>
      <c r="G15" s="200"/>
      <c r="H15" s="200"/>
      <c r="M15" s="14" t="s">
        <v>12314</v>
      </c>
      <c r="N15" s="596" t="str">
        <f t="shared" si="8"/>
        <v>https://house.texas.gov/members/member-page/email/?district=12</v>
      </c>
      <c r="P15" s="14">
        <v>2012.0</v>
      </c>
      <c r="Q15" s="14">
        <v>2020.0</v>
      </c>
      <c r="S15" s="14" t="s">
        <v>12315</v>
      </c>
      <c r="U15" s="14" t="s">
        <v>12316</v>
      </c>
      <c r="V15" t="str">
        <f t="shared" si="2"/>
        <v/>
      </c>
      <c r="W15" s="139" t="str">
        <f t="shared" si="3"/>
        <v/>
      </c>
      <c r="X15" t="str">
        <f t="shared" si="4"/>
        <v/>
      </c>
      <c r="Y15" t="str">
        <f t="shared" si="5"/>
        <v/>
      </c>
      <c r="Z15" t="str">
        <f t="shared" si="6"/>
        <v/>
      </c>
      <c r="AA15" s="139" t="str">
        <f t="shared" si="7"/>
        <v/>
      </c>
    </row>
    <row r="16">
      <c r="A16" s="14" t="s">
        <v>44</v>
      </c>
      <c r="B16" s="35">
        <v>13.0</v>
      </c>
      <c r="C16" s="35" t="s">
        <v>195</v>
      </c>
      <c r="D16" s="35" t="s">
        <v>12317</v>
      </c>
      <c r="E16" s="51" t="s">
        <v>53</v>
      </c>
      <c r="F16" s="200"/>
      <c r="G16" s="200"/>
      <c r="H16" s="200"/>
      <c r="M16" s="14" t="s">
        <v>12318</v>
      </c>
      <c r="N16" s="596" t="str">
        <f t="shared" si="8"/>
        <v>https://house.texas.gov/members/member-page/email/?district=13</v>
      </c>
      <c r="P16" s="14">
        <v>2014.0</v>
      </c>
      <c r="Q16" s="14">
        <v>2018.0</v>
      </c>
      <c r="S16" s="14" t="s">
        <v>12319</v>
      </c>
      <c r="U16" s="14" t="s">
        <v>12320</v>
      </c>
      <c r="V16" t="str">
        <f t="shared" si="2"/>
        <v/>
      </c>
      <c r="W16" s="139" t="str">
        <f t="shared" si="3"/>
        <v/>
      </c>
      <c r="X16" t="str">
        <f t="shared" si="4"/>
        <v/>
      </c>
      <c r="Y16" t="str">
        <f t="shared" si="5"/>
        <v/>
      </c>
      <c r="Z16" t="str">
        <f t="shared" si="6"/>
        <v/>
      </c>
      <c r="AA16" s="139" t="str">
        <f t="shared" si="7"/>
        <v/>
      </c>
    </row>
    <row r="17" ht="17.25" customHeight="1">
      <c r="A17" s="14" t="s">
        <v>44</v>
      </c>
      <c r="B17" s="35">
        <v>14.0</v>
      </c>
      <c r="C17" s="35" t="s">
        <v>278</v>
      </c>
      <c r="D17" s="35" t="s">
        <v>12324</v>
      </c>
      <c r="E17" s="51" t="s">
        <v>53</v>
      </c>
      <c r="F17" s="200"/>
      <c r="G17" s="200"/>
      <c r="H17" s="399" t="s">
        <v>12281</v>
      </c>
      <c r="M17" s="14" t="s">
        <v>12325</v>
      </c>
      <c r="N17" s="596" t="str">
        <f t="shared" si="8"/>
        <v>https://house.texas.gov/members/member-page/email/?district=14</v>
      </c>
      <c r="P17" s="14">
        <v>2010.0</v>
      </c>
      <c r="Q17" s="14">
        <v>2018.0</v>
      </c>
      <c r="S17" s="14" t="s">
        <v>12326</v>
      </c>
      <c r="U17" s="14" t="s">
        <v>12327</v>
      </c>
      <c r="V17" t="str">
        <f t="shared" si="2"/>
        <v/>
      </c>
      <c r="W17" s="139" t="str">
        <f t="shared" si="3"/>
        <v/>
      </c>
      <c r="X17" t="str">
        <f t="shared" si="4"/>
        <v/>
      </c>
      <c r="Y17" t="str">
        <f t="shared" si="5"/>
        <v/>
      </c>
      <c r="Z17" t="str">
        <f t="shared" si="6"/>
        <v/>
      </c>
      <c r="AA17" s="139" t="str">
        <f t="shared" si="7"/>
        <v/>
      </c>
    </row>
    <row r="18">
      <c r="A18" s="14" t="s">
        <v>44</v>
      </c>
      <c r="B18" s="35">
        <v>15.0</v>
      </c>
      <c r="C18" s="38" t="s">
        <v>55</v>
      </c>
      <c r="D18" s="38" t="s">
        <v>12328</v>
      </c>
      <c r="E18" s="51" t="s">
        <v>53</v>
      </c>
      <c r="F18" s="200"/>
      <c r="G18" s="200"/>
      <c r="H18" s="399" t="s">
        <v>12260</v>
      </c>
      <c r="L18" s="14" t="s">
        <v>12329</v>
      </c>
      <c r="M18" s="14" t="s">
        <v>12330</v>
      </c>
      <c r="N18" s="596" t="str">
        <f t="shared" si="8"/>
        <v>https://house.texas.gov/members/member-page/email/?district=15</v>
      </c>
      <c r="P18" s="14">
        <v>2012.0</v>
      </c>
      <c r="Q18" s="14">
        <v>2020.0</v>
      </c>
      <c r="S18" s="14" t="s">
        <v>12331</v>
      </c>
      <c r="U18" s="14" t="s">
        <v>12332</v>
      </c>
      <c r="V18" t="str">
        <f t="shared" si="2"/>
        <v/>
      </c>
      <c r="W18" s="139" t="str">
        <f t="shared" si="3"/>
        <v/>
      </c>
      <c r="X18" t="str">
        <f t="shared" si="4"/>
        <v/>
      </c>
      <c r="Y18" t="str">
        <f t="shared" si="5"/>
        <v/>
      </c>
      <c r="Z18" t="str">
        <f t="shared" si="6"/>
        <v/>
      </c>
      <c r="AA18" s="139" t="str">
        <f t="shared" si="7"/>
        <v/>
      </c>
    </row>
    <row r="19">
      <c r="A19" s="14" t="s">
        <v>44</v>
      </c>
      <c r="B19" s="35">
        <v>16.0</v>
      </c>
      <c r="C19" s="35" t="s">
        <v>689</v>
      </c>
      <c r="D19" s="35" t="s">
        <v>12336</v>
      </c>
      <c r="E19" s="51" t="s">
        <v>53</v>
      </c>
      <c r="F19" s="200"/>
      <c r="G19" s="200"/>
      <c r="H19" s="399"/>
      <c r="M19" s="14" t="s">
        <v>12337</v>
      </c>
      <c r="N19" s="596" t="str">
        <f t="shared" si="8"/>
        <v>https://house.texas.gov/members/member-page/email/?district=16</v>
      </c>
      <c r="P19" s="14">
        <v>2014.0</v>
      </c>
      <c r="Q19" s="14">
        <v>2020.0</v>
      </c>
      <c r="S19" s="14" t="s">
        <v>12338</v>
      </c>
      <c r="U19" s="14" t="s">
        <v>12339</v>
      </c>
      <c r="V19" t="str">
        <f t="shared" si="2"/>
        <v/>
      </c>
      <c r="W19" s="139" t="str">
        <f t="shared" si="3"/>
        <v/>
      </c>
      <c r="X19" t="str">
        <f t="shared" si="4"/>
        <v/>
      </c>
      <c r="Y19" t="str">
        <f t="shared" si="5"/>
        <v/>
      </c>
      <c r="Z19" t="str">
        <f t="shared" si="6"/>
        <v/>
      </c>
      <c r="AA19" s="139" t="str">
        <f t="shared" si="7"/>
        <v/>
      </c>
    </row>
    <row r="20">
      <c r="A20" s="14" t="s">
        <v>44</v>
      </c>
      <c r="B20" s="35">
        <v>17.0</v>
      </c>
      <c r="C20" s="35" t="s">
        <v>278</v>
      </c>
      <c r="D20" s="35" t="s">
        <v>12341</v>
      </c>
      <c r="E20" s="51" t="s">
        <v>53</v>
      </c>
      <c r="F20" s="200"/>
      <c r="G20" s="200"/>
      <c r="H20" s="399" t="s">
        <v>12342</v>
      </c>
      <c r="L20" s="14" t="s">
        <v>12343</v>
      </c>
      <c r="M20" s="14" t="s">
        <v>12344</v>
      </c>
      <c r="N20" s="596" t="str">
        <f t="shared" si="8"/>
        <v>https://house.texas.gov/members/member-page/email/?district=17</v>
      </c>
      <c r="P20" s="14">
        <v>2014.0</v>
      </c>
      <c r="Q20" s="14">
        <v>2020.0</v>
      </c>
      <c r="S20" s="14" t="s">
        <v>12346</v>
      </c>
      <c r="U20" s="14" t="s">
        <v>12347</v>
      </c>
      <c r="V20" t="str">
        <f t="shared" si="2"/>
        <v/>
      </c>
      <c r="W20" s="139" t="str">
        <f t="shared" si="3"/>
        <v/>
      </c>
      <c r="X20" t="str">
        <f t="shared" si="4"/>
        <v/>
      </c>
      <c r="Y20" t="str">
        <f t="shared" si="5"/>
        <v/>
      </c>
      <c r="Z20" t="str">
        <f t="shared" si="6"/>
        <v/>
      </c>
      <c r="AA20" s="139" t="str">
        <f t="shared" si="7"/>
        <v/>
      </c>
    </row>
    <row r="21" ht="17.25" customHeight="1">
      <c r="A21" s="14" t="s">
        <v>44</v>
      </c>
      <c r="B21" s="35">
        <v>18.0</v>
      </c>
      <c r="C21" s="35" t="s">
        <v>12349</v>
      </c>
      <c r="D21" s="35" t="s">
        <v>12350</v>
      </c>
      <c r="E21" s="51" t="s">
        <v>53</v>
      </c>
      <c r="F21" s="200"/>
      <c r="G21" s="200"/>
      <c r="H21" s="200"/>
      <c r="L21" s="14" t="s">
        <v>12281</v>
      </c>
      <c r="M21" s="14" t="s">
        <v>12351</v>
      </c>
      <c r="N21" s="596" t="str">
        <f t="shared" si="8"/>
        <v>https://house.texas.gov/members/member-page/email/?district=18</v>
      </c>
      <c r="P21" s="14">
        <v>2016.0</v>
      </c>
      <c r="Q21" s="14">
        <v>2020.0</v>
      </c>
      <c r="S21" s="14" t="s">
        <v>12353</v>
      </c>
      <c r="U21" s="14" t="s">
        <v>12354</v>
      </c>
      <c r="V21" t="str">
        <f t="shared" si="2"/>
        <v/>
      </c>
      <c r="W21" s="139" t="str">
        <f t="shared" si="3"/>
        <v/>
      </c>
      <c r="X21" t="str">
        <f t="shared" si="4"/>
        <v/>
      </c>
      <c r="Y21" t="str">
        <f t="shared" si="5"/>
        <v/>
      </c>
      <c r="Z21" t="str">
        <f t="shared" si="6"/>
        <v/>
      </c>
      <c r="AA21" s="139" t="str">
        <f t="shared" si="7"/>
        <v/>
      </c>
    </row>
    <row r="22">
      <c r="A22" s="14" t="s">
        <v>44</v>
      </c>
      <c r="B22" s="35">
        <v>19.0</v>
      </c>
      <c r="C22" s="35" t="s">
        <v>930</v>
      </c>
      <c r="D22" s="35" t="s">
        <v>6034</v>
      </c>
      <c r="E22" s="51" t="s">
        <v>53</v>
      </c>
      <c r="F22" s="200"/>
      <c r="G22" s="200"/>
      <c r="H22" s="399" t="s">
        <v>12357</v>
      </c>
      <c r="L22" s="14" t="s">
        <v>12358</v>
      </c>
      <c r="M22" s="14" t="s">
        <v>12359</v>
      </c>
      <c r="N22" s="596" t="str">
        <f t="shared" si="8"/>
        <v>https://house.texas.gov/members/member-page/email/?district=19</v>
      </c>
      <c r="P22" s="14">
        <v>2010.0</v>
      </c>
      <c r="Q22" s="14">
        <v>2020.0</v>
      </c>
      <c r="S22" s="14" t="s">
        <v>12360</v>
      </c>
      <c r="U22" s="14" t="s">
        <v>12250</v>
      </c>
      <c r="V22" t="str">
        <f t="shared" si="2"/>
        <v/>
      </c>
      <c r="W22" s="139" t="str">
        <f t="shared" si="3"/>
        <v/>
      </c>
      <c r="X22" t="str">
        <f t="shared" si="4"/>
        <v/>
      </c>
      <c r="Y22" t="str">
        <f t="shared" si="5"/>
        <v/>
      </c>
      <c r="Z22" t="str">
        <f t="shared" si="6"/>
        <v/>
      </c>
      <c r="AA22" s="139" t="str">
        <f t="shared" si="7"/>
        <v/>
      </c>
    </row>
    <row r="23">
      <c r="A23" s="14" t="s">
        <v>44</v>
      </c>
      <c r="B23" s="35">
        <v>20.0</v>
      </c>
      <c r="C23" s="35" t="s">
        <v>1990</v>
      </c>
      <c r="D23" s="35" t="s">
        <v>62</v>
      </c>
      <c r="E23" s="51" t="s">
        <v>53</v>
      </c>
      <c r="F23" s="200"/>
      <c r="G23" s="200"/>
      <c r="H23" s="399" t="s">
        <v>12276</v>
      </c>
      <c r="M23" s="14" t="s">
        <v>12364</v>
      </c>
      <c r="N23" s="596" t="str">
        <f t="shared" si="8"/>
        <v>https://house.texas.gov/members/member-page/email/?district=20</v>
      </c>
      <c r="P23" s="14">
        <v>2016.0</v>
      </c>
      <c r="Q23" s="14">
        <v>2020.0</v>
      </c>
      <c r="S23" s="14" t="s">
        <v>12365</v>
      </c>
      <c r="U23" s="14" t="s">
        <v>12366</v>
      </c>
      <c r="V23" t="str">
        <f t="shared" si="2"/>
        <v/>
      </c>
      <c r="W23" s="139" t="str">
        <f t="shared" si="3"/>
        <v/>
      </c>
      <c r="X23" t="str">
        <f t="shared" si="4"/>
        <v/>
      </c>
      <c r="Y23" t="str">
        <f t="shared" si="5"/>
        <v/>
      </c>
      <c r="Z23" t="str">
        <f t="shared" si="6"/>
        <v/>
      </c>
    </row>
    <row r="24">
      <c r="A24" s="14" t="s">
        <v>44</v>
      </c>
      <c r="B24" s="35">
        <v>21.0</v>
      </c>
      <c r="C24" s="35" t="s">
        <v>12367</v>
      </c>
      <c r="D24" s="35" t="s">
        <v>12368</v>
      </c>
      <c r="E24" s="51" t="s">
        <v>53</v>
      </c>
      <c r="F24" s="200"/>
      <c r="G24" s="200"/>
      <c r="H24" s="399"/>
      <c r="M24" s="14" t="s">
        <v>12369</v>
      </c>
      <c r="N24" s="596" t="str">
        <f t="shared" si="8"/>
        <v>https://house.texas.gov/members/member-page/email/?district=21</v>
      </c>
      <c r="P24" s="14">
        <v>2014.0</v>
      </c>
      <c r="Q24" s="14">
        <v>2020.0</v>
      </c>
      <c r="S24" s="14" t="s">
        <v>12370</v>
      </c>
      <c r="U24" s="14" t="s">
        <v>12371</v>
      </c>
      <c r="V24" t="str">
        <f t="shared" si="2"/>
        <v/>
      </c>
      <c r="W24" s="139" t="str">
        <f t="shared" si="3"/>
        <v/>
      </c>
      <c r="X24" t="str">
        <f t="shared" si="4"/>
        <v/>
      </c>
      <c r="Y24" t="str">
        <f t="shared" si="5"/>
        <v/>
      </c>
      <c r="Z24" t="str">
        <f t="shared" si="6"/>
        <v/>
      </c>
    </row>
    <row r="25">
      <c r="A25" s="14" t="s">
        <v>44</v>
      </c>
      <c r="B25" s="35">
        <v>22.0</v>
      </c>
      <c r="C25" s="35" t="s">
        <v>622</v>
      </c>
      <c r="D25" s="35" t="s">
        <v>12372</v>
      </c>
      <c r="E25" s="36" t="s">
        <v>49</v>
      </c>
      <c r="F25" s="200"/>
      <c r="G25" s="200"/>
      <c r="H25" s="200"/>
      <c r="M25" s="14" t="s">
        <v>12373</v>
      </c>
      <c r="N25" s="596" t="str">
        <f t="shared" si="8"/>
        <v>https://house.texas.gov/members/member-page/email/?district=22</v>
      </c>
      <c r="P25" s="14">
        <v>1998.0</v>
      </c>
      <c r="Q25" s="14">
        <v>2020.0</v>
      </c>
      <c r="S25" s="14" t="s">
        <v>12374</v>
      </c>
      <c r="U25" s="14" t="s">
        <v>12375</v>
      </c>
      <c r="V25" t="str">
        <f t="shared" si="2"/>
        <v/>
      </c>
      <c r="W25" s="139" t="str">
        <f t="shared" si="3"/>
        <v/>
      </c>
      <c r="X25" t="str">
        <f t="shared" si="4"/>
        <v/>
      </c>
      <c r="Y25" t="str">
        <f t="shared" si="5"/>
        <v/>
      </c>
      <c r="Z25" t="str">
        <f t="shared" si="6"/>
        <v/>
      </c>
    </row>
    <row r="26">
      <c r="A26" s="14" t="s">
        <v>44</v>
      </c>
      <c r="B26" s="35">
        <v>23.0</v>
      </c>
      <c r="C26" s="38" t="s">
        <v>1627</v>
      </c>
      <c r="D26" s="38" t="s">
        <v>12376</v>
      </c>
      <c r="E26" s="51" t="s">
        <v>53</v>
      </c>
      <c r="F26" s="200"/>
      <c r="G26" s="200"/>
      <c r="H26" s="200"/>
      <c r="M26" s="14" t="s">
        <v>12377</v>
      </c>
      <c r="N26" s="596" t="str">
        <f t="shared" si="8"/>
        <v>https://house.texas.gov/members/member-page/email/?district=23</v>
      </c>
      <c r="P26" s="14">
        <v>2018.0</v>
      </c>
      <c r="Q26" s="14">
        <v>2020.0</v>
      </c>
      <c r="S26" s="14" t="s">
        <v>12378</v>
      </c>
      <c r="U26" s="14" t="s">
        <v>12379</v>
      </c>
      <c r="V26" t="str">
        <f t="shared" si="2"/>
        <v/>
      </c>
      <c r="W26" s="139" t="str">
        <f t="shared" si="3"/>
        <v/>
      </c>
      <c r="X26" t="str">
        <f t="shared" si="4"/>
        <v/>
      </c>
      <c r="Y26" t="str">
        <f t="shared" si="5"/>
        <v/>
      </c>
      <c r="Z26" t="str">
        <f t="shared" si="6"/>
        <v/>
      </c>
    </row>
    <row r="27">
      <c r="A27" s="14" t="s">
        <v>44</v>
      </c>
      <c r="B27" s="35">
        <v>24.0</v>
      </c>
      <c r="C27" s="35" t="s">
        <v>997</v>
      </c>
      <c r="D27" s="35" t="s">
        <v>12382</v>
      </c>
      <c r="E27" s="51" t="s">
        <v>53</v>
      </c>
      <c r="F27" s="399"/>
      <c r="G27" s="399"/>
      <c r="H27" s="399" t="s">
        <v>12383</v>
      </c>
      <c r="L27" s="14" t="s">
        <v>12384</v>
      </c>
      <c r="N27" s="596" t="str">
        <f t="shared" si="8"/>
        <v>https://house.texas.gov/members/member-page/email/?district=24</v>
      </c>
      <c r="P27" s="14">
        <v>2012.0</v>
      </c>
      <c r="Q27" s="14">
        <v>2020.0</v>
      </c>
      <c r="S27" s="14" t="s">
        <v>12385</v>
      </c>
      <c r="U27" s="14" t="s">
        <v>12386</v>
      </c>
      <c r="V27" t="str">
        <f t="shared" si="2"/>
        <v/>
      </c>
      <c r="W27" s="139" t="str">
        <f t="shared" si="3"/>
        <v/>
      </c>
      <c r="X27" t="str">
        <f t="shared" si="4"/>
        <v/>
      </c>
      <c r="Y27" t="str">
        <f t="shared" si="5"/>
        <v/>
      </c>
      <c r="Z27" t="str">
        <f t="shared" si="6"/>
        <v/>
      </c>
    </row>
    <row r="28">
      <c r="A28" s="14" t="s">
        <v>44</v>
      </c>
      <c r="B28" s="35">
        <v>25.0</v>
      </c>
      <c r="C28" s="35" t="s">
        <v>2194</v>
      </c>
      <c r="D28" s="35" t="s">
        <v>12382</v>
      </c>
      <c r="E28" s="51" t="s">
        <v>53</v>
      </c>
      <c r="F28" s="399"/>
      <c r="G28" s="399" t="s">
        <v>1056</v>
      </c>
      <c r="H28" s="200"/>
      <c r="L28" s="14" t="s">
        <v>12388</v>
      </c>
      <c r="M28" s="14" t="s">
        <v>12389</v>
      </c>
      <c r="N28" s="596" t="str">
        <f t="shared" si="8"/>
        <v>https://house.texas.gov/members/member-page/email/?district=25</v>
      </c>
      <c r="P28" s="14">
        <v>1996.0</v>
      </c>
      <c r="Q28" s="14">
        <v>2020.0</v>
      </c>
      <c r="S28" s="14" t="s">
        <v>12390</v>
      </c>
      <c r="V28" t="str">
        <f t="shared" si="2"/>
        <v>Representative</v>
      </c>
      <c r="W28" s="139" t="str">
        <f t="shared" si="3"/>
        <v>Dennis</v>
      </c>
      <c r="X28" t="str">
        <f t="shared" si="4"/>
        <v>Bonnen</v>
      </c>
      <c r="Y28" s="596" t="str">
        <f t="shared" si="5"/>
        <v>https://house.texas.gov/members/member-page/email/?district=25</v>
      </c>
      <c r="Z28" t="str">
        <f t="shared" si="6"/>
        <v>Speaker</v>
      </c>
    </row>
    <row r="29">
      <c r="A29" s="14" t="s">
        <v>44</v>
      </c>
      <c r="B29" s="35">
        <v>26.0</v>
      </c>
      <c r="C29" s="35" t="s">
        <v>1291</v>
      </c>
      <c r="D29" s="35" t="s">
        <v>1501</v>
      </c>
      <c r="E29" s="51" t="s">
        <v>53</v>
      </c>
      <c r="F29" s="200"/>
      <c r="G29" s="200"/>
      <c r="H29" s="399" t="s">
        <v>12391</v>
      </c>
      <c r="L29" s="14" t="s">
        <v>12392</v>
      </c>
      <c r="M29" s="14" t="s">
        <v>12393</v>
      </c>
      <c r="N29" s="596" t="str">
        <f t="shared" si="8"/>
        <v>https://house.texas.gov/members/member-page/email/?district=26</v>
      </c>
      <c r="P29" s="14">
        <v>2012.0</v>
      </c>
      <c r="Q29" s="14">
        <v>2020.0</v>
      </c>
      <c r="S29" s="14" t="s">
        <v>12394</v>
      </c>
      <c r="U29" s="14" t="s">
        <v>12395</v>
      </c>
      <c r="V29" t="str">
        <f t="shared" si="2"/>
        <v/>
      </c>
      <c r="W29" s="139" t="str">
        <f t="shared" si="3"/>
        <v/>
      </c>
      <c r="X29" t="str">
        <f t="shared" si="4"/>
        <v/>
      </c>
      <c r="Y29" t="str">
        <f t="shared" si="5"/>
        <v/>
      </c>
      <c r="Z29" t="str">
        <f t="shared" si="6"/>
        <v/>
      </c>
    </row>
    <row r="30">
      <c r="A30" s="14" t="s">
        <v>44</v>
      </c>
      <c r="B30" s="35">
        <v>27.0</v>
      </c>
      <c r="C30" s="35" t="s">
        <v>1813</v>
      </c>
      <c r="D30" s="35" t="s">
        <v>306</v>
      </c>
      <c r="E30" s="36" t="s">
        <v>49</v>
      </c>
      <c r="F30" s="200"/>
      <c r="G30" s="200"/>
      <c r="H30" s="200"/>
      <c r="M30" s="14" t="s">
        <v>12398</v>
      </c>
      <c r="N30" s="596" t="str">
        <f t="shared" si="8"/>
        <v>https://house.texas.gov/members/member-page/email/?district=27</v>
      </c>
      <c r="P30" s="14">
        <v>2010.0</v>
      </c>
      <c r="Q30" s="14">
        <v>2020.0</v>
      </c>
      <c r="S30" s="14" t="s">
        <v>12394</v>
      </c>
      <c r="U30" s="14" t="s">
        <v>12399</v>
      </c>
      <c r="V30" t="str">
        <f t="shared" si="2"/>
        <v/>
      </c>
      <c r="W30" s="139" t="str">
        <f t="shared" si="3"/>
        <v/>
      </c>
      <c r="X30" t="str">
        <f t="shared" si="4"/>
        <v/>
      </c>
      <c r="Y30" t="str">
        <f t="shared" si="5"/>
        <v/>
      </c>
      <c r="Z30" t="str">
        <f t="shared" si="6"/>
        <v/>
      </c>
    </row>
    <row r="31">
      <c r="A31" s="14" t="s">
        <v>44</v>
      </c>
      <c r="B31" s="35">
        <v>28.0</v>
      </c>
      <c r="C31" s="35" t="s">
        <v>278</v>
      </c>
      <c r="D31" s="38" t="s">
        <v>12404</v>
      </c>
      <c r="E31" s="51" t="s">
        <v>53</v>
      </c>
      <c r="F31" s="399"/>
      <c r="G31" s="399"/>
      <c r="H31" s="399" t="s">
        <v>12405</v>
      </c>
      <c r="L31" s="14" t="s">
        <v>12406</v>
      </c>
      <c r="M31" s="14" t="s">
        <v>12407</v>
      </c>
      <c r="N31" s="395" t="s">
        <v>12408</v>
      </c>
      <c r="P31" s="14">
        <v>2007.0</v>
      </c>
      <c r="Q31" s="14">
        <v>2020.0</v>
      </c>
      <c r="S31" s="14" t="s">
        <v>12412</v>
      </c>
      <c r="U31" s="14" t="s">
        <v>12413</v>
      </c>
      <c r="V31" t="str">
        <f t="shared" si="2"/>
        <v/>
      </c>
      <c r="W31" s="139" t="str">
        <f t="shared" si="3"/>
        <v/>
      </c>
      <c r="X31" t="str">
        <f t="shared" si="4"/>
        <v/>
      </c>
      <c r="Y31" t="str">
        <f t="shared" si="5"/>
        <v/>
      </c>
      <c r="Z31" t="str">
        <f t="shared" si="6"/>
        <v/>
      </c>
    </row>
    <row r="32">
      <c r="A32" s="14" t="s">
        <v>44</v>
      </c>
      <c r="B32" s="35">
        <v>29.0</v>
      </c>
      <c r="C32" s="35" t="s">
        <v>636</v>
      </c>
      <c r="D32" s="35" t="s">
        <v>59</v>
      </c>
      <c r="E32" s="51" t="s">
        <v>53</v>
      </c>
      <c r="F32" s="200"/>
      <c r="G32" s="200"/>
      <c r="H32" s="200"/>
      <c r="M32" s="14" t="s">
        <v>12421</v>
      </c>
      <c r="N32" s="596" t="str">
        <f t="shared" ref="N32:N69" si="9">Concatenate("https://house.texas.gov/members/member-page/email/?district=",B32)</f>
        <v>https://house.texas.gov/members/member-page/email/?district=29</v>
      </c>
      <c r="P32" s="14">
        <v>2012.0</v>
      </c>
      <c r="Q32" s="14">
        <v>2020.0</v>
      </c>
      <c r="S32" s="14" t="s">
        <v>12427</v>
      </c>
      <c r="U32" s="14" t="s">
        <v>12428</v>
      </c>
      <c r="V32" t="str">
        <f t="shared" si="2"/>
        <v/>
      </c>
      <c r="W32" s="139" t="str">
        <f t="shared" si="3"/>
        <v/>
      </c>
      <c r="X32" t="str">
        <f t="shared" si="4"/>
        <v/>
      </c>
      <c r="Y32" t="str">
        <f t="shared" si="5"/>
        <v/>
      </c>
      <c r="Z32" t="str">
        <f t="shared" si="6"/>
        <v/>
      </c>
    </row>
    <row r="33" ht="16.5" customHeight="1">
      <c r="A33" s="14" t="s">
        <v>44</v>
      </c>
      <c r="B33" s="35">
        <v>30.0</v>
      </c>
      <c r="C33" s="35" t="s">
        <v>12434</v>
      </c>
      <c r="D33" s="35" t="s">
        <v>4239</v>
      </c>
      <c r="E33" s="51" t="s">
        <v>53</v>
      </c>
      <c r="F33" s="200"/>
      <c r="G33" s="200"/>
      <c r="H33" s="200"/>
      <c r="L33" s="14" t="s">
        <v>12281</v>
      </c>
      <c r="M33" s="14" t="s">
        <v>12438</v>
      </c>
      <c r="N33" s="596" t="str">
        <f t="shared" si="9"/>
        <v>https://house.texas.gov/members/member-page/email/?district=30</v>
      </c>
      <c r="P33" s="14">
        <v>1998.0</v>
      </c>
      <c r="Q33" s="14">
        <v>2020.0</v>
      </c>
      <c r="S33" s="14" t="s">
        <v>12441</v>
      </c>
      <c r="U33" s="14" t="s">
        <v>12442</v>
      </c>
      <c r="V33" t="str">
        <f t="shared" si="2"/>
        <v/>
      </c>
      <c r="W33" s="139" t="str">
        <f t="shared" si="3"/>
        <v/>
      </c>
      <c r="X33" t="str">
        <f t="shared" si="4"/>
        <v/>
      </c>
      <c r="Y33" t="str">
        <f t="shared" si="5"/>
        <v/>
      </c>
      <c r="Z33" t="str">
        <f t="shared" si="6"/>
        <v/>
      </c>
    </row>
    <row r="34">
      <c r="A34" s="14" t="s">
        <v>44</v>
      </c>
      <c r="B34" s="35">
        <v>31.0</v>
      </c>
      <c r="C34" s="35" t="s">
        <v>2780</v>
      </c>
      <c r="D34" s="35" t="s">
        <v>12448</v>
      </c>
      <c r="E34" s="36" t="s">
        <v>49</v>
      </c>
      <c r="F34" s="200"/>
      <c r="G34" s="200"/>
      <c r="H34" s="200"/>
      <c r="L34" s="14" t="s">
        <v>12449</v>
      </c>
      <c r="M34" s="14" t="s">
        <v>12450</v>
      </c>
      <c r="N34" s="596" t="str">
        <f t="shared" si="9"/>
        <v>https://house.texas.gov/members/member-page/email/?district=31</v>
      </c>
      <c r="P34" s="14">
        <v>2002.0</v>
      </c>
      <c r="Q34" s="14">
        <v>2020.0</v>
      </c>
      <c r="S34" s="14" t="s">
        <v>12451</v>
      </c>
      <c r="U34" s="14" t="s">
        <v>12452</v>
      </c>
      <c r="V34" t="str">
        <f t="shared" si="2"/>
        <v/>
      </c>
      <c r="W34" s="139" t="str">
        <f t="shared" si="3"/>
        <v/>
      </c>
      <c r="X34" t="str">
        <f t="shared" si="4"/>
        <v/>
      </c>
      <c r="Y34" t="str">
        <f t="shared" si="5"/>
        <v/>
      </c>
      <c r="Z34" t="str">
        <f t="shared" si="6"/>
        <v/>
      </c>
    </row>
    <row r="35">
      <c r="A35" s="14" t="s">
        <v>44</v>
      </c>
      <c r="B35" s="35">
        <v>32.0</v>
      </c>
      <c r="C35" s="35" t="s">
        <v>1974</v>
      </c>
      <c r="D35" s="35" t="s">
        <v>2354</v>
      </c>
      <c r="E35" s="51" t="s">
        <v>53</v>
      </c>
      <c r="F35" s="200"/>
      <c r="G35" s="200"/>
      <c r="H35" s="399"/>
      <c r="L35" s="14" t="s">
        <v>12453</v>
      </c>
      <c r="M35" s="14" t="s">
        <v>12454</v>
      </c>
      <c r="N35" s="596" t="str">
        <f t="shared" si="9"/>
        <v>https://house.texas.gov/members/member-page/email/?district=32</v>
      </c>
      <c r="P35" s="14">
        <v>1988.0</v>
      </c>
      <c r="Q35" s="14">
        <v>2020.0</v>
      </c>
      <c r="S35" s="14" t="s">
        <v>12456</v>
      </c>
      <c r="U35" s="14" t="s">
        <v>12399</v>
      </c>
      <c r="V35" t="str">
        <f t="shared" si="2"/>
        <v/>
      </c>
      <c r="W35" s="139" t="str">
        <f t="shared" si="3"/>
        <v/>
      </c>
      <c r="X35" t="str">
        <f t="shared" si="4"/>
        <v/>
      </c>
      <c r="Y35" t="str">
        <f t="shared" si="5"/>
        <v/>
      </c>
      <c r="Z35" t="str">
        <f t="shared" si="6"/>
        <v/>
      </c>
    </row>
    <row r="36">
      <c r="A36" s="14" t="s">
        <v>44</v>
      </c>
      <c r="B36" s="35">
        <v>33.0</v>
      </c>
      <c r="C36" s="35" t="s">
        <v>786</v>
      </c>
      <c r="D36" s="35" t="s">
        <v>3435</v>
      </c>
      <c r="E36" s="51" t="s">
        <v>53</v>
      </c>
      <c r="F36" s="200"/>
      <c r="G36" s="200"/>
      <c r="H36" s="399"/>
      <c r="M36" s="14" t="s">
        <v>12459</v>
      </c>
      <c r="N36" s="596" t="str">
        <f t="shared" si="9"/>
        <v>https://house.texas.gov/members/member-page/email/?district=33</v>
      </c>
      <c r="P36" s="14">
        <v>2016.0</v>
      </c>
      <c r="Q36" s="14">
        <v>2020.0</v>
      </c>
      <c r="S36" s="14" t="s">
        <v>12460</v>
      </c>
      <c r="U36" s="14" t="s">
        <v>12461</v>
      </c>
      <c r="V36" t="str">
        <f t="shared" si="2"/>
        <v/>
      </c>
      <c r="W36" s="139" t="str">
        <f t="shared" si="3"/>
        <v/>
      </c>
      <c r="X36" t="str">
        <f t="shared" si="4"/>
        <v/>
      </c>
      <c r="Y36" t="str">
        <f t="shared" si="5"/>
        <v/>
      </c>
      <c r="Z36" t="str">
        <f t="shared" si="6"/>
        <v/>
      </c>
    </row>
    <row r="37">
      <c r="A37" s="14" t="s">
        <v>44</v>
      </c>
      <c r="B37" s="35">
        <v>34.0</v>
      </c>
      <c r="C37" s="35" t="s">
        <v>12463</v>
      </c>
      <c r="D37" s="35" t="s">
        <v>12466</v>
      </c>
      <c r="E37" s="36" t="s">
        <v>49</v>
      </c>
      <c r="F37" s="200"/>
      <c r="G37" s="200"/>
      <c r="H37" s="200"/>
      <c r="M37" s="14" t="s">
        <v>12467</v>
      </c>
      <c r="N37" s="596" t="str">
        <f t="shared" si="9"/>
        <v>https://house.texas.gov/members/member-page/email/?district=34</v>
      </c>
      <c r="P37" s="14">
        <v>2004.0</v>
      </c>
      <c r="Q37" s="14">
        <v>2020.0</v>
      </c>
      <c r="S37" s="14" t="s">
        <v>12468</v>
      </c>
      <c r="U37" s="14" t="s">
        <v>12399</v>
      </c>
      <c r="V37" t="str">
        <f t="shared" si="2"/>
        <v/>
      </c>
      <c r="W37" s="139" t="str">
        <f t="shared" si="3"/>
        <v/>
      </c>
      <c r="X37" t="str">
        <f t="shared" si="4"/>
        <v/>
      </c>
      <c r="Y37" t="str">
        <f t="shared" si="5"/>
        <v/>
      </c>
      <c r="Z37" t="str">
        <f t="shared" si="6"/>
        <v/>
      </c>
    </row>
    <row r="38">
      <c r="A38" s="14" t="s">
        <v>44</v>
      </c>
      <c r="B38" s="35">
        <v>35.0</v>
      </c>
      <c r="C38" s="35" t="s">
        <v>3334</v>
      </c>
      <c r="D38" s="35" t="s">
        <v>12470</v>
      </c>
      <c r="E38" s="36" t="s">
        <v>49</v>
      </c>
      <c r="F38" s="200"/>
      <c r="G38" s="200"/>
      <c r="H38" s="399" t="s">
        <v>12471</v>
      </c>
      <c r="M38" s="14" t="s">
        <v>12472</v>
      </c>
      <c r="N38" s="596" t="str">
        <f t="shared" si="9"/>
        <v>https://house.texas.gov/members/member-page/email/?district=35</v>
      </c>
      <c r="P38" s="14">
        <v>2012.0</v>
      </c>
      <c r="Q38" s="14">
        <v>2020.0</v>
      </c>
      <c r="S38" s="14" t="s">
        <v>12473</v>
      </c>
      <c r="U38" s="14" t="s">
        <v>12399</v>
      </c>
      <c r="V38" t="str">
        <f t="shared" si="2"/>
        <v/>
      </c>
      <c r="W38" s="139" t="str">
        <f t="shared" si="3"/>
        <v/>
      </c>
      <c r="X38" t="str">
        <f t="shared" si="4"/>
        <v/>
      </c>
      <c r="Y38" t="str">
        <f t="shared" si="5"/>
        <v/>
      </c>
      <c r="Z38" t="str">
        <f t="shared" si="6"/>
        <v/>
      </c>
    </row>
    <row r="39">
      <c r="A39" s="14" t="s">
        <v>44</v>
      </c>
      <c r="B39" s="35">
        <v>36.0</v>
      </c>
      <c r="C39" s="35" t="s">
        <v>12478</v>
      </c>
      <c r="D39" s="38" t="s">
        <v>12480</v>
      </c>
      <c r="E39" s="36" t="s">
        <v>49</v>
      </c>
      <c r="F39" s="200"/>
      <c r="G39" s="200"/>
      <c r="H39" s="399" t="s">
        <v>12481</v>
      </c>
      <c r="L39" s="14" t="s">
        <v>12482</v>
      </c>
      <c r="M39" s="14" t="s">
        <v>12483</v>
      </c>
      <c r="N39" s="596" t="str">
        <f t="shared" si="9"/>
        <v>https://house.texas.gov/members/member-page/email/?district=36</v>
      </c>
      <c r="P39" s="14">
        <v>2010.0</v>
      </c>
      <c r="Q39" s="14">
        <v>2020.0</v>
      </c>
      <c r="S39" s="14" t="s">
        <v>12484</v>
      </c>
      <c r="U39" s="14" t="s">
        <v>12485</v>
      </c>
      <c r="V39" t="str">
        <f t="shared" si="2"/>
        <v/>
      </c>
      <c r="W39" s="139" t="str">
        <f t="shared" si="3"/>
        <v/>
      </c>
      <c r="X39" t="str">
        <f t="shared" si="4"/>
        <v/>
      </c>
      <c r="Y39" t="str">
        <f t="shared" si="5"/>
        <v/>
      </c>
      <c r="Z39" t="str">
        <f t="shared" si="6"/>
        <v/>
      </c>
    </row>
    <row r="40">
      <c r="A40" s="14" t="s">
        <v>44</v>
      </c>
      <c r="B40" s="35">
        <v>37.0</v>
      </c>
      <c r="C40" s="38" t="s">
        <v>1642</v>
      </c>
      <c r="D40" s="38" t="s">
        <v>12486</v>
      </c>
      <c r="E40" s="36" t="s">
        <v>49</v>
      </c>
      <c r="F40" s="200"/>
      <c r="G40" s="200"/>
      <c r="H40" s="200"/>
      <c r="M40" s="14" t="s">
        <v>12487</v>
      </c>
      <c r="N40" s="596" t="str">
        <f t="shared" si="9"/>
        <v>https://house.texas.gov/members/member-page/email/?district=37</v>
      </c>
      <c r="P40" s="14">
        <v>2018.0</v>
      </c>
      <c r="Q40" s="14">
        <v>2020.0</v>
      </c>
      <c r="S40" s="14" t="s">
        <v>12490</v>
      </c>
      <c r="U40" s="14" t="s">
        <v>12399</v>
      </c>
      <c r="V40" t="str">
        <f t="shared" si="2"/>
        <v/>
      </c>
      <c r="W40" s="139" t="str">
        <f t="shared" si="3"/>
        <v/>
      </c>
      <c r="X40" t="str">
        <f t="shared" si="4"/>
        <v/>
      </c>
      <c r="Y40" t="str">
        <f t="shared" si="5"/>
        <v/>
      </c>
      <c r="Z40" t="str">
        <f t="shared" si="6"/>
        <v/>
      </c>
    </row>
    <row r="41">
      <c r="A41" s="14" t="s">
        <v>44</v>
      </c>
      <c r="B41" s="35">
        <v>38.0</v>
      </c>
      <c r="C41" s="35" t="s">
        <v>1237</v>
      </c>
      <c r="D41" s="38" t="s">
        <v>12495</v>
      </c>
      <c r="E41" s="36" t="s">
        <v>49</v>
      </c>
      <c r="F41" s="200"/>
      <c r="G41" s="200"/>
      <c r="H41" s="399" t="s">
        <v>12496</v>
      </c>
      <c r="M41" s="14" t="s">
        <v>12497</v>
      </c>
      <c r="N41" s="596" t="str">
        <f t="shared" si="9"/>
        <v>https://house.texas.gov/members/member-page/email/?district=38</v>
      </c>
      <c r="P41" s="14">
        <v>2006.0</v>
      </c>
      <c r="Q41" s="14">
        <v>2020.0</v>
      </c>
      <c r="U41" s="14" t="s">
        <v>12399</v>
      </c>
      <c r="V41" t="str">
        <f t="shared" si="2"/>
        <v/>
      </c>
      <c r="W41" s="139" t="str">
        <f t="shared" si="3"/>
        <v/>
      </c>
      <c r="X41" t="str">
        <f t="shared" si="4"/>
        <v/>
      </c>
      <c r="Y41" t="str">
        <f t="shared" si="5"/>
        <v/>
      </c>
      <c r="Z41" t="str">
        <f t="shared" si="6"/>
        <v/>
      </c>
    </row>
    <row r="42">
      <c r="A42" s="14" t="s">
        <v>44</v>
      </c>
      <c r="B42" s="35">
        <v>39.0</v>
      </c>
      <c r="C42" s="35" t="s">
        <v>12501</v>
      </c>
      <c r="D42" s="38" t="s">
        <v>4546</v>
      </c>
      <c r="E42" s="36" t="s">
        <v>49</v>
      </c>
      <c r="F42" s="200"/>
      <c r="G42" s="200"/>
      <c r="H42" s="200"/>
      <c r="M42" s="14" t="s">
        <v>12503</v>
      </c>
      <c r="N42" s="596" t="str">
        <f t="shared" si="9"/>
        <v>https://house.texas.gov/members/member-page/email/?district=39</v>
      </c>
      <c r="P42" s="14">
        <v>2004.0</v>
      </c>
      <c r="Q42" s="14">
        <v>2020.0</v>
      </c>
      <c r="S42" s="14" t="s">
        <v>12504</v>
      </c>
      <c r="U42" s="14" t="s">
        <v>12505</v>
      </c>
      <c r="V42" t="str">
        <f t="shared" si="2"/>
        <v/>
      </c>
      <c r="W42" s="139" t="str">
        <f t="shared" si="3"/>
        <v/>
      </c>
      <c r="X42" t="str">
        <f t="shared" si="4"/>
        <v/>
      </c>
      <c r="Y42" t="str">
        <f t="shared" si="5"/>
        <v/>
      </c>
      <c r="Z42" t="str">
        <f t="shared" si="6"/>
        <v/>
      </c>
    </row>
    <row r="43">
      <c r="A43" s="14" t="s">
        <v>44</v>
      </c>
      <c r="B43" s="35">
        <v>40.0</v>
      </c>
      <c r="C43" s="35" t="s">
        <v>1990</v>
      </c>
      <c r="D43" s="38" t="s">
        <v>12514</v>
      </c>
      <c r="E43" s="36" t="s">
        <v>49</v>
      </c>
      <c r="F43" s="200"/>
      <c r="G43" s="200"/>
      <c r="H43" s="399"/>
      <c r="M43" s="14" t="s">
        <v>12515</v>
      </c>
      <c r="N43" s="596" t="str">
        <f t="shared" si="9"/>
        <v>https://house.texas.gov/members/member-page/email/?district=40</v>
      </c>
      <c r="P43" s="14">
        <v>2012.0</v>
      </c>
      <c r="Q43" s="14">
        <v>2020.0</v>
      </c>
      <c r="S43" s="14" t="s">
        <v>12504</v>
      </c>
      <c r="U43" s="14" t="s">
        <v>12399</v>
      </c>
      <c r="V43" t="str">
        <f t="shared" si="2"/>
        <v/>
      </c>
      <c r="W43" s="139" t="str">
        <f t="shared" si="3"/>
        <v/>
      </c>
      <c r="X43" t="str">
        <f t="shared" si="4"/>
        <v/>
      </c>
      <c r="Y43" t="str">
        <f t="shared" si="5"/>
        <v/>
      </c>
      <c r="Z43" t="str">
        <f t="shared" si="6"/>
        <v/>
      </c>
    </row>
    <row r="44">
      <c r="A44" s="14" t="s">
        <v>44</v>
      </c>
      <c r="B44" s="35">
        <v>41.0</v>
      </c>
      <c r="C44" s="35" t="s">
        <v>1134</v>
      </c>
      <c r="D44" s="38" t="s">
        <v>7267</v>
      </c>
      <c r="E44" s="36" t="s">
        <v>49</v>
      </c>
      <c r="F44" s="200"/>
      <c r="G44" s="200"/>
      <c r="H44" s="399" t="s">
        <v>12522</v>
      </c>
      <c r="M44" s="14" t="s">
        <v>12523</v>
      </c>
      <c r="N44" s="596" t="str">
        <f t="shared" si="9"/>
        <v>https://house.texas.gov/members/member-page/email/?district=41</v>
      </c>
      <c r="P44" s="14">
        <v>2012.0</v>
      </c>
      <c r="Q44" s="14">
        <v>2020.0</v>
      </c>
      <c r="S44" s="14" t="s">
        <v>12524</v>
      </c>
      <c r="U44" s="14" t="s">
        <v>12399</v>
      </c>
      <c r="V44" t="str">
        <f t="shared" si="2"/>
        <v/>
      </c>
      <c r="W44" s="139" t="str">
        <f t="shared" si="3"/>
        <v/>
      </c>
      <c r="X44" t="str">
        <f t="shared" si="4"/>
        <v/>
      </c>
      <c r="Y44" t="str">
        <f t="shared" si="5"/>
        <v/>
      </c>
      <c r="Z44" t="str">
        <f t="shared" si="6"/>
        <v/>
      </c>
    </row>
    <row r="45">
      <c r="A45" s="14" t="s">
        <v>44</v>
      </c>
      <c r="B45" s="35">
        <v>42.0</v>
      </c>
      <c r="C45" s="35" t="s">
        <v>1112</v>
      </c>
      <c r="D45" s="38" t="s">
        <v>2609</v>
      </c>
      <c r="E45" s="36" t="s">
        <v>49</v>
      </c>
      <c r="F45" s="200"/>
      <c r="G45" s="200"/>
      <c r="H45" s="200"/>
      <c r="M45" s="14" t="s">
        <v>12529</v>
      </c>
      <c r="N45" s="596" t="str">
        <f t="shared" si="9"/>
        <v>https://house.texas.gov/members/member-page/email/?district=42</v>
      </c>
      <c r="P45" s="14">
        <v>1992.0</v>
      </c>
      <c r="Q45" s="14">
        <v>2020.0</v>
      </c>
      <c r="S45" s="14" t="s">
        <v>12530</v>
      </c>
      <c r="U45" s="14" t="s">
        <v>12531</v>
      </c>
      <c r="V45" t="str">
        <f t="shared" si="2"/>
        <v/>
      </c>
      <c r="W45" s="139" t="str">
        <f t="shared" si="3"/>
        <v/>
      </c>
      <c r="X45" t="str">
        <f t="shared" si="4"/>
        <v/>
      </c>
      <c r="Y45" t="str">
        <f t="shared" si="5"/>
        <v/>
      </c>
      <c r="Z45" t="str">
        <f t="shared" si="6"/>
        <v/>
      </c>
    </row>
    <row r="46">
      <c r="A46" s="14" t="s">
        <v>44</v>
      </c>
      <c r="B46" s="35">
        <v>43.0</v>
      </c>
      <c r="C46" s="35" t="s">
        <v>3526</v>
      </c>
      <c r="D46" s="38" t="s">
        <v>12536</v>
      </c>
      <c r="E46" s="98" t="s">
        <v>53</v>
      </c>
      <c r="F46" s="200"/>
      <c r="G46" s="200"/>
      <c r="H46" s="200"/>
      <c r="M46" s="14" t="s">
        <v>12537</v>
      </c>
      <c r="N46" s="596" t="str">
        <f t="shared" si="9"/>
        <v>https://house.texas.gov/members/member-page/email/?district=43</v>
      </c>
      <c r="P46" s="14">
        <v>2010.0</v>
      </c>
      <c r="Q46" s="14">
        <v>2020.0</v>
      </c>
      <c r="S46" s="14" t="s">
        <v>12538</v>
      </c>
      <c r="U46" s="14" t="s">
        <v>12539</v>
      </c>
      <c r="V46" t="str">
        <f t="shared" si="2"/>
        <v/>
      </c>
      <c r="W46" s="139" t="str">
        <f t="shared" si="3"/>
        <v/>
      </c>
      <c r="X46" t="str">
        <f t="shared" si="4"/>
        <v/>
      </c>
      <c r="Y46" t="str">
        <f t="shared" si="5"/>
        <v/>
      </c>
      <c r="Z46" t="str">
        <f t="shared" si="6"/>
        <v/>
      </c>
    </row>
    <row r="47">
      <c r="A47" s="14" t="s">
        <v>44</v>
      </c>
      <c r="B47" s="35">
        <v>44.0</v>
      </c>
      <c r="C47" s="35" t="s">
        <v>278</v>
      </c>
      <c r="D47" s="35" t="s">
        <v>12542</v>
      </c>
      <c r="E47" s="51" t="s">
        <v>53</v>
      </c>
      <c r="F47" s="200"/>
      <c r="G47" s="200"/>
      <c r="H47" s="200"/>
      <c r="M47" s="14" t="s">
        <v>12543</v>
      </c>
      <c r="N47" s="596" t="str">
        <f t="shared" si="9"/>
        <v>https://house.texas.gov/members/member-page/email/?district=44</v>
      </c>
      <c r="P47" s="14">
        <v>2010.0</v>
      </c>
      <c r="Q47" s="14">
        <v>2020.0</v>
      </c>
      <c r="S47" s="14" t="s">
        <v>12544</v>
      </c>
      <c r="U47" s="14" t="s">
        <v>12545</v>
      </c>
      <c r="V47" t="str">
        <f t="shared" si="2"/>
        <v/>
      </c>
      <c r="W47" s="139" t="str">
        <f t="shared" si="3"/>
        <v/>
      </c>
      <c r="X47" t="str">
        <f t="shared" si="4"/>
        <v/>
      </c>
      <c r="Y47" t="str">
        <f t="shared" si="5"/>
        <v/>
      </c>
      <c r="Z47" t="str">
        <f t="shared" si="6"/>
        <v/>
      </c>
    </row>
    <row r="48">
      <c r="A48" s="14" t="s">
        <v>44</v>
      </c>
      <c r="B48" s="35">
        <v>45.0</v>
      </c>
      <c r="C48" s="38" t="s">
        <v>2994</v>
      </c>
      <c r="D48" s="38" t="s">
        <v>12551</v>
      </c>
      <c r="E48" s="36" t="s">
        <v>49</v>
      </c>
      <c r="F48" s="200"/>
      <c r="G48" s="200"/>
      <c r="H48" s="200"/>
      <c r="M48" s="14" t="s">
        <v>12552</v>
      </c>
      <c r="N48" s="596" t="str">
        <f t="shared" si="9"/>
        <v>https://house.texas.gov/members/member-page/email/?district=45</v>
      </c>
      <c r="P48" s="14">
        <v>2018.0</v>
      </c>
      <c r="Q48" s="14">
        <v>2020.0</v>
      </c>
      <c r="S48" s="14" t="s">
        <v>12553</v>
      </c>
      <c r="U48" s="14" t="s">
        <v>12554</v>
      </c>
      <c r="V48" t="str">
        <f t="shared" si="2"/>
        <v/>
      </c>
      <c r="W48" s="139" t="str">
        <f t="shared" si="3"/>
        <v/>
      </c>
      <c r="X48" t="str">
        <f t="shared" si="4"/>
        <v/>
      </c>
      <c r="Y48" t="str">
        <f t="shared" si="5"/>
        <v/>
      </c>
      <c r="Z48" t="str">
        <f t="shared" si="6"/>
        <v/>
      </c>
    </row>
    <row r="49">
      <c r="A49" s="14" t="s">
        <v>44</v>
      </c>
      <c r="B49" s="35">
        <v>46.0</v>
      </c>
      <c r="C49" s="38" t="s">
        <v>7176</v>
      </c>
      <c r="D49" s="38" t="s">
        <v>7299</v>
      </c>
      <c r="E49" s="36" t="s">
        <v>49</v>
      </c>
      <c r="F49" s="200"/>
      <c r="G49" s="200"/>
      <c r="H49" s="200"/>
      <c r="L49" s="14" t="s">
        <v>12281</v>
      </c>
      <c r="M49" s="14" t="s">
        <v>12555</v>
      </c>
      <c r="N49" s="596" t="str">
        <f t="shared" si="9"/>
        <v>https://house.texas.gov/members/member-page/email/?district=46</v>
      </c>
      <c r="P49" s="14">
        <v>2018.0</v>
      </c>
      <c r="Q49" s="14">
        <v>2020.0</v>
      </c>
      <c r="S49" s="14" t="s">
        <v>12556</v>
      </c>
      <c r="U49" s="14" t="s">
        <v>12557</v>
      </c>
      <c r="V49" t="str">
        <f t="shared" si="2"/>
        <v/>
      </c>
      <c r="W49" s="139" t="str">
        <f t="shared" si="3"/>
        <v/>
      </c>
      <c r="X49" t="str">
        <f t="shared" si="4"/>
        <v/>
      </c>
      <c r="Y49" t="str">
        <f t="shared" si="5"/>
        <v/>
      </c>
      <c r="Z49" t="str">
        <f t="shared" si="6"/>
        <v/>
      </c>
    </row>
    <row r="50">
      <c r="A50" s="14" t="s">
        <v>44</v>
      </c>
      <c r="B50" s="35">
        <v>47.0</v>
      </c>
      <c r="C50" s="38" t="s">
        <v>12561</v>
      </c>
      <c r="D50" s="38" t="s">
        <v>9741</v>
      </c>
      <c r="E50" s="36" t="s">
        <v>49</v>
      </c>
      <c r="F50" s="200"/>
      <c r="G50" s="200"/>
      <c r="H50" s="399" t="s">
        <v>12562</v>
      </c>
      <c r="M50" s="14" t="s">
        <v>12563</v>
      </c>
      <c r="N50" s="596" t="str">
        <f t="shared" si="9"/>
        <v>https://house.texas.gov/members/member-page/email/?district=47</v>
      </c>
      <c r="P50" s="14">
        <v>2018.0</v>
      </c>
      <c r="Q50" s="14">
        <v>2020.0</v>
      </c>
      <c r="S50" s="14" t="s">
        <v>12556</v>
      </c>
      <c r="U50" s="14" t="s">
        <v>12564</v>
      </c>
      <c r="V50" t="str">
        <f t="shared" si="2"/>
        <v/>
      </c>
      <c r="W50" s="139" t="str">
        <f t="shared" si="3"/>
        <v/>
      </c>
      <c r="X50" t="str">
        <f t="shared" si="4"/>
        <v/>
      </c>
      <c r="Y50" t="str">
        <f t="shared" si="5"/>
        <v/>
      </c>
      <c r="Z50" t="str">
        <f t="shared" si="6"/>
        <v/>
      </c>
    </row>
    <row r="51">
      <c r="A51" s="14" t="s">
        <v>44</v>
      </c>
      <c r="B51" s="35">
        <v>48.0</v>
      </c>
      <c r="C51" s="35" t="s">
        <v>3404</v>
      </c>
      <c r="D51" s="35" t="s">
        <v>297</v>
      </c>
      <c r="E51" s="36" t="s">
        <v>49</v>
      </c>
      <c r="F51" s="200"/>
      <c r="G51" s="200"/>
      <c r="H51" s="399" t="s">
        <v>12567</v>
      </c>
      <c r="L51" s="14" t="s">
        <v>12568</v>
      </c>
      <c r="M51" s="14" t="s">
        <v>12569</v>
      </c>
      <c r="N51" s="596" t="str">
        <f t="shared" si="9"/>
        <v>https://house.texas.gov/members/member-page/email/?district=48</v>
      </c>
      <c r="P51" s="14">
        <v>2006.0</v>
      </c>
      <c r="Q51" s="14">
        <v>2020.0</v>
      </c>
      <c r="S51" s="14" t="s">
        <v>12556</v>
      </c>
      <c r="U51" s="14" t="s">
        <v>12570</v>
      </c>
      <c r="V51" t="str">
        <f t="shared" si="2"/>
        <v/>
      </c>
      <c r="W51" s="139" t="str">
        <f t="shared" si="3"/>
        <v/>
      </c>
      <c r="X51" t="str">
        <f t="shared" si="4"/>
        <v/>
      </c>
      <c r="Y51" t="str">
        <f t="shared" si="5"/>
        <v/>
      </c>
      <c r="Z51" t="str">
        <f t="shared" si="6"/>
        <v/>
      </c>
    </row>
    <row r="52" ht="15.75" customHeight="1">
      <c r="A52" s="14" t="s">
        <v>44</v>
      </c>
      <c r="B52" s="35">
        <v>49.0</v>
      </c>
      <c r="C52" s="35" t="s">
        <v>6130</v>
      </c>
      <c r="D52" s="35" t="s">
        <v>12579</v>
      </c>
      <c r="E52" s="36" t="s">
        <v>49</v>
      </c>
      <c r="F52" s="200"/>
      <c r="G52" s="200"/>
      <c r="H52" s="399"/>
      <c r="M52" s="14" t="s">
        <v>12581</v>
      </c>
      <c r="N52" s="596" t="str">
        <f t="shared" si="9"/>
        <v>https://house.texas.gov/members/member-page/email/?district=49</v>
      </c>
      <c r="P52" s="14">
        <v>2016.0</v>
      </c>
      <c r="Q52" s="14">
        <v>2020.0</v>
      </c>
      <c r="S52" s="14" t="s">
        <v>12556</v>
      </c>
      <c r="U52" s="14" t="s">
        <v>12399</v>
      </c>
      <c r="V52" s="14" t="s">
        <v>12281</v>
      </c>
      <c r="W52" s="139" t="str">
        <f t="shared" si="3"/>
        <v/>
      </c>
      <c r="X52" t="str">
        <f t="shared" si="4"/>
        <v/>
      </c>
      <c r="Y52" t="str">
        <f t="shared" si="5"/>
        <v/>
      </c>
      <c r="Z52" t="str">
        <f t="shared" si="6"/>
        <v/>
      </c>
    </row>
    <row r="53">
      <c r="A53" s="14" t="s">
        <v>44</v>
      </c>
      <c r="B53" s="35">
        <v>50.0</v>
      </c>
      <c r="C53" s="35" t="s">
        <v>12586</v>
      </c>
      <c r="D53" s="35" t="s">
        <v>12588</v>
      </c>
      <c r="E53" s="36" t="s">
        <v>49</v>
      </c>
      <c r="F53" s="200"/>
      <c r="G53" s="200"/>
      <c r="H53" s="399" t="s">
        <v>12591</v>
      </c>
      <c r="M53" s="14" t="s">
        <v>12592</v>
      </c>
      <c r="N53" s="596" t="str">
        <f t="shared" si="9"/>
        <v>https://house.texas.gov/members/member-page/email/?district=50</v>
      </c>
      <c r="P53" s="14">
        <v>2014.0</v>
      </c>
      <c r="Q53" s="14">
        <v>2020.0</v>
      </c>
      <c r="S53" s="14" t="s">
        <v>12556</v>
      </c>
      <c r="U53" s="14" t="s">
        <v>12594</v>
      </c>
      <c r="V53" t="str">
        <f t="shared" ref="V53:V80" si="10">if(W53="","",if(A53="House","Representative","Senator"))</f>
        <v/>
      </c>
      <c r="W53" s="139" t="str">
        <f t="shared" si="3"/>
        <v/>
      </c>
      <c r="X53" t="str">
        <f t="shared" si="4"/>
        <v/>
      </c>
      <c r="Y53" t="str">
        <f t="shared" si="5"/>
        <v/>
      </c>
      <c r="Z53" t="str">
        <f t="shared" si="6"/>
        <v/>
      </c>
    </row>
    <row r="54">
      <c r="A54" s="14" t="s">
        <v>44</v>
      </c>
      <c r="B54" s="35">
        <v>51.0</v>
      </c>
      <c r="C54" s="35" t="s">
        <v>1237</v>
      </c>
      <c r="D54" s="35" t="s">
        <v>1094</v>
      </c>
      <c r="E54" s="36" t="s">
        <v>49</v>
      </c>
      <c r="F54" s="200"/>
      <c r="G54" s="200"/>
      <c r="H54" s="200"/>
      <c r="M54" s="14" t="s">
        <v>12601</v>
      </c>
      <c r="N54" s="596" t="str">
        <f t="shared" si="9"/>
        <v>https://house.texas.gov/members/member-page/email/?district=51</v>
      </c>
      <c r="P54" s="14">
        <v>2002.0</v>
      </c>
      <c r="Q54" s="14">
        <v>2020.0</v>
      </c>
      <c r="S54" s="14" t="s">
        <v>12556</v>
      </c>
      <c r="U54" s="14" t="s">
        <v>12602</v>
      </c>
      <c r="V54" t="str">
        <f t="shared" si="10"/>
        <v/>
      </c>
      <c r="W54" s="139" t="str">
        <f t="shared" si="3"/>
        <v/>
      </c>
      <c r="X54" t="str">
        <f t="shared" si="4"/>
        <v/>
      </c>
      <c r="Y54" t="str">
        <f t="shared" si="5"/>
        <v/>
      </c>
      <c r="Z54" t="str">
        <f t="shared" si="6"/>
        <v/>
      </c>
    </row>
    <row r="55">
      <c r="A55" s="14" t="s">
        <v>44</v>
      </c>
      <c r="B55" s="35">
        <v>52.0</v>
      </c>
      <c r="C55" s="38" t="s">
        <v>930</v>
      </c>
      <c r="D55" s="38" t="s">
        <v>12605</v>
      </c>
      <c r="E55" s="51" t="s">
        <v>53</v>
      </c>
      <c r="F55" s="200"/>
      <c r="G55" s="200"/>
      <c r="H55" s="200"/>
      <c r="M55" s="14" t="s">
        <v>12606</v>
      </c>
      <c r="N55" s="596" t="str">
        <f t="shared" si="9"/>
        <v>https://house.texas.gov/members/member-page/email/?district=52</v>
      </c>
      <c r="P55" s="728">
        <v>2018.0</v>
      </c>
      <c r="Q55" s="728">
        <v>2020.0</v>
      </c>
      <c r="S55" s="14" t="s">
        <v>12608</v>
      </c>
      <c r="U55" s="14" t="s">
        <v>12609</v>
      </c>
      <c r="V55" t="str">
        <f t="shared" si="10"/>
        <v/>
      </c>
      <c r="W55" s="139" t="str">
        <f t="shared" si="3"/>
        <v/>
      </c>
      <c r="X55" t="str">
        <f t="shared" si="4"/>
        <v/>
      </c>
      <c r="Y55" t="str">
        <f t="shared" si="5"/>
        <v/>
      </c>
      <c r="Z55" t="str">
        <f t="shared" si="6"/>
        <v/>
      </c>
    </row>
    <row r="56">
      <c r="A56" s="14" t="s">
        <v>44</v>
      </c>
      <c r="B56" s="35">
        <v>53.0</v>
      </c>
      <c r="C56" s="35" t="s">
        <v>80</v>
      </c>
      <c r="D56" s="35" t="s">
        <v>12616</v>
      </c>
      <c r="E56" s="51" t="s">
        <v>53</v>
      </c>
      <c r="F56" s="200"/>
      <c r="G56" s="200"/>
      <c r="H56" s="399"/>
      <c r="L56" s="14" t="s">
        <v>12617</v>
      </c>
      <c r="M56" s="14" t="s">
        <v>12618</v>
      </c>
      <c r="N56" s="596" t="str">
        <f t="shared" si="9"/>
        <v>https://house.texas.gov/members/member-page/email/?district=53</v>
      </c>
      <c r="P56" s="14">
        <v>2014.0</v>
      </c>
      <c r="Q56" s="14">
        <v>2020.0</v>
      </c>
      <c r="S56" s="14" t="s">
        <v>12619</v>
      </c>
      <c r="U56" s="14" t="s">
        <v>12620</v>
      </c>
      <c r="V56" t="str">
        <f t="shared" si="10"/>
        <v/>
      </c>
      <c r="W56" s="139" t="str">
        <f t="shared" si="3"/>
        <v/>
      </c>
      <c r="X56" t="str">
        <f t="shared" si="4"/>
        <v/>
      </c>
      <c r="Y56" t="str">
        <f t="shared" si="5"/>
        <v/>
      </c>
      <c r="Z56" t="str">
        <f t="shared" si="6"/>
        <v/>
      </c>
    </row>
    <row r="57">
      <c r="A57" s="14" t="s">
        <v>44</v>
      </c>
      <c r="B57" s="35">
        <v>54.0</v>
      </c>
      <c r="C57" s="38" t="s">
        <v>2323</v>
      </c>
      <c r="D57" s="38" t="s">
        <v>12623</v>
      </c>
      <c r="E57" s="51" t="s">
        <v>53</v>
      </c>
      <c r="F57" s="200"/>
      <c r="G57" s="200"/>
      <c r="H57" s="399" t="s">
        <v>12624</v>
      </c>
      <c r="M57" s="14" t="s">
        <v>12625</v>
      </c>
      <c r="N57" s="596" t="str">
        <f t="shared" si="9"/>
        <v>https://house.texas.gov/members/member-page/email/?district=54</v>
      </c>
      <c r="P57" s="14">
        <v>2018.0</v>
      </c>
      <c r="Q57" s="14">
        <v>2020.0</v>
      </c>
      <c r="S57" s="14" t="s">
        <v>12627</v>
      </c>
      <c r="U57" s="14" t="s">
        <v>12628</v>
      </c>
      <c r="V57" t="str">
        <f t="shared" si="10"/>
        <v/>
      </c>
      <c r="W57" s="139" t="str">
        <f t="shared" si="3"/>
        <v/>
      </c>
      <c r="X57" t="str">
        <f t="shared" si="4"/>
        <v/>
      </c>
      <c r="Y57" t="str">
        <f t="shared" si="5"/>
        <v/>
      </c>
      <c r="Z57" t="str">
        <f t="shared" si="6"/>
        <v/>
      </c>
    </row>
    <row r="58" ht="17.25" customHeight="1">
      <c r="A58" s="14" t="s">
        <v>44</v>
      </c>
      <c r="B58" s="35">
        <v>55.0</v>
      </c>
      <c r="C58" s="35" t="s">
        <v>2045</v>
      </c>
      <c r="D58" s="35" t="s">
        <v>12635</v>
      </c>
      <c r="E58" s="51" t="s">
        <v>53</v>
      </c>
      <c r="F58" s="200"/>
      <c r="G58" s="200"/>
      <c r="H58" s="399"/>
      <c r="J58" s="14" t="s">
        <v>12281</v>
      </c>
      <c r="M58" s="14" t="s">
        <v>12636</v>
      </c>
      <c r="N58" s="596" t="str">
        <f t="shared" si="9"/>
        <v>https://house.texas.gov/members/member-page/email/?district=55</v>
      </c>
      <c r="P58" s="14">
        <v>2016.0</v>
      </c>
      <c r="Q58" s="14">
        <v>2020.0</v>
      </c>
      <c r="S58" s="14" t="s">
        <v>12637</v>
      </c>
      <c r="U58" s="728" t="s">
        <v>12638</v>
      </c>
      <c r="V58" t="str">
        <f t="shared" si="10"/>
        <v/>
      </c>
      <c r="W58" s="139" t="str">
        <f t="shared" si="3"/>
        <v/>
      </c>
      <c r="X58" t="str">
        <f t="shared" si="4"/>
        <v/>
      </c>
      <c r="Y58" t="str">
        <f t="shared" si="5"/>
        <v/>
      </c>
      <c r="Z58" t="str">
        <f t="shared" si="6"/>
        <v/>
      </c>
    </row>
    <row r="59">
      <c r="A59" s="14" t="s">
        <v>44</v>
      </c>
      <c r="B59" s="35">
        <v>56.0</v>
      </c>
      <c r="C59" s="35" t="s">
        <v>1287</v>
      </c>
      <c r="D59" s="35" t="s">
        <v>3961</v>
      </c>
      <c r="E59" s="51" t="s">
        <v>53</v>
      </c>
      <c r="F59" s="200"/>
      <c r="G59" s="200"/>
      <c r="H59" s="200"/>
      <c r="M59" s="14" t="s">
        <v>12645</v>
      </c>
      <c r="N59" s="596" t="str">
        <f t="shared" si="9"/>
        <v>https://house.texas.gov/members/member-page/email/?district=56</v>
      </c>
      <c r="P59" s="14">
        <v>2004.0</v>
      </c>
      <c r="Q59" s="728">
        <v>2020.0</v>
      </c>
      <c r="S59" s="14" t="s">
        <v>12646</v>
      </c>
      <c r="U59" s="14" t="s">
        <v>12628</v>
      </c>
      <c r="V59" t="str">
        <f t="shared" si="10"/>
        <v/>
      </c>
      <c r="W59" s="139" t="str">
        <f t="shared" si="3"/>
        <v/>
      </c>
      <c r="X59" t="str">
        <f t="shared" si="4"/>
        <v/>
      </c>
      <c r="Y59" t="str">
        <f t="shared" si="5"/>
        <v/>
      </c>
      <c r="Z59" t="str">
        <f t="shared" si="6"/>
        <v/>
      </c>
    </row>
    <row r="60">
      <c r="A60" s="14" t="s">
        <v>44</v>
      </c>
      <c r="B60" s="35">
        <v>57.0</v>
      </c>
      <c r="C60" s="35" t="s">
        <v>2298</v>
      </c>
      <c r="D60" s="35" t="s">
        <v>10040</v>
      </c>
      <c r="E60" s="51" t="s">
        <v>53</v>
      </c>
      <c r="F60" s="200"/>
      <c r="G60" s="200"/>
      <c r="H60" s="399"/>
      <c r="M60" s="14" t="s">
        <v>12655</v>
      </c>
      <c r="N60" s="596" t="str">
        <f t="shared" si="9"/>
        <v>https://house.texas.gov/members/member-page/email/?district=57</v>
      </c>
      <c r="P60" s="14">
        <v>2012.0</v>
      </c>
      <c r="Q60" s="14">
        <v>2020.0</v>
      </c>
      <c r="S60" s="14" t="s">
        <v>12656</v>
      </c>
      <c r="U60" s="14" t="s">
        <v>12657</v>
      </c>
      <c r="V60" t="str">
        <f t="shared" si="10"/>
        <v/>
      </c>
      <c r="W60" s="139" t="str">
        <f t="shared" si="3"/>
        <v/>
      </c>
      <c r="X60" t="str">
        <f t="shared" si="4"/>
        <v/>
      </c>
      <c r="Y60" t="str">
        <f t="shared" si="5"/>
        <v/>
      </c>
      <c r="Z60" t="str">
        <f t="shared" si="6"/>
        <v/>
      </c>
    </row>
    <row r="61">
      <c r="A61" s="14" t="s">
        <v>44</v>
      </c>
      <c r="B61" s="35">
        <v>58.0</v>
      </c>
      <c r="C61" s="35" t="s">
        <v>12660</v>
      </c>
      <c r="D61" s="35" t="s">
        <v>4107</v>
      </c>
      <c r="E61" s="51" t="s">
        <v>53</v>
      </c>
      <c r="F61" s="200"/>
      <c r="G61" s="200"/>
      <c r="H61" s="399" t="s">
        <v>12663</v>
      </c>
      <c r="M61" s="14" t="s">
        <v>12664</v>
      </c>
      <c r="N61" s="596" t="str">
        <f t="shared" si="9"/>
        <v>https://house.texas.gov/members/member-page/email/?district=58</v>
      </c>
      <c r="P61" s="14">
        <v>2014.0</v>
      </c>
      <c r="Q61" s="14">
        <v>2020.0</v>
      </c>
      <c r="S61" s="14" t="s">
        <v>12665</v>
      </c>
      <c r="U61" s="14" t="s">
        <v>12666</v>
      </c>
      <c r="V61" t="str">
        <f t="shared" si="10"/>
        <v/>
      </c>
      <c r="W61" s="139" t="str">
        <f t="shared" si="3"/>
        <v/>
      </c>
      <c r="X61" t="str">
        <f t="shared" si="4"/>
        <v/>
      </c>
      <c r="Y61" t="str">
        <f t="shared" si="5"/>
        <v/>
      </c>
      <c r="Z61" t="str">
        <f t="shared" si="6"/>
        <v/>
      </c>
    </row>
    <row r="62">
      <c r="A62" s="14" t="s">
        <v>44</v>
      </c>
      <c r="B62" s="35">
        <v>59.0</v>
      </c>
      <c r="C62" s="35" t="s">
        <v>12671</v>
      </c>
      <c r="D62" s="35" t="s">
        <v>12672</v>
      </c>
      <c r="E62" s="51" t="s">
        <v>53</v>
      </c>
      <c r="F62" s="200"/>
      <c r="G62" s="200"/>
      <c r="H62" s="399" t="s">
        <v>12673</v>
      </c>
      <c r="M62" s="14" t="s">
        <v>12674</v>
      </c>
      <c r="N62" s="596" t="str">
        <f t="shared" si="9"/>
        <v>https://house.texas.gov/members/member-page/email/?district=59</v>
      </c>
      <c r="P62" s="14">
        <v>2012.0</v>
      </c>
      <c r="Q62" s="14">
        <v>2020.0</v>
      </c>
      <c r="S62" s="14" t="s">
        <v>12675</v>
      </c>
      <c r="U62" s="14" t="s">
        <v>12676</v>
      </c>
      <c r="V62" t="str">
        <f t="shared" si="10"/>
        <v/>
      </c>
      <c r="W62" s="139" t="str">
        <f t="shared" si="3"/>
        <v/>
      </c>
      <c r="X62" t="str">
        <f t="shared" si="4"/>
        <v/>
      </c>
      <c r="Y62" t="str">
        <f t="shared" si="5"/>
        <v/>
      </c>
      <c r="Z62" t="str">
        <f t="shared" si="6"/>
        <v/>
      </c>
    </row>
    <row r="63">
      <c r="A63" s="14" t="s">
        <v>44</v>
      </c>
      <c r="B63" s="35">
        <v>60.0</v>
      </c>
      <c r="C63" s="35" t="s">
        <v>157</v>
      </c>
      <c r="D63" s="35" t="s">
        <v>4054</v>
      </c>
      <c r="E63" s="51" t="s">
        <v>53</v>
      </c>
      <c r="F63" s="200"/>
      <c r="G63" s="200"/>
      <c r="H63" s="399" t="s">
        <v>12681</v>
      </c>
      <c r="M63" s="14" t="s">
        <v>12682</v>
      </c>
      <c r="N63" s="596" t="str">
        <f t="shared" si="9"/>
        <v>https://house.texas.gov/members/member-page/email/?district=60</v>
      </c>
      <c r="P63" s="14">
        <v>2016.0</v>
      </c>
      <c r="Q63" s="14">
        <v>2020.0</v>
      </c>
      <c r="S63" s="14" t="s">
        <v>12683</v>
      </c>
      <c r="U63" s="14" t="s">
        <v>12684</v>
      </c>
      <c r="V63" t="str">
        <f t="shared" si="10"/>
        <v/>
      </c>
      <c r="W63" s="139" t="str">
        <f t="shared" si="3"/>
        <v/>
      </c>
      <c r="X63" t="str">
        <f t="shared" si="4"/>
        <v/>
      </c>
      <c r="Y63" t="str">
        <f t="shared" si="5"/>
        <v/>
      </c>
      <c r="Z63" t="str">
        <f t="shared" si="6"/>
        <v/>
      </c>
    </row>
    <row r="64">
      <c r="A64" s="14" t="s">
        <v>44</v>
      </c>
      <c r="B64" s="35">
        <v>61.0</v>
      </c>
      <c r="C64" s="35" t="s">
        <v>1483</v>
      </c>
      <c r="D64" s="35" t="s">
        <v>5219</v>
      </c>
      <c r="E64" s="51" t="s">
        <v>53</v>
      </c>
      <c r="F64" s="200"/>
      <c r="G64" s="200"/>
      <c r="H64" s="399"/>
      <c r="M64" s="14" t="s">
        <v>12686</v>
      </c>
      <c r="N64" s="596" t="str">
        <f t="shared" si="9"/>
        <v>https://house.texas.gov/members/member-page/email/?district=61</v>
      </c>
      <c r="P64" s="14">
        <v>1998.0</v>
      </c>
      <c r="Q64" s="14">
        <v>2020.0</v>
      </c>
      <c r="S64" s="14" t="s">
        <v>12687</v>
      </c>
      <c r="U64" s="14" t="s">
        <v>12688</v>
      </c>
      <c r="V64" t="str">
        <f t="shared" si="10"/>
        <v/>
      </c>
      <c r="W64" s="139" t="str">
        <f t="shared" si="3"/>
        <v/>
      </c>
      <c r="X64" t="str">
        <f t="shared" si="4"/>
        <v/>
      </c>
      <c r="Y64" t="str">
        <f t="shared" si="5"/>
        <v/>
      </c>
      <c r="Z64" t="str">
        <f t="shared" si="6"/>
        <v/>
      </c>
    </row>
    <row r="65">
      <c r="A65" s="14" t="s">
        <v>44</v>
      </c>
      <c r="B65" s="35">
        <v>62.0</v>
      </c>
      <c r="C65" s="38" t="s">
        <v>1797</v>
      </c>
      <c r="D65" s="38" t="s">
        <v>1451</v>
      </c>
      <c r="E65" s="51" t="s">
        <v>53</v>
      </c>
      <c r="F65" s="200"/>
      <c r="G65" s="200"/>
      <c r="H65" s="399" t="s">
        <v>12691</v>
      </c>
      <c r="M65" s="14" t="s">
        <v>12692</v>
      </c>
      <c r="N65" s="596" t="str">
        <f t="shared" si="9"/>
        <v>https://house.texas.gov/members/member-page/email/?district=62</v>
      </c>
      <c r="P65" s="14">
        <v>2018.0</v>
      </c>
      <c r="Q65" s="728">
        <v>2020.0</v>
      </c>
      <c r="S65" s="14" t="s">
        <v>12693</v>
      </c>
      <c r="U65" s="14" t="s">
        <v>12694</v>
      </c>
      <c r="V65" t="str">
        <f t="shared" si="10"/>
        <v/>
      </c>
      <c r="W65" s="139" t="str">
        <f t="shared" si="3"/>
        <v/>
      </c>
      <c r="X65" t="str">
        <f t="shared" si="4"/>
        <v/>
      </c>
      <c r="Y65" t="str">
        <f t="shared" si="5"/>
        <v/>
      </c>
      <c r="Z65" t="str">
        <f t="shared" si="6"/>
        <v/>
      </c>
    </row>
    <row r="66">
      <c r="A66" s="14" t="s">
        <v>44</v>
      </c>
      <c r="B66" s="35">
        <v>63.0</v>
      </c>
      <c r="C66" s="35" t="s">
        <v>12696</v>
      </c>
      <c r="D66" s="35" t="s">
        <v>87</v>
      </c>
      <c r="E66" s="51" t="s">
        <v>53</v>
      </c>
      <c r="F66" s="200"/>
      <c r="G66" s="200"/>
      <c r="H66" s="200"/>
      <c r="L66" s="14" t="s">
        <v>12700</v>
      </c>
      <c r="M66" s="14" t="s">
        <v>12701</v>
      </c>
      <c r="N66" s="596" t="str">
        <f t="shared" si="9"/>
        <v>https://house.texas.gov/members/member-page/email/?district=63</v>
      </c>
      <c r="P66" s="14">
        <v>2006.0</v>
      </c>
      <c r="Q66" s="14">
        <v>2020.0</v>
      </c>
      <c r="S66" s="14" t="s">
        <v>12702</v>
      </c>
      <c r="U66" s="14" t="s">
        <v>12289</v>
      </c>
      <c r="V66" t="str">
        <f t="shared" si="10"/>
        <v/>
      </c>
      <c r="W66" s="139" t="str">
        <f t="shared" si="3"/>
        <v/>
      </c>
      <c r="X66" t="str">
        <f t="shared" si="4"/>
        <v/>
      </c>
      <c r="Y66" t="str">
        <f t="shared" si="5"/>
        <v/>
      </c>
      <c r="Z66" t="str">
        <f t="shared" si="6"/>
        <v/>
      </c>
    </row>
    <row r="67">
      <c r="A67" s="14" t="s">
        <v>44</v>
      </c>
      <c r="B67" s="35">
        <v>64.0</v>
      </c>
      <c r="C67" s="35" t="s">
        <v>66</v>
      </c>
      <c r="D67" s="35" t="s">
        <v>12706</v>
      </c>
      <c r="E67" s="51" t="s">
        <v>53</v>
      </c>
      <c r="F67" s="200"/>
      <c r="G67" s="200"/>
      <c r="H67" s="399" t="s">
        <v>12707</v>
      </c>
      <c r="M67" s="14" t="s">
        <v>12708</v>
      </c>
      <c r="N67" s="596" t="str">
        <f t="shared" si="9"/>
        <v>https://house.texas.gov/members/member-page/email/?district=64</v>
      </c>
      <c r="P67" s="14">
        <v>2016.0</v>
      </c>
      <c r="Q67" s="14">
        <v>2020.0</v>
      </c>
      <c r="S67" s="14" t="s">
        <v>12702</v>
      </c>
      <c r="U67" s="14" t="s">
        <v>12628</v>
      </c>
      <c r="V67" t="str">
        <f t="shared" si="10"/>
        <v/>
      </c>
      <c r="W67" s="139" t="str">
        <f t="shared" si="3"/>
        <v/>
      </c>
      <c r="X67" t="str">
        <f t="shared" si="4"/>
        <v/>
      </c>
      <c r="Y67" t="str">
        <f t="shared" si="5"/>
        <v/>
      </c>
      <c r="Z67" t="str">
        <f t="shared" si="6"/>
        <v/>
      </c>
    </row>
    <row r="68">
      <c r="A68" s="14" t="s">
        <v>44</v>
      </c>
      <c r="B68" s="35">
        <v>65.0</v>
      </c>
      <c r="C68" s="38" t="s">
        <v>22</v>
      </c>
      <c r="D68" s="38" t="s">
        <v>12709</v>
      </c>
      <c r="E68" s="36" t="s">
        <v>49</v>
      </c>
      <c r="F68" s="200"/>
      <c r="G68" s="200"/>
      <c r="H68" s="200"/>
      <c r="M68" s="14" t="s">
        <v>12710</v>
      </c>
      <c r="N68" s="596" t="str">
        <f t="shared" si="9"/>
        <v>https://house.texas.gov/members/member-page/email/?district=65</v>
      </c>
      <c r="P68" s="14">
        <v>2018.0</v>
      </c>
      <c r="Q68" s="14">
        <v>2020.0</v>
      </c>
      <c r="S68" s="14" t="s">
        <v>12702</v>
      </c>
      <c r="U68" s="14" t="s">
        <v>12712</v>
      </c>
      <c r="V68" t="str">
        <f t="shared" si="10"/>
        <v/>
      </c>
      <c r="W68" s="139" t="str">
        <f t="shared" si="3"/>
        <v/>
      </c>
      <c r="X68" t="str">
        <f t="shared" si="4"/>
        <v/>
      </c>
      <c r="Y68" t="str">
        <f t="shared" si="5"/>
        <v/>
      </c>
      <c r="Z68" t="str">
        <f t="shared" si="6"/>
        <v/>
      </c>
    </row>
    <row r="69">
      <c r="A69" s="14" t="s">
        <v>44</v>
      </c>
      <c r="B69" s="35">
        <v>66.0</v>
      </c>
      <c r="C69" s="35" t="s">
        <v>163</v>
      </c>
      <c r="D69" s="35" t="s">
        <v>12720</v>
      </c>
      <c r="E69" s="51" t="s">
        <v>53</v>
      </c>
      <c r="F69" s="200"/>
      <c r="G69" s="200"/>
      <c r="H69" s="200"/>
      <c r="M69" s="14" t="s">
        <v>12721</v>
      </c>
      <c r="N69" s="596" t="str">
        <f t="shared" si="9"/>
        <v>https://house.texas.gov/members/member-page/email/?district=66</v>
      </c>
      <c r="P69" s="14">
        <v>2014.0</v>
      </c>
      <c r="Q69" s="14">
        <v>2020.0</v>
      </c>
      <c r="S69" s="14" t="s">
        <v>12722</v>
      </c>
      <c r="U69" s="14" t="s">
        <v>12723</v>
      </c>
      <c r="V69" t="str">
        <f t="shared" si="10"/>
        <v/>
      </c>
      <c r="W69" s="139" t="str">
        <f t="shared" si="3"/>
        <v/>
      </c>
      <c r="X69" t="str">
        <f t="shared" si="4"/>
        <v/>
      </c>
      <c r="Y69" t="str">
        <f t="shared" si="5"/>
        <v/>
      </c>
      <c r="Z69" t="str">
        <f t="shared" si="6"/>
        <v/>
      </c>
    </row>
    <row r="70">
      <c r="A70" s="14" t="s">
        <v>44</v>
      </c>
      <c r="B70" s="35">
        <v>67.0</v>
      </c>
      <c r="C70" s="35" t="s">
        <v>683</v>
      </c>
      <c r="D70" s="35" t="s">
        <v>1226</v>
      </c>
      <c r="E70" s="51" t="s">
        <v>53</v>
      </c>
      <c r="F70" s="200"/>
      <c r="G70" s="200"/>
      <c r="H70" s="399" t="s">
        <v>12725</v>
      </c>
      <c r="M70" s="14" t="s">
        <v>12726</v>
      </c>
      <c r="P70" s="14">
        <v>2012.0</v>
      </c>
      <c r="Q70" s="14">
        <v>2020.0</v>
      </c>
      <c r="S70" s="14" t="s">
        <v>12722</v>
      </c>
      <c r="U70" s="14" t="s">
        <v>12399</v>
      </c>
      <c r="V70" t="str">
        <f t="shared" si="10"/>
        <v/>
      </c>
      <c r="W70" s="139" t="str">
        <f t="shared" si="3"/>
        <v/>
      </c>
      <c r="X70" t="str">
        <f t="shared" si="4"/>
        <v/>
      </c>
      <c r="Y70" t="str">
        <f t="shared" si="5"/>
        <v/>
      </c>
      <c r="Z70" t="str">
        <f t="shared" si="6"/>
        <v/>
      </c>
    </row>
    <row r="71">
      <c r="A71" s="14" t="s">
        <v>44</v>
      </c>
      <c r="B71" s="35">
        <v>68.0</v>
      </c>
      <c r="C71" s="35" t="s">
        <v>4759</v>
      </c>
      <c r="D71" s="38" t="s">
        <v>12729</v>
      </c>
      <c r="E71" s="51" t="s">
        <v>53</v>
      </c>
      <c r="F71" s="200"/>
      <c r="G71" s="200"/>
      <c r="H71" s="399"/>
      <c r="M71" s="14" t="s">
        <v>12730</v>
      </c>
      <c r="N71" s="596" t="str">
        <f t="shared" ref="N71:N153" si="11">Concatenate("https://house.texas.gov/members/member-page/email/?district=",B71)</f>
        <v>https://house.texas.gov/members/member-page/email/?district=68</v>
      </c>
      <c r="P71" s="14">
        <v>2012.0</v>
      </c>
      <c r="Q71" s="14">
        <v>2020.0</v>
      </c>
      <c r="S71" s="14" t="s">
        <v>12731</v>
      </c>
      <c r="U71" s="14" t="s">
        <v>12732</v>
      </c>
      <c r="V71" t="str">
        <f t="shared" si="10"/>
        <v/>
      </c>
      <c r="W71" s="139" t="str">
        <f t="shared" si="3"/>
        <v/>
      </c>
      <c r="X71" t="str">
        <f t="shared" si="4"/>
        <v/>
      </c>
      <c r="Y71" t="str">
        <f t="shared" si="5"/>
        <v/>
      </c>
      <c r="Z71" t="str">
        <f t="shared" si="6"/>
        <v/>
      </c>
    </row>
    <row r="72">
      <c r="A72" s="14" t="s">
        <v>44</v>
      </c>
      <c r="B72" s="35">
        <v>69.0</v>
      </c>
      <c r="C72" s="35" t="s">
        <v>930</v>
      </c>
      <c r="D72" s="35" t="s">
        <v>1000</v>
      </c>
      <c r="E72" s="51" t="s">
        <v>53</v>
      </c>
      <c r="F72" s="200"/>
      <c r="G72" s="200"/>
      <c r="H72" s="399" t="s">
        <v>12734</v>
      </c>
      <c r="M72" s="14" t="s">
        <v>12735</v>
      </c>
      <c r="N72" s="596" t="str">
        <f t="shared" si="11"/>
        <v>https://house.texas.gov/members/member-page/email/?district=69</v>
      </c>
      <c r="P72" s="14">
        <v>2012.0</v>
      </c>
      <c r="Q72" s="14">
        <v>2020.0</v>
      </c>
      <c r="S72" s="14" t="s">
        <v>12736</v>
      </c>
      <c r="U72" s="14" t="s">
        <v>12737</v>
      </c>
      <c r="V72" t="str">
        <f t="shared" si="10"/>
        <v/>
      </c>
      <c r="W72" s="139" t="str">
        <f t="shared" si="3"/>
        <v/>
      </c>
      <c r="X72" t="str">
        <f t="shared" si="4"/>
        <v/>
      </c>
      <c r="Y72" t="str">
        <f t="shared" si="5"/>
        <v/>
      </c>
      <c r="Z72" t="str">
        <f t="shared" si="6"/>
        <v/>
      </c>
    </row>
    <row r="73">
      <c r="A73" s="14" t="s">
        <v>44</v>
      </c>
      <c r="B73" s="35">
        <v>70.0</v>
      </c>
      <c r="C73" s="35" t="s">
        <v>45</v>
      </c>
      <c r="D73" s="35" t="s">
        <v>4757</v>
      </c>
      <c r="E73" s="51" t="s">
        <v>53</v>
      </c>
      <c r="F73" s="200"/>
      <c r="G73" s="200"/>
      <c r="H73" s="200"/>
      <c r="M73" s="14" t="s">
        <v>12738</v>
      </c>
      <c r="N73" s="596" t="str">
        <f t="shared" si="11"/>
        <v>https://house.texas.gov/members/member-page/email/?district=70</v>
      </c>
      <c r="P73" s="14">
        <v>2012.0</v>
      </c>
      <c r="Q73" s="14">
        <v>2020.0</v>
      </c>
      <c r="S73" s="14" t="s">
        <v>12722</v>
      </c>
      <c r="U73" s="14" t="s">
        <v>12289</v>
      </c>
      <c r="V73" t="str">
        <f t="shared" si="10"/>
        <v/>
      </c>
      <c r="W73" s="139" t="str">
        <f t="shared" si="3"/>
        <v/>
      </c>
      <c r="X73" t="str">
        <f t="shared" si="4"/>
        <v/>
      </c>
      <c r="Y73" t="str">
        <f t="shared" si="5"/>
        <v/>
      </c>
      <c r="Z73" t="str">
        <f t="shared" si="6"/>
        <v/>
      </c>
    </row>
    <row r="74">
      <c r="A74" s="14" t="s">
        <v>44</v>
      </c>
      <c r="B74" s="35">
        <v>71.0</v>
      </c>
      <c r="C74" s="35" t="s">
        <v>1513</v>
      </c>
      <c r="D74" s="35" t="s">
        <v>6671</v>
      </c>
      <c r="E74" s="51" t="s">
        <v>53</v>
      </c>
      <c r="F74" s="200"/>
      <c r="G74" s="200"/>
      <c r="H74" s="200"/>
      <c r="M74" s="14" t="s">
        <v>12740</v>
      </c>
      <c r="N74" s="596" t="str">
        <f t="shared" si="11"/>
        <v>https://house.texas.gov/members/member-page/email/?district=71</v>
      </c>
      <c r="P74" s="14">
        <v>2016.0</v>
      </c>
      <c r="Q74" s="14">
        <v>2020.0</v>
      </c>
      <c r="S74" s="14" t="s">
        <v>12741</v>
      </c>
      <c r="U74" s="14" t="s">
        <v>12339</v>
      </c>
      <c r="V74" t="str">
        <f t="shared" si="10"/>
        <v/>
      </c>
      <c r="W74" s="139" t="str">
        <f t="shared" si="3"/>
        <v/>
      </c>
      <c r="X74" t="str">
        <f t="shared" si="4"/>
        <v/>
      </c>
      <c r="Y74" t="str">
        <f t="shared" si="5"/>
        <v/>
      </c>
      <c r="Z74" t="str">
        <f t="shared" si="6"/>
        <v/>
      </c>
    </row>
    <row r="75">
      <c r="A75" s="14" t="s">
        <v>44</v>
      </c>
      <c r="B75" s="35">
        <v>72.0</v>
      </c>
      <c r="C75" s="35" t="s">
        <v>4759</v>
      </c>
      <c r="D75" s="35" t="s">
        <v>12746</v>
      </c>
      <c r="E75" s="51" t="s">
        <v>53</v>
      </c>
      <c r="F75" s="200"/>
      <c r="G75" s="200"/>
      <c r="H75" s="200"/>
      <c r="M75" s="14" t="s">
        <v>12747</v>
      </c>
      <c r="N75" s="596" t="str">
        <f t="shared" si="11"/>
        <v>https://house.texas.gov/members/member-page/email/?district=72</v>
      </c>
      <c r="P75" s="14">
        <v>2006.0</v>
      </c>
      <c r="Q75" s="14">
        <v>2020.0</v>
      </c>
      <c r="S75" s="14" t="s">
        <v>12749</v>
      </c>
      <c r="U75" s="14" t="s">
        <v>12750</v>
      </c>
      <c r="V75" t="str">
        <f t="shared" si="10"/>
        <v/>
      </c>
      <c r="W75" s="139" t="str">
        <f t="shared" si="3"/>
        <v/>
      </c>
      <c r="X75" t="str">
        <f t="shared" si="4"/>
        <v/>
      </c>
      <c r="Y75" t="str">
        <f t="shared" si="5"/>
        <v/>
      </c>
      <c r="Z75" t="str">
        <f t="shared" si="6"/>
        <v/>
      </c>
    </row>
    <row r="76">
      <c r="A76" s="14" t="s">
        <v>44</v>
      </c>
      <c r="B76" s="35">
        <v>73.0</v>
      </c>
      <c r="C76" s="35" t="s">
        <v>257</v>
      </c>
      <c r="D76" s="35" t="s">
        <v>12754</v>
      </c>
      <c r="E76" s="51" t="s">
        <v>53</v>
      </c>
      <c r="F76" s="200"/>
      <c r="G76" s="200"/>
      <c r="H76" s="399"/>
      <c r="M76" s="14" t="s">
        <v>12755</v>
      </c>
      <c r="N76" s="596" t="str">
        <f t="shared" si="11"/>
        <v>https://house.texas.gov/members/member-page/email/?district=73</v>
      </c>
      <c r="P76" s="14">
        <v>2016.0</v>
      </c>
      <c r="Q76" s="14">
        <v>2020.0</v>
      </c>
      <c r="S76" s="14" t="s">
        <v>12756</v>
      </c>
      <c r="U76" s="14" t="s">
        <v>12757</v>
      </c>
      <c r="V76" t="str">
        <f t="shared" si="10"/>
        <v/>
      </c>
      <c r="W76" s="139" t="str">
        <f t="shared" si="3"/>
        <v/>
      </c>
      <c r="X76" t="str">
        <f t="shared" si="4"/>
        <v/>
      </c>
      <c r="Y76" t="str">
        <f t="shared" si="5"/>
        <v/>
      </c>
      <c r="Z76" t="str">
        <f t="shared" si="6"/>
        <v/>
      </c>
    </row>
    <row r="77">
      <c r="A77" s="14" t="s">
        <v>44</v>
      </c>
      <c r="B77" s="35">
        <v>74.0</v>
      </c>
      <c r="C77" s="35" t="s">
        <v>12760</v>
      </c>
      <c r="D77" s="35" t="s">
        <v>12761</v>
      </c>
      <c r="E77" s="36" t="s">
        <v>49</v>
      </c>
      <c r="F77" s="200"/>
      <c r="G77" s="200"/>
      <c r="H77" s="399" t="s">
        <v>12762</v>
      </c>
      <c r="M77" s="14" t="s">
        <v>12763</v>
      </c>
      <c r="N77" s="596" t="str">
        <f t="shared" si="11"/>
        <v>https://house.texas.gov/members/member-page/email/?district=74</v>
      </c>
      <c r="P77" s="14">
        <v>2012.0</v>
      </c>
      <c r="Q77" s="14">
        <v>2020.0</v>
      </c>
      <c r="S77" s="14" t="s">
        <v>12765</v>
      </c>
      <c r="V77" t="str">
        <f t="shared" si="10"/>
        <v/>
      </c>
      <c r="W77" s="139" t="str">
        <f t="shared" si="3"/>
        <v/>
      </c>
      <c r="X77" t="str">
        <f t="shared" si="4"/>
        <v/>
      </c>
      <c r="Y77" t="str">
        <f t="shared" si="5"/>
        <v/>
      </c>
      <c r="Z77" t="str">
        <f t="shared" si="6"/>
        <v/>
      </c>
    </row>
    <row r="78">
      <c r="A78" s="14" t="s">
        <v>44</v>
      </c>
      <c r="B78" s="74">
        <v>75.0</v>
      </c>
      <c r="C78" s="35" t="s">
        <v>514</v>
      </c>
      <c r="D78" s="35" t="s">
        <v>12766</v>
      </c>
      <c r="E78" s="36" t="s">
        <v>49</v>
      </c>
      <c r="F78" s="200"/>
      <c r="G78" s="200"/>
      <c r="H78" s="399" t="s">
        <v>12767</v>
      </c>
      <c r="L78" s="14" t="s">
        <v>12768</v>
      </c>
      <c r="M78" s="14" t="s">
        <v>12769</v>
      </c>
      <c r="N78" s="596" t="str">
        <f t="shared" si="11"/>
        <v>https://house.texas.gov/members/member-page/email/?district=75</v>
      </c>
      <c r="P78" s="14">
        <v>2012.0</v>
      </c>
      <c r="Q78" s="14">
        <v>2020.0</v>
      </c>
      <c r="S78" s="14" t="s">
        <v>12770</v>
      </c>
      <c r="U78" s="14" t="s">
        <v>12771</v>
      </c>
      <c r="V78" t="str">
        <f t="shared" si="10"/>
        <v/>
      </c>
      <c r="W78" s="139" t="str">
        <f t="shared" si="3"/>
        <v/>
      </c>
      <c r="X78" t="str">
        <f t="shared" si="4"/>
        <v/>
      </c>
      <c r="Y78" t="str">
        <f t="shared" si="5"/>
        <v/>
      </c>
      <c r="Z78" t="str">
        <f t="shared" si="6"/>
        <v/>
      </c>
    </row>
    <row r="79" ht="15.75" customHeight="1">
      <c r="A79" s="14" t="s">
        <v>44</v>
      </c>
      <c r="B79" s="74">
        <v>76.0</v>
      </c>
      <c r="C79" s="35" t="s">
        <v>1122</v>
      </c>
      <c r="D79" s="35" t="s">
        <v>12773</v>
      </c>
      <c r="E79" s="36" t="s">
        <v>49</v>
      </c>
      <c r="F79" s="200"/>
      <c r="G79" s="200"/>
      <c r="H79" s="200"/>
      <c r="L79" s="14" t="s">
        <v>12774</v>
      </c>
      <c r="M79" s="14" t="s">
        <v>12775</v>
      </c>
      <c r="N79" s="596" t="str">
        <f t="shared" si="11"/>
        <v>https://house.texas.gov/members/member-page/email/?district=76</v>
      </c>
      <c r="P79" s="14">
        <v>2014.0</v>
      </c>
      <c r="Q79" s="14">
        <v>2020.0</v>
      </c>
      <c r="S79" s="14" t="s">
        <v>12770</v>
      </c>
      <c r="U79" s="14" t="s">
        <v>12776</v>
      </c>
      <c r="V79" t="str">
        <f t="shared" si="10"/>
        <v/>
      </c>
      <c r="W79" s="139" t="str">
        <f t="shared" si="3"/>
        <v/>
      </c>
      <c r="X79" t="str">
        <f t="shared" si="4"/>
        <v/>
      </c>
      <c r="Y79" t="str">
        <f t="shared" si="5"/>
        <v/>
      </c>
      <c r="Z79" t="str">
        <f t="shared" si="6"/>
        <v/>
      </c>
    </row>
    <row r="80">
      <c r="A80" s="14" t="s">
        <v>44</v>
      </c>
      <c r="B80" s="74">
        <v>77.0</v>
      </c>
      <c r="C80" s="35" t="s">
        <v>12778</v>
      </c>
      <c r="D80" s="35" t="s">
        <v>10732</v>
      </c>
      <c r="E80" s="36" t="s">
        <v>49</v>
      </c>
      <c r="F80" s="200"/>
      <c r="G80" s="200"/>
      <c r="H80" s="399" t="s">
        <v>12781</v>
      </c>
      <c r="M80" s="14" t="s">
        <v>12782</v>
      </c>
      <c r="N80" s="596" t="str">
        <f t="shared" si="11"/>
        <v>https://house.texas.gov/members/member-page/email/?district=77</v>
      </c>
      <c r="P80" s="14">
        <v>2016.0</v>
      </c>
      <c r="Q80" s="14">
        <v>2020.0</v>
      </c>
      <c r="S80" s="14" t="s">
        <v>12770</v>
      </c>
      <c r="U80" s="14" t="s">
        <v>12783</v>
      </c>
      <c r="V80" t="str">
        <f t="shared" si="10"/>
        <v/>
      </c>
      <c r="W80" s="139" t="str">
        <f t="shared" si="3"/>
        <v/>
      </c>
      <c r="X80" t="str">
        <f t="shared" si="4"/>
        <v/>
      </c>
      <c r="Y80" t="str">
        <f t="shared" si="5"/>
        <v/>
      </c>
      <c r="Z80" t="str">
        <f t="shared" si="6"/>
        <v/>
      </c>
    </row>
    <row r="81">
      <c r="A81" s="14" t="s">
        <v>44</v>
      </c>
      <c r="B81" s="74">
        <v>78.0</v>
      </c>
      <c r="C81" s="35" t="s">
        <v>622</v>
      </c>
      <c r="D81" s="35" t="s">
        <v>3416</v>
      </c>
      <c r="E81" s="36" t="s">
        <v>49</v>
      </c>
      <c r="F81" s="200"/>
      <c r="G81" s="200"/>
      <c r="H81" s="399"/>
      <c r="M81" s="14" t="s">
        <v>12785</v>
      </c>
      <c r="N81" s="596" t="str">
        <f t="shared" si="11"/>
        <v>https://house.texas.gov/members/member-page/email/?district=78</v>
      </c>
      <c r="P81" s="14">
        <v>2012.0</v>
      </c>
      <c r="Q81" s="14">
        <v>2020.0</v>
      </c>
      <c r="S81" s="14" t="s">
        <v>12770</v>
      </c>
      <c r="U81" s="14" t="s">
        <v>12783</v>
      </c>
      <c r="W81" s="139" t="str">
        <f t="shared" si="3"/>
        <v/>
      </c>
      <c r="X81" t="str">
        <f t="shared" si="4"/>
        <v/>
      </c>
      <c r="Y81" t="str">
        <f t="shared" si="5"/>
        <v/>
      </c>
      <c r="Z81" t="str">
        <f t="shared" si="6"/>
        <v/>
      </c>
    </row>
    <row r="82">
      <c r="A82" s="14" t="s">
        <v>44</v>
      </c>
      <c r="B82" s="74">
        <v>79.0</v>
      </c>
      <c r="C82" s="35" t="s">
        <v>622</v>
      </c>
      <c r="D82" s="35" t="s">
        <v>6776</v>
      </c>
      <c r="E82" s="36" t="s">
        <v>49</v>
      </c>
      <c r="F82" s="399"/>
      <c r="G82" s="399" t="s">
        <v>12786</v>
      </c>
      <c r="H82" s="200"/>
      <c r="M82" s="14" t="s">
        <v>12787</v>
      </c>
      <c r="N82" s="596" t="str">
        <f t="shared" si="11"/>
        <v>https://house.texas.gov/members/member-page/email/?district=79</v>
      </c>
      <c r="S82" s="14" t="s">
        <v>12770</v>
      </c>
      <c r="V82" t="str">
        <f>if(W82="","",if(#REF!="House","Representative","Senator"))</f>
        <v>#REF!</v>
      </c>
      <c r="W82" s="139" t="str">
        <f t="shared" si="3"/>
        <v>Joe</v>
      </c>
      <c r="X82" t="str">
        <f t="shared" si="4"/>
        <v>Pickett</v>
      </c>
      <c r="Y82" s="596" t="str">
        <f t="shared" si="5"/>
        <v>https://house.texas.gov/members/member-page/email/?district=79</v>
      </c>
      <c r="Z82" t="str">
        <f t="shared" si="6"/>
        <v>stepped down Jan 4 due to health issues, relection jan 29, early voting jan 14</v>
      </c>
    </row>
    <row r="83">
      <c r="A83" s="14" t="s">
        <v>44</v>
      </c>
      <c r="B83" s="74">
        <v>80.0</v>
      </c>
      <c r="C83" s="35" t="s">
        <v>273</v>
      </c>
      <c r="D83" s="35" t="s">
        <v>5219</v>
      </c>
      <c r="E83" s="36" t="s">
        <v>49</v>
      </c>
      <c r="F83" s="200"/>
      <c r="G83" s="200"/>
      <c r="H83" s="200"/>
      <c r="M83" s="14" t="s">
        <v>12792</v>
      </c>
      <c r="N83" s="596" t="str">
        <f t="shared" si="11"/>
        <v>https://house.texas.gov/members/member-page/email/?district=80</v>
      </c>
      <c r="P83" s="14">
        <v>1994.0</v>
      </c>
      <c r="Q83" s="14">
        <v>2020.0</v>
      </c>
      <c r="S83" s="14" t="s">
        <v>12793</v>
      </c>
      <c r="U83" s="14" t="s">
        <v>12794</v>
      </c>
      <c r="V83" t="str">
        <f t="shared" ref="V83:V86" si="12">if(W83="","",if(A83="House","Representative","Senator"))</f>
        <v/>
      </c>
      <c r="W83" s="139" t="str">
        <f t="shared" si="3"/>
        <v/>
      </c>
      <c r="X83" t="str">
        <f t="shared" si="4"/>
        <v/>
      </c>
      <c r="Y83" t="str">
        <f t="shared" si="5"/>
        <v/>
      </c>
      <c r="Z83" t="str">
        <f t="shared" si="6"/>
        <v/>
      </c>
    </row>
    <row r="84">
      <c r="A84" s="14" t="s">
        <v>44</v>
      </c>
      <c r="B84" s="74">
        <v>81.0</v>
      </c>
      <c r="C84" s="35" t="s">
        <v>1141</v>
      </c>
      <c r="D84" s="35" t="s">
        <v>1774</v>
      </c>
      <c r="E84" s="51" t="s">
        <v>53</v>
      </c>
      <c r="F84" s="200"/>
      <c r="G84" s="200"/>
      <c r="H84" s="200"/>
      <c r="M84" s="14" t="s">
        <v>12799</v>
      </c>
      <c r="N84" s="596" t="str">
        <f t="shared" si="11"/>
        <v>https://house.texas.gov/members/member-page/email/?district=81</v>
      </c>
      <c r="P84" s="14">
        <v>2014.0</v>
      </c>
      <c r="Q84" s="14">
        <v>2020.0</v>
      </c>
      <c r="S84" s="14" t="s">
        <v>12800</v>
      </c>
      <c r="U84" s="14" t="s">
        <v>12801</v>
      </c>
      <c r="V84" t="str">
        <f t="shared" si="12"/>
        <v/>
      </c>
      <c r="W84" s="139" t="str">
        <f t="shared" si="3"/>
        <v/>
      </c>
      <c r="X84" t="str">
        <f t="shared" si="4"/>
        <v/>
      </c>
      <c r="Y84" t="str">
        <f t="shared" si="5"/>
        <v/>
      </c>
      <c r="Z84" t="str">
        <f t="shared" si="6"/>
        <v/>
      </c>
    </row>
    <row r="85">
      <c r="A85" s="14" t="s">
        <v>44</v>
      </c>
      <c r="B85" s="74">
        <v>82.0</v>
      </c>
      <c r="C85" s="35" t="s">
        <v>338</v>
      </c>
      <c r="D85" s="38" t="s">
        <v>12804</v>
      </c>
      <c r="E85" s="51" t="s">
        <v>53</v>
      </c>
      <c r="F85" s="399"/>
      <c r="G85" s="399" t="s">
        <v>12805</v>
      </c>
      <c r="H85" s="399"/>
      <c r="L85" s="14" t="s">
        <v>12806</v>
      </c>
      <c r="M85" s="14" t="s">
        <v>12807</v>
      </c>
      <c r="N85" s="596" t="str">
        <f t="shared" si="11"/>
        <v>https://house.texas.gov/members/member-page/email/?district=82</v>
      </c>
      <c r="P85" s="14">
        <v>1968.0</v>
      </c>
      <c r="Q85" s="14">
        <v>2020.0</v>
      </c>
      <c r="S85" s="14" t="s">
        <v>12808</v>
      </c>
      <c r="U85" s="14" t="s">
        <v>12428</v>
      </c>
      <c r="V85" t="str">
        <f t="shared" si="12"/>
        <v>Representative</v>
      </c>
      <c r="W85" s="139" t="str">
        <f t="shared" si="3"/>
        <v>Tom</v>
      </c>
      <c r="X85" t="str">
        <f t="shared" si="4"/>
        <v>Craddick</v>
      </c>
      <c r="Y85" s="596" t="str">
        <f t="shared" si="5"/>
        <v>https://house.texas.gov/members/member-page/email/?district=82</v>
      </c>
      <c r="Z85" t="str">
        <f t="shared" si="6"/>
        <v>Dean of Texas House of Reps</v>
      </c>
    </row>
    <row r="86">
      <c r="A86" s="14" t="s">
        <v>44</v>
      </c>
      <c r="B86" s="74">
        <v>83.0</v>
      </c>
      <c r="C86" s="35" t="s">
        <v>5389</v>
      </c>
      <c r="D86" s="35" t="s">
        <v>12812</v>
      </c>
      <c r="E86" s="51" t="s">
        <v>53</v>
      </c>
      <c r="F86" s="200"/>
      <c r="G86" s="200"/>
      <c r="H86" s="200"/>
      <c r="M86" s="14" t="s">
        <v>12813</v>
      </c>
      <c r="N86" s="596" t="str">
        <f t="shared" si="11"/>
        <v>https://house.texas.gov/members/member-page/email/?district=83</v>
      </c>
      <c r="P86" s="14">
        <v>2014.0</v>
      </c>
      <c r="Q86" s="14">
        <v>2020.0</v>
      </c>
      <c r="S86" s="14" t="s">
        <v>12814</v>
      </c>
      <c r="U86" s="14" t="s">
        <v>12815</v>
      </c>
      <c r="V86" t="str">
        <f t="shared" si="12"/>
        <v/>
      </c>
      <c r="W86" s="139" t="str">
        <f t="shared" si="3"/>
        <v/>
      </c>
      <c r="X86" t="str">
        <f t="shared" si="4"/>
        <v/>
      </c>
      <c r="Y86" t="str">
        <f t="shared" si="5"/>
        <v/>
      </c>
      <c r="Z86" t="str">
        <f t="shared" si="6"/>
        <v/>
      </c>
    </row>
    <row r="87">
      <c r="B87" s="74">
        <v>84.0</v>
      </c>
      <c r="C87" s="35" t="s">
        <v>278</v>
      </c>
      <c r="D87" s="35" t="s">
        <v>12818</v>
      </c>
      <c r="E87" s="51" t="s">
        <v>53</v>
      </c>
      <c r="F87" s="200"/>
      <c r="G87" s="200"/>
      <c r="H87" s="200"/>
      <c r="L87" s="731" t="s">
        <v>12819</v>
      </c>
      <c r="M87" s="14" t="s">
        <v>12820</v>
      </c>
      <c r="N87" s="596" t="str">
        <f t="shared" si="11"/>
        <v>https://house.texas.gov/members/member-page/email/?district=84</v>
      </c>
      <c r="P87" s="14">
        <v>2010.0</v>
      </c>
      <c r="Q87" s="14">
        <v>2020.0</v>
      </c>
      <c r="S87" s="14" t="s">
        <v>12821</v>
      </c>
      <c r="U87" s="728" t="s">
        <v>12757</v>
      </c>
      <c r="V87" t="str">
        <f>if(W87="","",if(A82="House","Representative","Senator"))</f>
        <v/>
      </c>
      <c r="W87" s="139" t="str">
        <f t="shared" si="3"/>
        <v/>
      </c>
      <c r="X87" t="str">
        <f t="shared" si="4"/>
        <v/>
      </c>
      <c r="Y87" t="str">
        <f t="shared" si="5"/>
        <v/>
      </c>
      <c r="Z87" t="str">
        <f t="shared" si="6"/>
        <v/>
      </c>
    </row>
    <row r="88">
      <c r="A88" s="14" t="s">
        <v>44</v>
      </c>
      <c r="B88" s="74">
        <v>85.0</v>
      </c>
      <c r="C88" s="35" t="s">
        <v>1483</v>
      </c>
      <c r="D88" s="35" t="s">
        <v>3658</v>
      </c>
      <c r="E88" s="51" t="s">
        <v>53</v>
      </c>
      <c r="F88" s="200"/>
      <c r="G88" s="200"/>
      <c r="H88" s="200"/>
      <c r="M88" s="14" t="s">
        <v>12823</v>
      </c>
      <c r="N88" s="596" t="str">
        <f t="shared" si="11"/>
        <v>https://house.texas.gov/members/member-page/email/?district=85</v>
      </c>
      <c r="P88" s="14">
        <v>2012.0</v>
      </c>
      <c r="Q88" s="14">
        <v>2020.0</v>
      </c>
      <c r="S88" s="14" t="s">
        <v>12824</v>
      </c>
      <c r="U88" s="14" t="s">
        <v>12783</v>
      </c>
      <c r="V88" t="str">
        <f t="shared" ref="V88:V153" si="13">if(W88="","",if(A88="House","Representative","Senator"))</f>
        <v/>
      </c>
      <c r="W88" s="139" t="str">
        <f t="shared" si="3"/>
        <v/>
      </c>
      <c r="X88" t="str">
        <f t="shared" si="4"/>
        <v/>
      </c>
      <c r="Y88" t="str">
        <f t="shared" si="5"/>
        <v/>
      </c>
      <c r="Z88" t="str">
        <f t="shared" si="6"/>
        <v/>
      </c>
    </row>
    <row r="89">
      <c r="A89" s="14" t="s">
        <v>44</v>
      </c>
      <c r="B89" s="74">
        <v>86.0</v>
      </c>
      <c r="C89" s="35" t="s">
        <v>278</v>
      </c>
      <c r="D89" s="38" t="s">
        <v>12829</v>
      </c>
      <c r="E89" s="51" t="s">
        <v>53</v>
      </c>
      <c r="F89" s="200"/>
      <c r="G89" s="200"/>
      <c r="H89" s="399"/>
      <c r="M89" s="14" t="s">
        <v>12830</v>
      </c>
      <c r="N89" s="596" t="str">
        <f t="shared" si="11"/>
        <v>https://house.texas.gov/members/member-page/email/?district=86</v>
      </c>
      <c r="P89" s="14">
        <v>1984.0</v>
      </c>
      <c r="Q89" s="14">
        <v>2020.0</v>
      </c>
      <c r="S89" s="14" t="s">
        <v>12831</v>
      </c>
      <c r="U89" s="14" t="s">
        <v>12832</v>
      </c>
      <c r="V89" t="str">
        <f t="shared" si="13"/>
        <v/>
      </c>
      <c r="W89" s="139" t="str">
        <f t="shared" si="3"/>
        <v/>
      </c>
      <c r="X89" t="str">
        <f t="shared" si="4"/>
        <v/>
      </c>
      <c r="Y89" t="str">
        <f t="shared" si="5"/>
        <v/>
      </c>
      <c r="Z89" t="str">
        <f t="shared" si="6"/>
        <v/>
      </c>
    </row>
    <row r="90">
      <c r="A90" s="14" t="s">
        <v>44</v>
      </c>
      <c r="B90" s="74">
        <v>87.0</v>
      </c>
      <c r="C90" s="35" t="s">
        <v>12833</v>
      </c>
      <c r="D90" s="35" t="s">
        <v>906</v>
      </c>
      <c r="E90" s="51" t="s">
        <v>53</v>
      </c>
      <c r="F90" s="200"/>
      <c r="G90" s="200"/>
      <c r="H90" s="399" t="s">
        <v>12836</v>
      </c>
      <c r="M90" s="14" t="s">
        <v>12837</v>
      </c>
      <c r="N90" s="596" t="str">
        <f t="shared" si="11"/>
        <v>https://house.texas.gov/members/member-page/email/?district=87</v>
      </c>
      <c r="P90" s="14">
        <v>2010.0</v>
      </c>
      <c r="Q90" s="14">
        <v>2020.0</v>
      </c>
      <c r="S90" s="14" t="s">
        <v>12838</v>
      </c>
      <c r="U90" s="14" t="s">
        <v>12839</v>
      </c>
      <c r="V90" t="str">
        <f t="shared" si="13"/>
        <v/>
      </c>
      <c r="W90" s="139" t="str">
        <f t="shared" si="3"/>
        <v/>
      </c>
      <c r="X90" t="str">
        <f t="shared" si="4"/>
        <v/>
      </c>
      <c r="Y90" t="str">
        <f t="shared" si="5"/>
        <v/>
      </c>
      <c r="Z90" t="str">
        <f t="shared" si="6"/>
        <v/>
      </c>
    </row>
    <row r="91">
      <c r="A91" s="14" t="s">
        <v>44</v>
      </c>
      <c r="B91" s="74">
        <v>88.0</v>
      </c>
      <c r="C91" s="35" t="s">
        <v>1049</v>
      </c>
      <c r="D91" s="35" t="s">
        <v>5219</v>
      </c>
      <c r="E91" s="51" t="s">
        <v>53</v>
      </c>
      <c r="F91" s="200"/>
      <c r="G91" s="200"/>
      <c r="H91" s="200"/>
      <c r="L91" s="14" t="s">
        <v>12841</v>
      </c>
      <c r="M91" s="14" t="s">
        <v>12842</v>
      </c>
      <c r="N91" s="596" t="str">
        <f t="shared" si="11"/>
        <v>https://house.texas.gov/members/member-page/email/?district=88</v>
      </c>
      <c r="P91" s="14">
        <v>2012.0</v>
      </c>
      <c r="Q91" s="14">
        <v>2020.0</v>
      </c>
      <c r="S91" s="14" t="s">
        <v>12843</v>
      </c>
      <c r="U91" s="14" t="s">
        <v>12844</v>
      </c>
      <c r="V91" t="str">
        <f t="shared" si="13"/>
        <v/>
      </c>
      <c r="W91" s="139" t="str">
        <f t="shared" si="3"/>
        <v/>
      </c>
      <c r="X91" t="str">
        <f t="shared" si="4"/>
        <v/>
      </c>
      <c r="Y91" t="str">
        <f t="shared" si="5"/>
        <v/>
      </c>
      <c r="Z91" t="str">
        <f t="shared" si="6"/>
        <v/>
      </c>
    </row>
    <row r="92" ht="14.25" customHeight="1">
      <c r="A92" s="14" t="s">
        <v>44</v>
      </c>
      <c r="B92" s="74">
        <v>89.0</v>
      </c>
      <c r="C92" s="38" t="s">
        <v>9724</v>
      </c>
      <c r="D92" s="38" t="s">
        <v>10847</v>
      </c>
      <c r="E92" s="51" t="s">
        <v>53</v>
      </c>
      <c r="F92" s="200"/>
      <c r="G92" s="200"/>
      <c r="H92" s="399" t="s">
        <v>12846</v>
      </c>
      <c r="M92" s="14" t="s">
        <v>12847</v>
      </c>
      <c r="N92" s="596" t="str">
        <f t="shared" si="11"/>
        <v>https://house.texas.gov/members/member-page/email/?district=89</v>
      </c>
      <c r="P92" s="14">
        <v>2018.0</v>
      </c>
      <c r="Q92" s="14">
        <v>2020.0</v>
      </c>
      <c r="S92" s="14" t="s">
        <v>12722</v>
      </c>
      <c r="T92" s="14" t="s">
        <v>12281</v>
      </c>
      <c r="U92" s="14" t="s">
        <v>12848</v>
      </c>
      <c r="V92" t="str">
        <f t="shared" si="13"/>
        <v/>
      </c>
      <c r="W92" s="139" t="str">
        <f t="shared" si="3"/>
        <v/>
      </c>
      <c r="X92" t="str">
        <f t="shared" si="4"/>
        <v/>
      </c>
      <c r="Y92" t="str">
        <f t="shared" si="5"/>
        <v/>
      </c>
      <c r="Z92" t="str">
        <f t="shared" si="6"/>
        <v/>
      </c>
    </row>
    <row r="93" ht="15.0" customHeight="1">
      <c r="A93" s="14" t="s">
        <v>44</v>
      </c>
      <c r="B93" s="74">
        <v>90.0</v>
      </c>
      <c r="C93" s="35" t="s">
        <v>2819</v>
      </c>
      <c r="D93" s="38" t="s">
        <v>12850</v>
      </c>
      <c r="E93" s="36" t="s">
        <v>49</v>
      </c>
      <c r="F93" s="200"/>
      <c r="G93" s="200"/>
      <c r="H93" s="200"/>
      <c r="M93" s="14" t="s">
        <v>12851</v>
      </c>
      <c r="N93" s="596" t="str">
        <f t="shared" si="11"/>
        <v>https://house.texas.gov/members/member-page/email/?district=90</v>
      </c>
      <c r="P93" s="14">
        <v>2014.0</v>
      </c>
      <c r="Q93" s="14">
        <v>2020.0</v>
      </c>
      <c r="S93" s="14" t="s">
        <v>12852</v>
      </c>
      <c r="T93" s="14" t="s">
        <v>12281</v>
      </c>
      <c r="U93" s="14" t="s">
        <v>12853</v>
      </c>
      <c r="V93" t="str">
        <f t="shared" si="13"/>
        <v/>
      </c>
      <c r="W93" s="139" t="str">
        <f t="shared" si="3"/>
        <v/>
      </c>
      <c r="X93" t="str">
        <f t="shared" si="4"/>
        <v/>
      </c>
      <c r="Y93" t="str">
        <f t="shared" si="5"/>
        <v/>
      </c>
      <c r="Z93" t="str">
        <f t="shared" si="6"/>
        <v/>
      </c>
    </row>
    <row r="94" ht="15.75" customHeight="1">
      <c r="A94" s="14" t="s">
        <v>44</v>
      </c>
      <c r="B94" s="74">
        <v>91.0</v>
      </c>
      <c r="C94" s="35" t="s">
        <v>2254</v>
      </c>
      <c r="D94" s="35" t="s">
        <v>12855</v>
      </c>
      <c r="E94" s="51" t="s">
        <v>53</v>
      </c>
      <c r="F94" s="200"/>
      <c r="G94" s="200"/>
      <c r="H94" s="399"/>
      <c r="M94" s="14" t="s">
        <v>12856</v>
      </c>
      <c r="N94" s="596" t="str">
        <f t="shared" si="11"/>
        <v>https://house.texas.gov/members/member-page/email/?district=91</v>
      </c>
      <c r="P94" s="14">
        <v>2012.0</v>
      </c>
      <c r="Q94" s="14">
        <v>2020.0</v>
      </c>
      <c r="S94" s="14" t="s">
        <v>12852</v>
      </c>
      <c r="T94" s="14" t="s">
        <v>12281</v>
      </c>
      <c r="U94" s="14" t="s">
        <v>12858</v>
      </c>
      <c r="V94" t="str">
        <f t="shared" si="13"/>
        <v/>
      </c>
      <c r="W94" s="139" t="str">
        <f t="shared" si="3"/>
        <v/>
      </c>
      <c r="X94" t="str">
        <f t="shared" si="4"/>
        <v/>
      </c>
      <c r="Y94" t="str">
        <f t="shared" si="5"/>
        <v/>
      </c>
      <c r="Z94" t="str">
        <f t="shared" si="6"/>
        <v/>
      </c>
    </row>
    <row r="95" ht="15.0" customHeight="1">
      <c r="A95" s="14" t="s">
        <v>44</v>
      </c>
      <c r="B95" s="74">
        <v>92.0</v>
      </c>
      <c r="C95" s="35" t="s">
        <v>235</v>
      </c>
      <c r="D95" s="35" t="s">
        <v>12864</v>
      </c>
      <c r="E95" s="51" t="s">
        <v>53</v>
      </c>
      <c r="F95" s="200"/>
      <c r="G95" s="200"/>
      <c r="H95" s="399"/>
      <c r="M95" s="14" t="s">
        <v>12865</v>
      </c>
      <c r="N95" s="596" t="str">
        <f t="shared" si="11"/>
        <v>https://house.texas.gov/members/member-page/email/?district=92</v>
      </c>
      <c r="P95" s="14">
        <v>2012.0</v>
      </c>
      <c r="Q95" s="14">
        <v>2020.0</v>
      </c>
      <c r="S95" s="14" t="s">
        <v>12852</v>
      </c>
      <c r="T95" s="14" t="s">
        <v>12281</v>
      </c>
      <c r="U95" s="14" t="s">
        <v>12866</v>
      </c>
      <c r="V95" t="str">
        <f t="shared" si="13"/>
        <v/>
      </c>
      <c r="W95" s="139" t="str">
        <f t="shared" si="3"/>
        <v/>
      </c>
      <c r="X95" t="str">
        <f t="shared" si="4"/>
        <v/>
      </c>
      <c r="Y95" t="str">
        <f t="shared" si="5"/>
        <v/>
      </c>
      <c r="Z95" t="str">
        <f t="shared" si="6"/>
        <v/>
      </c>
    </row>
    <row r="96" ht="15.75" customHeight="1">
      <c r="A96" s="14" t="s">
        <v>44</v>
      </c>
      <c r="B96" s="74">
        <v>93.0</v>
      </c>
      <c r="C96" s="35" t="s">
        <v>163</v>
      </c>
      <c r="D96" s="35" t="s">
        <v>12871</v>
      </c>
      <c r="E96" s="51" t="s">
        <v>53</v>
      </c>
      <c r="F96" s="200"/>
      <c r="G96" s="200"/>
      <c r="H96" s="399" t="s">
        <v>12872</v>
      </c>
      <c r="M96" s="14" t="s">
        <v>12873</v>
      </c>
      <c r="N96" s="596" t="str">
        <f t="shared" si="11"/>
        <v>https://house.texas.gov/members/member-page/email/?district=93</v>
      </c>
      <c r="P96" s="14">
        <v>2012.0</v>
      </c>
      <c r="Q96" s="14">
        <v>2020.0</v>
      </c>
      <c r="S96" s="14" t="s">
        <v>12852</v>
      </c>
      <c r="T96" s="14" t="s">
        <v>12281</v>
      </c>
      <c r="U96" s="14" t="s">
        <v>12877</v>
      </c>
      <c r="V96" t="str">
        <f t="shared" si="13"/>
        <v/>
      </c>
      <c r="W96" s="139" t="str">
        <f>if(AND(not(isblank($G96)),not(isnumber(search("minority",$G96)))),$C96,if(or(isnumber(search("Judiciary (Chair)",#REF!)),isnumber(search("Judiciary (Vice Chair)",#REF!))),$C96,""))</f>
        <v/>
      </c>
      <c r="X96" t="str">
        <f t="shared" si="4"/>
        <v/>
      </c>
      <c r="Y96" t="str">
        <f t="shared" si="5"/>
        <v/>
      </c>
      <c r="Z96" t="str">
        <f>if(Y96="","",if(isblank($G96),#REF!,$G96))</f>
        <v/>
      </c>
    </row>
    <row r="97" ht="15.75" customHeight="1">
      <c r="A97" s="14" t="s">
        <v>44</v>
      </c>
      <c r="B97" s="74">
        <v>94.0</v>
      </c>
      <c r="C97" s="35" t="s">
        <v>980</v>
      </c>
      <c r="D97" s="35" t="s">
        <v>12881</v>
      </c>
      <c r="E97" s="51" t="s">
        <v>53</v>
      </c>
      <c r="F97" s="200"/>
      <c r="G97" s="200"/>
      <c r="H97" s="14" t="s">
        <v>12882</v>
      </c>
      <c r="M97" s="14" t="s">
        <v>12883</v>
      </c>
      <c r="N97" s="596" t="str">
        <f t="shared" si="11"/>
        <v>https://house.texas.gov/members/member-page/email/?district=94</v>
      </c>
      <c r="P97" s="14">
        <v>2014.0</v>
      </c>
      <c r="Q97" s="14">
        <v>2020.0</v>
      </c>
      <c r="S97" s="14" t="s">
        <v>12852</v>
      </c>
      <c r="T97" s="14" t="s">
        <v>12281</v>
      </c>
      <c r="U97" s="14" t="s">
        <v>12884</v>
      </c>
      <c r="V97" t="str">
        <f t="shared" si="13"/>
        <v/>
      </c>
      <c r="W97" s="139" t="str">
        <f>if(AND(not(isblank($G97)),not(isnumber(search("minority",$G97)))),$C97,if(or(isnumber(search("Judiciary (Chair)",$H96)),isnumber(search("Judiciary (Vice Chair)",$H96))),$C97,""))</f>
        <v/>
      </c>
      <c r="X97" t="str">
        <f t="shared" si="4"/>
        <v/>
      </c>
      <c r="Y97" t="str">
        <f t="shared" si="5"/>
        <v/>
      </c>
      <c r="Z97" t="str">
        <f>if(Y97="","",if(isblank($G97),$H96,$G97))</f>
        <v/>
      </c>
    </row>
    <row r="98">
      <c r="A98" s="14" t="s">
        <v>44</v>
      </c>
      <c r="B98" s="78">
        <v>95.0</v>
      </c>
      <c r="C98" s="35" t="s">
        <v>1648</v>
      </c>
      <c r="D98" s="35" t="s">
        <v>12893</v>
      </c>
      <c r="E98" s="36" t="s">
        <v>49</v>
      </c>
      <c r="F98" s="200"/>
      <c r="G98" s="200"/>
      <c r="H98" s="399" t="s">
        <v>12894</v>
      </c>
      <c r="M98" s="14" t="s">
        <v>12895</v>
      </c>
      <c r="N98" s="596" t="str">
        <f t="shared" si="11"/>
        <v>https://house.texas.gov/members/member-page/email/?district=95</v>
      </c>
      <c r="P98" s="14">
        <v>2012.0</v>
      </c>
      <c r="Q98" s="14">
        <v>2020.0</v>
      </c>
      <c r="S98" s="14" t="s">
        <v>12852</v>
      </c>
      <c r="T98" s="14" t="s">
        <v>329</v>
      </c>
      <c r="U98" s="14" t="s">
        <v>12783</v>
      </c>
      <c r="V98" t="str">
        <f t="shared" si="13"/>
        <v/>
      </c>
      <c r="W98" s="139" t="str">
        <f t="shared" ref="W98:W153" si="14">if(AND(not(isblank($G98)),not(isnumber(search("minority",$G98)))),$C98,if(or(isnumber(search("Judiciary (Chair)",$H98)),isnumber(search("Judiciary (Vice Chair)",$H98))),$C98,""))</f>
        <v/>
      </c>
      <c r="X98" t="str">
        <f t="shared" si="4"/>
        <v/>
      </c>
      <c r="Y98" t="str">
        <f t="shared" si="5"/>
        <v/>
      </c>
      <c r="Z98" t="str">
        <f t="shared" ref="Z98:Z153" si="15">if(Y98="","",if(isblank($G98),$H98,$G98))</f>
        <v/>
      </c>
    </row>
    <row r="99" ht="16.5" customHeight="1">
      <c r="A99" s="14" t="s">
        <v>44</v>
      </c>
      <c r="B99" s="74">
        <v>96.0</v>
      </c>
      <c r="C99" s="35" t="s">
        <v>325</v>
      </c>
      <c r="D99" s="35" t="s">
        <v>12901</v>
      </c>
      <c r="E99" s="51" t="s">
        <v>53</v>
      </c>
      <c r="F99" s="200"/>
      <c r="G99" s="200"/>
      <c r="H99" s="399" t="s">
        <v>12902</v>
      </c>
      <c r="M99" s="14" t="s">
        <v>12903</v>
      </c>
      <c r="N99" s="596" t="str">
        <f t="shared" si="11"/>
        <v>https://house.texas.gov/members/member-page/email/?district=96</v>
      </c>
      <c r="P99" s="14">
        <v>2002.0</v>
      </c>
      <c r="Q99" s="14">
        <v>2020.0</v>
      </c>
      <c r="S99" s="14" t="s">
        <v>12852</v>
      </c>
      <c r="T99" s="14" t="s">
        <v>12281</v>
      </c>
      <c r="U99" s="14" t="s">
        <v>12904</v>
      </c>
      <c r="V99" t="str">
        <f t="shared" si="13"/>
        <v/>
      </c>
      <c r="W99" s="139" t="str">
        <f t="shared" si="14"/>
        <v/>
      </c>
      <c r="X99" t="str">
        <f t="shared" si="4"/>
        <v/>
      </c>
      <c r="Y99" t="str">
        <f t="shared" si="5"/>
        <v/>
      </c>
      <c r="Z99" t="str">
        <f t="shared" si="15"/>
        <v/>
      </c>
    </row>
    <row r="100" ht="16.5" customHeight="1">
      <c r="A100" s="14" t="s">
        <v>44</v>
      </c>
      <c r="B100" s="74">
        <v>97.0</v>
      </c>
      <c r="C100" s="35" t="s">
        <v>373</v>
      </c>
      <c r="D100" s="35" t="s">
        <v>12905</v>
      </c>
      <c r="E100" s="51" t="s">
        <v>53</v>
      </c>
      <c r="F100" s="200"/>
      <c r="G100" s="200"/>
      <c r="H100" s="200"/>
      <c r="M100" s="14" t="s">
        <v>12908</v>
      </c>
      <c r="N100" s="596" t="str">
        <f t="shared" si="11"/>
        <v>https://house.texas.gov/members/member-page/email/?district=97</v>
      </c>
      <c r="P100" s="14">
        <v>2012.0</v>
      </c>
      <c r="Q100" s="14">
        <v>2020.0</v>
      </c>
      <c r="S100" s="14" t="s">
        <v>12852</v>
      </c>
      <c r="T100" s="14" t="s">
        <v>12281</v>
      </c>
      <c r="U100" s="728" t="s">
        <v>12910</v>
      </c>
      <c r="V100" t="str">
        <f t="shared" si="13"/>
        <v/>
      </c>
      <c r="W100" s="139" t="str">
        <f t="shared" si="14"/>
        <v/>
      </c>
      <c r="X100" t="str">
        <f t="shared" si="4"/>
        <v/>
      </c>
      <c r="Y100" t="str">
        <f t="shared" si="5"/>
        <v/>
      </c>
      <c r="Z100" t="str">
        <f t="shared" si="15"/>
        <v/>
      </c>
    </row>
    <row r="101" ht="17.25" customHeight="1">
      <c r="A101" s="14" t="s">
        <v>44</v>
      </c>
      <c r="B101" s="74">
        <v>98.0</v>
      </c>
      <c r="C101" s="35" t="s">
        <v>12911</v>
      </c>
      <c r="D101" s="35" t="s">
        <v>12912</v>
      </c>
      <c r="E101" s="51" t="s">
        <v>53</v>
      </c>
      <c r="F101" s="200"/>
      <c r="G101" s="200"/>
      <c r="H101" s="399" t="s">
        <v>12913</v>
      </c>
      <c r="M101" s="14" t="s">
        <v>12914</v>
      </c>
      <c r="N101" s="596" t="str">
        <f t="shared" si="11"/>
        <v>https://house.texas.gov/members/member-page/email/?district=98</v>
      </c>
      <c r="P101" s="14">
        <v>2012.0</v>
      </c>
      <c r="Q101" s="14">
        <v>2020.0</v>
      </c>
      <c r="S101" s="14" t="s">
        <v>12852</v>
      </c>
      <c r="T101" s="14" t="s">
        <v>12281</v>
      </c>
      <c r="U101" s="14" t="s">
        <v>12289</v>
      </c>
      <c r="V101" t="str">
        <f t="shared" si="13"/>
        <v/>
      </c>
      <c r="W101" s="139" t="str">
        <f t="shared" si="14"/>
        <v/>
      </c>
      <c r="X101" t="str">
        <f t="shared" si="4"/>
        <v/>
      </c>
      <c r="Y101" t="str">
        <f t="shared" si="5"/>
        <v/>
      </c>
      <c r="Z101" t="str">
        <f t="shared" si="15"/>
        <v/>
      </c>
    </row>
    <row r="102" ht="18.0" customHeight="1">
      <c r="A102" s="14" t="s">
        <v>44</v>
      </c>
      <c r="B102" s="74">
        <v>99.0</v>
      </c>
      <c r="C102" s="35" t="s">
        <v>2746</v>
      </c>
      <c r="D102" s="35" t="s">
        <v>12916</v>
      </c>
      <c r="E102" s="51" t="s">
        <v>53</v>
      </c>
      <c r="F102" s="200"/>
      <c r="G102" s="200"/>
      <c r="H102" s="200"/>
      <c r="M102" s="14" t="s">
        <v>12917</v>
      </c>
      <c r="N102" s="596" t="str">
        <f t="shared" si="11"/>
        <v>https://house.texas.gov/members/member-page/email/?district=99</v>
      </c>
      <c r="P102" s="14">
        <v>2012.0</v>
      </c>
      <c r="Q102" s="14">
        <v>2020.0</v>
      </c>
      <c r="S102" s="14" t="s">
        <v>12852</v>
      </c>
      <c r="T102" s="14" t="s">
        <v>12281</v>
      </c>
      <c r="U102" s="14" t="s">
        <v>12918</v>
      </c>
      <c r="V102" t="str">
        <f t="shared" si="13"/>
        <v/>
      </c>
      <c r="W102" s="139" t="str">
        <f t="shared" si="14"/>
        <v/>
      </c>
      <c r="X102" t="str">
        <f t="shared" si="4"/>
        <v/>
      </c>
      <c r="Y102" t="str">
        <f t="shared" si="5"/>
        <v/>
      </c>
      <c r="Z102" t="str">
        <f t="shared" si="15"/>
        <v/>
      </c>
    </row>
    <row r="103" ht="17.25" customHeight="1">
      <c r="A103" s="14" t="s">
        <v>44</v>
      </c>
      <c r="B103" s="74">
        <v>100.0</v>
      </c>
      <c r="C103" s="35" t="s">
        <v>2302</v>
      </c>
      <c r="D103" s="35" t="s">
        <v>118</v>
      </c>
      <c r="E103" s="36" t="s">
        <v>49</v>
      </c>
      <c r="F103" s="200"/>
      <c r="G103" s="200"/>
      <c r="H103" s="200"/>
      <c r="M103" s="14" t="s">
        <v>12922</v>
      </c>
      <c r="N103" s="596" t="str">
        <f t="shared" si="11"/>
        <v>https://house.texas.gov/members/member-page/email/?district=100</v>
      </c>
      <c r="P103" s="14">
        <v>2010.0</v>
      </c>
      <c r="Q103" s="14">
        <v>2020.0</v>
      </c>
      <c r="S103" s="14" t="s">
        <v>12923</v>
      </c>
      <c r="T103" s="14" t="s">
        <v>12281</v>
      </c>
      <c r="U103" s="14" t="s">
        <v>12924</v>
      </c>
      <c r="V103" t="str">
        <f t="shared" si="13"/>
        <v/>
      </c>
      <c r="W103" s="139" t="str">
        <f t="shared" si="14"/>
        <v/>
      </c>
      <c r="X103" t="str">
        <f t="shared" si="4"/>
        <v/>
      </c>
      <c r="Y103" t="str">
        <f t="shared" si="5"/>
        <v/>
      </c>
      <c r="Z103" t="str">
        <f t="shared" si="15"/>
        <v/>
      </c>
    </row>
    <row r="104" ht="16.5" customHeight="1">
      <c r="A104" s="14" t="s">
        <v>44</v>
      </c>
      <c r="B104" s="74">
        <v>101.0</v>
      </c>
      <c r="C104" s="35" t="s">
        <v>173</v>
      </c>
      <c r="D104" s="35" t="s">
        <v>3193</v>
      </c>
      <c r="E104" s="36" t="s">
        <v>49</v>
      </c>
      <c r="F104" s="200"/>
      <c r="G104" s="200"/>
      <c r="H104" s="399"/>
      <c r="M104" s="14" t="s">
        <v>12929</v>
      </c>
      <c r="N104" s="596" t="str">
        <f t="shared" si="11"/>
        <v>https://house.texas.gov/members/member-page/email/?district=101</v>
      </c>
      <c r="P104" s="14">
        <v>2012.0</v>
      </c>
      <c r="Q104" s="14">
        <v>2020.0</v>
      </c>
      <c r="S104" s="14" t="s">
        <v>12852</v>
      </c>
      <c r="T104" s="14" t="s">
        <v>12281</v>
      </c>
      <c r="U104" s="14" t="s">
        <v>12930</v>
      </c>
      <c r="V104" t="str">
        <f t="shared" si="13"/>
        <v/>
      </c>
      <c r="W104" s="139" t="str">
        <f t="shared" si="14"/>
        <v/>
      </c>
      <c r="X104" t="str">
        <f t="shared" si="4"/>
        <v/>
      </c>
      <c r="Y104" t="str">
        <f t="shared" si="5"/>
        <v/>
      </c>
      <c r="Z104" t="str">
        <f t="shared" si="15"/>
        <v/>
      </c>
    </row>
    <row r="105" ht="18.0" customHeight="1">
      <c r="A105" s="14" t="s">
        <v>44</v>
      </c>
      <c r="B105" s="74">
        <v>102.0</v>
      </c>
      <c r="C105" s="38" t="s">
        <v>12931</v>
      </c>
      <c r="D105" s="38" t="s">
        <v>1610</v>
      </c>
      <c r="E105" s="36" t="s">
        <v>49</v>
      </c>
      <c r="F105" s="200"/>
      <c r="G105" s="200"/>
      <c r="H105" s="200"/>
      <c r="M105" s="14" t="s">
        <v>12932</v>
      </c>
      <c r="N105" s="596" t="str">
        <f t="shared" si="11"/>
        <v>https://house.texas.gov/members/member-page/email/?district=102</v>
      </c>
      <c r="P105" s="14">
        <v>2018.0</v>
      </c>
      <c r="Q105" s="728">
        <v>2020.0</v>
      </c>
      <c r="S105" s="14" t="s">
        <v>12923</v>
      </c>
      <c r="T105" s="14" t="s">
        <v>12281</v>
      </c>
      <c r="U105" s="14" t="s">
        <v>12933</v>
      </c>
      <c r="V105" t="str">
        <f t="shared" si="13"/>
        <v/>
      </c>
      <c r="W105" s="139" t="str">
        <f t="shared" si="14"/>
        <v/>
      </c>
      <c r="X105" t="str">
        <f t="shared" si="4"/>
        <v/>
      </c>
      <c r="Y105" t="str">
        <f t="shared" si="5"/>
        <v/>
      </c>
      <c r="Z105" t="str">
        <f t="shared" si="15"/>
        <v/>
      </c>
    </row>
    <row r="106" ht="18.0" customHeight="1">
      <c r="A106" s="14" t="s">
        <v>44</v>
      </c>
      <c r="B106" s="74">
        <v>103.0</v>
      </c>
      <c r="C106" s="35" t="s">
        <v>12934</v>
      </c>
      <c r="D106" s="35" t="s">
        <v>12935</v>
      </c>
      <c r="E106" s="36" t="s">
        <v>49</v>
      </c>
      <c r="F106" s="200"/>
      <c r="G106" s="200"/>
      <c r="H106" s="200"/>
      <c r="M106" s="14" t="s">
        <v>12936</v>
      </c>
      <c r="N106" s="596" t="str">
        <f t="shared" si="11"/>
        <v>https://house.texas.gov/members/member-page/email/?district=103</v>
      </c>
      <c r="P106" s="14">
        <v>2004.0</v>
      </c>
      <c r="Q106" s="14">
        <v>2020.0</v>
      </c>
      <c r="S106" s="14" t="s">
        <v>12923</v>
      </c>
      <c r="T106" s="14" t="s">
        <v>12281</v>
      </c>
      <c r="U106" s="14" t="s">
        <v>12783</v>
      </c>
      <c r="V106" t="str">
        <f t="shared" si="13"/>
        <v/>
      </c>
      <c r="W106" s="139" t="str">
        <f t="shared" si="14"/>
        <v/>
      </c>
      <c r="X106" t="str">
        <f t="shared" si="4"/>
        <v/>
      </c>
      <c r="Y106" t="str">
        <f t="shared" si="5"/>
        <v/>
      </c>
      <c r="Z106" t="str">
        <f t="shared" si="15"/>
        <v/>
      </c>
    </row>
    <row r="107" ht="17.25" customHeight="1">
      <c r="A107" s="14" t="s">
        <v>44</v>
      </c>
      <c r="B107" s="74">
        <v>104.0</v>
      </c>
      <c r="C107" s="38" t="s">
        <v>6166</v>
      </c>
      <c r="D107" s="38" t="s">
        <v>2496</v>
      </c>
      <c r="E107" s="36" t="s">
        <v>49</v>
      </c>
      <c r="F107" s="200"/>
      <c r="G107" s="200"/>
      <c r="H107" s="200"/>
      <c r="M107" s="14" t="s">
        <v>12937</v>
      </c>
      <c r="N107" s="596" t="str">
        <f t="shared" si="11"/>
        <v>https://house.texas.gov/members/member-page/email/?district=104</v>
      </c>
      <c r="P107" s="14">
        <v>2018.0</v>
      </c>
      <c r="Q107" s="14">
        <v>2020.0</v>
      </c>
      <c r="S107" s="14" t="s">
        <v>12923</v>
      </c>
      <c r="T107" s="14" t="s">
        <v>12281</v>
      </c>
      <c r="U107" s="14" t="s">
        <v>12783</v>
      </c>
      <c r="V107" t="str">
        <f t="shared" si="13"/>
        <v/>
      </c>
      <c r="W107" s="139" t="str">
        <f t="shared" si="14"/>
        <v/>
      </c>
      <c r="X107" t="str">
        <f t="shared" si="4"/>
        <v/>
      </c>
      <c r="Y107" t="str">
        <f t="shared" si="5"/>
        <v/>
      </c>
      <c r="Z107" t="str">
        <f t="shared" si="15"/>
        <v/>
      </c>
    </row>
    <row r="108" ht="19.5" customHeight="1">
      <c r="A108" s="14" t="s">
        <v>44</v>
      </c>
      <c r="B108" s="74">
        <v>105.0</v>
      </c>
      <c r="C108" s="38" t="s">
        <v>12938</v>
      </c>
      <c r="D108" s="706" t="s">
        <v>1135</v>
      </c>
      <c r="E108" s="36" t="s">
        <v>49</v>
      </c>
      <c r="F108" s="200"/>
      <c r="G108" s="200"/>
      <c r="H108" s="200"/>
      <c r="M108" s="14" t="s">
        <v>12939</v>
      </c>
      <c r="N108" s="596" t="str">
        <f t="shared" si="11"/>
        <v>https://house.texas.gov/members/member-page/email/?district=105</v>
      </c>
      <c r="P108" s="14">
        <v>2018.0</v>
      </c>
      <c r="Q108" s="14">
        <v>2020.0</v>
      </c>
      <c r="S108" s="14" t="s">
        <v>12923</v>
      </c>
      <c r="T108" s="14" t="s">
        <v>12281</v>
      </c>
      <c r="U108" s="14" t="s">
        <v>12940</v>
      </c>
      <c r="V108" t="str">
        <f t="shared" si="13"/>
        <v/>
      </c>
      <c r="W108" s="139" t="str">
        <f t="shared" si="14"/>
        <v/>
      </c>
      <c r="X108" t="str">
        <f t="shared" si="4"/>
        <v/>
      </c>
      <c r="Y108" t="str">
        <f t="shared" si="5"/>
        <v/>
      </c>
      <c r="Z108" t="str">
        <f t="shared" si="15"/>
        <v/>
      </c>
    </row>
    <row r="109" ht="15.0" customHeight="1">
      <c r="A109" s="14" t="s">
        <v>44</v>
      </c>
      <c r="B109" s="74">
        <v>106.0</v>
      </c>
      <c r="C109" s="38" t="s">
        <v>2285</v>
      </c>
      <c r="D109" s="38" t="s">
        <v>1510</v>
      </c>
      <c r="E109" s="51" t="s">
        <v>53</v>
      </c>
      <c r="F109" s="200"/>
      <c r="G109" s="200"/>
      <c r="H109" s="200"/>
      <c r="M109" s="14" t="s">
        <v>12941</v>
      </c>
      <c r="N109" s="596" t="str">
        <f t="shared" si="11"/>
        <v>https://house.texas.gov/members/member-page/email/?district=106</v>
      </c>
      <c r="P109" s="14">
        <v>2018.0</v>
      </c>
      <c r="Q109" s="14">
        <v>2020.0</v>
      </c>
      <c r="S109" s="14" t="s">
        <v>12702</v>
      </c>
      <c r="T109" s="14" t="s">
        <v>12281</v>
      </c>
      <c r="U109" s="14" t="s">
        <v>12918</v>
      </c>
      <c r="V109" t="str">
        <f t="shared" si="13"/>
        <v/>
      </c>
      <c r="W109" s="139" t="str">
        <f t="shared" si="14"/>
        <v/>
      </c>
      <c r="X109" t="str">
        <f t="shared" si="4"/>
        <v/>
      </c>
      <c r="Y109" t="str">
        <f t="shared" si="5"/>
        <v/>
      </c>
      <c r="Z109" t="str">
        <f t="shared" si="15"/>
        <v/>
      </c>
    </row>
    <row r="110" ht="16.5" customHeight="1">
      <c r="A110" s="14" t="s">
        <v>44</v>
      </c>
      <c r="B110" s="74">
        <v>107.0</v>
      </c>
      <c r="C110" s="35" t="s">
        <v>1214</v>
      </c>
      <c r="D110" s="35" t="s">
        <v>12942</v>
      </c>
      <c r="E110" s="36" t="s">
        <v>49</v>
      </c>
      <c r="F110" s="399"/>
      <c r="G110" s="399"/>
      <c r="H110" s="399" t="s">
        <v>12943</v>
      </c>
      <c r="L110" s="14" t="s">
        <v>12944</v>
      </c>
      <c r="M110" s="14" t="s">
        <v>12945</v>
      </c>
      <c r="N110" s="596" t="str">
        <f t="shared" si="11"/>
        <v>https://house.texas.gov/members/member-page/email/?district=107</v>
      </c>
      <c r="P110" s="14">
        <v>2016.0</v>
      </c>
      <c r="Q110" s="14">
        <v>2020.0</v>
      </c>
      <c r="S110" s="14" t="s">
        <v>12923</v>
      </c>
      <c r="U110" s="14" t="s">
        <v>12783</v>
      </c>
      <c r="V110" t="str">
        <f t="shared" si="13"/>
        <v/>
      </c>
      <c r="W110" s="139" t="str">
        <f t="shared" si="14"/>
        <v/>
      </c>
      <c r="X110" t="str">
        <f t="shared" si="4"/>
        <v/>
      </c>
      <c r="Y110" t="str">
        <f t="shared" si="5"/>
        <v/>
      </c>
      <c r="Z110" t="str">
        <f t="shared" si="15"/>
        <v/>
      </c>
    </row>
    <row r="111">
      <c r="A111" s="14" t="s">
        <v>44</v>
      </c>
      <c r="B111" s="74">
        <v>108.0</v>
      </c>
      <c r="C111" s="35" t="s">
        <v>141</v>
      </c>
      <c r="D111" s="35" t="s">
        <v>4840</v>
      </c>
      <c r="E111" s="51" t="s">
        <v>53</v>
      </c>
      <c r="F111" s="200"/>
      <c r="G111" s="200"/>
      <c r="H111" s="399" t="s">
        <v>12946</v>
      </c>
      <c r="M111" s="14" t="s">
        <v>12947</v>
      </c>
      <c r="N111" s="596" t="str">
        <f t="shared" si="11"/>
        <v>https://house.texas.gov/members/member-page/email/?district=108</v>
      </c>
      <c r="P111" s="14">
        <v>2014.0</v>
      </c>
      <c r="Q111" s="14">
        <v>2020.0</v>
      </c>
      <c r="S111" s="14" t="s">
        <v>12923</v>
      </c>
      <c r="U111" s="14" t="s">
        <v>12783</v>
      </c>
      <c r="V111" t="str">
        <f t="shared" si="13"/>
        <v/>
      </c>
      <c r="W111" s="139" t="str">
        <f t="shared" si="14"/>
        <v/>
      </c>
      <c r="X111" t="str">
        <f t="shared" si="4"/>
        <v/>
      </c>
      <c r="Y111" t="str">
        <f t="shared" si="5"/>
        <v/>
      </c>
      <c r="Z111" t="str">
        <f t="shared" si="15"/>
        <v/>
      </c>
    </row>
    <row r="112">
      <c r="A112" s="14" t="s">
        <v>44</v>
      </c>
      <c r="B112" s="74">
        <v>109.0</v>
      </c>
      <c r="C112" s="38" t="s">
        <v>4087</v>
      </c>
      <c r="D112" s="38" t="s">
        <v>2324</v>
      </c>
      <c r="E112" s="36" t="s">
        <v>49</v>
      </c>
      <c r="F112" s="200"/>
      <c r="G112" s="200"/>
      <c r="H112" s="399" t="s">
        <v>12948</v>
      </c>
      <c r="M112" s="14" t="s">
        <v>12949</v>
      </c>
      <c r="N112" s="596" t="str">
        <f t="shared" si="11"/>
        <v>https://house.texas.gov/members/member-page/email/?district=109</v>
      </c>
      <c r="P112" s="14">
        <v>2018.0</v>
      </c>
      <c r="Q112" s="14">
        <v>2020.0</v>
      </c>
      <c r="S112" s="14" t="s">
        <v>12923</v>
      </c>
      <c r="U112" s="14" t="s">
        <v>12950</v>
      </c>
      <c r="V112" t="str">
        <f t="shared" si="13"/>
        <v/>
      </c>
      <c r="W112" s="139" t="str">
        <f t="shared" si="14"/>
        <v/>
      </c>
      <c r="X112" t="str">
        <f t="shared" si="4"/>
        <v/>
      </c>
      <c r="Y112" t="str">
        <f t="shared" si="5"/>
        <v/>
      </c>
      <c r="Z112" t="str">
        <f t="shared" si="15"/>
        <v/>
      </c>
    </row>
    <row r="113">
      <c r="A113" s="14" t="s">
        <v>44</v>
      </c>
      <c r="B113" s="74">
        <v>110.0</v>
      </c>
      <c r="C113" s="35" t="s">
        <v>2262</v>
      </c>
      <c r="D113" s="35" t="s">
        <v>2719</v>
      </c>
      <c r="E113" s="36" t="s">
        <v>49</v>
      </c>
      <c r="F113" s="200"/>
      <c r="G113" s="200"/>
      <c r="H113" s="399" t="s">
        <v>12951</v>
      </c>
      <c r="M113" s="14" t="s">
        <v>12952</v>
      </c>
      <c r="N113" s="596" t="str">
        <f t="shared" si="11"/>
        <v>https://house.texas.gov/members/member-page/email/?district=110</v>
      </c>
      <c r="P113" s="14">
        <v>2012.0</v>
      </c>
      <c r="Q113" s="728">
        <v>2020.0</v>
      </c>
      <c r="S113" s="14" t="s">
        <v>12923</v>
      </c>
      <c r="U113" s="14" t="s">
        <v>12953</v>
      </c>
      <c r="V113" t="str">
        <f t="shared" si="13"/>
        <v/>
      </c>
      <c r="W113" s="139" t="str">
        <f t="shared" si="14"/>
        <v/>
      </c>
      <c r="X113" t="str">
        <f t="shared" si="4"/>
        <v/>
      </c>
      <c r="Y113" t="str">
        <f t="shared" si="5"/>
        <v/>
      </c>
      <c r="Z113" t="str">
        <f t="shared" si="15"/>
        <v/>
      </c>
    </row>
    <row r="114">
      <c r="A114" s="14" t="s">
        <v>44</v>
      </c>
      <c r="B114" s="74">
        <v>111.0</v>
      </c>
      <c r="C114" s="35" t="s">
        <v>6647</v>
      </c>
      <c r="D114" s="35" t="s">
        <v>1254</v>
      </c>
      <c r="E114" s="36" t="s">
        <v>49</v>
      </c>
      <c r="F114" s="200"/>
      <c r="G114" s="200"/>
      <c r="H114" s="399" t="s">
        <v>12954</v>
      </c>
      <c r="M114" s="14" t="s">
        <v>12955</v>
      </c>
      <c r="N114" s="596" t="str">
        <f t="shared" si="11"/>
        <v>https://house.texas.gov/members/member-page/email/?district=111</v>
      </c>
      <c r="P114" s="14">
        <v>1992.0</v>
      </c>
      <c r="Q114" s="14">
        <v>2020.0</v>
      </c>
      <c r="S114" s="14" t="s">
        <v>12923</v>
      </c>
      <c r="U114" s="14" t="s">
        <v>12757</v>
      </c>
      <c r="V114" t="str">
        <f t="shared" si="13"/>
        <v/>
      </c>
      <c r="W114" s="139" t="str">
        <f t="shared" si="14"/>
        <v/>
      </c>
      <c r="X114" t="str">
        <f t="shared" si="4"/>
        <v/>
      </c>
      <c r="Y114" t="str">
        <f t="shared" si="5"/>
        <v/>
      </c>
      <c r="Z114" t="str">
        <f t="shared" si="15"/>
        <v/>
      </c>
    </row>
    <row r="115">
      <c r="A115" s="14" t="s">
        <v>44</v>
      </c>
      <c r="B115" s="74">
        <v>112.0</v>
      </c>
      <c r="C115" s="35" t="s">
        <v>5291</v>
      </c>
      <c r="D115" s="35" t="s">
        <v>12956</v>
      </c>
      <c r="E115" s="51" t="s">
        <v>53</v>
      </c>
      <c r="F115" s="200"/>
      <c r="G115" s="200"/>
      <c r="H115" s="200"/>
      <c r="M115" s="14" t="s">
        <v>12957</v>
      </c>
      <c r="N115" s="596" t="str">
        <f t="shared" si="11"/>
        <v>https://house.texas.gov/members/member-page/email/?district=112</v>
      </c>
      <c r="P115" s="14">
        <v>2008.0</v>
      </c>
      <c r="Q115" s="14">
        <v>2020.0</v>
      </c>
      <c r="S115" s="14" t="s">
        <v>12923</v>
      </c>
      <c r="U115" s="14" t="s">
        <v>12958</v>
      </c>
      <c r="V115" t="str">
        <f t="shared" si="13"/>
        <v/>
      </c>
      <c r="W115" s="139" t="str">
        <f t="shared" si="14"/>
        <v/>
      </c>
      <c r="X115" t="str">
        <f t="shared" si="4"/>
        <v/>
      </c>
      <c r="Y115" t="str">
        <f t="shared" si="5"/>
        <v/>
      </c>
      <c r="Z115" t="str">
        <f t="shared" si="15"/>
        <v/>
      </c>
    </row>
    <row r="116">
      <c r="A116" s="14" t="s">
        <v>44</v>
      </c>
      <c r="B116" s="74">
        <v>113.0</v>
      </c>
      <c r="C116" s="38" t="s">
        <v>12959</v>
      </c>
      <c r="D116" s="38" t="s">
        <v>1055</v>
      </c>
      <c r="E116" s="36" t="s">
        <v>49</v>
      </c>
      <c r="F116" s="200"/>
      <c r="G116" s="200"/>
      <c r="H116" s="200"/>
      <c r="M116" s="14" t="s">
        <v>12960</v>
      </c>
      <c r="N116" s="596" t="str">
        <f t="shared" si="11"/>
        <v>https://house.texas.gov/members/member-page/email/?district=113</v>
      </c>
      <c r="P116" s="14">
        <v>2018.0</v>
      </c>
      <c r="Q116" s="14">
        <v>2020.0</v>
      </c>
      <c r="S116" s="728" t="s">
        <v>12923</v>
      </c>
      <c r="U116" s="14" t="s">
        <v>12961</v>
      </c>
      <c r="V116" t="str">
        <f t="shared" si="13"/>
        <v/>
      </c>
      <c r="W116" s="139" t="str">
        <f t="shared" si="14"/>
        <v/>
      </c>
      <c r="X116" t="str">
        <f t="shared" si="4"/>
        <v/>
      </c>
      <c r="Y116" t="str">
        <f t="shared" si="5"/>
        <v/>
      </c>
      <c r="Z116" t="str">
        <f t="shared" si="15"/>
        <v/>
      </c>
    </row>
    <row r="117">
      <c r="A117" s="14" t="s">
        <v>44</v>
      </c>
      <c r="B117" s="74">
        <v>114.0</v>
      </c>
      <c r="C117" s="38" t="s">
        <v>278</v>
      </c>
      <c r="D117" s="38" t="s">
        <v>3193</v>
      </c>
      <c r="E117" s="36" t="s">
        <v>49</v>
      </c>
      <c r="F117" s="200"/>
      <c r="G117" s="200"/>
      <c r="H117" s="399" t="s">
        <v>12260</v>
      </c>
      <c r="M117" s="14" t="s">
        <v>12962</v>
      </c>
      <c r="N117" s="596" t="str">
        <f t="shared" si="11"/>
        <v>https://house.texas.gov/members/member-page/email/?district=114</v>
      </c>
      <c r="P117" s="14">
        <v>2018.0</v>
      </c>
      <c r="Q117" s="14">
        <v>2020.0</v>
      </c>
      <c r="S117" s="14" t="s">
        <v>12923</v>
      </c>
      <c r="U117" s="14" t="s">
        <v>12783</v>
      </c>
      <c r="V117" t="str">
        <f t="shared" si="13"/>
        <v/>
      </c>
      <c r="W117" s="139" t="str">
        <f t="shared" si="14"/>
        <v/>
      </c>
      <c r="X117" t="str">
        <f t="shared" si="4"/>
        <v/>
      </c>
      <c r="Y117" t="str">
        <f t="shared" si="5"/>
        <v/>
      </c>
      <c r="Z117" t="str">
        <f t="shared" si="15"/>
        <v/>
      </c>
    </row>
    <row r="118">
      <c r="A118" s="14" t="s">
        <v>44</v>
      </c>
      <c r="B118" s="74">
        <v>115.0</v>
      </c>
      <c r="C118" s="38" t="s">
        <v>2133</v>
      </c>
      <c r="D118" s="38" t="s">
        <v>118</v>
      </c>
      <c r="E118" s="36" t="s">
        <v>49</v>
      </c>
      <c r="F118" s="200"/>
      <c r="G118" s="200"/>
      <c r="H118" s="399" t="s">
        <v>12963</v>
      </c>
      <c r="M118" s="14" t="s">
        <v>12964</v>
      </c>
      <c r="N118" s="596" t="str">
        <f t="shared" si="11"/>
        <v>https://house.texas.gov/members/member-page/email/?district=115</v>
      </c>
      <c r="P118" s="14">
        <v>2018.0</v>
      </c>
      <c r="Q118" s="14">
        <v>2018.0</v>
      </c>
      <c r="S118" s="14" t="s">
        <v>12923</v>
      </c>
      <c r="U118" s="14" t="s">
        <v>12783</v>
      </c>
      <c r="V118" t="str">
        <f t="shared" si="13"/>
        <v/>
      </c>
      <c r="W118" s="139" t="str">
        <f t="shared" si="14"/>
        <v/>
      </c>
      <c r="X118" t="str">
        <f t="shared" si="4"/>
        <v/>
      </c>
      <c r="Y118" t="str">
        <f t="shared" si="5"/>
        <v/>
      </c>
      <c r="Z118" t="str">
        <f t="shared" si="15"/>
        <v/>
      </c>
    </row>
    <row r="119">
      <c r="A119" s="14" t="s">
        <v>44</v>
      </c>
      <c r="B119" s="74">
        <v>116.0</v>
      </c>
      <c r="C119" s="38" t="s">
        <v>4546</v>
      </c>
      <c r="D119" s="38" t="s">
        <v>2861</v>
      </c>
      <c r="E119" s="36" t="s">
        <v>49</v>
      </c>
      <c r="F119" s="200"/>
      <c r="G119" s="200"/>
      <c r="H119" s="200"/>
      <c r="L119" s="14" t="s">
        <v>12965</v>
      </c>
      <c r="M119" s="14" t="s">
        <v>12966</v>
      </c>
      <c r="N119" s="596" t="str">
        <f t="shared" si="11"/>
        <v>https://house.texas.gov/members/member-page/email/?district=116</v>
      </c>
      <c r="P119" s="14">
        <v>2000.0</v>
      </c>
      <c r="Q119" s="14">
        <v>2020.0</v>
      </c>
      <c r="S119" s="14" t="s">
        <v>12967</v>
      </c>
      <c r="U119" s="14" t="s">
        <v>12783</v>
      </c>
      <c r="V119" t="str">
        <f t="shared" si="13"/>
        <v/>
      </c>
      <c r="W119" s="139" t="str">
        <f t="shared" si="14"/>
        <v/>
      </c>
      <c r="X119" t="str">
        <f t="shared" si="4"/>
        <v/>
      </c>
      <c r="Y119" t="str">
        <f t="shared" si="5"/>
        <v/>
      </c>
      <c r="Z119" t="str">
        <f t="shared" si="15"/>
        <v/>
      </c>
    </row>
    <row r="120">
      <c r="A120" s="14" t="s">
        <v>44</v>
      </c>
      <c r="B120" s="74">
        <v>117.0</v>
      </c>
      <c r="C120" s="35" t="s">
        <v>5231</v>
      </c>
      <c r="D120" s="35" t="s">
        <v>6709</v>
      </c>
      <c r="E120" s="36" t="s">
        <v>49</v>
      </c>
      <c r="F120" s="200"/>
      <c r="G120" s="200"/>
      <c r="H120" s="399" t="s">
        <v>12968</v>
      </c>
      <c r="M120" s="14" t="s">
        <v>12969</v>
      </c>
      <c r="N120" s="596" t="str">
        <f t="shared" si="11"/>
        <v>https://house.texas.gov/members/member-page/email/?district=117</v>
      </c>
      <c r="P120" s="14" t="s">
        <v>12970</v>
      </c>
      <c r="Q120" s="14">
        <v>2020.0</v>
      </c>
      <c r="S120" s="14" t="s">
        <v>12967</v>
      </c>
      <c r="U120" s="14" t="s">
        <v>12971</v>
      </c>
      <c r="V120" t="str">
        <f t="shared" si="13"/>
        <v/>
      </c>
      <c r="W120" s="139" t="str">
        <f t="shared" si="14"/>
        <v/>
      </c>
      <c r="X120" t="str">
        <f t="shared" si="4"/>
        <v/>
      </c>
      <c r="Y120" t="str">
        <f t="shared" si="5"/>
        <v/>
      </c>
      <c r="Z120" t="str">
        <f t="shared" si="15"/>
        <v/>
      </c>
    </row>
    <row r="121">
      <c r="A121" s="14" t="s">
        <v>44</v>
      </c>
      <c r="B121" s="74">
        <v>118.0</v>
      </c>
      <c r="C121" s="38" t="s">
        <v>650</v>
      </c>
      <c r="D121" s="38" t="s">
        <v>7266</v>
      </c>
      <c r="E121" s="36" t="s">
        <v>49</v>
      </c>
      <c r="F121" s="200"/>
      <c r="G121" s="200"/>
      <c r="H121" s="399" t="s">
        <v>12972</v>
      </c>
      <c r="M121" s="14" t="s">
        <v>12973</v>
      </c>
      <c r="N121" s="596" t="str">
        <f t="shared" si="11"/>
        <v>https://house.texas.gov/members/member-page/email/?district=118</v>
      </c>
      <c r="P121" s="14">
        <v>2018.0</v>
      </c>
      <c r="Q121" s="14">
        <v>2020.0</v>
      </c>
      <c r="S121" s="14" t="s">
        <v>12967</v>
      </c>
      <c r="U121" s="14" t="s">
        <v>12974</v>
      </c>
      <c r="V121" t="str">
        <f t="shared" si="13"/>
        <v/>
      </c>
      <c r="W121" s="139" t="str">
        <f t="shared" si="14"/>
        <v/>
      </c>
      <c r="X121" t="str">
        <f t="shared" si="4"/>
        <v/>
      </c>
      <c r="Y121" t="str">
        <f t="shared" si="5"/>
        <v/>
      </c>
      <c r="Z121" t="str">
        <f t="shared" si="15"/>
        <v/>
      </c>
    </row>
    <row r="122">
      <c r="A122" s="14" t="s">
        <v>44</v>
      </c>
      <c r="B122" s="74">
        <v>119.0</v>
      </c>
      <c r="C122" s="35" t="s">
        <v>2659</v>
      </c>
      <c r="D122" s="35" t="s">
        <v>12975</v>
      </c>
      <c r="E122" s="36" t="s">
        <v>49</v>
      </c>
      <c r="F122" s="200"/>
      <c r="G122" s="200"/>
      <c r="H122" s="399"/>
      <c r="M122" s="14" t="s">
        <v>12976</v>
      </c>
      <c r="N122" s="596" t="str">
        <f t="shared" si="11"/>
        <v>https://house.texas.gov/members/member-page/email/?district=119</v>
      </c>
      <c r="P122" s="14">
        <v>2008.0</v>
      </c>
      <c r="Q122" s="14">
        <v>2020.0</v>
      </c>
      <c r="S122" s="728" t="s">
        <v>12967</v>
      </c>
      <c r="U122" s="14" t="s">
        <v>12977</v>
      </c>
      <c r="V122" t="str">
        <f t="shared" si="13"/>
        <v/>
      </c>
      <c r="W122" s="139" t="str">
        <f t="shared" si="14"/>
        <v/>
      </c>
      <c r="X122" t="str">
        <f t="shared" si="4"/>
        <v/>
      </c>
      <c r="Y122" t="str">
        <f t="shared" si="5"/>
        <v/>
      </c>
      <c r="Z122" t="str">
        <f t="shared" si="15"/>
        <v/>
      </c>
    </row>
    <row r="123">
      <c r="A123" s="14" t="s">
        <v>44</v>
      </c>
      <c r="B123" s="74">
        <v>120.0</v>
      </c>
      <c r="C123" s="35" t="s">
        <v>384</v>
      </c>
      <c r="D123" s="35" t="s">
        <v>12978</v>
      </c>
      <c r="E123" s="36" t="s">
        <v>49</v>
      </c>
      <c r="F123" s="200"/>
      <c r="G123" s="200"/>
      <c r="H123" s="399"/>
      <c r="M123" s="14" t="s">
        <v>12979</v>
      </c>
      <c r="N123" s="596" t="str">
        <f t="shared" si="11"/>
        <v>https://house.texas.gov/members/member-page/email/?district=120</v>
      </c>
      <c r="P123" s="14">
        <v>2016.0</v>
      </c>
      <c r="Q123" s="14">
        <v>2020.0</v>
      </c>
      <c r="S123" s="14" t="s">
        <v>12967</v>
      </c>
      <c r="U123" s="14" t="s">
        <v>12980</v>
      </c>
      <c r="V123" t="str">
        <f t="shared" si="13"/>
        <v/>
      </c>
      <c r="W123" s="139" t="str">
        <f t="shared" si="14"/>
        <v/>
      </c>
      <c r="X123" t="str">
        <f t="shared" si="4"/>
        <v/>
      </c>
      <c r="Y123" t="str">
        <f t="shared" si="5"/>
        <v/>
      </c>
      <c r="Z123" t="str">
        <f t="shared" si="15"/>
        <v/>
      </c>
    </row>
    <row r="124">
      <c r="A124" s="14" t="s">
        <v>44</v>
      </c>
      <c r="B124" s="74">
        <v>121.0</v>
      </c>
      <c r="C124" s="38" t="s">
        <v>55</v>
      </c>
      <c r="D124" s="38" t="s">
        <v>6056</v>
      </c>
      <c r="E124" s="51" t="s">
        <v>53</v>
      </c>
      <c r="F124" s="200"/>
      <c r="G124" s="200"/>
      <c r="H124" s="399" t="s">
        <v>12981</v>
      </c>
      <c r="M124" s="14" t="s">
        <v>12982</v>
      </c>
      <c r="N124" s="596" t="str">
        <f t="shared" si="11"/>
        <v>https://house.texas.gov/members/member-page/email/?district=121</v>
      </c>
      <c r="P124" s="14">
        <v>2018.0</v>
      </c>
      <c r="Q124" s="14">
        <v>2020.0</v>
      </c>
      <c r="S124" s="14" t="s">
        <v>12967</v>
      </c>
      <c r="U124" s="14" t="s">
        <v>12783</v>
      </c>
      <c r="V124" t="str">
        <f t="shared" si="13"/>
        <v/>
      </c>
      <c r="W124" s="139" t="str">
        <f t="shared" si="14"/>
        <v/>
      </c>
      <c r="X124" t="str">
        <f t="shared" si="4"/>
        <v/>
      </c>
      <c r="Y124" t="str">
        <f t="shared" si="5"/>
        <v/>
      </c>
      <c r="Z124" t="str">
        <f t="shared" si="15"/>
        <v/>
      </c>
    </row>
    <row r="125">
      <c r="A125" s="14" t="s">
        <v>44</v>
      </c>
      <c r="B125" s="74">
        <v>122.0</v>
      </c>
      <c r="C125" s="35" t="s">
        <v>11663</v>
      </c>
      <c r="D125" s="35" t="s">
        <v>1780</v>
      </c>
      <c r="E125" s="51" t="s">
        <v>53</v>
      </c>
      <c r="F125" s="200"/>
      <c r="G125" s="200"/>
      <c r="H125" s="200"/>
      <c r="M125" s="14" t="s">
        <v>12983</v>
      </c>
      <c r="N125" s="596" t="str">
        <f t="shared" si="11"/>
        <v>https://house.texas.gov/members/member-page/email/?district=122</v>
      </c>
      <c r="P125" s="14">
        <v>2010.0</v>
      </c>
      <c r="Q125" s="14">
        <v>2020.0</v>
      </c>
      <c r="S125" s="14" t="s">
        <v>12967</v>
      </c>
      <c r="U125" s="14" t="s">
        <v>12332</v>
      </c>
      <c r="V125" t="str">
        <f t="shared" si="13"/>
        <v/>
      </c>
      <c r="W125" s="139" t="str">
        <f t="shared" si="14"/>
        <v/>
      </c>
      <c r="X125" t="str">
        <f t="shared" si="4"/>
        <v/>
      </c>
      <c r="Y125" t="str">
        <f t="shared" si="5"/>
        <v/>
      </c>
      <c r="Z125" t="str">
        <f t="shared" si="15"/>
        <v/>
      </c>
    </row>
    <row r="126">
      <c r="A126" s="14" t="s">
        <v>44</v>
      </c>
      <c r="B126" s="74">
        <v>123.0</v>
      </c>
      <c r="C126" s="35" t="s">
        <v>941</v>
      </c>
      <c r="D126" s="35" t="s">
        <v>12984</v>
      </c>
      <c r="E126" s="36" t="s">
        <v>49</v>
      </c>
      <c r="F126" s="200"/>
      <c r="G126" s="200"/>
      <c r="H126" s="200"/>
      <c r="M126" s="14" t="s">
        <v>12985</v>
      </c>
      <c r="N126" s="596" t="str">
        <f t="shared" si="11"/>
        <v>https://house.texas.gov/members/member-page/email/?district=123</v>
      </c>
      <c r="P126" s="14">
        <v>2014.0</v>
      </c>
      <c r="Q126" s="14">
        <v>2020.0</v>
      </c>
      <c r="S126" s="14" t="s">
        <v>12967</v>
      </c>
      <c r="U126" s="14" t="s">
        <v>12986</v>
      </c>
      <c r="V126" t="str">
        <f t="shared" si="13"/>
        <v/>
      </c>
      <c r="W126" s="139" t="str">
        <f t="shared" si="14"/>
        <v/>
      </c>
      <c r="X126" t="str">
        <f t="shared" si="4"/>
        <v/>
      </c>
      <c r="Y126" t="str">
        <f t="shared" si="5"/>
        <v/>
      </c>
      <c r="Z126" t="str">
        <f t="shared" si="15"/>
        <v/>
      </c>
    </row>
    <row r="127">
      <c r="A127" s="14" t="s">
        <v>44</v>
      </c>
      <c r="B127" s="74">
        <v>124.0</v>
      </c>
      <c r="C127" s="35" t="s">
        <v>12987</v>
      </c>
      <c r="D127" s="38" t="s">
        <v>12988</v>
      </c>
      <c r="E127" s="36" t="s">
        <v>49</v>
      </c>
      <c r="F127" s="200"/>
      <c r="G127" s="200"/>
      <c r="H127" s="399" t="s">
        <v>12989</v>
      </c>
      <c r="L127" s="14" t="s">
        <v>12990</v>
      </c>
      <c r="M127" s="14" t="s">
        <v>12991</v>
      </c>
      <c r="N127" s="596" t="str">
        <f t="shared" si="11"/>
        <v>https://house.texas.gov/members/member-page/email/?district=124</v>
      </c>
      <c r="P127" s="14">
        <v>2014.0</v>
      </c>
      <c r="Q127" s="14">
        <v>2020.0</v>
      </c>
      <c r="S127" s="14" t="s">
        <v>12967</v>
      </c>
      <c r="U127" s="14" t="s">
        <v>12992</v>
      </c>
      <c r="V127" t="str">
        <f t="shared" si="13"/>
        <v/>
      </c>
      <c r="W127" s="139" t="str">
        <f t="shared" si="14"/>
        <v/>
      </c>
      <c r="X127" t="str">
        <f t="shared" si="4"/>
        <v/>
      </c>
      <c r="Y127" t="str">
        <f t="shared" si="5"/>
        <v/>
      </c>
      <c r="Z127" t="str">
        <f t="shared" si="15"/>
        <v/>
      </c>
    </row>
    <row r="128">
      <c r="A128" s="14" t="s">
        <v>44</v>
      </c>
      <c r="B128" s="74">
        <v>125.0</v>
      </c>
      <c r="C128" s="35" t="s">
        <v>786</v>
      </c>
      <c r="D128" s="35" t="s">
        <v>1094</v>
      </c>
      <c r="E128" s="36" t="s">
        <v>49</v>
      </c>
      <c r="F128" s="200"/>
      <c r="G128" s="200"/>
      <c r="H128" s="200"/>
      <c r="L128" s="14" t="s">
        <v>12993</v>
      </c>
      <c r="M128" s="14" t="s">
        <v>12994</v>
      </c>
      <c r="N128" s="596" t="str">
        <f t="shared" si="11"/>
        <v>https://house.texas.gov/members/member-page/email/?district=125</v>
      </c>
      <c r="S128" s="14" t="s">
        <v>12967</v>
      </c>
      <c r="V128" t="str">
        <f t="shared" si="13"/>
        <v/>
      </c>
      <c r="W128" s="139" t="str">
        <f t="shared" si="14"/>
        <v/>
      </c>
      <c r="X128" t="str">
        <f t="shared" si="4"/>
        <v/>
      </c>
      <c r="Y128" t="str">
        <f t="shared" si="5"/>
        <v/>
      </c>
      <c r="Z128" t="str">
        <f t="shared" si="15"/>
        <v/>
      </c>
    </row>
    <row r="129">
      <c r="A129" s="14" t="s">
        <v>44</v>
      </c>
      <c r="B129" s="74">
        <v>126.0</v>
      </c>
      <c r="C129" s="38" t="s">
        <v>12995</v>
      </c>
      <c r="D129" s="38" t="s">
        <v>12996</v>
      </c>
      <c r="E129" s="51" t="s">
        <v>53</v>
      </c>
      <c r="F129" s="200"/>
      <c r="G129" s="200"/>
      <c r="H129" s="200"/>
      <c r="M129" s="14" t="s">
        <v>12997</v>
      </c>
      <c r="N129" s="596" t="str">
        <f t="shared" si="11"/>
        <v>https://house.texas.gov/members/member-page/email/?district=126</v>
      </c>
      <c r="P129" s="14">
        <v>2018.0</v>
      </c>
      <c r="Q129" s="14">
        <v>2020.0</v>
      </c>
      <c r="S129" s="14" t="s">
        <v>12998</v>
      </c>
      <c r="U129" s="14" t="s">
        <v>12332</v>
      </c>
      <c r="V129" t="str">
        <f t="shared" si="13"/>
        <v/>
      </c>
      <c r="W129" s="139" t="str">
        <f t="shared" si="14"/>
        <v/>
      </c>
      <c r="X129" t="str">
        <f t="shared" si="4"/>
        <v/>
      </c>
      <c r="Y129" t="str">
        <f t="shared" si="5"/>
        <v/>
      </c>
      <c r="Z129" t="str">
        <f t="shared" si="15"/>
        <v/>
      </c>
    </row>
    <row r="130">
      <c r="A130" s="14" t="s">
        <v>44</v>
      </c>
      <c r="B130" s="74">
        <v>127.0</v>
      </c>
      <c r="C130" s="35" t="s">
        <v>239</v>
      </c>
      <c r="D130" s="35" t="s">
        <v>12999</v>
      </c>
      <c r="E130" s="51" t="s">
        <v>53</v>
      </c>
      <c r="F130" s="200"/>
      <c r="G130" s="200"/>
      <c r="H130" s="200"/>
      <c r="M130" s="14" t="s">
        <v>13000</v>
      </c>
      <c r="N130" s="596" t="str">
        <f t="shared" si="11"/>
        <v>https://house.texas.gov/members/member-page/email/?district=127</v>
      </c>
      <c r="P130" s="14">
        <v>2010.0</v>
      </c>
      <c r="Q130" s="14">
        <v>2020.0</v>
      </c>
      <c r="S130" s="14" t="s">
        <v>12998</v>
      </c>
      <c r="U130" s="14" t="s">
        <v>13001</v>
      </c>
      <c r="V130" t="str">
        <f t="shared" si="13"/>
        <v/>
      </c>
      <c r="W130" s="139" t="str">
        <f t="shared" si="14"/>
        <v/>
      </c>
      <c r="X130" t="str">
        <f t="shared" si="4"/>
        <v/>
      </c>
      <c r="Y130" t="str">
        <f t="shared" si="5"/>
        <v/>
      </c>
      <c r="Z130" t="str">
        <f t="shared" si="15"/>
        <v/>
      </c>
    </row>
    <row r="131">
      <c r="A131" s="14" t="s">
        <v>44</v>
      </c>
      <c r="B131" s="74">
        <v>128.0</v>
      </c>
      <c r="C131" s="35" t="s">
        <v>12512</v>
      </c>
      <c r="D131" s="35" t="s">
        <v>6359</v>
      </c>
      <c r="E131" s="51" t="s">
        <v>53</v>
      </c>
      <c r="F131" s="200"/>
      <c r="G131" s="200"/>
      <c r="H131" s="200"/>
      <c r="M131" s="14" t="s">
        <v>13002</v>
      </c>
      <c r="N131" s="596" t="str">
        <f t="shared" si="11"/>
        <v>https://house.texas.gov/members/member-page/email/?district=128</v>
      </c>
      <c r="P131" s="14">
        <v>2016.0</v>
      </c>
      <c r="Q131" s="14">
        <v>2020.0</v>
      </c>
      <c r="S131" s="14" t="s">
        <v>12998</v>
      </c>
      <c r="U131" s="14" t="s">
        <v>12783</v>
      </c>
      <c r="V131" t="str">
        <f t="shared" si="13"/>
        <v/>
      </c>
      <c r="W131" s="139" t="str">
        <f t="shared" si="14"/>
        <v/>
      </c>
      <c r="X131" t="str">
        <f t="shared" si="4"/>
        <v/>
      </c>
      <c r="Y131" t="str">
        <f t="shared" si="5"/>
        <v/>
      </c>
      <c r="Z131" t="str">
        <f t="shared" si="15"/>
        <v/>
      </c>
    </row>
    <row r="132">
      <c r="A132" s="14" t="s">
        <v>44</v>
      </c>
      <c r="B132" s="74">
        <v>129.0</v>
      </c>
      <c r="C132" s="35" t="s">
        <v>2194</v>
      </c>
      <c r="D132" s="35" t="s">
        <v>679</v>
      </c>
      <c r="E132" s="51" t="s">
        <v>53</v>
      </c>
      <c r="F132" s="200"/>
      <c r="G132" s="200"/>
      <c r="H132" s="399" t="s">
        <v>13003</v>
      </c>
      <c r="M132" s="14" t="s">
        <v>13004</v>
      </c>
      <c r="N132" s="596" t="str">
        <f t="shared" si="11"/>
        <v>https://house.texas.gov/members/member-page/email/?district=129</v>
      </c>
      <c r="P132" s="738">
        <v>2014.0</v>
      </c>
      <c r="Q132" s="728">
        <v>2020.0</v>
      </c>
      <c r="S132" s="14" t="s">
        <v>12998</v>
      </c>
      <c r="U132" s="14" t="s">
        <v>13005</v>
      </c>
      <c r="V132" t="str">
        <f t="shared" si="13"/>
        <v/>
      </c>
      <c r="W132" s="139" t="str">
        <f t="shared" si="14"/>
        <v/>
      </c>
      <c r="X132" t="str">
        <f t="shared" si="4"/>
        <v/>
      </c>
      <c r="Y132" t="str">
        <f t="shared" si="5"/>
        <v/>
      </c>
      <c r="Z132" t="str">
        <f t="shared" si="15"/>
        <v/>
      </c>
    </row>
    <row r="133">
      <c r="A133" s="14" t="s">
        <v>44</v>
      </c>
      <c r="B133" s="74">
        <v>130.0</v>
      </c>
      <c r="C133" s="35" t="s">
        <v>338</v>
      </c>
      <c r="D133" s="35" t="s">
        <v>13006</v>
      </c>
      <c r="E133" s="51" t="s">
        <v>53</v>
      </c>
      <c r="F133" s="200"/>
      <c r="G133" s="200"/>
      <c r="H133" s="399"/>
      <c r="M133" s="14" t="s">
        <v>13007</v>
      </c>
      <c r="N133" s="596" t="str">
        <f t="shared" si="11"/>
        <v>https://house.texas.gov/members/member-page/email/?district=130</v>
      </c>
      <c r="P133" s="14">
        <v>2016.0</v>
      </c>
      <c r="Q133" s="14">
        <v>2020.0</v>
      </c>
      <c r="S133" s="14" t="s">
        <v>12998</v>
      </c>
      <c r="U133" s="14" t="s">
        <v>13008</v>
      </c>
      <c r="V133" t="str">
        <f t="shared" si="13"/>
        <v/>
      </c>
      <c r="W133" s="139" t="str">
        <f t="shared" si="14"/>
        <v/>
      </c>
      <c r="X133" t="str">
        <f t="shared" si="4"/>
        <v/>
      </c>
      <c r="Y133" t="str">
        <f t="shared" si="5"/>
        <v/>
      </c>
      <c r="Z133" t="str">
        <f t="shared" si="15"/>
        <v/>
      </c>
    </row>
    <row r="134">
      <c r="A134" s="14" t="s">
        <v>44</v>
      </c>
      <c r="B134" s="74">
        <v>131.0</v>
      </c>
      <c r="C134" s="35" t="s">
        <v>598</v>
      </c>
      <c r="D134" s="35" t="s">
        <v>241</v>
      </c>
      <c r="E134" s="36" t="s">
        <v>49</v>
      </c>
      <c r="F134" s="200"/>
      <c r="G134" s="200"/>
      <c r="H134" s="200"/>
      <c r="M134" s="14" t="s">
        <v>13009</v>
      </c>
      <c r="N134" s="596" t="str">
        <f t="shared" si="11"/>
        <v>https://house.texas.gov/members/member-page/email/?district=131</v>
      </c>
      <c r="P134" s="14">
        <v>2004.0</v>
      </c>
      <c r="Q134" s="14">
        <v>2020.0</v>
      </c>
      <c r="S134" s="14" t="s">
        <v>12998</v>
      </c>
      <c r="U134" s="14" t="s">
        <v>13010</v>
      </c>
      <c r="V134" t="str">
        <f t="shared" si="13"/>
        <v/>
      </c>
      <c r="W134" s="139" t="str">
        <f t="shared" si="14"/>
        <v/>
      </c>
      <c r="X134" t="str">
        <f t="shared" si="4"/>
        <v/>
      </c>
      <c r="Y134" t="str">
        <f t="shared" si="5"/>
        <v/>
      </c>
      <c r="Z134" t="str">
        <f t="shared" si="15"/>
        <v/>
      </c>
    </row>
    <row r="135">
      <c r="A135" s="14" t="s">
        <v>44</v>
      </c>
      <c r="B135" s="74">
        <v>132.0</v>
      </c>
      <c r="C135" s="38" t="s">
        <v>6130</v>
      </c>
      <c r="D135" s="38" t="s">
        <v>13011</v>
      </c>
      <c r="E135" s="36" t="s">
        <v>49</v>
      </c>
      <c r="F135" s="200"/>
      <c r="G135" s="200"/>
      <c r="H135" s="399" t="s">
        <v>13012</v>
      </c>
      <c r="M135" s="14" t="s">
        <v>13013</v>
      </c>
      <c r="N135" s="596" t="str">
        <f t="shared" si="11"/>
        <v>https://house.texas.gov/members/member-page/email/?district=132</v>
      </c>
      <c r="P135" s="14">
        <v>2018.0</v>
      </c>
      <c r="Q135" s="14">
        <v>2020.0</v>
      </c>
      <c r="S135" s="14" t="s">
        <v>12998</v>
      </c>
      <c r="U135" s="14" t="s">
        <v>13014</v>
      </c>
      <c r="V135" t="str">
        <f t="shared" si="13"/>
        <v/>
      </c>
      <c r="W135" s="139" t="str">
        <f t="shared" si="14"/>
        <v/>
      </c>
      <c r="X135" t="str">
        <f t="shared" si="4"/>
        <v/>
      </c>
      <c r="Y135" t="str">
        <f t="shared" si="5"/>
        <v/>
      </c>
      <c r="Z135" t="str">
        <f t="shared" si="15"/>
        <v/>
      </c>
    </row>
    <row r="136">
      <c r="A136" s="14" t="s">
        <v>44</v>
      </c>
      <c r="B136" s="74">
        <v>133.0</v>
      </c>
      <c r="C136" s="35" t="s">
        <v>476</v>
      </c>
      <c r="D136" s="35" t="s">
        <v>3019</v>
      </c>
      <c r="E136" s="51" t="s">
        <v>53</v>
      </c>
      <c r="F136" s="200"/>
      <c r="G136" s="200"/>
      <c r="H136" s="200"/>
      <c r="L136" s="14" t="s">
        <v>13015</v>
      </c>
      <c r="M136" s="14" t="s">
        <v>13016</v>
      </c>
      <c r="N136" s="596" t="str">
        <f t="shared" si="11"/>
        <v>https://house.texas.gov/members/member-page/email/?district=133</v>
      </c>
      <c r="P136" s="14">
        <v>2006.0</v>
      </c>
      <c r="Q136" s="14">
        <v>2020.0</v>
      </c>
      <c r="S136" s="14" t="s">
        <v>12998</v>
      </c>
      <c r="U136" s="14" t="s">
        <v>13017</v>
      </c>
      <c r="V136" t="str">
        <f t="shared" si="13"/>
        <v/>
      </c>
      <c r="W136" s="139" t="str">
        <f t="shared" si="14"/>
        <v/>
      </c>
      <c r="X136" t="str">
        <f t="shared" si="4"/>
        <v/>
      </c>
      <c r="Y136" t="str">
        <f t="shared" si="5"/>
        <v/>
      </c>
      <c r="Z136" t="str">
        <f t="shared" si="15"/>
        <v/>
      </c>
    </row>
    <row r="137">
      <c r="A137" s="14" t="s">
        <v>44</v>
      </c>
      <c r="B137" s="74">
        <v>134.0</v>
      </c>
      <c r="C137" s="35" t="s">
        <v>210</v>
      </c>
      <c r="D137" s="35" t="s">
        <v>1254</v>
      </c>
      <c r="E137" s="51" t="s">
        <v>53</v>
      </c>
      <c r="F137" s="200"/>
      <c r="G137" s="200"/>
      <c r="H137" s="399" t="s">
        <v>12383</v>
      </c>
      <c r="M137" s="14" t="s">
        <v>13018</v>
      </c>
      <c r="N137" s="596" t="str">
        <f t="shared" si="11"/>
        <v>https://house.texas.gov/members/member-page/email/?district=134</v>
      </c>
      <c r="P137" s="14">
        <v>2010.0</v>
      </c>
      <c r="Q137" s="14">
        <v>2020.0</v>
      </c>
      <c r="S137" s="14" t="s">
        <v>12998</v>
      </c>
      <c r="U137" s="14" t="s">
        <v>12783</v>
      </c>
      <c r="V137" t="str">
        <f t="shared" si="13"/>
        <v/>
      </c>
      <c r="W137" s="139" t="str">
        <f t="shared" si="14"/>
        <v/>
      </c>
      <c r="X137" t="str">
        <f t="shared" si="4"/>
        <v/>
      </c>
      <c r="Y137" t="str">
        <f t="shared" si="5"/>
        <v/>
      </c>
      <c r="Z137" t="str">
        <f t="shared" si="15"/>
        <v/>
      </c>
    </row>
    <row r="138">
      <c r="A138" s="14" t="s">
        <v>44</v>
      </c>
      <c r="B138" s="74">
        <v>135.0</v>
      </c>
      <c r="C138" s="38" t="s">
        <v>1387</v>
      </c>
      <c r="D138" s="38" t="s">
        <v>13019</v>
      </c>
      <c r="E138" s="36" t="s">
        <v>49</v>
      </c>
      <c r="F138" s="200"/>
      <c r="G138" s="200"/>
      <c r="H138" s="200"/>
      <c r="M138" s="14" t="s">
        <v>13020</v>
      </c>
      <c r="N138" s="596" t="str">
        <f t="shared" si="11"/>
        <v>https://house.texas.gov/members/member-page/email/?district=135</v>
      </c>
      <c r="P138" s="14">
        <v>2018.0</v>
      </c>
      <c r="Q138" s="14">
        <v>2020.0</v>
      </c>
      <c r="S138" s="14" t="s">
        <v>12998</v>
      </c>
      <c r="U138" s="14" t="s">
        <v>13021</v>
      </c>
      <c r="V138" t="str">
        <f t="shared" si="13"/>
        <v/>
      </c>
      <c r="W138" s="139" t="str">
        <f t="shared" si="14"/>
        <v/>
      </c>
      <c r="X138" t="str">
        <f t="shared" si="4"/>
        <v/>
      </c>
      <c r="Y138" t="str">
        <f t="shared" si="5"/>
        <v/>
      </c>
      <c r="Z138" t="str">
        <f t="shared" si="15"/>
        <v/>
      </c>
    </row>
    <row r="139">
      <c r="A139" s="14" t="s">
        <v>44</v>
      </c>
      <c r="B139" s="74">
        <v>136.0</v>
      </c>
      <c r="C139" s="38" t="s">
        <v>278</v>
      </c>
      <c r="D139" s="38" t="s">
        <v>13022</v>
      </c>
      <c r="E139" s="36" t="s">
        <v>49</v>
      </c>
      <c r="F139" s="200"/>
      <c r="G139" s="200"/>
      <c r="H139" s="200"/>
      <c r="M139" s="14" t="s">
        <v>13023</v>
      </c>
      <c r="N139" s="596" t="str">
        <f t="shared" si="11"/>
        <v>https://house.texas.gov/members/member-page/email/?district=136</v>
      </c>
      <c r="P139" s="14">
        <v>2018.0</v>
      </c>
      <c r="Q139" s="14">
        <v>2020.0</v>
      </c>
      <c r="S139" s="14" t="s">
        <v>13024</v>
      </c>
      <c r="U139" s="14" t="s">
        <v>12757</v>
      </c>
      <c r="V139" t="str">
        <f t="shared" si="13"/>
        <v/>
      </c>
      <c r="W139" s="139" t="str">
        <f t="shared" si="14"/>
        <v/>
      </c>
      <c r="X139" t="str">
        <f t="shared" si="4"/>
        <v/>
      </c>
      <c r="Y139" t="str">
        <f t="shared" si="5"/>
        <v/>
      </c>
      <c r="Z139" t="str">
        <f t="shared" si="15"/>
        <v/>
      </c>
    </row>
    <row r="140">
      <c r="A140" s="14" t="s">
        <v>44</v>
      </c>
      <c r="B140" s="74">
        <v>137.0</v>
      </c>
      <c r="C140" s="35" t="s">
        <v>3242</v>
      </c>
      <c r="D140" s="35" t="s">
        <v>13025</v>
      </c>
      <c r="E140" s="36" t="s">
        <v>49</v>
      </c>
      <c r="F140" s="200"/>
      <c r="G140" s="200"/>
      <c r="H140" s="399" t="s">
        <v>13026</v>
      </c>
      <c r="M140" s="14" t="s">
        <v>13027</v>
      </c>
      <c r="N140" s="596" t="str">
        <f t="shared" si="11"/>
        <v>https://house.texas.gov/members/member-page/email/?district=137</v>
      </c>
      <c r="P140" s="14">
        <v>2012.0</v>
      </c>
      <c r="Q140" s="14">
        <v>2020.0</v>
      </c>
      <c r="S140" s="14" t="s">
        <v>12998</v>
      </c>
      <c r="U140" s="14" t="s">
        <v>13028</v>
      </c>
      <c r="V140" t="str">
        <f t="shared" si="13"/>
        <v/>
      </c>
      <c r="W140" s="139" t="str">
        <f t="shared" si="14"/>
        <v/>
      </c>
      <c r="X140" t="str">
        <f t="shared" si="4"/>
        <v/>
      </c>
      <c r="Y140" t="str">
        <f t="shared" si="5"/>
        <v/>
      </c>
      <c r="Z140" t="str">
        <f t="shared" si="15"/>
        <v/>
      </c>
    </row>
    <row r="141">
      <c r="A141" s="14" t="s">
        <v>44</v>
      </c>
      <c r="B141" s="74">
        <v>138.0</v>
      </c>
      <c r="C141" s="35" t="s">
        <v>5752</v>
      </c>
      <c r="D141" s="35" t="s">
        <v>13029</v>
      </c>
      <c r="E141" s="51" t="s">
        <v>53</v>
      </c>
      <c r="F141" s="200"/>
      <c r="G141" s="200"/>
      <c r="H141" s="200"/>
      <c r="M141" s="14" t="s">
        <v>13030</v>
      </c>
      <c r="N141" s="596" t="str">
        <f t="shared" si="11"/>
        <v>https://house.texas.gov/members/member-page/email/?district=138</v>
      </c>
      <c r="P141" s="14">
        <v>2002.0</v>
      </c>
      <c r="Q141" s="14">
        <v>2020.0</v>
      </c>
      <c r="S141" s="14" t="s">
        <v>12998</v>
      </c>
      <c r="U141" s="14" t="s">
        <v>12332</v>
      </c>
      <c r="V141" t="str">
        <f t="shared" si="13"/>
        <v/>
      </c>
      <c r="W141" s="139" t="str">
        <f t="shared" si="14"/>
        <v/>
      </c>
      <c r="X141" t="str">
        <f t="shared" si="4"/>
        <v/>
      </c>
      <c r="Y141" t="str">
        <f t="shared" si="5"/>
        <v/>
      </c>
      <c r="Z141" t="str">
        <f t="shared" si="15"/>
        <v/>
      </c>
    </row>
    <row r="142">
      <c r="A142" s="14" t="s">
        <v>44</v>
      </c>
      <c r="B142" s="74">
        <v>139.0</v>
      </c>
      <c r="C142" s="35" t="s">
        <v>7862</v>
      </c>
      <c r="D142" s="35" t="s">
        <v>118</v>
      </c>
      <c r="E142" s="36" t="s">
        <v>49</v>
      </c>
      <c r="F142" s="200"/>
      <c r="G142" s="200"/>
      <c r="H142" s="399" t="s">
        <v>12260</v>
      </c>
      <c r="M142" s="14" t="s">
        <v>13031</v>
      </c>
      <c r="N142" s="596" t="str">
        <f t="shared" si="11"/>
        <v>https://house.texas.gov/members/member-page/email/?district=139</v>
      </c>
      <c r="P142" s="14">
        <v>2016.0</v>
      </c>
      <c r="Q142" s="14">
        <v>2020.0</v>
      </c>
      <c r="S142" s="14" t="s">
        <v>12998</v>
      </c>
      <c r="U142" s="14" t="s">
        <v>12332</v>
      </c>
      <c r="V142" t="str">
        <f t="shared" si="13"/>
        <v/>
      </c>
      <c r="W142" s="139" t="str">
        <f t="shared" si="14"/>
        <v/>
      </c>
      <c r="X142" t="str">
        <f t="shared" si="4"/>
        <v/>
      </c>
      <c r="Y142" t="str">
        <f t="shared" si="5"/>
        <v/>
      </c>
      <c r="Z142" t="str">
        <f t="shared" si="15"/>
        <v/>
      </c>
    </row>
    <row r="143">
      <c r="A143" s="14" t="s">
        <v>44</v>
      </c>
      <c r="B143" s="74">
        <v>140.0</v>
      </c>
      <c r="C143" s="35" t="s">
        <v>12501</v>
      </c>
      <c r="D143" s="35" t="s">
        <v>13032</v>
      </c>
      <c r="E143" s="36" t="s">
        <v>49</v>
      </c>
      <c r="F143" s="200"/>
      <c r="G143" s="200"/>
      <c r="H143" s="399" t="s">
        <v>13033</v>
      </c>
      <c r="M143" s="14" t="s">
        <v>13034</v>
      </c>
      <c r="N143" s="596" t="str">
        <f t="shared" si="11"/>
        <v>https://house.texas.gov/members/member-page/email/?district=140</v>
      </c>
      <c r="P143" s="14">
        <v>2008.0</v>
      </c>
      <c r="Q143" s="14">
        <v>2020.0</v>
      </c>
      <c r="S143" s="14" t="s">
        <v>12998</v>
      </c>
      <c r="U143" s="14" t="s">
        <v>13035</v>
      </c>
      <c r="V143" t="str">
        <f t="shared" si="13"/>
        <v/>
      </c>
      <c r="W143" s="139" t="str">
        <f t="shared" si="14"/>
        <v/>
      </c>
      <c r="X143" t="str">
        <f t="shared" si="4"/>
        <v/>
      </c>
      <c r="Y143" t="str">
        <f t="shared" si="5"/>
        <v/>
      </c>
      <c r="Z143" t="str">
        <f t="shared" si="15"/>
        <v/>
      </c>
    </row>
    <row r="144">
      <c r="A144" s="14" t="s">
        <v>44</v>
      </c>
      <c r="B144" s="74">
        <v>141.0</v>
      </c>
      <c r="C144" s="35" t="s">
        <v>13036</v>
      </c>
      <c r="D144" s="35" t="s">
        <v>59</v>
      </c>
      <c r="E144" s="36" t="s">
        <v>49</v>
      </c>
      <c r="F144" s="200"/>
      <c r="G144" s="200"/>
      <c r="H144" s="399" t="s">
        <v>13037</v>
      </c>
      <c r="M144" s="14" t="s">
        <v>13038</v>
      </c>
      <c r="N144" s="596" t="str">
        <f t="shared" si="11"/>
        <v>https://house.texas.gov/members/member-page/email/?district=141</v>
      </c>
      <c r="P144" s="14">
        <v>1972.0</v>
      </c>
      <c r="Q144" s="14">
        <v>2020.0</v>
      </c>
      <c r="S144" s="14" t="s">
        <v>12998</v>
      </c>
      <c r="U144" s="14" t="s">
        <v>13039</v>
      </c>
      <c r="V144" t="str">
        <f t="shared" si="13"/>
        <v/>
      </c>
      <c r="W144" s="139" t="str">
        <f t="shared" si="14"/>
        <v/>
      </c>
      <c r="X144" t="str">
        <f t="shared" si="4"/>
        <v/>
      </c>
      <c r="Y144" t="str">
        <f t="shared" si="5"/>
        <v/>
      </c>
      <c r="Z144" t="str">
        <f t="shared" si="15"/>
        <v/>
      </c>
    </row>
    <row r="145">
      <c r="A145" s="14" t="s">
        <v>44</v>
      </c>
      <c r="B145" s="74">
        <v>142.0</v>
      </c>
      <c r="C145" s="35" t="s">
        <v>4516</v>
      </c>
      <c r="D145" s="38" t="s">
        <v>13040</v>
      </c>
      <c r="E145" s="36" t="s">
        <v>49</v>
      </c>
      <c r="F145" s="200"/>
      <c r="G145" s="200"/>
      <c r="H145" s="200"/>
      <c r="M145" s="14" t="s">
        <v>13041</v>
      </c>
      <c r="N145" s="596" t="str">
        <f t="shared" si="11"/>
        <v>https://house.texas.gov/members/member-page/email/?district=142</v>
      </c>
      <c r="P145" s="728">
        <v>1984.0</v>
      </c>
      <c r="Q145" s="14">
        <v>2020.0</v>
      </c>
      <c r="S145" s="14" t="s">
        <v>12998</v>
      </c>
      <c r="U145" s="14" t="s">
        <v>12783</v>
      </c>
      <c r="V145" t="str">
        <f t="shared" si="13"/>
        <v/>
      </c>
      <c r="W145" s="139" t="str">
        <f t="shared" si="14"/>
        <v/>
      </c>
      <c r="X145" t="str">
        <f t="shared" si="4"/>
        <v/>
      </c>
      <c r="Y145" t="str">
        <f t="shared" si="5"/>
        <v/>
      </c>
      <c r="Z145" t="str">
        <f t="shared" si="15"/>
        <v/>
      </c>
    </row>
    <row r="146">
      <c r="A146" s="14" t="s">
        <v>44</v>
      </c>
      <c r="B146" s="74">
        <v>143.0</v>
      </c>
      <c r="C146" s="35" t="s">
        <v>3087</v>
      </c>
      <c r="D146" s="35" t="s">
        <v>562</v>
      </c>
      <c r="E146" s="36" t="s">
        <v>49</v>
      </c>
      <c r="F146" s="200"/>
      <c r="G146" s="200"/>
      <c r="H146" s="399"/>
      <c r="M146" s="14" t="s">
        <v>13042</v>
      </c>
      <c r="N146" s="596" t="str">
        <f t="shared" si="11"/>
        <v>https://house.texas.gov/members/member-page/email/?district=143</v>
      </c>
      <c r="P146" s="14" t="s">
        <v>13043</v>
      </c>
      <c r="Q146" s="14">
        <v>2020.0</v>
      </c>
      <c r="S146" s="14" t="s">
        <v>12998</v>
      </c>
      <c r="U146" s="14" t="s">
        <v>12783</v>
      </c>
      <c r="V146" t="str">
        <f t="shared" si="13"/>
        <v/>
      </c>
      <c r="W146" s="139" t="str">
        <f t="shared" si="14"/>
        <v/>
      </c>
      <c r="X146" t="str">
        <f t="shared" si="4"/>
        <v/>
      </c>
      <c r="Y146" t="str">
        <f t="shared" si="5"/>
        <v/>
      </c>
      <c r="Z146" t="str">
        <f t="shared" si="15"/>
        <v/>
      </c>
    </row>
    <row r="147">
      <c r="A147" s="14" t="s">
        <v>44</v>
      </c>
      <c r="B147" s="74">
        <v>144.0</v>
      </c>
      <c r="C147" s="35" t="s">
        <v>514</v>
      </c>
      <c r="D147" s="38" t="s">
        <v>13045</v>
      </c>
      <c r="E147" s="36" t="s">
        <v>49</v>
      </c>
      <c r="F147" s="200"/>
      <c r="G147" s="200"/>
      <c r="H147" s="399"/>
      <c r="M147" s="14" t="s">
        <v>13046</v>
      </c>
      <c r="N147" s="596" t="str">
        <f t="shared" si="11"/>
        <v>https://house.texas.gov/members/member-page/email/?district=144</v>
      </c>
      <c r="P147" s="14">
        <v>2016.0</v>
      </c>
      <c r="Q147" s="728">
        <v>2020.0</v>
      </c>
      <c r="S147" s="14" t="s">
        <v>12998</v>
      </c>
      <c r="U147" s="14" t="s">
        <v>12332</v>
      </c>
      <c r="V147" t="str">
        <f t="shared" si="13"/>
        <v/>
      </c>
      <c r="W147" s="139" t="str">
        <f t="shared" si="14"/>
        <v/>
      </c>
      <c r="X147" t="str">
        <f t="shared" si="4"/>
        <v/>
      </c>
      <c r="Y147" t="str">
        <f t="shared" si="5"/>
        <v/>
      </c>
      <c r="Z147" t="str">
        <f t="shared" si="15"/>
        <v/>
      </c>
    </row>
    <row r="148">
      <c r="A148" s="14" t="s">
        <v>44</v>
      </c>
      <c r="B148" s="74">
        <v>145.0</v>
      </c>
      <c r="C148" s="35" t="s">
        <v>801</v>
      </c>
      <c r="D148" s="35" t="s">
        <v>5365</v>
      </c>
      <c r="E148" s="36" t="s">
        <v>49</v>
      </c>
      <c r="F148" s="399"/>
      <c r="G148" s="399" t="s">
        <v>13056</v>
      </c>
      <c r="H148" s="200"/>
      <c r="M148" s="14" t="s">
        <v>13057</v>
      </c>
      <c r="N148" s="596" t="str">
        <f t="shared" si="11"/>
        <v>https://house.texas.gov/members/member-page/email/?district=145</v>
      </c>
      <c r="S148" s="14" t="s">
        <v>12998</v>
      </c>
      <c r="V148" t="str">
        <f t="shared" si="13"/>
        <v>Representative</v>
      </c>
      <c r="W148" s="139" t="str">
        <f t="shared" si="14"/>
        <v>Carol</v>
      </c>
      <c r="X148" t="str">
        <f t="shared" si="4"/>
        <v>Alvarado</v>
      </c>
      <c r="Y148" s="596" t="str">
        <f t="shared" si="5"/>
        <v>https://house.texas.gov/members/member-page/email/?district=145</v>
      </c>
      <c r="Z148" t="str">
        <f t="shared" si="15"/>
        <v>Succeeded former Senator Sylvia Garcia. Special election Jan 29 and early voting jan 14 to fill seat</v>
      </c>
    </row>
    <row r="149">
      <c r="A149" s="14" t="s">
        <v>44</v>
      </c>
      <c r="B149" s="74">
        <v>146.0</v>
      </c>
      <c r="C149" s="35" t="s">
        <v>5855</v>
      </c>
      <c r="D149" s="35" t="s">
        <v>13060</v>
      </c>
      <c r="E149" s="36" t="s">
        <v>49</v>
      </c>
      <c r="F149" s="200"/>
      <c r="G149" s="200"/>
      <c r="H149" s="399"/>
      <c r="M149" s="14" t="s">
        <v>13061</v>
      </c>
      <c r="N149" s="596" t="str">
        <f t="shared" si="11"/>
        <v>https://house.texas.gov/members/member-page/email/?district=146</v>
      </c>
      <c r="P149" s="14">
        <v>2016.0</v>
      </c>
      <c r="Q149" s="14">
        <v>2020.0</v>
      </c>
      <c r="S149" s="14" t="s">
        <v>12998</v>
      </c>
      <c r="U149" s="14" t="s">
        <v>12801</v>
      </c>
      <c r="V149" t="str">
        <f t="shared" si="13"/>
        <v/>
      </c>
      <c r="W149" s="139" t="str">
        <f t="shared" si="14"/>
        <v/>
      </c>
      <c r="X149" t="str">
        <f t="shared" si="4"/>
        <v/>
      </c>
      <c r="Y149" t="str">
        <f t="shared" si="5"/>
        <v/>
      </c>
      <c r="Z149" t="str">
        <f t="shared" si="15"/>
        <v/>
      </c>
    </row>
    <row r="150">
      <c r="A150" s="14" t="s">
        <v>44</v>
      </c>
      <c r="B150" s="74">
        <v>147.0</v>
      </c>
      <c r="C150" s="35" t="s">
        <v>13062</v>
      </c>
      <c r="D150" s="35" t="s">
        <v>508</v>
      </c>
      <c r="E150" s="36" t="s">
        <v>49</v>
      </c>
      <c r="F150" s="200"/>
      <c r="G150" s="200"/>
      <c r="H150" s="399" t="s">
        <v>13064</v>
      </c>
      <c r="M150" s="14" t="s">
        <v>13065</v>
      </c>
      <c r="N150" s="596" t="str">
        <f t="shared" si="11"/>
        <v>https://house.texas.gov/members/member-page/email/?district=147</v>
      </c>
      <c r="P150" s="14">
        <v>1990.0</v>
      </c>
      <c r="Q150" s="14">
        <v>2020.0</v>
      </c>
      <c r="S150" s="14" t="s">
        <v>12998</v>
      </c>
      <c r="U150" s="14" t="s">
        <v>12712</v>
      </c>
      <c r="V150" t="str">
        <f t="shared" si="13"/>
        <v/>
      </c>
      <c r="W150" s="139" t="str">
        <f t="shared" si="14"/>
        <v/>
      </c>
      <c r="X150" t="str">
        <f t="shared" si="4"/>
        <v/>
      </c>
      <c r="Y150" t="str">
        <f t="shared" si="5"/>
        <v/>
      </c>
      <c r="Z150" t="str">
        <f t="shared" si="15"/>
        <v/>
      </c>
    </row>
    <row r="151">
      <c r="A151" s="14" t="s">
        <v>44</v>
      </c>
      <c r="B151" s="74">
        <v>148.0</v>
      </c>
      <c r="C151" s="35" t="s">
        <v>6166</v>
      </c>
      <c r="D151" s="38" t="s">
        <v>13070</v>
      </c>
      <c r="E151" s="36" t="s">
        <v>49</v>
      </c>
      <c r="F151" s="200"/>
      <c r="G151" s="200"/>
      <c r="H151" s="399" t="s">
        <v>13071</v>
      </c>
      <c r="L151" s="14" t="s">
        <v>13072</v>
      </c>
      <c r="M151" s="14" t="s">
        <v>13073</v>
      </c>
      <c r="N151" s="596" t="str">
        <f t="shared" si="11"/>
        <v>https://house.texas.gov/members/member-page/email/?district=148</v>
      </c>
      <c r="P151" s="14">
        <v>1994.0</v>
      </c>
      <c r="Q151" s="14">
        <v>2020.0</v>
      </c>
      <c r="S151" s="14" t="s">
        <v>12998</v>
      </c>
      <c r="U151" s="14" t="s">
        <v>12801</v>
      </c>
      <c r="V151" t="str">
        <f t="shared" si="13"/>
        <v/>
      </c>
      <c r="W151" s="139" t="str">
        <f t="shared" si="14"/>
        <v/>
      </c>
      <c r="X151" t="str">
        <f t="shared" si="4"/>
        <v/>
      </c>
      <c r="Y151" t="str">
        <f t="shared" si="5"/>
        <v/>
      </c>
      <c r="Z151" t="str">
        <f t="shared" si="15"/>
        <v/>
      </c>
    </row>
    <row r="152">
      <c r="A152" s="14" t="s">
        <v>44</v>
      </c>
      <c r="B152" s="74">
        <v>149.0</v>
      </c>
      <c r="C152" s="35" t="s">
        <v>13077</v>
      </c>
      <c r="D152" s="35" t="s">
        <v>13082</v>
      </c>
      <c r="E152" s="36" t="s">
        <v>49</v>
      </c>
      <c r="F152" s="200"/>
      <c r="G152" s="200"/>
      <c r="H152" s="200"/>
      <c r="M152" s="14" t="s">
        <v>13083</v>
      </c>
      <c r="N152" s="596" t="str">
        <f t="shared" si="11"/>
        <v>https://house.texas.gov/members/member-page/email/?district=149</v>
      </c>
      <c r="P152" s="14">
        <v>2004.0</v>
      </c>
      <c r="Q152" s="14">
        <v>2020.0</v>
      </c>
      <c r="S152" s="14" t="s">
        <v>12998</v>
      </c>
      <c r="U152" s="14" t="s">
        <v>12428</v>
      </c>
      <c r="V152" t="str">
        <f t="shared" si="13"/>
        <v/>
      </c>
      <c r="W152" s="139" t="str">
        <f t="shared" si="14"/>
        <v/>
      </c>
      <c r="X152" t="str">
        <f t="shared" si="4"/>
        <v/>
      </c>
      <c r="Y152" t="str">
        <f t="shared" si="5"/>
        <v/>
      </c>
      <c r="Z152" t="str">
        <f t="shared" si="15"/>
        <v/>
      </c>
    </row>
    <row r="153">
      <c r="A153" s="14" t="s">
        <v>44</v>
      </c>
      <c r="B153" s="74">
        <v>150.0</v>
      </c>
      <c r="C153" s="35" t="s">
        <v>13084</v>
      </c>
      <c r="D153" s="35" t="s">
        <v>4320</v>
      </c>
      <c r="E153" s="51" t="s">
        <v>53</v>
      </c>
      <c r="F153" s="200"/>
      <c r="G153" s="200"/>
      <c r="H153" s="200"/>
      <c r="M153" s="14" t="s">
        <v>13088</v>
      </c>
      <c r="N153" s="596" t="str">
        <f t="shared" si="11"/>
        <v>https://house.texas.gov/members/member-page/email/?district=150</v>
      </c>
      <c r="P153" s="14">
        <v>2016.0</v>
      </c>
      <c r="Q153" s="14">
        <v>2020.0</v>
      </c>
      <c r="S153" s="14" t="s">
        <v>12998</v>
      </c>
      <c r="U153" s="14" t="s">
        <v>13089</v>
      </c>
      <c r="V153" t="str">
        <f t="shared" si="13"/>
        <v/>
      </c>
      <c r="W153" s="139" t="str">
        <f t="shared" si="14"/>
        <v/>
      </c>
      <c r="X153" t="str">
        <f t="shared" si="4"/>
        <v/>
      </c>
      <c r="Y153" t="str">
        <f t="shared" si="5"/>
        <v/>
      </c>
      <c r="Z153" t="str">
        <f t="shared" si="15"/>
        <v/>
      </c>
    </row>
    <row r="154">
      <c r="A154" s="70"/>
      <c r="B154" s="195"/>
      <c r="C154" s="71"/>
      <c r="D154" s="71"/>
      <c r="E154" s="70"/>
      <c r="F154" s="70"/>
      <c r="G154" s="70"/>
      <c r="H154" s="70"/>
      <c r="I154" s="70"/>
      <c r="J154" s="70"/>
      <c r="K154" s="70"/>
      <c r="L154" s="70"/>
      <c r="M154" s="70"/>
      <c r="N154" s="70"/>
      <c r="O154" s="70"/>
      <c r="P154" s="70"/>
      <c r="Q154" s="70"/>
      <c r="R154" s="70"/>
      <c r="S154" s="70"/>
      <c r="T154" s="70"/>
      <c r="U154" s="70"/>
      <c r="V154" s="70"/>
      <c r="W154" s="70"/>
      <c r="X154" s="70"/>
      <c r="Y154" s="70"/>
      <c r="Z154" s="70"/>
      <c r="AA154" s="70"/>
      <c r="AB154" s="70"/>
      <c r="AC154" s="70"/>
      <c r="AD154" s="70"/>
      <c r="AE154" s="70"/>
      <c r="AF154" s="70"/>
      <c r="AG154" s="70"/>
      <c r="AH154" s="70"/>
      <c r="AI154" s="70"/>
    </row>
    <row r="155">
      <c r="A155" s="14" t="s">
        <v>286</v>
      </c>
      <c r="B155" s="35">
        <v>1.0</v>
      </c>
      <c r="C155" s="35" t="s">
        <v>2775</v>
      </c>
      <c r="D155" s="35" t="s">
        <v>316</v>
      </c>
      <c r="E155" s="51" t="s">
        <v>53</v>
      </c>
      <c r="F155" s="31"/>
      <c r="G155" s="31"/>
      <c r="H155" s="164" t="s">
        <v>13109</v>
      </c>
      <c r="I155" s="399" t="s">
        <v>13110</v>
      </c>
      <c r="J155" s="14" t="s">
        <v>13111</v>
      </c>
      <c r="K155" s="14" t="s">
        <v>13112</v>
      </c>
      <c r="L155" s="14" t="s">
        <v>13113</v>
      </c>
      <c r="M155" s="14" t="s">
        <v>13114</v>
      </c>
      <c r="N155" s="596" t="str">
        <f t="shared" ref="N155:N172" si="16">concatenate("https://senate.texas.gov/member.php?d=",B155)</f>
        <v>https://senate.texas.gov/member.php?d=1</v>
      </c>
      <c r="P155" s="14">
        <v>2016.0</v>
      </c>
      <c r="Q155" s="14">
        <v>2020.0</v>
      </c>
      <c r="S155" s="14" t="s">
        <v>13123</v>
      </c>
      <c r="U155" s="14" t="s">
        <v>12783</v>
      </c>
      <c r="V155" t="str">
        <f t="shared" ref="V155:V185" si="17">if(W155="","",if(A155="House","Representative","Senator"))</f>
        <v/>
      </c>
      <c r="W155" s="139"/>
      <c r="X155" t="str">
        <f t="shared" ref="X155:X185" si="18">if(W155="","",D155)</f>
        <v/>
      </c>
      <c r="Y155" t="str">
        <f t="shared" ref="Y155:Y185" si="19">if(X155="","",N155)</f>
        <v/>
      </c>
      <c r="Z155" t="str">
        <f t="shared" ref="Z155:Z185" si="20">if(Y155="","",if(isblank($G155),$H155,$G155))</f>
        <v/>
      </c>
    </row>
    <row r="156">
      <c r="A156" s="14" t="s">
        <v>286</v>
      </c>
      <c r="B156" s="35">
        <v>2.0</v>
      </c>
      <c r="C156" s="35" t="s">
        <v>419</v>
      </c>
      <c r="D156" s="35" t="s">
        <v>293</v>
      </c>
      <c r="E156" s="51" t="s">
        <v>53</v>
      </c>
      <c r="F156" s="31"/>
      <c r="G156" s="31"/>
      <c r="H156" s="164" t="s">
        <v>13182</v>
      </c>
      <c r="I156" s="399" t="s">
        <v>13183</v>
      </c>
      <c r="M156" s="14" t="s">
        <v>13184</v>
      </c>
      <c r="N156" s="596" t="str">
        <f t="shared" si="16"/>
        <v>https://senate.texas.gov/member.php?d=2</v>
      </c>
      <c r="P156" s="14">
        <v>2014.0</v>
      </c>
      <c r="Q156" s="14">
        <v>2022.0</v>
      </c>
      <c r="S156" s="14" t="s">
        <v>13186</v>
      </c>
      <c r="U156" s="14" t="s">
        <v>13187</v>
      </c>
      <c r="V156" t="str">
        <f t="shared" si="17"/>
        <v/>
      </c>
      <c r="W156" s="139"/>
      <c r="X156" t="str">
        <f t="shared" si="18"/>
        <v/>
      </c>
      <c r="Y156" t="str">
        <f t="shared" si="19"/>
        <v/>
      </c>
      <c r="Z156" t="str">
        <f t="shared" si="20"/>
        <v/>
      </c>
    </row>
    <row r="157">
      <c r="A157" s="14" t="s">
        <v>286</v>
      </c>
      <c r="B157" s="35">
        <v>3.0</v>
      </c>
      <c r="C157" s="35" t="s">
        <v>1134</v>
      </c>
      <c r="D157" s="35" t="s">
        <v>3790</v>
      </c>
      <c r="E157" s="51" t="s">
        <v>53</v>
      </c>
      <c r="G157" s="31"/>
      <c r="H157" s="164" t="s">
        <v>13196</v>
      </c>
      <c r="I157" s="200"/>
      <c r="M157" s="14" t="s">
        <v>13197</v>
      </c>
      <c r="N157" s="596" t="str">
        <f t="shared" si="16"/>
        <v>https://senate.texas.gov/member.php?d=3</v>
      </c>
      <c r="P157" s="14">
        <v>2006.0</v>
      </c>
      <c r="Q157" s="14">
        <v>2022.0</v>
      </c>
      <c r="S157" s="14" t="s">
        <v>13198</v>
      </c>
      <c r="U157" s="14" t="s">
        <v>13199</v>
      </c>
      <c r="V157" t="str">
        <f t="shared" si="17"/>
        <v/>
      </c>
      <c r="W157" s="139"/>
      <c r="X157" t="str">
        <f t="shared" si="18"/>
        <v/>
      </c>
      <c r="Y157" t="str">
        <f t="shared" si="19"/>
        <v/>
      </c>
      <c r="Z157" t="str">
        <f t="shared" si="20"/>
        <v/>
      </c>
    </row>
    <row r="158">
      <c r="A158" s="14" t="s">
        <v>286</v>
      </c>
      <c r="B158" s="35">
        <v>4.0</v>
      </c>
      <c r="C158" s="35" t="s">
        <v>2500</v>
      </c>
      <c r="D158" s="35" t="s">
        <v>13218</v>
      </c>
      <c r="E158" s="51" t="s">
        <v>53</v>
      </c>
      <c r="F158" s="774" t="s">
        <v>13220</v>
      </c>
      <c r="G158" s="31"/>
      <c r="H158" s="164" t="s">
        <v>13223</v>
      </c>
      <c r="I158" s="200"/>
      <c r="M158" s="14" t="s">
        <v>13225</v>
      </c>
      <c r="N158" s="596" t="str">
        <f t="shared" si="16"/>
        <v>https://senate.texas.gov/member.php?d=4</v>
      </c>
      <c r="P158" s="14">
        <v>2014.0</v>
      </c>
      <c r="Q158" s="14">
        <v>2020.0</v>
      </c>
      <c r="S158" s="14" t="s">
        <v>13230</v>
      </c>
      <c r="U158" s="14" t="s">
        <v>12783</v>
      </c>
      <c r="V158" t="str">
        <f t="shared" si="17"/>
        <v/>
      </c>
      <c r="W158" s="139"/>
      <c r="X158" t="str">
        <f t="shared" si="18"/>
        <v/>
      </c>
      <c r="Y158" t="str">
        <f t="shared" si="19"/>
        <v/>
      </c>
      <c r="Z158" t="str">
        <f t="shared" si="20"/>
        <v/>
      </c>
    </row>
    <row r="159">
      <c r="A159" s="14" t="s">
        <v>286</v>
      </c>
      <c r="B159" s="35">
        <v>5.0</v>
      </c>
      <c r="C159" s="35" t="s">
        <v>1287</v>
      </c>
      <c r="D159" s="35" t="s">
        <v>13255</v>
      </c>
      <c r="E159" s="51" t="s">
        <v>53</v>
      </c>
      <c r="F159" s="31"/>
      <c r="G159" s="31"/>
      <c r="H159" s="164" t="s">
        <v>13256</v>
      </c>
      <c r="I159" s="200"/>
      <c r="L159" s="14" t="s">
        <v>13257</v>
      </c>
      <c r="M159" s="14" t="s">
        <v>13259</v>
      </c>
      <c r="N159" s="596" t="str">
        <f t="shared" si="16"/>
        <v>https://senate.texas.gov/member.php?d=5</v>
      </c>
      <c r="P159" s="14">
        <v>2012.0</v>
      </c>
      <c r="Q159" s="14">
        <v>2022.0</v>
      </c>
      <c r="S159" s="14" t="s">
        <v>13262</v>
      </c>
      <c r="U159" s="14" t="s">
        <v>13263</v>
      </c>
      <c r="V159" t="str">
        <f t="shared" si="17"/>
        <v/>
      </c>
      <c r="W159" s="139"/>
      <c r="X159" t="str">
        <f t="shared" si="18"/>
        <v/>
      </c>
      <c r="Y159" t="str">
        <f t="shared" si="19"/>
        <v/>
      </c>
      <c r="Z159" t="str">
        <f t="shared" si="20"/>
        <v/>
      </c>
    </row>
    <row r="160">
      <c r="A160" s="14" t="s">
        <v>286</v>
      </c>
      <c r="B160" s="35">
        <v>6.0</v>
      </c>
      <c r="C160" s="35" t="s">
        <v>1192</v>
      </c>
      <c r="D160" s="35" t="s">
        <v>1772</v>
      </c>
      <c r="E160" s="36" t="s">
        <v>49</v>
      </c>
      <c r="F160" s="31"/>
      <c r="G160" s="31"/>
      <c r="H160" s="164" t="s">
        <v>13277</v>
      </c>
      <c r="I160" s="31"/>
      <c r="L160" s="14" t="s">
        <v>13278</v>
      </c>
      <c r="M160" s="14" t="s">
        <v>13279</v>
      </c>
      <c r="N160" s="596" t="str">
        <f t="shared" si="16"/>
        <v>https://senate.texas.gov/member.php?d=6</v>
      </c>
      <c r="P160" s="14">
        <v>2018.0</v>
      </c>
      <c r="Q160" s="728" t="s">
        <v>13281</v>
      </c>
      <c r="S160" s="14" t="s">
        <v>2362</v>
      </c>
      <c r="U160" s="14" t="s">
        <v>13282</v>
      </c>
      <c r="V160" t="str">
        <f t="shared" si="17"/>
        <v/>
      </c>
      <c r="W160" s="139"/>
      <c r="X160" t="str">
        <f t="shared" si="18"/>
        <v/>
      </c>
      <c r="Y160" t="str">
        <f t="shared" si="19"/>
        <v/>
      </c>
      <c r="Z160" t="str">
        <f t="shared" si="20"/>
        <v/>
      </c>
    </row>
    <row r="161">
      <c r="A161" s="14" t="s">
        <v>286</v>
      </c>
      <c r="B161" s="35">
        <v>7.0</v>
      </c>
      <c r="C161" s="35" t="s">
        <v>679</v>
      </c>
      <c r="D161" s="35" t="s">
        <v>13306</v>
      </c>
      <c r="E161" s="51" t="s">
        <v>53</v>
      </c>
      <c r="F161" s="31"/>
      <c r="G161" s="31"/>
      <c r="H161" s="164" t="s">
        <v>13308</v>
      </c>
      <c r="I161" s="31"/>
      <c r="M161" s="14" t="s">
        <v>13309</v>
      </c>
      <c r="N161" s="596" t="str">
        <f t="shared" si="16"/>
        <v>https://senate.texas.gov/member.php?d=7</v>
      </c>
      <c r="P161" s="14">
        <v>2014.0</v>
      </c>
      <c r="Q161" s="14">
        <v>2022.0</v>
      </c>
      <c r="S161" s="14" t="s">
        <v>2362</v>
      </c>
      <c r="U161" s="14" t="s">
        <v>13313</v>
      </c>
      <c r="V161" t="str">
        <f t="shared" si="17"/>
        <v/>
      </c>
      <c r="W161" s="139"/>
      <c r="X161" t="str">
        <f t="shared" si="18"/>
        <v/>
      </c>
      <c r="Y161" t="str">
        <f t="shared" si="19"/>
        <v/>
      </c>
      <c r="Z161" t="str">
        <f t="shared" si="20"/>
        <v/>
      </c>
    </row>
    <row r="162">
      <c r="A162" s="14" t="s">
        <v>286</v>
      </c>
      <c r="B162" s="35">
        <v>8.0</v>
      </c>
      <c r="C162" s="609" t="s">
        <v>2472</v>
      </c>
      <c r="D162" s="38" t="s">
        <v>10803</v>
      </c>
      <c r="E162" s="51" t="s">
        <v>53</v>
      </c>
      <c r="F162" s="31"/>
      <c r="G162" s="31"/>
      <c r="H162" s="164" t="s">
        <v>13277</v>
      </c>
      <c r="I162" s="200"/>
      <c r="M162" s="14" t="s">
        <v>13327</v>
      </c>
      <c r="N162" s="596" t="str">
        <f t="shared" si="16"/>
        <v>https://senate.texas.gov/member.php?d=8</v>
      </c>
      <c r="P162" s="14">
        <v>2018.0</v>
      </c>
      <c r="Q162" s="14">
        <v>2022.0</v>
      </c>
      <c r="S162" s="14" t="s">
        <v>13332</v>
      </c>
      <c r="U162" s="14" t="s">
        <v>13334</v>
      </c>
      <c r="V162" t="str">
        <f t="shared" si="17"/>
        <v/>
      </c>
      <c r="W162" s="139"/>
      <c r="X162" t="str">
        <f t="shared" si="18"/>
        <v/>
      </c>
      <c r="Y162" t="str">
        <f t="shared" si="19"/>
        <v/>
      </c>
      <c r="Z162" t="str">
        <f t="shared" si="20"/>
        <v/>
      </c>
    </row>
    <row r="163">
      <c r="A163" s="14" t="s">
        <v>286</v>
      </c>
      <c r="B163" s="35">
        <v>9.0</v>
      </c>
      <c r="C163" s="609" t="s">
        <v>130</v>
      </c>
      <c r="D163" s="35" t="s">
        <v>6880</v>
      </c>
      <c r="E163" s="51" t="s">
        <v>53</v>
      </c>
      <c r="F163" s="31"/>
      <c r="G163" s="31"/>
      <c r="H163" s="164" t="s">
        <v>13344</v>
      </c>
      <c r="I163" s="31"/>
      <c r="L163" s="14" t="s">
        <v>13345</v>
      </c>
      <c r="M163" s="14" t="s">
        <v>13346</v>
      </c>
      <c r="N163" s="596" t="str">
        <f t="shared" si="16"/>
        <v>https://senate.texas.gov/member.php?d=9</v>
      </c>
      <c r="P163" s="14">
        <v>2012.0</v>
      </c>
      <c r="Q163" s="14">
        <v>2022.0</v>
      </c>
      <c r="S163" s="14" t="s">
        <v>13347</v>
      </c>
      <c r="U163" s="14" t="s">
        <v>12712</v>
      </c>
      <c r="V163" t="str">
        <f t="shared" si="17"/>
        <v/>
      </c>
      <c r="W163" s="139"/>
      <c r="X163" t="str">
        <f t="shared" si="18"/>
        <v/>
      </c>
      <c r="Y163" t="str">
        <f t="shared" si="19"/>
        <v/>
      </c>
      <c r="Z163" t="str">
        <f t="shared" si="20"/>
        <v/>
      </c>
    </row>
    <row r="164">
      <c r="A164" s="14" t="s">
        <v>286</v>
      </c>
      <c r="B164" s="35">
        <v>10.0</v>
      </c>
      <c r="C164" s="609" t="s">
        <v>3955</v>
      </c>
      <c r="D164" s="38" t="s">
        <v>3264</v>
      </c>
      <c r="E164" s="36" t="s">
        <v>49</v>
      </c>
      <c r="F164" s="31"/>
      <c r="G164" s="31"/>
      <c r="H164" s="164" t="s">
        <v>13277</v>
      </c>
      <c r="I164" s="31"/>
      <c r="M164" s="14" t="s">
        <v>13350</v>
      </c>
      <c r="N164" s="596" t="str">
        <f t="shared" si="16"/>
        <v>https://senate.texas.gov/member.php?d=10</v>
      </c>
      <c r="P164" s="14">
        <v>2018.0</v>
      </c>
      <c r="Q164" s="14">
        <v>2022.0</v>
      </c>
      <c r="S164" s="14" t="s">
        <v>13351</v>
      </c>
      <c r="U164" s="14" t="s">
        <v>13352</v>
      </c>
      <c r="V164" t="str">
        <f t="shared" si="17"/>
        <v/>
      </c>
      <c r="W164" s="139"/>
      <c r="X164" t="str">
        <f t="shared" si="18"/>
        <v/>
      </c>
      <c r="Y164" t="str">
        <f t="shared" si="19"/>
        <v/>
      </c>
      <c r="Z164" t="str">
        <f t="shared" si="20"/>
        <v/>
      </c>
    </row>
    <row r="165">
      <c r="A165" s="14" t="s">
        <v>286</v>
      </c>
      <c r="B165" s="35">
        <v>11.0</v>
      </c>
      <c r="C165" s="609" t="s">
        <v>839</v>
      </c>
      <c r="D165" s="35" t="s">
        <v>4255</v>
      </c>
      <c r="E165" s="51" t="s">
        <v>53</v>
      </c>
      <c r="F165" s="31"/>
      <c r="G165" s="31"/>
      <c r="H165" s="164" t="s">
        <v>13356</v>
      </c>
      <c r="I165" s="200"/>
      <c r="L165" s="14" t="s">
        <v>13357</v>
      </c>
      <c r="M165" s="14" t="s">
        <v>13359</v>
      </c>
      <c r="N165" s="596" t="str">
        <f t="shared" si="16"/>
        <v>https://senate.texas.gov/member.php?d=11</v>
      </c>
      <c r="P165" s="14">
        <v>2012.0</v>
      </c>
      <c r="Q165" s="14">
        <v>2020.0</v>
      </c>
      <c r="S165" s="14" t="s">
        <v>13360</v>
      </c>
      <c r="U165" s="14" t="s">
        <v>12712</v>
      </c>
      <c r="V165" t="str">
        <f t="shared" si="17"/>
        <v/>
      </c>
      <c r="W165" s="139"/>
      <c r="X165" t="str">
        <f t="shared" si="18"/>
        <v/>
      </c>
      <c r="Y165" t="str">
        <f t="shared" si="19"/>
        <v/>
      </c>
      <c r="Z165" t="str">
        <f t="shared" si="20"/>
        <v/>
      </c>
    </row>
    <row r="166">
      <c r="A166" s="14" t="s">
        <v>286</v>
      </c>
      <c r="B166" s="35">
        <v>12.0</v>
      </c>
      <c r="C166" s="609" t="s">
        <v>2443</v>
      </c>
      <c r="D166" s="35" t="s">
        <v>3823</v>
      </c>
      <c r="E166" s="51" t="s">
        <v>53</v>
      </c>
      <c r="F166" s="31"/>
      <c r="G166" s="31"/>
      <c r="H166" s="164" t="s">
        <v>13361</v>
      </c>
      <c r="I166" s="200"/>
      <c r="L166" s="14" t="s">
        <v>13362</v>
      </c>
      <c r="M166" s="14" t="s">
        <v>13363</v>
      </c>
      <c r="N166" s="596" t="str">
        <f t="shared" si="16"/>
        <v>https://senate.texas.gov/member.php?d=12</v>
      </c>
      <c r="P166" s="14">
        <v>1992.0</v>
      </c>
      <c r="Q166" s="14">
        <v>2020.0</v>
      </c>
      <c r="S166" s="14" t="s">
        <v>13364</v>
      </c>
      <c r="U166" s="14" t="s">
        <v>12712</v>
      </c>
      <c r="V166" t="str">
        <f t="shared" si="17"/>
        <v/>
      </c>
      <c r="W166" s="139"/>
      <c r="X166" t="str">
        <f t="shared" si="18"/>
        <v/>
      </c>
      <c r="Y166" t="str">
        <f t="shared" si="19"/>
        <v/>
      </c>
      <c r="Z166" t="str">
        <f t="shared" si="20"/>
        <v/>
      </c>
    </row>
    <row r="167">
      <c r="A167" s="14" t="s">
        <v>286</v>
      </c>
      <c r="B167" s="35">
        <v>13.0</v>
      </c>
      <c r="C167" s="609" t="s">
        <v>13367</v>
      </c>
      <c r="D167" s="35" t="s">
        <v>5136</v>
      </c>
      <c r="E167" s="36" t="s">
        <v>49</v>
      </c>
      <c r="F167" s="31"/>
      <c r="G167" s="31"/>
      <c r="H167" s="164" t="s">
        <v>13368</v>
      </c>
      <c r="I167" s="200"/>
      <c r="L167" s="14" t="s">
        <v>13369</v>
      </c>
      <c r="M167" s="14" t="s">
        <v>13370</v>
      </c>
      <c r="N167" s="596" t="str">
        <f t="shared" si="16"/>
        <v>https://senate.texas.gov/member.php?d=13</v>
      </c>
      <c r="P167" s="14">
        <v>2016.0</v>
      </c>
      <c r="Q167" s="14">
        <v>2020.0</v>
      </c>
      <c r="S167" s="14" t="s">
        <v>13371</v>
      </c>
      <c r="U167" s="14" t="s">
        <v>13372</v>
      </c>
      <c r="V167" t="str">
        <f t="shared" si="17"/>
        <v/>
      </c>
      <c r="W167" s="139"/>
      <c r="X167" t="str">
        <f t="shared" si="18"/>
        <v/>
      </c>
      <c r="Y167" t="str">
        <f t="shared" si="19"/>
        <v/>
      </c>
      <c r="Z167" t="str">
        <f t="shared" si="20"/>
        <v/>
      </c>
    </row>
    <row r="168">
      <c r="A168" s="14" t="s">
        <v>286</v>
      </c>
      <c r="B168" s="35">
        <v>14.0</v>
      </c>
      <c r="C168" s="35" t="s">
        <v>619</v>
      </c>
      <c r="D168" s="35" t="s">
        <v>853</v>
      </c>
      <c r="E168" s="36" t="s">
        <v>49</v>
      </c>
      <c r="F168" s="31"/>
      <c r="G168" s="31"/>
      <c r="H168" s="164" t="s">
        <v>13376</v>
      </c>
      <c r="I168" s="200"/>
      <c r="M168" s="14" t="s">
        <v>13377</v>
      </c>
      <c r="N168" s="596" t="str">
        <f t="shared" si="16"/>
        <v>https://senate.texas.gov/member.php?d=14</v>
      </c>
      <c r="P168" s="14">
        <v>2006.0</v>
      </c>
      <c r="Q168" s="14">
        <v>2022.0</v>
      </c>
      <c r="S168" s="14" t="s">
        <v>13378</v>
      </c>
      <c r="U168" s="14" t="s">
        <v>12783</v>
      </c>
      <c r="V168" t="str">
        <f t="shared" si="17"/>
        <v/>
      </c>
      <c r="W168" s="139"/>
      <c r="X168" t="str">
        <f t="shared" si="18"/>
        <v/>
      </c>
      <c r="Y168" t="str">
        <f t="shared" si="19"/>
        <v/>
      </c>
      <c r="Z168" t="str">
        <f t="shared" si="20"/>
        <v/>
      </c>
    </row>
    <row r="169">
      <c r="A169" s="14" t="s">
        <v>286</v>
      </c>
      <c r="B169" s="35">
        <v>15.0</v>
      </c>
      <c r="C169" s="35" t="s">
        <v>278</v>
      </c>
      <c r="D169" s="35" t="s">
        <v>11804</v>
      </c>
      <c r="E169" s="36" t="s">
        <v>49</v>
      </c>
      <c r="F169" s="31"/>
      <c r="G169" s="31"/>
      <c r="H169" s="164" t="s">
        <v>13383</v>
      </c>
      <c r="I169" s="31"/>
      <c r="M169" s="14" t="s">
        <v>13384</v>
      </c>
      <c r="N169" s="596" t="str">
        <f t="shared" si="16"/>
        <v>https://senate.texas.gov/member.php?d=15</v>
      </c>
      <c r="P169" s="14">
        <v>1982.0</v>
      </c>
      <c r="Q169" s="14">
        <v>2022.0</v>
      </c>
      <c r="S169" s="14" t="s">
        <v>2362</v>
      </c>
      <c r="U169" s="14" t="s">
        <v>12783</v>
      </c>
      <c r="V169" t="str">
        <f t="shared" si="17"/>
        <v/>
      </c>
      <c r="W169" s="139"/>
      <c r="X169" t="str">
        <f t="shared" si="18"/>
        <v/>
      </c>
      <c r="Y169" t="str">
        <f t="shared" si="19"/>
        <v/>
      </c>
      <c r="Z169" t="str">
        <f t="shared" si="20"/>
        <v/>
      </c>
    </row>
    <row r="170">
      <c r="A170" s="14" t="s">
        <v>286</v>
      </c>
      <c r="B170" s="35">
        <v>16.0</v>
      </c>
      <c r="C170" s="38" t="s">
        <v>6305</v>
      </c>
      <c r="D170" s="38" t="s">
        <v>118</v>
      </c>
      <c r="E170" s="36" t="s">
        <v>49</v>
      </c>
      <c r="F170" s="31"/>
      <c r="G170" s="31"/>
      <c r="H170" s="164" t="s">
        <v>13277</v>
      </c>
      <c r="I170" s="31"/>
      <c r="M170" s="14" t="s">
        <v>13385</v>
      </c>
      <c r="N170" s="596" t="str">
        <f t="shared" si="16"/>
        <v>https://senate.texas.gov/member.php?d=16</v>
      </c>
      <c r="P170" s="14">
        <v>2018.0</v>
      </c>
      <c r="Q170" s="14">
        <v>2022.0</v>
      </c>
      <c r="S170" s="14" t="s">
        <v>9657</v>
      </c>
      <c r="U170" s="14" t="s">
        <v>12783</v>
      </c>
      <c r="V170" t="str">
        <f t="shared" si="17"/>
        <v/>
      </c>
      <c r="W170" s="139"/>
      <c r="X170" t="str">
        <f t="shared" si="18"/>
        <v/>
      </c>
      <c r="Y170" t="str">
        <f t="shared" si="19"/>
        <v/>
      </c>
      <c r="Z170" t="str">
        <f t="shared" si="20"/>
        <v/>
      </c>
    </row>
    <row r="171">
      <c r="A171" s="14" t="s">
        <v>286</v>
      </c>
      <c r="B171" s="35">
        <v>17.0</v>
      </c>
      <c r="C171" s="35" t="s">
        <v>2882</v>
      </c>
      <c r="D171" s="35" t="s">
        <v>2286</v>
      </c>
      <c r="E171" s="51" t="s">
        <v>53</v>
      </c>
      <c r="F171" s="31"/>
      <c r="G171" s="31"/>
      <c r="H171" s="164" t="s">
        <v>13388</v>
      </c>
      <c r="I171" s="31"/>
      <c r="L171" s="14" t="s">
        <v>13389</v>
      </c>
      <c r="M171" s="14" t="s">
        <v>13390</v>
      </c>
      <c r="N171" s="596" t="str">
        <f t="shared" si="16"/>
        <v>https://senate.texas.gov/member.php?d=17</v>
      </c>
      <c r="P171" s="14">
        <v>2008.0</v>
      </c>
      <c r="Q171" s="728">
        <v>2022.0</v>
      </c>
      <c r="S171" s="14" t="s">
        <v>13391</v>
      </c>
      <c r="U171" s="14" t="s">
        <v>12783</v>
      </c>
      <c r="V171" t="str">
        <f t="shared" si="17"/>
        <v/>
      </c>
      <c r="W171" s="139"/>
      <c r="X171" t="str">
        <f t="shared" si="18"/>
        <v/>
      </c>
      <c r="Y171" t="str">
        <f t="shared" si="19"/>
        <v/>
      </c>
      <c r="Z171" t="str">
        <f t="shared" si="20"/>
        <v/>
      </c>
    </row>
    <row r="172">
      <c r="A172" s="14" t="s">
        <v>286</v>
      </c>
      <c r="B172" s="35">
        <v>18.0</v>
      </c>
      <c r="C172" s="35" t="s">
        <v>1771</v>
      </c>
      <c r="D172" s="35" t="s">
        <v>13392</v>
      </c>
      <c r="E172" s="51" t="s">
        <v>53</v>
      </c>
      <c r="F172" s="31"/>
      <c r="G172" s="31"/>
      <c r="H172" s="164" t="s">
        <v>13393</v>
      </c>
      <c r="I172" s="200"/>
      <c r="M172" s="14" t="s">
        <v>13395</v>
      </c>
      <c r="N172" s="596" t="str">
        <f t="shared" si="16"/>
        <v>https://senate.texas.gov/member.php?d=18</v>
      </c>
      <c r="P172" s="14">
        <v>2014.0</v>
      </c>
      <c r="Q172" s="14">
        <v>2020.0</v>
      </c>
      <c r="S172" s="14" t="s">
        <v>13397</v>
      </c>
      <c r="U172" s="14" t="s">
        <v>12712</v>
      </c>
      <c r="V172" t="str">
        <f t="shared" si="17"/>
        <v/>
      </c>
      <c r="W172" s="139"/>
      <c r="X172" t="str">
        <f t="shared" si="18"/>
        <v/>
      </c>
      <c r="Y172" t="str">
        <f t="shared" si="19"/>
        <v/>
      </c>
      <c r="Z172" t="str">
        <f t="shared" si="20"/>
        <v/>
      </c>
    </row>
    <row r="173">
      <c r="A173" s="14" t="s">
        <v>286</v>
      </c>
      <c r="B173" s="38">
        <v>19.0</v>
      </c>
      <c r="C173" s="35" t="s">
        <v>288</v>
      </c>
      <c r="D173" s="35" t="s">
        <v>3353</v>
      </c>
      <c r="E173" s="51" t="s">
        <v>53</v>
      </c>
      <c r="F173" s="31"/>
      <c r="G173" s="31"/>
      <c r="H173" s="164" t="s">
        <v>13277</v>
      </c>
      <c r="I173" s="200"/>
      <c r="M173" s="14" t="s">
        <v>13398</v>
      </c>
      <c r="N173" s="395" t="s">
        <v>13399</v>
      </c>
      <c r="P173" s="728">
        <v>2018.0</v>
      </c>
      <c r="Q173" s="728">
        <v>2020.0</v>
      </c>
      <c r="S173" s="14" t="s">
        <v>13402</v>
      </c>
      <c r="U173" s="14" t="s">
        <v>13403</v>
      </c>
      <c r="V173" t="str">
        <f t="shared" si="17"/>
        <v/>
      </c>
      <c r="W173" s="139"/>
      <c r="X173" t="str">
        <f t="shared" si="18"/>
        <v/>
      </c>
      <c r="Y173" t="str">
        <f t="shared" si="19"/>
        <v/>
      </c>
      <c r="Z173" t="str">
        <f t="shared" si="20"/>
        <v/>
      </c>
    </row>
    <row r="174">
      <c r="A174" s="14" t="s">
        <v>286</v>
      </c>
      <c r="B174" s="38">
        <v>20.0</v>
      </c>
      <c r="C174" s="35" t="s">
        <v>1327</v>
      </c>
      <c r="D174" s="35" t="s">
        <v>12579</v>
      </c>
      <c r="E174" s="36" t="s">
        <v>49</v>
      </c>
      <c r="F174" s="31"/>
      <c r="G174" s="31"/>
      <c r="H174" s="164" t="s">
        <v>13406</v>
      </c>
      <c r="I174" s="200"/>
      <c r="L174" s="14" t="s">
        <v>13407</v>
      </c>
      <c r="M174" s="14" t="s">
        <v>13408</v>
      </c>
      <c r="N174" s="395" t="s">
        <v>13409</v>
      </c>
      <c r="P174" s="14">
        <v>2002.0</v>
      </c>
      <c r="Q174" s="14">
        <v>2020.0</v>
      </c>
      <c r="S174" s="14" t="s">
        <v>13411</v>
      </c>
      <c r="U174" s="14" t="s">
        <v>12783</v>
      </c>
      <c r="V174" t="str">
        <f t="shared" si="17"/>
        <v/>
      </c>
      <c r="W174" s="139"/>
      <c r="X174" t="str">
        <f t="shared" si="18"/>
        <v/>
      </c>
      <c r="Y174" t="str">
        <f t="shared" si="19"/>
        <v/>
      </c>
      <c r="Z174" t="str">
        <f t="shared" si="20"/>
        <v/>
      </c>
    </row>
    <row r="175">
      <c r="A175" s="14" t="s">
        <v>286</v>
      </c>
      <c r="B175" s="38">
        <v>21.0</v>
      </c>
      <c r="C175" s="35" t="s">
        <v>11636</v>
      </c>
      <c r="D175" s="35" t="s">
        <v>13414</v>
      </c>
      <c r="E175" s="36" t="s">
        <v>49</v>
      </c>
      <c r="F175" s="31"/>
      <c r="G175" s="31"/>
      <c r="H175" s="164" t="s">
        <v>13415</v>
      </c>
      <c r="I175" s="31"/>
      <c r="L175" s="14" t="s">
        <v>13416</v>
      </c>
      <c r="M175" s="14" t="s">
        <v>13417</v>
      </c>
      <c r="N175" s="395" t="s">
        <v>13418</v>
      </c>
      <c r="P175" s="14">
        <v>1986.0</v>
      </c>
      <c r="Q175" s="14">
        <v>2020.0</v>
      </c>
      <c r="S175" s="14" t="s">
        <v>13420</v>
      </c>
      <c r="U175" s="14" t="s">
        <v>13421</v>
      </c>
      <c r="V175" t="str">
        <f t="shared" si="17"/>
        <v/>
      </c>
      <c r="W175" s="139"/>
      <c r="X175" t="str">
        <f t="shared" si="18"/>
        <v/>
      </c>
      <c r="Y175" t="str">
        <f t="shared" si="19"/>
        <v/>
      </c>
      <c r="Z175" t="str">
        <f t="shared" si="20"/>
        <v/>
      </c>
    </row>
    <row r="176">
      <c r="A176" s="14" t="s">
        <v>286</v>
      </c>
      <c r="B176" s="38">
        <v>22.0</v>
      </c>
      <c r="C176" s="35" t="s">
        <v>1331</v>
      </c>
      <c r="D176" s="35" t="s">
        <v>13425</v>
      </c>
      <c r="E176" s="51" t="s">
        <v>53</v>
      </c>
      <c r="F176" s="31"/>
      <c r="G176" s="31"/>
      <c r="H176" s="164" t="s">
        <v>13426</v>
      </c>
      <c r="I176" s="200"/>
      <c r="M176" s="14" t="s">
        <v>13427</v>
      </c>
      <c r="N176" s="395" t="s">
        <v>13428</v>
      </c>
      <c r="P176" s="14">
        <v>2010.0</v>
      </c>
      <c r="Q176" s="14">
        <v>2020.0</v>
      </c>
      <c r="S176" s="738" t="s">
        <v>13429</v>
      </c>
      <c r="U176" s="14" t="s">
        <v>13430</v>
      </c>
      <c r="V176" t="str">
        <f t="shared" si="17"/>
        <v/>
      </c>
      <c r="W176" s="139"/>
      <c r="X176" t="str">
        <f t="shared" si="18"/>
        <v/>
      </c>
      <c r="Y176" t="str">
        <f t="shared" si="19"/>
        <v/>
      </c>
      <c r="Z176" t="str">
        <f t="shared" si="20"/>
        <v/>
      </c>
    </row>
    <row r="177">
      <c r="A177" s="14" t="s">
        <v>286</v>
      </c>
      <c r="B177" s="38">
        <v>23.0</v>
      </c>
      <c r="C177" s="35" t="s">
        <v>6114</v>
      </c>
      <c r="D177" s="35" t="s">
        <v>4286</v>
      </c>
      <c r="E177" s="36" t="s">
        <v>49</v>
      </c>
      <c r="F177" s="31"/>
      <c r="G177" s="31"/>
      <c r="H177" s="164" t="s">
        <v>13432</v>
      </c>
      <c r="I177" s="31"/>
      <c r="M177" s="14" t="s">
        <v>13433</v>
      </c>
      <c r="N177" s="395" t="s">
        <v>13434</v>
      </c>
      <c r="P177" s="14">
        <v>1992.0</v>
      </c>
      <c r="Q177" s="14">
        <v>2022.0</v>
      </c>
      <c r="S177" s="14" t="s">
        <v>9657</v>
      </c>
      <c r="U177" s="14" t="s">
        <v>12801</v>
      </c>
      <c r="V177" t="str">
        <f t="shared" si="17"/>
        <v/>
      </c>
      <c r="W177" s="139"/>
      <c r="X177" t="str">
        <f t="shared" si="18"/>
        <v/>
      </c>
      <c r="Y177" t="str">
        <f t="shared" si="19"/>
        <v/>
      </c>
      <c r="Z177" t="str">
        <f t="shared" si="20"/>
        <v/>
      </c>
    </row>
    <row r="178">
      <c r="A178" s="14" t="s">
        <v>286</v>
      </c>
      <c r="B178" s="38">
        <v>24.0</v>
      </c>
      <c r="C178" s="35" t="s">
        <v>9525</v>
      </c>
      <c r="D178" s="35" t="s">
        <v>13438</v>
      </c>
      <c r="E178" s="51" t="s">
        <v>53</v>
      </c>
      <c r="F178" s="31"/>
      <c r="G178" s="31"/>
      <c r="H178" s="164" t="s">
        <v>13439</v>
      </c>
      <c r="I178" s="200"/>
      <c r="M178" s="14" t="s">
        <v>13440</v>
      </c>
      <c r="N178" s="395" t="s">
        <v>13441</v>
      </c>
      <c r="P178" s="14">
        <v>2016.0</v>
      </c>
      <c r="Q178" s="14">
        <v>2020.0</v>
      </c>
      <c r="S178" s="14" t="s">
        <v>13446</v>
      </c>
      <c r="U178" s="14" t="s">
        <v>12413</v>
      </c>
      <c r="V178" t="str">
        <f t="shared" si="17"/>
        <v/>
      </c>
      <c r="W178" s="139"/>
      <c r="X178" t="str">
        <f t="shared" si="18"/>
        <v/>
      </c>
      <c r="Y178" t="str">
        <f t="shared" si="19"/>
        <v/>
      </c>
      <c r="Z178" t="str">
        <f t="shared" si="20"/>
        <v/>
      </c>
    </row>
    <row r="179">
      <c r="A179" s="14" t="s">
        <v>286</v>
      </c>
      <c r="B179" s="35">
        <v>25.0</v>
      </c>
      <c r="C179" s="35" t="s">
        <v>3404</v>
      </c>
      <c r="D179" s="35" t="s">
        <v>530</v>
      </c>
      <c r="E179" s="51" t="s">
        <v>53</v>
      </c>
      <c r="F179" s="31"/>
      <c r="G179" s="31"/>
      <c r="H179" s="164" t="s">
        <v>13448</v>
      </c>
      <c r="I179" s="31"/>
      <c r="M179" s="14" t="s">
        <v>13449</v>
      </c>
      <c r="N179" s="596" t="str">
        <f t="shared" ref="N179:N185" si="21">concatenate("https://senate.texas.gov/member.php?d=",B179)</f>
        <v>https://senate.texas.gov/member.php?d=25</v>
      </c>
      <c r="P179" s="14">
        <v>2012.0</v>
      </c>
      <c r="Q179" s="14">
        <v>2022.0</v>
      </c>
      <c r="S179" s="14" t="s">
        <v>13453</v>
      </c>
      <c r="U179" s="14" t="s">
        <v>13454</v>
      </c>
      <c r="V179" t="str">
        <f t="shared" si="17"/>
        <v/>
      </c>
      <c r="W179" s="139"/>
      <c r="X179" t="str">
        <f t="shared" si="18"/>
        <v/>
      </c>
      <c r="Y179" t="str">
        <f t="shared" si="19"/>
        <v/>
      </c>
      <c r="Z179" t="str">
        <f t="shared" si="20"/>
        <v/>
      </c>
    </row>
    <row r="180">
      <c r="A180" s="14" t="s">
        <v>286</v>
      </c>
      <c r="B180" s="35">
        <v>26.0</v>
      </c>
      <c r="C180" s="35" t="s">
        <v>1823</v>
      </c>
      <c r="D180" s="35" t="s">
        <v>9596</v>
      </c>
      <c r="E180" s="36" t="s">
        <v>49</v>
      </c>
      <c r="F180" s="31"/>
      <c r="G180" s="31"/>
      <c r="H180" s="164" t="s">
        <v>13458</v>
      </c>
      <c r="I180" s="31"/>
      <c r="M180" s="14" t="s">
        <v>13459</v>
      </c>
      <c r="N180" s="596" t="str">
        <f t="shared" si="21"/>
        <v>https://senate.texas.gov/member.php?d=26</v>
      </c>
      <c r="P180" s="14">
        <v>2015.0</v>
      </c>
      <c r="Q180" s="14">
        <v>2020.0</v>
      </c>
      <c r="S180" s="14" t="s">
        <v>13461</v>
      </c>
      <c r="U180" s="14" t="s">
        <v>12428</v>
      </c>
      <c r="V180" t="str">
        <f t="shared" si="17"/>
        <v/>
      </c>
      <c r="W180" s="139"/>
      <c r="X180" t="str">
        <f t="shared" si="18"/>
        <v/>
      </c>
      <c r="Y180" t="str">
        <f t="shared" si="19"/>
        <v/>
      </c>
      <c r="Z180" t="str">
        <f t="shared" si="20"/>
        <v/>
      </c>
    </row>
    <row r="181">
      <c r="A181" s="14" t="s">
        <v>286</v>
      </c>
      <c r="B181" s="35">
        <v>27.0</v>
      </c>
      <c r="C181" s="35" t="s">
        <v>1237</v>
      </c>
      <c r="D181" s="38" t="s">
        <v>13465</v>
      </c>
      <c r="E181" s="36" t="s">
        <v>49</v>
      </c>
      <c r="F181" s="31"/>
      <c r="G181" s="31"/>
      <c r="H181" s="164" t="s">
        <v>13466</v>
      </c>
      <c r="I181" s="200"/>
      <c r="L181" s="14" t="s">
        <v>13467</v>
      </c>
      <c r="M181" s="14" t="s">
        <v>13468</v>
      </c>
      <c r="N181" s="596" t="str">
        <f t="shared" si="21"/>
        <v>https://senate.texas.gov/member.php?d=27</v>
      </c>
      <c r="P181" s="14">
        <v>1990.0</v>
      </c>
      <c r="Q181" s="14">
        <v>2020.0</v>
      </c>
      <c r="S181" s="14" t="s">
        <v>13469</v>
      </c>
      <c r="U181" s="14" t="s">
        <v>13470</v>
      </c>
      <c r="V181" t="str">
        <f t="shared" si="17"/>
        <v/>
      </c>
      <c r="W181" s="139"/>
      <c r="X181" t="str">
        <f t="shared" si="18"/>
        <v/>
      </c>
      <c r="Y181" t="str">
        <f t="shared" si="19"/>
        <v/>
      </c>
      <c r="Z181" t="str">
        <f t="shared" si="20"/>
        <v/>
      </c>
    </row>
    <row r="182" ht="15.75" customHeight="1">
      <c r="A182" s="14" t="s">
        <v>286</v>
      </c>
      <c r="B182" s="35">
        <v>28.0</v>
      </c>
      <c r="C182" s="38" t="s">
        <v>1287</v>
      </c>
      <c r="D182" s="35" t="s">
        <v>1329</v>
      </c>
      <c r="E182" s="51" t="s">
        <v>53</v>
      </c>
      <c r="F182" s="31"/>
      <c r="G182" s="31"/>
      <c r="H182" s="164" t="s">
        <v>13475</v>
      </c>
      <c r="I182" s="200"/>
      <c r="L182" s="14" t="s">
        <v>13476</v>
      </c>
      <c r="M182" s="14" t="s">
        <v>13478</v>
      </c>
      <c r="N182" s="596" t="str">
        <f t="shared" si="21"/>
        <v>https://senate.texas.gov/member.php?d=28</v>
      </c>
      <c r="P182" s="14">
        <v>2014.0</v>
      </c>
      <c r="Q182" s="14">
        <v>2020.0</v>
      </c>
      <c r="S182" s="14" t="s">
        <v>13479</v>
      </c>
      <c r="U182" s="14" t="s">
        <v>13480</v>
      </c>
      <c r="V182" t="str">
        <f t="shared" si="17"/>
        <v/>
      </c>
      <c r="W182" s="139"/>
      <c r="X182" t="str">
        <f t="shared" si="18"/>
        <v/>
      </c>
      <c r="Y182" t="str">
        <f t="shared" si="19"/>
        <v/>
      </c>
      <c r="Z182" t="str">
        <f t="shared" si="20"/>
        <v/>
      </c>
    </row>
    <row r="183">
      <c r="A183" s="14" t="s">
        <v>286</v>
      </c>
      <c r="B183" s="35">
        <v>29.0</v>
      </c>
      <c r="C183" s="35" t="s">
        <v>3341</v>
      </c>
      <c r="D183" s="38" t="s">
        <v>13482</v>
      </c>
      <c r="E183" s="36" t="s">
        <v>49</v>
      </c>
      <c r="F183" s="31"/>
      <c r="G183" s="31"/>
      <c r="H183" s="164" t="s">
        <v>13483</v>
      </c>
      <c r="I183" s="200"/>
      <c r="M183" s="14" t="s">
        <v>13484</v>
      </c>
      <c r="N183" s="596" t="str">
        <f t="shared" si="21"/>
        <v>https://senate.texas.gov/member.php?d=29</v>
      </c>
      <c r="P183" s="14">
        <v>2010.0</v>
      </c>
      <c r="Q183" s="14">
        <v>2020.0</v>
      </c>
      <c r="S183" s="14" t="s">
        <v>13485</v>
      </c>
      <c r="U183" s="14" t="s">
        <v>12783</v>
      </c>
      <c r="V183" t="str">
        <f t="shared" si="17"/>
        <v/>
      </c>
      <c r="W183" s="139"/>
      <c r="X183" t="str">
        <f t="shared" si="18"/>
        <v/>
      </c>
      <c r="Y183" t="str">
        <f t="shared" si="19"/>
        <v/>
      </c>
      <c r="Z183" t="str">
        <f t="shared" si="20"/>
        <v/>
      </c>
    </row>
    <row r="184">
      <c r="A184" s="14" t="s">
        <v>286</v>
      </c>
      <c r="B184" s="35">
        <v>30.0</v>
      </c>
      <c r="C184" s="38" t="s">
        <v>2570</v>
      </c>
      <c r="D184" s="38" t="s">
        <v>13487</v>
      </c>
      <c r="E184" s="51" t="s">
        <v>53</v>
      </c>
      <c r="F184" s="31"/>
      <c r="G184" s="31"/>
      <c r="H184" s="164" t="s">
        <v>13277</v>
      </c>
      <c r="I184" s="200"/>
      <c r="M184" s="14" t="s">
        <v>13488</v>
      </c>
      <c r="N184" s="596" t="str">
        <f t="shared" si="21"/>
        <v>https://senate.texas.gov/member.php?d=30</v>
      </c>
      <c r="P184" s="14">
        <v>2018.0</v>
      </c>
      <c r="Q184" s="14">
        <v>2022.0</v>
      </c>
      <c r="S184" s="14" t="s">
        <v>13489</v>
      </c>
      <c r="U184" s="14" t="s">
        <v>13490</v>
      </c>
      <c r="V184" t="str">
        <f t="shared" si="17"/>
        <v/>
      </c>
      <c r="W184" s="139"/>
      <c r="X184" t="str">
        <f t="shared" si="18"/>
        <v/>
      </c>
      <c r="Y184" t="str">
        <f t="shared" si="19"/>
        <v/>
      </c>
      <c r="Z184" t="str">
        <f t="shared" si="20"/>
        <v/>
      </c>
    </row>
    <row r="185">
      <c r="A185" s="14" t="s">
        <v>286</v>
      </c>
      <c r="B185" s="35">
        <v>31.0</v>
      </c>
      <c r="C185" s="35" t="s">
        <v>13492</v>
      </c>
      <c r="D185" s="35" t="s">
        <v>13493</v>
      </c>
      <c r="E185" s="51" t="s">
        <v>53</v>
      </c>
      <c r="F185" s="31"/>
      <c r="G185" s="31"/>
      <c r="H185" s="164" t="s">
        <v>13494</v>
      </c>
      <c r="I185" s="200"/>
      <c r="M185" s="14" t="s">
        <v>13495</v>
      </c>
      <c r="N185" s="596" t="str">
        <f t="shared" si="21"/>
        <v>https://senate.texas.gov/member.php?d=31</v>
      </c>
      <c r="P185" s="14">
        <v>2004.0</v>
      </c>
      <c r="Q185" s="14">
        <v>2022.0</v>
      </c>
      <c r="S185" s="14" t="s">
        <v>13496</v>
      </c>
      <c r="U185" s="14" t="s">
        <v>13497</v>
      </c>
      <c r="V185" t="str">
        <f t="shared" si="17"/>
        <v/>
      </c>
      <c r="W185" s="139"/>
      <c r="X185" t="str">
        <f t="shared" si="18"/>
        <v/>
      </c>
      <c r="Y185" t="str">
        <f t="shared" si="19"/>
        <v/>
      </c>
      <c r="Z185" t="str">
        <f t="shared" si="20"/>
        <v/>
      </c>
    </row>
    <row r="186">
      <c r="A186" s="70"/>
      <c r="B186" s="71"/>
      <c r="C186" s="71"/>
      <c r="D186" s="71"/>
      <c r="E186" s="70"/>
      <c r="F186" s="70"/>
      <c r="G186" s="70"/>
      <c r="H186" s="70"/>
      <c r="I186" s="70"/>
      <c r="J186" s="70"/>
      <c r="K186" s="70"/>
      <c r="L186" s="70"/>
      <c r="M186" s="70"/>
      <c r="N186" s="70"/>
      <c r="O186" s="70"/>
      <c r="P186" s="70"/>
      <c r="Q186" s="70"/>
      <c r="R186" s="70"/>
      <c r="S186" s="70"/>
      <c r="T186" s="70"/>
      <c r="U186" s="70"/>
      <c r="V186" s="70"/>
      <c r="W186" s="70"/>
      <c r="X186" s="70"/>
      <c r="Y186" s="70"/>
      <c r="Z186" s="70"/>
      <c r="AA186" s="70"/>
      <c r="AB186" s="70"/>
      <c r="AC186" s="70"/>
      <c r="AD186" s="70"/>
      <c r="AE186" s="70"/>
      <c r="AF186" s="70"/>
      <c r="AG186" s="70"/>
      <c r="AH186" s="70"/>
      <c r="AI186" s="70"/>
    </row>
    <row r="187">
      <c r="A187" s="14" t="s">
        <v>421</v>
      </c>
      <c r="B187" s="139"/>
      <c r="C187" s="77" t="s">
        <v>997</v>
      </c>
      <c r="D187" s="77" t="s">
        <v>4785</v>
      </c>
      <c r="E187" s="51" t="s">
        <v>53</v>
      </c>
      <c r="L187" s="14" t="s">
        <v>13499</v>
      </c>
      <c r="M187" s="14" t="s">
        <v>13500</v>
      </c>
      <c r="P187" s="14">
        <v>2014.0</v>
      </c>
      <c r="Q187" s="14">
        <v>2022.0</v>
      </c>
      <c r="R187" s="14" t="s">
        <v>13501</v>
      </c>
      <c r="U187" s="14" t="s">
        <v>12783</v>
      </c>
    </row>
    <row r="188">
      <c r="A188" s="70"/>
      <c r="B188" s="71"/>
      <c r="C188" s="71"/>
      <c r="D188" s="71"/>
      <c r="E188" s="70"/>
      <c r="F188" s="70"/>
      <c r="G188" s="70"/>
      <c r="H188" s="70"/>
      <c r="I188" s="70"/>
      <c r="J188" s="70"/>
      <c r="K188" s="70"/>
      <c r="L188" s="157" t="s">
        <v>13503</v>
      </c>
      <c r="M188" s="70"/>
      <c r="N188" s="70"/>
      <c r="O188" s="70"/>
      <c r="P188" s="70"/>
      <c r="Q188" s="70"/>
      <c r="R188" s="70"/>
      <c r="S188" s="70"/>
      <c r="T188" s="70"/>
      <c r="U188" s="70"/>
      <c r="V188" s="70"/>
      <c r="W188" s="70"/>
      <c r="X188" s="70"/>
      <c r="Y188" s="70"/>
      <c r="Z188" s="70"/>
      <c r="AA188" s="70"/>
      <c r="AB188" s="70"/>
      <c r="AC188" s="70"/>
      <c r="AD188" s="70"/>
      <c r="AE188" s="70"/>
      <c r="AF188" s="70"/>
      <c r="AG188" s="70"/>
      <c r="AH188" s="70"/>
      <c r="AI188" s="70"/>
    </row>
    <row r="189">
      <c r="A189" s="14" t="s">
        <v>427</v>
      </c>
      <c r="B189" s="77">
        <v>1.0</v>
      </c>
      <c r="C189" s="77" t="s">
        <v>13504</v>
      </c>
      <c r="D189" s="77" t="s">
        <v>13505</v>
      </c>
      <c r="E189" s="51" t="s">
        <v>53</v>
      </c>
      <c r="H189" s="14" t="s">
        <v>13506</v>
      </c>
      <c r="L189" s="14" t="s">
        <v>13507</v>
      </c>
      <c r="M189" s="14" t="s">
        <v>13508</v>
      </c>
      <c r="N189" s="395" t="s">
        <v>13509</v>
      </c>
      <c r="P189" s="14">
        <v>2004.0</v>
      </c>
      <c r="Q189" s="14">
        <v>2020.0</v>
      </c>
      <c r="R189" s="14" t="s">
        <v>13510</v>
      </c>
      <c r="U189" s="14" t="s">
        <v>12783</v>
      </c>
    </row>
    <row r="190">
      <c r="A190" s="14" t="s">
        <v>427</v>
      </c>
      <c r="B190" s="77">
        <v>2.0</v>
      </c>
      <c r="C190" s="77" t="s">
        <v>239</v>
      </c>
      <c r="D190" s="77" t="s">
        <v>13511</v>
      </c>
      <c r="E190" s="51" t="s">
        <v>53</v>
      </c>
      <c r="M190" s="14" t="s">
        <v>13512</v>
      </c>
      <c r="N190" s="395" t="s">
        <v>13513</v>
      </c>
      <c r="P190" s="14">
        <v>2018.0</v>
      </c>
      <c r="Q190" s="14">
        <v>2020.0</v>
      </c>
      <c r="R190" s="14" t="s">
        <v>2362</v>
      </c>
      <c r="U190" s="14" t="s">
        <v>13516</v>
      </c>
    </row>
    <row r="191">
      <c r="A191" s="14" t="s">
        <v>427</v>
      </c>
      <c r="B191" s="77">
        <v>3.0</v>
      </c>
      <c r="C191" s="77" t="s">
        <v>4397</v>
      </c>
      <c r="D191" s="77" t="s">
        <v>4255</v>
      </c>
      <c r="E191" s="51" t="s">
        <v>53</v>
      </c>
      <c r="M191" s="14" t="s">
        <v>13517</v>
      </c>
      <c r="N191" s="395" t="s">
        <v>13518</v>
      </c>
      <c r="P191" s="14">
        <v>2018.0</v>
      </c>
      <c r="Q191" s="14">
        <v>2020.0</v>
      </c>
      <c r="R191" s="14" t="s">
        <v>8672</v>
      </c>
      <c r="U191" s="782" t="s">
        <v>13519</v>
      </c>
    </row>
    <row r="192">
      <c r="A192" s="14" t="s">
        <v>427</v>
      </c>
      <c r="B192" s="77">
        <v>4.0</v>
      </c>
      <c r="C192" s="77" t="s">
        <v>278</v>
      </c>
      <c r="D192" s="77" t="s">
        <v>13520</v>
      </c>
      <c r="E192" s="51" t="s">
        <v>53</v>
      </c>
      <c r="H192" s="14" t="s">
        <v>13521</v>
      </c>
      <c r="M192" s="14" t="s">
        <v>13522</v>
      </c>
      <c r="N192" s="395" t="s">
        <v>13523</v>
      </c>
      <c r="P192" s="14">
        <v>2014.0</v>
      </c>
      <c r="Q192" s="14">
        <v>2020.0</v>
      </c>
      <c r="R192" s="14" t="s">
        <v>13525</v>
      </c>
      <c r="U192" s="14" t="s">
        <v>12783</v>
      </c>
    </row>
    <row r="193">
      <c r="A193" s="14" t="s">
        <v>427</v>
      </c>
      <c r="B193" s="77">
        <v>5.0</v>
      </c>
      <c r="C193" s="77" t="s">
        <v>185</v>
      </c>
      <c r="D193" s="77" t="s">
        <v>13526</v>
      </c>
      <c r="E193" s="51" t="s">
        <v>53</v>
      </c>
    </row>
    <row r="194">
      <c r="A194" s="14" t="s">
        <v>427</v>
      </c>
      <c r="B194" s="77">
        <v>6.0</v>
      </c>
      <c r="C194" s="77" t="s">
        <v>1813</v>
      </c>
      <c r="D194" s="77" t="s">
        <v>3221</v>
      </c>
      <c r="E194" s="51" t="s">
        <v>53</v>
      </c>
    </row>
    <row r="195">
      <c r="A195" s="14" t="s">
        <v>427</v>
      </c>
      <c r="B195" s="77">
        <v>7.0</v>
      </c>
      <c r="C195" s="77" t="s">
        <v>13527</v>
      </c>
      <c r="D195" s="77" t="s">
        <v>1995</v>
      </c>
      <c r="E195" s="36" t="s">
        <v>49</v>
      </c>
    </row>
    <row r="196">
      <c r="A196" s="14" t="s">
        <v>427</v>
      </c>
      <c r="B196" s="77">
        <v>8.0</v>
      </c>
      <c r="C196" s="77" t="s">
        <v>971</v>
      </c>
      <c r="D196" s="77" t="s">
        <v>2596</v>
      </c>
      <c r="E196" s="51" t="s">
        <v>53</v>
      </c>
    </row>
    <row r="197">
      <c r="A197" s="14" t="s">
        <v>427</v>
      </c>
      <c r="B197" s="77">
        <v>9.0</v>
      </c>
      <c r="C197" s="77" t="s">
        <v>1874</v>
      </c>
      <c r="D197" s="77" t="s">
        <v>2574</v>
      </c>
      <c r="E197" s="36" t="s">
        <v>49</v>
      </c>
    </row>
    <row r="198">
      <c r="A198" s="14" t="s">
        <v>427</v>
      </c>
      <c r="B198" s="77">
        <v>10.0</v>
      </c>
      <c r="C198" s="77" t="s">
        <v>2490</v>
      </c>
      <c r="D198" s="77" t="s">
        <v>13528</v>
      </c>
      <c r="E198" s="51" t="s">
        <v>53</v>
      </c>
    </row>
    <row r="199">
      <c r="A199" s="14" t="s">
        <v>427</v>
      </c>
      <c r="B199" s="77">
        <v>11.0</v>
      </c>
      <c r="C199" s="77" t="s">
        <v>157</v>
      </c>
      <c r="D199" s="77" t="s">
        <v>6426</v>
      </c>
      <c r="E199" s="51" t="s">
        <v>53</v>
      </c>
    </row>
    <row r="200">
      <c r="A200" s="14" t="s">
        <v>427</v>
      </c>
      <c r="B200" s="77">
        <v>12.0</v>
      </c>
      <c r="C200" s="77" t="s">
        <v>1125</v>
      </c>
      <c r="D200" s="77" t="s">
        <v>13529</v>
      </c>
      <c r="E200" s="51" t="s">
        <v>53</v>
      </c>
    </row>
    <row r="201">
      <c r="A201" s="14" t="s">
        <v>427</v>
      </c>
      <c r="B201" s="77">
        <v>13.0</v>
      </c>
      <c r="C201" s="77" t="s">
        <v>333</v>
      </c>
      <c r="D201" s="77" t="s">
        <v>13530</v>
      </c>
      <c r="E201" s="51" t="s">
        <v>53</v>
      </c>
    </row>
    <row r="202">
      <c r="A202" s="14" t="s">
        <v>427</v>
      </c>
      <c r="B202" s="77">
        <v>14.0</v>
      </c>
      <c r="C202" s="77" t="s">
        <v>412</v>
      </c>
      <c r="D202" s="77" t="s">
        <v>1988</v>
      </c>
      <c r="E202" s="51" t="s">
        <v>53</v>
      </c>
    </row>
    <row r="203">
      <c r="A203" s="14" t="s">
        <v>427</v>
      </c>
      <c r="B203" s="77">
        <v>15.0</v>
      </c>
      <c r="C203" s="77" t="s">
        <v>13533</v>
      </c>
      <c r="D203" s="77" t="s">
        <v>2496</v>
      </c>
      <c r="E203" s="36" t="s">
        <v>49</v>
      </c>
    </row>
    <row r="204">
      <c r="A204" s="14" t="s">
        <v>427</v>
      </c>
      <c r="B204" s="77">
        <v>16.0</v>
      </c>
      <c r="C204" s="77" t="s">
        <v>6324</v>
      </c>
      <c r="D204" s="77" t="s">
        <v>13534</v>
      </c>
      <c r="E204" s="36" t="s">
        <v>49</v>
      </c>
    </row>
    <row r="205">
      <c r="A205" s="14" t="s">
        <v>427</v>
      </c>
      <c r="B205" s="77">
        <v>17.0</v>
      </c>
      <c r="C205" s="77" t="s">
        <v>325</v>
      </c>
      <c r="D205" s="77" t="s">
        <v>3353</v>
      </c>
      <c r="E205" s="51" t="s">
        <v>53</v>
      </c>
    </row>
    <row r="206">
      <c r="A206" s="14" t="s">
        <v>427</v>
      </c>
      <c r="B206" s="77">
        <v>18.0</v>
      </c>
      <c r="C206" s="77" t="s">
        <v>3432</v>
      </c>
      <c r="D206" s="77" t="s">
        <v>13535</v>
      </c>
      <c r="E206" s="36" t="s">
        <v>49</v>
      </c>
    </row>
    <row r="207">
      <c r="A207" s="14" t="s">
        <v>427</v>
      </c>
      <c r="B207" s="77">
        <v>19.0</v>
      </c>
      <c r="C207" s="77" t="s">
        <v>13536</v>
      </c>
      <c r="D207" s="77" t="s">
        <v>11971</v>
      </c>
      <c r="E207" s="51" t="s">
        <v>53</v>
      </c>
    </row>
    <row r="208">
      <c r="A208" s="14" t="s">
        <v>427</v>
      </c>
      <c r="B208" s="77">
        <v>20.0</v>
      </c>
      <c r="C208" s="77" t="s">
        <v>1555</v>
      </c>
      <c r="D208" s="77" t="s">
        <v>4553</v>
      </c>
      <c r="E208" s="36" t="s">
        <v>49</v>
      </c>
    </row>
    <row r="209">
      <c r="A209" s="14" t="s">
        <v>427</v>
      </c>
      <c r="B209" s="77">
        <v>21.0</v>
      </c>
      <c r="C209" s="77" t="s">
        <v>767</v>
      </c>
      <c r="D209" s="77" t="s">
        <v>3411</v>
      </c>
      <c r="E209" s="51" t="s">
        <v>53</v>
      </c>
    </row>
    <row r="210">
      <c r="A210" s="14" t="s">
        <v>427</v>
      </c>
      <c r="B210" s="77">
        <v>22.0</v>
      </c>
      <c r="C210" s="77" t="s">
        <v>288</v>
      </c>
      <c r="D210" s="77" t="s">
        <v>413</v>
      </c>
      <c r="E210" s="51" t="s">
        <v>53</v>
      </c>
    </row>
    <row r="211">
      <c r="A211" s="14" t="s">
        <v>427</v>
      </c>
      <c r="B211" s="77">
        <v>23.0</v>
      </c>
      <c r="C211" s="77" t="s">
        <v>689</v>
      </c>
      <c r="D211" s="77" t="s">
        <v>13537</v>
      </c>
      <c r="E211" s="51" t="s">
        <v>53</v>
      </c>
    </row>
    <row r="212">
      <c r="A212" s="14" t="s">
        <v>427</v>
      </c>
      <c r="B212" s="77">
        <v>24.0</v>
      </c>
      <c r="C212" s="77" t="s">
        <v>5745</v>
      </c>
      <c r="D212" s="77" t="s">
        <v>13538</v>
      </c>
      <c r="E212" s="51" t="s">
        <v>53</v>
      </c>
    </row>
    <row r="213">
      <c r="A213" s="14" t="s">
        <v>427</v>
      </c>
      <c r="B213" s="77">
        <v>25.0</v>
      </c>
      <c r="C213" s="77" t="s">
        <v>1040</v>
      </c>
      <c r="D213" s="77" t="s">
        <v>793</v>
      </c>
      <c r="E213" s="51" t="s">
        <v>53</v>
      </c>
    </row>
    <row r="214">
      <c r="A214" s="14" t="s">
        <v>427</v>
      </c>
      <c r="B214" s="77">
        <v>26.0</v>
      </c>
      <c r="C214" s="77" t="s">
        <v>2490</v>
      </c>
      <c r="D214" s="77" t="s">
        <v>2937</v>
      </c>
      <c r="E214" s="51" t="s">
        <v>53</v>
      </c>
    </row>
    <row r="215">
      <c r="A215" s="14" t="s">
        <v>427</v>
      </c>
      <c r="B215" s="77">
        <v>27.0</v>
      </c>
      <c r="C215" s="77" t="s">
        <v>2490</v>
      </c>
      <c r="D215" s="77" t="s">
        <v>1537</v>
      </c>
      <c r="E215" s="51" t="s">
        <v>53</v>
      </c>
    </row>
    <row r="216">
      <c r="A216" s="14" t="s">
        <v>427</v>
      </c>
      <c r="B216" s="77">
        <v>28.0</v>
      </c>
      <c r="C216" s="77" t="s">
        <v>2189</v>
      </c>
      <c r="D216" s="77" t="s">
        <v>13539</v>
      </c>
      <c r="E216" s="36" t="s">
        <v>49</v>
      </c>
    </row>
    <row r="217">
      <c r="A217" s="14" t="s">
        <v>427</v>
      </c>
      <c r="B217" s="77">
        <v>29.0</v>
      </c>
      <c r="C217" s="77" t="s">
        <v>1192</v>
      </c>
      <c r="D217" s="77" t="s">
        <v>1772</v>
      </c>
      <c r="E217" s="36" t="s">
        <v>49</v>
      </c>
    </row>
    <row r="218">
      <c r="A218" s="14" t="s">
        <v>427</v>
      </c>
      <c r="B218" s="77">
        <v>30.0</v>
      </c>
      <c r="C218" s="77" t="s">
        <v>1237</v>
      </c>
      <c r="D218" s="77" t="s">
        <v>118</v>
      </c>
      <c r="E218" s="36" t="s">
        <v>49</v>
      </c>
    </row>
    <row r="219">
      <c r="A219" s="14" t="s">
        <v>427</v>
      </c>
      <c r="B219" s="77">
        <v>31.0</v>
      </c>
      <c r="C219" s="77" t="s">
        <v>278</v>
      </c>
      <c r="D219" s="77" t="s">
        <v>1256</v>
      </c>
      <c r="E219" s="51" t="s">
        <v>53</v>
      </c>
    </row>
    <row r="220">
      <c r="A220" s="14" t="s">
        <v>427</v>
      </c>
      <c r="B220" s="77">
        <v>32.0</v>
      </c>
      <c r="C220" s="77" t="s">
        <v>1779</v>
      </c>
      <c r="D220" s="77" t="s">
        <v>7615</v>
      </c>
      <c r="E220" s="36" t="s">
        <v>49</v>
      </c>
    </row>
    <row r="221">
      <c r="A221" s="14" t="s">
        <v>427</v>
      </c>
      <c r="B221" s="77">
        <v>33.0</v>
      </c>
      <c r="C221" s="77" t="s">
        <v>1431</v>
      </c>
      <c r="D221" s="77" t="s">
        <v>13540</v>
      </c>
      <c r="E221" s="36" t="s">
        <v>49</v>
      </c>
    </row>
    <row r="222">
      <c r="A222" s="14" t="s">
        <v>427</v>
      </c>
      <c r="B222" s="77">
        <v>34.0</v>
      </c>
      <c r="C222" s="77" t="s">
        <v>13541</v>
      </c>
      <c r="D222" s="77" t="s">
        <v>13542</v>
      </c>
      <c r="E222" s="36" t="s">
        <v>49</v>
      </c>
    </row>
    <row r="223">
      <c r="A223" s="14" t="s">
        <v>427</v>
      </c>
      <c r="B223" s="77">
        <v>35.0</v>
      </c>
      <c r="C223" s="77" t="s">
        <v>11749</v>
      </c>
      <c r="D223" s="77" t="s">
        <v>12679</v>
      </c>
      <c r="E223" s="36" t="s">
        <v>49</v>
      </c>
    </row>
    <row r="224">
      <c r="A224" s="14" t="s">
        <v>427</v>
      </c>
      <c r="B224" s="77">
        <v>36.0</v>
      </c>
      <c r="C224" s="77" t="s">
        <v>1331</v>
      </c>
      <c r="D224" s="77" t="s">
        <v>13543</v>
      </c>
      <c r="E224" s="51" t="s">
        <v>53</v>
      </c>
    </row>
    <row r="225">
      <c r="A225" s="70"/>
      <c r="B225" s="71"/>
      <c r="C225" s="71"/>
      <c r="D225" s="71"/>
      <c r="E225" s="70"/>
      <c r="F225" s="70"/>
      <c r="G225" s="70"/>
      <c r="H225" s="70"/>
      <c r="I225" s="70"/>
      <c r="J225" s="70"/>
      <c r="K225" s="70"/>
      <c r="L225" s="70"/>
      <c r="M225" s="70"/>
      <c r="N225" s="70"/>
      <c r="O225" s="70"/>
      <c r="P225" s="70"/>
      <c r="Q225" s="70"/>
      <c r="R225" s="70"/>
      <c r="S225" s="70"/>
      <c r="T225" s="70"/>
      <c r="U225" s="70"/>
      <c r="V225" s="70"/>
      <c r="W225" s="70"/>
      <c r="X225" s="70"/>
      <c r="Y225" s="70"/>
      <c r="Z225" s="70"/>
      <c r="AA225" s="70"/>
      <c r="AB225" s="70"/>
      <c r="AC225" s="70"/>
      <c r="AD225" s="70"/>
      <c r="AE225" s="70"/>
      <c r="AF225" s="70"/>
      <c r="AG225" s="70"/>
      <c r="AH225" s="70"/>
      <c r="AI225" s="70"/>
    </row>
    <row r="226">
      <c r="A226" s="14" t="s">
        <v>430</v>
      </c>
      <c r="B226" s="77" t="s">
        <v>431</v>
      </c>
      <c r="C226" s="77" t="s">
        <v>278</v>
      </c>
      <c r="D226" s="77" t="s">
        <v>13544</v>
      </c>
      <c r="E226" s="51" t="s">
        <v>53</v>
      </c>
      <c r="F226" s="14"/>
      <c r="G226" s="14" t="s">
        <v>13545</v>
      </c>
      <c r="H226" s="14" t="s">
        <v>13546</v>
      </c>
      <c r="L226" s="14" t="s">
        <v>13547</v>
      </c>
      <c r="M226" s="14" t="s">
        <v>13548</v>
      </c>
      <c r="N226" s="395" t="s">
        <v>13549</v>
      </c>
      <c r="P226" s="14">
        <v>2002.0</v>
      </c>
      <c r="Q226" s="14">
        <v>2020.0</v>
      </c>
      <c r="T226" s="14" t="s">
        <v>12783</v>
      </c>
    </row>
    <row r="227">
      <c r="A227" s="14" t="s">
        <v>430</v>
      </c>
      <c r="B227" s="77" t="s">
        <v>434</v>
      </c>
      <c r="C227" s="77" t="s">
        <v>1998</v>
      </c>
      <c r="D227" s="77" t="s">
        <v>3243</v>
      </c>
      <c r="E227" s="51" t="s">
        <v>53</v>
      </c>
      <c r="H227" s="14" t="s">
        <v>13551</v>
      </c>
      <c r="L227" s="14" t="s">
        <v>13552</v>
      </c>
      <c r="M227" s="14" t="s">
        <v>13553</v>
      </c>
      <c r="N227" s="395" t="s">
        <v>13554</v>
      </c>
      <c r="P227" s="14">
        <v>2012.0</v>
      </c>
      <c r="Q227" s="782">
        <v>2024.0</v>
      </c>
      <c r="T227" s="14" t="s">
        <v>12783</v>
      </c>
    </row>
    <row r="228">
      <c r="A228" s="70"/>
      <c r="B228" s="71"/>
      <c r="C228" s="71"/>
      <c r="D228" s="71"/>
      <c r="E228" s="70"/>
      <c r="F228" s="70"/>
      <c r="G228" s="70"/>
      <c r="H228" s="70"/>
      <c r="I228" s="70"/>
      <c r="J228" s="70"/>
      <c r="K228" s="70"/>
      <c r="L228" s="70"/>
      <c r="M228" s="70"/>
      <c r="N228" s="70"/>
      <c r="O228" s="70"/>
      <c r="P228" s="70"/>
      <c r="Q228" s="70"/>
      <c r="R228" s="70"/>
      <c r="S228" s="70"/>
      <c r="T228" s="70"/>
      <c r="U228" s="70"/>
      <c r="V228" s="70"/>
      <c r="W228" s="70"/>
      <c r="X228" s="70"/>
      <c r="Y228" s="70"/>
      <c r="Z228" s="70"/>
      <c r="AA228" s="70"/>
      <c r="AB228" s="70"/>
      <c r="AC228" s="70"/>
      <c r="AD228" s="70"/>
      <c r="AE228" s="70"/>
      <c r="AF228" s="70"/>
      <c r="AG228" s="70"/>
      <c r="AH228" s="70"/>
      <c r="AI228" s="70"/>
    </row>
    <row r="229">
      <c r="A229" s="14" t="s">
        <v>438</v>
      </c>
      <c r="B229" s="139"/>
      <c r="C229" s="77" t="s">
        <v>1049</v>
      </c>
      <c r="D229" s="77" t="s">
        <v>10803</v>
      </c>
      <c r="E229" s="51" t="s">
        <v>53</v>
      </c>
      <c r="L229" s="14" t="s">
        <v>13555</v>
      </c>
      <c r="M229" s="14" t="s">
        <v>13556</v>
      </c>
      <c r="N229" s="395" t="s">
        <v>13557</v>
      </c>
      <c r="P229" s="14">
        <v>2014.0</v>
      </c>
      <c r="Q229" s="14">
        <v>2022.0</v>
      </c>
      <c r="T229" s="14" t="s">
        <v>12783</v>
      </c>
    </row>
    <row r="230">
      <c r="A230" s="70"/>
      <c r="B230" s="71"/>
      <c r="C230" s="71"/>
      <c r="D230" s="71"/>
      <c r="E230" s="70"/>
      <c r="F230" s="70"/>
      <c r="G230" s="70"/>
      <c r="H230" s="70"/>
      <c r="I230" s="70"/>
      <c r="J230" s="70"/>
      <c r="K230" s="70"/>
      <c r="L230" s="70"/>
      <c r="M230" s="70"/>
      <c r="N230" s="70"/>
      <c r="O230" s="70"/>
      <c r="P230" s="70"/>
      <c r="Q230" s="70"/>
      <c r="R230" s="70"/>
      <c r="S230" s="70"/>
      <c r="T230" s="70"/>
      <c r="U230" s="70"/>
      <c r="V230" s="70"/>
      <c r="W230" s="70"/>
      <c r="X230" s="70"/>
      <c r="Y230" s="70"/>
      <c r="Z230" s="70"/>
      <c r="AA230" s="70"/>
      <c r="AB230" s="70"/>
      <c r="AC230" s="70"/>
      <c r="AD230" s="70"/>
      <c r="AE230" s="70"/>
      <c r="AF230" s="70"/>
      <c r="AG230" s="70"/>
      <c r="AH230" s="70"/>
      <c r="AI230" s="70"/>
    </row>
    <row r="231">
      <c r="B231" s="139"/>
      <c r="C231" s="139"/>
      <c r="D231" s="139"/>
    </row>
    <row r="232">
      <c r="B232" s="139"/>
      <c r="C232" s="139"/>
      <c r="D232" s="139"/>
    </row>
    <row r="233">
      <c r="B233" s="139"/>
      <c r="C233" s="139"/>
      <c r="D233" s="139"/>
    </row>
    <row r="234">
      <c r="B234" s="139"/>
      <c r="C234" s="139"/>
      <c r="D234" s="139"/>
    </row>
    <row r="235">
      <c r="B235" s="139"/>
      <c r="C235" s="139"/>
      <c r="D235" s="139"/>
    </row>
    <row r="236">
      <c r="B236" s="139"/>
      <c r="C236" s="139"/>
      <c r="D236" s="139"/>
    </row>
    <row r="237">
      <c r="B237" s="139"/>
      <c r="C237" s="139"/>
      <c r="D237" s="139"/>
    </row>
    <row r="238">
      <c r="B238" s="139"/>
      <c r="C238" s="139"/>
      <c r="D238" s="139"/>
    </row>
    <row r="239">
      <c r="B239" s="139"/>
      <c r="C239" s="139"/>
      <c r="D239" s="139"/>
    </row>
    <row r="240">
      <c r="B240" s="139"/>
      <c r="C240" s="139"/>
      <c r="D240" s="139"/>
    </row>
    <row r="241">
      <c r="B241" s="139"/>
      <c r="C241" s="139"/>
      <c r="D241" s="139"/>
    </row>
    <row r="242">
      <c r="B242" s="139"/>
      <c r="C242" s="139"/>
      <c r="D242" s="139"/>
    </row>
    <row r="243">
      <c r="B243" s="139"/>
      <c r="C243" s="139"/>
      <c r="D243" s="139"/>
    </row>
    <row r="244">
      <c r="B244" s="139"/>
      <c r="C244" s="139"/>
      <c r="D244" s="139"/>
    </row>
    <row r="245">
      <c r="B245" s="139"/>
      <c r="C245" s="139"/>
      <c r="D245" s="139"/>
    </row>
    <row r="246">
      <c r="B246" s="139"/>
      <c r="C246" s="139"/>
      <c r="D246" s="139"/>
    </row>
    <row r="247">
      <c r="B247" s="139"/>
      <c r="C247" s="139"/>
      <c r="D247" s="139"/>
    </row>
    <row r="248">
      <c r="B248" s="139"/>
      <c r="C248" s="139"/>
      <c r="D248" s="139"/>
    </row>
    <row r="249">
      <c r="B249" s="139"/>
      <c r="C249" s="139"/>
      <c r="D249" s="139"/>
    </row>
    <row r="250">
      <c r="B250" s="139"/>
      <c r="C250" s="139"/>
      <c r="D250" s="139"/>
    </row>
    <row r="251">
      <c r="B251" s="139"/>
      <c r="C251" s="139"/>
      <c r="D251" s="139"/>
    </row>
    <row r="252">
      <c r="B252" s="139"/>
      <c r="C252" s="139"/>
      <c r="D252" s="139"/>
    </row>
    <row r="253">
      <c r="B253" s="139"/>
      <c r="C253" s="139"/>
      <c r="D253" s="139"/>
    </row>
    <row r="254">
      <c r="B254" s="139"/>
      <c r="C254" s="139"/>
      <c r="D254" s="139"/>
    </row>
    <row r="255">
      <c r="B255" s="139"/>
      <c r="C255" s="139"/>
      <c r="D255" s="139"/>
    </row>
    <row r="256">
      <c r="B256" s="139"/>
      <c r="C256" s="139"/>
      <c r="D256" s="139"/>
    </row>
    <row r="257">
      <c r="B257" s="139"/>
      <c r="C257" s="139"/>
      <c r="D257" s="139"/>
    </row>
    <row r="258">
      <c r="B258" s="139"/>
      <c r="C258" s="139"/>
      <c r="D258" s="139"/>
    </row>
    <row r="259">
      <c r="B259" s="139"/>
      <c r="C259" s="139"/>
      <c r="D259" s="139"/>
    </row>
    <row r="260">
      <c r="B260" s="139"/>
      <c r="C260" s="139"/>
      <c r="D260" s="139"/>
    </row>
    <row r="261">
      <c r="B261" s="139"/>
      <c r="C261" s="139"/>
      <c r="D261" s="139"/>
    </row>
    <row r="262">
      <c r="B262" s="139"/>
      <c r="C262" s="139"/>
      <c r="D262" s="139"/>
    </row>
    <row r="263">
      <c r="B263" s="139"/>
      <c r="C263" s="139"/>
      <c r="D263" s="139"/>
    </row>
    <row r="264">
      <c r="B264" s="139"/>
      <c r="C264" s="139"/>
      <c r="D264" s="139"/>
    </row>
    <row r="265">
      <c r="B265" s="139"/>
      <c r="C265" s="139"/>
      <c r="D265" s="139"/>
    </row>
    <row r="266">
      <c r="B266" s="139"/>
      <c r="C266" s="139"/>
      <c r="D266" s="139"/>
    </row>
    <row r="267">
      <c r="B267" s="139"/>
      <c r="C267" s="139"/>
      <c r="D267" s="139"/>
    </row>
    <row r="268">
      <c r="B268" s="139"/>
      <c r="C268" s="139"/>
      <c r="D268" s="139"/>
    </row>
    <row r="269">
      <c r="B269" s="139"/>
      <c r="C269" s="139"/>
      <c r="D269" s="139"/>
    </row>
    <row r="270">
      <c r="B270" s="139"/>
      <c r="C270" s="139"/>
      <c r="D270" s="139"/>
    </row>
    <row r="271">
      <c r="B271" s="139"/>
      <c r="C271" s="139"/>
      <c r="D271" s="139"/>
    </row>
    <row r="272">
      <c r="B272" s="139"/>
      <c r="C272" s="139"/>
      <c r="D272" s="139"/>
    </row>
    <row r="273">
      <c r="B273" s="139"/>
      <c r="C273" s="139"/>
      <c r="D273" s="139"/>
    </row>
    <row r="274">
      <c r="B274" s="139"/>
      <c r="C274" s="139"/>
      <c r="D274" s="139"/>
    </row>
    <row r="275">
      <c r="B275" s="139"/>
      <c r="C275" s="139"/>
      <c r="D275" s="139"/>
    </row>
    <row r="276">
      <c r="B276" s="139"/>
      <c r="C276" s="139"/>
      <c r="D276" s="139"/>
    </row>
    <row r="277">
      <c r="B277" s="139"/>
      <c r="C277" s="139"/>
      <c r="D277" s="139"/>
    </row>
    <row r="278">
      <c r="B278" s="139"/>
      <c r="C278" s="139"/>
      <c r="D278" s="139"/>
    </row>
    <row r="279">
      <c r="B279" s="139"/>
      <c r="C279" s="139"/>
      <c r="D279" s="139"/>
    </row>
    <row r="280">
      <c r="B280" s="139"/>
      <c r="C280" s="139"/>
      <c r="D280" s="139"/>
    </row>
    <row r="281">
      <c r="B281" s="139"/>
      <c r="C281" s="139"/>
      <c r="D281" s="139"/>
    </row>
    <row r="282">
      <c r="B282" s="139"/>
      <c r="C282" s="139"/>
      <c r="D282" s="139"/>
    </row>
    <row r="283">
      <c r="B283" s="139"/>
      <c r="C283" s="139"/>
      <c r="D283" s="139"/>
    </row>
    <row r="284">
      <c r="B284" s="139"/>
      <c r="C284" s="139"/>
      <c r="D284" s="139"/>
    </row>
    <row r="285">
      <c r="B285" s="139"/>
      <c r="C285" s="139"/>
      <c r="D285" s="139"/>
    </row>
    <row r="286">
      <c r="B286" s="139"/>
      <c r="C286" s="139"/>
      <c r="D286" s="139"/>
    </row>
    <row r="287">
      <c r="B287" s="139"/>
      <c r="C287" s="139"/>
      <c r="D287" s="139"/>
    </row>
    <row r="288">
      <c r="B288" s="139"/>
      <c r="C288" s="139"/>
      <c r="D288" s="139"/>
    </row>
    <row r="289">
      <c r="B289" s="139"/>
      <c r="C289" s="139"/>
      <c r="D289" s="139"/>
    </row>
    <row r="290">
      <c r="B290" s="139"/>
      <c r="C290" s="139"/>
      <c r="D290" s="139"/>
    </row>
    <row r="291">
      <c r="B291" s="139"/>
      <c r="C291" s="139"/>
      <c r="D291" s="139"/>
    </row>
    <row r="292">
      <c r="B292" s="139"/>
      <c r="C292" s="139"/>
      <c r="D292" s="139"/>
    </row>
    <row r="293">
      <c r="B293" s="139"/>
      <c r="C293" s="139"/>
      <c r="D293" s="139"/>
    </row>
    <row r="294">
      <c r="B294" s="139"/>
      <c r="C294" s="139"/>
      <c r="D294" s="139"/>
    </row>
    <row r="295">
      <c r="B295" s="139"/>
      <c r="C295" s="139"/>
      <c r="D295" s="139"/>
    </row>
    <row r="296">
      <c r="B296" s="139"/>
      <c r="C296" s="139"/>
      <c r="D296" s="139"/>
    </row>
    <row r="297">
      <c r="B297" s="139"/>
      <c r="C297" s="139"/>
      <c r="D297" s="139"/>
    </row>
    <row r="298">
      <c r="B298" s="139"/>
      <c r="C298" s="139"/>
      <c r="D298" s="139"/>
    </row>
    <row r="299">
      <c r="B299" s="139"/>
      <c r="C299" s="139"/>
      <c r="D299" s="139"/>
    </row>
    <row r="300">
      <c r="B300" s="139"/>
      <c r="C300" s="139"/>
      <c r="D300" s="139"/>
    </row>
    <row r="301">
      <c r="B301" s="139"/>
      <c r="C301" s="139"/>
      <c r="D301" s="139"/>
    </row>
    <row r="302">
      <c r="B302" s="139"/>
      <c r="C302" s="139"/>
      <c r="D302" s="139"/>
    </row>
    <row r="303">
      <c r="B303" s="139"/>
      <c r="C303" s="139"/>
      <c r="D303" s="139"/>
    </row>
    <row r="304">
      <c r="B304" s="139"/>
      <c r="C304" s="139"/>
      <c r="D304" s="139"/>
    </row>
    <row r="305">
      <c r="B305" s="139"/>
      <c r="C305" s="139"/>
      <c r="D305" s="139"/>
    </row>
    <row r="306">
      <c r="B306" s="139"/>
      <c r="C306" s="139"/>
      <c r="D306" s="139"/>
    </row>
    <row r="307">
      <c r="B307" s="139"/>
      <c r="C307" s="139"/>
      <c r="D307" s="139"/>
    </row>
    <row r="308">
      <c r="B308" s="139"/>
      <c r="C308" s="139"/>
      <c r="D308" s="139"/>
    </row>
    <row r="309">
      <c r="B309" s="139"/>
      <c r="C309" s="139"/>
      <c r="D309" s="139"/>
    </row>
    <row r="310">
      <c r="B310" s="139"/>
      <c r="C310" s="139"/>
      <c r="D310" s="139"/>
    </row>
    <row r="311">
      <c r="B311" s="139"/>
      <c r="C311" s="139"/>
      <c r="D311" s="139"/>
    </row>
    <row r="312">
      <c r="B312" s="139"/>
      <c r="C312" s="139"/>
      <c r="D312" s="139"/>
    </row>
    <row r="313">
      <c r="B313" s="139"/>
      <c r="C313" s="139"/>
      <c r="D313" s="139"/>
    </row>
    <row r="314">
      <c r="B314" s="139"/>
      <c r="C314" s="139"/>
      <c r="D314" s="139"/>
    </row>
    <row r="315">
      <c r="B315" s="139"/>
      <c r="C315" s="139"/>
      <c r="D315" s="139"/>
    </row>
    <row r="316">
      <c r="B316" s="139"/>
      <c r="C316" s="139"/>
      <c r="D316" s="139"/>
    </row>
    <row r="317">
      <c r="B317" s="139"/>
      <c r="C317" s="139"/>
      <c r="D317" s="139"/>
    </row>
    <row r="318">
      <c r="B318" s="139"/>
      <c r="C318" s="139"/>
      <c r="D318" s="139"/>
    </row>
    <row r="319">
      <c r="B319" s="139"/>
      <c r="C319" s="139"/>
      <c r="D319" s="139"/>
    </row>
    <row r="320">
      <c r="B320" s="139"/>
      <c r="C320" s="139"/>
      <c r="D320" s="139"/>
    </row>
    <row r="321">
      <c r="B321" s="139"/>
      <c r="C321" s="139"/>
      <c r="D321" s="139"/>
    </row>
    <row r="322">
      <c r="B322" s="139"/>
      <c r="C322" s="139"/>
      <c r="D322" s="139"/>
    </row>
    <row r="323">
      <c r="B323" s="139"/>
      <c r="C323" s="139"/>
      <c r="D323" s="139"/>
    </row>
    <row r="324">
      <c r="B324" s="139"/>
      <c r="C324" s="139"/>
      <c r="D324" s="139"/>
    </row>
    <row r="325">
      <c r="B325" s="139"/>
      <c r="C325" s="139"/>
      <c r="D325" s="139"/>
    </row>
    <row r="326">
      <c r="B326" s="139"/>
      <c r="C326" s="139"/>
      <c r="D326" s="139"/>
    </row>
    <row r="327">
      <c r="B327" s="139"/>
      <c r="C327" s="139"/>
      <c r="D327" s="139"/>
    </row>
    <row r="328">
      <c r="B328" s="139"/>
      <c r="C328" s="139"/>
      <c r="D328" s="139"/>
    </row>
    <row r="329">
      <c r="B329" s="139"/>
      <c r="C329" s="139"/>
      <c r="D329" s="139"/>
    </row>
    <row r="330">
      <c r="B330" s="139"/>
      <c r="C330" s="139"/>
      <c r="D330" s="139"/>
    </row>
    <row r="331">
      <c r="B331" s="139"/>
      <c r="C331" s="139"/>
      <c r="D331" s="139"/>
    </row>
    <row r="332">
      <c r="B332" s="139"/>
      <c r="C332" s="139"/>
      <c r="D332" s="139"/>
    </row>
    <row r="333">
      <c r="B333" s="139"/>
      <c r="C333" s="139"/>
      <c r="D333" s="139"/>
    </row>
    <row r="334">
      <c r="B334" s="139"/>
      <c r="C334" s="139"/>
      <c r="D334" s="139"/>
    </row>
    <row r="335">
      <c r="B335" s="139"/>
      <c r="C335" s="139"/>
      <c r="D335" s="139"/>
    </row>
    <row r="336">
      <c r="B336" s="139"/>
      <c r="C336" s="139"/>
      <c r="D336" s="139"/>
    </row>
    <row r="337">
      <c r="B337" s="139"/>
      <c r="C337" s="139"/>
      <c r="D337" s="139"/>
    </row>
    <row r="338">
      <c r="B338" s="139"/>
      <c r="C338" s="139"/>
      <c r="D338" s="139"/>
    </row>
    <row r="339">
      <c r="B339" s="139"/>
      <c r="C339" s="139"/>
      <c r="D339" s="139"/>
    </row>
    <row r="340">
      <c r="B340" s="139"/>
      <c r="C340" s="139"/>
      <c r="D340" s="139"/>
    </row>
    <row r="341">
      <c r="B341" s="139"/>
      <c r="C341" s="139"/>
      <c r="D341" s="139"/>
    </row>
    <row r="342">
      <c r="B342" s="139"/>
      <c r="C342" s="139"/>
      <c r="D342" s="139"/>
    </row>
    <row r="343">
      <c r="B343" s="139"/>
      <c r="C343" s="139"/>
      <c r="D343" s="139"/>
    </row>
    <row r="344">
      <c r="B344" s="139"/>
      <c r="C344" s="139"/>
      <c r="D344" s="139"/>
    </row>
    <row r="345">
      <c r="B345" s="139"/>
      <c r="C345" s="139"/>
      <c r="D345" s="139"/>
    </row>
    <row r="346">
      <c r="B346" s="139"/>
      <c r="C346" s="139"/>
      <c r="D346" s="139"/>
    </row>
    <row r="347">
      <c r="B347" s="139"/>
      <c r="C347" s="139"/>
      <c r="D347" s="139"/>
    </row>
    <row r="348">
      <c r="B348" s="139"/>
      <c r="C348" s="139"/>
      <c r="D348" s="139"/>
    </row>
    <row r="349">
      <c r="B349" s="139"/>
      <c r="C349" s="139"/>
      <c r="D349" s="139"/>
    </row>
    <row r="350">
      <c r="B350" s="139"/>
      <c r="C350" s="139"/>
      <c r="D350" s="139"/>
    </row>
    <row r="351">
      <c r="B351" s="139"/>
      <c r="C351" s="139"/>
      <c r="D351" s="139"/>
    </row>
    <row r="352">
      <c r="B352" s="139"/>
      <c r="C352" s="139"/>
      <c r="D352" s="139"/>
    </row>
    <row r="353">
      <c r="B353" s="139"/>
      <c r="C353" s="139"/>
      <c r="D353" s="139"/>
    </row>
    <row r="354">
      <c r="B354" s="139"/>
      <c r="C354" s="139"/>
      <c r="D354" s="139"/>
    </row>
    <row r="355">
      <c r="B355" s="139"/>
      <c r="C355" s="139"/>
      <c r="D355" s="139"/>
    </row>
    <row r="356">
      <c r="B356" s="139"/>
      <c r="C356" s="139"/>
      <c r="D356" s="139"/>
    </row>
    <row r="357">
      <c r="B357" s="139"/>
      <c r="C357" s="139"/>
      <c r="D357" s="139"/>
    </row>
    <row r="358">
      <c r="B358" s="139"/>
      <c r="C358" s="139"/>
      <c r="D358" s="139"/>
    </row>
    <row r="359">
      <c r="B359" s="139"/>
      <c r="C359" s="139"/>
      <c r="D359" s="139"/>
    </row>
    <row r="360">
      <c r="B360" s="139"/>
      <c r="C360" s="139"/>
      <c r="D360" s="139"/>
    </row>
    <row r="361">
      <c r="B361" s="139"/>
      <c r="C361" s="139"/>
      <c r="D361" s="139"/>
    </row>
    <row r="362">
      <c r="B362" s="139"/>
      <c r="C362" s="139"/>
      <c r="D362" s="139"/>
    </row>
    <row r="363">
      <c r="B363" s="139"/>
      <c r="C363" s="139"/>
      <c r="D363" s="139"/>
    </row>
    <row r="364">
      <c r="B364" s="139"/>
      <c r="C364" s="139"/>
      <c r="D364" s="139"/>
    </row>
    <row r="365">
      <c r="B365" s="139"/>
      <c r="C365" s="139"/>
      <c r="D365" s="139"/>
    </row>
    <row r="366">
      <c r="B366" s="139"/>
      <c r="C366" s="139"/>
      <c r="D366" s="139"/>
    </row>
    <row r="367">
      <c r="B367" s="139"/>
      <c r="C367" s="139"/>
      <c r="D367" s="139"/>
    </row>
    <row r="368">
      <c r="B368" s="139"/>
      <c r="C368" s="139"/>
      <c r="D368" s="139"/>
    </row>
    <row r="369">
      <c r="B369" s="139"/>
      <c r="C369" s="139"/>
      <c r="D369" s="139"/>
    </row>
    <row r="370">
      <c r="B370" s="139"/>
      <c r="C370" s="139"/>
      <c r="D370" s="139"/>
    </row>
    <row r="371">
      <c r="B371" s="139"/>
      <c r="C371" s="139"/>
      <c r="D371" s="139"/>
    </row>
    <row r="372">
      <c r="B372" s="139"/>
      <c r="C372" s="139"/>
      <c r="D372" s="139"/>
    </row>
    <row r="373">
      <c r="B373" s="139"/>
      <c r="C373" s="139"/>
      <c r="D373" s="139"/>
    </row>
    <row r="374">
      <c r="B374" s="139"/>
      <c r="C374" s="139"/>
      <c r="D374" s="139"/>
    </row>
    <row r="375">
      <c r="B375" s="139"/>
      <c r="C375" s="139"/>
      <c r="D375" s="139"/>
    </row>
    <row r="376">
      <c r="B376" s="139"/>
      <c r="C376" s="139"/>
      <c r="D376" s="139"/>
    </row>
    <row r="377">
      <c r="B377" s="139"/>
      <c r="C377" s="139"/>
      <c r="D377" s="139"/>
    </row>
    <row r="378">
      <c r="B378" s="139"/>
      <c r="C378" s="139"/>
      <c r="D378" s="139"/>
    </row>
    <row r="379">
      <c r="B379" s="139"/>
      <c r="C379" s="139"/>
      <c r="D379" s="139"/>
    </row>
    <row r="380">
      <c r="B380" s="139"/>
      <c r="C380" s="139"/>
      <c r="D380" s="139"/>
    </row>
    <row r="381">
      <c r="B381" s="139"/>
      <c r="C381" s="139"/>
      <c r="D381" s="139"/>
    </row>
    <row r="382">
      <c r="B382" s="139"/>
      <c r="C382" s="139"/>
      <c r="D382" s="139"/>
    </row>
    <row r="383">
      <c r="B383" s="139"/>
      <c r="C383" s="139"/>
      <c r="D383" s="139"/>
    </row>
    <row r="384">
      <c r="B384" s="139"/>
      <c r="C384" s="139"/>
      <c r="D384" s="139"/>
    </row>
    <row r="385">
      <c r="B385" s="139"/>
      <c r="C385" s="139"/>
      <c r="D385" s="139"/>
    </row>
    <row r="386">
      <c r="B386" s="139"/>
      <c r="C386" s="139"/>
      <c r="D386" s="139"/>
    </row>
    <row r="387">
      <c r="B387" s="139"/>
      <c r="C387" s="139"/>
      <c r="D387" s="139"/>
    </row>
    <row r="388">
      <c r="B388" s="139"/>
      <c r="C388" s="139"/>
      <c r="D388" s="139"/>
    </row>
    <row r="389">
      <c r="B389" s="139"/>
      <c r="C389" s="139"/>
      <c r="D389" s="139"/>
    </row>
    <row r="390">
      <c r="B390" s="139"/>
      <c r="C390" s="139"/>
      <c r="D390" s="139"/>
    </row>
    <row r="391">
      <c r="B391" s="139"/>
      <c r="C391" s="139"/>
      <c r="D391" s="139"/>
    </row>
    <row r="392">
      <c r="B392" s="139"/>
      <c r="C392" s="139"/>
      <c r="D392" s="139"/>
    </row>
    <row r="393">
      <c r="B393" s="139"/>
      <c r="C393" s="139"/>
      <c r="D393" s="139"/>
    </row>
    <row r="394">
      <c r="B394" s="139"/>
      <c r="C394" s="139"/>
      <c r="D394" s="139"/>
    </row>
    <row r="395">
      <c r="B395" s="139"/>
      <c r="C395" s="139"/>
      <c r="D395" s="139"/>
    </row>
    <row r="396">
      <c r="B396" s="139"/>
      <c r="C396" s="139"/>
      <c r="D396" s="139"/>
    </row>
    <row r="397">
      <c r="B397" s="139"/>
      <c r="C397" s="139"/>
      <c r="D397" s="139"/>
    </row>
    <row r="398">
      <c r="B398" s="139"/>
      <c r="C398" s="139"/>
      <c r="D398" s="139"/>
    </row>
    <row r="399">
      <c r="B399" s="139"/>
      <c r="C399" s="139"/>
      <c r="D399" s="139"/>
    </row>
    <row r="400">
      <c r="B400" s="139"/>
      <c r="C400" s="139"/>
      <c r="D400" s="139"/>
    </row>
    <row r="401">
      <c r="B401" s="139"/>
      <c r="C401" s="139"/>
      <c r="D401" s="139"/>
    </row>
    <row r="402">
      <c r="B402" s="139"/>
      <c r="C402" s="139"/>
      <c r="D402" s="139"/>
    </row>
    <row r="403">
      <c r="B403" s="139"/>
      <c r="C403" s="139"/>
      <c r="D403" s="139"/>
    </row>
    <row r="404">
      <c r="B404" s="139"/>
      <c r="C404" s="139"/>
      <c r="D404" s="139"/>
    </row>
    <row r="405">
      <c r="B405" s="139"/>
      <c r="C405" s="139"/>
      <c r="D405" s="139"/>
    </row>
    <row r="406">
      <c r="B406" s="139"/>
      <c r="C406" s="139"/>
      <c r="D406" s="139"/>
    </row>
    <row r="407">
      <c r="B407" s="139"/>
      <c r="C407" s="139"/>
      <c r="D407" s="139"/>
    </row>
    <row r="408">
      <c r="B408" s="139"/>
      <c r="C408" s="139"/>
      <c r="D408" s="139"/>
    </row>
    <row r="409">
      <c r="B409" s="139"/>
      <c r="C409" s="139"/>
      <c r="D409" s="139"/>
    </row>
    <row r="410">
      <c r="B410" s="139"/>
      <c r="C410" s="139"/>
      <c r="D410" s="139"/>
    </row>
    <row r="411">
      <c r="B411" s="139"/>
      <c r="C411" s="139"/>
      <c r="D411" s="139"/>
    </row>
    <row r="412">
      <c r="B412" s="139"/>
      <c r="C412" s="139"/>
      <c r="D412" s="139"/>
    </row>
    <row r="413">
      <c r="B413" s="139"/>
      <c r="C413" s="139"/>
      <c r="D413" s="139"/>
    </row>
    <row r="414">
      <c r="B414" s="139"/>
      <c r="C414" s="139"/>
      <c r="D414" s="139"/>
    </row>
    <row r="415">
      <c r="B415" s="139"/>
      <c r="C415" s="139"/>
      <c r="D415" s="139"/>
    </row>
    <row r="416">
      <c r="B416" s="139"/>
      <c r="C416" s="139"/>
      <c r="D416" s="139"/>
    </row>
    <row r="417">
      <c r="B417" s="139"/>
      <c r="C417" s="139"/>
      <c r="D417" s="139"/>
    </row>
    <row r="418">
      <c r="B418" s="139"/>
      <c r="C418" s="139"/>
      <c r="D418" s="139"/>
    </row>
    <row r="419">
      <c r="B419" s="139"/>
      <c r="C419" s="139"/>
      <c r="D419" s="139"/>
    </row>
    <row r="420">
      <c r="B420" s="139"/>
      <c r="C420" s="139"/>
      <c r="D420" s="139"/>
    </row>
    <row r="421">
      <c r="B421" s="139"/>
      <c r="C421" s="139"/>
      <c r="D421" s="139"/>
    </row>
    <row r="422">
      <c r="B422" s="139"/>
      <c r="C422" s="139"/>
      <c r="D422" s="139"/>
    </row>
    <row r="423">
      <c r="B423" s="139"/>
      <c r="C423" s="139"/>
      <c r="D423" s="139"/>
    </row>
    <row r="424">
      <c r="B424" s="139"/>
      <c r="C424" s="139"/>
      <c r="D424" s="139"/>
    </row>
    <row r="425">
      <c r="B425" s="139"/>
      <c r="C425" s="139"/>
      <c r="D425" s="139"/>
    </row>
    <row r="426">
      <c r="B426" s="139"/>
      <c r="C426" s="139"/>
      <c r="D426" s="139"/>
    </row>
    <row r="427">
      <c r="B427" s="139"/>
      <c r="C427" s="139"/>
      <c r="D427" s="139"/>
    </row>
    <row r="428">
      <c r="B428" s="139"/>
      <c r="C428" s="139"/>
      <c r="D428" s="139"/>
    </row>
    <row r="429">
      <c r="B429" s="139"/>
      <c r="C429" s="139"/>
      <c r="D429" s="139"/>
    </row>
    <row r="430">
      <c r="B430" s="139"/>
      <c r="C430" s="139"/>
      <c r="D430" s="139"/>
    </row>
    <row r="431">
      <c r="B431" s="139"/>
      <c r="C431" s="139"/>
      <c r="D431" s="139"/>
    </row>
    <row r="432">
      <c r="B432" s="139"/>
      <c r="C432" s="139"/>
      <c r="D432" s="139"/>
    </row>
    <row r="433">
      <c r="B433" s="139"/>
      <c r="C433" s="139"/>
      <c r="D433" s="139"/>
    </row>
    <row r="434">
      <c r="B434" s="139"/>
      <c r="C434" s="139"/>
      <c r="D434" s="139"/>
    </row>
    <row r="435">
      <c r="B435" s="139"/>
      <c r="C435" s="139"/>
      <c r="D435" s="139"/>
    </row>
    <row r="436">
      <c r="B436" s="139"/>
      <c r="C436" s="139"/>
      <c r="D436" s="139"/>
    </row>
    <row r="437">
      <c r="B437" s="139"/>
      <c r="C437" s="139"/>
      <c r="D437" s="139"/>
    </row>
    <row r="438">
      <c r="B438" s="139"/>
      <c r="C438" s="139"/>
      <c r="D438" s="139"/>
    </row>
    <row r="439">
      <c r="B439" s="139"/>
      <c r="C439" s="139"/>
      <c r="D439" s="139"/>
    </row>
    <row r="440">
      <c r="B440" s="139"/>
      <c r="C440" s="139"/>
      <c r="D440" s="139"/>
    </row>
    <row r="441">
      <c r="B441" s="139"/>
      <c r="C441" s="139"/>
      <c r="D441" s="139"/>
    </row>
    <row r="442">
      <c r="B442" s="139"/>
      <c r="C442" s="139"/>
      <c r="D442" s="139"/>
    </row>
    <row r="443">
      <c r="B443" s="139"/>
      <c r="C443" s="139"/>
      <c r="D443" s="139"/>
    </row>
    <row r="444">
      <c r="B444" s="139"/>
      <c r="C444" s="139"/>
      <c r="D444" s="139"/>
    </row>
    <row r="445">
      <c r="B445" s="139"/>
      <c r="C445" s="139"/>
      <c r="D445" s="139"/>
    </row>
    <row r="446">
      <c r="B446" s="139"/>
      <c r="C446" s="139"/>
      <c r="D446" s="139"/>
    </row>
    <row r="447">
      <c r="B447" s="139"/>
      <c r="C447" s="139"/>
      <c r="D447" s="139"/>
    </row>
    <row r="448">
      <c r="B448" s="139"/>
      <c r="C448" s="139"/>
      <c r="D448" s="139"/>
    </row>
    <row r="449">
      <c r="B449" s="139"/>
      <c r="C449" s="139"/>
      <c r="D449" s="139"/>
    </row>
    <row r="450">
      <c r="B450" s="139"/>
      <c r="C450" s="139"/>
      <c r="D450" s="139"/>
    </row>
    <row r="451">
      <c r="B451" s="139"/>
      <c r="C451" s="139"/>
      <c r="D451" s="139"/>
    </row>
    <row r="452">
      <c r="B452" s="139"/>
      <c r="C452" s="139"/>
      <c r="D452" s="139"/>
    </row>
    <row r="453">
      <c r="B453" s="139"/>
      <c r="C453" s="139"/>
      <c r="D453" s="139"/>
    </row>
    <row r="454">
      <c r="B454" s="139"/>
      <c r="C454" s="139"/>
      <c r="D454" s="139"/>
    </row>
    <row r="455">
      <c r="B455" s="139"/>
      <c r="C455" s="139"/>
      <c r="D455" s="139"/>
    </row>
    <row r="456">
      <c r="B456" s="139"/>
      <c r="C456" s="139"/>
      <c r="D456" s="139"/>
    </row>
    <row r="457">
      <c r="B457" s="139"/>
      <c r="C457" s="139"/>
      <c r="D457" s="139"/>
    </row>
    <row r="458">
      <c r="B458" s="139"/>
      <c r="C458" s="139"/>
      <c r="D458" s="139"/>
    </row>
    <row r="459">
      <c r="B459" s="139"/>
      <c r="C459" s="139"/>
      <c r="D459" s="139"/>
    </row>
    <row r="460">
      <c r="B460" s="139"/>
      <c r="C460" s="139"/>
      <c r="D460" s="139"/>
    </row>
    <row r="461">
      <c r="B461" s="139"/>
      <c r="C461" s="139"/>
      <c r="D461" s="139"/>
    </row>
    <row r="462">
      <c r="B462" s="139"/>
      <c r="C462" s="139"/>
      <c r="D462" s="139"/>
    </row>
    <row r="463">
      <c r="B463" s="139"/>
      <c r="C463" s="139"/>
      <c r="D463" s="139"/>
    </row>
    <row r="464">
      <c r="B464" s="139"/>
      <c r="C464" s="139"/>
      <c r="D464" s="139"/>
    </row>
    <row r="465">
      <c r="B465" s="139"/>
      <c r="C465" s="139"/>
      <c r="D465" s="139"/>
    </row>
    <row r="466">
      <c r="B466" s="139"/>
      <c r="C466" s="139"/>
      <c r="D466" s="139"/>
    </row>
    <row r="467">
      <c r="B467" s="139"/>
      <c r="C467" s="139"/>
      <c r="D467" s="139"/>
    </row>
    <row r="468">
      <c r="B468" s="139"/>
      <c r="C468" s="139"/>
      <c r="D468" s="139"/>
    </row>
    <row r="469">
      <c r="B469" s="139"/>
      <c r="C469" s="139"/>
      <c r="D469" s="139"/>
    </row>
    <row r="470">
      <c r="B470" s="139"/>
      <c r="C470" s="139"/>
      <c r="D470" s="139"/>
    </row>
    <row r="471">
      <c r="B471" s="139"/>
      <c r="C471" s="139"/>
      <c r="D471" s="139"/>
    </row>
    <row r="472">
      <c r="B472" s="139"/>
      <c r="C472" s="139"/>
      <c r="D472" s="139"/>
    </row>
    <row r="473">
      <c r="B473" s="139"/>
      <c r="C473" s="139"/>
      <c r="D473" s="139"/>
    </row>
    <row r="474">
      <c r="B474" s="139"/>
      <c r="C474" s="139"/>
      <c r="D474" s="139"/>
    </row>
    <row r="475">
      <c r="B475" s="139"/>
      <c r="C475" s="139"/>
      <c r="D475" s="139"/>
    </row>
    <row r="476">
      <c r="B476" s="139"/>
      <c r="C476" s="139"/>
      <c r="D476" s="139"/>
    </row>
    <row r="477">
      <c r="B477" s="139"/>
      <c r="C477" s="139"/>
      <c r="D477" s="139"/>
    </row>
    <row r="478">
      <c r="B478" s="139"/>
      <c r="C478" s="139"/>
      <c r="D478" s="139"/>
    </row>
    <row r="479">
      <c r="B479" s="139"/>
      <c r="C479" s="139"/>
      <c r="D479" s="139"/>
    </row>
    <row r="480">
      <c r="B480" s="139"/>
      <c r="C480" s="139"/>
      <c r="D480" s="139"/>
    </row>
    <row r="481">
      <c r="B481" s="139"/>
      <c r="C481" s="139"/>
      <c r="D481" s="139"/>
    </row>
    <row r="482">
      <c r="B482" s="139"/>
      <c r="C482" s="139"/>
      <c r="D482" s="139"/>
    </row>
    <row r="483">
      <c r="B483" s="139"/>
      <c r="C483" s="139"/>
      <c r="D483" s="139"/>
    </row>
    <row r="484">
      <c r="B484" s="139"/>
      <c r="C484" s="139"/>
      <c r="D484" s="139"/>
    </row>
    <row r="485">
      <c r="B485" s="139"/>
      <c r="C485" s="139"/>
      <c r="D485" s="139"/>
    </row>
    <row r="486">
      <c r="B486" s="139"/>
      <c r="C486" s="139"/>
      <c r="D486" s="139"/>
    </row>
    <row r="487">
      <c r="B487" s="139"/>
      <c r="C487" s="139"/>
      <c r="D487" s="139"/>
    </row>
    <row r="488">
      <c r="B488" s="139"/>
      <c r="C488" s="139"/>
      <c r="D488" s="139"/>
    </row>
    <row r="489">
      <c r="B489" s="139"/>
      <c r="C489" s="139"/>
      <c r="D489" s="139"/>
    </row>
    <row r="490">
      <c r="B490" s="139"/>
      <c r="C490" s="139"/>
      <c r="D490" s="139"/>
    </row>
    <row r="491">
      <c r="B491" s="139"/>
      <c r="C491" s="139"/>
      <c r="D491" s="139"/>
    </row>
    <row r="492">
      <c r="B492" s="139"/>
      <c r="C492" s="139"/>
      <c r="D492" s="139"/>
    </row>
    <row r="493">
      <c r="B493" s="139"/>
      <c r="C493" s="139"/>
      <c r="D493" s="139"/>
    </row>
    <row r="494">
      <c r="B494" s="139"/>
      <c r="C494" s="139"/>
      <c r="D494" s="139"/>
    </row>
    <row r="495">
      <c r="B495" s="139"/>
      <c r="C495" s="139"/>
      <c r="D495" s="139"/>
    </row>
    <row r="496">
      <c r="B496" s="139"/>
      <c r="C496" s="139"/>
      <c r="D496" s="139"/>
    </row>
    <row r="497">
      <c r="B497" s="139"/>
      <c r="C497" s="139"/>
      <c r="D497" s="139"/>
    </row>
    <row r="498">
      <c r="B498" s="139"/>
      <c r="C498" s="139"/>
      <c r="D498" s="139"/>
    </row>
    <row r="499">
      <c r="B499" s="139"/>
      <c r="C499" s="139"/>
      <c r="D499" s="139"/>
    </row>
    <row r="500">
      <c r="B500" s="139"/>
      <c r="C500" s="139"/>
      <c r="D500" s="139"/>
    </row>
    <row r="501">
      <c r="B501" s="139"/>
      <c r="C501" s="139"/>
      <c r="D501" s="139"/>
    </row>
    <row r="502">
      <c r="B502" s="139"/>
      <c r="C502" s="139"/>
      <c r="D502" s="139"/>
    </row>
    <row r="503">
      <c r="B503" s="139"/>
      <c r="C503" s="139"/>
      <c r="D503" s="139"/>
    </row>
    <row r="504">
      <c r="B504" s="139"/>
      <c r="C504" s="139"/>
      <c r="D504" s="139"/>
    </row>
    <row r="505">
      <c r="B505" s="139"/>
      <c r="C505" s="139"/>
      <c r="D505" s="139"/>
    </row>
    <row r="506">
      <c r="B506" s="139"/>
      <c r="C506" s="139"/>
      <c r="D506" s="139"/>
    </row>
    <row r="507">
      <c r="B507" s="139"/>
      <c r="C507" s="139"/>
      <c r="D507" s="139"/>
    </row>
    <row r="508">
      <c r="B508" s="139"/>
      <c r="C508" s="139"/>
      <c r="D508" s="139"/>
    </row>
    <row r="509">
      <c r="B509" s="139"/>
      <c r="C509" s="139"/>
      <c r="D509" s="139"/>
    </row>
    <row r="510">
      <c r="B510" s="139"/>
      <c r="C510" s="139"/>
      <c r="D510" s="139"/>
    </row>
    <row r="511">
      <c r="B511" s="139"/>
      <c r="C511" s="139"/>
      <c r="D511" s="139"/>
    </row>
    <row r="512">
      <c r="B512" s="139"/>
      <c r="C512" s="139"/>
      <c r="D512" s="139"/>
    </row>
    <row r="513">
      <c r="B513" s="139"/>
      <c r="C513" s="139"/>
      <c r="D513" s="139"/>
    </row>
    <row r="514">
      <c r="B514" s="139"/>
      <c r="C514" s="139"/>
      <c r="D514" s="139"/>
    </row>
    <row r="515">
      <c r="B515" s="139"/>
      <c r="C515" s="139"/>
      <c r="D515" s="139"/>
    </row>
    <row r="516">
      <c r="B516" s="139"/>
      <c r="C516" s="139"/>
      <c r="D516" s="139"/>
    </row>
    <row r="517">
      <c r="B517" s="139"/>
      <c r="C517" s="139"/>
      <c r="D517" s="139"/>
    </row>
    <row r="518">
      <c r="B518" s="139"/>
      <c r="C518" s="139"/>
      <c r="D518" s="139"/>
    </row>
    <row r="519">
      <c r="B519" s="139"/>
      <c r="C519" s="139"/>
      <c r="D519" s="139"/>
    </row>
    <row r="520">
      <c r="B520" s="139"/>
      <c r="C520" s="139"/>
      <c r="D520" s="139"/>
    </row>
    <row r="521">
      <c r="B521" s="139"/>
      <c r="C521" s="139"/>
      <c r="D521" s="139"/>
    </row>
    <row r="522">
      <c r="B522" s="139"/>
      <c r="C522" s="139"/>
      <c r="D522" s="139"/>
    </row>
    <row r="523">
      <c r="B523" s="139"/>
      <c r="C523" s="139"/>
      <c r="D523" s="139"/>
    </row>
    <row r="524">
      <c r="B524" s="139"/>
      <c r="C524" s="139"/>
      <c r="D524" s="139"/>
    </row>
    <row r="525">
      <c r="B525" s="139"/>
      <c r="C525" s="139"/>
      <c r="D525" s="139"/>
    </row>
    <row r="526">
      <c r="B526" s="139"/>
      <c r="C526" s="139"/>
      <c r="D526" s="139"/>
    </row>
    <row r="527">
      <c r="B527" s="139"/>
      <c r="C527" s="139"/>
      <c r="D527" s="139"/>
    </row>
    <row r="528">
      <c r="B528" s="139"/>
      <c r="C528" s="139"/>
      <c r="D528" s="139"/>
    </row>
    <row r="529">
      <c r="B529" s="139"/>
      <c r="C529" s="139"/>
      <c r="D529" s="139"/>
    </row>
    <row r="530">
      <c r="B530" s="139"/>
      <c r="C530" s="139"/>
      <c r="D530" s="139"/>
    </row>
    <row r="531">
      <c r="B531" s="139"/>
      <c r="C531" s="139"/>
      <c r="D531" s="139"/>
    </row>
    <row r="532">
      <c r="B532" s="139"/>
      <c r="C532" s="139"/>
      <c r="D532" s="139"/>
    </row>
    <row r="533">
      <c r="B533" s="139"/>
      <c r="C533" s="139"/>
      <c r="D533" s="139"/>
    </row>
    <row r="534">
      <c r="B534" s="139"/>
      <c r="C534" s="139"/>
      <c r="D534" s="139"/>
    </row>
    <row r="535">
      <c r="B535" s="139"/>
      <c r="C535" s="139"/>
      <c r="D535" s="139"/>
    </row>
    <row r="536">
      <c r="B536" s="139"/>
      <c r="C536" s="139"/>
      <c r="D536" s="139"/>
    </row>
    <row r="537">
      <c r="B537" s="139"/>
      <c r="C537" s="139"/>
      <c r="D537" s="139"/>
    </row>
    <row r="538">
      <c r="B538" s="139"/>
      <c r="C538" s="139"/>
      <c r="D538" s="139"/>
    </row>
    <row r="539">
      <c r="B539" s="139"/>
      <c r="C539" s="139"/>
      <c r="D539" s="139"/>
    </row>
    <row r="540">
      <c r="B540" s="139"/>
      <c r="C540" s="139"/>
      <c r="D540" s="139"/>
    </row>
    <row r="541">
      <c r="B541" s="139"/>
      <c r="C541" s="139"/>
      <c r="D541" s="139"/>
    </row>
    <row r="542">
      <c r="B542" s="139"/>
      <c r="C542" s="139"/>
      <c r="D542" s="139"/>
    </row>
    <row r="543">
      <c r="B543" s="139"/>
      <c r="C543" s="139"/>
      <c r="D543" s="139"/>
    </row>
    <row r="544">
      <c r="B544" s="139"/>
      <c r="C544" s="139"/>
      <c r="D544" s="139"/>
    </row>
    <row r="545">
      <c r="B545" s="139"/>
      <c r="C545" s="139"/>
      <c r="D545" s="139"/>
    </row>
    <row r="546">
      <c r="B546" s="139"/>
      <c r="C546" s="139"/>
      <c r="D546" s="139"/>
    </row>
    <row r="547">
      <c r="B547" s="139"/>
      <c r="C547" s="139"/>
      <c r="D547" s="139"/>
    </row>
    <row r="548">
      <c r="B548" s="139"/>
      <c r="C548" s="139"/>
      <c r="D548" s="139"/>
    </row>
    <row r="549">
      <c r="B549" s="139"/>
      <c r="C549" s="139"/>
      <c r="D549" s="139"/>
    </row>
    <row r="550">
      <c r="B550" s="139"/>
      <c r="C550" s="139"/>
      <c r="D550" s="139"/>
    </row>
    <row r="551">
      <c r="B551" s="139"/>
      <c r="C551" s="139"/>
      <c r="D551" s="139"/>
    </row>
    <row r="552">
      <c r="B552" s="139"/>
      <c r="C552" s="139"/>
      <c r="D552" s="139"/>
    </row>
    <row r="553">
      <c r="B553" s="139"/>
      <c r="C553" s="139"/>
      <c r="D553" s="139"/>
    </row>
    <row r="554">
      <c r="B554" s="139"/>
      <c r="C554" s="139"/>
      <c r="D554" s="139"/>
    </row>
    <row r="555">
      <c r="B555" s="139"/>
      <c r="C555" s="139"/>
      <c r="D555" s="139"/>
    </row>
    <row r="556">
      <c r="B556" s="139"/>
      <c r="C556" s="139"/>
      <c r="D556" s="139"/>
    </row>
    <row r="557">
      <c r="B557" s="139"/>
      <c r="C557" s="139"/>
      <c r="D557" s="139"/>
    </row>
    <row r="558">
      <c r="B558" s="139"/>
      <c r="C558" s="139"/>
      <c r="D558" s="139"/>
    </row>
    <row r="559">
      <c r="B559" s="139"/>
      <c r="C559" s="139"/>
      <c r="D559" s="139"/>
    </row>
    <row r="560">
      <c r="B560" s="139"/>
      <c r="C560" s="139"/>
      <c r="D560" s="139"/>
    </row>
    <row r="561">
      <c r="B561" s="139"/>
      <c r="C561" s="139"/>
      <c r="D561" s="139"/>
    </row>
    <row r="562">
      <c r="B562" s="139"/>
      <c r="C562" s="139"/>
      <c r="D562" s="139"/>
    </row>
    <row r="563">
      <c r="B563" s="139"/>
      <c r="C563" s="139"/>
      <c r="D563" s="139"/>
    </row>
    <row r="564">
      <c r="B564" s="139"/>
      <c r="C564" s="139"/>
      <c r="D564" s="139"/>
    </row>
    <row r="565">
      <c r="B565" s="139"/>
      <c r="C565" s="139"/>
      <c r="D565" s="139"/>
    </row>
    <row r="566">
      <c r="B566" s="139"/>
      <c r="C566" s="139"/>
      <c r="D566" s="139"/>
    </row>
    <row r="567">
      <c r="B567" s="139"/>
      <c r="C567" s="139"/>
      <c r="D567" s="139"/>
    </row>
    <row r="568">
      <c r="B568" s="139"/>
      <c r="C568" s="139"/>
      <c r="D568" s="139"/>
    </row>
    <row r="569">
      <c r="B569" s="139"/>
      <c r="C569" s="139"/>
      <c r="D569" s="139"/>
    </row>
    <row r="570">
      <c r="B570" s="139"/>
      <c r="C570" s="139"/>
      <c r="D570" s="139"/>
    </row>
    <row r="571">
      <c r="B571" s="139"/>
      <c r="C571" s="139"/>
      <c r="D571" s="139"/>
    </row>
    <row r="572">
      <c r="B572" s="139"/>
      <c r="C572" s="139"/>
      <c r="D572" s="139"/>
    </row>
    <row r="573">
      <c r="B573" s="139"/>
      <c r="C573" s="139"/>
      <c r="D573" s="139"/>
    </row>
    <row r="574">
      <c r="B574" s="139"/>
      <c r="C574" s="139"/>
      <c r="D574" s="139"/>
    </row>
    <row r="575">
      <c r="B575" s="139"/>
      <c r="C575" s="139"/>
      <c r="D575" s="139"/>
    </row>
    <row r="576">
      <c r="B576" s="139"/>
      <c r="C576" s="139"/>
      <c r="D576" s="139"/>
    </row>
    <row r="577">
      <c r="B577" s="139"/>
      <c r="C577" s="139"/>
      <c r="D577" s="139"/>
    </row>
    <row r="578">
      <c r="B578" s="139"/>
      <c r="C578" s="139"/>
      <c r="D578" s="139"/>
    </row>
    <row r="579">
      <c r="B579" s="139"/>
      <c r="C579" s="139"/>
      <c r="D579" s="139"/>
    </row>
    <row r="580">
      <c r="B580" s="139"/>
      <c r="C580" s="139"/>
      <c r="D580" s="139"/>
    </row>
    <row r="581">
      <c r="B581" s="139"/>
      <c r="C581" s="139"/>
      <c r="D581" s="139"/>
    </row>
    <row r="582">
      <c r="B582" s="139"/>
      <c r="C582" s="139"/>
      <c r="D582" s="139"/>
    </row>
    <row r="583">
      <c r="B583" s="139"/>
      <c r="C583" s="139"/>
      <c r="D583" s="139"/>
    </row>
    <row r="584">
      <c r="B584" s="139"/>
      <c r="C584" s="139"/>
      <c r="D584" s="139"/>
    </row>
    <row r="585">
      <c r="B585" s="139"/>
      <c r="C585" s="139"/>
      <c r="D585" s="139"/>
    </row>
    <row r="586">
      <c r="B586" s="139"/>
      <c r="C586" s="139"/>
      <c r="D586" s="139"/>
    </row>
    <row r="587">
      <c r="B587" s="139"/>
      <c r="C587" s="139"/>
      <c r="D587" s="139"/>
    </row>
    <row r="588">
      <c r="B588" s="139"/>
      <c r="C588" s="139"/>
      <c r="D588" s="139"/>
    </row>
    <row r="589">
      <c r="B589" s="139"/>
      <c r="C589" s="139"/>
      <c r="D589" s="139"/>
    </row>
    <row r="590">
      <c r="B590" s="139"/>
      <c r="C590" s="139"/>
      <c r="D590" s="139"/>
    </row>
    <row r="591">
      <c r="B591" s="139"/>
      <c r="C591" s="139"/>
      <c r="D591" s="139"/>
    </row>
    <row r="592">
      <c r="B592" s="139"/>
      <c r="C592" s="139"/>
      <c r="D592" s="139"/>
    </row>
    <row r="593">
      <c r="B593" s="139"/>
      <c r="C593" s="139"/>
      <c r="D593" s="139"/>
    </row>
    <row r="594">
      <c r="B594" s="139"/>
      <c r="C594" s="139"/>
      <c r="D594" s="139"/>
    </row>
    <row r="595">
      <c r="B595" s="139"/>
      <c r="C595" s="139"/>
      <c r="D595" s="139"/>
    </row>
    <row r="596">
      <c r="B596" s="139"/>
      <c r="C596" s="139"/>
      <c r="D596" s="139"/>
    </row>
    <row r="597">
      <c r="B597" s="139"/>
      <c r="C597" s="139"/>
      <c r="D597" s="139"/>
    </row>
    <row r="598">
      <c r="B598" s="139"/>
      <c r="C598" s="139"/>
      <c r="D598" s="139"/>
    </row>
    <row r="599">
      <c r="B599" s="139"/>
      <c r="C599" s="139"/>
      <c r="D599" s="139"/>
    </row>
    <row r="600">
      <c r="B600" s="139"/>
      <c r="C600" s="139"/>
      <c r="D600" s="139"/>
    </row>
    <row r="601">
      <c r="B601" s="139"/>
      <c r="C601" s="139"/>
      <c r="D601" s="139"/>
    </row>
    <row r="602">
      <c r="B602" s="139"/>
      <c r="C602" s="139"/>
      <c r="D602" s="139"/>
    </row>
    <row r="603">
      <c r="B603" s="139"/>
      <c r="C603" s="139"/>
      <c r="D603" s="139"/>
    </row>
    <row r="604">
      <c r="B604" s="139"/>
      <c r="C604" s="139"/>
      <c r="D604" s="139"/>
    </row>
    <row r="605">
      <c r="B605" s="139"/>
      <c r="C605" s="139"/>
      <c r="D605" s="139"/>
    </row>
    <row r="606">
      <c r="B606" s="139"/>
      <c r="C606" s="139"/>
      <c r="D606" s="139"/>
    </row>
    <row r="607">
      <c r="B607" s="139"/>
      <c r="C607" s="139"/>
      <c r="D607" s="139"/>
    </row>
    <row r="608">
      <c r="B608" s="139"/>
      <c r="C608" s="139"/>
      <c r="D608" s="139"/>
    </row>
    <row r="609">
      <c r="B609" s="139"/>
      <c r="C609" s="139"/>
      <c r="D609" s="139"/>
    </row>
    <row r="610">
      <c r="B610" s="139"/>
      <c r="C610" s="139"/>
      <c r="D610" s="139"/>
    </row>
    <row r="611">
      <c r="B611" s="139"/>
      <c r="C611" s="139"/>
      <c r="D611" s="139"/>
    </row>
    <row r="612">
      <c r="B612" s="139"/>
      <c r="C612" s="139"/>
      <c r="D612" s="139"/>
    </row>
    <row r="613">
      <c r="B613" s="139"/>
      <c r="C613" s="139"/>
      <c r="D613" s="139"/>
    </row>
    <row r="614">
      <c r="B614" s="139"/>
      <c r="C614" s="139"/>
      <c r="D614" s="139"/>
    </row>
    <row r="615">
      <c r="B615" s="139"/>
      <c r="C615" s="139"/>
      <c r="D615" s="139"/>
    </row>
    <row r="616">
      <c r="B616" s="139"/>
      <c r="C616" s="139"/>
      <c r="D616" s="139"/>
    </row>
    <row r="617">
      <c r="B617" s="139"/>
      <c r="C617" s="139"/>
      <c r="D617" s="139"/>
    </row>
    <row r="618">
      <c r="B618" s="139"/>
      <c r="C618" s="139"/>
      <c r="D618" s="139"/>
    </row>
    <row r="619">
      <c r="B619" s="139"/>
      <c r="C619" s="139"/>
      <c r="D619" s="139"/>
    </row>
    <row r="620">
      <c r="B620" s="139"/>
      <c r="C620" s="139"/>
      <c r="D620" s="139"/>
    </row>
    <row r="621">
      <c r="B621" s="139"/>
      <c r="C621" s="139"/>
      <c r="D621" s="139"/>
    </row>
    <row r="622">
      <c r="B622" s="139"/>
      <c r="C622" s="139"/>
      <c r="D622" s="139"/>
    </row>
    <row r="623">
      <c r="B623" s="139"/>
      <c r="C623" s="139"/>
      <c r="D623" s="139"/>
    </row>
    <row r="624">
      <c r="B624" s="139"/>
      <c r="C624" s="139"/>
      <c r="D624" s="139"/>
    </row>
    <row r="625">
      <c r="B625" s="139"/>
      <c r="C625" s="139"/>
      <c r="D625" s="139"/>
    </row>
    <row r="626">
      <c r="B626" s="139"/>
      <c r="C626" s="139"/>
      <c r="D626" s="139"/>
    </row>
    <row r="627">
      <c r="B627" s="139"/>
      <c r="C627" s="139"/>
      <c r="D627" s="139"/>
    </row>
    <row r="628">
      <c r="B628" s="139"/>
      <c r="C628" s="139"/>
      <c r="D628" s="139"/>
    </row>
    <row r="629">
      <c r="B629" s="139"/>
      <c r="C629" s="139"/>
      <c r="D629" s="139"/>
    </row>
    <row r="630">
      <c r="B630" s="139"/>
      <c r="C630" s="139"/>
      <c r="D630" s="139"/>
    </row>
    <row r="631">
      <c r="B631" s="139"/>
      <c r="C631" s="139"/>
      <c r="D631" s="139"/>
    </row>
    <row r="632">
      <c r="B632" s="139"/>
      <c r="C632" s="139"/>
      <c r="D632" s="139"/>
    </row>
    <row r="633">
      <c r="B633" s="139"/>
      <c r="C633" s="139"/>
      <c r="D633" s="139"/>
    </row>
    <row r="634">
      <c r="B634" s="139"/>
      <c r="C634" s="139"/>
      <c r="D634" s="139"/>
    </row>
    <row r="635">
      <c r="B635" s="139"/>
      <c r="C635" s="139"/>
      <c r="D635" s="139"/>
    </row>
    <row r="636">
      <c r="B636" s="139"/>
      <c r="C636" s="139"/>
      <c r="D636" s="139"/>
    </row>
    <row r="637">
      <c r="B637" s="139"/>
      <c r="C637" s="139"/>
      <c r="D637" s="139"/>
    </row>
    <row r="638">
      <c r="B638" s="139"/>
      <c r="C638" s="139"/>
      <c r="D638" s="139"/>
    </row>
    <row r="639">
      <c r="B639" s="139"/>
      <c r="C639" s="139"/>
      <c r="D639" s="139"/>
    </row>
    <row r="640">
      <c r="B640" s="139"/>
      <c r="C640" s="139"/>
      <c r="D640" s="139"/>
    </row>
    <row r="641">
      <c r="B641" s="139"/>
      <c r="C641" s="139"/>
      <c r="D641" s="139"/>
    </row>
    <row r="642">
      <c r="B642" s="139"/>
      <c r="C642" s="139"/>
      <c r="D642" s="139"/>
    </row>
    <row r="643">
      <c r="B643" s="139"/>
      <c r="C643" s="139"/>
      <c r="D643" s="139"/>
    </row>
    <row r="644">
      <c r="B644" s="139"/>
      <c r="C644" s="139"/>
      <c r="D644" s="139"/>
    </row>
    <row r="645">
      <c r="B645" s="139"/>
      <c r="C645" s="139"/>
      <c r="D645" s="139"/>
    </row>
    <row r="646">
      <c r="B646" s="139"/>
      <c r="C646" s="139"/>
      <c r="D646" s="139"/>
    </row>
    <row r="647">
      <c r="B647" s="139"/>
      <c r="C647" s="139"/>
      <c r="D647" s="139"/>
    </row>
    <row r="648">
      <c r="B648" s="139"/>
      <c r="C648" s="139"/>
      <c r="D648" s="139"/>
    </row>
    <row r="649">
      <c r="B649" s="139"/>
      <c r="C649" s="139"/>
      <c r="D649" s="139"/>
    </row>
    <row r="650">
      <c r="B650" s="139"/>
      <c r="C650" s="139"/>
      <c r="D650" s="139"/>
    </row>
    <row r="651">
      <c r="B651" s="139"/>
      <c r="C651" s="139"/>
      <c r="D651" s="139"/>
    </row>
    <row r="652">
      <c r="B652" s="139"/>
      <c r="C652" s="139"/>
      <c r="D652" s="139"/>
    </row>
    <row r="653">
      <c r="B653" s="139"/>
      <c r="C653" s="139"/>
      <c r="D653" s="139"/>
    </row>
    <row r="654">
      <c r="B654" s="139"/>
      <c r="C654" s="139"/>
      <c r="D654" s="139"/>
    </row>
    <row r="655">
      <c r="B655" s="139"/>
      <c r="C655" s="139"/>
      <c r="D655" s="139"/>
    </row>
    <row r="656">
      <c r="B656" s="139"/>
      <c r="C656" s="139"/>
      <c r="D656" s="139"/>
    </row>
    <row r="657">
      <c r="B657" s="139"/>
      <c r="C657" s="139"/>
      <c r="D657" s="139"/>
    </row>
    <row r="658">
      <c r="B658" s="139"/>
      <c r="C658" s="139"/>
      <c r="D658" s="139"/>
    </row>
    <row r="659">
      <c r="B659" s="139"/>
      <c r="C659" s="139"/>
      <c r="D659" s="139"/>
    </row>
    <row r="660">
      <c r="B660" s="139"/>
      <c r="C660" s="139"/>
      <c r="D660" s="139"/>
    </row>
    <row r="661">
      <c r="B661" s="139"/>
      <c r="C661" s="139"/>
      <c r="D661" s="139"/>
    </row>
    <row r="662">
      <c r="B662" s="139"/>
      <c r="C662" s="139"/>
      <c r="D662" s="139"/>
    </row>
    <row r="663">
      <c r="B663" s="139"/>
      <c r="C663" s="139"/>
      <c r="D663" s="139"/>
    </row>
    <row r="664">
      <c r="B664" s="139"/>
      <c r="C664" s="139"/>
      <c r="D664" s="139"/>
    </row>
    <row r="665">
      <c r="B665" s="139"/>
      <c r="C665" s="139"/>
      <c r="D665" s="139"/>
    </row>
    <row r="666">
      <c r="B666" s="139"/>
      <c r="C666" s="139"/>
      <c r="D666" s="139"/>
    </row>
    <row r="667">
      <c r="B667" s="139"/>
      <c r="C667" s="139"/>
      <c r="D667" s="139"/>
    </row>
    <row r="668">
      <c r="B668" s="139"/>
      <c r="C668" s="139"/>
      <c r="D668" s="139"/>
    </row>
    <row r="669">
      <c r="B669" s="139"/>
      <c r="C669" s="139"/>
      <c r="D669" s="139"/>
    </row>
    <row r="670">
      <c r="B670" s="139"/>
      <c r="C670" s="139"/>
      <c r="D670" s="139"/>
    </row>
    <row r="671">
      <c r="B671" s="139"/>
      <c r="C671" s="139"/>
      <c r="D671" s="139"/>
    </row>
    <row r="672">
      <c r="B672" s="139"/>
      <c r="C672" s="139"/>
      <c r="D672" s="139"/>
    </row>
    <row r="673">
      <c r="B673" s="139"/>
      <c r="C673" s="139"/>
      <c r="D673" s="139"/>
    </row>
    <row r="674">
      <c r="B674" s="139"/>
      <c r="C674" s="139"/>
      <c r="D674" s="139"/>
    </row>
    <row r="675">
      <c r="B675" s="139"/>
      <c r="C675" s="139"/>
      <c r="D675" s="139"/>
    </row>
    <row r="676">
      <c r="B676" s="139"/>
      <c r="C676" s="139"/>
      <c r="D676" s="139"/>
    </row>
    <row r="677">
      <c r="B677" s="139"/>
      <c r="C677" s="139"/>
      <c r="D677" s="139"/>
    </row>
    <row r="678">
      <c r="B678" s="139"/>
      <c r="C678" s="139"/>
      <c r="D678" s="139"/>
    </row>
    <row r="679">
      <c r="B679" s="139"/>
      <c r="C679" s="139"/>
      <c r="D679" s="139"/>
    </row>
    <row r="680">
      <c r="B680" s="139"/>
      <c r="C680" s="139"/>
      <c r="D680" s="139"/>
    </row>
    <row r="681">
      <c r="B681" s="139"/>
      <c r="C681" s="139"/>
      <c r="D681" s="139"/>
    </row>
    <row r="682">
      <c r="B682" s="139"/>
      <c r="C682" s="139"/>
      <c r="D682" s="139"/>
    </row>
    <row r="683">
      <c r="B683" s="139"/>
      <c r="C683" s="139"/>
      <c r="D683" s="139"/>
    </row>
    <row r="684">
      <c r="B684" s="139"/>
      <c r="C684" s="139"/>
      <c r="D684" s="139"/>
    </row>
    <row r="685">
      <c r="B685" s="139"/>
      <c r="C685" s="139"/>
      <c r="D685" s="139"/>
    </row>
    <row r="686">
      <c r="B686" s="139"/>
      <c r="C686" s="139"/>
      <c r="D686" s="139"/>
    </row>
    <row r="687">
      <c r="B687" s="139"/>
      <c r="C687" s="139"/>
      <c r="D687" s="139"/>
    </row>
    <row r="688">
      <c r="B688" s="139"/>
      <c r="C688" s="139"/>
      <c r="D688" s="139"/>
    </row>
    <row r="689">
      <c r="B689" s="139"/>
      <c r="C689" s="139"/>
      <c r="D689" s="139"/>
    </row>
    <row r="690">
      <c r="B690" s="139"/>
      <c r="C690" s="139"/>
      <c r="D690" s="139"/>
    </row>
    <row r="691">
      <c r="B691" s="139"/>
      <c r="C691" s="139"/>
      <c r="D691" s="139"/>
    </row>
    <row r="692">
      <c r="B692" s="139"/>
      <c r="C692" s="139"/>
      <c r="D692" s="139"/>
    </row>
    <row r="693">
      <c r="B693" s="139"/>
      <c r="C693" s="139"/>
      <c r="D693" s="139"/>
    </row>
    <row r="694">
      <c r="B694" s="139"/>
      <c r="C694" s="139"/>
      <c r="D694" s="139"/>
    </row>
    <row r="695">
      <c r="B695" s="139"/>
      <c r="C695" s="139"/>
      <c r="D695" s="139"/>
    </row>
    <row r="696">
      <c r="B696" s="139"/>
      <c r="C696" s="139"/>
      <c r="D696" s="139"/>
    </row>
    <row r="697">
      <c r="B697" s="139"/>
      <c r="C697" s="139"/>
      <c r="D697" s="139"/>
    </row>
    <row r="698">
      <c r="B698" s="139"/>
      <c r="C698" s="139"/>
      <c r="D698" s="139"/>
    </row>
    <row r="699">
      <c r="B699" s="139"/>
      <c r="C699" s="139"/>
      <c r="D699" s="139"/>
    </row>
    <row r="700">
      <c r="B700" s="139"/>
      <c r="C700" s="139"/>
      <c r="D700" s="139"/>
    </row>
    <row r="701">
      <c r="B701" s="139"/>
      <c r="C701" s="139"/>
      <c r="D701" s="139"/>
    </row>
    <row r="702">
      <c r="B702" s="139"/>
      <c r="C702" s="139"/>
      <c r="D702" s="139"/>
    </row>
    <row r="703">
      <c r="B703" s="139"/>
      <c r="C703" s="139"/>
      <c r="D703" s="139"/>
    </row>
    <row r="704">
      <c r="B704" s="139"/>
      <c r="C704" s="139"/>
      <c r="D704" s="139"/>
    </row>
    <row r="705">
      <c r="B705" s="139"/>
      <c r="C705" s="139"/>
      <c r="D705" s="139"/>
    </row>
    <row r="706">
      <c r="B706" s="139"/>
      <c r="C706" s="139"/>
      <c r="D706" s="139"/>
    </row>
    <row r="707">
      <c r="B707" s="139"/>
      <c r="C707" s="139"/>
      <c r="D707" s="139"/>
    </row>
    <row r="708">
      <c r="B708" s="139"/>
      <c r="C708" s="139"/>
      <c r="D708" s="139"/>
    </row>
    <row r="709">
      <c r="B709" s="139"/>
      <c r="C709" s="139"/>
      <c r="D709" s="139"/>
    </row>
    <row r="710">
      <c r="B710" s="139"/>
      <c r="C710" s="139"/>
      <c r="D710" s="139"/>
    </row>
    <row r="711">
      <c r="B711" s="139"/>
      <c r="C711" s="139"/>
      <c r="D711" s="139"/>
    </row>
    <row r="712">
      <c r="B712" s="139"/>
      <c r="C712" s="139"/>
      <c r="D712" s="139"/>
    </row>
    <row r="713">
      <c r="B713" s="139"/>
      <c r="C713" s="139"/>
      <c r="D713" s="139"/>
    </row>
    <row r="714">
      <c r="B714" s="139"/>
      <c r="C714" s="139"/>
      <c r="D714" s="139"/>
    </row>
    <row r="715">
      <c r="B715" s="139"/>
      <c r="C715" s="139"/>
      <c r="D715" s="139"/>
    </row>
    <row r="716">
      <c r="B716" s="139"/>
      <c r="C716" s="139"/>
      <c r="D716" s="139"/>
    </row>
    <row r="717">
      <c r="B717" s="139"/>
      <c r="C717" s="139"/>
      <c r="D717" s="139"/>
    </row>
    <row r="718">
      <c r="B718" s="139"/>
      <c r="C718" s="139"/>
      <c r="D718" s="139"/>
    </row>
    <row r="719">
      <c r="B719" s="139"/>
      <c r="C719" s="139"/>
      <c r="D719" s="139"/>
    </row>
    <row r="720">
      <c r="B720" s="139"/>
      <c r="C720" s="139"/>
      <c r="D720" s="139"/>
    </row>
    <row r="721">
      <c r="B721" s="139"/>
      <c r="C721" s="139"/>
      <c r="D721" s="139"/>
    </row>
    <row r="722">
      <c r="B722" s="139"/>
      <c r="C722" s="139"/>
      <c r="D722" s="139"/>
    </row>
    <row r="723">
      <c r="B723" s="139"/>
      <c r="C723" s="139"/>
      <c r="D723" s="139"/>
    </row>
    <row r="724">
      <c r="B724" s="139"/>
      <c r="C724" s="139"/>
      <c r="D724" s="139"/>
    </row>
    <row r="725">
      <c r="B725" s="139"/>
      <c r="C725" s="139"/>
      <c r="D725" s="139"/>
    </row>
    <row r="726">
      <c r="B726" s="139"/>
      <c r="C726" s="139"/>
      <c r="D726" s="139"/>
    </row>
    <row r="727">
      <c r="B727" s="139"/>
      <c r="C727" s="139"/>
      <c r="D727" s="139"/>
    </row>
    <row r="728">
      <c r="B728" s="139"/>
      <c r="C728" s="139"/>
      <c r="D728" s="139"/>
    </row>
    <row r="729">
      <c r="B729" s="139"/>
      <c r="C729" s="139"/>
      <c r="D729" s="139"/>
    </row>
    <row r="730">
      <c r="B730" s="139"/>
      <c r="C730" s="139"/>
      <c r="D730" s="139"/>
    </row>
    <row r="731">
      <c r="B731" s="139"/>
      <c r="C731" s="139"/>
      <c r="D731" s="139"/>
    </row>
    <row r="732">
      <c r="B732" s="139"/>
      <c r="C732" s="139"/>
      <c r="D732" s="139"/>
    </row>
    <row r="733">
      <c r="B733" s="139"/>
      <c r="C733" s="139"/>
      <c r="D733" s="139"/>
    </row>
    <row r="734">
      <c r="B734" s="139"/>
      <c r="C734" s="139"/>
      <c r="D734" s="139"/>
    </row>
    <row r="735">
      <c r="B735" s="139"/>
      <c r="C735" s="139"/>
      <c r="D735" s="139"/>
    </row>
    <row r="736">
      <c r="B736" s="139"/>
      <c r="C736" s="139"/>
      <c r="D736" s="139"/>
    </row>
    <row r="737">
      <c r="B737" s="139"/>
      <c r="C737" s="139"/>
      <c r="D737" s="139"/>
    </row>
    <row r="738">
      <c r="B738" s="139"/>
      <c r="C738" s="139"/>
      <c r="D738" s="139"/>
    </row>
    <row r="739">
      <c r="B739" s="139"/>
      <c r="C739" s="139"/>
      <c r="D739" s="139"/>
    </row>
    <row r="740">
      <c r="B740" s="139"/>
      <c r="C740" s="139"/>
      <c r="D740" s="139"/>
    </row>
    <row r="741">
      <c r="B741" s="139"/>
      <c r="C741" s="139"/>
      <c r="D741" s="139"/>
    </row>
    <row r="742">
      <c r="B742" s="139"/>
      <c r="C742" s="139"/>
      <c r="D742" s="139"/>
    </row>
    <row r="743">
      <c r="B743" s="139"/>
      <c r="C743" s="139"/>
      <c r="D743" s="139"/>
    </row>
    <row r="744">
      <c r="B744" s="139"/>
      <c r="C744" s="139"/>
      <c r="D744" s="139"/>
    </row>
    <row r="745">
      <c r="B745" s="139"/>
      <c r="C745" s="139"/>
      <c r="D745" s="139"/>
    </row>
    <row r="746">
      <c r="B746" s="139"/>
      <c r="C746" s="139"/>
      <c r="D746" s="139"/>
    </row>
    <row r="747">
      <c r="B747" s="139"/>
      <c r="C747" s="139"/>
      <c r="D747" s="139"/>
    </row>
    <row r="748">
      <c r="B748" s="139"/>
      <c r="C748" s="139"/>
      <c r="D748" s="139"/>
    </row>
    <row r="749">
      <c r="B749" s="139"/>
      <c r="C749" s="139"/>
      <c r="D749" s="139"/>
    </row>
    <row r="750">
      <c r="B750" s="139"/>
      <c r="C750" s="139"/>
      <c r="D750" s="139"/>
    </row>
    <row r="751">
      <c r="B751" s="139"/>
      <c r="C751" s="139"/>
      <c r="D751" s="139"/>
    </row>
    <row r="752">
      <c r="B752" s="139"/>
      <c r="C752" s="139"/>
      <c r="D752" s="139"/>
    </row>
    <row r="753">
      <c r="B753" s="139"/>
      <c r="C753" s="139"/>
      <c r="D753" s="139"/>
    </row>
    <row r="754">
      <c r="B754" s="139"/>
      <c r="C754" s="139"/>
      <c r="D754" s="139"/>
    </row>
    <row r="755">
      <c r="B755" s="139"/>
      <c r="C755" s="139"/>
      <c r="D755" s="139"/>
    </row>
    <row r="756">
      <c r="B756" s="139"/>
      <c r="C756" s="139"/>
      <c r="D756" s="139"/>
    </row>
    <row r="757">
      <c r="B757" s="139"/>
      <c r="C757" s="139"/>
      <c r="D757" s="139"/>
    </row>
    <row r="758">
      <c r="B758" s="139"/>
      <c r="C758" s="139"/>
      <c r="D758" s="139"/>
    </row>
    <row r="759">
      <c r="B759" s="139"/>
      <c r="C759" s="139"/>
      <c r="D759" s="139"/>
    </row>
    <row r="760">
      <c r="B760" s="139"/>
      <c r="C760" s="139"/>
      <c r="D760" s="139"/>
    </row>
    <row r="761">
      <c r="B761" s="139"/>
      <c r="C761" s="139"/>
      <c r="D761" s="139"/>
    </row>
    <row r="762">
      <c r="B762" s="139"/>
      <c r="C762" s="139"/>
      <c r="D762" s="139"/>
    </row>
    <row r="763">
      <c r="B763" s="139"/>
      <c r="C763" s="139"/>
      <c r="D763" s="139"/>
    </row>
    <row r="764">
      <c r="B764" s="139"/>
      <c r="C764" s="139"/>
      <c r="D764" s="139"/>
    </row>
    <row r="765">
      <c r="B765" s="139"/>
      <c r="C765" s="139"/>
      <c r="D765" s="139"/>
    </row>
    <row r="766">
      <c r="B766" s="139"/>
      <c r="C766" s="139"/>
      <c r="D766" s="139"/>
    </row>
    <row r="767">
      <c r="B767" s="139"/>
      <c r="C767" s="139"/>
      <c r="D767" s="139"/>
    </row>
    <row r="768">
      <c r="B768" s="139"/>
      <c r="C768" s="139"/>
      <c r="D768" s="139"/>
    </row>
    <row r="769">
      <c r="B769" s="139"/>
      <c r="C769" s="139"/>
      <c r="D769" s="139"/>
    </row>
    <row r="770">
      <c r="B770" s="139"/>
      <c r="C770" s="139"/>
      <c r="D770" s="139"/>
    </row>
    <row r="771">
      <c r="B771" s="139"/>
      <c r="C771" s="139"/>
      <c r="D771" s="139"/>
    </row>
    <row r="772">
      <c r="B772" s="139"/>
      <c r="C772" s="139"/>
      <c r="D772" s="139"/>
    </row>
    <row r="773">
      <c r="B773" s="139"/>
      <c r="C773" s="139"/>
      <c r="D773" s="139"/>
    </row>
    <row r="774">
      <c r="B774" s="139"/>
      <c r="C774" s="139"/>
      <c r="D774" s="139"/>
    </row>
    <row r="775">
      <c r="B775" s="139"/>
      <c r="C775" s="139"/>
      <c r="D775" s="139"/>
    </row>
    <row r="776">
      <c r="B776" s="139"/>
      <c r="C776" s="139"/>
      <c r="D776" s="139"/>
    </row>
    <row r="777">
      <c r="B777" s="139"/>
      <c r="C777" s="139"/>
      <c r="D777" s="139"/>
    </row>
    <row r="778">
      <c r="B778" s="139"/>
      <c r="C778" s="139"/>
      <c r="D778" s="139"/>
    </row>
    <row r="779">
      <c r="B779" s="139"/>
      <c r="C779" s="139"/>
      <c r="D779" s="139"/>
    </row>
    <row r="780">
      <c r="B780" s="139"/>
      <c r="C780" s="139"/>
      <c r="D780" s="139"/>
    </row>
    <row r="781">
      <c r="B781" s="139"/>
      <c r="C781" s="139"/>
      <c r="D781" s="139"/>
    </row>
    <row r="782">
      <c r="B782" s="139"/>
      <c r="C782" s="139"/>
      <c r="D782" s="139"/>
    </row>
    <row r="783">
      <c r="B783" s="139"/>
      <c r="C783" s="139"/>
      <c r="D783" s="139"/>
    </row>
    <row r="784">
      <c r="B784" s="139"/>
      <c r="C784" s="139"/>
      <c r="D784" s="139"/>
    </row>
    <row r="785">
      <c r="B785" s="139"/>
      <c r="C785" s="139"/>
      <c r="D785" s="139"/>
    </row>
    <row r="786">
      <c r="B786" s="139"/>
      <c r="C786" s="139"/>
      <c r="D786" s="139"/>
    </row>
    <row r="787">
      <c r="B787" s="139"/>
      <c r="C787" s="139"/>
      <c r="D787" s="139"/>
    </row>
    <row r="788">
      <c r="B788" s="139"/>
      <c r="C788" s="139"/>
      <c r="D788" s="139"/>
    </row>
    <row r="789">
      <c r="B789" s="139"/>
      <c r="C789" s="139"/>
      <c r="D789" s="139"/>
    </row>
    <row r="790">
      <c r="B790" s="139"/>
      <c r="C790" s="139"/>
      <c r="D790" s="139"/>
    </row>
    <row r="791">
      <c r="B791" s="139"/>
      <c r="C791" s="139"/>
      <c r="D791" s="139"/>
    </row>
    <row r="792">
      <c r="B792" s="139"/>
      <c r="C792" s="139"/>
      <c r="D792" s="139"/>
    </row>
    <row r="793">
      <c r="B793" s="139"/>
      <c r="C793" s="139"/>
      <c r="D793" s="139"/>
    </row>
    <row r="794">
      <c r="B794" s="139"/>
      <c r="C794" s="139"/>
      <c r="D794" s="139"/>
    </row>
    <row r="795">
      <c r="B795" s="139"/>
      <c r="C795" s="139"/>
      <c r="D795" s="139"/>
    </row>
    <row r="796">
      <c r="B796" s="139"/>
      <c r="C796" s="139"/>
      <c r="D796" s="139"/>
    </row>
    <row r="797">
      <c r="B797" s="139"/>
      <c r="C797" s="139"/>
      <c r="D797" s="139"/>
    </row>
    <row r="798">
      <c r="B798" s="139"/>
      <c r="C798" s="139"/>
      <c r="D798" s="139"/>
    </row>
    <row r="799">
      <c r="B799" s="139"/>
      <c r="C799" s="139"/>
      <c r="D799" s="139"/>
    </row>
    <row r="800">
      <c r="B800" s="139"/>
      <c r="C800" s="139"/>
      <c r="D800" s="139"/>
    </row>
    <row r="801">
      <c r="B801" s="139"/>
      <c r="C801" s="139"/>
      <c r="D801" s="139"/>
    </row>
    <row r="802">
      <c r="B802" s="139"/>
      <c r="C802" s="139"/>
      <c r="D802" s="139"/>
    </row>
    <row r="803">
      <c r="B803" s="139"/>
      <c r="C803" s="139"/>
      <c r="D803" s="139"/>
    </row>
    <row r="804">
      <c r="B804" s="139"/>
      <c r="C804" s="139"/>
      <c r="D804" s="139"/>
    </row>
    <row r="805">
      <c r="B805" s="139"/>
      <c r="C805" s="139"/>
      <c r="D805" s="139"/>
    </row>
    <row r="806">
      <c r="B806" s="139"/>
      <c r="C806" s="139"/>
      <c r="D806" s="139"/>
    </row>
    <row r="807">
      <c r="B807" s="139"/>
      <c r="C807" s="139"/>
      <c r="D807" s="139"/>
    </row>
    <row r="808">
      <c r="B808" s="139"/>
      <c r="C808" s="139"/>
      <c r="D808" s="139"/>
    </row>
    <row r="809">
      <c r="B809" s="139"/>
      <c r="C809" s="139"/>
      <c r="D809" s="139"/>
    </row>
    <row r="810">
      <c r="B810" s="139"/>
      <c r="C810" s="139"/>
      <c r="D810" s="139"/>
    </row>
    <row r="811">
      <c r="B811" s="139"/>
      <c r="C811" s="139"/>
      <c r="D811" s="139"/>
    </row>
    <row r="812">
      <c r="B812" s="139"/>
      <c r="C812" s="139"/>
      <c r="D812" s="139"/>
    </row>
    <row r="813">
      <c r="B813" s="139"/>
      <c r="C813" s="139"/>
      <c r="D813" s="139"/>
    </row>
    <row r="814">
      <c r="B814" s="139"/>
      <c r="C814" s="139"/>
      <c r="D814" s="139"/>
    </row>
    <row r="815">
      <c r="B815" s="139"/>
      <c r="C815" s="139"/>
      <c r="D815" s="139"/>
    </row>
    <row r="816">
      <c r="B816" s="139"/>
      <c r="C816" s="139"/>
      <c r="D816" s="139"/>
    </row>
    <row r="817">
      <c r="B817" s="139"/>
      <c r="C817" s="139"/>
      <c r="D817" s="139"/>
    </row>
    <row r="818">
      <c r="B818" s="139"/>
      <c r="C818" s="139"/>
      <c r="D818" s="139"/>
    </row>
    <row r="819">
      <c r="B819" s="139"/>
      <c r="C819" s="139"/>
      <c r="D819" s="139"/>
    </row>
    <row r="820">
      <c r="B820" s="139"/>
      <c r="C820" s="139"/>
      <c r="D820" s="139"/>
    </row>
    <row r="821">
      <c r="B821" s="139"/>
      <c r="C821" s="139"/>
      <c r="D821" s="139"/>
    </row>
    <row r="822">
      <c r="B822" s="139"/>
      <c r="C822" s="139"/>
      <c r="D822" s="139"/>
    </row>
    <row r="823">
      <c r="B823" s="139"/>
      <c r="C823" s="139"/>
      <c r="D823" s="139"/>
    </row>
    <row r="824">
      <c r="B824" s="139"/>
      <c r="C824" s="139"/>
      <c r="D824" s="139"/>
    </row>
    <row r="825">
      <c r="B825" s="139"/>
      <c r="C825" s="139"/>
      <c r="D825" s="139"/>
    </row>
    <row r="826">
      <c r="B826" s="139"/>
      <c r="C826" s="139"/>
      <c r="D826" s="139"/>
    </row>
    <row r="827">
      <c r="B827" s="139"/>
      <c r="C827" s="139"/>
      <c r="D827" s="139"/>
    </row>
    <row r="828">
      <c r="B828" s="139"/>
      <c r="C828" s="139"/>
      <c r="D828" s="139"/>
    </row>
    <row r="829">
      <c r="B829" s="139"/>
      <c r="C829" s="139"/>
      <c r="D829" s="139"/>
    </row>
    <row r="830">
      <c r="B830" s="139"/>
      <c r="C830" s="139"/>
      <c r="D830" s="139"/>
    </row>
    <row r="831">
      <c r="B831" s="139"/>
      <c r="C831" s="139"/>
      <c r="D831" s="139"/>
    </row>
    <row r="832">
      <c r="B832" s="139"/>
      <c r="C832" s="139"/>
      <c r="D832" s="139"/>
    </row>
    <row r="833">
      <c r="B833" s="139"/>
      <c r="C833" s="139"/>
      <c r="D833" s="139"/>
    </row>
    <row r="834">
      <c r="B834" s="139"/>
      <c r="C834" s="139"/>
      <c r="D834" s="139"/>
    </row>
    <row r="835">
      <c r="B835" s="139"/>
      <c r="C835" s="139"/>
      <c r="D835" s="139"/>
    </row>
    <row r="836">
      <c r="B836" s="139"/>
      <c r="C836" s="139"/>
      <c r="D836" s="139"/>
    </row>
    <row r="837">
      <c r="B837" s="139"/>
      <c r="C837" s="139"/>
      <c r="D837" s="139"/>
    </row>
    <row r="838">
      <c r="B838" s="139"/>
      <c r="C838" s="139"/>
      <c r="D838" s="139"/>
    </row>
    <row r="839">
      <c r="B839" s="139"/>
      <c r="C839" s="139"/>
      <c r="D839" s="139"/>
    </row>
    <row r="840">
      <c r="B840" s="139"/>
      <c r="C840" s="139"/>
      <c r="D840" s="139"/>
    </row>
    <row r="841">
      <c r="B841" s="139"/>
      <c r="C841" s="139"/>
      <c r="D841" s="139"/>
    </row>
    <row r="842">
      <c r="B842" s="139"/>
      <c r="C842" s="139"/>
      <c r="D842" s="139"/>
    </row>
    <row r="843">
      <c r="B843" s="139"/>
      <c r="C843" s="139"/>
      <c r="D843" s="139"/>
    </row>
    <row r="844">
      <c r="B844" s="139"/>
      <c r="C844" s="139"/>
      <c r="D844" s="139"/>
    </row>
    <row r="845">
      <c r="B845" s="139"/>
      <c r="C845" s="139"/>
      <c r="D845" s="139"/>
    </row>
    <row r="846">
      <c r="B846" s="139"/>
      <c r="C846" s="139"/>
      <c r="D846" s="139"/>
    </row>
    <row r="847">
      <c r="B847" s="139"/>
      <c r="C847" s="139"/>
      <c r="D847" s="139"/>
    </row>
    <row r="848">
      <c r="B848" s="139"/>
      <c r="C848" s="139"/>
      <c r="D848" s="139"/>
    </row>
    <row r="849">
      <c r="B849" s="139"/>
      <c r="C849" s="139"/>
      <c r="D849" s="139"/>
    </row>
    <row r="850">
      <c r="B850" s="139"/>
      <c r="C850" s="139"/>
      <c r="D850" s="139"/>
    </row>
    <row r="851">
      <c r="B851" s="139"/>
      <c r="C851" s="139"/>
      <c r="D851" s="139"/>
    </row>
    <row r="852">
      <c r="B852" s="139"/>
      <c r="C852" s="139"/>
      <c r="D852" s="139"/>
    </row>
    <row r="853">
      <c r="B853" s="139"/>
      <c r="C853" s="139"/>
      <c r="D853" s="139"/>
    </row>
    <row r="854">
      <c r="B854" s="139"/>
      <c r="C854" s="139"/>
      <c r="D854" s="139"/>
    </row>
    <row r="855">
      <c r="B855" s="139"/>
      <c r="C855" s="139"/>
      <c r="D855" s="139"/>
    </row>
    <row r="856">
      <c r="B856" s="139"/>
      <c r="C856" s="139"/>
      <c r="D856" s="139"/>
    </row>
    <row r="857">
      <c r="B857" s="139"/>
      <c r="C857" s="139"/>
      <c r="D857" s="139"/>
    </row>
    <row r="858">
      <c r="B858" s="139"/>
      <c r="C858" s="139"/>
      <c r="D858" s="139"/>
    </row>
    <row r="859">
      <c r="B859" s="139"/>
      <c r="C859" s="139"/>
      <c r="D859" s="139"/>
    </row>
    <row r="860">
      <c r="B860" s="139"/>
      <c r="C860" s="139"/>
      <c r="D860" s="139"/>
    </row>
    <row r="861">
      <c r="B861" s="139"/>
      <c r="C861" s="139"/>
      <c r="D861" s="139"/>
    </row>
    <row r="862">
      <c r="B862" s="139"/>
      <c r="C862" s="139"/>
      <c r="D862" s="139"/>
    </row>
    <row r="863">
      <c r="B863" s="139"/>
      <c r="C863" s="139"/>
      <c r="D863" s="139"/>
    </row>
    <row r="864">
      <c r="B864" s="139"/>
      <c r="C864" s="139"/>
      <c r="D864" s="139"/>
    </row>
    <row r="865">
      <c r="B865" s="139"/>
      <c r="C865" s="139"/>
      <c r="D865" s="139"/>
    </row>
    <row r="866">
      <c r="B866" s="139"/>
      <c r="C866" s="139"/>
      <c r="D866" s="139"/>
    </row>
    <row r="867">
      <c r="B867" s="139"/>
      <c r="C867" s="139"/>
      <c r="D867" s="139"/>
    </row>
    <row r="868">
      <c r="B868" s="139"/>
      <c r="C868" s="139"/>
      <c r="D868" s="139"/>
    </row>
    <row r="869">
      <c r="B869" s="139"/>
      <c r="C869" s="139"/>
      <c r="D869" s="139"/>
    </row>
    <row r="870">
      <c r="B870" s="139"/>
      <c r="C870" s="139"/>
      <c r="D870" s="139"/>
    </row>
    <row r="871">
      <c r="B871" s="139"/>
      <c r="C871" s="139"/>
      <c r="D871" s="139"/>
    </row>
    <row r="872">
      <c r="B872" s="139"/>
      <c r="C872" s="139"/>
      <c r="D872" s="139"/>
    </row>
    <row r="873">
      <c r="B873" s="139"/>
      <c r="C873" s="139"/>
      <c r="D873" s="139"/>
    </row>
    <row r="874">
      <c r="B874" s="139"/>
      <c r="C874" s="139"/>
      <c r="D874" s="139"/>
    </row>
    <row r="875">
      <c r="B875" s="139"/>
      <c r="C875" s="139"/>
      <c r="D875" s="139"/>
    </row>
    <row r="876">
      <c r="B876" s="139"/>
      <c r="C876" s="139"/>
      <c r="D876" s="139"/>
    </row>
    <row r="877">
      <c r="B877" s="139"/>
      <c r="C877" s="139"/>
      <c r="D877" s="139"/>
    </row>
    <row r="878">
      <c r="B878" s="139"/>
      <c r="C878" s="139"/>
      <c r="D878" s="139"/>
    </row>
    <row r="879">
      <c r="B879" s="139"/>
      <c r="C879" s="139"/>
      <c r="D879" s="139"/>
    </row>
    <row r="880">
      <c r="B880" s="139"/>
      <c r="C880" s="139"/>
      <c r="D880" s="139"/>
    </row>
    <row r="881">
      <c r="B881" s="139"/>
      <c r="C881" s="139"/>
      <c r="D881" s="139"/>
    </row>
    <row r="882">
      <c r="B882" s="139"/>
      <c r="C882" s="139"/>
      <c r="D882" s="139"/>
    </row>
    <row r="883">
      <c r="B883" s="139"/>
      <c r="C883" s="139"/>
      <c r="D883" s="139"/>
    </row>
    <row r="884">
      <c r="B884" s="139"/>
      <c r="C884" s="139"/>
      <c r="D884" s="139"/>
    </row>
    <row r="885">
      <c r="B885" s="139"/>
      <c r="C885" s="139"/>
      <c r="D885" s="139"/>
    </row>
    <row r="886">
      <c r="B886" s="139"/>
      <c r="C886" s="139"/>
      <c r="D886" s="139"/>
    </row>
    <row r="887">
      <c r="B887" s="139"/>
      <c r="C887" s="139"/>
      <c r="D887" s="139"/>
    </row>
    <row r="888">
      <c r="B888" s="139"/>
      <c r="C888" s="139"/>
      <c r="D888" s="139"/>
    </row>
    <row r="889">
      <c r="B889" s="139"/>
      <c r="C889" s="139"/>
      <c r="D889" s="139"/>
    </row>
    <row r="890">
      <c r="B890" s="139"/>
      <c r="C890" s="139"/>
      <c r="D890" s="139"/>
    </row>
    <row r="891">
      <c r="B891" s="139"/>
      <c r="C891" s="139"/>
      <c r="D891" s="139"/>
    </row>
    <row r="892">
      <c r="B892" s="139"/>
      <c r="C892" s="139"/>
      <c r="D892" s="139"/>
    </row>
    <row r="893">
      <c r="B893" s="139"/>
      <c r="C893" s="139"/>
      <c r="D893" s="139"/>
    </row>
    <row r="894">
      <c r="B894" s="139"/>
      <c r="C894" s="139"/>
      <c r="D894" s="139"/>
    </row>
    <row r="895">
      <c r="B895" s="139"/>
      <c r="C895" s="139"/>
      <c r="D895" s="139"/>
    </row>
    <row r="896">
      <c r="B896" s="139"/>
      <c r="C896" s="139"/>
      <c r="D896" s="139"/>
    </row>
    <row r="897">
      <c r="B897" s="139"/>
      <c r="C897" s="139"/>
      <c r="D897" s="139"/>
    </row>
    <row r="898">
      <c r="B898" s="139"/>
      <c r="C898" s="139"/>
      <c r="D898" s="139"/>
    </row>
    <row r="899">
      <c r="B899" s="139"/>
      <c r="C899" s="139"/>
      <c r="D899" s="139"/>
    </row>
    <row r="900">
      <c r="B900" s="139"/>
      <c r="C900" s="139"/>
      <c r="D900" s="139"/>
    </row>
    <row r="901">
      <c r="B901" s="139"/>
      <c r="C901" s="139"/>
      <c r="D901" s="139"/>
    </row>
    <row r="902">
      <c r="B902" s="139"/>
      <c r="C902" s="139"/>
      <c r="D902" s="139"/>
    </row>
    <row r="903">
      <c r="B903" s="139"/>
      <c r="C903" s="139"/>
      <c r="D903" s="139"/>
    </row>
    <row r="904">
      <c r="B904" s="139"/>
      <c r="C904" s="139"/>
      <c r="D904" s="139"/>
    </row>
    <row r="905">
      <c r="B905" s="139"/>
      <c r="C905" s="139"/>
      <c r="D905" s="139"/>
    </row>
    <row r="906">
      <c r="B906" s="139"/>
      <c r="C906" s="139"/>
      <c r="D906" s="139"/>
    </row>
    <row r="907">
      <c r="B907" s="139"/>
      <c r="C907" s="139"/>
      <c r="D907" s="139"/>
    </row>
    <row r="908">
      <c r="B908" s="139"/>
      <c r="C908" s="139"/>
      <c r="D908" s="139"/>
    </row>
    <row r="909">
      <c r="B909" s="139"/>
      <c r="C909" s="139"/>
      <c r="D909" s="139"/>
    </row>
    <row r="910">
      <c r="B910" s="139"/>
      <c r="C910" s="139"/>
      <c r="D910" s="139"/>
    </row>
    <row r="911">
      <c r="B911" s="139"/>
      <c r="C911" s="139"/>
      <c r="D911" s="139"/>
    </row>
    <row r="912">
      <c r="B912" s="139"/>
      <c r="C912" s="139"/>
      <c r="D912" s="139"/>
    </row>
    <row r="913">
      <c r="B913" s="139"/>
      <c r="C913" s="139"/>
      <c r="D913" s="139"/>
    </row>
    <row r="914">
      <c r="B914" s="139"/>
      <c r="C914" s="139"/>
      <c r="D914" s="139"/>
    </row>
    <row r="915">
      <c r="B915" s="139"/>
      <c r="C915" s="139"/>
      <c r="D915" s="139"/>
    </row>
    <row r="916">
      <c r="B916" s="139"/>
      <c r="C916" s="139"/>
      <c r="D916" s="139"/>
    </row>
    <row r="917">
      <c r="B917" s="139"/>
      <c r="C917" s="139"/>
      <c r="D917" s="139"/>
    </row>
    <row r="918">
      <c r="B918" s="139"/>
      <c r="C918" s="139"/>
      <c r="D918" s="139"/>
    </row>
    <row r="919">
      <c r="B919" s="139"/>
      <c r="C919" s="139"/>
      <c r="D919" s="139"/>
    </row>
    <row r="920">
      <c r="B920" s="139"/>
      <c r="C920" s="139"/>
      <c r="D920" s="139"/>
    </row>
    <row r="921">
      <c r="B921" s="139"/>
      <c r="C921" s="139"/>
      <c r="D921" s="139"/>
    </row>
    <row r="922">
      <c r="B922" s="139"/>
      <c r="C922" s="139"/>
      <c r="D922" s="139"/>
    </row>
    <row r="923">
      <c r="B923" s="139"/>
      <c r="C923" s="139"/>
      <c r="D923" s="139"/>
    </row>
    <row r="924">
      <c r="B924" s="139"/>
      <c r="C924" s="139"/>
      <c r="D924" s="139"/>
    </row>
    <row r="925">
      <c r="B925" s="139"/>
      <c r="C925" s="139"/>
      <c r="D925" s="139"/>
    </row>
    <row r="926">
      <c r="B926" s="139"/>
      <c r="C926" s="139"/>
      <c r="D926" s="139"/>
    </row>
    <row r="927">
      <c r="B927" s="139"/>
      <c r="C927" s="139"/>
      <c r="D927" s="139"/>
    </row>
    <row r="928">
      <c r="B928" s="139"/>
      <c r="C928" s="139"/>
      <c r="D928" s="139"/>
    </row>
    <row r="929">
      <c r="B929" s="139"/>
      <c r="C929" s="139"/>
      <c r="D929" s="139"/>
    </row>
    <row r="930">
      <c r="B930" s="139"/>
      <c r="C930" s="139"/>
      <c r="D930" s="139"/>
    </row>
    <row r="931">
      <c r="B931" s="139"/>
      <c r="C931" s="139"/>
      <c r="D931" s="139"/>
    </row>
    <row r="932">
      <c r="B932" s="139"/>
      <c r="C932" s="139"/>
      <c r="D932" s="139"/>
    </row>
    <row r="933">
      <c r="B933" s="139"/>
      <c r="C933" s="139"/>
      <c r="D933" s="139"/>
    </row>
    <row r="934">
      <c r="B934" s="139"/>
      <c r="C934" s="139"/>
      <c r="D934" s="139"/>
    </row>
    <row r="935">
      <c r="B935" s="139"/>
      <c r="C935" s="139"/>
      <c r="D935" s="139"/>
    </row>
    <row r="936">
      <c r="B936" s="139"/>
      <c r="C936" s="139"/>
      <c r="D936" s="139"/>
    </row>
    <row r="937">
      <c r="B937" s="139"/>
      <c r="C937" s="139"/>
      <c r="D937" s="139"/>
    </row>
    <row r="938">
      <c r="B938" s="139"/>
      <c r="C938" s="139"/>
      <c r="D938" s="139"/>
    </row>
    <row r="939">
      <c r="B939" s="139"/>
      <c r="C939" s="139"/>
      <c r="D939" s="139"/>
    </row>
    <row r="940">
      <c r="B940" s="139"/>
      <c r="C940" s="139"/>
      <c r="D940" s="139"/>
    </row>
    <row r="941">
      <c r="B941" s="139"/>
      <c r="C941" s="139"/>
      <c r="D941" s="139"/>
    </row>
    <row r="942">
      <c r="B942" s="139"/>
      <c r="C942" s="139"/>
      <c r="D942" s="139"/>
    </row>
    <row r="943">
      <c r="B943" s="139"/>
      <c r="C943" s="139"/>
      <c r="D943" s="139"/>
    </row>
    <row r="944">
      <c r="B944" s="139"/>
      <c r="C944" s="139"/>
      <c r="D944" s="139"/>
    </row>
    <row r="945">
      <c r="B945" s="139"/>
      <c r="C945" s="139"/>
      <c r="D945" s="139"/>
    </row>
    <row r="946">
      <c r="B946" s="139"/>
      <c r="C946" s="139"/>
      <c r="D946" s="139"/>
    </row>
    <row r="947">
      <c r="B947" s="139"/>
      <c r="C947" s="139"/>
      <c r="D947" s="139"/>
    </row>
    <row r="948">
      <c r="B948" s="139"/>
      <c r="C948" s="139"/>
      <c r="D948" s="139"/>
    </row>
    <row r="949">
      <c r="B949" s="139"/>
      <c r="C949" s="139"/>
      <c r="D949" s="139"/>
    </row>
    <row r="950">
      <c r="B950" s="139"/>
      <c r="C950" s="139"/>
      <c r="D950" s="139"/>
    </row>
    <row r="951">
      <c r="B951" s="139"/>
      <c r="C951" s="139"/>
      <c r="D951" s="139"/>
    </row>
    <row r="952">
      <c r="B952" s="139"/>
      <c r="C952" s="139"/>
      <c r="D952" s="139"/>
    </row>
    <row r="953">
      <c r="B953" s="139"/>
      <c r="C953" s="139"/>
      <c r="D953" s="139"/>
    </row>
    <row r="954">
      <c r="B954" s="139"/>
      <c r="C954" s="139"/>
      <c r="D954" s="139"/>
    </row>
    <row r="955">
      <c r="B955" s="139"/>
      <c r="C955" s="139"/>
      <c r="D955" s="139"/>
    </row>
    <row r="956">
      <c r="B956" s="139"/>
      <c r="C956" s="139"/>
      <c r="D956" s="139"/>
    </row>
    <row r="957">
      <c r="B957" s="139"/>
      <c r="C957" s="139"/>
      <c r="D957" s="139"/>
    </row>
    <row r="958">
      <c r="B958" s="139"/>
      <c r="C958" s="139"/>
      <c r="D958" s="139"/>
    </row>
    <row r="959">
      <c r="B959" s="139"/>
      <c r="C959" s="139"/>
      <c r="D959" s="139"/>
    </row>
    <row r="960">
      <c r="B960" s="139"/>
      <c r="C960" s="139"/>
      <c r="D960" s="139"/>
    </row>
    <row r="961">
      <c r="B961" s="139"/>
      <c r="C961" s="139"/>
      <c r="D961" s="139"/>
    </row>
    <row r="962">
      <c r="B962" s="139"/>
      <c r="C962" s="139"/>
      <c r="D962" s="139"/>
    </row>
    <row r="963">
      <c r="B963" s="139"/>
      <c r="C963" s="139"/>
      <c r="D963" s="139"/>
    </row>
    <row r="964">
      <c r="B964" s="139"/>
      <c r="C964" s="139"/>
      <c r="D964" s="139"/>
    </row>
    <row r="965">
      <c r="B965" s="139"/>
      <c r="C965" s="139"/>
      <c r="D965" s="139"/>
    </row>
    <row r="966">
      <c r="B966" s="139"/>
      <c r="C966" s="139"/>
      <c r="D966" s="139"/>
    </row>
    <row r="967">
      <c r="B967" s="139"/>
      <c r="C967" s="139"/>
      <c r="D967" s="139"/>
    </row>
    <row r="968">
      <c r="B968" s="139"/>
      <c r="C968" s="139"/>
      <c r="D968" s="139"/>
    </row>
    <row r="969">
      <c r="B969" s="139"/>
      <c r="C969" s="139"/>
      <c r="D969" s="139"/>
    </row>
    <row r="970">
      <c r="B970" s="139"/>
      <c r="C970" s="139"/>
      <c r="D970" s="139"/>
    </row>
    <row r="971">
      <c r="B971" s="139"/>
      <c r="C971" s="139"/>
      <c r="D971" s="139"/>
    </row>
    <row r="972">
      <c r="B972" s="139"/>
      <c r="C972" s="139"/>
      <c r="D972" s="139"/>
    </row>
    <row r="973">
      <c r="B973" s="139"/>
      <c r="C973" s="139"/>
      <c r="D973" s="139"/>
    </row>
    <row r="974">
      <c r="B974" s="139"/>
      <c r="C974" s="139"/>
      <c r="D974" s="139"/>
    </row>
    <row r="975">
      <c r="B975" s="139"/>
      <c r="C975" s="139"/>
      <c r="D975" s="139"/>
    </row>
    <row r="976">
      <c r="B976" s="139"/>
      <c r="C976" s="139"/>
      <c r="D976" s="139"/>
    </row>
    <row r="977">
      <c r="B977" s="139"/>
      <c r="C977" s="139"/>
      <c r="D977" s="139"/>
    </row>
    <row r="978">
      <c r="B978" s="139"/>
      <c r="C978" s="139"/>
      <c r="D978" s="139"/>
    </row>
    <row r="979">
      <c r="B979" s="139"/>
      <c r="C979" s="139"/>
      <c r="D979" s="139"/>
    </row>
    <row r="980">
      <c r="B980" s="139"/>
      <c r="C980" s="139"/>
      <c r="D980" s="139"/>
    </row>
    <row r="981">
      <c r="B981" s="139"/>
      <c r="C981" s="139"/>
      <c r="D981" s="139"/>
    </row>
    <row r="982">
      <c r="B982" s="139"/>
      <c r="C982" s="139"/>
      <c r="D982" s="139"/>
    </row>
    <row r="983">
      <c r="B983" s="139"/>
      <c r="C983" s="139"/>
      <c r="D983" s="139"/>
    </row>
    <row r="984">
      <c r="B984" s="139"/>
      <c r="C984" s="139"/>
      <c r="D984" s="139"/>
    </row>
    <row r="985">
      <c r="B985" s="139"/>
      <c r="C985" s="139"/>
      <c r="D985" s="139"/>
    </row>
    <row r="986">
      <c r="B986" s="139"/>
      <c r="C986" s="139"/>
      <c r="D986" s="139"/>
    </row>
    <row r="987">
      <c r="B987" s="139"/>
      <c r="C987" s="139"/>
      <c r="D987" s="139"/>
    </row>
    <row r="988">
      <c r="B988" s="139"/>
      <c r="C988" s="139"/>
      <c r="D988" s="139"/>
    </row>
    <row r="989">
      <c r="B989" s="139"/>
      <c r="C989" s="139"/>
      <c r="D989" s="139"/>
    </row>
    <row r="990">
      <c r="B990" s="139"/>
      <c r="C990" s="139"/>
      <c r="D990" s="139"/>
    </row>
    <row r="991">
      <c r="B991" s="139"/>
      <c r="C991" s="139"/>
      <c r="D991" s="139"/>
    </row>
    <row r="992">
      <c r="B992" s="139"/>
      <c r="C992" s="139"/>
      <c r="D992" s="139"/>
    </row>
    <row r="993">
      <c r="B993" s="139"/>
      <c r="C993" s="139"/>
      <c r="D993" s="139"/>
    </row>
    <row r="994">
      <c r="B994" s="139"/>
      <c r="C994" s="139"/>
      <c r="D994" s="139"/>
    </row>
    <row r="995">
      <c r="B995" s="139"/>
      <c r="C995" s="139"/>
      <c r="D995" s="139"/>
    </row>
    <row r="996">
      <c r="B996" s="139"/>
      <c r="C996" s="139"/>
      <c r="D996" s="139"/>
    </row>
    <row r="997">
      <c r="B997" s="139"/>
      <c r="C997" s="139"/>
      <c r="D997" s="139"/>
    </row>
    <row r="998">
      <c r="B998" s="139"/>
      <c r="C998" s="139"/>
      <c r="D998" s="139"/>
    </row>
    <row r="999">
      <c r="B999" s="139"/>
      <c r="C999" s="139"/>
      <c r="D999" s="139"/>
    </row>
    <row r="1000">
      <c r="B1000" s="139"/>
      <c r="C1000" s="139"/>
      <c r="D1000" s="139"/>
    </row>
    <row r="1001">
      <c r="B1001" s="139"/>
      <c r="C1001" s="139"/>
      <c r="D1001" s="139"/>
    </row>
    <row r="1002">
      <c r="B1002" s="139"/>
      <c r="C1002" s="139"/>
      <c r="D1002" s="139"/>
    </row>
  </sheetData>
  <mergeCells count="2">
    <mergeCell ref="M1:N1"/>
    <mergeCell ref="O1:P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Q2"/>
    <hyperlink r:id="rId2" ref="B4"/>
    <hyperlink r:id="rId3" ref="C4"/>
    <hyperlink r:id="rId4" ref="B5"/>
    <hyperlink r:id="rId5" ref="C5"/>
    <hyperlink r:id="rId6" ref="B6"/>
    <hyperlink r:id="rId7" ref="C6"/>
    <hyperlink r:id="rId8" ref="B7"/>
    <hyperlink r:id="rId9" ref="N7"/>
    <hyperlink r:id="rId10" ref="B8"/>
    <hyperlink r:id="rId11" ref="C8"/>
    <hyperlink r:id="rId12" ref="B9"/>
    <hyperlink r:id="rId13" ref="C9"/>
    <hyperlink r:id="rId14" ref="B10"/>
    <hyperlink r:id="rId15" ref="C10"/>
    <hyperlink r:id="rId16" ref="B11"/>
    <hyperlink r:id="rId17" ref="B12"/>
    <hyperlink r:id="rId18" ref="C12"/>
    <hyperlink r:id="rId19" ref="B13"/>
    <hyperlink r:id="rId20" ref="C13"/>
    <hyperlink r:id="rId21" ref="B14"/>
    <hyperlink r:id="rId22" ref="C14"/>
    <hyperlink r:id="rId23" ref="B15"/>
    <hyperlink r:id="rId24" ref="C15"/>
    <hyperlink r:id="rId25" ref="B16"/>
    <hyperlink r:id="rId26" ref="C16"/>
    <hyperlink r:id="rId27" ref="B17"/>
    <hyperlink r:id="rId28" ref="C17"/>
    <hyperlink r:id="rId29" ref="B18"/>
    <hyperlink r:id="rId30" ref="B19"/>
    <hyperlink r:id="rId31" ref="C19"/>
    <hyperlink r:id="rId32" ref="B20"/>
    <hyperlink r:id="rId33" ref="C20"/>
    <hyperlink r:id="rId34" ref="B21"/>
    <hyperlink r:id="rId35" ref="C21"/>
    <hyperlink r:id="rId36" ref="B22"/>
    <hyperlink r:id="rId37" ref="C22"/>
    <hyperlink r:id="rId38" ref="B23"/>
    <hyperlink r:id="rId39" ref="C23"/>
    <hyperlink r:id="rId40" ref="B24"/>
    <hyperlink r:id="rId41" ref="C24"/>
    <hyperlink r:id="rId42" ref="B25"/>
    <hyperlink r:id="rId43" ref="C25"/>
    <hyperlink r:id="rId44" ref="B26"/>
    <hyperlink r:id="rId45" ref="B27"/>
    <hyperlink r:id="rId46" ref="C27"/>
    <hyperlink r:id="rId47" ref="B28"/>
    <hyperlink r:id="rId48" ref="C28"/>
    <hyperlink r:id="rId49" ref="B29"/>
    <hyperlink r:id="rId50" ref="C29"/>
    <hyperlink r:id="rId51" ref="B30"/>
    <hyperlink r:id="rId52" ref="C30"/>
    <hyperlink r:id="rId53" ref="B31"/>
    <hyperlink r:id="rId54" ref="C31"/>
    <hyperlink r:id="rId55" ref="N31"/>
    <hyperlink r:id="rId56" ref="B32"/>
    <hyperlink r:id="rId57" ref="C32"/>
    <hyperlink r:id="rId58" ref="B33"/>
    <hyperlink r:id="rId59" ref="C33"/>
    <hyperlink r:id="rId60" ref="B34"/>
    <hyperlink r:id="rId61" ref="C34"/>
    <hyperlink r:id="rId62" ref="B35"/>
    <hyperlink r:id="rId63" ref="C35"/>
    <hyperlink r:id="rId64" ref="B36"/>
    <hyperlink r:id="rId65" ref="C36"/>
    <hyperlink r:id="rId66" ref="B37"/>
    <hyperlink r:id="rId67" ref="C37"/>
    <hyperlink r:id="rId68" ref="B38"/>
    <hyperlink r:id="rId69" ref="C38"/>
    <hyperlink r:id="rId70" ref="B39"/>
    <hyperlink r:id="rId71" ref="C39"/>
    <hyperlink r:id="rId72" ref="B40"/>
    <hyperlink r:id="rId73" ref="B41"/>
    <hyperlink r:id="rId74" ref="C41"/>
    <hyperlink r:id="rId75" ref="B42"/>
    <hyperlink r:id="rId76" ref="C42"/>
    <hyperlink r:id="rId77" ref="B43"/>
    <hyperlink r:id="rId78" ref="C43"/>
    <hyperlink r:id="rId79" ref="B44"/>
    <hyperlink r:id="rId80" ref="C44"/>
    <hyperlink r:id="rId81" ref="B45"/>
    <hyperlink r:id="rId82" ref="C45"/>
    <hyperlink r:id="rId83" ref="B46"/>
    <hyperlink r:id="rId84" ref="C46"/>
    <hyperlink r:id="rId85" ref="B47"/>
    <hyperlink r:id="rId86" ref="C47"/>
    <hyperlink r:id="rId87" ref="B48"/>
    <hyperlink r:id="rId88" ref="B49"/>
    <hyperlink r:id="rId89" ref="B50"/>
    <hyperlink r:id="rId90" ref="B51"/>
    <hyperlink r:id="rId91" ref="C51"/>
    <hyperlink r:id="rId92" ref="B52"/>
    <hyperlink r:id="rId93" ref="C52"/>
    <hyperlink r:id="rId94" ref="B53"/>
    <hyperlink r:id="rId95" ref="C53"/>
    <hyperlink r:id="rId96" ref="B54"/>
    <hyperlink r:id="rId97" ref="C54"/>
    <hyperlink r:id="rId98" ref="B55"/>
    <hyperlink r:id="rId99" ref="B56"/>
    <hyperlink r:id="rId100" ref="C56"/>
    <hyperlink r:id="rId101" ref="B57"/>
    <hyperlink r:id="rId102" ref="B58"/>
    <hyperlink r:id="rId103" ref="C58"/>
    <hyperlink r:id="rId104" ref="B59"/>
    <hyperlink r:id="rId105" ref="C59"/>
    <hyperlink r:id="rId106" ref="B60"/>
    <hyperlink r:id="rId107" ref="C60"/>
    <hyperlink r:id="rId108" ref="B61"/>
    <hyperlink r:id="rId109" ref="C61"/>
    <hyperlink r:id="rId110" ref="B62"/>
    <hyperlink r:id="rId111" ref="C62"/>
    <hyperlink r:id="rId112" ref="B63"/>
    <hyperlink r:id="rId113" ref="C63"/>
    <hyperlink r:id="rId114" ref="B64"/>
    <hyperlink r:id="rId115" ref="C64"/>
    <hyperlink r:id="rId116" ref="B65"/>
    <hyperlink r:id="rId117" ref="B66"/>
    <hyperlink r:id="rId118" ref="C66"/>
    <hyperlink r:id="rId119" ref="B67"/>
    <hyperlink r:id="rId120" ref="C67"/>
    <hyperlink r:id="rId121" ref="B68"/>
    <hyperlink r:id="rId122" ref="B69"/>
    <hyperlink r:id="rId123" ref="C69"/>
    <hyperlink r:id="rId124" ref="B70"/>
    <hyperlink r:id="rId125" ref="C70"/>
    <hyperlink r:id="rId126" ref="B71"/>
    <hyperlink r:id="rId127" ref="C71"/>
    <hyperlink r:id="rId128" ref="B72"/>
    <hyperlink r:id="rId129" ref="C72"/>
    <hyperlink r:id="rId130" ref="B73"/>
    <hyperlink r:id="rId131" ref="C73"/>
    <hyperlink r:id="rId132" ref="B74"/>
    <hyperlink r:id="rId133" ref="C74"/>
    <hyperlink r:id="rId134" ref="B75"/>
    <hyperlink r:id="rId135" ref="C75"/>
    <hyperlink r:id="rId136" ref="B76"/>
    <hyperlink r:id="rId137" ref="C76"/>
    <hyperlink r:id="rId138" ref="B77"/>
    <hyperlink r:id="rId139" ref="C77"/>
    <hyperlink r:id="rId140" ref="C78"/>
    <hyperlink r:id="rId141" ref="C79"/>
    <hyperlink r:id="rId142" ref="C80"/>
    <hyperlink r:id="rId143" ref="C81"/>
    <hyperlink r:id="rId144" ref="C82"/>
    <hyperlink r:id="rId145" ref="C83"/>
    <hyperlink r:id="rId146" ref="C84"/>
    <hyperlink r:id="rId147" ref="C85"/>
    <hyperlink r:id="rId148" ref="C86"/>
    <hyperlink r:id="rId149" ref="C87"/>
    <hyperlink r:id="rId150" ref="C88"/>
    <hyperlink r:id="rId151" ref="C89"/>
    <hyperlink r:id="rId152" ref="C90"/>
    <hyperlink r:id="rId153" ref="C91"/>
    <hyperlink r:id="rId154" ref="C93"/>
    <hyperlink r:id="rId155" ref="C94"/>
    <hyperlink r:id="rId156" ref="C95"/>
    <hyperlink r:id="rId157" ref="C96"/>
    <hyperlink r:id="rId158" ref="C97"/>
    <hyperlink r:id="rId159" ref="C98"/>
    <hyperlink r:id="rId160" ref="C99"/>
    <hyperlink r:id="rId161" ref="C100"/>
    <hyperlink r:id="rId162" ref="C101"/>
    <hyperlink r:id="rId163" ref="C102"/>
    <hyperlink r:id="rId164" ref="C103"/>
    <hyperlink r:id="rId165" ref="C104"/>
    <hyperlink r:id="rId166" ref="C106"/>
    <hyperlink r:id="rId167" ref="C110"/>
    <hyperlink r:id="rId168" ref="C111"/>
    <hyperlink r:id="rId169" ref="C113"/>
    <hyperlink r:id="rId170" ref="C114"/>
    <hyperlink r:id="rId171" ref="C115"/>
    <hyperlink r:id="rId172" ref="C120"/>
    <hyperlink r:id="rId173" ref="C122"/>
    <hyperlink r:id="rId174" ref="C123"/>
    <hyperlink r:id="rId175" ref="C125"/>
    <hyperlink r:id="rId176" ref="C126"/>
    <hyperlink r:id="rId177" ref="C128"/>
    <hyperlink r:id="rId178" ref="C130"/>
    <hyperlink r:id="rId179" ref="C131"/>
    <hyperlink r:id="rId180" ref="C132"/>
    <hyperlink r:id="rId181" ref="C133"/>
    <hyperlink r:id="rId182" ref="C134"/>
    <hyperlink r:id="rId183" ref="C136"/>
    <hyperlink r:id="rId184" ref="C137"/>
    <hyperlink r:id="rId185" ref="C140"/>
    <hyperlink r:id="rId186" ref="C141"/>
    <hyperlink r:id="rId187" ref="C142"/>
    <hyperlink r:id="rId188" ref="C143"/>
    <hyperlink r:id="rId189" ref="C144"/>
    <hyperlink r:id="rId190" ref="C145"/>
    <hyperlink r:id="rId191" ref="C146"/>
    <hyperlink r:id="rId192" ref="C147"/>
    <hyperlink r:id="rId193" ref="C148"/>
    <hyperlink r:id="rId194" ref="C149"/>
    <hyperlink r:id="rId195" ref="C150"/>
    <hyperlink r:id="rId196" ref="C151"/>
    <hyperlink r:id="rId197" ref="C152"/>
    <hyperlink r:id="rId198" ref="C153"/>
    <hyperlink r:id="rId199" ref="B155"/>
    <hyperlink r:id="rId200" ref="C155"/>
    <hyperlink r:id="rId201" ref="B156"/>
    <hyperlink r:id="rId202" ref="C156"/>
    <hyperlink r:id="rId203" ref="B157"/>
    <hyperlink r:id="rId204" ref="C157"/>
    <hyperlink r:id="rId205" ref="B158"/>
    <hyperlink r:id="rId206" ref="C158"/>
    <hyperlink r:id="rId207" ref="B159"/>
    <hyperlink r:id="rId208" ref="C159"/>
    <hyperlink r:id="rId209" ref="B160"/>
    <hyperlink r:id="rId210" ref="C160"/>
    <hyperlink r:id="rId211" ref="B161"/>
    <hyperlink r:id="rId212" ref="C161"/>
    <hyperlink r:id="rId213" ref="B162"/>
    <hyperlink r:id="rId214" ref="B163"/>
    <hyperlink r:id="rId215" ref="B164"/>
    <hyperlink r:id="rId216" ref="B165"/>
    <hyperlink r:id="rId217" ref="B166"/>
    <hyperlink r:id="rId218" ref="B167"/>
    <hyperlink r:id="rId219" ref="B168"/>
    <hyperlink r:id="rId220" ref="C168"/>
    <hyperlink r:id="rId221" ref="B169"/>
    <hyperlink r:id="rId222" ref="C169"/>
    <hyperlink r:id="rId223" ref="B170"/>
    <hyperlink r:id="rId224" ref="B171"/>
    <hyperlink r:id="rId225" ref="C171"/>
    <hyperlink r:id="rId226" ref="B172"/>
    <hyperlink r:id="rId227" ref="C172"/>
    <hyperlink r:id="rId228" ref="C173"/>
    <hyperlink r:id="rId229" ref="N173"/>
    <hyperlink r:id="rId230" ref="C174"/>
    <hyperlink r:id="rId231" ref="N174"/>
    <hyperlink r:id="rId232" ref="C175"/>
    <hyperlink r:id="rId233" ref="N175"/>
    <hyperlink r:id="rId234" ref="C176"/>
    <hyperlink r:id="rId235" ref="N176"/>
    <hyperlink r:id="rId236" ref="C177"/>
    <hyperlink r:id="rId237" ref="N177"/>
    <hyperlink r:id="rId238" ref="C178"/>
    <hyperlink r:id="rId239" ref="N178"/>
    <hyperlink r:id="rId240" ref="B179"/>
    <hyperlink r:id="rId241" ref="C179"/>
    <hyperlink r:id="rId242" ref="B180"/>
    <hyperlink r:id="rId243" ref="C180"/>
    <hyperlink r:id="rId244" ref="B181"/>
    <hyperlink r:id="rId245" ref="C181"/>
    <hyperlink r:id="rId246" ref="B182"/>
    <hyperlink r:id="rId247" ref="B183"/>
    <hyperlink r:id="rId248" ref="C183"/>
    <hyperlink r:id="rId249" ref="B184"/>
    <hyperlink r:id="rId250" ref="B185"/>
    <hyperlink r:id="rId251" ref="C185"/>
    <hyperlink r:id="rId252" ref="N189"/>
    <hyperlink r:id="rId253" ref="N190"/>
    <hyperlink r:id="rId254" ref="N191"/>
    <hyperlink r:id="rId255" ref="N192"/>
    <hyperlink r:id="rId256" ref="N226"/>
    <hyperlink r:id="rId257" ref="N227"/>
    <hyperlink r:id="rId258" ref="N229"/>
  </hyperlinks>
  <drawing r:id="rId259"/>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FC5E8"/>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outlineLevelRow="1"/>
  <cols>
    <col customWidth="1" min="2" max="2" width="10.71"/>
    <col customWidth="1" min="5" max="5" width="9.71"/>
  </cols>
  <sheetData>
    <row r="1" ht="15.0" customHeight="1" outlineLevel="1">
      <c r="A1" s="1" t="s">
        <v>0</v>
      </c>
      <c r="B1" s="2" t="s">
        <v>1</v>
      </c>
      <c r="C1" s="2" t="s">
        <v>2</v>
      </c>
      <c r="D1" s="2"/>
      <c r="E1" s="3"/>
      <c r="F1" s="365" t="s">
        <v>1577</v>
      </c>
      <c r="G1" s="30" t="s">
        <v>4</v>
      </c>
      <c r="H1" s="30" t="s">
        <v>5</v>
      </c>
      <c r="I1" s="30" t="s">
        <v>6</v>
      </c>
      <c r="J1" s="30" t="s">
        <v>7</v>
      </c>
      <c r="K1" s="1" t="s">
        <v>8</v>
      </c>
      <c r="L1" s="1"/>
      <c r="M1" s="7" t="s">
        <v>9</v>
      </c>
      <c r="O1" s="10" t="s">
        <v>14</v>
      </c>
      <c r="Q1" s="167"/>
      <c r="R1" s="167"/>
      <c r="S1" s="30"/>
      <c r="T1" s="20"/>
      <c r="U1" s="715"/>
      <c r="V1" s="20"/>
      <c r="W1" s="20"/>
      <c r="X1" s="20"/>
      <c r="Y1" s="20"/>
      <c r="Z1" s="20"/>
      <c r="AA1" s="20"/>
      <c r="AB1" s="20"/>
      <c r="AC1" s="20"/>
      <c r="AD1" s="20"/>
      <c r="AE1" s="20"/>
    </row>
    <row r="2" ht="16.5" customHeight="1" outlineLevel="1">
      <c r="A2" s="23"/>
      <c r="B2" s="436"/>
      <c r="C2" s="325"/>
      <c r="D2" s="325"/>
      <c r="E2" s="3"/>
      <c r="F2" s="168">
        <v>43593.0</v>
      </c>
      <c r="G2" s="168">
        <v>43503.0</v>
      </c>
      <c r="H2" s="21">
        <f>G2-TODAY()</f>
        <v>-232</v>
      </c>
      <c r="I2" s="168">
        <v>43493.0</v>
      </c>
      <c r="J2" s="168">
        <v>43538.0</v>
      </c>
      <c r="K2" s="23"/>
      <c r="L2" s="582"/>
      <c r="M2" s="26">
        <f>CountIFS($E:$E,"=Dem",$A:$A,"=House")</f>
        <v>17</v>
      </c>
      <c r="N2" s="328">
        <f>CountIFS($E:$E,"=Rep",$A:$A,"=House")</f>
        <v>58</v>
      </c>
      <c r="O2" s="26">
        <f>CountIFS($E:$E,"=Dem",$A:$A,"=Senate")</f>
        <v>6</v>
      </c>
      <c r="P2" s="28">
        <f>CountIFS($E:$E,"=Rep",$A:$A,"=Senate")</f>
        <v>23</v>
      </c>
      <c r="Q2" s="167"/>
      <c r="R2" s="167"/>
      <c r="S2" s="30"/>
      <c r="T2" s="20"/>
      <c r="U2" s="715"/>
      <c r="V2" s="20"/>
      <c r="W2" s="20"/>
      <c r="X2" s="20"/>
      <c r="Y2" s="20"/>
      <c r="Z2" s="20"/>
      <c r="AA2" s="20"/>
      <c r="AB2" s="20"/>
      <c r="AC2" s="20"/>
      <c r="AD2" s="20"/>
      <c r="AE2" s="20"/>
    </row>
    <row r="3">
      <c r="A3" s="30" t="s">
        <v>29</v>
      </c>
      <c r="B3" s="2" t="s">
        <v>30</v>
      </c>
      <c r="C3" s="2" t="s">
        <v>799</v>
      </c>
      <c r="D3" s="2" t="s">
        <v>800</v>
      </c>
      <c r="E3" s="3" t="s">
        <v>33</v>
      </c>
      <c r="F3" s="1" t="s">
        <v>10</v>
      </c>
      <c r="G3" s="1" t="s">
        <v>34</v>
      </c>
      <c r="H3" s="1" t="s">
        <v>34</v>
      </c>
      <c r="I3" s="1" t="s">
        <v>34</v>
      </c>
      <c r="J3" s="1" t="s">
        <v>34</v>
      </c>
      <c r="K3" s="1"/>
      <c r="L3" s="1" t="s">
        <v>35</v>
      </c>
      <c r="M3" s="19" t="s">
        <v>36</v>
      </c>
      <c r="N3" s="329" t="s">
        <v>37</v>
      </c>
      <c r="O3" s="19" t="s">
        <v>38</v>
      </c>
      <c r="P3" s="17" t="s">
        <v>39</v>
      </c>
      <c r="Q3" s="11" t="s">
        <v>40</v>
      </c>
      <c r="R3" s="11" t="s">
        <v>41</v>
      </c>
      <c r="S3" s="17" t="s">
        <v>42</v>
      </c>
      <c r="T3" s="20"/>
      <c r="U3" s="30" t="s">
        <v>1590</v>
      </c>
      <c r="V3" s="2" t="s">
        <v>1591</v>
      </c>
      <c r="W3" s="30" t="s">
        <v>1592</v>
      </c>
      <c r="X3" s="30" t="s">
        <v>37</v>
      </c>
      <c r="Y3" s="30" t="s">
        <v>1593</v>
      </c>
      <c r="Z3" s="20"/>
      <c r="AA3" s="20"/>
      <c r="AB3" s="20"/>
      <c r="AC3" s="20"/>
      <c r="AD3" s="20"/>
      <c r="AE3" s="20"/>
    </row>
    <row r="4">
      <c r="A4" s="14" t="s">
        <v>44</v>
      </c>
      <c r="B4" s="74">
        <v>1.0</v>
      </c>
      <c r="C4" s="77" t="s">
        <v>28</v>
      </c>
      <c r="D4" s="716" t="s">
        <v>12304</v>
      </c>
      <c r="E4" s="51" t="s">
        <v>53</v>
      </c>
      <c r="F4" s="591"/>
      <c r="G4" s="717" t="s">
        <v>12310</v>
      </c>
      <c r="H4" s="717" t="s">
        <v>12311</v>
      </c>
      <c r="I4" s="719" t="str">
        <f t="array" ref="I4">IFERROR(INDEX($T$6:$T$17,SMALL(IF($D4=$U$6:$U$17,ROW($T$6:$T$17)-3,""),COLUMN()-6)), "")
</f>
        <v/>
      </c>
      <c r="J4" s="719" t="str">
        <f t="array" ref="J4">IFERROR(INDEX($T$6:$T$17,SMALL(IF($D4=$U$6:$U$17,ROW($T$6:$T$17)-3,""),COLUMN()-6)), "")
</f>
        <v/>
      </c>
      <c r="K4" s="719" t="str">
        <f t="array" ref="K4">IFERROR(INDEX($T$6:$T$17,SMALL(IF($D4=$U$6:$U$17,ROW($T$6:$T$17)-3,""),COLUMN()-6)), "")
</f>
        <v/>
      </c>
      <c r="M4" s="720" t="s">
        <v>12381</v>
      </c>
      <c r="N4" s="721" t="str">
        <f t="shared" ref="N4:N19" si="1">Concatenate(lower(C4),lower(D4),"@le.utah.gov")</f>
        <v>joelferry@le.utah.gov</v>
      </c>
      <c r="T4" s="59"/>
      <c r="U4" t="str">
        <f t="shared" ref="U4:U78" si="2">if(V4="","",if(A4="House","Representative","Senator"))</f>
        <v/>
      </c>
      <c r="V4" s="139" t="str">
        <f t="shared" ref="V4:V78" si="3">if(AND(not(isblank($F4)),not(isnumber(search("minority",$F4)))),$C4,if(or(isnumber(search("Judiciary (Chair)",$G4)),isnumber(search("Judiciary (Vice Chair)",$G4))),$C4,""))</f>
        <v/>
      </c>
      <c r="W4" t="str">
        <f t="shared" ref="W4:W78" si="4">if(V4="","",D4)</f>
        <v/>
      </c>
      <c r="X4" t="str">
        <f t="shared" ref="X4:X78" si="5">if(W4="","",N4)</f>
        <v/>
      </c>
      <c r="Y4" t="str">
        <f t="shared" ref="Y4:Y78" si="6">if(X4="","",if(isblank($F4),$G4,$F4))</f>
        <v/>
      </c>
    </row>
    <row r="5">
      <c r="A5" s="14" t="s">
        <v>44</v>
      </c>
      <c r="B5" s="74">
        <v>2.0</v>
      </c>
      <c r="C5" s="35" t="s">
        <v>467</v>
      </c>
      <c r="D5" s="35" t="s">
        <v>5796</v>
      </c>
      <c r="E5" s="51" t="s">
        <v>53</v>
      </c>
      <c r="F5" s="591"/>
      <c r="G5" s="717" t="s">
        <v>515</v>
      </c>
      <c r="H5" s="717" t="s">
        <v>12400</v>
      </c>
      <c r="M5" s="723" t="s">
        <v>12401</v>
      </c>
      <c r="N5" s="721" t="str">
        <f t="shared" si="1"/>
        <v>jeffersonmoss@le.utah.gov</v>
      </c>
      <c r="U5" t="str">
        <f t="shared" si="2"/>
        <v/>
      </c>
      <c r="V5" s="139" t="str">
        <f t="shared" si="3"/>
        <v/>
      </c>
      <c r="W5" t="str">
        <f t="shared" si="4"/>
        <v/>
      </c>
      <c r="X5" t="str">
        <f t="shared" si="5"/>
        <v/>
      </c>
      <c r="Y5" t="str">
        <f t="shared" si="6"/>
        <v/>
      </c>
    </row>
    <row r="6">
      <c r="A6" s="14" t="s">
        <v>44</v>
      </c>
      <c r="B6" s="74">
        <v>3.0</v>
      </c>
      <c r="C6" s="35" t="s">
        <v>3376</v>
      </c>
      <c r="D6" s="35" t="s">
        <v>12409</v>
      </c>
      <c r="E6" s="51" t="s">
        <v>53</v>
      </c>
      <c r="F6" s="591"/>
      <c r="G6" s="717" t="s">
        <v>12410</v>
      </c>
      <c r="H6" s="717" t="s">
        <v>9946</v>
      </c>
      <c r="M6" s="723" t="s">
        <v>12411</v>
      </c>
      <c r="N6" s="721" t="str">
        <f t="shared" si="1"/>
        <v>valpotter@le.utah.gov</v>
      </c>
      <c r="T6" s="59"/>
      <c r="U6" t="str">
        <f t="shared" si="2"/>
        <v/>
      </c>
      <c r="V6" s="139" t="str">
        <f t="shared" si="3"/>
        <v/>
      </c>
      <c r="W6" t="str">
        <f t="shared" si="4"/>
        <v/>
      </c>
      <c r="X6" t="str">
        <f t="shared" si="5"/>
        <v/>
      </c>
      <c r="Y6" t="str">
        <f t="shared" si="6"/>
        <v/>
      </c>
    </row>
    <row r="7">
      <c r="A7" s="14" t="s">
        <v>44</v>
      </c>
      <c r="B7" s="74">
        <v>4.0</v>
      </c>
      <c r="C7" s="77" t="s">
        <v>239</v>
      </c>
      <c r="D7" s="35" t="s">
        <v>118</v>
      </c>
      <c r="E7" s="51" t="s">
        <v>53</v>
      </c>
      <c r="F7" s="591"/>
      <c r="G7" s="717" t="s">
        <v>515</v>
      </c>
      <c r="H7" s="717" t="s">
        <v>578</v>
      </c>
      <c r="M7" s="720" t="s">
        <v>12414</v>
      </c>
      <c r="N7" s="721" t="str">
        <f t="shared" si="1"/>
        <v>danjohnson@le.utah.gov</v>
      </c>
      <c r="U7" t="str">
        <f t="shared" si="2"/>
        <v/>
      </c>
      <c r="V7" s="139" t="str">
        <f t="shared" si="3"/>
        <v/>
      </c>
      <c r="W7" t="str">
        <f t="shared" si="4"/>
        <v/>
      </c>
      <c r="X7" t="str">
        <f t="shared" si="5"/>
        <v/>
      </c>
      <c r="Y7" t="str">
        <f t="shared" si="6"/>
        <v/>
      </c>
    </row>
    <row r="8">
      <c r="A8" s="14" t="s">
        <v>44</v>
      </c>
      <c r="B8" s="74">
        <v>5.0</v>
      </c>
      <c r="C8" s="38" t="s">
        <v>8242</v>
      </c>
      <c r="D8" s="38" t="s">
        <v>12415</v>
      </c>
      <c r="E8" s="51" t="s">
        <v>53</v>
      </c>
      <c r="F8" s="591"/>
      <c r="G8" s="717" t="s">
        <v>12416</v>
      </c>
      <c r="H8" s="717" t="s">
        <v>12417</v>
      </c>
      <c r="I8" s="14" t="s">
        <v>12418</v>
      </c>
      <c r="J8" s="14" t="s">
        <v>12419</v>
      </c>
      <c r="M8" s="14" t="s">
        <v>12414</v>
      </c>
      <c r="N8" s="721" t="str">
        <f t="shared" si="1"/>
        <v>caseysnider@le.utah.gov</v>
      </c>
      <c r="U8" t="str">
        <f t="shared" si="2"/>
        <v/>
      </c>
      <c r="V8" s="139" t="str">
        <f t="shared" si="3"/>
        <v/>
      </c>
      <c r="W8" t="str">
        <f t="shared" si="4"/>
        <v/>
      </c>
      <c r="X8" t="str">
        <f t="shared" si="5"/>
        <v/>
      </c>
      <c r="Y8" t="str">
        <f t="shared" si="6"/>
        <v/>
      </c>
    </row>
    <row r="9">
      <c r="A9" s="14" t="s">
        <v>44</v>
      </c>
      <c r="B9" s="74">
        <v>6.0</v>
      </c>
      <c r="C9" s="35" t="s">
        <v>2493</v>
      </c>
      <c r="D9" s="35" t="s">
        <v>12422</v>
      </c>
      <c r="E9" s="51" t="s">
        <v>53</v>
      </c>
      <c r="F9" s="591"/>
      <c r="G9" s="717" t="s">
        <v>12424</v>
      </c>
      <c r="H9" s="717" t="s">
        <v>12425</v>
      </c>
      <c r="M9" s="14" t="s">
        <v>12426</v>
      </c>
      <c r="N9" s="721" t="str">
        <f t="shared" si="1"/>
        <v>corymaloy@le.utah.gov</v>
      </c>
      <c r="U9" t="str">
        <f t="shared" si="2"/>
        <v/>
      </c>
      <c r="V9" s="139" t="str">
        <f t="shared" si="3"/>
        <v/>
      </c>
      <c r="W9" t="str">
        <f t="shared" si="4"/>
        <v/>
      </c>
      <c r="X9" t="str">
        <f t="shared" si="5"/>
        <v/>
      </c>
      <c r="Y9" t="str">
        <f t="shared" si="6"/>
        <v/>
      </c>
    </row>
    <row r="10">
      <c r="A10" s="14" t="s">
        <v>44</v>
      </c>
      <c r="B10" s="74">
        <v>7.0</v>
      </c>
      <c r="C10" s="77" t="s">
        <v>257</v>
      </c>
      <c r="D10" s="35" t="s">
        <v>12429</v>
      </c>
      <c r="E10" s="51" t="s">
        <v>53</v>
      </c>
      <c r="F10" s="591"/>
      <c r="G10" s="717" t="s">
        <v>12400</v>
      </c>
      <c r="H10" s="717" t="s">
        <v>578</v>
      </c>
      <c r="M10" s="14" t="s">
        <v>12430</v>
      </c>
      <c r="N10" s="721" t="str">
        <f t="shared" si="1"/>
        <v>kyleandersen@le.utah.gov</v>
      </c>
      <c r="U10" t="str">
        <f t="shared" si="2"/>
        <v/>
      </c>
      <c r="V10" s="139" t="str">
        <f t="shared" si="3"/>
        <v/>
      </c>
      <c r="W10" t="str">
        <f t="shared" si="4"/>
        <v/>
      </c>
      <c r="X10" t="str">
        <f t="shared" si="5"/>
        <v/>
      </c>
      <c r="Y10" t="str">
        <f t="shared" si="6"/>
        <v/>
      </c>
    </row>
    <row r="11">
      <c r="A11" s="14" t="s">
        <v>44</v>
      </c>
      <c r="B11" s="74">
        <v>8.0</v>
      </c>
      <c r="C11" s="77" t="s">
        <v>55</v>
      </c>
      <c r="D11" s="38" t="s">
        <v>12432</v>
      </c>
      <c r="E11" s="36" t="s">
        <v>49</v>
      </c>
      <c r="F11" s="591"/>
      <c r="G11" s="717" t="s">
        <v>515</v>
      </c>
      <c r="H11" s="717" t="s">
        <v>781</v>
      </c>
      <c r="M11" s="14" t="s">
        <v>12433</v>
      </c>
      <c r="N11" s="721" t="str">
        <f t="shared" si="1"/>
        <v>stevewaldrip@le.utah.gov</v>
      </c>
      <c r="U11" t="str">
        <f t="shared" si="2"/>
        <v/>
      </c>
      <c r="V11" s="139" t="str">
        <f t="shared" si="3"/>
        <v/>
      </c>
      <c r="W11" t="str">
        <f t="shared" si="4"/>
        <v/>
      </c>
      <c r="X11" t="str">
        <f t="shared" si="5"/>
        <v/>
      </c>
      <c r="Y11" t="str">
        <f t="shared" si="6"/>
        <v/>
      </c>
    </row>
    <row r="12">
      <c r="A12" s="14" t="s">
        <v>44</v>
      </c>
      <c r="B12" s="74">
        <v>9.0</v>
      </c>
      <c r="C12" s="77" t="s">
        <v>3265</v>
      </c>
      <c r="D12" s="35" t="s">
        <v>12435</v>
      </c>
      <c r="E12" s="51" t="s">
        <v>53</v>
      </c>
      <c r="F12" s="591"/>
      <c r="G12" s="717" t="s">
        <v>12436</v>
      </c>
      <c r="H12" s="717" t="s">
        <v>12425</v>
      </c>
      <c r="M12" s="14" t="s">
        <v>12437</v>
      </c>
      <c r="N12" s="721" t="str">
        <f t="shared" si="1"/>
        <v>calvinmusselman@le.utah.gov</v>
      </c>
      <c r="U12" t="str">
        <f t="shared" si="2"/>
        <v/>
      </c>
      <c r="V12" s="139" t="str">
        <f t="shared" si="3"/>
        <v/>
      </c>
      <c r="W12" t="str">
        <f t="shared" si="4"/>
        <v/>
      </c>
      <c r="X12" t="str">
        <f t="shared" si="5"/>
        <v/>
      </c>
      <c r="Y12" t="str">
        <f t="shared" si="6"/>
        <v/>
      </c>
    </row>
    <row r="13">
      <c r="A13" s="14" t="s">
        <v>44</v>
      </c>
      <c r="B13" s="74">
        <v>10.0</v>
      </c>
      <c r="C13" s="77" t="s">
        <v>12439</v>
      </c>
      <c r="D13" s="35" t="s">
        <v>12440</v>
      </c>
      <c r="E13" s="36" t="s">
        <v>49</v>
      </c>
      <c r="F13" s="591"/>
      <c r="G13" s="717" t="s">
        <v>578</v>
      </c>
      <c r="H13" s="717" t="s">
        <v>9946</v>
      </c>
      <c r="M13" s="14" t="s">
        <v>12443</v>
      </c>
      <c r="N13" s="721" t="str">
        <f t="shared" si="1"/>
        <v>lawannashurtliff@le.utah.gov</v>
      </c>
      <c r="U13" t="str">
        <f t="shared" si="2"/>
        <v/>
      </c>
      <c r="V13" s="139" t="str">
        <f t="shared" si="3"/>
        <v/>
      </c>
      <c r="W13" t="str">
        <f t="shared" si="4"/>
        <v/>
      </c>
      <c r="X13" t="str">
        <f t="shared" si="5"/>
        <v/>
      </c>
      <c r="Y13" t="str">
        <f t="shared" si="6"/>
        <v/>
      </c>
    </row>
    <row r="14">
      <c r="A14" s="14" t="s">
        <v>44</v>
      </c>
      <c r="B14" s="74">
        <v>11.0</v>
      </c>
      <c r="C14" s="35" t="s">
        <v>130</v>
      </c>
      <c r="D14" s="35" t="s">
        <v>5136</v>
      </c>
      <c r="E14" s="51" t="s">
        <v>53</v>
      </c>
      <c r="F14" s="591"/>
      <c r="G14" s="717" t="s">
        <v>12410</v>
      </c>
      <c r="H14" s="717" t="s">
        <v>1016</v>
      </c>
      <c r="M14" s="14" t="s">
        <v>12447</v>
      </c>
      <c r="N14" s="721" t="str">
        <f t="shared" si="1"/>
        <v>kellymiles@le.utah.gov</v>
      </c>
      <c r="U14" t="str">
        <f t="shared" si="2"/>
        <v/>
      </c>
      <c r="V14" s="139" t="str">
        <f t="shared" si="3"/>
        <v/>
      </c>
      <c r="W14" t="str">
        <f t="shared" si="4"/>
        <v/>
      </c>
      <c r="X14" t="str">
        <f t="shared" si="5"/>
        <v/>
      </c>
      <c r="Y14" t="str">
        <f t="shared" si="6"/>
        <v/>
      </c>
    </row>
    <row r="15">
      <c r="A15" s="14" t="s">
        <v>44</v>
      </c>
      <c r="B15" s="74">
        <v>12.0</v>
      </c>
      <c r="C15" s="35" t="s">
        <v>157</v>
      </c>
      <c r="D15" s="35" t="s">
        <v>3399</v>
      </c>
      <c r="E15" s="51" t="s">
        <v>53</v>
      </c>
      <c r="F15" s="724" t="s">
        <v>1188</v>
      </c>
      <c r="G15" s="717" t="s">
        <v>12436</v>
      </c>
      <c r="H15" s="717" t="s">
        <v>12311</v>
      </c>
      <c r="M15" s="14" t="s">
        <v>12455</v>
      </c>
      <c r="N15" s="721" t="str">
        <f t="shared" si="1"/>
        <v>mikeschultz@le.utah.gov</v>
      </c>
      <c r="U15" t="str">
        <f t="shared" si="2"/>
        <v>Representative</v>
      </c>
      <c r="V15" s="139" t="str">
        <f t="shared" si="3"/>
        <v>Mike</v>
      </c>
      <c r="W15" t="str">
        <f t="shared" si="4"/>
        <v>Schultz</v>
      </c>
      <c r="X15" t="str">
        <f t="shared" si="5"/>
        <v>mikeschultz@le.utah.gov</v>
      </c>
      <c r="Y15" t="str">
        <f t="shared" si="6"/>
        <v>Majority Whip</v>
      </c>
    </row>
    <row r="16">
      <c r="A16" s="14" t="s">
        <v>44</v>
      </c>
      <c r="B16" s="74">
        <v>13.0</v>
      </c>
      <c r="C16" s="35" t="s">
        <v>679</v>
      </c>
      <c r="D16" s="35" t="s">
        <v>2250</v>
      </c>
      <c r="E16" s="51" t="s">
        <v>53</v>
      </c>
      <c r="F16" s="591"/>
      <c r="G16" s="717" t="s">
        <v>12410</v>
      </c>
      <c r="H16" s="717" t="s">
        <v>601</v>
      </c>
      <c r="M16" s="14" t="s">
        <v>12458</v>
      </c>
      <c r="N16" s="721" t="str">
        <f t="shared" si="1"/>
        <v>paulray@le.utah.gov</v>
      </c>
      <c r="U16" t="str">
        <f t="shared" si="2"/>
        <v/>
      </c>
      <c r="V16" s="139" t="str">
        <f t="shared" si="3"/>
        <v/>
      </c>
      <c r="W16" t="str">
        <f t="shared" si="4"/>
        <v/>
      </c>
      <c r="X16" t="str">
        <f t="shared" si="5"/>
        <v/>
      </c>
      <c r="Y16" t="str">
        <f t="shared" si="6"/>
        <v/>
      </c>
    </row>
    <row r="17">
      <c r="A17" s="14" t="s">
        <v>44</v>
      </c>
      <c r="B17" s="74">
        <v>14.0</v>
      </c>
      <c r="C17" s="35" t="s">
        <v>12462</v>
      </c>
      <c r="D17" s="35" t="s">
        <v>12464</v>
      </c>
      <c r="E17" s="51" t="s">
        <v>53</v>
      </c>
      <c r="F17" s="591"/>
      <c r="G17" s="717" t="s">
        <v>877</v>
      </c>
      <c r="H17" s="717" t="s">
        <v>12425</v>
      </c>
      <c r="M17" s="14" t="s">
        <v>12465</v>
      </c>
      <c r="N17" s="721" t="str">
        <f t="shared" si="1"/>
        <v>kariannelisonbee@le.utah.gov</v>
      </c>
      <c r="U17" t="str">
        <f t="shared" si="2"/>
        <v>Representative</v>
      </c>
      <c r="V17" s="139" t="str">
        <f t="shared" si="3"/>
        <v>Karianne</v>
      </c>
      <c r="W17" t="str">
        <f t="shared" si="4"/>
        <v>Lisonbee</v>
      </c>
      <c r="X17" t="str">
        <f t="shared" si="5"/>
        <v>kariannelisonbee@le.utah.gov</v>
      </c>
      <c r="Y17" t="str">
        <f t="shared" si="6"/>
        <v>Judiciary (Chair)</v>
      </c>
    </row>
    <row r="18">
      <c r="A18" s="14" t="s">
        <v>44</v>
      </c>
      <c r="B18" s="74">
        <v>15.0</v>
      </c>
      <c r="C18" s="35" t="s">
        <v>2323</v>
      </c>
      <c r="D18" s="35" t="s">
        <v>62</v>
      </c>
      <c r="E18" s="51" t="s">
        <v>53</v>
      </c>
      <c r="F18" s="724" t="s">
        <v>254</v>
      </c>
      <c r="G18" s="725"/>
      <c r="H18" s="725"/>
      <c r="M18" s="14" t="s">
        <v>12443</v>
      </c>
      <c r="N18" s="721" t="str">
        <f t="shared" si="1"/>
        <v>bradwilson@le.utah.gov</v>
      </c>
      <c r="U18" t="str">
        <f t="shared" si="2"/>
        <v>Representative</v>
      </c>
      <c r="V18" s="139" t="str">
        <f t="shared" si="3"/>
        <v>Brad</v>
      </c>
      <c r="W18" t="str">
        <f t="shared" si="4"/>
        <v>Wilson</v>
      </c>
      <c r="X18" t="str">
        <f t="shared" si="5"/>
        <v>bradwilson@le.utah.gov</v>
      </c>
      <c r="Y18" t="str">
        <f t="shared" si="6"/>
        <v>Speaker of the House</v>
      </c>
    </row>
    <row r="19">
      <c r="A19" s="14" t="s">
        <v>44</v>
      </c>
      <c r="B19" s="74">
        <v>16.0</v>
      </c>
      <c r="C19" s="38" t="s">
        <v>55</v>
      </c>
      <c r="D19" s="35" t="s">
        <v>6102</v>
      </c>
      <c r="E19" s="51" t="s">
        <v>53</v>
      </c>
      <c r="F19" s="591"/>
      <c r="G19" s="717" t="s">
        <v>12310</v>
      </c>
      <c r="H19" s="717" t="s">
        <v>10344</v>
      </c>
      <c r="M19" s="14" t="s">
        <v>12474</v>
      </c>
      <c r="N19" s="721" t="str">
        <f t="shared" si="1"/>
        <v>stevehandy@le.utah.gov</v>
      </c>
      <c r="U19" t="str">
        <f t="shared" si="2"/>
        <v/>
      </c>
      <c r="V19" s="139" t="str">
        <f t="shared" si="3"/>
        <v/>
      </c>
      <c r="W19" t="str">
        <f t="shared" si="4"/>
        <v/>
      </c>
      <c r="X19" t="str">
        <f t="shared" si="5"/>
        <v/>
      </c>
      <c r="Y19" t="str">
        <f t="shared" si="6"/>
        <v/>
      </c>
    </row>
    <row r="20">
      <c r="A20" s="14" t="s">
        <v>44</v>
      </c>
      <c r="B20" s="74">
        <v>17.0</v>
      </c>
      <c r="C20" s="35" t="s">
        <v>3220</v>
      </c>
      <c r="D20" s="35" t="s">
        <v>12476</v>
      </c>
      <c r="E20" s="51" t="s">
        <v>53</v>
      </c>
      <c r="F20" s="591"/>
      <c r="G20" s="717" t="s">
        <v>12400</v>
      </c>
      <c r="H20" s="717" t="s">
        <v>601</v>
      </c>
      <c r="M20" s="14" t="s">
        <v>12477</v>
      </c>
      <c r="N20" s="721" t="str">
        <f>Concatenate(lower(left(C20,1)),lower(D20),"@le.utah.gov")</f>
        <v>sbarlow@le.utah.gov</v>
      </c>
      <c r="U20" t="str">
        <f t="shared" si="2"/>
        <v/>
      </c>
      <c r="V20" s="139" t="str">
        <f t="shared" si="3"/>
        <v/>
      </c>
      <c r="W20" t="str">
        <f t="shared" si="4"/>
        <v/>
      </c>
      <c r="X20" t="str">
        <f t="shared" si="5"/>
        <v/>
      </c>
      <c r="Y20" t="str">
        <f t="shared" si="6"/>
        <v/>
      </c>
    </row>
    <row r="21">
      <c r="A21" s="14" t="s">
        <v>44</v>
      </c>
      <c r="B21" s="74">
        <v>18.0</v>
      </c>
      <c r="C21" s="35" t="s">
        <v>2507</v>
      </c>
      <c r="D21" s="35" t="s">
        <v>12488</v>
      </c>
      <c r="E21" s="51" t="s">
        <v>53</v>
      </c>
      <c r="F21" s="591"/>
      <c r="G21" s="717" t="s">
        <v>12311</v>
      </c>
      <c r="H21" s="717" t="s">
        <v>12425</v>
      </c>
      <c r="M21" s="14" t="s">
        <v>12489</v>
      </c>
      <c r="N21" s="721" t="str">
        <f t="shared" ref="N21:N35" si="7">Concatenate(lower(C21),lower(D21),"@le.utah.gov")</f>
        <v>timothyhawkes@le.utah.gov</v>
      </c>
      <c r="U21" t="str">
        <f t="shared" si="2"/>
        <v/>
      </c>
      <c r="V21" s="139" t="str">
        <f t="shared" si="3"/>
        <v/>
      </c>
      <c r="W21" t="str">
        <f t="shared" si="4"/>
        <v/>
      </c>
      <c r="X21" t="str">
        <f t="shared" si="5"/>
        <v/>
      </c>
      <c r="Y21" t="str">
        <f t="shared" si="6"/>
        <v/>
      </c>
    </row>
    <row r="22">
      <c r="A22" s="14" t="s">
        <v>44</v>
      </c>
      <c r="B22" s="74">
        <v>19.0</v>
      </c>
      <c r="C22" s="35" t="s">
        <v>2609</v>
      </c>
      <c r="D22" s="35" t="s">
        <v>919</v>
      </c>
      <c r="E22" s="51" t="s">
        <v>53</v>
      </c>
      <c r="F22" s="591"/>
      <c r="G22" s="717" t="s">
        <v>601</v>
      </c>
      <c r="H22" s="717" t="s">
        <v>578</v>
      </c>
      <c r="M22" s="14" t="s">
        <v>12492</v>
      </c>
      <c r="N22" s="721" t="str">
        <f t="shared" si="7"/>
        <v>raymondward@le.utah.gov</v>
      </c>
      <c r="U22" t="str">
        <f t="shared" si="2"/>
        <v/>
      </c>
      <c r="V22" s="139" t="str">
        <f t="shared" si="3"/>
        <v/>
      </c>
      <c r="W22" t="str">
        <f t="shared" si="4"/>
        <v/>
      </c>
      <c r="X22" t="str">
        <f t="shared" si="5"/>
        <v/>
      </c>
      <c r="Y22" t="str">
        <f t="shared" si="6"/>
        <v/>
      </c>
    </row>
    <row r="23">
      <c r="A23" s="14" t="s">
        <v>44</v>
      </c>
      <c r="B23" s="74">
        <v>20.0</v>
      </c>
      <c r="C23" s="726" t="s">
        <v>12494</v>
      </c>
      <c r="D23" s="726" t="s">
        <v>5012</v>
      </c>
      <c r="E23" s="51" t="s">
        <v>53</v>
      </c>
      <c r="F23" s="591"/>
      <c r="G23" s="717" t="s">
        <v>515</v>
      </c>
      <c r="H23" s="717" t="s">
        <v>578</v>
      </c>
      <c r="M23" s="14" t="s">
        <v>12498</v>
      </c>
      <c r="N23" s="721" t="str">
        <f t="shared" si="7"/>
        <v>garffballard@le.utah.gov</v>
      </c>
      <c r="U23" t="str">
        <f t="shared" si="2"/>
        <v/>
      </c>
      <c r="V23" s="139" t="str">
        <f t="shared" si="3"/>
        <v/>
      </c>
      <c r="W23" t="str">
        <f t="shared" si="4"/>
        <v/>
      </c>
      <c r="X23" t="str">
        <f t="shared" si="5"/>
        <v/>
      </c>
      <c r="Y23" t="str">
        <f t="shared" si="6"/>
        <v/>
      </c>
    </row>
    <row r="24">
      <c r="A24" s="14" t="s">
        <v>44</v>
      </c>
      <c r="B24" s="74">
        <v>21.0</v>
      </c>
      <c r="C24" s="35" t="s">
        <v>1312</v>
      </c>
      <c r="D24" s="35" t="s">
        <v>12499</v>
      </c>
      <c r="E24" s="51" t="s">
        <v>53</v>
      </c>
      <c r="F24" s="591"/>
      <c r="G24" s="717" t="s">
        <v>12400</v>
      </c>
      <c r="H24" s="717" t="s">
        <v>12311</v>
      </c>
      <c r="M24" s="14" t="s">
        <v>12500</v>
      </c>
      <c r="N24" s="721" t="str">
        <f t="shared" si="7"/>
        <v>douglassagers@le.utah.gov</v>
      </c>
      <c r="U24" t="str">
        <f t="shared" si="2"/>
        <v/>
      </c>
      <c r="V24" s="139" t="str">
        <f t="shared" si="3"/>
        <v/>
      </c>
      <c r="W24" t="str">
        <f t="shared" si="4"/>
        <v/>
      </c>
      <c r="X24" t="str">
        <f t="shared" si="5"/>
        <v/>
      </c>
      <c r="Y24" t="str">
        <f t="shared" si="6"/>
        <v/>
      </c>
    </row>
    <row r="25">
      <c r="A25" s="14" t="s">
        <v>44</v>
      </c>
      <c r="B25" s="74">
        <v>22.0</v>
      </c>
      <c r="C25" s="35" t="s">
        <v>1446</v>
      </c>
      <c r="D25" s="35" t="s">
        <v>4710</v>
      </c>
      <c r="E25" s="36" t="s">
        <v>49</v>
      </c>
      <c r="F25" s="591"/>
      <c r="G25" s="717" t="s">
        <v>12436</v>
      </c>
      <c r="H25" s="717" t="s">
        <v>12311</v>
      </c>
      <c r="M25" s="14" t="s">
        <v>12502</v>
      </c>
      <c r="N25" s="721" t="str">
        <f t="shared" si="7"/>
        <v>susanduckworth@le.utah.gov</v>
      </c>
      <c r="U25" t="str">
        <f t="shared" si="2"/>
        <v/>
      </c>
      <c r="V25" s="139" t="str">
        <f t="shared" si="3"/>
        <v/>
      </c>
      <c r="W25" t="str">
        <f t="shared" si="4"/>
        <v/>
      </c>
      <c r="X25" t="str">
        <f t="shared" si="5"/>
        <v/>
      </c>
      <c r="Y25" t="str">
        <f t="shared" si="6"/>
        <v/>
      </c>
    </row>
    <row r="26">
      <c r="A26" s="14" t="s">
        <v>44</v>
      </c>
      <c r="B26" s="74">
        <v>23.0</v>
      </c>
      <c r="C26" s="35" t="s">
        <v>3576</v>
      </c>
      <c r="D26" s="35" t="s">
        <v>12507</v>
      </c>
      <c r="E26" s="36" t="s">
        <v>49</v>
      </c>
      <c r="F26" s="591"/>
      <c r="G26" s="717" t="s">
        <v>12410</v>
      </c>
      <c r="H26" s="717" t="s">
        <v>601</v>
      </c>
      <c r="M26" s="14" t="s">
        <v>12508</v>
      </c>
      <c r="N26" s="721" t="str">
        <f t="shared" si="7"/>
        <v>sandrahollins@le.utah.gov</v>
      </c>
      <c r="U26" t="str">
        <f t="shared" si="2"/>
        <v/>
      </c>
      <c r="V26" s="139" t="str">
        <f t="shared" si="3"/>
        <v/>
      </c>
      <c r="W26" t="str">
        <f t="shared" si="4"/>
        <v/>
      </c>
      <c r="X26" t="str">
        <f t="shared" si="5"/>
        <v/>
      </c>
      <c r="Y26" t="str">
        <f t="shared" si="6"/>
        <v/>
      </c>
    </row>
    <row r="27">
      <c r="A27" s="14" t="s">
        <v>44</v>
      </c>
      <c r="B27" s="74">
        <v>24.0</v>
      </c>
      <c r="C27" s="77" t="s">
        <v>4364</v>
      </c>
      <c r="D27" s="35" t="s">
        <v>12509</v>
      </c>
      <c r="E27" s="36" t="s">
        <v>49</v>
      </c>
      <c r="F27" s="591"/>
      <c r="G27" s="717" t="s">
        <v>12510</v>
      </c>
      <c r="H27" s="725"/>
      <c r="M27" s="14" t="s">
        <v>12511</v>
      </c>
      <c r="N27" s="721" t="str">
        <f t="shared" si="7"/>
        <v>jendailey-provost@le.utah.gov</v>
      </c>
      <c r="U27" t="str">
        <f t="shared" si="2"/>
        <v/>
      </c>
      <c r="V27" s="139" t="str">
        <f t="shared" si="3"/>
        <v/>
      </c>
      <c r="W27" t="str">
        <f t="shared" si="4"/>
        <v/>
      </c>
      <c r="X27" t="str">
        <f t="shared" si="5"/>
        <v/>
      </c>
      <c r="Y27" t="str">
        <f t="shared" si="6"/>
        <v/>
      </c>
    </row>
    <row r="28">
      <c r="A28" s="14" t="s">
        <v>44</v>
      </c>
      <c r="B28" s="74">
        <v>25.0</v>
      </c>
      <c r="C28" s="35" t="s">
        <v>28</v>
      </c>
      <c r="D28" s="35" t="s">
        <v>12512</v>
      </c>
      <c r="E28" s="36" t="s">
        <v>49</v>
      </c>
      <c r="F28" s="591"/>
      <c r="G28" s="717" t="s">
        <v>12400</v>
      </c>
      <c r="H28" s="717" t="s">
        <v>12311</v>
      </c>
      <c r="M28" s="14" t="s">
        <v>12513</v>
      </c>
      <c r="N28" s="721" t="str">
        <f t="shared" si="7"/>
        <v>joelbriscoe@le.utah.gov</v>
      </c>
      <c r="U28" t="str">
        <f t="shared" si="2"/>
        <v/>
      </c>
      <c r="V28" s="139" t="str">
        <f t="shared" si="3"/>
        <v/>
      </c>
      <c r="W28" t="str">
        <f t="shared" si="4"/>
        <v/>
      </c>
      <c r="X28" t="str">
        <f t="shared" si="5"/>
        <v/>
      </c>
      <c r="Y28" t="str">
        <f t="shared" si="6"/>
        <v/>
      </c>
    </row>
    <row r="29">
      <c r="A29" s="14" t="s">
        <v>44</v>
      </c>
      <c r="B29" s="74">
        <v>26.0</v>
      </c>
      <c r="C29" s="35" t="s">
        <v>2472</v>
      </c>
      <c r="D29" s="35" t="s">
        <v>9631</v>
      </c>
      <c r="E29" s="36" t="s">
        <v>49</v>
      </c>
      <c r="F29" s="724" t="s">
        <v>10303</v>
      </c>
      <c r="G29" s="717" t="s">
        <v>12410</v>
      </c>
      <c r="H29" s="717" t="s">
        <v>12310</v>
      </c>
      <c r="M29" s="14" t="s">
        <v>12516</v>
      </c>
      <c r="N29" s="721" t="str">
        <f t="shared" si="7"/>
        <v>angelaromero@le.utah.gov</v>
      </c>
      <c r="U29" t="str">
        <f t="shared" si="2"/>
        <v/>
      </c>
      <c r="V29" s="139" t="str">
        <f t="shared" si="3"/>
        <v/>
      </c>
      <c r="W29" t="str">
        <f t="shared" si="4"/>
        <v/>
      </c>
      <c r="X29" t="str">
        <f t="shared" si="5"/>
        <v/>
      </c>
      <c r="Y29" t="str">
        <f t="shared" si="6"/>
        <v/>
      </c>
    </row>
    <row r="30">
      <c r="A30" s="14" t="s">
        <v>44</v>
      </c>
      <c r="B30" s="74">
        <v>27.0</v>
      </c>
      <c r="C30" s="77" t="s">
        <v>2596</v>
      </c>
      <c r="D30" s="726" t="s">
        <v>12517</v>
      </c>
      <c r="E30" s="51" t="s">
        <v>53</v>
      </c>
      <c r="F30" s="591"/>
      <c r="G30" s="717" t="s">
        <v>12436</v>
      </c>
      <c r="H30" s="717" t="s">
        <v>781</v>
      </c>
      <c r="M30" s="14" t="s">
        <v>12518</v>
      </c>
      <c r="N30" s="721" t="str">
        <f t="shared" si="7"/>
        <v>bradybrammer@le.utah.gov</v>
      </c>
      <c r="U30" t="str">
        <f t="shared" si="2"/>
        <v/>
      </c>
      <c r="V30" s="139" t="str">
        <f t="shared" si="3"/>
        <v/>
      </c>
      <c r="W30" t="str">
        <f t="shared" si="4"/>
        <v/>
      </c>
      <c r="X30" t="str">
        <f t="shared" si="5"/>
        <v/>
      </c>
      <c r="Y30" t="str">
        <f t="shared" si="6"/>
        <v/>
      </c>
    </row>
    <row r="31">
      <c r="A31" s="14" t="s">
        <v>44</v>
      </c>
      <c r="B31" s="74">
        <v>28.0</v>
      </c>
      <c r="C31" s="35" t="s">
        <v>1331</v>
      </c>
      <c r="D31" s="35" t="s">
        <v>5219</v>
      </c>
      <c r="E31" s="36" t="s">
        <v>49</v>
      </c>
      <c r="F31" s="724" t="s">
        <v>498</v>
      </c>
      <c r="G31" s="717" t="s">
        <v>12436</v>
      </c>
      <c r="H31" s="717" t="s">
        <v>781</v>
      </c>
      <c r="M31" s="14" t="s">
        <v>12521</v>
      </c>
      <c r="N31" s="721" t="str">
        <f t="shared" si="7"/>
        <v>brianking@le.utah.gov</v>
      </c>
      <c r="U31" t="str">
        <f t="shared" si="2"/>
        <v/>
      </c>
      <c r="V31" s="139" t="str">
        <f t="shared" si="3"/>
        <v/>
      </c>
      <c r="W31" t="str">
        <f t="shared" si="4"/>
        <v/>
      </c>
      <c r="X31" t="str">
        <f t="shared" si="5"/>
        <v/>
      </c>
      <c r="Y31" t="str">
        <f t="shared" si="6"/>
        <v/>
      </c>
    </row>
    <row r="32">
      <c r="A32" s="14" t="s">
        <v>44</v>
      </c>
      <c r="B32" s="74">
        <v>29.0</v>
      </c>
      <c r="C32" s="35" t="s">
        <v>629</v>
      </c>
      <c r="D32" s="35" t="s">
        <v>1329</v>
      </c>
      <c r="E32" s="51" t="s">
        <v>53</v>
      </c>
      <c r="F32" s="591"/>
      <c r="G32" s="717" t="s">
        <v>515</v>
      </c>
      <c r="H32" s="717" t="s">
        <v>12525</v>
      </c>
      <c r="M32" s="14" t="s">
        <v>12526</v>
      </c>
      <c r="N32" s="721" t="str">
        <f t="shared" si="7"/>
        <v>leeperry@le.utah.gov</v>
      </c>
      <c r="U32" t="str">
        <f t="shared" si="2"/>
        <v/>
      </c>
      <c r="V32" s="139" t="str">
        <f t="shared" si="3"/>
        <v/>
      </c>
      <c r="W32" t="str">
        <f t="shared" si="4"/>
        <v/>
      </c>
      <c r="X32" t="str">
        <f t="shared" si="5"/>
        <v/>
      </c>
      <c r="Y32" t="str">
        <f t="shared" si="6"/>
        <v/>
      </c>
    </row>
    <row r="33">
      <c r="A33" s="14" t="s">
        <v>44</v>
      </c>
      <c r="B33" s="74">
        <v>30.0</v>
      </c>
      <c r="C33" s="35" t="s">
        <v>2490</v>
      </c>
      <c r="D33" s="35" t="s">
        <v>4213</v>
      </c>
      <c r="E33" s="51" t="s">
        <v>53</v>
      </c>
      <c r="F33" s="591"/>
      <c r="G33" s="717" t="s">
        <v>12527</v>
      </c>
      <c r="H33" s="725"/>
      <c r="M33" s="14" t="s">
        <v>12528</v>
      </c>
      <c r="N33" s="721" t="str">
        <f t="shared" si="7"/>
        <v>michaelwinder@le.utah.gov</v>
      </c>
      <c r="U33" t="str">
        <f t="shared" si="2"/>
        <v/>
      </c>
      <c r="V33" s="139" t="str">
        <f t="shared" si="3"/>
        <v/>
      </c>
      <c r="W33" t="str">
        <f t="shared" si="4"/>
        <v/>
      </c>
      <c r="X33" t="str">
        <f t="shared" si="5"/>
        <v/>
      </c>
      <c r="Y33" t="str">
        <f t="shared" si="6"/>
        <v/>
      </c>
    </row>
    <row r="34">
      <c r="A34" s="14" t="s">
        <v>44</v>
      </c>
      <c r="B34" s="74">
        <v>31.0</v>
      </c>
      <c r="C34" s="35" t="s">
        <v>2830</v>
      </c>
      <c r="D34" s="35" t="s">
        <v>12532</v>
      </c>
      <c r="E34" s="36" t="s">
        <v>49</v>
      </c>
      <c r="F34" s="591"/>
      <c r="G34" s="717" t="s">
        <v>12310</v>
      </c>
      <c r="H34" s="717" t="s">
        <v>9946</v>
      </c>
      <c r="M34" s="14" t="s">
        <v>12533</v>
      </c>
      <c r="N34" s="721" t="str">
        <f t="shared" si="7"/>
        <v>elizabethweight@le.utah.gov</v>
      </c>
      <c r="U34" t="str">
        <f t="shared" si="2"/>
        <v/>
      </c>
      <c r="V34" s="139" t="str">
        <f t="shared" si="3"/>
        <v/>
      </c>
      <c r="W34" t="str">
        <f t="shared" si="4"/>
        <v/>
      </c>
      <c r="X34" t="str">
        <f t="shared" si="5"/>
        <v/>
      </c>
      <c r="Y34" t="str">
        <f t="shared" si="6"/>
        <v/>
      </c>
    </row>
    <row r="35">
      <c r="A35" s="14" t="s">
        <v>44</v>
      </c>
      <c r="B35" s="74">
        <v>32.0</v>
      </c>
      <c r="C35" s="77" t="s">
        <v>5133</v>
      </c>
      <c r="D35" s="726" t="s">
        <v>12534</v>
      </c>
      <c r="E35" s="36" t="s">
        <v>49</v>
      </c>
      <c r="F35" s="591"/>
      <c r="G35" s="717" t="s">
        <v>578</v>
      </c>
      <c r="H35" s="717" t="s">
        <v>12425</v>
      </c>
      <c r="M35" s="14" t="s">
        <v>12535</v>
      </c>
      <c r="N35" s="721" t="str">
        <f t="shared" si="7"/>
        <v>suzanneharrison@le.utah.gov</v>
      </c>
      <c r="U35" t="str">
        <f t="shared" si="2"/>
        <v/>
      </c>
      <c r="V35" s="139" t="str">
        <f t="shared" si="3"/>
        <v/>
      </c>
      <c r="W35" t="str">
        <f t="shared" si="4"/>
        <v/>
      </c>
      <c r="X35" t="str">
        <f t="shared" si="5"/>
        <v/>
      </c>
      <c r="Y35" t="str">
        <f t="shared" si="6"/>
        <v/>
      </c>
    </row>
    <row r="36">
      <c r="A36" s="14" t="s">
        <v>44</v>
      </c>
      <c r="B36" s="74">
        <v>33.0</v>
      </c>
      <c r="C36" s="35" t="s">
        <v>373</v>
      </c>
      <c r="D36" s="35" t="s">
        <v>293</v>
      </c>
      <c r="E36" s="51" t="s">
        <v>53</v>
      </c>
      <c r="G36" s="717" t="s">
        <v>517</v>
      </c>
      <c r="H36" s="717" t="s">
        <v>12436</v>
      </c>
      <c r="M36" s="14" t="s">
        <v>12540</v>
      </c>
      <c r="N36" s="727" t="s">
        <v>12541</v>
      </c>
      <c r="U36" t="str">
        <f t="shared" si="2"/>
        <v>Representative</v>
      </c>
      <c r="V36" s="139" t="str">
        <f t="shared" si="3"/>
        <v>Craig</v>
      </c>
      <c r="W36" t="str">
        <f t="shared" si="4"/>
        <v>Hall</v>
      </c>
      <c r="X36" t="str">
        <f t="shared" si="5"/>
        <v>chall@le.utah.gov</v>
      </c>
      <c r="Y36" t="str">
        <f t="shared" si="6"/>
        <v>Judiciary (Vice Chair)</v>
      </c>
    </row>
    <row r="37">
      <c r="A37" s="14" t="s">
        <v>44</v>
      </c>
      <c r="B37" s="74">
        <v>34.0</v>
      </c>
      <c r="C37" s="35" t="s">
        <v>1153</v>
      </c>
      <c r="D37" s="35" t="s">
        <v>12546</v>
      </c>
      <c r="E37" s="36" t="s">
        <v>49</v>
      </c>
      <c r="F37" s="724" t="s">
        <v>12547</v>
      </c>
      <c r="G37" s="717" t="s">
        <v>578</v>
      </c>
      <c r="H37" s="717" t="s">
        <v>12425</v>
      </c>
      <c r="M37" s="14" t="s">
        <v>12548</v>
      </c>
      <c r="N37" s="721" t="str">
        <f t="shared" ref="N37:N51" si="8">Concatenate(lower(C37),lower(D37),"@le.utah.gov")</f>
        <v>karenkwan@le.utah.gov</v>
      </c>
      <c r="U37" t="str">
        <f t="shared" si="2"/>
        <v/>
      </c>
      <c r="V37" s="139" t="str">
        <f t="shared" si="3"/>
        <v/>
      </c>
      <c r="W37" t="str">
        <f t="shared" si="4"/>
        <v/>
      </c>
      <c r="X37" t="str">
        <f t="shared" si="5"/>
        <v/>
      </c>
      <c r="Y37" t="str">
        <f t="shared" si="6"/>
        <v/>
      </c>
    </row>
    <row r="38">
      <c r="A38" s="14" t="s">
        <v>44</v>
      </c>
      <c r="B38" s="74">
        <v>35.0</v>
      </c>
      <c r="C38" s="35" t="s">
        <v>91</v>
      </c>
      <c r="D38" s="35" t="s">
        <v>5241</v>
      </c>
      <c r="E38" s="36" t="s">
        <v>49</v>
      </c>
      <c r="F38" s="591"/>
      <c r="G38" s="717" t="s">
        <v>781</v>
      </c>
      <c r="H38" s="725"/>
      <c r="M38" s="14" t="s">
        <v>12558</v>
      </c>
      <c r="N38" s="721" t="str">
        <f t="shared" si="8"/>
        <v>markwheatley@le.utah.gov</v>
      </c>
      <c r="U38" t="str">
        <f t="shared" si="2"/>
        <v/>
      </c>
      <c r="V38" s="139" t="str">
        <f t="shared" si="3"/>
        <v/>
      </c>
      <c r="W38" t="str">
        <f t="shared" si="4"/>
        <v/>
      </c>
      <c r="X38" t="str">
        <f t="shared" si="5"/>
        <v/>
      </c>
      <c r="Y38" t="str">
        <f t="shared" si="6"/>
        <v/>
      </c>
    </row>
    <row r="39">
      <c r="A39" s="14" t="s">
        <v>44</v>
      </c>
      <c r="B39" s="74">
        <v>36.0</v>
      </c>
      <c r="C39" s="35" t="s">
        <v>12560</v>
      </c>
      <c r="D39" s="35" t="s">
        <v>12565</v>
      </c>
      <c r="E39" s="36" t="s">
        <v>49</v>
      </c>
      <c r="F39" s="591"/>
      <c r="G39" s="717" t="s">
        <v>12510</v>
      </c>
      <c r="H39" s="717" t="s">
        <v>12310</v>
      </c>
      <c r="M39" s="14" t="s">
        <v>12566</v>
      </c>
      <c r="N39" s="721" t="str">
        <f t="shared" si="8"/>
        <v>patricearent@le.utah.gov</v>
      </c>
      <c r="U39" t="str">
        <f t="shared" si="2"/>
        <v/>
      </c>
      <c r="V39" s="139" t="str">
        <f t="shared" si="3"/>
        <v/>
      </c>
      <c r="W39" t="str">
        <f t="shared" si="4"/>
        <v/>
      </c>
      <c r="X39" t="str">
        <f t="shared" si="5"/>
        <v/>
      </c>
      <c r="Y39" t="str">
        <f t="shared" si="6"/>
        <v/>
      </c>
    </row>
    <row r="40">
      <c r="A40" s="14" t="s">
        <v>44</v>
      </c>
      <c r="B40" s="74">
        <v>37.0</v>
      </c>
      <c r="C40" s="35" t="s">
        <v>801</v>
      </c>
      <c r="D40" s="35" t="s">
        <v>5796</v>
      </c>
      <c r="E40" s="36" t="s">
        <v>49</v>
      </c>
      <c r="F40" s="724" t="s">
        <v>2004</v>
      </c>
      <c r="G40" s="717" t="s">
        <v>515</v>
      </c>
      <c r="H40" s="717" t="s">
        <v>12400</v>
      </c>
      <c r="M40" s="14" t="s">
        <v>12571</v>
      </c>
      <c r="N40" s="721" t="str">
        <f t="shared" si="8"/>
        <v>carolmoss@le.utah.gov</v>
      </c>
      <c r="U40" t="str">
        <f t="shared" si="2"/>
        <v/>
      </c>
      <c r="V40" s="139" t="str">
        <f t="shared" si="3"/>
        <v/>
      </c>
      <c r="W40" t="str">
        <f t="shared" si="4"/>
        <v/>
      </c>
      <c r="X40" t="str">
        <f t="shared" si="5"/>
        <v/>
      </c>
      <c r="Y40" t="str">
        <f t="shared" si="6"/>
        <v/>
      </c>
    </row>
    <row r="41">
      <c r="A41" s="14" t="s">
        <v>44</v>
      </c>
      <c r="B41" s="74">
        <v>38.0</v>
      </c>
      <c r="C41" s="35" t="s">
        <v>2302</v>
      </c>
      <c r="D41" s="35" t="s">
        <v>12572</v>
      </c>
      <c r="E41" s="51" t="s">
        <v>53</v>
      </c>
      <c r="F41" s="591"/>
      <c r="G41" s="717" t="s">
        <v>781</v>
      </c>
      <c r="H41" s="717" t="s">
        <v>12425</v>
      </c>
      <c r="M41" s="14" t="s">
        <v>12573</v>
      </c>
      <c r="N41" s="721" t="str">
        <f t="shared" si="8"/>
        <v>erichutchings@le.utah.gov</v>
      </c>
      <c r="U41" t="str">
        <f t="shared" si="2"/>
        <v/>
      </c>
      <c r="V41" s="139" t="str">
        <f t="shared" si="3"/>
        <v/>
      </c>
      <c r="W41" t="str">
        <f t="shared" si="4"/>
        <v/>
      </c>
      <c r="X41" t="str">
        <f t="shared" si="5"/>
        <v/>
      </c>
      <c r="Y41" t="str">
        <f t="shared" si="6"/>
        <v/>
      </c>
    </row>
    <row r="42">
      <c r="A42" s="14" t="s">
        <v>44</v>
      </c>
      <c r="B42" s="74">
        <v>39.0</v>
      </c>
      <c r="C42" s="35" t="s">
        <v>930</v>
      </c>
      <c r="D42" s="35" t="s">
        <v>12575</v>
      </c>
      <c r="E42" s="51" t="s">
        <v>53</v>
      </c>
      <c r="F42" s="591"/>
      <c r="G42" s="717" t="s">
        <v>12576</v>
      </c>
      <c r="H42" s="717" t="s">
        <v>9946</v>
      </c>
      <c r="M42" s="14" t="s">
        <v>12577</v>
      </c>
      <c r="N42" s="721" t="str">
        <f t="shared" si="8"/>
        <v>jamesdunnigan@le.utah.gov</v>
      </c>
      <c r="U42" t="str">
        <f t="shared" si="2"/>
        <v/>
      </c>
      <c r="V42" s="139" t="str">
        <f t="shared" si="3"/>
        <v/>
      </c>
      <c r="W42" t="str">
        <f t="shared" si="4"/>
        <v/>
      </c>
      <c r="X42" t="str">
        <f t="shared" si="5"/>
        <v/>
      </c>
      <c r="Y42" t="str">
        <f t="shared" si="6"/>
        <v/>
      </c>
    </row>
    <row r="43">
      <c r="A43" s="14" t="s">
        <v>44</v>
      </c>
      <c r="B43" s="74">
        <v>40.0</v>
      </c>
      <c r="C43" s="77" t="s">
        <v>2254</v>
      </c>
      <c r="D43" s="35" t="s">
        <v>12578</v>
      </c>
      <c r="E43" s="36" t="s">
        <v>49</v>
      </c>
      <c r="F43" s="591"/>
      <c r="G43" s="717" t="s">
        <v>781</v>
      </c>
      <c r="H43" s="717" t="s">
        <v>12400</v>
      </c>
      <c r="M43" s="14" t="s">
        <v>12580</v>
      </c>
      <c r="N43" s="721" t="str">
        <f t="shared" si="8"/>
        <v>stephaniepitcher@le.utah.gov</v>
      </c>
      <c r="U43" t="str">
        <f t="shared" si="2"/>
        <v/>
      </c>
      <c r="V43" s="139" t="str">
        <f t="shared" si="3"/>
        <v/>
      </c>
      <c r="W43" t="str">
        <f t="shared" si="4"/>
        <v/>
      </c>
      <c r="X43" t="str">
        <f t="shared" si="5"/>
        <v/>
      </c>
      <c r="Y43" t="str">
        <f t="shared" si="6"/>
        <v/>
      </c>
    </row>
    <row r="44">
      <c r="A44" s="14" t="s">
        <v>44</v>
      </c>
      <c r="B44" s="74">
        <v>41.0</v>
      </c>
      <c r="C44" s="77" t="s">
        <v>91</v>
      </c>
      <c r="D44" s="35" t="s">
        <v>12582</v>
      </c>
      <c r="E44" s="51" t="s">
        <v>53</v>
      </c>
      <c r="F44" s="591"/>
      <c r="G44" s="717" t="s">
        <v>12410</v>
      </c>
      <c r="H44" s="717" t="s">
        <v>12400</v>
      </c>
      <c r="M44" s="14" t="s">
        <v>12583</v>
      </c>
      <c r="N44" s="721" t="str">
        <f t="shared" si="8"/>
        <v>markstrong@le.utah.gov</v>
      </c>
      <c r="U44" t="str">
        <f t="shared" si="2"/>
        <v/>
      </c>
      <c r="V44" s="139" t="str">
        <f t="shared" si="3"/>
        <v/>
      </c>
      <c r="W44" t="str">
        <f t="shared" si="4"/>
        <v/>
      </c>
      <c r="X44" t="str">
        <f t="shared" si="5"/>
        <v/>
      </c>
      <c r="Y44" t="str">
        <f t="shared" si="6"/>
        <v/>
      </c>
    </row>
    <row r="45">
      <c r="A45" s="14" t="s">
        <v>44</v>
      </c>
      <c r="B45" s="74">
        <v>42.0</v>
      </c>
      <c r="C45" s="35" t="s">
        <v>1973</v>
      </c>
      <c r="D45" s="35" t="s">
        <v>508</v>
      </c>
      <c r="E45" s="51" t="s">
        <v>53</v>
      </c>
      <c r="F45" s="591"/>
      <c r="G45" s="717" t="s">
        <v>12584</v>
      </c>
      <c r="H45" s="717" t="s">
        <v>9946</v>
      </c>
      <c r="M45" s="723" t="s">
        <v>12585</v>
      </c>
      <c r="N45" s="721" t="str">
        <f t="shared" si="8"/>
        <v>kimcoleman@le.utah.gov</v>
      </c>
      <c r="U45" t="str">
        <f t="shared" si="2"/>
        <v/>
      </c>
      <c r="V45" s="139" t="str">
        <f t="shared" si="3"/>
        <v/>
      </c>
      <c r="W45" t="str">
        <f t="shared" si="4"/>
        <v/>
      </c>
      <c r="X45" t="str">
        <f t="shared" si="5"/>
        <v/>
      </c>
      <c r="Y45" t="str">
        <f t="shared" si="6"/>
        <v/>
      </c>
    </row>
    <row r="46">
      <c r="A46" s="14" t="s">
        <v>44</v>
      </c>
      <c r="B46" s="74">
        <v>43.0</v>
      </c>
      <c r="C46" s="35" t="s">
        <v>5120</v>
      </c>
      <c r="D46" s="35" t="s">
        <v>12587</v>
      </c>
      <c r="E46" s="51" t="s">
        <v>53</v>
      </c>
      <c r="F46" s="591"/>
      <c r="G46" s="717" t="s">
        <v>781</v>
      </c>
      <c r="H46" s="717" t="s">
        <v>9946</v>
      </c>
      <c r="M46" s="720" t="s">
        <v>12589</v>
      </c>
      <c r="N46" s="721" t="str">
        <f t="shared" si="8"/>
        <v>cherylacton@le.utah.gov</v>
      </c>
      <c r="U46" t="str">
        <f t="shared" si="2"/>
        <v/>
      </c>
      <c r="V46" s="139" t="str">
        <f t="shared" si="3"/>
        <v/>
      </c>
      <c r="W46" t="str">
        <f t="shared" si="4"/>
        <v/>
      </c>
      <c r="X46" t="str">
        <f t="shared" si="5"/>
        <v/>
      </c>
      <c r="Y46" t="str">
        <f t="shared" si="6"/>
        <v/>
      </c>
    </row>
    <row r="47">
      <c r="A47" s="14" t="s">
        <v>44</v>
      </c>
      <c r="B47" s="74">
        <v>44.0</v>
      </c>
      <c r="C47" s="77" t="s">
        <v>80</v>
      </c>
      <c r="D47" s="35" t="s">
        <v>12593</v>
      </c>
      <c r="E47" s="36" t="s">
        <v>49</v>
      </c>
      <c r="F47" s="591"/>
      <c r="G47" s="717" t="s">
        <v>12410</v>
      </c>
      <c r="H47" s="717" t="s">
        <v>12400</v>
      </c>
      <c r="M47" s="723" t="s">
        <v>12595</v>
      </c>
      <c r="N47" s="721" t="str">
        <f t="shared" si="8"/>
        <v>andrewstoddard@le.utah.gov</v>
      </c>
      <c r="U47" t="str">
        <f t="shared" si="2"/>
        <v/>
      </c>
      <c r="V47" s="139" t="str">
        <f t="shared" si="3"/>
        <v/>
      </c>
      <c r="W47" t="str">
        <f t="shared" si="4"/>
        <v/>
      </c>
      <c r="X47" t="str">
        <f t="shared" si="5"/>
        <v/>
      </c>
      <c r="Y47" t="str">
        <f t="shared" si="6"/>
        <v/>
      </c>
    </row>
    <row r="48">
      <c r="A48" s="14" t="s">
        <v>44</v>
      </c>
      <c r="B48" s="74">
        <v>45.0</v>
      </c>
      <c r="C48" s="35" t="s">
        <v>55</v>
      </c>
      <c r="D48" s="35" t="s">
        <v>12596</v>
      </c>
      <c r="E48" s="51" t="s">
        <v>53</v>
      </c>
      <c r="F48" s="591"/>
      <c r="G48" s="717" t="s">
        <v>12400</v>
      </c>
      <c r="H48" s="717" t="s">
        <v>601</v>
      </c>
      <c r="M48" s="14" t="s">
        <v>12597</v>
      </c>
      <c r="N48" s="721" t="str">
        <f t="shared" si="8"/>
        <v>steveeliason@le.utah.gov</v>
      </c>
      <c r="U48" t="str">
        <f t="shared" si="2"/>
        <v/>
      </c>
      <c r="V48" s="139" t="str">
        <f t="shared" si="3"/>
        <v/>
      </c>
      <c r="W48" t="str">
        <f t="shared" si="4"/>
        <v/>
      </c>
      <c r="X48" t="str">
        <f t="shared" si="5"/>
        <v/>
      </c>
      <c r="Y48" t="str">
        <f t="shared" si="6"/>
        <v/>
      </c>
    </row>
    <row r="49">
      <c r="A49" s="14" t="s">
        <v>44</v>
      </c>
      <c r="B49" s="74">
        <v>46.0</v>
      </c>
      <c r="C49" s="35" t="s">
        <v>1953</v>
      </c>
      <c r="D49" s="35" t="s">
        <v>12599</v>
      </c>
      <c r="E49" s="36" t="s">
        <v>49</v>
      </c>
      <c r="F49" s="591"/>
      <c r="G49" s="717" t="s">
        <v>515</v>
      </c>
      <c r="H49" s="717" t="s">
        <v>9946</v>
      </c>
      <c r="M49" s="14" t="s">
        <v>12600</v>
      </c>
      <c r="N49" s="721" t="str">
        <f t="shared" si="8"/>
        <v>mariepoulson@le.utah.gov</v>
      </c>
      <c r="U49" t="str">
        <f t="shared" si="2"/>
        <v/>
      </c>
      <c r="V49" s="139" t="str">
        <f t="shared" si="3"/>
        <v/>
      </c>
      <c r="W49" t="str">
        <f t="shared" si="4"/>
        <v/>
      </c>
      <c r="X49" t="str">
        <f t="shared" si="5"/>
        <v/>
      </c>
      <c r="Y49" t="str">
        <f t="shared" si="6"/>
        <v/>
      </c>
    </row>
    <row r="50">
      <c r="A50" s="14" t="s">
        <v>44</v>
      </c>
      <c r="B50" s="74">
        <v>47.0</v>
      </c>
      <c r="C50" s="35" t="s">
        <v>1049</v>
      </c>
      <c r="D50" s="35" t="s">
        <v>11940</v>
      </c>
      <c r="E50" s="51" t="s">
        <v>53</v>
      </c>
      <c r="F50" s="591"/>
      <c r="G50" s="717" t="s">
        <v>12400</v>
      </c>
      <c r="H50" s="717" t="s">
        <v>654</v>
      </c>
      <c r="M50" s="720" t="s">
        <v>12604</v>
      </c>
      <c r="N50" s="721" t="str">
        <f t="shared" si="8"/>
        <v>kenivory@le.utah.gov</v>
      </c>
      <c r="U50" t="str">
        <f t="shared" si="2"/>
        <v/>
      </c>
      <c r="V50" s="139" t="str">
        <f t="shared" si="3"/>
        <v/>
      </c>
      <c r="W50" t="str">
        <f t="shared" si="4"/>
        <v/>
      </c>
      <c r="X50" t="str">
        <f t="shared" si="5"/>
        <v/>
      </c>
      <c r="Y50" t="str">
        <f t="shared" si="6"/>
        <v/>
      </c>
    </row>
    <row r="51">
      <c r="A51" s="14" t="s">
        <v>44</v>
      </c>
      <c r="B51" s="74">
        <v>48.0</v>
      </c>
      <c r="C51" s="35" t="s">
        <v>12607</v>
      </c>
      <c r="D51" s="35" t="s">
        <v>12610</v>
      </c>
      <c r="E51" s="51" t="s">
        <v>53</v>
      </c>
      <c r="F51" s="591"/>
      <c r="G51" s="717" t="s">
        <v>12310</v>
      </c>
      <c r="H51" s="717" t="s">
        <v>12611</v>
      </c>
      <c r="M51" s="14" t="s">
        <v>12612</v>
      </c>
      <c r="N51" s="721" t="str">
        <f t="shared" si="8"/>
        <v>kevenstratton@le.utah.gov</v>
      </c>
      <c r="U51" t="str">
        <f t="shared" si="2"/>
        <v/>
      </c>
      <c r="V51" s="139" t="str">
        <f t="shared" si="3"/>
        <v/>
      </c>
      <c r="W51" t="str">
        <f t="shared" si="4"/>
        <v/>
      </c>
      <c r="X51" t="str">
        <f t="shared" si="5"/>
        <v/>
      </c>
      <c r="Y51" t="str">
        <f t="shared" si="6"/>
        <v/>
      </c>
    </row>
    <row r="52">
      <c r="A52" s="14" t="s">
        <v>44</v>
      </c>
      <c r="B52" s="74">
        <v>49.0</v>
      </c>
      <c r="C52" s="35" t="s">
        <v>1134</v>
      </c>
      <c r="D52" s="35" t="s">
        <v>12613</v>
      </c>
      <c r="E52" s="51" t="s">
        <v>53</v>
      </c>
      <c r="F52" s="591"/>
      <c r="G52" s="717" t="s">
        <v>12614</v>
      </c>
      <c r="H52" s="717" t="s">
        <v>601</v>
      </c>
      <c r="M52" s="720" t="s">
        <v>12615</v>
      </c>
      <c r="N52" s="721" t="str">
        <f>Concatenate(lower(left(C52,1)),lower(D52),"@le.utah.gov")</f>
        <v>rspendlove@le.utah.gov</v>
      </c>
      <c r="U52" t="str">
        <f t="shared" si="2"/>
        <v/>
      </c>
      <c r="V52" s="139" t="str">
        <f t="shared" si="3"/>
        <v/>
      </c>
      <c r="W52" t="str">
        <f t="shared" si="4"/>
        <v/>
      </c>
      <c r="X52" t="str">
        <f t="shared" si="5"/>
        <v/>
      </c>
      <c r="Y52" t="str">
        <f t="shared" si="6"/>
        <v/>
      </c>
    </row>
    <row r="53">
      <c r="A53" s="14" t="s">
        <v>44</v>
      </c>
      <c r="B53" s="74">
        <v>50.0</v>
      </c>
      <c r="C53" s="35" t="s">
        <v>1446</v>
      </c>
      <c r="D53" s="35" t="s">
        <v>12622</v>
      </c>
      <c r="E53" s="51" t="s">
        <v>53</v>
      </c>
      <c r="F53" s="591"/>
      <c r="G53" s="717" t="s">
        <v>888</v>
      </c>
      <c r="H53" s="717" t="s">
        <v>9946</v>
      </c>
      <c r="M53" s="723" t="s">
        <v>12626</v>
      </c>
      <c r="N53" s="721" t="str">
        <f t="shared" ref="N53:N76" si="9">Concatenate(lower(C53),lower(D53),"@le.utah.gov")</f>
        <v>susanpulsipher@le.utah.gov</v>
      </c>
      <c r="U53" t="str">
        <f t="shared" si="2"/>
        <v/>
      </c>
      <c r="V53" s="139" t="str">
        <f t="shared" si="3"/>
        <v/>
      </c>
      <c r="W53" t="str">
        <f t="shared" si="4"/>
        <v/>
      </c>
      <c r="X53" t="str">
        <f t="shared" si="5"/>
        <v/>
      </c>
      <c r="Y53" t="str">
        <f t="shared" si="6"/>
        <v/>
      </c>
    </row>
    <row r="54">
      <c r="A54" s="14" t="s">
        <v>44</v>
      </c>
      <c r="B54" s="74">
        <v>51.0</v>
      </c>
      <c r="C54" s="77" t="s">
        <v>683</v>
      </c>
      <c r="D54" s="35" t="s">
        <v>12630</v>
      </c>
      <c r="E54" s="51" t="s">
        <v>53</v>
      </c>
      <c r="F54" s="591"/>
      <c r="G54" s="717" t="s">
        <v>12510</v>
      </c>
      <c r="H54" s="717" t="s">
        <v>12310</v>
      </c>
      <c r="M54" s="14" t="s">
        <v>12631</v>
      </c>
      <c r="N54" s="721" t="str">
        <f t="shared" si="9"/>
        <v>jeffstenquist@le.utah.gov</v>
      </c>
      <c r="U54" t="str">
        <f t="shared" si="2"/>
        <v/>
      </c>
      <c r="V54" s="139" t="str">
        <f t="shared" si="3"/>
        <v/>
      </c>
      <c r="W54" t="str">
        <f t="shared" si="4"/>
        <v/>
      </c>
      <c r="X54" t="str">
        <f t="shared" si="5"/>
        <v/>
      </c>
      <c r="Y54" t="str">
        <f t="shared" si="6"/>
        <v/>
      </c>
    </row>
    <row r="55">
      <c r="A55" s="14" t="s">
        <v>44</v>
      </c>
      <c r="B55" s="74">
        <v>52.0</v>
      </c>
      <c r="C55" s="35" t="s">
        <v>278</v>
      </c>
      <c r="D55" s="35" t="s">
        <v>12632</v>
      </c>
      <c r="E55" s="51" t="s">
        <v>53</v>
      </c>
      <c r="F55" s="591"/>
      <c r="G55" s="717" t="s">
        <v>12436</v>
      </c>
      <c r="H55" s="717" t="s">
        <v>7892</v>
      </c>
      <c r="M55" s="723" t="s">
        <v>12633</v>
      </c>
      <c r="N55" s="721" t="str">
        <f t="shared" si="9"/>
        <v>johnknotwell@le.utah.gov</v>
      </c>
      <c r="U55" t="str">
        <f t="shared" si="2"/>
        <v/>
      </c>
      <c r="V55" s="139" t="str">
        <f t="shared" si="3"/>
        <v/>
      </c>
      <c r="W55" t="str">
        <f t="shared" si="4"/>
        <v/>
      </c>
      <c r="X55" t="str">
        <f t="shared" si="5"/>
        <v/>
      </c>
      <c r="Y55" t="str">
        <f t="shared" si="6"/>
        <v/>
      </c>
    </row>
    <row r="56">
      <c r="A56" s="14" t="s">
        <v>44</v>
      </c>
      <c r="B56" s="74">
        <v>53.0</v>
      </c>
      <c r="C56" s="35" t="s">
        <v>2887</v>
      </c>
      <c r="D56" s="35" t="s">
        <v>10776</v>
      </c>
      <c r="E56" s="51" t="s">
        <v>53</v>
      </c>
      <c r="F56" s="591"/>
      <c r="G56" s="717" t="s">
        <v>12639</v>
      </c>
      <c r="H56" s="717" t="s">
        <v>9946</v>
      </c>
      <c r="M56" s="14" t="s">
        <v>12640</v>
      </c>
      <c r="N56" s="721" t="str">
        <f t="shared" si="9"/>
        <v>loganwilde@le.utah.gov</v>
      </c>
      <c r="U56" t="str">
        <f t="shared" si="2"/>
        <v/>
      </c>
      <c r="V56" s="139" t="str">
        <f t="shared" si="3"/>
        <v/>
      </c>
      <c r="W56" t="str">
        <f t="shared" si="4"/>
        <v/>
      </c>
      <c r="X56" t="str">
        <f t="shared" si="5"/>
        <v/>
      </c>
      <c r="Y56" t="str">
        <f t="shared" si="6"/>
        <v/>
      </c>
    </row>
    <row r="57">
      <c r="A57" s="14" t="s">
        <v>44</v>
      </c>
      <c r="B57" s="74">
        <v>54.0</v>
      </c>
      <c r="C57" s="35" t="s">
        <v>225</v>
      </c>
      <c r="D57" s="35" t="s">
        <v>10778</v>
      </c>
      <c r="E57" s="51" t="s">
        <v>53</v>
      </c>
      <c r="F57" s="591"/>
      <c r="G57" s="717" t="s">
        <v>12436</v>
      </c>
      <c r="H57" s="717" t="s">
        <v>12643</v>
      </c>
      <c r="M57" s="14" t="s">
        <v>12644</v>
      </c>
      <c r="N57" s="721" t="str">
        <f t="shared" si="9"/>
        <v>timquinn@le.utah.gov</v>
      </c>
      <c r="U57" t="str">
        <f t="shared" si="2"/>
        <v/>
      </c>
      <c r="V57" s="139" t="str">
        <f t="shared" si="3"/>
        <v/>
      </c>
      <c r="W57" t="str">
        <f t="shared" si="4"/>
        <v/>
      </c>
      <c r="X57" t="str">
        <f t="shared" si="5"/>
        <v/>
      </c>
      <c r="Y57" t="str">
        <f t="shared" si="6"/>
        <v/>
      </c>
    </row>
    <row r="58">
      <c r="A58" s="14" t="s">
        <v>44</v>
      </c>
      <c r="B58" s="74">
        <v>55.0</v>
      </c>
      <c r="C58" s="35" t="s">
        <v>45</v>
      </c>
      <c r="D58" s="35" t="s">
        <v>3841</v>
      </c>
      <c r="E58" s="51" t="s">
        <v>53</v>
      </c>
      <c r="F58" s="591"/>
      <c r="G58" s="717" t="s">
        <v>12310</v>
      </c>
      <c r="H58" s="717" t="s">
        <v>12311</v>
      </c>
      <c r="M58" s="14" t="s">
        <v>12648</v>
      </c>
      <c r="N58" s="721" t="str">
        <f t="shared" si="9"/>
        <v>scottchew@le.utah.gov</v>
      </c>
      <c r="U58" t="str">
        <f t="shared" si="2"/>
        <v/>
      </c>
      <c r="V58" s="139" t="str">
        <f t="shared" si="3"/>
        <v/>
      </c>
      <c r="W58" t="str">
        <f t="shared" si="4"/>
        <v/>
      </c>
      <c r="X58" t="str">
        <f t="shared" si="5"/>
        <v/>
      </c>
      <c r="Y58" t="str">
        <f t="shared" si="6"/>
        <v/>
      </c>
    </row>
    <row r="59">
      <c r="A59" s="14" t="s">
        <v>44</v>
      </c>
      <c r="B59" s="74">
        <v>56.0</v>
      </c>
      <c r="C59" s="35" t="s">
        <v>1125</v>
      </c>
      <c r="D59" s="35" t="s">
        <v>12650</v>
      </c>
      <c r="E59" s="51" t="s">
        <v>53</v>
      </c>
      <c r="F59" s="591"/>
      <c r="G59" s="717" t="s">
        <v>12310</v>
      </c>
      <c r="H59" s="717" t="s">
        <v>536</v>
      </c>
      <c r="M59" s="14" t="s">
        <v>12651</v>
      </c>
      <c r="N59" s="721" t="str">
        <f t="shared" si="9"/>
        <v>kaychristofferson@le.utah.gov</v>
      </c>
      <c r="U59" t="str">
        <f t="shared" si="2"/>
        <v/>
      </c>
      <c r="V59" s="139" t="str">
        <f t="shared" si="3"/>
        <v/>
      </c>
      <c r="W59" t="str">
        <f t="shared" si="4"/>
        <v/>
      </c>
      <c r="X59" t="str">
        <f t="shared" si="5"/>
        <v/>
      </c>
      <c r="Y59" t="str">
        <f t="shared" si="6"/>
        <v/>
      </c>
    </row>
    <row r="60">
      <c r="A60" s="14" t="s">
        <v>44</v>
      </c>
      <c r="B60" s="74">
        <v>57.0</v>
      </c>
      <c r="C60" s="77" t="s">
        <v>1387</v>
      </c>
      <c r="D60" s="35" t="s">
        <v>3233</v>
      </c>
      <c r="E60" s="51" t="s">
        <v>53</v>
      </c>
      <c r="F60" s="591"/>
      <c r="G60" s="717" t="s">
        <v>781</v>
      </c>
      <c r="H60" s="717" t="s">
        <v>12510</v>
      </c>
      <c r="M60" s="14" t="s">
        <v>12652</v>
      </c>
      <c r="N60" s="721" t="str">
        <f t="shared" si="9"/>
        <v>jonhawkins@le.utah.gov</v>
      </c>
      <c r="U60" t="str">
        <f t="shared" si="2"/>
        <v/>
      </c>
      <c r="V60" s="139" t="str">
        <f t="shared" si="3"/>
        <v/>
      </c>
      <c r="W60" t="str">
        <f t="shared" si="4"/>
        <v/>
      </c>
      <c r="X60" t="str">
        <f t="shared" si="5"/>
        <v/>
      </c>
      <c r="Y60" t="str">
        <f t="shared" si="6"/>
        <v/>
      </c>
    </row>
    <row r="61">
      <c r="A61" s="14" t="s">
        <v>44</v>
      </c>
      <c r="B61" s="74">
        <v>58.0</v>
      </c>
      <c r="C61" s="35" t="s">
        <v>12654</v>
      </c>
      <c r="D61" s="35" t="s">
        <v>10073</v>
      </c>
      <c r="E61" s="51" t="s">
        <v>53</v>
      </c>
      <c r="F61" s="591"/>
      <c r="G61" s="717" t="s">
        <v>12311</v>
      </c>
      <c r="H61" s="717" t="s">
        <v>12658</v>
      </c>
      <c r="M61" s="14" t="s">
        <v>12659</v>
      </c>
      <c r="N61" s="721" t="str">
        <f t="shared" si="9"/>
        <v>derrinowens@le.utah.gov</v>
      </c>
      <c r="U61" t="str">
        <f t="shared" si="2"/>
        <v/>
      </c>
      <c r="V61" s="139" t="str">
        <f t="shared" si="3"/>
        <v/>
      </c>
      <c r="W61" t="str">
        <f t="shared" si="4"/>
        <v/>
      </c>
      <c r="X61" t="str">
        <f t="shared" si="5"/>
        <v/>
      </c>
      <c r="Y61" t="str">
        <f t="shared" si="6"/>
        <v/>
      </c>
    </row>
    <row r="62">
      <c r="A62" s="14" t="s">
        <v>44</v>
      </c>
      <c r="B62" s="74">
        <v>59.0</v>
      </c>
      <c r="C62" s="35" t="s">
        <v>3376</v>
      </c>
      <c r="D62" s="35" t="s">
        <v>6554</v>
      </c>
      <c r="E62" s="51" t="s">
        <v>53</v>
      </c>
      <c r="F62" s="724" t="s">
        <v>1693</v>
      </c>
      <c r="G62" s="717" t="s">
        <v>515</v>
      </c>
      <c r="H62" s="717" t="s">
        <v>12510</v>
      </c>
      <c r="M62" s="14" t="s">
        <v>12661</v>
      </c>
      <c r="N62" s="721" t="str">
        <f t="shared" si="9"/>
        <v>valpeterson@le.utah.gov</v>
      </c>
      <c r="U62" t="str">
        <f t="shared" si="2"/>
        <v>Representative</v>
      </c>
      <c r="V62" s="139" t="str">
        <f t="shared" si="3"/>
        <v>Val</v>
      </c>
      <c r="W62" t="str">
        <f t="shared" si="4"/>
        <v>Peterson</v>
      </c>
      <c r="X62" t="str">
        <f t="shared" si="5"/>
        <v>valpeterson@le.utah.gov</v>
      </c>
      <c r="Y62" t="str">
        <f t="shared" si="6"/>
        <v>Assistant Majority Whip</v>
      </c>
    </row>
    <row r="63">
      <c r="A63" s="14" t="s">
        <v>44</v>
      </c>
      <c r="B63" s="74">
        <v>60.0</v>
      </c>
      <c r="C63" s="35" t="s">
        <v>2323</v>
      </c>
      <c r="D63" s="35" t="s">
        <v>12668</v>
      </c>
      <c r="E63" s="51" t="s">
        <v>53</v>
      </c>
      <c r="F63" s="591"/>
      <c r="G63" s="717" t="s">
        <v>12510</v>
      </c>
      <c r="H63" s="717" t="s">
        <v>863</v>
      </c>
      <c r="M63" s="14" t="s">
        <v>12669</v>
      </c>
      <c r="N63" s="721" t="str">
        <f t="shared" si="9"/>
        <v>braddaw@le.utah.gov</v>
      </c>
      <c r="U63" t="str">
        <f t="shared" si="2"/>
        <v/>
      </c>
      <c r="V63" s="139" t="str">
        <f t="shared" si="3"/>
        <v/>
      </c>
      <c r="W63" t="str">
        <f t="shared" si="4"/>
        <v/>
      </c>
      <c r="X63" t="str">
        <f t="shared" si="5"/>
        <v/>
      </c>
      <c r="Y63" t="str">
        <f t="shared" si="6"/>
        <v/>
      </c>
    </row>
    <row r="64">
      <c r="A64" s="14" t="s">
        <v>44</v>
      </c>
      <c r="B64" s="74">
        <v>61.0</v>
      </c>
      <c r="C64" s="35" t="s">
        <v>1617</v>
      </c>
      <c r="D64" s="35" t="s">
        <v>12670</v>
      </c>
      <c r="E64" s="51" t="s">
        <v>53</v>
      </c>
      <c r="F64" s="591"/>
      <c r="G64" s="717" t="s">
        <v>601</v>
      </c>
      <c r="H64" s="717" t="s">
        <v>578</v>
      </c>
      <c r="N64" s="721" t="str">
        <f t="shared" si="9"/>
        <v>keithgrover@le.utah.gov</v>
      </c>
      <c r="U64" t="str">
        <f t="shared" si="2"/>
        <v/>
      </c>
      <c r="V64" s="139" t="str">
        <f t="shared" si="3"/>
        <v/>
      </c>
      <c r="W64" t="str">
        <f t="shared" si="4"/>
        <v/>
      </c>
      <c r="X64" t="str">
        <f t="shared" si="5"/>
        <v/>
      </c>
      <c r="Y64" t="str">
        <f t="shared" si="6"/>
        <v/>
      </c>
    </row>
    <row r="65">
      <c r="A65" s="14" t="s">
        <v>44</v>
      </c>
      <c r="B65" s="74">
        <v>62.0</v>
      </c>
      <c r="C65" s="35"/>
      <c r="D65" s="35"/>
      <c r="E65" s="51" t="s">
        <v>53</v>
      </c>
      <c r="F65" s="591"/>
      <c r="G65" s="725"/>
      <c r="H65" s="725"/>
      <c r="N65" s="721" t="str">
        <f t="shared" si="9"/>
        <v>@le.utah.gov</v>
      </c>
      <c r="U65" t="str">
        <f t="shared" si="2"/>
        <v/>
      </c>
      <c r="V65" s="139" t="str">
        <f t="shared" si="3"/>
        <v/>
      </c>
      <c r="W65" t="str">
        <f t="shared" si="4"/>
        <v/>
      </c>
      <c r="X65" t="str">
        <f t="shared" si="5"/>
        <v/>
      </c>
      <c r="Y65" t="str">
        <f t="shared" si="6"/>
        <v/>
      </c>
    </row>
    <row r="66">
      <c r="A66" s="14" t="s">
        <v>44</v>
      </c>
      <c r="B66" s="74">
        <v>63.0</v>
      </c>
      <c r="C66" s="35"/>
      <c r="D66" s="35"/>
      <c r="E66" s="51" t="s">
        <v>53</v>
      </c>
      <c r="F66" s="591"/>
      <c r="G66" s="725"/>
      <c r="H66" s="725"/>
      <c r="N66" s="721" t="str">
        <f t="shared" si="9"/>
        <v>@le.utah.gov</v>
      </c>
      <c r="U66" t="str">
        <f t="shared" si="2"/>
        <v/>
      </c>
      <c r="V66" s="139" t="str">
        <f t="shared" si="3"/>
        <v/>
      </c>
      <c r="W66" t="str">
        <f t="shared" si="4"/>
        <v/>
      </c>
      <c r="X66" t="str">
        <f t="shared" si="5"/>
        <v/>
      </c>
      <c r="Y66" t="str">
        <f t="shared" si="6"/>
        <v/>
      </c>
    </row>
    <row r="67">
      <c r="A67" s="14" t="s">
        <v>44</v>
      </c>
      <c r="B67" s="74">
        <v>64.0</v>
      </c>
      <c r="C67" s="35" t="s">
        <v>12677</v>
      </c>
      <c r="D67" s="35" t="s">
        <v>3326</v>
      </c>
      <c r="E67" s="51" t="s">
        <v>53</v>
      </c>
      <c r="F67" s="591"/>
      <c r="G67" s="717" t="s">
        <v>12400</v>
      </c>
      <c r="H67" s="717" t="s">
        <v>601</v>
      </c>
      <c r="M67" s="14" t="s">
        <v>12680</v>
      </c>
      <c r="N67" s="721" t="str">
        <f t="shared" si="9"/>
        <v>normthurston@le.utah.gov</v>
      </c>
      <c r="U67" t="str">
        <f t="shared" si="2"/>
        <v/>
      </c>
      <c r="V67" s="139" t="str">
        <f t="shared" si="3"/>
        <v/>
      </c>
      <c r="W67" t="str">
        <f t="shared" si="4"/>
        <v/>
      </c>
      <c r="X67" t="str">
        <f t="shared" si="5"/>
        <v/>
      </c>
      <c r="Y67" t="str">
        <f t="shared" si="6"/>
        <v/>
      </c>
    </row>
    <row r="68">
      <c r="A68" s="14" t="s">
        <v>44</v>
      </c>
      <c r="B68" s="74">
        <v>65.0</v>
      </c>
      <c r="C68" s="35" t="s">
        <v>3391</v>
      </c>
      <c r="D68" s="35" t="s">
        <v>2519</v>
      </c>
      <c r="E68" s="51" t="s">
        <v>53</v>
      </c>
      <c r="F68" s="724" t="s">
        <v>176</v>
      </c>
      <c r="G68" s="717" t="s">
        <v>12425</v>
      </c>
      <c r="H68" s="725"/>
      <c r="M68" s="14" t="s">
        <v>12685</v>
      </c>
      <c r="N68" s="721" t="str">
        <f t="shared" si="9"/>
        <v>francisgibson@le.utah.gov</v>
      </c>
      <c r="U68" t="str">
        <f t="shared" si="2"/>
        <v>Representative</v>
      </c>
      <c r="V68" s="139" t="str">
        <f t="shared" si="3"/>
        <v>Francis</v>
      </c>
      <c r="W68" t="str">
        <f t="shared" si="4"/>
        <v>Gibson</v>
      </c>
      <c r="X68" t="str">
        <f t="shared" si="5"/>
        <v>francisgibson@le.utah.gov</v>
      </c>
      <c r="Y68" t="str">
        <f t="shared" si="6"/>
        <v>Majority Leader</v>
      </c>
    </row>
    <row r="69">
      <c r="A69" s="14" t="s">
        <v>44</v>
      </c>
      <c r="B69" s="74">
        <v>66.0</v>
      </c>
      <c r="C69" s="35" t="s">
        <v>157</v>
      </c>
      <c r="D69" s="35" t="s">
        <v>12689</v>
      </c>
      <c r="E69" s="51" t="s">
        <v>53</v>
      </c>
      <c r="F69" s="591"/>
      <c r="G69" s="717" t="s">
        <v>12436</v>
      </c>
      <c r="H69" s="717" t="s">
        <v>12410</v>
      </c>
      <c r="M69" s="14" t="s">
        <v>12690</v>
      </c>
      <c r="N69" s="721" t="str">
        <f t="shared" si="9"/>
        <v>mikemckell@le.utah.gov</v>
      </c>
      <c r="U69" t="str">
        <f t="shared" si="2"/>
        <v/>
      </c>
      <c r="V69" s="139" t="str">
        <f t="shared" si="3"/>
        <v/>
      </c>
      <c r="W69" t="str">
        <f t="shared" si="4"/>
        <v/>
      </c>
      <c r="X69" t="str">
        <f t="shared" si="5"/>
        <v/>
      </c>
      <c r="Y69" t="str">
        <f t="shared" si="6"/>
        <v/>
      </c>
    </row>
    <row r="70">
      <c r="A70" s="14" t="s">
        <v>44</v>
      </c>
      <c r="B70" s="74">
        <v>67.0</v>
      </c>
      <c r="C70" s="35" t="s">
        <v>91</v>
      </c>
      <c r="D70" s="35" t="s">
        <v>788</v>
      </c>
      <c r="E70" s="51" t="s">
        <v>53</v>
      </c>
      <c r="F70" s="591"/>
      <c r="G70" s="717" t="s">
        <v>12436</v>
      </c>
      <c r="H70" s="717" t="s">
        <v>12510</v>
      </c>
      <c r="M70" s="14" t="s">
        <v>12695</v>
      </c>
      <c r="N70" s="721" t="str">
        <f t="shared" si="9"/>
        <v>markroberts@le.utah.gov</v>
      </c>
      <c r="U70" t="str">
        <f t="shared" si="2"/>
        <v/>
      </c>
      <c r="V70" s="139" t="str">
        <f t="shared" si="3"/>
        <v/>
      </c>
      <c r="W70" t="str">
        <f t="shared" si="4"/>
        <v/>
      </c>
      <c r="X70" t="str">
        <f t="shared" si="5"/>
        <v/>
      </c>
      <c r="Y70" t="str">
        <f t="shared" si="6"/>
        <v/>
      </c>
    </row>
    <row r="71">
      <c r="A71" s="14" t="s">
        <v>44</v>
      </c>
      <c r="B71" s="74">
        <v>68.0</v>
      </c>
      <c r="C71" s="35" t="s">
        <v>10571</v>
      </c>
      <c r="D71" s="35" t="s">
        <v>3823</v>
      </c>
      <c r="E71" s="51" t="s">
        <v>53</v>
      </c>
      <c r="F71" s="591"/>
      <c r="G71" s="717" t="s">
        <v>578</v>
      </c>
      <c r="H71" s="717" t="s">
        <v>12697</v>
      </c>
      <c r="M71" s="14" t="s">
        <v>12698</v>
      </c>
      <c r="N71" s="721" t="str">
        <f t="shared" si="9"/>
        <v>merrillnelson@le.utah.gov</v>
      </c>
      <c r="U71" t="str">
        <f t="shared" si="2"/>
        <v/>
      </c>
      <c r="V71" s="139" t="str">
        <f t="shared" si="3"/>
        <v/>
      </c>
      <c r="W71" t="str">
        <f t="shared" si="4"/>
        <v/>
      </c>
      <c r="X71" t="str">
        <f t="shared" si="5"/>
        <v/>
      </c>
      <c r="Y71" t="str">
        <f t="shared" si="6"/>
        <v/>
      </c>
    </row>
    <row r="72">
      <c r="A72" s="14" t="s">
        <v>44</v>
      </c>
      <c r="B72" s="74">
        <v>69.0</v>
      </c>
      <c r="C72" s="35" t="s">
        <v>2551</v>
      </c>
      <c r="D72" s="35" t="s">
        <v>5538</v>
      </c>
      <c r="E72" s="51" t="s">
        <v>53</v>
      </c>
      <c r="F72" s="591"/>
      <c r="G72" s="717" t="s">
        <v>515</v>
      </c>
      <c r="H72" s="717" t="s">
        <v>12311</v>
      </c>
      <c r="M72" s="14" t="s">
        <v>12703</v>
      </c>
      <c r="N72" s="721" t="str">
        <f t="shared" si="9"/>
        <v>christinewatkins@le.utah.gov</v>
      </c>
      <c r="U72" t="str">
        <f t="shared" si="2"/>
        <v/>
      </c>
      <c r="V72" s="139" t="str">
        <f t="shared" si="3"/>
        <v/>
      </c>
      <c r="W72" t="str">
        <f t="shared" si="4"/>
        <v/>
      </c>
      <c r="X72" t="str">
        <f t="shared" si="5"/>
        <v/>
      </c>
      <c r="Y72" t="str">
        <f t="shared" si="6"/>
        <v/>
      </c>
    </row>
    <row r="73">
      <c r="A73" s="14" t="s">
        <v>44</v>
      </c>
      <c r="B73" s="74">
        <v>70.0</v>
      </c>
      <c r="C73" s="35" t="s">
        <v>4087</v>
      </c>
      <c r="D73" s="35" t="s">
        <v>9033</v>
      </c>
      <c r="E73" s="51" t="s">
        <v>53</v>
      </c>
      <c r="F73" s="591"/>
      <c r="G73" s="717" t="s">
        <v>12704</v>
      </c>
      <c r="H73" s="717" t="s">
        <v>12311</v>
      </c>
      <c r="M73" s="14" t="s">
        <v>12705</v>
      </c>
      <c r="N73" s="721" t="str">
        <f t="shared" si="9"/>
        <v>carlalbrecht@le.utah.gov</v>
      </c>
      <c r="U73" t="str">
        <f t="shared" si="2"/>
        <v/>
      </c>
      <c r="V73" s="139" t="str">
        <f t="shared" si="3"/>
        <v/>
      </c>
      <c r="W73" t="str">
        <f t="shared" si="4"/>
        <v/>
      </c>
      <c r="X73" t="str">
        <f t="shared" si="5"/>
        <v/>
      </c>
      <c r="Y73" t="str">
        <f t="shared" si="6"/>
        <v/>
      </c>
    </row>
    <row r="74">
      <c r="A74" s="14" t="s">
        <v>44</v>
      </c>
      <c r="B74" s="74">
        <v>71.0</v>
      </c>
      <c r="C74" s="35" t="s">
        <v>1130</v>
      </c>
      <c r="D74" s="35" t="s">
        <v>12711</v>
      </c>
      <c r="E74" s="51" t="s">
        <v>53</v>
      </c>
      <c r="F74" s="591"/>
      <c r="G74" s="717" t="s">
        <v>515</v>
      </c>
      <c r="H74" s="725"/>
      <c r="M74" s="14" t="s">
        <v>12713</v>
      </c>
      <c r="N74" s="721" t="str">
        <f t="shared" si="9"/>
        <v>bradleylast@le.utah.gov</v>
      </c>
      <c r="U74" t="str">
        <f t="shared" si="2"/>
        <v/>
      </c>
      <c r="V74" s="139" t="str">
        <f t="shared" si="3"/>
        <v/>
      </c>
      <c r="W74" t="str">
        <f t="shared" si="4"/>
        <v/>
      </c>
      <c r="X74" t="str">
        <f t="shared" si="5"/>
        <v/>
      </c>
      <c r="Y74" t="str">
        <f t="shared" si="6"/>
        <v/>
      </c>
    </row>
    <row r="75">
      <c r="A75" s="14" t="s">
        <v>44</v>
      </c>
      <c r="B75" s="74">
        <v>72.0</v>
      </c>
      <c r="C75" s="77" t="s">
        <v>304</v>
      </c>
      <c r="D75" s="35" t="s">
        <v>12714</v>
      </c>
      <c r="E75" s="51" t="s">
        <v>53</v>
      </c>
      <c r="F75" s="591"/>
      <c r="G75" s="717" t="s">
        <v>12400</v>
      </c>
      <c r="H75" s="717" t="s">
        <v>601</v>
      </c>
      <c r="M75" s="14" t="s">
        <v>12443</v>
      </c>
      <c r="N75" s="721" t="str">
        <f t="shared" si="9"/>
        <v>rexshipp@le.utah.gov</v>
      </c>
      <c r="U75" t="str">
        <f t="shared" si="2"/>
        <v/>
      </c>
      <c r="V75" s="139" t="str">
        <f t="shared" si="3"/>
        <v/>
      </c>
      <c r="W75" t="str">
        <f t="shared" si="4"/>
        <v/>
      </c>
      <c r="X75" t="str">
        <f t="shared" si="5"/>
        <v/>
      </c>
      <c r="Y75" t="str">
        <f t="shared" si="6"/>
        <v/>
      </c>
    </row>
    <row r="76">
      <c r="A76" s="14" t="s">
        <v>44</v>
      </c>
      <c r="B76" s="74">
        <v>73.0</v>
      </c>
      <c r="C76" s="77" t="s">
        <v>1483</v>
      </c>
      <c r="D76" s="35" t="s">
        <v>400</v>
      </c>
      <c r="E76" s="51" t="s">
        <v>53</v>
      </c>
      <c r="F76" s="591"/>
      <c r="G76" s="717" t="s">
        <v>12715</v>
      </c>
      <c r="H76" s="717" t="s">
        <v>12311</v>
      </c>
      <c r="M76" s="14" t="s">
        <v>12716</v>
      </c>
      <c r="N76" s="721" t="str">
        <f t="shared" si="9"/>
        <v>phillyman@le.utah.gov</v>
      </c>
      <c r="U76" t="str">
        <f t="shared" si="2"/>
        <v/>
      </c>
      <c r="V76" s="139" t="str">
        <f t="shared" si="3"/>
        <v/>
      </c>
      <c r="W76" t="str">
        <f t="shared" si="4"/>
        <v/>
      </c>
      <c r="X76" t="str">
        <f t="shared" si="5"/>
        <v/>
      </c>
      <c r="Y76" t="str">
        <f t="shared" si="6"/>
        <v/>
      </c>
    </row>
    <row r="77">
      <c r="A77" s="14" t="s">
        <v>44</v>
      </c>
      <c r="B77" s="74">
        <v>74.0</v>
      </c>
      <c r="C77" s="38" t="s">
        <v>12717</v>
      </c>
      <c r="D77" s="35" t="s">
        <v>12718</v>
      </c>
      <c r="E77" s="51" t="s">
        <v>53</v>
      </c>
      <c r="F77" s="591"/>
      <c r="G77" s="717" t="s">
        <v>1047</v>
      </c>
      <c r="H77" s="717" t="s">
        <v>781</v>
      </c>
      <c r="M77" s="14" t="s">
        <v>12719</v>
      </c>
      <c r="N77" s="721" t="str">
        <f>Concatenate(lower(left(C77,2)),lower(D77),"@le.utah.gov")</f>
        <v>vlsnow@le.utah.gov</v>
      </c>
      <c r="U77" t="str">
        <f t="shared" si="2"/>
        <v/>
      </c>
      <c r="V77" s="139" t="str">
        <f t="shared" si="3"/>
        <v/>
      </c>
      <c r="W77" t="str">
        <f t="shared" si="4"/>
        <v/>
      </c>
      <c r="X77" t="str">
        <f t="shared" si="5"/>
        <v/>
      </c>
      <c r="Y77" t="str">
        <f t="shared" si="6"/>
        <v/>
      </c>
    </row>
    <row r="78">
      <c r="A78" s="14" t="s">
        <v>44</v>
      </c>
      <c r="B78" s="74">
        <v>75.0</v>
      </c>
      <c r="C78" s="35" t="s">
        <v>6101</v>
      </c>
      <c r="D78" s="35" t="s">
        <v>1141</v>
      </c>
      <c r="E78" s="51" t="s">
        <v>53</v>
      </c>
      <c r="F78" s="591"/>
      <c r="G78" s="717" t="s">
        <v>12510</v>
      </c>
      <c r="H78" s="717" t="s">
        <v>12727</v>
      </c>
      <c r="M78" s="14" t="s">
        <v>12728</v>
      </c>
      <c r="N78" s="721" t="str">
        <f>Concatenate(lower(left(C78,1)),lower(D78),"@le.utah.gov")</f>
        <v>wbrooks@le.utah.gov</v>
      </c>
      <c r="U78" t="str">
        <f t="shared" si="2"/>
        <v/>
      </c>
      <c r="V78" s="139" t="str">
        <f t="shared" si="3"/>
        <v/>
      </c>
      <c r="W78" t="str">
        <f t="shared" si="4"/>
        <v/>
      </c>
      <c r="X78" t="str">
        <f t="shared" si="5"/>
        <v/>
      </c>
      <c r="Y78" t="str">
        <f t="shared" si="6"/>
        <v/>
      </c>
    </row>
    <row r="79">
      <c r="A79" s="70"/>
      <c r="B79" s="71"/>
      <c r="C79" s="71"/>
      <c r="D79" s="71"/>
      <c r="E79" s="70"/>
      <c r="F79" s="417"/>
      <c r="G79" s="70"/>
      <c r="H79" s="70"/>
      <c r="I79" s="70"/>
      <c r="J79" s="70"/>
      <c r="K79" s="70"/>
      <c r="L79" s="70"/>
      <c r="M79" s="70"/>
      <c r="N79" s="729"/>
      <c r="O79" s="70"/>
      <c r="P79" s="70"/>
      <c r="Q79" s="70"/>
      <c r="R79" s="70"/>
      <c r="S79" s="70"/>
      <c r="T79" s="70"/>
      <c r="U79" s="730"/>
      <c r="V79" s="70"/>
      <c r="W79" s="70"/>
      <c r="X79" s="70"/>
      <c r="Y79" s="70"/>
      <c r="Z79" s="70"/>
      <c r="AA79" s="70"/>
      <c r="AB79" s="70"/>
      <c r="AC79" s="70"/>
      <c r="AD79" s="70"/>
      <c r="AE79" s="70"/>
      <c r="AF79" s="70"/>
      <c r="AG79" s="70"/>
      <c r="AH79" s="70"/>
      <c r="AI79" s="70"/>
    </row>
    <row r="80">
      <c r="A80" s="14" t="s">
        <v>286</v>
      </c>
      <c r="B80" s="35">
        <v>1.0</v>
      </c>
      <c r="C80" s="35" t="s">
        <v>1605</v>
      </c>
      <c r="D80" s="35" t="s">
        <v>12733</v>
      </c>
      <c r="E80" s="36" t="s">
        <v>49</v>
      </c>
      <c r="F80" s="567" t="s">
        <v>2004</v>
      </c>
      <c r="N80" s="721" t="str">
        <f t="shared" ref="N80:N108" si="10">Concatenate(lower(left(C80,1)),lower(D80),"@le.utah.gov")</f>
        <v>lescamilla@le.utah.gov</v>
      </c>
      <c r="U80" t="str">
        <f t="shared" ref="U80:U108" si="11">if(V80="","",if(A80="House","Representative","Senator"))</f>
        <v/>
      </c>
      <c r="V80" s="139" t="str">
        <f t="shared" ref="V80:V108" si="12">if(AND(not(isblank($F80)),not(isnumber(search("minority",$F80)))),$C80,if(or(isnumber(search("Judiciary (Chair)",$G80)),isnumber(search("Judiciary (Vice Chair)",$G80))),$C80,""))</f>
        <v/>
      </c>
      <c r="W80" t="str">
        <f t="shared" ref="W80:W108" si="13">if(V80="","",D80)</f>
        <v/>
      </c>
      <c r="X80" t="str">
        <f t="shared" ref="X80:X108" si="14">if(W80="","",N80)</f>
        <v/>
      </c>
      <c r="Y80" t="str">
        <f t="shared" ref="Y80:Y108" si="15">if(X80="","",if(isblank($F80),$G80,$F80))</f>
        <v/>
      </c>
    </row>
    <row r="81">
      <c r="A81" s="14" t="s">
        <v>286</v>
      </c>
      <c r="B81" s="35">
        <v>2.0</v>
      </c>
      <c r="C81" s="77" t="s">
        <v>2525</v>
      </c>
      <c r="D81" s="35" t="s">
        <v>12742</v>
      </c>
      <c r="E81" s="36" t="s">
        <v>49</v>
      </c>
      <c r="F81" s="567" t="s">
        <v>12547</v>
      </c>
      <c r="M81" s="14" t="s">
        <v>12743</v>
      </c>
      <c r="N81" s="721" t="str">
        <f t="shared" si="10"/>
        <v>dkitchen@le.utah.gov</v>
      </c>
      <c r="U81" t="str">
        <f t="shared" si="11"/>
        <v/>
      </c>
      <c r="V81" s="139" t="str">
        <f t="shared" si="12"/>
        <v/>
      </c>
      <c r="W81" t="str">
        <f t="shared" si="13"/>
        <v/>
      </c>
      <c r="X81" t="str">
        <f t="shared" si="14"/>
        <v/>
      </c>
      <c r="Y81" t="str">
        <f t="shared" si="15"/>
        <v/>
      </c>
    </row>
    <row r="82">
      <c r="A82" s="14" t="s">
        <v>286</v>
      </c>
      <c r="B82" s="35">
        <v>3.0</v>
      </c>
      <c r="C82" s="35" t="s">
        <v>3242</v>
      </c>
      <c r="D82" s="35" t="s">
        <v>1254</v>
      </c>
      <c r="E82" s="36" t="s">
        <v>49</v>
      </c>
      <c r="F82" s="591"/>
      <c r="M82" s="14" t="s">
        <v>12752</v>
      </c>
      <c r="N82" s="721" t="str">
        <f t="shared" si="10"/>
        <v>gdavis@le.utah.gov</v>
      </c>
      <c r="U82" t="str">
        <f t="shared" si="11"/>
        <v/>
      </c>
      <c r="V82" s="139" t="str">
        <f t="shared" si="12"/>
        <v/>
      </c>
      <c r="W82" t="str">
        <f t="shared" si="13"/>
        <v/>
      </c>
      <c r="X82" t="str">
        <f t="shared" si="14"/>
        <v/>
      </c>
      <c r="Y82" t="str">
        <f t="shared" si="15"/>
        <v/>
      </c>
    </row>
    <row r="83">
      <c r="A83" s="14" t="s">
        <v>286</v>
      </c>
      <c r="B83" s="35">
        <v>4.0</v>
      </c>
      <c r="C83" s="35" t="s">
        <v>12753</v>
      </c>
      <c r="D83" s="38" t="s">
        <v>12758</v>
      </c>
      <c r="E83" s="36" t="s">
        <v>49</v>
      </c>
      <c r="F83" s="724" t="s">
        <v>10303</v>
      </c>
      <c r="N83" s="721" t="str">
        <f t="shared" si="10"/>
        <v>jiwamoto@le.utah.gov</v>
      </c>
      <c r="U83" t="str">
        <f t="shared" si="11"/>
        <v/>
      </c>
      <c r="V83" s="139" t="str">
        <f t="shared" si="12"/>
        <v/>
      </c>
      <c r="W83" t="str">
        <f t="shared" si="13"/>
        <v/>
      </c>
      <c r="X83" t="str">
        <f t="shared" si="14"/>
        <v/>
      </c>
      <c r="Y83" t="str">
        <f t="shared" si="15"/>
        <v/>
      </c>
    </row>
    <row r="84">
      <c r="A84" s="14" t="s">
        <v>286</v>
      </c>
      <c r="B84" s="35">
        <v>5.0</v>
      </c>
      <c r="C84" s="35" t="s">
        <v>1153</v>
      </c>
      <c r="D84" s="35" t="s">
        <v>12764</v>
      </c>
      <c r="E84" s="36" t="s">
        <v>49</v>
      </c>
      <c r="F84" s="724" t="s">
        <v>498</v>
      </c>
      <c r="N84" s="721" t="str">
        <f t="shared" si="10"/>
        <v>kmayne@le.utah.gov</v>
      </c>
      <c r="U84" t="str">
        <f t="shared" si="11"/>
        <v/>
      </c>
      <c r="V84" s="139" t="str">
        <f t="shared" si="12"/>
        <v/>
      </c>
      <c r="W84" t="str">
        <f t="shared" si="13"/>
        <v/>
      </c>
      <c r="X84" t="str">
        <f t="shared" si="14"/>
        <v/>
      </c>
      <c r="Y84" t="str">
        <f t="shared" si="15"/>
        <v/>
      </c>
    </row>
    <row r="85">
      <c r="A85" s="14" t="s">
        <v>286</v>
      </c>
      <c r="B85" s="74">
        <v>6.0</v>
      </c>
      <c r="C85" s="35" t="s">
        <v>6418</v>
      </c>
      <c r="D85" s="35" t="s">
        <v>1946</v>
      </c>
      <c r="E85" s="51" t="s">
        <v>53</v>
      </c>
      <c r="F85" s="591"/>
      <c r="N85" s="721" t="str">
        <f t="shared" si="10"/>
        <v>wharper@le.utah.gov</v>
      </c>
      <c r="U85" t="str">
        <f t="shared" si="11"/>
        <v/>
      </c>
      <c r="V85" s="139" t="str">
        <f t="shared" si="12"/>
        <v/>
      </c>
      <c r="W85" t="str">
        <f t="shared" si="13"/>
        <v/>
      </c>
      <c r="X85" t="str">
        <f t="shared" si="14"/>
        <v/>
      </c>
      <c r="Y85" t="str">
        <f t="shared" si="15"/>
        <v/>
      </c>
    </row>
    <row r="86">
      <c r="A86" s="14" t="s">
        <v>286</v>
      </c>
      <c r="B86" s="74">
        <v>7.0</v>
      </c>
      <c r="C86" s="35" t="s">
        <v>12772</v>
      </c>
      <c r="D86" s="35" t="s">
        <v>2092</v>
      </c>
      <c r="E86" s="51" t="s">
        <v>53</v>
      </c>
      <c r="F86" s="591"/>
      <c r="N86" s="721" t="str">
        <f t="shared" si="10"/>
        <v>dhenderson@le.utah.gov</v>
      </c>
      <c r="U86" t="str">
        <f t="shared" si="11"/>
        <v/>
      </c>
      <c r="V86" s="139" t="str">
        <f t="shared" si="12"/>
        <v/>
      </c>
      <c r="W86" t="str">
        <f t="shared" si="13"/>
        <v/>
      </c>
      <c r="X86" t="str">
        <f t="shared" si="14"/>
        <v/>
      </c>
      <c r="Y86" t="str">
        <f t="shared" si="15"/>
        <v/>
      </c>
    </row>
    <row r="87">
      <c r="A87" s="14" t="s">
        <v>286</v>
      </c>
      <c r="B87" s="74">
        <v>8.0</v>
      </c>
      <c r="C87" s="77" t="s">
        <v>2554</v>
      </c>
      <c r="D87" s="35" t="s">
        <v>12777</v>
      </c>
      <c r="E87" s="36" t="s">
        <v>49</v>
      </c>
      <c r="F87" s="591"/>
      <c r="N87" s="721" t="str">
        <f t="shared" si="10"/>
        <v>kriebe@le.utah.gov</v>
      </c>
      <c r="U87" t="str">
        <f t="shared" si="11"/>
        <v/>
      </c>
      <c r="V87" s="139" t="str">
        <f t="shared" si="12"/>
        <v/>
      </c>
      <c r="W87" t="str">
        <f t="shared" si="13"/>
        <v/>
      </c>
      <c r="X87" t="str">
        <f t="shared" si="14"/>
        <v/>
      </c>
      <c r="Y87" t="str">
        <f t="shared" si="15"/>
        <v/>
      </c>
    </row>
    <row r="88">
      <c r="A88" s="14" t="s">
        <v>286</v>
      </c>
      <c r="B88" s="74">
        <v>9.0</v>
      </c>
      <c r="C88" s="77" t="s">
        <v>619</v>
      </c>
      <c r="D88" s="35" t="s">
        <v>12779</v>
      </c>
      <c r="E88" s="51" t="s">
        <v>53</v>
      </c>
      <c r="F88" s="591"/>
      <c r="N88" s="721" t="str">
        <f t="shared" si="10"/>
        <v>kcullimore@le.utah.gov</v>
      </c>
      <c r="U88" t="str">
        <f t="shared" si="11"/>
        <v/>
      </c>
      <c r="V88" s="139" t="str">
        <f t="shared" si="12"/>
        <v/>
      </c>
      <c r="W88" t="str">
        <f t="shared" si="13"/>
        <v/>
      </c>
      <c r="X88" t="str">
        <f t="shared" si="14"/>
        <v/>
      </c>
      <c r="Y88" t="str">
        <f t="shared" si="15"/>
        <v/>
      </c>
    </row>
    <row r="89">
      <c r="A89" s="14" t="s">
        <v>286</v>
      </c>
      <c r="B89" s="74">
        <v>10.0</v>
      </c>
      <c r="C89" s="35" t="s">
        <v>279</v>
      </c>
      <c r="D89" s="35" t="s">
        <v>12784</v>
      </c>
      <c r="E89" s="51" t="s">
        <v>53</v>
      </c>
      <c r="F89" s="591"/>
      <c r="N89" s="721" t="str">
        <f t="shared" si="10"/>
        <v>lmccay@le.utah.gov</v>
      </c>
      <c r="U89" t="str">
        <f t="shared" si="11"/>
        <v/>
      </c>
      <c r="V89" s="139" t="str">
        <f t="shared" si="12"/>
        <v/>
      </c>
      <c r="W89" t="str">
        <f t="shared" si="13"/>
        <v/>
      </c>
      <c r="X89" t="str">
        <f t="shared" si="14"/>
        <v/>
      </c>
      <c r="Y89" t="str">
        <f t="shared" si="15"/>
        <v/>
      </c>
    </row>
    <row r="90">
      <c r="A90" s="14" t="s">
        <v>286</v>
      </c>
      <c r="B90" s="74">
        <v>11.0</v>
      </c>
      <c r="C90" s="77" t="s">
        <v>239</v>
      </c>
      <c r="D90" s="38" t="s">
        <v>12784</v>
      </c>
      <c r="E90" s="51" t="s">
        <v>53</v>
      </c>
      <c r="F90" s="591"/>
      <c r="N90" s="721" t="str">
        <f t="shared" si="10"/>
        <v>dmccay@le.utah.gov</v>
      </c>
      <c r="U90" t="str">
        <f t="shared" si="11"/>
        <v/>
      </c>
      <c r="V90" s="139" t="str">
        <f t="shared" si="12"/>
        <v/>
      </c>
      <c r="W90" t="str">
        <f t="shared" si="13"/>
        <v/>
      </c>
      <c r="X90" t="str">
        <f t="shared" si="14"/>
        <v/>
      </c>
      <c r="Y90" t="str">
        <f t="shared" si="15"/>
        <v/>
      </c>
    </row>
    <row r="91">
      <c r="A91" s="14" t="s">
        <v>286</v>
      </c>
      <c r="B91" s="35">
        <v>12.0</v>
      </c>
      <c r="C91" s="35" t="s">
        <v>552</v>
      </c>
      <c r="D91" s="35" t="s">
        <v>11600</v>
      </c>
      <c r="E91" s="51" t="s">
        <v>53</v>
      </c>
      <c r="F91" s="591"/>
      <c r="N91" s="721" t="str">
        <f t="shared" si="10"/>
        <v>dthatcher@le.utah.gov</v>
      </c>
      <c r="U91" t="str">
        <f t="shared" si="11"/>
        <v/>
      </c>
      <c r="V91" s="139" t="str">
        <f t="shared" si="12"/>
        <v/>
      </c>
      <c r="W91" t="str">
        <f t="shared" si="13"/>
        <v/>
      </c>
      <c r="X91" t="str">
        <f t="shared" si="14"/>
        <v/>
      </c>
      <c r="Y91" t="str">
        <f t="shared" si="15"/>
        <v/>
      </c>
    </row>
    <row r="92">
      <c r="A92" s="14" t="s">
        <v>286</v>
      </c>
      <c r="B92" s="74">
        <v>13.0</v>
      </c>
      <c r="C92" s="35" t="s">
        <v>3828</v>
      </c>
      <c r="D92" s="35" t="s">
        <v>12788</v>
      </c>
      <c r="E92" s="51" t="s">
        <v>53</v>
      </c>
      <c r="F92" s="591"/>
      <c r="N92" s="721" t="str">
        <f t="shared" si="10"/>
        <v>janderegg@le.utah.gov</v>
      </c>
      <c r="U92" t="str">
        <f t="shared" si="11"/>
        <v/>
      </c>
      <c r="V92" s="139" t="str">
        <f t="shared" si="12"/>
        <v/>
      </c>
      <c r="W92" t="str">
        <f t="shared" si="13"/>
        <v/>
      </c>
      <c r="X92" t="str">
        <f t="shared" si="14"/>
        <v/>
      </c>
      <c r="Y92" t="str">
        <f t="shared" si="15"/>
        <v/>
      </c>
    </row>
    <row r="93">
      <c r="A93" s="14" t="s">
        <v>286</v>
      </c>
      <c r="B93" s="74">
        <v>14.0</v>
      </c>
      <c r="C93" s="35" t="s">
        <v>552</v>
      </c>
      <c r="D93" s="35" t="s">
        <v>12789</v>
      </c>
      <c r="E93" s="51" t="s">
        <v>53</v>
      </c>
      <c r="F93" s="724" t="s">
        <v>1188</v>
      </c>
      <c r="N93" s="721" t="str">
        <f t="shared" si="10"/>
        <v>dhemmert@le.utah.gov</v>
      </c>
      <c r="U93" t="str">
        <f t="shared" si="11"/>
        <v>Senator</v>
      </c>
      <c r="V93" s="139" t="str">
        <f t="shared" si="12"/>
        <v>Daniel</v>
      </c>
      <c r="W93" t="str">
        <f t="shared" si="13"/>
        <v>Hemmert</v>
      </c>
      <c r="X93" t="str">
        <f t="shared" si="14"/>
        <v>dhemmert@le.utah.gov</v>
      </c>
      <c r="Y93" t="str">
        <f t="shared" si="15"/>
        <v>Majority Whip</v>
      </c>
    </row>
    <row r="94">
      <c r="A94" s="14" t="s">
        <v>286</v>
      </c>
      <c r="B94" s="35">
        <v>15.0</v>
      </c>
      <c r="C94" s="35" t="s">
        <v>3040</v>
      </c>
      <c r="D94" s="35" t="s">
        <v>12796</v>
      </c>
      <c r="E94" s="51" t="s">
        <v>53</v>
      </c>
      <c r="F94" s="591"/>
      <c r="N94" s="721" t="str">
        <f t="shared" si="10"/>
        <v>mdayton@le.utah.gov</v>
      </c>
      <c r="U94" t="str">
        <f t="shared" si="11"/>
        <v/>
      </c>
      <c r="V94" s="139" t="str">
        <f t="shared" si="12"/>
        <v/>
      </c>
      <c r="W94" t="str">
        <f t="shared" si="13"/>
        <v/>
      </c>
      <c r="X94" t="str">
        <f t="shared" si="14"/>
        <v/>
      </c>
      <c r="Y94" t="str">
        <f t="shared" si="15"/>
        <v/>
      </c>
    </row>
    <row r="95">
      <c r="A95" s="14" t="s">
        <v>286</v>
      </c>
      <c r="B95" s="35">
        <v>16.0</v>
      </c>
      <c r="C95" s="35" t="s">
        <v>4657</v>
      </c>
      <c r="D95" s="35" t="s">
        <v>12798</v>
      </c>
      <c r="E95" s="51" t="s">
        <v>53</v>
      </c>
      <c r="F95" s="591"/>
      <c r="N95" s="721" t="str">
        <f t="shared" si="10"/>
        <v>cbramble@le.utah.gov</v>
      </c>
      <c r="U95" t="str">
        <f t="shared" si="11"/>
        <v/>
      </c>
      <c r="V95" s="139" t="str">
        <f t="shared" si="12"/>
        <v/>
      </c>
      <c r="W95" t="str">
        <f t="shared" si="13"/>
        <v/>
      </c>
      <c r="X95" t="str">
        <f t="shared" si="14"/>
        <v/>
      </c>
      <c r="Y95" t="str">
        <f t="shared" si="15"/>
        <v/>
      </c>
    </row>
    <row r="96">
      <c r="A96" s="14" t="s">
        <v>286</v>
      </c>
      <c r="B96" s="74">
        <v>17.0</v>
      </c>
      <c r="C96" s="77" t="s">
        <v>45</v>
      </c>
      <c r="D96" s="35" t="s">
        <v>12802</v>
      </c>
      <c r="E96" s="51" t="s">
        <v>53</v>
      </c>
      <c r="F96" s="563"/>
      <c r="N96" s="721" t="str">
        <f t="shared" si="10"/>
        <v>ssandall@le.utah.gov</v>
      </c>
      <c r="U96" t="str">
        <f t="shared" si="11"/>
        <v/>
      </c>
      <c r="V96" s="139" t="str">
        <f t="shared" si="12"/>
        <v/>
      </c>
      <c r="W96" t="str">
        <f t="shared" si="13"/>
        <v/>
      </c>
      <c r="X96" t="str">
        <f t="shared" si="14"/>
        <v/>
      </c>
      <c r="Y96" t="str">
        <f t="shared" si="15"/>
        <v/>
      </c>
    </row>
    <row r="97">
      <c r="A97" s="14" t="s">
        <v>286</v>
      </c>
      <c r="B97" s="74">
        <v>18.0</v>
      </c>
      <c r="C97" s="35" t="s">
        <v>1375</v>
      </c>
      <c r="D97" s="35" t="s">
        <v>12803</v>
      </c>
      <c r="E97" s="51" t="s">
        <v>53</v>
      </c>
      <c r="F97" s="567" t="s">
        <v>1693</v>
      </c>
      <c r="N97" s="721" t="str">
        <f t="shared" si="10"/>
        <v>amillner@le.utah.gov</v>
      </c>
      <c r="U97" t="str">
        <f t="shared" si="11"/>
        <v>Senator</v>
      </c>
      <c r="V97" s="139" t="str">
        <f t="shared" si="12"/>
        <v>Ann</v>
      </c>
      <c r="W97" t="str">
        <f t="shared" si="13"/>
        <v>Millner</v>
      </c>
      <c r="X97" t="str">
        <f t="shared" si="14"/>
        <v>amillner@le.utah.gov</v>
      </c>
      <c r="Y97" t="str">
        <f t="shared" si="15"/>
        <v>Assistant Majority Whip</v>
      </c>
    </row>
    <row r="98">
      <c r="A98" s="14" t="s">
        <v>286</v>
      </c>
      <c r="B98" s="35">
        <v>19.0</v>
      </c>
      <c r="C98" s="35" t="s">
        <v>241</v>
      </c>
      <c r="D98" s="35" t="s">
        <v>3972</v>
      </c>
      <c r="E98" s="51" t="s">
        <v>53</v>
      </c>
      <c r="F98" s="563"/>
      <c r="N98" s="721" t="str">
        <f t="shared" si="10"/>
        <v>achristensen@le.utah.gov</v>
      </c>
      <c r="U98" t="str">
        <f t="shared" si="11"/>
        <v/>
      </c>
      <c r="V98" s="139" t="str">
        <f t="shared" si="12"/>
        <v/>
      </c>
      <c r="W98" t="str">
        <f t="shared" si="13"/>
        <v/>
      </c>
      <c r="X98" t="str">
        <f t="shared" si="14"/>
        <v/>
      </c>
      <c r="Y98" t="str">
        <f t="shared" si="15"/>
        <v/>
      </c>
    </row>
    <row r="99">
      <c r="A99" s="14" t="s">
        <v>286</v>
      </c>
      <c r="B99" s="35">
        <v>20.0</v>
      </c>
      <c r="C99" s="35" t="s">
        <v>3396</v>
      </c>
      <c r="D99" s="35" t="s">
        <v>12817</v>
      </c>
      <c r="E99" s="51" t="s">
        <v>53</v>
      </c>
      <c r="F99" s="591"/>
      <c r="N99" s="721" t="str">
        <f t="shared" si="10"/>
        <v>gbuxton@le.utah.gov</v>
      </c>
      <c r="U99" t="str">
        <f t="shared" si="11"/>
        <v/>
      </c>
      <c r="V99" s="139" t="str">
        <f t="shared" si="12"/>
        <v/>
      </c>
      <c r="W99" t="str">
        <f t="shared" si="13"/>
        <v/>
      </c>
      <c r="X99" t="str">
        <f t="shared" si="14"/>
        <v/>
      </c>
      <c r="Y99" t="str">
        <f t="shared" si="15"/>
        <v/>
      </c>
    </row>
    <row r="100">
      <c r="A100" s="14" t="s">
        <v>286</v>
      </c>
      <c r="B100" s="35">
        <v>21.0</v>
      </c>
      <c r="C100" s="35" t="s">
        <v>2105</v>
      </c>
      <c r="D100" s="35" t="s">
        <v>2870</v>
      </c>
      <c r="E100" s="51" t="s">
        <v>53</v>
      </c>
      <c r="F100" s="591"/>
      <c r="N100" s="721" t="str">
        <f t="shared" si="10"/>
        <v>jstevenson@le.utah.gov</v>
      </c>
      <c r="U100" t="str">
        <f t="shared" si="11"/>
        <v/>
      </c>
      <c r="V100" s="139" t="str">
        <f t="shared" si="12"/>
        <v/>
      </c>
      <c r="W100" t="str">
        <f t="shared" si="13"/>
        <v/>
      </c>
      <c r="X100" t="str">
        <f t="shared" si="14"/>
        <v/>
      </c>
      <c r="Y100" t="str">
        <f t="shared" si="15"/>
        <v/>
      </c>
    </row>
    <row r="101">
      <c r="A101" s="14" t="s">
        <v>286</v>
      </c>
      <c r="B101" s="35">
        <v>22.0</v>
      </c>
      <c r="C101" s="35" t="s">
        <v>4471</v>
      </c>
      <c r="D101" s="35" t="s">
        <v>5375</v>
      </c>
      <c r="E101" s="51" t="s">
        <v>53</v>
      </c>
      <c r="F101" s="724" t="s">
        <v>1156</v>
      </c>
      <c r="N101" s="721" t="str">
        <f t="shared" si="10"/>
        <v>sadams@le.utah.gov</v>
      </c>
      <c r="U101" t="str">
        <f t="shared" si="11"/>
        <v>Senator</v>
      </c>
      <c r="V101" s="139" t="str">
        <f t="shared" si="12"/>
        <v>Stuart</v>
      </c>
      <c r="W101" t="str">
        <f t="shared" si="13"/>
        <v>Adams</v>
      </c>
      <c r="X101" t="str">
        <f t="shared" si="14"/>
        <v>sadams@le.utah.gov</v>
      </c>
      <c r="Y101" t="str">
        <f t="shared" si="15"/>
        <v>President</v>
      </c>
    </row>
    <row r="102">
      <c r="A102" s="14" t="s">
        <v>286</v>
      </c>
      <c r="B102" s="35">
        <v>23.0</v>
      </c>
      <c r="C102" s="35" t="s">
        <v>1974</v>
      </c>
      <c r="D102" s="35" t="s">
        <v>12822</v>
      </c>
      <c r="E102" s="51" t="s">
        <v>53</v>
      </c>
      <c r="F102" s="591"/>
      <c r="G102" s="14" t="s">
        <v>877</v>
      </c>
      <c r="N102" s="721" t="str">
        <f t="shared" si="10"/>
        <v>tweiler@le.utah.gov</v>
      </c>
      <c r="U102" t="str">
        <f t="shared" si="11"/>
        <v>Senator</v>
      </c>
      <c r="V102" s="139" t="str">
        <f t="shared" si="12"/>
        <v>Todd</v>
      </c>
      <c r="W102" t="str">
        <f t="shared" si="13"/>
        <v>Weiler</v>
      </c>
      <c r="X102" t="str">
        <f t="shared" si="14"/>
        <v>tweiler@le.utah.gov</v>
      </c>
      <c r="Y102" t="str">
        <f t="shared" si="15"/>
        <v>Judiciary (Chair)</v>
      </c>
    </row>
    <row r="103">
      <c r="A103" s="14" t="s">
        <v>286</v>
      </c>
      <c r="B103" s="35">
        <v>24.0</v>
      </c>
      <c r="C103" s="35" t="s">
        <v>588</v>
      </c>
      <c r="D103" s="35" t="s">
        <v>12828</v>
      </c>
      <c r="E103" s="51" t="s">
        <v>53</v>
      </c>
      <c r="F103" s="563"/>
      <c r="N103" s="721" t="str">
        <f t="shared" si="10"/>
        <v>rokerlund@le.utah.gov</v>
      </c>
      <c r="U103" t="str">
        <f t="shared" si="11"/>
        <v/>
      </c>
      <c r="V103" s="139" t="str">
        <f t="shared" si="12"/>
        <v/>
      </c>
      <c r="W103" t="str">
        <f t="shared" si="13"/>
        <v/>
      </c>
      <c r="X103" t="str">
        <f t="shared" si="14"/>
        <v/>
      </c>
      <c r="Y103" t="str">
        <f t="shared" si="15"/>
        <v/>
      </c>
    </row>
    <row r="104">
      <c r="A104" s="14" t="s">
        <v>286</v>
      </c>
      <c r="B104" s="35">
        <v>25.0</v>
      </c>
      <c r="C104" s="35" t="s">
        <v>11663</v>
      </c>
      <c r="D104" s="35" t="s">
        <v>12834</v>
      </c>
      <c r="E104" s="51" t="s">
        <v>53</v>
      </c>
      <c r="F104" s="563"/>
      <c r="N104" s="721" t="str">
        <f t="shared" si="10"/>
        <v>lhillyard@le.utah.gov</v>
      </c>
      <c r="U104" t="str">
        <f t="shared" si="11"/>
        <v/>
      </c>
      <c r="V104" s="139" t="str">
        <f t="shared" si="12"/>
        <v/>
      </c>
      <c r="W104" t="str">
        <f t="shared" si="13"/>
        <v/>
      </c>
      <c r="X104" t="str">
        <f t="shared" si="14"/>
        <v/>
      </c>
      <c r="Y104" t="str">
        <f t="shared" si="15"/>
        <v/>
      </c>
    </row>
    <row r="105">
      <c r="A105" s="14" t="s">
        <v>286</v>
      </c>
      <c r="B105" s="35">
        <v>26.0</v>
      </c>
      <c r="C105" s="77" t="s">
        <v>393</v>
      </c>
      <c r="D105" s="35" t="s">
        <v>12840</v>
      </c>
      <c r="E105" s="51" t="s">
        <v>53</v>
      </c>
      <c r="F105" s="563"/>
      <c r="N105" s="721" t="str">
        <f t="shared" si="10"/>
        <v>rwinterton@le.utah.gov</v>
      </c>
      <c r="U105" t="str">
        <f t="shared" si="11"/>
        <v/>
      </c>
      <c r="V105" s="139" t="str">
        <f t="shared" si="12"/>
        <v/>
      </c>
      <c r="W105" t="str">
        <f t="shared" si="13"/>
        <v/>
      </c>
      <c r="X105" t="str">
        <f t="shared" si="14"/>
        <v/>
      </c>
      <c r="Y105" t="str">
        <f t="shared" si="15"/>
        <v/>
      </c>
    </row>
    <row r="106">
      <c r="A106" s="14" t="s">
        <v>286</v>
      </c>
      <c r="B106" s="35">
        <v>27.0</v>
      </c>
      <c r="C106" s="35" t="s">
        <v>108</v>
      </c>
      <c r="D106" s="35" t="s">
        <v>12845</v>
      </c>
      <c r="E106" s="51" t="s">
        <v>53</v>
      </c>
      <c r="F106" s="563"/>
      <c r="N106" s="721" t="str">
        <f t="shared" si="10"/>
        <v>dhinkins@le.utah.gov</v>
      </c>
      <c r="U106" t="str">
        <f t="shared" si="11"/>
        <v/>
      </c>
      <c r="V106" s="139" t="str">
        <f t="shared" si="12"/>
        <v/>
      </c>
      <c r="W106" t="str">
        <f t="shared" si="13"/>
        <v/>
      </c>
      <c r="X106" t="str">
        <f t="shared" si="14"/>
        <v/>
      </c>
      <c r="Y106" t="str">
        <f t="shared" si="15"/>
        <v/>
      </c>
    </row>
    <row r="107">
      <c r="A107" s="14" t="s">
        <v>286</v>
      </c>
      <c r="B107" s="35">
        <v>28.0</v>
      </c>
      <c r="C107" s="35" t="s">
        <v>1541</v>
      </c>
      <c r="D107" s="35" t="s">
        <v>12854</v>
      </c>
      <c r="E107" s="51" t="s">
        <v>53</v>
      </c>
      <c r="F107" s="567" t="s">
        <v>176</v>
      </c>
      <c r="N107" s="721" t="str">
        <f t="shared" si="10"/>
        <v>evickers@le.utah.gov</v>
      </c>
      <c r="U107" t="str">
        <f t="shared" si="11"/>
        <v>Senator</v>
      </c>
      <c r="V107" s="139" t="str">
        <f t="shared" si="12"/>
        <v>Evan</v>
      </c>
      <c r="W107" t="str">
        <f t="shared" si="13"/>
        <v>Vickers</v>
      </c>
      <c r="X107" t="str">
        <f t="shared" si="14"/>
        <v>evickers@le.utah.gov</v>
      </c>
      <c r="Y107" t="str">
        <f t="shared" si="15"/>
        <v>Majority Leader</v>
      </c>
    </row>
    <row r="108">
      <c r="A108" s="14" t="s">
        <v>286</v>
      </c>
      <c r="B108" s="35">
        <v>29.0</v>
      </c>
      <c r="C108" s="35" t="s">
        <v>428</v>
      </c>
      <c r="D108" s="35" t="s">
        <v>12859</v>
      </c>
      <c r="E108" s="98" t="s">
        <v>53</v>
      </c>
      <c r="F108" s="591"/>
      <c r="N108" s="721" t="str">
        <f t="shared" si="10"/>
        <v>dipson@le.utah.gov</v>
      </c>
      <c r="U108" t="str">
        <f t="shared" si="11"/>
        <v/>
      </c>
      <c r="V108" s="139" t="str">
        <f t="shared" si="12"/>
        <v/>
      </c>
      <c r="W108" t="str">
        <f t="shared" si="13"/>
        <v/>
      </c>
      <c r="X108" t="str">
        <f t="shared" si="14"/>
        <v/>
      </c>
      <c r="Y108" t="str">
        <f t="shared" si="15"/>
        <v/>
      </c>
    </row>
    <row r="109">
      <c r="A109" s="70"/>
      <c r="B109" s="71"/>
      <c r="C109" s="71"/>
      <c r="D109" s="71"/>
      <c r="E109" s="70"/>
      <c r="F109" s="417"/>
      <c r="G109" s="70"/>
      <c r="H109" s="70"/>
      <c r="I109" s="70"/>
      <c r="J109" s="70"/>
      <c r="K109" s="70"/>
      <c r="L109" s="70"/>
      <c r="M109" s="70"/>
      <c r="N109" s="729"/>
      <c r="O109" s="70"/>
      <c r="P109" s="70"/>
      <c r="Q109" s="70"/>
      <c r="R109" s="70"/>
      <c r="S109" s="70"/>
      <c r="T109" s="70"/>
      <c r="U109" s="730"/>
      <c r="V109" s="70"/>
      <c r="W109" s="70"/>
      <c r="X109" s="70"/>
      <c r="Y109" s="70"/>
      <c r="Z109" s="70"/>
      <c r="AA109" s="70"/>
      <c r="AB109" s="70"/>
      <c r="AC109" s="70"/>
      <c r="AD109" s="70"/>
      <c r="AE109" s="70"/>
      <c r="AF109" s="70"/>
      <c r="AG109" s="70"/>
      <c r="AH109" s="70"/>
      <c r="AI109" s="70"/>
    </row>
    <row r="110">
      <c r="A110" s="14" t="s">
        <v>421</v>
      </c>
      <c r="B110" s="139"/>
      <c r="C110" s="77" t="s">
        <v>199</v>
      </c>
      <c r="D110" s="77" t="s">
        <v>12860</v>
      </c>
      <c r="E110" s="51" t="s">
        <v>53</v>
      </c>
      <c r="F110" s="426"/>
      <c r="M110" s="14" t="s">
        <v>12862</v>
      </c>
      <c r="N110" s="721"/>
      <c r="U110" s="732"/>
    </row>
    <row r="111">
      <c r="A111" s="70"/>
      <c r="B111" s="71"/>
      <c r="C111" s="71"/>
      <c r="D111" s="71"/>
      <c r="E111" s="70"/>
      <c r="F111" s="417"/>
      <c r="G111" s="70"/>
      <c r="H111" s="70"/>
      <c r="I111" s="70"/>
      <c r="J111" s="70"/>
      <c r="K111" s="70"/>
      <c r="L111" s="70"/>
      <c r="M111" s="70"/>
      <c r="N111" s="729"/>
      <c r="O111" s="70"/>
      <c r="P111" s="70"/>
      <c r="Q111" s="70"/>
      <c r="R111" s="70"/>
      <c r="S111" s="70"/>
      <c r="T111" s="70"/>
      <c r="U111" s="730"/>
      <c r="V111" s="70"/>
      <c r="W111" s="70"/>
      <c r="X111" s="70"/>
      <c r="Y111" s="70"/>
      <c r="Z111" s="70"/>
      <c r="AA111" s="70"/>
      <c r="AB111" s="70"/>
      <c r="AC111" s="70"/>
      <c r="AD111" s="70"/>
      <c r="AE111" s="70"/>
      <c r="AF111" s="70"/>
      <c r="AG111" s="70"/>
      <c r="AH111" s="70"/>
      <c r="AI111" s="70"/>
    </row>
    <row r="112">
      <c r="A112" s="14" t="s">
        <v>427</v>
      </c>
      <c r="B112" s="77">
        <v>1.0</v>
      </c>
      <c r="C112" s="77" t="s">
        <v>1476</v>
      </c>
      <c r="D112" s="77" t="s">
        <v>302</v>
      </c>
      <c r="E112" s="51" t="s">
        <v>53</v>
      </c>
      <c r="F112" s="426"/>
      <c r="M112" s="733" t="s">
        <v>12863</v>
      </c>
      <c r="N112" s="721"/>
      <c r="U112" s="732"/>
    </row>
    <row r="113">
      <c r="A113" s="14" t="s">
        <v>427</v>
      </c>
      <c r="B113" s="77">
        <v>2.0</v>
      </c>
      <c r="C113" s="77" t="s">
        <v>173</v>
      </c>
      <c r="D113" s="77" t="s">
        <v>3220</v>
      </c>
      <c r="E113" s="51" t="s">
        <v>53</v>
      </c>
      <c r="F113" s="426"/>
      <c r="N113" s="721"/>
      <c r="U113" s="732"/>
    </row>
    <row r="114">
      <c r="A114" s="14" t="s">
        <v>427</v>
      </c>
      <c r="B114" s="77">
        <v>3.0</v>
      </c>
      <c r="C114" s="77" t="s">
        <v>278</v>
      </c>
      <c r="D114" s="77" t="s">
        <v>4099</v>
      </c>
      <c r="E114" s="51" t="s">
        <v>53</v>
      </c>
      <c r="F114" s="426"/>
      <c r="M114" s="734" t="s">
        <v>12867</v>
      </c>
      <c r="N114" s="721"/>
      <c r="U114" s="732"/>
    </row>
    <row r="115">
      <c r="A115" s="14" t="s">
        <v>427</v>
      </c>
      <c r="B115" s="77">
        <v>4.0</v>
      </c>
      <c r="C115" s="77" t="s">
        <v>195</v>
      </c>
      <c r="D115" s="77" t="s">
        <v>12868</v>
      </c>
      <c r="E115" s="36" t="s">
        <v>49</v>
      </c>
      <c r="F115" s="426"/>
      <c r="M115" s="735" t="s">
        <v>12869</v>
      </c>
      <c r="N115" s="721"/>
      <c r="U115" s="732"/>
    </row>
    <row r="116">
      <c r="A116" s="70"/>
      <c r="B116" s="71"/>
      <c r="C116" s="71"/>
      <c r="D116" s="71"/>
      <c r="E116" s="70"/>
      <c r="F116" s="417"/>
      <c r="G116" s="70"/>
      <c r="H116" s="70"/>
      <c r="I116" s="70"/>
      <c r="J116" s="70"/>
      <c r="K116" s="70"/>
      <c r="L116" s="70"/>
      <c r="M116" s="70"/>
      <c r="N116" s="729"/>
      <c r="O116" s="70"/>
      <c r="P116" s="70"/>
      <c r="Q116" s="70"/>
      <c r="R116" s="70"/>
      <c r="S116" s="70"/>
      <c r="T116" s="70"/>
      <c r="U116" s="730"/>
      <c r="V116" s="70"/>
      <c r="W116" s="70"/>
      <c r="X116" s="70"/>
      <c r="Y116" s="70"/>
      <c r="Z116" s="70"/>
      <c r="AA116" s="70"/>
      <c r="AB116" s="70"/>
      <c r="AC116" s="70"/>
      <c r="AD116" s="70"/>
      <c r="AE116" s="70"/>
      <c r="AF116" s="70"/>
      <c r="AG116" s="70"/>
      <c r="AH116" s="70"/>
      <c r="AI116" s="70"/>
    </row>
    <row r="117">
      <c r="A117" s="14" t="s">
        <v>430</v>
      </c>
      <c r="B117" s="77" t="s">
        <v>431</v>
      </c>
      <c r="C117" s="77" t="s">
        <v>157</v>
      </c>
      <c r="D117" s="77" t="s">
        <v>629</v>
      </c>
      <c r="E117" s="51" t="s">
        <v>53</v>
      </c>
      <c r="F117" s="426"/>
      <c r="M117" s="736" t="s">
        <v>12870</v>
      </c>
      <c r="N117" s="721"/>
      <c r="U117" s="732"/>
    </row>
    <row r="118">
      <c r="A118" s="14" t="s">
        <v>430</v>
      </c>
      <c r="B118" s="77" t="s">
        <v>434</v>
      </c>
      <c r="C118" s="77" t="s">
        <v>12874</v>
      </c>
      <c r="D118" s="77" t="s">
        <v>12875</v>
      </c>
      <c r="E118" s="51" t="s">
        <v>53</v>
      </c>
      <c r="F118" s="426"/>
      <c r="M118" s="737" t="s">
        <v>12876</v>
      </c>
      <c r="N118" s="721"/>
      <c r="U118" s="732"/>
    </row>
    <row r="119">
      <c r="A119" s="70"/>
      <c r="B119" s="71"/>
      <c r="C119" s="71"/>
      <c r="D119" s="71"/>
      <c r="E119" s="70"/>
      <c r="F119" s="417"/>
      <c r="G119" s="70"/>
      <c r="H119" s="70"/>
      <c r="I119" s="70"/>
      <c r="J119" s="70"/>
      <c r="K119" s="70"/>
      <c r="L119" s="70"/>
      <c r="M119" s="70"/>
      <c r="N119" s="729"/>
      <c r="O119" s="70"/>
      <c r="P119" s="70"/>
      <c r="Q119" s="70"/>
      <c r="R119" s="70"/>
      <c r="S119" s="70"/>
      <c r="T119" s="70"/>
      <c r="U119" s="730"/>
      <c r="V119" s="70"/>
      <c r="W119" s="70"/>
      <c r="X119" s="70"/>
      <c r="Y119" s="70"/>
      <c r="Z119" s="70"/>
      <c r="AA119" s="70"/>
      <c r="AB119" s="70"/>
      <c r="AC119" s="70"/>
      <c r="AD119" s="70"/>
      <c r="AE119" s="70"/>
      <c r="AF119" s="70"/>
      <c r="AG119" s="70"/>
      <c r="AH119" s="70"/>
      <c r="AI119" s="70"/>
    </row>
    <row r="120">
      <c r="A120" s="14" t="s">
        <v>438</v>
      </c>
      <c r="B120" s="139"/>
      <c r="C120" s="77" t="s">
        <v>1276</v>
      </c>
      <c r="D120" s="77" t="s">
        <v>1692</v>
      </c>
      <c r="E120" s="51" t="s">
        <v>53</v>
      </c>
      <c r="F120" s="426"/>
      <c r="N120" s="721"/>
      <c r="U120" s="732"/>
    </row>
    <row r="121">
      <c r="A121" s="70"/>
      <c r="B121" s="71"/>
      <c r="C121" s="71"/>
      <c r="D121" s="71"/>
      <c r="E121" s="70"/>
      <c r="F121" s="417"/>
      <c r="G121" s="70"/>
      <c r="H121" s="70"/>
      <c r="I121" s="70"/>
      <c r="J121" s="70"/>
      <c r="K121" s="70"/>
      <c r="L121" s="70"/>
      <c r="M121" s="70"/>
      <c r="N121" s="729"/>
      <c r="O121" s="70"/>
      <c r="P121" s="70"/>
      <c r="Q121" s="70"/>
      <c r="R121" s="70"/>
      <c r="S121" s="70"/>
      <c r="T121" s="70"/>
      <c r="U121" s="730"/>
      <c r="V121" s="70"/>
      <c r="W121" s="70"/>
      <c r="X121" s="70"/>
      <c r="Y121" s="70"/>
      <c r="Z121" s="70"/>
      <c r="AA121" s="70"/>
      <c r="AB121" s="70"/>
      <c r="AC121" s="70"/>
      <c r="AD121" s="70"/>
      <c r="AE121" s="70"/>
      <c r="AF121" s="70"/>
      <c r="AG121" s="70"/>
      <c r="AH121" s="70"/>
      <c r="AI121" s="70"/>
    </row>
    <row r="122">
      <c r="B122" s="139"/>
      <c r="C122" s="139"/>
      <c r="D122" s="139"/>
      <c r="F122" s="426"/>
      <c r="N122" s="721"/>
      <c r="U122" s="732"/>
    </row>
    <row r="123">
      <c r="B123" s="139"/>
      <c r="C123" s="139"/>
      <c r="D123" s="139"/>
      <c r="F123" s="426"/>
      <c r="N123" s="721"/>
      <c r="U123" s="732"/>
    </row>
    <row r="124">
      <c r="B124" s="139"/>
      <c r="C124" s="139"/>
      <c r="D124" s="139"/>
      <c r="F124" s="426"/>
      <c r="N124" s="721"/>
      <c r="U124" s="732"/>
    </row>
    <row r="125">
      <c r="B125" s="139"/>
      <c r="C125" s="139"/>
      <c r="D125" s="139"/>
      <c r="F125" s="426"/>
      <c r="N125" s="721"/>
      <c r="U125" s="732"/>
    </row>
    <row r="126">
      <c r="B126" s="139"/>
      <c r="C126" s="139"/>
      <c r="D126" s="139"/>
      <c r="F126" s="426"/>
      <c r="N126" s="721"/>
      <c r="U126" s="732"/>
    </row>
    <row r="127">
      <c r="B127" s="139"/>
      <c r="C127" s="139"/>
      <c r="D127" s="139"/>
      <c r="F127" s="426"/>
      <c r="N127" s="721"/>
      <c r="U127" s="732"/>
    </row>
    <row r="128">
      <c r="B128" s="139"/>
      <c r="C128" s="139"/>
      <c r="D128" s="139"/>
      <c r="F128" s="426"/>
      <c r="N128" s="721"/>
      <c r="U128" s="732"/>
    </row>
    <row r="129">
      <c r="B129" s="139"/>
      <c r="C129" s="139"/>
      <c r="D129" s="139"/>
      <c r="F129" s="426"/>
      <c r="N129" s="721"/>
      <c r="U129" s="732"/>
    </row>
    <row r="130">
      <c r="B130" s="139"/>
      <c r="C130" s="139"/>
      <c r="D130" s="139"/>
      <c r="F130" s="426"/>
      <c r="N130" s="721"/>
      <c r="U130" s="732"/>
    </row>
    <row r="131">
      <c r="B131" s="139"/>
      <c r="C131" s="139"/>
      <c r="D131" s="139"/>
      <c r="F131" s="426"/>
      <c r="N131" s="721"/>
      <c r="U131" s="732"/>
    </row>
    <row r="132">
      <c r="B132" s="139"/>
      <c r="C132" s="139"/>
      <c r="D132" s="139"/>
      <c r="F132" s="426"/>
      <c r="N132" s="721"/>
      <c r="U132" s="732"/>
    </row>
    <row r="133">
      <c r="B133" s="139"/>
      <c r="C133" s="139"/>
      <c r="D133" s="139"/>
      <c r="F133" s="426"/>
      <c r="N133" s="721"/>
      <c r="U133" s="732"/>
    </row>
    <row r="134">
      <c r="B134" s="139"/>
      <c r="C134" s="139"/>
      <c r="D134" s="139"/>
      <c r="F134" s="426"/>
      <c r="N134" s="721"/>
      <c r="U134" s="732"/>
    </row>
    <row r="135">
      <c r="B135" s="139"/>
      <c r="C135" s="139"/>
      <c r="D135" s="139"/>
      <c r="F135" s="426"/>
      <c r="N135" s="721"/>
      <c r="U135" s="732"/>
    </row>
    <row r="136">
      <c r="B136" s="139"/>
      <c r="C136" s="139"/>
      <c r="D136" s="139"/>
      <c r="F136" s="426"/>
      <c r="N136" s="721"/>
      <c r="U136" s="732"/>
    </row>
    <row r="137">
      <c r="B137" s="139"/>
      <c r="C137" s="139"/>
      <c r="D137" s="139"/>
      <c r="F137" s="426"/>
      <c r="N137" s="721"/>
      <c r="U137" s="732"/>
    </row>
    <row r="138">
      <c r="B138" s="139"/>
      <c r="C138" s="139"/>
      <c r="D138" s="139"/>
      <c r="F138" s="426"/>
      <c r="N138" s="721"/>
      <c r="U138" s="732"/>
    </row>
    <row r="139">
      <c r="B139" s="139"/>
      <c r="C139" s="139"/>
      <c r="D139" s="139"/>
      <c r="F139" s="426"/>
      <c r="N139" s="721"/>
      <c r="U139" s="732"/>
    </row>
    <row r="140">
      <c r="B140" s="139"/>
      <c r="C140" s="139"/>
      <c r="D140" s="139"/>
      <c r="F140" s="426"/>
      <c r="N140" s="721"/>
      <c r="U140" s="732"/>
    </row>
    <row r="141">
      <c r="B141" s="139"/>
      <c r="C141" s="139"/>
      <c r="D141" s="139"/>
      <c r="F141" s="426"/>
      <c r="N141" s="721"/>
      <c r="U141" s="732"/>
    </row>
    <row r="142">
      <c r="B142" s="139"/>
      <c r="C142" s="139"/>
      <c r="D142" s="139"/>
      <c r="F142" s="426"/>
      <c r="N142" s="721"/>
      <c r="U142" s="732"/>
    </row>
    <row r="143">
      <c r="B143" s="139"/>
      <c r="C143" s="139"/>
      <c r="D143" s="139"/>
      <c r="F143" s="426"/>
      <c r="N143" s="721"/>
      <c r="U143" s="732"/>
    </row>
    <row r="144">
      <c r="B144" s="139"/>
      <c r="C144" s="139"/>
      <c r="D144" s="139"/>
      <c r="F144" s="426"/>
      <c r="N144" s="721"/>
      <c r="U144" s="732"/>
    </row>
    <row r="145">
      <c r="B145" s="139"/>
      <c r="C145" s="139"/>
      <c r="D145" s="139"/>
      <c r="F145" s="426"/>
      <c r="N145" s="721"/>
      <c r="U145" s="732"/>
    </row>
    <row r="146">
      <c r="B146" s="139"/>
      <c r="C146" s="139"/>
      <c r="D146" s="139"/>
      <c r="F146" s="426"/>
      <c r="N146" s="721"/>
      <c r="U146" s="732"/>
    </row>
    <row r="147">
      <c r="B147" s="139"/>
      <c r="C147" s="139"/>
      <c r="D147" s="139"/>
      <c r="F147" s="426"/>
      <c r="N147" s="721"/>
      <c r="U147" s="732"/>
    </row>
    <row r="148">
      <c r="B148" s="139"/>
      <c r="C148" s="139"/>
      <c r="D148" s="139"/>
      <c r="F148" s="426"/>
      <c r="N148" s="721"/>
      <c r="U148" s="732"/>
    </row>
    <row r="149">
      <c r="B149" s="139"/>
      <c r="C149" s="139"/>
      <c r="D149" s="139"/>
      <c r="F149" s="426"/>
      <c r="N149" s="721"/>
      <c r="U149" s="732"/>
    </row>
    <row r="150">
      <c r="B150" s="139"/>
      <c r="C150" s="139"/>
      <c r="D150" s="139"/>
      <c r="F150" s="426"/>
      <c r="N150" s="721"/>
      <c r="U150" s="732"/>
    </row>
    <row r="151">
      <c r="B151" s="139"/>
      <c r="C151" s="139"/>
      <c r="D151" s="139"/>
      <c r="F151" s="426"/>
      <c r="N151" s="721"/>
      <c r="U151" s="732"/>
    </row>
    <row r="152">
      <c r="B152" s="139"/>
      <c r="C152" s="139"/>
      <c r="D152" s="139"/>
      <c r="F152" s="426"/>
      <c r="N152" s="721"/>
      <c r="U152" s="732"/>
    </row>
    <row r="153">
      <c r="B153" s="139"/>
      <c r="C153" s="139"/>
      <c r="D153" s="139"/>
      <c r="F153" s="426"/>
      <c r="N153" s="721"/>
      <c r="U153" s="732"/>
    </row>
    <row r="154">
      <c r="B154" s="139"/>
      <c r="C154" s="139"/>
      <c r="D154" s="139"/>
      <c r="F154" s="426"/>
      <c r="N154" s="721"/>
      <c r="U154" s="732"/>
    </row>
    <row r="155">
      <c r="B155" s="139"/>
      <c r="C155" s="139"/>
      <c r="D155" s="139"/>
      <c r="F155" s="426"/>
      <c r="N155" s="721"/>
      <c r="U155" s="732"/>
    </row>
    <row r="156">
      <c r="B156" s="139"/>
      <c r="C156" s="139"/>
      <c r="D156" s="139"/>
      <c r="F156" s="426"/>
      <c r="N156" s="721"/>
      <c r="U156" s="732"/>
    </row>
    <row r="157">
      <c r="B157" s="139"/>
      <c r="C157" s="139"/>
      <c r="D157" s="139"/>
      <c r="F157" s="426"/>
      <c r="N157" s="721"/>
      <c r="U157" s="732"/>
    </row>
    <row r="158">
      <c r="B158" s="139"/>
      <c r="C158" s="139"/>
      <c r="D158" s="139"/>
      <c r="F158" s="426"/>
      <c r="N158" s="721"/>
      <c r="U158" s="732"/>
    </row>
    <row r="159">
      <c r="B159" s="139"/>
      <c r="C159" s="139"/>
      <c r="D159" s="139"/>
      <c r="F159" s="426"/>
      <c r="N159" s="721"/>
      <c r="U159" s="732"/>
    </row>
    <row r="160">
      <c r="B160" s="139"/>
      <c r="C160" s="139"/>
      <c r="D160" s="139"/>
      <c r="F160" s="426"/>
      <c r="N160" s="721"/>
      <c r="U160" s="732"/>
    </row>
    <row r="161">
      <c r="B161" s="139"/>
      <c r="C161" s="139"/>
      <c r="D161" s="139"/>
      <c r="F161" s="426"/>
      <c r="N161" s="721"/>
      <c r="U161" s="732"/>
    </row>
    <row r="162">
      <c r="B162" s="139"/>
      <c r="C162" s="139"/>
      <c r="D162" s="139"/>
      <c r="F162" s="426"/>
      <c r="N162" s="721"/>
      <c r="U162" s="732"/>
    </row>
    <row r="163">
      <c r="B163" s="139"/>
      <c r="C163" s="139"/>
      <c r="D163" s="139"/>
      <c r="F163" s="426"/>
      <c r="N163" s="721"/>
      <c r="U163" s="732"/>
    </row>
    <row r="164">
      <c r="B164" s="139"/>
      <c r="C164" s="139"/>
      <c r="D164" s="139"/>
      <c r="F164" s="426"/>
      <c r="N164" s="721"/>
      <c r="U164" s="732"/>
    </row>
    <row r="165">
      <c r="B165" s="139"/>
      <c r="C165" s="139"/>
      <c r="D165" s="139"/>
      <c r="F165" s="426"/>
      <c r="N165" s="721"/>
      <c r="U165" s="732"/>
    </row>
    <row r="166">
      <c r="B166" s="139"/>
      <c r="C166" s="139"/>
      <c r="D166" s="139"/>
      <c r="F166" s="426"/>
      <c r="N166" s="721"/>
      <c r="U166" s="732"/>
    </row>
    <row r="167">
      <c r="B167" s="139"/>
      <c r="C167" s="139"/>
      <c r="D167" s="139"/>
      <c r="F167" s="426"/>
      <c r="N167" s="721"/>
      <c r="U167" s="732"/>
    </row>
    <row r="168">
      <c r="B168" s="139"/>
      <c r="C168" s="139"/>
      <c r="D168" s="139"/>
      <c r="F168" s="426"/>
      <c r="N168" s="721"/>
      <c r="U168" s="732"/>
    </row>
    <row r="169">
      <c r="B169" s="139"/>
      <c r="C169" s="139"/>
      <c r="D169" s="139"/>
      <c r="F169" s="426"/>
      <c r="N169" s="721"/>
      <c r="U169" s="732"/>
    </row>
    <row r="170">
      <c r="B170" s="139"/>
      <c r="C170" s="139"/>
      <c r="D170" s="139"/>
      <c r="F170" s="426"/>
      <c r="N170" s="721"/>
      <c r="U170" s="732"/>
    </row>
    <row r="171">
      <c r="B171" s="139"/>
      <c r="C171" s="139"/>
      <c r="D171" s="139"/>
      <c r="F171" s="426"/>
      <c r="N171" s="721"/>
      <c r="U171" s="732"/>
    </row>
    <row r="172">
      <c r="B172" s="139"/>
      <c r="C172" s="139"/>
      <c r="D172" s="139"/>
      <c r="F172" s="426"/>
      <c r="N172" s="721"/>
      <c r="U172" s="732"/>
    </row>
    <row r="173">
      <c r="B173" s="139"/>
      <c r="C173" s="139"/>
      <c r="D173" s="139"/>
      <c r="F173" s="426"/>
      <c r="N173" s="721"/>
      <c r="U173" s="732"/>
    </row>
    <row r="174">
      <c r="B174" s="139"/>
      <c r="C174" s="139"/>
      <c r="D174" s="139"/>
      <c r="F174" s="426"/>
      <c r="N174" s="721"/>
      <c r="U174" s="732"/>
    </row>
    <row r="175">
      <c r="B175" s="139"/>
      <c r="C175" s="139"/>
      <c r="D175" s="139"/>
      <c r="F175" s="426"/>
      <c r="N175" s="721"/>
      <c r="U175" s="732"/>
    </row>
    <row r="176">
      <c r="B176" s="139"/>
      <c r="C176" s="139"/>
      <c r="D176" s="139"/>
      <c r="F176" s="426"/>
      <c r="N176" s="721"/>
      <c r="U176" s="732"/>
    </row>
    <row r="177">
      <c r="B177" s="139"/>
      <c r="C177" s="139"/>
      <c r="D177" s="139"/>
      <c r="F177" s="426"/>
      <c r="N177" s="721"/>
      <c r="U177" s="732"/>
    </row>
    <row r="178">
      <c r="B178" s="139"/>
      <c r="C178" s="139"/>
      <c r="D178" s="139"/>
      <c r="F178" s="426"/>
      <c r="N178" s="721"/>
      <c r="U178" s="732"/>
    </row>
    <row r="179">
      <c r="B179" s="139"/>
      <c r="C179" s="139"/>
      <c r="D179" s="139"/>
      <c r="F179" s="426"/>
      <c r="N179" s="721"/>
      <c r="U179" s="732"/>
    </row>
    <row r="180">
      <c r="B180" s="139"/>
      <c r="C180" s="139"/>
      <c r="D180" s="139"/>
      <c r="F180" s="426"/>
      <c r="N180" s="721"/>
      <c r="U180" s="732"/>
    </row>
    <row r="181">
      <c r="B181" s="139"/>
      <c r="C181" s="139"/>
      <c r="D181" s="139"/>
      <c r="F181" s="426"/>
      <c r="N181" s="721"/>
      <c r="U181" s="732"/>
    </row>
    <row r="182">
      <c r="B182" s="139"/>
      <c r="C182" s="139"/>
      <c r="D182" s="139"/>
      <c r="F182" s="426"/>
      <c r="N182" s="721"/>
      <c r="U182" s="732"/>
    </row>
    <row r="183">
      <c r="B183" s="139"/>
      <c r="C183" s="139"/>
      <c r="D183" s="139"/>
      <c r="F183" s="426"/>
      <c r="N183" s="721"/>
      <c r="U183" s="732"/>
    </row>
    <row r="184">
      <c r="B184" s="139"/>
      <c r="C184" s="139"/>
      <c r="D184" s="139"/>
      <c r="F184" s="426"/>
      <c r="N184" s="721"/>
      <c r="U184" s="732"/>
    </row>
    <row r="185">
      <c r="B185" s="139"/>
      <c r="C185" s="139"/>
      <c r="D185" s="139"/>
      <c r="F185" s="426"/>
      <c r="N185" s="721"/>
      <c r="U185" s="732"/>
    </row>
    <row r="186">
      <c r="B186" s="139"/>
      <c r="C186" s="139"/>
      <c r="D186" s="139"/>
      <c r="F186" s="426"/>
      <c r="N186" s="721"/>
      <c r="U186" s="732"/>
    </row>
    <row r="187">
      <c r="B187" s="139"/>
      <c r="C187" s="139"/>
      <c r="D187" s="139"/>
      <c r="F187" s="426"/>
      <c r="N187" s="721"/>
      <c r="U187" s="732"/>
    </row>
    <row r="188">
      <c r="B188" s="139"/>
      <c r="C188" s="139"/>
      <c r="D188" s="139"/>
      <c r="F188" s="426"/>
      <c r="N188" s="721"/>
      <c r="U188" s="732"/>
    </row>
    <row r="189">
      <c r="B189" s="139"/>
      <c r="C189" s="139"/>
      <c r="D189" s="139"/>
      <c r="F189" s="426"/>
      <c r="N189" s="721"/>
      <c r="U189" s="732"/>
    </row>
    <row r="190">
      <c r="B190" s="139"/>
      <c r="C190" s="139"/>
      <c r="D190" s="139"/>
      <c r="F190" s="426"/>
      <c r="N190" s="721"/>
      <c r="U190" s="732"/>
    </row>
    <row r="191">
      <c r="B191" s="139"/>
      <c r="C191" s="139"/>
      <c r="D191" s="139"/>
      <c r="F191" s="426"/>
      <c r="N191" s="721"/>
      <c r="U191" s="732"/>
    </row>
    <row r="192">
      <c r="B192" s="139"/>
      <c r="C192" s="139"/>
      <c r="D192" s="139"/>
      <c r="F192" s="426"/>
      <c r="N192" s="721"/>
      <c r="U192" s="732"/>
    </row>
    <row r="193">
      <c r="B193" s="139"/>
      <c r="C193" s="139"/>
      <c r="D193" s="139"/>
      <c r="F193" s="426"/>
      <c r="N193" s="721"/>
      <c r="U193" s="732"/>
    </row>
    <row r="194">
      <c r="B194" s="139"/>
      <c r="C194" s="139"/>
      <c r="D194" s="139"/>
      <c r="F194" s="426"/>
      <c r="N194" s="721"/>
      <c r="U194" s="732"/>
    </row>
    <row r="195">
      <c r="B195" s="139"/>
      <c r="C195" s="139"/>
      <c r="D195" s="139"/>
      <c r="F195" s="426"/>
      <c r="N195" s="721"/>
      <c r="U195" s="732"/>
    </row>
    <row r="196">
      <c r="B196" s="139"/>
      <c r="C196" s="139"/>
      <c r="D196" s="139"/>
      <c r="F196" s="426"/>
      <c r="N196" s="721"/>
      <c r="U196" s="732"/>
    </row>
    <row r="197">
      <c r="B197" s="139"/>
      <c r="C197" s="139"/>
      <c r="D197" s="139"/>
      <c r="F197" s="426"/>
      <c r="N197" s="721"/>
      <c r="U197" s="732"/>
    </row>
    <row r="198">
      <c r="B198" s="139"/>
      <c r="C198" s="139"/>
      <c r="D198" s="139"/>
      <c r="F198" s="426"/>
      <c r="N198" s="721"/>
      <c r="U198" s="732"/>
    </row>
    <row r="199">
      <c r="B199" s="139"/>
      <c r="C199" s="139"/>
      <c r="D199" s="139"/>
      <c r="F199" s="426"/>
      <c r="N199" s="721"/>
      <c r="U199" s="732"/>
    </row>
    <row r="200">
      <c r="B200" s="139"/>
      <c r="C200" s="139"/>
      <c r="D200" s="139"/>
      <c r="F200" s="426"/>
      <c r="N200" s="721"/>
      <c r="U200" s="732"/>
    </row>
    <row r="201">
      <c r="B201" s="139"/>
      <c r="C201" s="139"/>
      <c r="D201" s="139"/>
      <c r="F201" s="426"/>
      <c r="N201" s="721"/>
      <c r="U201" s="732"/>
    </row>
    <row r="202">
      <c r="B202" s="139"/>
      <c r="C202" s="139"/>
      <c r="D202" s="139"/>
      <c r="F202" s="426"/>
      <c r="N202" s="721"/>
      <c r="U202" s="732"/>
    </row>
    <row r="203">
      <c r="B203" s="139"/>
      <c r="C203" s="139"/>
      <c r="D203" s="139"/>
      <c r="F203" s="426"/>
      <c r="N203" s="721"/>
      <c r="U203" s="732"/>
    </row>
    <row r="204">
      <c r="B204" s="139"/>
      <c r="C204" s="139"/>
      <c r="D204" s="139"/>
      <c r="F204" s="426"/>
      <c r="N204" s="721"/>
      <c r="U204" s="732"/>
    </row>
    <row r="205">
      <c r="B205" s="139"/>
      <c r="C205" s="139"/>
      <c r="D205" s="139"/>
      <c r="F205" s="426"/>
      <c r="N205" s="721"/>
      <c r="U205" s="732"/>
    </row>
    <row r="206">
      <c r="B206" s="139"/>
      <c r="C206" s="139"/>
      <c r="D206" s="139"/>
      <c r="F206" s="426"/>
      <c r="N206" s="721"/>
      <c r="U206" s="732"/>
    </row>
    <row r="207">
      <c r="B207" s="139"/>
      <c r="C207" s="139"/>
      <c r="D207" s="139"/>
      <c r="F207" s="426"/>
      <c r="N207" s="721"/>
      <c r="U207" s="732"/>
    </row>
    <row r="208">
      <c r="B208" s="139"/>
      <c r="C208" s="139"/>
      <c r="D208" s="139"/>
      <c r="F208" s="426"/>
      <c r="N208" s="721"/>
      <c r="U208" s="732"/>
    </row>
    <row r="209">
      <c r="B209" s="139"/>
      <c r="C209" s="139"/>
      <c r="D209" s="139"/>
      <c r="F209" s="426"/>
      <c r="N209" s="721"/>
      <c r="U209" s="732"/>
    </row>
    <row r="210">
      <c r="B210" s="139"/>
      <c r="C210" s="139"/>
      <c r="D210" s="139"/>
      <c r="F210" s="426"/>
      <c r="N210" s="721"/>
      <c r="U210" s="732"/>
    </row>
    <row r="211">
      <c r="B211" s="139"/>
      <c r="C211" s="139"/>
      <c r="D211" s="139"/>
      <c r="F211" s="426"/>
      <c r="N211" s="721"/>
      <c r="U211" s="732"/>
    </row>
    <row r="212">
      <c r="B212" s="139"/>
      <c r="C212" s="139"/>
      <c r="D212" s="139"/>
      <c r="F212" s="426"/>
      <c r="N212" s="721"/>
      <c r="U212" s="732"/>
    </row>
    <row r="213">
      <c r="B213" s="139"/>
      <c r="C213" s="139"/>
      <c r="D213" s="139"/>
      <c r="F213" s="426"/>
      <c r="N213" s="721"/>
      <c r="U213" s="732"/>
    </row>
    <row r="214">
      <c r="B214" s="139"/>
      <c r="C214" s="139"/>
      <c r="D214" s="139"/>
      <c r="F214" s="426"/>
      <c r="N214" s="721"/>
      <c r="U214" s="732"/>
    </row>
    <row r="215">
      <c r="B215" s="139"/>
      <c r="C215" s="139"/>
      <c r="D215" s="139"/>
      <c r="F215" s="426"/>
      <c r="N215" s="721"/>
      <c r="U215" s="732"/>
    </row>
    <row r="216">
      <c r="B216" s="139"/>
      <c r="C216" s="139"/>
      <c r="D216" s="139"/>
      <c r="F216" s="426"/>
      <c r="N216" s="721"/>
      <c r="U216" s="732"/>
    </row>
    <row r="217">
      <c r="B217" s="139"/>
      <c r="C217" s="139"/>
      <c r="D217" s="139"/>
      <c r="F217" s="426"/>
      <c r="N217" s="721"/>
      <c r="U217" s="732"/>
    </row>
    <row r="218">
      <c r="B218" s="139"/>
      <c r="C218" s="139"/>
      <c r="D218" s="139"/>
      <c r="F218" s="426"/>
      <c r="N218" s="721"/>
      <c r="U218" s="732"/>
    </row>
    <row r="219">
      <c r="B219" s="139"/>
      <c r="C219" s="139"/>
      <c r="D219" s="139"/>
      <c r="F219" s="426"/>
      <c r="N219" s="721"/>
      <c r="U219" s="732"/>
    </row>
    <row r="220">
      <c r="B220" s="139"/>
      <c r="C220" s="139"/>
      <c r="D220" s="139"/>
      <c r="F220" s="426"/>
      <c r="N220" s="721"/>
      <c r="U220" s="732"/>
    </row>
    <row r="221">
      <c r="B221" s="139"/>
      <c r="C221" s="139"/>
      <c r="D221" s="139"/>
      <c r="F221" s="426"/>
      <c r="N221" s="721"/>
      <c r="U221" s="732"/>
    </row>
    <row r="222">
      <c r="B222" s="139"/>
      <c r="C222" s="139"/>
      <c r="D222" s="139"/>
      <c r="F222" s="426"/>
      <c r="N222" s="721"/>
      <c r="U222" s="732"/>
    </row>
    <row r="223">
      <c r="B223" s="139"/>
      <c r="C223" s="139"/>
      <c r="D223" s="139"/>
      <c r="F223" s="426"/>
      <c r="N223" s="721"/>
      <c r="U223" s="732"/>
    </row>
    <row r="224">
      <c r="B224" s="139"/>
      <c r="C224" s="139"/>
      <c r="D224" s="139"/>
      <c r="F224" s="426"/>
      <c r="N224" s="721"/>
      <c r="U224" s="732"/>
    </row>
    <row r="225">
      <c r="B225" s="139"/>
      <c r="C225" s="139"/>
      <c r="D225" s="139"/>
      <c r="F225" s="426"/>
      <c r="N225" s="721"/>
      <c r="U225" s="732"/>
    </row>
    <row r="226">
      <c r="B226" s="139"/>
      <c r="C226" s="139"/>
      <c r="D226" s="139"/>
      <c r="F226" s="426"/>
      <c r="N226" s="721"/>
      <c r="U226" s="732"/>
    </row>
    <row r="227">
      <c r="B227" s="139"/>
      <c r="C227" s="139"/>
      <c r="D227" s="139"/>
      <c r="F227" s="426"/>
      <c r="N227" s="721"/>
      <c r="U227" s="732"/>
    </row>
    <row r="228">
      <c r="B228" s="139"/>
      <c r="C228" s="139"/>
      <c r="D228" s="139"/>
      <c r="F228" s="426"/>
      <c r="N228" s="721"/>
      <c r="U228" s="732"/>
    </row>
    <row r="229">
      <c r="B229" s="139"/>
      <c r="C229" s="139"/>
      <c r="D229" s="139"/>
      <c r="F229" s="426"/>
      <c r="N229" s="721"/>
      <c r="U229" s="732"/>
    </row>
    <row r="230">
      <c r="B230" s="139"/>
      <c r="C230" s="139"/>
      <c r="D230" s="139"/>
      <c r="F230" s="426"/>
      <c r="N230" s="721"/>
      <c r="U230" s="732"/>
    </row>
    <row r="231">
      <c r="B231" s="139"/>
      <c r="C231" s="139"/>
      <c r="D231" s="139"/>
      <c r="F231" s="426"/>
      <c r="N231" s="721"/>
      <c r="U231" s="732"/>
    </row>
    <row r="232">
      <c r="B232" s="139"/>
      <c r="C232" s="139"/>
      <c r="D232" s="139"/>
      <c r="F232" s="426"/>
      <c r="N232" s="721"/>
      <c r="U232" s="732"/>
    </row>
    <row r="233">
      <c r="B233" s="139"/>
      <c r="C233" s="139"/>
      <c r="D233" s="139"/>
      <c r="F233" s="426"/>
      <c r="N233" s="721"/>
      <c r="U233" s="732"/>
    </row>
    <row r="234">
      <c r="B234" s="139"/>
      <c r="C234" s="139"/>
      <c r="D234" s="139"/>
      <c r="F234" s="426"/>
      <c r="N234" s="721"/>
      <c r="U234" s="732"/>
    </row>
    <row r="235">
      <c r="B235" s="139"/>
      <c r="C235" s="139"/>
      <c r="D235" s="139"/>
      <c r="F235" s="426"/>
      <c r="N235" s="721"/>
      <c r="U235" s="732"/>
    </row>
    <row r="236">
      <c r="B236" s="139"/>
      <c r="C236" s="139"/>
      <c r="D236" s="139"/>
      <c r="F236" s="426"/>
      <c r="N236" s="721"/>
      <c r="U236" s="732"/>
    </row>
    <row r="237">
      <c r="B237" s="139"/>
      <c r="C237" s="139"/>
      <c r="D237" s="139"/>
      <c r="F237" s="426"/>
      <c r="N237" s="721"/>
      <c r="U237" s="732"/>
    </row>
    <row r="238">
      <c r="B238" s="139"/>
      <c r="C238" s="139"/>
      <c r="D238" s="139"/>
      <c r="F238" s="426"/>
      <c r="N238" s="721"/>
      <c r="U238" s="732"/>
    </row>
    <row r="239">
      <c r="B239" s="139"/>
      <c r="C239" s="139"/>
      <c r="D239" s="139"/>
      <c r="F239" s="426"/>
      <c r="N239" s="721"/>
      <c r="U239" s="732"/>
    </row>
    <row r="240">
      <c r="B240" s="139"/>
      <c r="C240" s="139"/>
      <c r="D240" s="139"/>
      <c r="F240" s="426"/>
      <c r="N240" s="721"/>
      <c r="U240" s="732"/>
    </row>
    <row r="241">
      <c r="B241" s="139"/>
      <c r="C241" s="139"/>
      <c r="D241" s="139"/>
      <c r="F241" s="426"/>
      <c r="N241" s="721"/>
      <c r="U241" s="732"/>
    </row>
    <row r="242">
      <c r="B242" s="139"/>
      <c r="C242" s="139"/>
      <c r="D242" s="139"/>
      <c r="F242" s="426"/>
      <c r="N242" s="721"/>
      <c r="U242" s="732"/>
    </row>
    <row r="243">
      <c r="B243" s="139"/>
      <c r="C243" s="139"/>
      <c r="D243" s="139"/>
      <c r="F243" s="426"/>
      <c r="N243" s="721"/>
      <c r="U243" s="732"/>
    </row>
    <row r="244">
      <c r="B244" s="139"/>
      <c r="C244" s="139"/>
      <c r="D244" s="139"/>
      <c r="F244" s="426"/>
      <c r="N244" s="721"/>
      <c r="U244" s="732"/>
    </row>
    <row r="245">
      <c r="B245" s="139"/>
      <c r="C245" s="139"/>
      <c r="D245" s="139"/>
      <c r="F245" s="426"/>
      <c r="N245" s="721"/>
      <c r="U245" s="732"/>
    </row>
    <row r="246">
      <c r="B246" s="139"/>
      <c r="C246" s="139"/>
      <c r="D246" s="139"/>
      <c r="F246" s="426"/>
      <c r="N246" s="721"/>
      <c r="U246" s="732"/>
    </row>
    <row r="247">
      <c r="B247" s="139"/>
      <c r="C247" s="139"/>
      <c r="D247" s="139"/>
      <c r="F247" s="426"/>
      <c r="N247" s="721"/>
      <c r="U247" s="732"/>
    </row>
    <row r="248">
      <c r="B248" s="139"/>
      <c r="C248" s="139"/>
      <c r="D248" s="139"/>
      <c r="F248" s="426"/>
      <c r="N248" s="721"/>
      <c r="U248" s="732"/>
    </row>
    <row r="249">
      <c r="B249" s="139"/>
      <c r="C249" s="139"/>
      <c r="D249" s="139"/>
      <c r="F249" s="426"/>
      <c r="N249" s="721"/>
      <c r="U249" s="732"/>
    </row>
    <row r="250">
      <c r="B250" s="139"/>
      <c r="C250" s="139"/>
      <c r="D250" s="139"/>
      <c r="F250" s="426"/>
      <c r="N250" s="721"/>
      <c r="U250" s="732"/>
    </row>
    <row r="251">
      <c r="B251" s="139"/>
      <c r="C251" s="139"/>
      <c r="D251" s="139"/>
      <c r="F251" s="426"/>
      <c r="N251" s="721"/>
      <c r="U251" s="732"/>
    </row>
    <row r="252">
      <c r="B252" s="139"/>
      <c r="C252" s="139"/>
      <c r="D252" s="139"/>
      <c r="F252" s="426"/>
      <c r="N252" s="721"/>
      <c r="U252" s="732"/>
    </row>
    <row r="253">
      <c r="B253" s="139"/>
      <c r="C253" s="139"/>
      <c r="D253" s="139"/>
      <c r="F253" s="426"/>
      <c r="N253" s="721"/>
      <c r="U253" s="732"/>
    </row>
    <row r="254">
      <c r="B254" s="139"/>
      <c r="C254" s="139"/>
      <c r="D254" s="139"/>
      <c r="F254" s="426"/>
      <c r="N254" s="721"/>
      <c r="U254" s="732"/>
    </row>
    <row r="255">
      <c r="B255" s="139"/>
      <c r="C255" s="139"/>
      <c r="D255" s="139"/>
      <c r="F255" s="426"/>
      <c r="N255" s="721"/>
      <c r="U255" s="732"/>
    </row>
    <row r="256">
      <c r="B256" s="139"/>
      <c r="C256" s="139"/>
      <c r="D256" s="139"/>
      <c r="F256" s="426"/>
      <c r="N256" s="721"/>
      <c r="U256" s="732"/>
    </row>
    <row r="257">
      <c r="B257" s="139"/>
      <c r="C257" s="139"/>
      <c r="D257" s="139"/>
      <c r="F257" s="426"/>
      <c r="N257" s="721"/>
      <c r="U257" s="732"/>
    </row>
    <row r="258">
      <c r="B258" s="139"/>
      <c r="C258" s="139"/>
      <c r="D258" s="139"/>
      <c r="F258" s="426"/>
      <c r="N258" s="721"/>
      <c r="U258" s="732"/>
    </row>
    <row r="259">
      <c r="B259" s="139"/>
      <c r="C259" s="139"/>
      <c r="D259" s="139"/>
      <c r="F259" s="426"/>
      <c r="N259" s="721"/>
      <c r="U259" s="732"/>
    </row>
    <row r="260">
      <c r="B260" s="139"/>
      <c r="C260" s="139"/>
      <c r="D260" s="139"/>
      <c r="F260" s="426"/>
      <c r="N260" s="721"/>
      <c r="U260" s="732"/>
    </row>
    <row r="261">
      <c r="B261" s="139"/>
      <c r="C261" s="139"/>
      <c r="D261" s="139"/>
      <c r="F261" s="426"/>
      <c r="N261" s="721"/>
      <c r="U261" s="732"/>
    </row>
    <row r="262">
      <c r="B262" s="139"/>
      <c r="C262" s="139"/>
      <c r="D262" s="139"/>
      <c r="F262" s="426"/>
      <c r="N262" s="721"/>
      <c r="U262" s="732"/>
    </row>
    <row r="263">
      <c r="B263" s="139"/>
      <c r="C263" s="139"/>
      <c r="D263" s="139"/>
      <c r="F263" s="426"/>
      <c r="N263" s="721"/>
      <c r="U263" s="732"/>
    </row>
    <row r="264">
      <c r="B264" s="139"/>
      <c r="C264" s="139"/>
      <c r="D264" s="139"/>
      <c r="F264" s="426"/>
      <c r="N264" s="721"/>
      <c r="U264" s="732"/>
    </row>
    <row r="265">
      <c r="B265" s="139"/>
      <c r="C265" s="139"/>
      <c r="D265" s="139"/>
      <c r="F265" s="426"/>
      <c r="N265" s="721"/>
      <c r="U265" s="732"/>
    </row>
    <row r="266">
      <c r="B266" s="139"/>
      <c r="C266" s="139"/>
      <c r="D266" s="139"/>
      <c r="F266" s="426"/>
      <c r="N266" s="721"/>
      <c r="U266" s="732"/>
    </row>
    <row r="267">
      <c r="B267" s="139"/>
      <c r="C267" s="139"/>
      <c r="D267" s="139"/>
      <c r="F267" s="426"/>
      <c r="N267" s="721"/>
      <c r="U267" s="732"/>
    </row>
    <row r="268">
      <c r="B268" s="139"/>
      <c r="C268" s="139"/>
      <c r="D268" s="139"/>
      <c r="F268" s="426"/>
      <c r="N268" s="721"/>
      <c r="U268" s="732"/>
    </row>
    <row r="269">
      <c r="B269" s="139"/>
      <c r="C269" s="139"/>
      <c r="D269" s="139"/>
      <c r="F269" s="426"/>
      <c r="N269" s="721"/>
      <c r="U269" s="732"/>
    </row>
    <row r="270">
      <c r="B270" s="139"/>
      <c r="C270" s="139"/>
      <c r="D270" s="139"/>
      <c r="F270" s="426"/>
      <c r="N270" s="721"/>
      <c r="U270" s="732"/>
    </row>
    <row r="271">
      <c r="B271" s="139"/>
      <c r="C271" s="139"/>
      <c r="D271" s="139"/>
      <c r="F271" s="426"/>
      <c r="N271" s="721"/>
      <c r="U271" s="732"/>
    </row>
    <row r="272">
      <c r="B272" s="139"/>
      <c r="C272" s="139"/>
      <c r="D272" s="139"/>
      <c r="F272" s="426"/>
      <c r="N272" s="721"/>
      <c r="U272" s="732"/>
    </row>
    <row r="273">
      <c r="B273" s="139"/>
      <c r="C273" s="139"/>
      <c r="D273" s="139"/>
      <c r="F273" s="426"/>
      <c r="N273" s="721"/>
      <c r="U273" s="732"/>
    </row>
    <row r="274">
      <c r="B274" s="139"/>
      <c r="C274" s="139"/>
      <c r="D274" s="139"/>
      <c r="F274" s="426"/>
      <c r="N274" s="721"/>
      <c r="U274" s="732"/>
    </row>
    <row r="275">
      <c r="B275" s="139"/>
      <c r="C275" s="139"/>
      <c r="D275" s="139"/>
      <c r="F275" s="426"/>
      <c r="N275" s="721"/>
      <c r="U275" s="732"/>
    </row>
    <row r="276">
      <c r="B276" s="139"/>
      <c r="C276" s="139"/>
      <c r="D276" s="139"/>
      <c r="F276" s="426"/>
      <c r="N276" s="721"/>
      <c r="U276" s="732"/>
    </row>
    <row r="277">
      <c r="B277" s="139"/>
      <c r="C277" s="139"/>
      <c r="D277" s="139"/>
      <c r="F277" s="426"/>
      <c r="N277" s="721"/>
      <c r="U277" s="732"/>
    </row>
    <row r="278">
      <c r="B278" s="139"/>
      <c r="C278" s="139"/>
      <c r="D278" s="139"/>
      <c r="F278" s="426"/>
      <c r="N278" s="721"/>
      <c r="U278" s="732"/>
    </row>
    <row r="279">
      <c r="B279" s="139"/>
      <c r="C279" s="139"/>
      <c r="D279" s="139"/>
      <c r="F279" s="426"/>
      <c r="N279" s="721"/>
      <c r="U279" s="732"/>
    </row>
    <row r="280">
      <c r="B280" s="139"/>
      <c r="C280" s="139"/>
      <c r="D280" s="139"/>
      <c r="F280" s="426"/>
      <c r="N280" s="721"/>
      <c r="U280" s="732"/>
    </row>
    <row r="281">
      <c r="B281" s="139"/>
      <c r="C281" s="139"/>
      <c r="D281" s="139"/>
      <c r="F281" s="426"/>
      <c r="N281" s="721"/>
      <c r="U281" s="732"/>
    </row>
    <row r="282">
      <c r="B282" s="139"/>
      <c r="C282" s="139"/>
      <c r="D282" s="139"/>
      <c r="F282" s="426"/>
      <c r="N282" s="721"/>
      <c r="U282" s="732"/>
    </row>
    <row r="283">
      <c r="B283" s="139"/>
      <c r="C283" s="139"/>
      <c r="D283" s="139"/>
      <c r="F283" s="426"/>
      <c r="N283" s="721"/>
      <c r="U283" s="732"/>
    </row>
    <row r="284">
      <c r="B284" s="139"/>
      <c r="C284" s="139"/>
      <c r="D284" s="139"/>
      <c r="F284" s="426"/>
      <c r="N284" s="721"/>
      <c r="U284" s="732"/>
    </row>
    <row r="285">
      <c r="B285" s="139"/>
      <c r="C285" s="139"/>
      <c r="D285" s="139"/>
      <c r="F285" s="426"/>
      <c r="N285" s="721"/>
      <c r="U285" s="732"/>
    </row>
    <row r="286">
      <c r="B286" s="139"/>
      <c r="C286" s="139"/>
      <c r="D286" s="139"/>
      <c r="F286" s="426"/>
      <c r="N286" s="721"/>
      <c r="U286" s="732"/>
    </row>
    <row r="287">
      <c r="B287" s="139"/>
      <c r="C287" s="139"/>
      <c r="D287" s="139"/>
      <c r="F287" s="426"/>
      <c r="N287" s="721"/>
      <c r="U287" s="732"/>
    </row>
    <row r="288">
      <c r="B288" s="139"/>
      <c r="C288" s="139"/>
      <c r="D288" s="139"/>
      <c r="F288" s="426"/>
      <c r="N288" s="721"/>
      <c r="U288" s="732"/>
    </row>
    <row r="289">
      <c r="B289" s="139"/>
      <c r="C289" s="139"/>
      <c r="D289" s="139"/>
      <c r="F289" s="426"/>
      <c r="N289" s="721"/>
      <c r="U289" s="732"/>
    </row>
    <row r="290">
      <c r="B290" s="139"/>
      <c r="C290" s="139"/>
      <c r="D290" s="139"/>
      <c r="F290" s="426"/>
      <c r="N290" s="721"/>
      <c r="U290" s="732"/>
    </row>
    <row r="291">
      <c r="B291" s="139"/>
      <c r="C291" s="139"/>
      <c r="D291" s="139"/>
      <c r="F291" s="426"/>
      <c r="N291" s="721"/>
      <c r="U291" s="732"/>
    </row>
    <row r="292">
      <c r="B292" s="139"/>
      <c r="C292" s="139"/>
      <c r="D292" s="139"/>
      <c r="F292" s="426"/>
      <c r="N292" s="721"/>
      <c r="U292" s="732"/>
    </row>
    <row r="293">
      <c r="B293" s="139"/>
      <c r="C293" s="139"/>
      <c r="D293" s="139"/>
      <c r="F293" s="426"/>
      <c r="N293" s="721"/>
      <c r="U293" s="732"/>
    </row>
    <row r="294">
      <c r="B294" s="139"/>
      <c r="C294" s="139"/>
      <c r="D294" s="139"/>
      <c r="F294" s="426"/>
      <c r="N294" s="721"/>
      <c r="U294" s="732"/>
    </row>
    <row r="295">
      <c r="B295" s="139"/>
      <c r="C295" s="139"/>
      <c r="D295" s="139"/>
      <c r="F295" s="426"/>
      <c r="N295" s="721"/>
      <c r="U295" s="732"/>
    </row>
    <row r="296">
      <c r="B296" s="139"/>
      <c r="C296" s="139"/>
      <c r="D296" s="139"/>
      <c r="F296" s="426"/>
      <c r="N296" s="721"/>
      <c r="U296" s="732"/>
    </row>
    <row r="297">
      <c r="B297" s="139"/>
      <c r="C297" s="139"/>
      <c r="D297" s="139"/>
      <c r="F297" s="426"/>
      <c r="N297" s="721"/>
      <c r="U297" s="732"/>
    </row>
    <row r="298">
      <c r="B298" s="139"/>
      <c r="C298" s="139"/>
      <c r="D298" s="139"/>
      <c r="F298" s="426"/>
      <c r="N298" s="721"/>
      <c r="U298" s="732"/>
    </row>
    <row r="299">
      <c r="B299" s="139"/>
      <c r="C299" s="139"/>
      <c r="D299" s="139"/>
      <c r="F299" s="426"/>
      <c r="N299" s="721"/>
      <c r="U299" s="732"/>
    </row>
    <row r="300">
      <c r="B300" s="139"/>
      <c r="C300" s="139"/>
      <c r="D300" s="139"/>
      <c r="F300" s="426"/>
      <c r="N300" s="721"/>
      <c r="U300" s="732"/>
    </row>
    <row r="301">
      <c r="B301" s="139"/>
      <c r="C301" s="139"/>
      <c r="D301" s="139"/>
      <c r="F301" s="426"/>
      <c r="N301" s="721"/>
      <c r="U301" s="732"/>
    </row>
    <row r="302">
      <c r="B302" s="139"/>
      <c r="C302" s="139"/>
      <c r="D302" s="139"/>
      <c r="F302" s="426"/>
      <c r="N302" s="721"/>
      <c r="U302" s="732"/>
    </row>
    <row r="303">
      <c r="B303" s="139"/>
      <c r="C303" s="139"/>
      <c r="D303" s="139"/>
      <c r="F303" s="426"/>
      <c r="N303" s="721"/>
      <c r="U303" s="732"/>
    </row>
    <row r="304">
      <c r="B304" s="139"/>
      <c r="C304" s="139"/>
      <c r="D304" s="139"/>
      <c r="F304" s="426"/>
      <c r="N304" s="721"/>
      <c r="U304" s="732"/>
    </row>
    <row r="305">
      <c r="B305" s="139"/>
      <c r="C305" s="139"/>
      <c r="D305" s="139"/>
      <c r="F305" s="426"/>
      <c r="N305" s="721"/>
      <c r="U305" s="732"/>
    </row>
    <row r="306">
      <c r="B306" s="139"/>
      <c r="C306" s="139"/>
      <c r="D306" s="139"/>
      <c r="F306" s="426"/>
      <c r="N306" s="721"/>
      <c r="U306" s="732"/>
    </row>
    <row r="307">
      <c r="B307" s="139"/>
      <c r="C307" s="139"/>
      <c r="D307" s="139"/>
      <c r="F307" s="426"/>
      <c r="N307" s="721"/>
      <c r="U307" s="732"/>
    </row>
    <row r="308">
      <c r="B308" s="139"/>
      <c r="C308" s="139"/>
      <c r="D308" s="139"/>
      <c r="F308" s="426"/>
      <c r="N308" s="721"/>
      <c r="U308" s="732"/>
    </row>
    <row r="309">
      <c r="B309" s="139"/>
      <c r="C309" s="139"/>
      <c r="D309" s="139"/>
      <c r="F309" s="426"/>
      <c r="N309" s="721"/>
      <c r="U309" s="732"/>
    </row>
    <row r="310">
      <c r="B310" s="139"/>
      <c r="C310" s="139"/>
      <c r="D310" s="139"/>
      <c r="F310" s="426"/>
      <c r="N310" s="721"/>
      <c r="U310" s="732"/>
    </row>
    <row r="311">
      <c r="B311" s="139"/>
      <c r="C311" s="139"/>
      <c r="D311" s="139"/>
      <c r="F311" s="426"/>
      <c r="N311" s="721"/>
      <c r="U311" s="732"/>
    </row>
    <row r="312">
      <c r="B312" s="139"/>
      <c r="C312" s="139"/>
      <c r="D312" s="139"/>
      <c r="F312" s="426"/>
      <c r="N312" s="721"/>
      <c r="U312" s="732"/>
    </row>
    <row r="313">
      <c r="B313" s="139"/>
      <c r="C313" s="139"/>
      <c r="D313" s="139"/>
      <c r="F313" s="426"/>
      <c r="N313" s="721"/>
      <c r="U313" s="732"/>
    </row>
    <row r="314">
      <c r="B314" s="139"/>
      <c r="C314" s="139"/>
      <c r="D314" s="139"/>
      <c r="F314" s="426"/>
      <c r="N314" s="721"/>
      <c r="U314" s="732"/>
    </row>
    <row r="315">
      <c r="B315" s="139"/>
      <c r="C315" s="139"/>
      <c r="D315" s="139"/>
      <c r="F315" s="426"/>
      <c r="N315" s="721"/>
      <c r="U315" s="732"/>
    </row>
    <row r="316">
      <c r="B316" s="139"/>
      <c r="C316" s="139"/>
      <c r="D316" s="139"/>
      <c r="F316" s="426"/>
      <c r="N316" s="721"/>
      <c r="U316" s="732"/>
    </row>
    <row r="317">
      <c r="B317" s="139"/>
      <c r="C317" s="139"/>
      <c r="D317" s="139"/>
      <c r="F317" s="426"/>
      <c r="N317" s="721"/>
      <c r="U317" s="732"/>
    </row>
    <row r="318">
      <c r="B318" s="139"/>
      <c r="C318" s="139"/>
      <c r="D318" s="139"/>
      <c r="F318" s="426"/>
      <c r="N318" s="721"/>
      <c r="U318" s="732"/>
    </row>
    <row r="319">
      <c r="B319" s="139"/>
      <c r="C319" s="139"/>
      <c r="D319" s="139"/>
      <c r="F319" s="426"/>
      <c r="N319" s="721"/>
      <c r="U319" s="732"/>
    </row>
    <row r="320">
      <c r="B320" s="139"/>
      <c r="C320" s="139"/>
      <c r="D320" s="139"/>
      <c r="F320" s="426"/>
      <c r="N320" s="721"/>
      <c r="U320" s="732"/>
    </row>
    <row r="321">
      <c r="B321" s="139"/>
      <c r="C321" s="139"/>
      <c r="D321" s="139"/>
      <c r="F321" s="426"/>
      <c r="N321" s="721"/>
      <c r="U321" s="732"/>
    </row>
    <row r="322">
      <c r="B322" s="139"/>
      <c r="C322" s="139"/>
      <c r="D322" s="139"/>
      <c r="F322" s="426"/>
      <c r="N322" s="721"/>
      <c r="U322" s="732"/>
    </row>
    <row r="323">
      <c r="B323" s="139"/>
      <c r="C323" s="139"/>
      <c r="D323" s="139"/>
      <c r="F323" s="426"/>
      <c r="N323" s="721"/>
      <c r="U323" s="732"/>
    </row>
    <row r="324">
      <c r="B324" s="139"/>
      <c r="C324" s="139"/>
      <c r="D324" s="139"/>
      <c r="F324" s="426"/>
      <c r="N324" s="721"/>
      <c r="U324" s="732"/>
    </row>
    <row r="325">
      <c r="B325" s="139"/>
      <c r="C325" s="139"/>
      <c r="D325" s="139"/>
      <c r="F325" s="426"/>
      <c r="N325" s="721"/>
      <c r="U325" s="732"/>
    </row>
    <row r="326">
      <c r="B326" s="139"/>
      <c r="C326" s="139"/>
      <c r="D326" s="139"/>
      <c r="F326" s="426"/>
      <c r="N326" s="721"/>
      <c r="U326" s="732"/>
    </row>
    <row r="327">
      <c r="B327" s="139"/>
      <c r="C327" s="139"/>
      <c r="D327" s="139"/>
      <c r="F327" s="426"/>
      <c r="N327" s="721"/>
      <c r="U327" s="732"/>
    </row>
    <row r="328">
      <c r="B328" s="139"/>
      <c r="C328" s="139"/>
      <c r="D328" s="139"/>
      <c r="F328" s="426"/>
      <c r="N328" s="721"/>
      <c r="U328" s="732"/>
    </row>
    <row r="329">
      <c r="B329" s="139"/>
      <c r="C329" s="139"/>
      <c r="D329" s="139"/>
      <c r="F329" s="426"/>
      <c r="N329" s="721"/>
      <c r="U329" s="732"/>
    </row>
    <row r="330">
      <c r="B330" s="139"/>
      <c r="C330" s="139"/>
      <c r="D330" s="139"/>
      <c r="F330" s="426"/>
      <c r="N330" s="721"/>
      <c r="U330" s="732"/>
    </row>
    <row r="331">
      <c r="B331" s="139"/>
      <c r="C331" s="139"/>
      <c r="D331" s="139"/>
      <c r="F331" s="426"/>
      <c r="N331" s="721"/>
      <c r="U331" s="732"/>
    </row>
    <row r="332">
      <c r="B332" s="139"/>
      <c r="C332" s="139"/>
      <c r="D332" s="139"/>
      <c r="F332" s="426"/>
      <c r="N332" s="721"/>
      <c r="U332" s="732"/>
    </row>
    <row r="333">
      <c r="B333" s="139"/>
      <c r="C333" s="139"/>
      <c r="D333" s="139"/>
      <c r="F333" s="426"/>
      <c r="N333" s="721"/>
      <c r="U333" s="732"/>
    </row>
    <row r="334">
      <c r="B334" s="139"/>
      <c r="C334" s="139"/>
      <c r="D334" s="139"/>
      <c r="F334" s="426"/>
      <c r="N334" s="721"/>
      <c r="U334" s="732"/>
    </row>
    <row r="335">
      <c r="B335" s="139"/>
      <c r="C335" s="139"/>
      <c r="D335" s="139"/>
      <c r="F335" s="426"/>
      <c r="N335" s="721"/>
      <c r="U335" s="732"/>
    </row>
    <row r="336">
      <c r="B336" s="139"/>
      <c r="C336" s="139"/>
      <c r="D336" s="139"/>
      <c r="F336" s="426"/>
      <c r="N336" s="721"/>
      <c r="U336" s="732"/>
    </row>
    <row r="337">
      <c r="B337" s="139"/>
      <c r="C337" s="139"/>
      <c r="D337" s="139"/>
      <c r="F337" s="426"/>
      <c r="N337" s="721"/>
      <c r="U337" s="732"/>
    </row>
    <row r="338">
      <c r="B338" s="139"/>
      <c r="C338" s="139"/>
      <c r="D338" s="139"/>
      <c r="F338" s="426"/>
      <c r="N338" s="721"/>
      <c r="U338" s="732"/>
    </row>
    <row r="339">
      <c r="B339" s="139"/>
      <c r="C339" s="139"/>
      <c r="D339" s="139"/>
      <c r="F339" s="426"/>
      <c r="N339" s="721"/>
      <c r="U339" s="732"/>
    </row>
    <row r="340">
      <c r="B340" s="139"/>
      <c r="C340" s="139"/>
      <c r="D340" s="139"/>
      <c r="F340" s="426"/>
      <c r="N340" s="721"/>
      <c r="U340" s="732"/>
    </row>
    <row r="341">
      <c r="B341" s="139"/>
      <c r="C341" s="139"/>
      <c r="D341" s="139"/>
      <c r="F341" s="426"/>
      <c r="N341" s="721"/>
      <c r="U341" s="732"/>
    </row>
    <row r="342">
      <c r="B342" s="139"/>
      <c r="C342" s="139"/>
      <c r="D342" s="139"/>
      <c r="F342" s="426"/>
      <c r="N342" s="721"/>
      <c r="U342" s="732"/>
    </row>
    <row r="343">
      <c r="B343" s="139"/>
      <c r="C343" s="139"/>
      <c r="D343" s="139"/>
      <c r="F343" s="426"/>
      <c r="N343" s="721"/>
      <c r="U343" s="732"/>
    </row>
    <row r="344">
      <c r="B344" s="139"/>
      <c r="C344" s="139"/>
      <c r="D344" s="139"/>
      <c r="F344" s="426"/>
      <c r="N344" s="721"/>
      <c r="U344" s="732"/>
    </row>
    <row r="345">
      <c r="B345" s="139"/>
      <c r="C345" s="139"/>
      <c r="D345" s="139"/>
      <c r="F345" s="426"/>
      <c r="N345" s="721"/>
      <c r="U345" s="732"/>
    </row>
    <row r="346">
      <c r="B346" s="139"/>
      <c r="C346" s="139"/>
      <c r="D346" s="139"/>
      <c r="F346" s="426"/>
      <c r="N346" s="721"/>
      <c r="U346" s="732"/>
    </row>
    <row r="347">
      <c r="B347" s="139"/>
      <c r="C347" s="139"/>
      <c r="D347" s="139"/>
      <c r="F347" s="426"/>
      <c r="N347" s="721"/>
      <c r="U347" s="732"/>
    </row>
    <row r="348">
      <c r="B348" s="139"/>
      <c r="C348" s="139"/>
      <c r="D348" s="139"/>
      <c r="F348" s="426"/>
      <c r="N348" s="721"/>
      <c r="U348" s="732"/>
    </row>
    <row r="349">
      <c r="B349" s="139"/>
      <c r="C349" s="139"/>
      <c r="D349" s="139"/>
      <c r="F349" s="426"/>
      <c r="N349" s="721"/>
      <c r="U349" s="732"/>
    </row>
    <row r="350">
      <c r="B350" s="139"/>
      <c r="C350" s="139"/>
      <c r="D350" s="139"/>
      <c r="F350" s="426"/>
      <c r="N350" s="721"/>
      <c r="U350" s="732"/>
    </row>
    <row r="351">
      <c r="B351" s="139"/>
      <c r="C351" s="139"/>
      <c r="D351" s="139"/>
      <c r="F351" s="426"/>
      <c r="N351" s="721"/>
      <c r="U351" s="732"/>
    </row>
    <row r="352">
      <c r="B352" s="139"/>
      <c r="C352" s="139"/>
      <c r="D352" s="139"/>
      <c r="F352" s="426"/>
      <c r="N352" s="721"/>
      <c r="U352" s="732"/>
    </row>
    <row r="353">
      <c r="B353" s="139"/>
      <c r="C353" s="139"/>
      <c r="D353" s="139"/>
      <c r="F353" s="426"/>
      <c r="N353" s="721"/>
      <c r="U353" s="732"/>
    </row>
    <row r="354">
      <c r="B354" s="139"/>
      <c r="C354" s="139"/>
      <c r="D354" s="139"/>
      <c r="F354" s="426"/>
      <c r="N354" s="721"/>
      <c r="U354" s="732"/>
    </row>
    <row r="355">
      <c r="B355" s="139"/>
      <c r="C355" s="139"/>
      <c r="D355" s="139"/>
      <c r="F355" s="426"/>
      <c r="N355" s="721"/>
      <c r="U355" s="732"/>
    </row>
    <row r="356">
      <c r="B356" s="139"/>
      <c r="C356" s="139"/>
      <c r="D356" s="139"/>
      <c r="F356" s="426"/>
      <c r="N356" s="721"/>
      <c r="U356" s="732"/>
    </row>
    <row r="357">
      <c r="B357" s="139"/>
      <c r="C357" s="139"/>
      <c r="D357" s="139"/>
      <c r="F357" s="426"/>
      <c r="N357" s="721"/>
      <c r="U357" s="732"/>
    </row>
    <row r="358">
      <c r="B358" s="139"/>
      <c r="C358" s="139"/>
      <c r="D358" s="139"/>
      <c r="F358" s="426"/>
      <c r="N358" s="721"/>
      <c r="U358" s="732"/>
    </row>
    <row r="359">
      <c r="B359" s="139"/>
      <c r="C359" s="139"/>
      <c r="D359" s="139"/>
      <c r="F359" s="426"/>
      <c r="N359" s="721"/>
      <c r="U359" s="732"/>
    </row>
    <row r="360">
      <c r="B360" s="139"/>
      <c r="C360" s="139"/>
      <c r="D360" s="139"/>
      <c r="F360" s="426"/>
      <c r="N360" s="721"/>
      <c r="U360" s="732"/>
    </row>
    <row r="361">
      <c r="B361" s="139"/>
      <c r="C361" s="139"/>
      <c r="D361" s="139"/>
      <c r="F361" s="426"/>
      <c r="N361" s="721"/>
      <c r="U361" s="732"/>
    </row>
    <row r="362">
      <c r="B362" s="139"/>
      <c r="C362" s="139"/>
      <c r="D362" s="139"/>
      <c r="F362" s="426"/>
      <c r="N362" s="721"/>
      <c r="U362" s="732"/>
    </row>
    <row r="363">
      <c r="B363" s="139"/>
      <c r="C363" s="139"/>
      <c r="D363" s="139"/>
      <c r="F363" s="426"/>
      <c r="N363" s="721"/>
      <c r="U363" s="732"/>
    </row>
    <row r="364">
      <c r="B364" s="139"/>
      <c r="C364" s="139"/>
      <c r="D364" s="139"/>
      <c r="F364" s="426"/>
      <c r="N364" s="721"/>
      <c r="U364" s="732"/>
    </row>
    <row r="365">
      <c r="B365" s="139"/>
      <c r="C365" s="139"/>
      <c r="D365" s="139"/>
      <c r="F365" s="426"/>
      <c r="N365" s="721"/>
      <c r="U365" s="732"/>
    </row>
    <row r="366">
      <c r="B366" s="139"/>
      <c r="C366" s="139"/>
      <c r="D366" s="139"/>
      <c r="F366" s="426"/>
      <c r="N366" s="721"/>
      <c r="U366" s="732"/>
    </row>
    <row r="367">
      <c r="B367" s="139"/>
      <c r="C367" s="139"/>
      <c r="D367" s="139"/>
      <c r="F367" s="426"/>
      <c r="N367" s="721"/>
      <c r="U367" s="732"/>
    </row>
    <row r="368">
      <c r="B368" s="139"/>
      <c r="C368" s="139"/>
      <c r="D368" s="139"/>
      <c r="F368" s="426"/>
      <c r="N368" s="721"/>
      <c r="U368" s="732"/>
    </row>
    <row r="369">
      <c r="B369" s="139"/>
      <c r="C369" s="139"/>
      <c r="D369" s="139"/>
      <c r="F369" s="426"/>
      <c r="N369" s="721"/>
      <c r="U369" s="732"/>
    </row>
    <row r="370">
      <c r="B370" s="139"/>
      <c r="C370" s="139"/>
      <c r="D370" s="139"/>
      <c r="F370" s="426"/>
      <c r="N370" s="721"/>
      <c r="U370" s="732"/>
    </row>
    <row r="371">
      <c r="B371" s="139"/>
      <c r="C371" s="139"/>
      <c r="D371" s="139"/>
      <c r="F371" s="426"/>
      <c r="N371" s="721"/>
      <c r="U371" s="732"/>
    </row>
    <row r="372">
      <c r="B372" s="139"/>
      <c r="C372" s="139"/>
      <c r="D372" s="139"/>
      <c r="F372" s="426"/>
      <c r="N372" s="721"/>
      <c r="U372" s="732"/>
    </row>
    <row r="373">
      <c r="B373" s="139"/>
      <c r="C373" s="139"/>
      <c r="D373" s="139"/>
      <c r="F373" s="426"/>
      <c r="N373" s="721"/>
      <c r="U373" s="732"/>
    </row>
    <row r="374">
      <c r="B374" s="139"/>
      <c r="C374" s="139"/>
      <c r="D374" s="139"/>
      <c r="F374" s="426"/>
      <c r="N374" s="721"/>
      <c r="U374" s="732"/>
    </row>
    <row r="375">
      <c r="B375" s="139"/>
      <c r="C375" s="139"/>
      <c r="D375" s="139"/>
      <c r="F375" s="426"/>
      <c r="N375" s="721"/>
      <c r="U375" s="732"/>
    </row>
    <row r="376">
      <c r="B376" s="139"/>
      <c r="C376" s="139"/>
      <c r="D376" s="139"/>
      <c r="F376" s="426"/>
      <c r="N376" s="721"/>
      <c r="U376" s="732"/>
    </row>
    <row r="377">
      <c r="B377" s="139"/>
      <c r="C377" s="139"/>
      <c r="D377" s="139"/>
      <c r="F377" s="426"/>
      <c r="N377" s="721"/>
      <c r="U377" s="732"/>
    </row>
    <row r="378">
      <c r="B378" s="139"/>
      <c r="C378" s="139"/>
      <c r="D378" s="139"/>
      <c r="F378" s="426"/>
      <c r="N378" s="721"/>
      <c r="U378" s="732"/>
    </row>
    <row r="379">
      <c r="B379" s="139"/>
      <c r="C379" s="139"/>
      <c r="D379" s="139"/>
      <c r="F379" s="426"/>
      <c r="N379" s="721"/>
      <c r="U379" s="732"/>
    </row>
    <row r="380">
      <c r="B380" s="139"/>
      <c r="C380" s="139"/>
      <c r="D380" s="139"/>
      <c r="F380" s="426"/>
      <c r="N380" s="721"/>
      <c r="U380" s="732"/>
    </row>
    <row r="381">
      <c r="B381" s="139"/>
      <c r="C381" s="139"/>
      <c r="D381" s="139"/>
      <c r="F381" s="426"/>
      <c r="N381" s="721"/>
      <c r="U381" s="732"/>
    </row>
    <row r="382">
      <c r="B382" s="139"/>
      <c r="C382" s="139"/>
      <c r="D382" s="139"/>
      <c r="F382" s="426"/>
      <c r="N382" s="721"/>
      <c r="U382" s="732"/>
    </row>
    <row r="383">
      <c r="B383" s="139"/>
      <c r="C383" s="139"/>
      <c r="D383" s="139"/>
      <c r="F383" s="426"/>
      <c r="N383" s="721"/>
      <c r="U383" s="732"/>
    </row>
    <row r="384">
      <c r="B384" s="139"/>
      <c r="C384" s="139"/>
      <c r="D384" s="139"/>
      <c r="F384" s="426"/>
      <c r="N384" s="721"/>
      <c r="U384" s="732"/>
    </row>
    <row r="385">
      <c r="B385" s="139"/>
      <c r="C385" s="139"/>
      <c r="D385" s="139"/>
      <c r="F385" s="426"/>
      <c r="N385" s="721"/>
      <c r="U385" s="732"/>
    </row>
    <row r="386">
      <c r="B386" s="139"/>
      <c r="C386" s="139"/>
      <c r="D386" s="139"/>
      <c r="F386" s="426"/>
      <c r="N386" s="721"/>
      <c r="U386" s="732"/>
    </row>
    <row r="387">
      <c r="B387" s="139"/>
      <c r="C387" s="139"/>
      <c r="D387" s="139"/>
      <c r="F387" s="426"/>
      <c r="N387" s="721"/>
      <c r="U387" s="732"/>
    </row>
    <row r="388">
      <c r="B388" s="139"/>
      <c r="C388" s="139"/>
      <c r="D388" s="139"/>
      <c r="F388" s="426"/>
      <c r="N388" s="721"/>
      <c r="U388" s="732"/>
    </row>
    <row r="389">
      <c r="B389" s="139"/>
      <c r="C389" s="139"/>
      <c r="D389" s="139"/>
      <c r="F389" s="426"/>
      <c r="N389" s="721"/>
      <c r="U389" s="732"/>
    </row>
    <row r="390">
      <c r="B390" s="139"/>
      <c r="C390" s="139"/>
      <c r="D390" s="139"/>
      <c r="F390" s="426"/>
      <c r="N390" s="721"/>
      <c r="U390" s="732"/>
    </row>
    <row r="391">
      <c r="B391" s="139"/>
      <c r="C391" s="139"/>
      <c r="D391" s="139"/>
      <c r="F391" s="426"/>
      <c r="N391" s="721"/>
      <c r="U391" s="732"/>
    </row>
    <row r="392">
      <c r="B392" s="139"/>
      <c r="C392" s="139"/>
      <c r="D392" s="139"/>
      <c r="F392" s="426"/>
      <c r="N392" s="721"/>
      <c r="U392" s="732"/>
    </row>
    <row r="393">
      <c r="B393" s="139"/>
      <c r="C393" s="139"/>
      <c r="D393" s="139"/>
      <c r="F393" s="426"/>
      <c r="N393" s="721"/>
      <c r="U393" s="732"/>
    </row>
    <row r="394">
      <c r="B394" s="139"/>
      <c r="C394" s="139"/>
      <c r="D394" s="139"/>
      <c r="F394" s="426"/>
      <c r="N394" s="721"/>
      <c r="U394" s="732"/>
    </row>
    <row r="395">
      <c r="B395" s="139"/>
      <c r="C395" s="139"/>
      <c r="D395" s="139"/>
      <c r="F395" s="426"/>
      <c r="N395" s="721"/>
      <c r="U395" s="732"/>
    </row>
    <row r="396">
      <c r="B396" s="139"/>
      <c r="C396" s="139"/>
      <c r="D396" s="139"/>
      <c r="F396" s="426"/>
      <c r="N396" s="721"/>
      <c r="U396" s="732"/>
    </row>
    <row r="397">
      <c r="B397" s="139"/>
      <c r="C397" s="139"/>
      <c r="D397" s="139"/>
      <c r="F397" s="426"/>
      <c r="N397" s="721"/>
      <c r="U397" s="732"/>
    </row>
    <row r="398">
      <c r="B398" s="139"/>
      <c r="C398" s="139"/>
      <c r="D398" s="139"/>
      <c r="F398" s="426"/>
      <c r="N398" s="721"/>
      <c r="U398" s="732"/>
    </row>
    <row r="399">
      <c r="B399" s="139"/>
      <c r="C399" s="139"/>
      <c r="D399" s="139"/>
      <c r="F399" s="426"/>
      <c r="N399" s="721"/>
      <c r="U399" s="732"/>
    </row>
    <row r="400">
      <c r="B400" s="139"/>
      <c r="C400" s="139"/>
      <c r="D400" s="139"/>
      <c r="F400" s="426"/>
      <c r="N400" s="721"/>
      <c r="U400" s="732"/>
    </row>
    <row r="401">
      <c r="B401" s="139"/>
      <c r="C401" s="139"/>
      <c r="D401" s="139"/>
      <c r="F401" s="426"/>
      <c r="N401" s="721"/>
      <c r="U401" s="732"/>
    </row>
    <row r="402">
      <c r="B402" s="139"/>
      <c r="C402" s="139"/>
      <c r="D402" s="139"/>
      <c r="F402" s="426"/>
      <c r="N402" s="721"/>
      <c r="U402" s="732"/>
    </row>
    <row r="403">
      <c r="B403" s="139"/>
      <c r="C403" s="139"/>
      <c r="D403" s="139"/>
      <c r="F403" s="426"/>
      <c r="N403" s="721"/>
      <c r="U403" s="732"/>
    </row>
    <row r="404">
      <c r="B404" s="139"/>
      <c r="C404" s="139"/>
      <c r="D404" s="139"/>
      <c r="F404" s="426"/>
      <c r="N404" s="721"/>
      <c r="U404" s="732"/>
    </row>
    <row r="405">
      <c r="B405" s="139"/>
      <c r="C405" s="139"/>
      <c r="D405" s="139"/>
      <c r="F405" s="426"/>
      <c r="N405" s="721"/>
      <c r="U405" s="732"/>
    </row>
    <row r="406">
      <c r="B406" s="139"/>
      <c r="C406" s="139"/>
      <c r="D406" s="139"/>
      <c r="F406" s="426"/>
      <c r="N406" s="721"/>
      <c r="U406" s="732"/>
    </row>
    <row r="407">
      <c r="B407" s="139"/>
      <c r="C407" s="139"/>
      <c r="D407" s="139"/>
      <c r="F407" s="426"/>
      <c r="N407" s="721"/>
      <c r="U407" s="732"/>
    </row>
    <row r="408">
      <c r="B408" s="139"/>
      <c r="C408" s="139"/>
      <c r="D408" s="139"/>
      <c r="F408" s="426"/>
      <c r="N408" s="721"/>
      <c r="U408" s="732"/>
    </row>
    <row r="409">
      <c r="B409" s="139"/>
      <c r="C409" s="139"/>
      <c r="D409" s="139"/>
      <c r="F409" s="426"/>
      <c r="N409" s="721"/>
      <c r="U409" s="732"/>
    </row>
    <row r="410">
      <c r="B410" s="139"/>
      <c r="C410" s="139"/>
      <c r="D410" s="139"/>
      <c r="F410" s="426"/>
      <c r="N410" s="721"/>
      <c r="U410" s="732"/>
    </row>
    <row r="411">
      <c r="B411" s="139"/>
      <c r="C411" s="139"/>
      <c r="D411" s="139"/>
      <c r="F411" s="426"/>
      <c r="N411" s="721"/>
      <c r="U411" s="732"/>
    </row>
    <row r="412">
      <c r="B412" s="139"/>
      <c r="C412" s="139"/>
      <c r="D412" s="139"/>
      <c r="F412" s="426"/>
      <c r="N412" s="721"/>
      <c r="U412" s="732"/>
    </row>
    <row r="413">
      <c r="B413" s="139"/>
      <c r="C413" s="139"/>
      <c r="D413" s="139"/>
      <c r="F413" s="426"/>
      <c r="N413" s="721"/>
      <c r="U413" s="732"/>
    </row>
    <row r="414">
      <c r="B414" s="139"/>
      <c r="C414" s="139"/>
      <c r="D414" s="139"/>
      <c r="F414" s="426"/>
      <c r="N414" s="721"/>
      <c r="U414" s="732"/>
    </row>
    <row r="415">
      <c r="B415" s="139"/>
      <c r="C415" s="139"/>
      <c r="D415" s="139"/>
      <c r="F415" s="426"/>
      <c r="N415" s="721"/>
      <c r="U415" s="732"/>
    </row>
    <row r="416">
      <c r="B416" s="139"/>
      <c r="C416" s="139"/>
      <c r="D416" s="139"/>
      <c r="F416" s="426"/>
      <c r="N416" s="721"/>
      <c r="U416" s="732"/>
    </row>
    <row r="417">
      <c r="B417" s="139"/>
      <c r="C417" s="139"/>
      <c r="D417" s="139"/>
      <c r="F417" s="426"/>
      <c r="N417" s="721"/>
      <c r="U417" s="732"/>
    </row>
    <row r="418">
      <c r="B418" s="139"/>
      <c r="C418" s="139"/>
      <c r="D418" s="139"/>
      <c r="F418" s="426"/>
      <c r="N418" s="721"/>
      <c r="U418" s="732"/>
    </row>
    <row r="419">
      <c r="B419" s="139"/>
      <c r="C419" s="139"/>
      <c r="D419" s="139"/>
      <c r="F419" s="426"/>
      <c r="N419" s="721"/>
      <c r="U419" s="732"/>
    </row>
    <row r="420">
      <c r="B420" s="139"/>
      <c r="C420" s="139"/>
      <c r="D420" s="139"/>
      <c r="F420" s="426"/>
      <c r="N420" s="721"/>
      <c r="U420" s="732"/>
    </row>
    <row r="421">
      <c r="B421" s="139"/>
      <c r="C421" s="139"/>
      <c r="D421" s="139"/>
      <c r="F421" s="426"/>
      <c r="N421" s="721"/>
      <c r="U421" s="732"/>
    </row>
    <row r="422">
      <c r="B422" s="139"/>
      <c r="C422" s="139"/>
      <c r="D422" s="139"/>
      <c r="F422" s="426"/>
      <c r="N422" s="721"/>
      <c r="U422" s="732"/>
    </row>
    <row r="423">
      <c r="B423" s="139"/>
      <c r="C423" s="139"/>
      <c r="D423" s="139"/>
      <c r="F423" s="426"/>
      <c r="N423" s="721"/>
      <c r="U423" s="732"/>
    </row>
    <row r="424">
      <c r="B424" s="139"/>
      <c r="C424" s="139"/>
      <c r="D424" s="139"/>
      <c r="F424" s="426"/>
      <c r="N424" s="721"/>
      <c r="U424" s="732"/>
    </row>
    <row r="425">
      <c r="B425" s="139"/>
      <c r="C425" s="139"/>
      <c r="D425" s="139"/>
      <c r="F425" s="426"/>
      <c r="N425" s="721"/>
      <c r="U425" s="732"/>
    </row>
    <row r="426">
      <c r="B426" s="139"/>
      <c r="C426" s="139"/>
      <c r="D426" s="139"/>
      <c r="F426" s="426"/>
      <c r="N426" s="721"/>
      <c r="U426" s="732"/>
    </row>
    <row r="427">
      <c r="B427" s="139"/>
      <c r="C427" s="139"/>
      <c r="D427" s="139"/>
      <c r="F427" s="426"/>
      <c r="N427" s="721"/>
      <c r="U427" s="732"/>
    </row>
    <row r="428">
      <c r="B428" s="139"/>
      <c r="C428" s="139"/>
      <c r="D428" s="139"/>
      <c r="F428" s="426"/>
      <c r="N428" s="721"/>
      <c r="U428" s="732"/>
    </row>
    <row r="429">
      <c r="B429" s="139"/>
      <c r="C429" s="139"/>
      <c r="D429" s="139"/>
      <c r="F429" s="426"/>
      <c r="N429" s="721"/>
      <c r="U429" s="732"/>
    </row>
    <row r="430">
      <c r="B430" s="139"/>
      <c r="C430" s="139"/>
      <c r="D430" s="139"/>
      <c r="F430" s="426"/>
      <c r="N430" s="721"/>
      <c r="U430" s="732"/>
    </row>
    <row r="431">
      <c r="B431" s="139"/>
      <c r="C431" s="139"/>
      <c r="D431" s="139"/>
      <c r="F431" s="426"/>
      <c r="N431" s="721"/>
      <c r="U431" s="732"/>
    </row>
    <row r="432">
      <c r="B432" s="139"/>
      <c r="C432" s="139"/>
      <c r="D432" s="139"/>
      <c r="F432" s="426"/>
      <c r="N432" s="721"/>
      <c r="U432" s="732"/>
    </row>
    <row r="433">
      <c r="B433" s="139"/>
      <c r="C433" s="139"/>
      <c r="D433" s="139"/>
      <c r="F433" s="426"/>
      <c r="N433" s="721"/>
      <c r="U433" s="732"/>
    </row>
    <row r="434">
      <c r="B434" s="139"/>
      <c r="C434" s="139"/>
      <c r="D434" s="139"/>
      <c r="F434" s="426"/>
      <c r="N434" s="721"/>
      <c r="U434" s="732"/>
    </row>
    <row r="435">
      <c r="B435" s="139"/>
      <c r="C435" s="139"/>
      <c r="D435" s="139"/>
      <c r="F435" s="426"/>
      <c r="N435" s="721"/>
      <c r="U435" s="732"/>
    </row>
    <row r="436">
      <c r="B436" s="139"/>
      <c r="C436" s="139"/>
      <c r="D436" s="139"/>
      <c r="F436" s="426"/>
      <c r="N436" s="721"/>
      <c r="U436" s="732"/>
    </row>
    <row r="437">
      <c r="B437" s="139"/>
      <c r="C437" s="139"/>
      <c r="D437" s="139"/>
      <c r="F437" s="426"/>
      <c r="N437" s="721"/>
      <c r="U437" s="732"/>
    </row>
    <row r="438">
      <c r="B438" s="139"/>
      <c r="C438" s="139"/>
      <c r="D438" s="139"/>
      <c r="F438" s="426"/>
      <c r="N438" s="721"/>
      <c r="U438" s="732"/>
    </row>
    <row r="439">
      <c r="B439" s="139"/>
      <c r="C439" s="139"/>
      <c r="D439" s="139"/>
      <c r="F439" s="426"/>
      <c r="N439" s="721"/>
      <c r="U439" s="732"/>
    </row>
    <row r="440">
      <c r="B440" s="139"/>
      <c r="C440" s="139"/>
      <c r="D440" s="139"/>
      <c r="F440" s="426"/>
      <c r="N440" s="721"/>
      <c r="U440" s="732"/>
    </row>
    <row r="441">
      <c r="B441" s="139"/>
      <c r="C441" s="139"/>
      <c r="D441" s="139"/>
      <c r="F441" s="426"/>
      <c r="N441" s="721"/>
      <c r="U441" s="732"/>
    </row>
    <row r="442">
      <c r="B442" s="139"/>
      <c r="C442" s="139"/>
      <c r="D442" s="139"/>
      <c r="F442" s="426"/>
      <c r="N442" s="721"/>
      <c r="U442" s="732"/>
    </row>
    <row r="443">
      <c r="B443" s="139"/>
      <c r="C443" s="139"/>
      <c r="D443" s="139"/>
      <c r="F443" s="426"/>
      <c r="N443" s="721"/>
      <c r="U443" s="732"/>
    </row>
    <row r="444">
      <c r="B444" s="139"/>
      <c r="C444" s="139"/>
      <c r="D444" s="139"/>
      <c r="F444" s="426"/>
      <c r="N444" s="721"/>
      <c r="U444" s="732"/>
    </row>
    <row r="445">
      <c r="B445" s="139"/>
      <c r="C445" s="139"/>
      <c r="D445" s="139"/>
      <c r="F445" s="426"/>
      <c r="N445" s="721"/>
      <c r="U445" s="732"/>
    </row>
    <row r="446">
      <c r="B446" s="139"/>
      <c r="C446" s="139"/>
      <c r="D446" s="139"/>
      <c r="F446" s="426"/>
      <c r="N446" s="721"/>
      <c r="U446" s="732"/>
    </row>
    <row r="447">
      <c r="B447" s="139"/>
      <c r="C447" s="139"/>
      <c r="D447" s="139"/>
      <c r="F447" s="426"/>
      <c r="N447" s="721"/>
      <c r="U447" s="732"/>
    </row>
    <row r="448">
      <c r="B448" s="139"/>
      <c r="C448" s="139"/>
      <c r="D448" s="139"/>
      <c r="F448" s="426"/>
      <c r="N448" s="721"/>
      <c r="U448" s="732"/>
    </row>
    <row r="449">
      <c r="B449" s="139"/>
      <c r="C449" s="139"/>
      <c r="D449" s="139"/>
      <c r="F449" s="426"/>
      <c r="N449" s="721"/>
      <c r="U449" s="732"/>
    </row>
    <row r="450">
      <c r="B450" s="139"/>
      <c r="C450" s="139"/>
      <c r="D450" s="139"/>
      <c r="F450" s="426"/>
      <c r="N450" s="721"/>
      <c r="U450" s="732"/>
    </row>
    <row r="451">
      <c r="B451" s="139"/>
      <c r="C451" s="139"/>
      <c r="D451" s="139"/>
      <c r="F451" s="426"/>
      <c r="N451" s="721"/>
      <c r="U451" s="732"/>
    </row>
    <row r="452">
      <c r="B452" s="139"/>
      <c r="C452" s="139"/>
      <c r="D452" s="139"/>
      <c r="F452" s="426"/>
      <c r="N452" s="721"/>
      <c r="U452" s="732"/>
    </row>
    <row r="453">
      <c r="B453" s="139"/>
      <c r="C453" s="139"/>
      <c r="D453" s="139"/>
      <c r="F453" s="426"/>
      <c r="N453" s="721"/>
      <c r="U453" s="732"/>
    </row>
    <row r="454">
      <c r="B454" s="139"/>
      <c r="C454" s="139"/>
      <c r="D454" s="139"/>
      <c r="F454" s="426"/>
      <c r="N454" s="721"/>
      <c r="U454" s="732"/>
    </row>
    <row r="455">
      <c r="B455" s="139"/>
      <c r="C455" s="139"/>
      <c r="D455" s="139"/>
      <c r="F455" s="426"/>
      <c r="N455" s="721"/>
      <c r="U455" s="732"/>
    </row>
    <row r="456">
      <c r="B456" s="139"/>
      <c r="C456" s="139"/>
      <c r="D456" s="139"/>
      <c r="F456" s="426"/>
      <c r="N456" s="721"/>
      <c r="U456" s="732"/>
    </row>
    <row r="457">
      <c r="B457" s="139"/>
      <c r="C457" s="139"/>
      <c r="D457" s="139"/>
      <c r="F457" s="426"/>
      <c r="N457" s="721"/>
      <c r="U457" s="732"/>
    </row>
    <row r="458">
      <c r="B458" s="139"/>
      <c r="C458" s="139"/>
      <c r="D458" s="139"/>
      <c r="F458" s="426"/>
      <c r="N458" s="721"/>
      <c r="U458" s="732"/>
    </row>
    <row r="459">
      <c r="B459" s="139"/>
      <c r="C459" s="139"/>
      <c r="D459" s="139"/>
      <c r="F459" s="426"/>
      <c r="N459" s="721"/>
      <c r="U459" s="732"/>
    </row>
    <row r="460">
      <c r="B460" s="139"/>
      <c r="C460" s="139"/>
      <c r="D460" s="139"/>
      <c r="F460" s="426"/>
      <c r="N460" s="721"/>
      <c r="U460" s="732"/>
    </row>
    <row r="461">
      <c r="B461" s="139"/>
      <c r="C461" s="139"/>
      <c r="D461" s="139"/>
      <c r="F461" s="426"/>
      <c r="N461" s="721"/>
      <c r="U461" s="732"/>
    </row>
    <row r="462">
      <c r="B462" s="139"/>
      <c r="C462" s="139"/>
      <c r="D462" s="139"/>
      <c r="F462" s="426"/>
      <c r="N462" s="721"/>
      <c r="U462" s="732"/>
    </row>
    <row r="463">
      <c r="B463" s="139"/>
      <c r="C463" s="139"/>
      <c r="D463" s="139"/>
      <c r="F463" s="426"/>
      <c r="N463" s="721"/>
      <c r="U463" s="732"/>
    </row>
    <row r="464">
      <c r="B464" s="139"/>
      <c r="C464" s="139"/>
      <c r="D464" s="139"/>
      <c r="F464" s="426"/>
      <c r="N464" s="721"/>
      <c r="U464" s="732"/>
    </row>
    <row r="465">
      <c r="B465" s="139"/>
      <c r="C465" s="139"/>
      <c r="D465" s="139"/>
      <c r="F465" s="426"/>
      <c r="N465" s="721"/>
      <c r="U465" s="732"/>
    </row>
    <row r="466">
      <c r="B466" s="139"/>
      <c r="C466" s="139"/>
      <c r="D466" s="139"/>
      <c r="F466" s="426"/>
      <c r="N466" s="721"/>
      <c r="U466" s="732"/>
    </row>
    <row r="467">
      <c r="B467" s="139"/>
      <c r="C467" s="139"/>
      <c r="D467" s="139"/>
      <c r="F467" s="426"/>
      <c r="N467" s="721"/>
      <c r="U467" s="732"/>
    </row>
    <row r="468">
      <c r="B468" s="139"/>
      <c r="C468" s="139"/>
      <c r="D468" s="139"/>
      <c r="F468" s="426"/>
      <c r="N468" s="721"/>
      <c r="U468" s="732"/>
    </row>
    <row r="469">
      <c r="B469" s="139"/>
      <c r="C469" s="139"/>
      <c r="D469" s="139"/>
      <c r="F469" s="426"/>
      <c r="N469" s="721"/>
      <c r="U469" s="732"/>
    </row>
    <row r="470">
      <c r="B470" s="139"/>
      <c r="C470" s="139"/>
      <c r="D470" s="139"/>
      <c r="F470" s="426"/>
      <c r="N470" s="721"/>
      <c r="U470" s="732"/>
    </row>
    <row r="471">
      <c r="B471" s="139"/>
      <c r="C471" s="139"/>
      <c r="D471" s="139"/>
      <c r="F471" s="426"/>
      <c r="N471" s="721"/>
      <c r="U471" s="732"/>
    </row>
    <row r="472">
      <c r="B472" s="139"/>
      <c r="C472" s="139"/>
      <c r="D472" s="139"/>
      <c r="F472" s="426"/>
      <c r="N472" s="721"/>
      <c r="U472" s="732"/>
    </row>
    <row r="473">
      <c r="B473" s="139"/>
      <c r="C473" s="139"/>
      <c r="D473" s="139"/>
      <c r="F473" s="426"/>
      <c r="N473" s="721"/>
      <c r="U473" s="732"/>
    </row>
    <row r="474">
      <c r="B474" s="139"/>
      <c r="C474" s="139"/>
      <c r="D474" s="139"/>
      <c r="F474" s="426"/>
      <c r="N474" s="721"/>
      <c r="U474" s="732"/>
    </row>
    <row r="475">
      <c r="B475" s="139"/>
      <c r="C475" s="139"/>
      <c r="D475" s="139"/>
      <c r="F475" s="426"/>
      <c r="N475" s="721"/>
      <c r="U475" s="732"/>
    </row>
    <row r="476">
      <c r="B476" s="139"/>
      <c r="C476" s="139"/>
      <c r="D476" s="139"/>
      <c r="F476" s="426"/>
      <c r="N476" s="721"/>
      <c r="U476" s="732"/>
    </row>
    <row r="477">
      <c r="B477" s="139"/>
      <c r="C477" s="139"/>
      <c r="D477" s="139"/>
      <c r="F477" s="426"/>
      <c r="N477" s="721"/>
      <c r="U477" s="732"/>
    </row>
    <row r="478">
      <c r="B478" s="139"/>
      <c r="C478" s="139"/>
      <c r="D478" s="139"/>
      <c r="F478" s="426"/>
      <c r="N478" s="721"/>
      <c r="U478" s="732"/>
    </row>
    <row r="479">
      <c r="B479" s="139"/>
      <c r="C479" s="139"/>
      <c r="D479" s="139"/>
      <c r="F479" s="426"/>
      <c r="N479" s="721"/>
      <c r="U479" s="732"/>
    </row>
    <row r="480">
      <c r="B480" s="139"/>
      <c r="C480" s="139"/>
      <c r="D480" s="139"/>
      <c r="F480" s="426"/>
      <c r="N480" s="721"/>
      <c r="U480" s="732"/>
    </row>
    <row r="481">
      <c r="B481" s="139"/>
      <c r="C481" s="139"/>
      <c r="D481" s="139"/>
      <c r="F481" s="426"/>
      <c r="N481" s="721"/>
      <c r="U481" s="732"/>
    </row>
    <row r="482">
      <c r="B482" s="139"/>
      <c r="C482" s="139"/>
      <c r="D482" s="139"/>
      <c r="F482" s="426"/>
      <c r="N482" s="721"/>
      <c r="U482" s="732"/>
    </row>
    <row r="483">
      <c r="B483" s="139"/>
      <c r="C483" s="139"/>
      <c r="D483" s="139"/>
      <c r="F483" s="426"/>
      <c r="N483" s="721"/>
      <c r="U483" s="732"/>
    </row>
    <row r="484">
      <c r="B484" s="139"/>
      <c r="C484" s="139"/>
      <c r="D484" s="139"/>
      <c r="F484" s="426"/>
      <c r="N484" s="721"/>
      <c r="U484" s="732"/>
    </row>
    <row r="485">
      <c r="B485" s="139"/>
      <c r="C485" s="139"/>
      <c r="D485" s="139"/>
      <c r="F485" s="426"/>
      <c r="N485" s="721"/>
      <c r="U485" s="732"/>
    </row>
    <row r="486">
      <c r="B486" s="139"/>
      <c r="C486" s="139"/>
      <c r="D486" s="139"/>
      <c r="F486" s="426"/>
      <c r="N486" s="721"/>
      <c r="U486" s="732"/>
    </row>
    <row r="487">
      <c r="B487" s="139"/>
      <c r="C487" s="139"/>
      <c r="D487" s="139"/>
      <c r="F487" s="426"/>
      <c r="N487" s="721"/>
      <c r="U487" s="732"/>
    </row>
    <row r="488">
      <c r="B488" s="139"/>
      <c r="C488" s="139"/>
      <c r="D488" s="139"/>
      <c r="F488" s="426"/>
      <c r="N488" s="721"/>
      <c r="U488" s="732"/>
    </row>
    <row r="489">
      <c r="B489" s="139"/>
      <c r="C489" s="139"/>
      <c r="D489" s="139"/>
      <c r="F489" s="426"/>
      <c r="N489" s="721"/>
      <c r="U489" s="732"/>
    </row>
    <row r="490">
      <c r="B490" s="139"/>
      <c r="C490" s="139"/>
      <c r="D490" s="139"/>
      <c r="F490" s="426"/>
      <c r="N490" s="721"/>
      <c r="U490" s="732"/>
    </row>
    <row r="491">
      <c r="B491" s="139"/>
      <c r="C491" s="139"/>
      <c r="D491" s="139"/>
      <c r="F491" s="426"/>
      <c r="N491" s="721"/>
      <c r="U491" s="732"/>
    </row>
    <row r="492">
      <c r="B492" s="139"/>
      <c r="C492" s="139"/>
      <c r="D492" s="139"/>
      <c r="F492" s="426"/>
      <c r="N492" s="721"/>
      <c r="U492" s="732"/>
    </row>
    <row r="493">
      <c r="B493" s="139"/>
      <c r="C493" s="139"/>
      <c r="D493" s="139"/>
      <c r="F493" s="426"/>
      <c r="N493" s="721"/>
      <c r="U493" s="732"/>
    </row>
    <row r="494">
      <c r="B494" s="139"/>
      <c r="C494" s="139"/>
      <c r="D494" s="139"/>
      <c r="F494" s="426"/>
      <c r="N494" s="721"/>
      <c r="U494" s="732"/>
    </row>
    <row r="495">
      <c r="B495" s="139"/>
      <c r="C495" s="139"/>
      <c r="D495" s="139"/>
      <c r="F495" s="426"/>
      <c r="N495" s="721"/>
      <c r="U495" s="732"/>
    </row>
    <row r="496">
      <c r="B496" s="139"/>
      <c r="C496" s="139"/>
      <c r="D496" s="139"/>
      <c r="F496" s="426"/>
      <c r="N496" s="721"/>
      <c r="U496" s="732"/>
    </row>
    <row r="497">
      <c r="B497" s="139"/>
      <c r="C497" s="139"/>
      <c r="D497" s="139"/>
      <c r="F497" s="426"/>
      <c r="N497" s="721"/>
      <c r="U497" s="732"/>
    </row>
    <row r="498">
      <c r="B498" s="139"/>
      <c r="C498" s="139"/>
      <c r="D498" s="139"/>
      <c r="F498" s="426"/>
      <c r="N498" s="721"/>
      <c r="U498" s="732"/>
    </row>
    <row r="499">
      <c r="B499" s="139"/>
      <c r="C499" s="139"/>
      <c r="D499" s="139"/>
      <c r="F499" s="426"/>
      <c r="N499" s="721"/>
      <c r="U499" s="732"/>
    </row>
    <row r="500">
      <c r="B500" s="139"/>
      <c r="C500" s="139"/>
      <c r="D500" s="139"/>
      <c r="F500" s="426"/>
      <c r="N500" s="721"/>
      <c r="U500" s="732"/>
    </row>
    <row r="501">
      <c r="B501" s="139"/>
      <c r="C501" s="139"/>
      <c r="D501" s="139"/>
      <c r="F501" s="426"/>
      <c r="N501" s="721"/>
      <c r="U501" s="732"/>
    </row>
    <row r="502">
      <c r="B502" s="139"/>
      <c r="C502" s="139"/>
      <c r="D502" s="139"/>
      <c r="F502" s="426"/>
      <c r="N502" s="721"/>
      <c r="U502" s="732"/>
    </row>
    <row r="503">
      <c r="B503" s="139"/>
      <c r="C503" s="139"/>
      <c r="D503" s="139"/>
      <c r="F503" s="426"/>
      <c r="N503" s="721"/>
      <c r="U503" s="732"/>
    </row>
    <row r="504">
      <c r="B504" s="139"/>
      <c r="C504" s="139"/>
      <c r="D504" s="139"/>
      <c r="F504" s="426"/>
      <c r="N504" s="721"/>
      <c r="U504" s="732"/>
    </row>
    <row r="505">
      <c r="B505" s="139"/>
      <c r="C505" s="139"/>
      <c r="D505" s="139"/>
      <c r="F505" s="426"/>
      <c r="N505" s="721"/>
      <c r="U505" s="732"/>
    </row>
    <row r="506">
      <c r="B506" s="139"/>
      <c r="C506" s="139"/>
      <c r="D506" s="139"/>
      <c r="F506" s="426"/>
      <c r="N506" s="721"/>
      <c r="U506" s="732"/>
    </row>
    <row r="507">
      <c r="B507" s="139"/>
      <c r="C507" s="139"/>
      <c r="D507" s="139"/>
      <c r="F507" s="426"/>
      <c r="N507" s="721"/>
      <c r="U507" s="732"/>
    </row>
    <row r="508">
      <c r="B508" s="139"/>
      <c r="C508" s="139"/>
      <c r="D508" s="139"/>
      <c r="F508" s="426"/>
      <c r="N508" s="721"/>
      <c r="U508" s="732"/>
    </row>
    <row r="509">
      <c r="B509" s="139"/>
      <c r="C509" s="139"/>
      <c r="D509" s="139"/>
      <c r="F509" s="426"/>
      <c r="N509" s="721"/>
      <c r="U509" s="732"/>
    </row>
    <row r="510">
      <c r="B510" s="139"/>
      <c r="C510" s="139"/>
      <c r="D510" s="139"/>
      <c r="F510" s="426"/>
      <c r="N510" s="721"/>
      <c r="U510" s="732"/>
    </row>
    <row r="511">
      <c r="B511" s="139"/>
      <c r="C511" s="139"/>
      <c r="D511" s="139"/>
      <c r="F511" s="426"/>
      <c r="N511" s="721"/>
      <c r="U511" s="732"/>
    </row>
    <row r="512">
      <c r="B512" s="139"/>
      <c r="C512" s="139"/>
      <c r="D512" s="139"/>
      <c r="F512" s="426"/>
      <c r="N512" s="721"/>
      <c r="U512" s="732"/>
    </row>
    <row r="513">
      <c r="B513" s="139"/>
      <c r="C513" s="139"/>
      <c r="D513" s="139"/>
      <c r="F513" s="426"/>
      <c r="N513" s="721"/>
      <c r="U513" s="732"/>
    </row>
    <row r="514">
      <c r="B514" s="139"/>
      <c r="C514" s="139"/>
      <c r="D514" s="139"/>
      <c r="F514" s="426"/>
      <c r="N514" s="721"/>
      <c r="U514" s="732"/>
    </row>
    <row r="515">
      <c r="B515" s="139"/>
      <c r="C515" s="139"/>
      <c r="D515" s="139"/>
      <c r="F515" s="426"/>
      <c r="N515" s="721"/>
      <c r="U515" s="732"/>
    </row>
    <row r="516">
      <c r="B516" s="139"/>
      <c r="C516" s="139"/>
      <c r="D516" s="139"/>
      <c r="F516" s="426"/>
      <c r="N516" s="721"/>
      <c r="U516" s="732"/>
    </row>
    <row r="517">
      <c r="B517" s="139"/>
      <c r="C517" s="139"/>
      <c r="D517" s="139"/>
      <c r="F517" s="426"/>
      <c r="N517" s="721"/>
      <c r="U517" s="732"/>
    </row>
    <row r="518">
      <c r="B518" s="139"/>
      <c r="C518" s="139"/>
      <c r="D518" s="139"/>
      <c r="F518" s="426"/>
      <c r="N518" s="721"/>
      <c r="U518" s="732"/>
    </row>
    <row r="519">
      <c r="B519" s="139"/>
      <c r="C519" s="139"/>
      <c r="D519" s="139"/>
      <c r="F519" s="426"/>
      <c r="N519" s="721"/>
      <c r="U519" s="732"/>
    </row>
    <row r="520">
      <c r="B520" s="139"/>
      <c r="C520" s="139"/>
      <c r="D520" s="139"/>
      <c r="F520" s="426"/>
      <c r="N520" s="721"/>
      <c r="U520" s="732"/>
    </row>
    <row r="521">
      <c r="B521" s="139"/>
      <c r="C521" s="139"/>
      <c r="D521" s="139"/>
      <c r="F521" s="426"/>
      <c r="N521" s="721"/>
      <c r="U521" s="732"/>
    </row>
    <row r="522">
      <c r="B522" s="139"/>
      <c r="C522" s="139"/>
      <c r="D522" s="139"/>
      <c r="F522" s="426"/>
      <c r="N522" s="721"/>
      <c r="U522" s="732"/>
    </row>
    <row r="523">
      <c r="B523" s="139"/>
      <c r="C523" s="139"/>
      <c r="D523" s="139"/>
      <c r="F523" s="426"/>
      <c r="N523" s="721"/>
      <c r="U523" s="732"/>
    </row>
    <row r="524">
      <c r="B524" s="139"/>
      <c r="C524" s="139"/>
      <c r="D524" s="139"/>
      <c r="F524" s="426"/>
      <c r="N524" s="721"/>
      <c r="U524" s="732"/>
    </row>
    <row r="525">
      <c r="B525" s="139"/>
      <c r="C525" s="139"/>
      <c r="D525" s="139"/>
      <c r="F525" s="426"/>
      <c r="N525" s="721"/>
      <c r="U525" s="732"/>
    </row>
    <row r="526">
      <c r="B526" s="139"/>
      <c r="C526" s="139"/>
      <c r="D526" s="139"/>
      <c r="F526" s="426"/>
      <c r="N526" s="721"/>
      <c r="U526" s="732"/>
    </row>
    <row r="527">
      <c r="B527" s="139"/>
      <c r="C527" s="139"/>
      <c r="D527" s="139"/>
      <c r="F527" s="426"/>
      <c r="N527" s="721"/>
      <c r="U527" s="732"/>
    </row>
    <row r="528">
      <c r="B528" s="139"/>
      <c r="C528" s="139"/>
      <c r="D528" s="139"/>
      <c r="F528" s="426"/>
      <c r="N528" s="721"/>
      <c r="U528" s="732"/>
    </row>
    <row r="529">
      <c r="B529" s="139"/>
      <c r="C529" s="139"/>
      <c r="D529" s="139"/>
      <c r="F529" s="426"/>
      <c r="N529" s="721"/>
      <c r="U529" s="732"/>
    </row>
    <row r="530">
      <c r="B530" s="139"/>
      <c r="C530" s="139"/>
      <c r="D530" s="139"/>
      <c r="F530" s="426"/>
      <c r="N530" s="721"/>
      <c r="U530" s="732"/>
    </row>
    <row r="531">
      <c r="B531" s="139"/>
      <c r="C531" s="139"/>
      <c r="D531" s="139"/>
      <c r="F531" s="426"/>
      <c r="N531" s="721"/>
      <c r="U531" s="732"/>
    </row>
    <row r="532">
      <c r="B532" s="139"/>
      <c r="C532" s="139"/>
      <c r="D532" s="139"/>
      <c r="F532" s="426"/>
      <c r="N532" s="721"/>
      <c r="U532" s="732"/>
    </row>
    <row r="533">
      <c r="B533" s="139"/>
      <c r="C533" s="139"/>
      <c r="D533" s="139"/>
      <c r="F533" s="426"/>
      <c r="N533" s="721"/>
      <c r="U533" s="732"/>
    </row>
    <row r="534">
      <c r="B534" s="139"/>
      <c r="C534" s="139"/>
      <c r="D534" s="139"/>
      <c r="F534" s="426"/>
      <c r="N534" s="721"/>
      <c r="U534" s="732"/>
    </row>
    <row r="535">
      <c r="B535" s="139"/>
      <c r="C535" s="139"/>
      <c r="D535" s="139"/>
      <c r="F535" s="426"/>
      <c r="N535" s="721"/>
      <c r="U535" s="732"/>
    </row>
    <row r="536">
      <c r="B536" s="139"/>
      <c r="C536" s="139"/>
      <c r="D536" s="139"/>
      <c r="F536" s="426"/>
      <c r="N536" s="721"/>
      <c r="U536" s="732"/>
    </row>
    <row r="537">
      <c r="B537" s="139"/>
      <c r="C537" s="139"/>
      <c r="D537" s="139"/>
      <c r="F537" s="426"/>
      <c r="N537" s="721"/>
      <c r="U537" s="732"/>
    </row>
    <row r="538">
      <c r="B538" s="139"/>
      <c r="C538" s="139"/>
      <c r="D538" s="139"/>
      <c r="F538" s="426"/>
      <c r="N538" s="721"/>
      <c r="U538" s="732"/>
    </row>
    <row r="539">
      <c r="B539" s="139"/>
      <c r="C539" s="139"/>
      <c r="D539" s="139"/>
      <c r="F539" s="426"/>
      <c r="N539" s="721"/>
      <c r="U539" s="732"/>
    </row>
    <row r="540">
      <c r="B540" s="139"/>
      <c r="C540" s="139"/>
      <c r="D540" s="139"/>
      <c r="F540" s="426"/>
      <c r="N540" s="721"/>
      <c r="U540" s="732"/>
    </row>
    <row r="541">
      <c r="B541" s="139"/>
      <c r="C541" s="139"/>
      <c r="D541" s="139"/>
      <c r="F541" s="426"/>
      <c r="N541" s="721"/>
      <c r="U541" s="732"/>
    </row>
    <row r="542">
      <c r="B542" s="139"/>
      <c r="C542" s="139"/>
      <c r="D542" s="139"/>
      <c r="F542" s="426"/>
      <c r="N542" s="721"/>
      <c r="U542" s="732"/>
    </row>
    <row r="543">
      <c r="B543" s="139"/>
      <c r="C543" s="139"/>
      <c r="D543" s="139"/>
      <c r="F543" s="426"/>
      <c r="N543" s="721"/>
      <c r="U543" s="732"/>
    </row>
    <row r="544">
      <c r="B544" s="139"/>
      <c r="C544" s="139"/>
      <c r="D544" s="139"/>
      <c r="F544" s="426"/>
      <c r="N544" s="721"/>
      <c r="U544" s="732"/>
    </row>
    <row r="545">
      <c r="B545" s="139"/>
      <c r="C545" s="139"/>
      <c r="D545" s="139"/>
      <c r="F545" s="426"/>
      <c r="N545" s="721"/>
      <c r="U545" s="732"/>
    </row>
    <row r="546">
      <c r="B546" s="139"/>
      <c r="C546" s="139"/>
      <c r="D546" s="139"/>
      <c r="F546" s="426"/>
      <c r="N546" s="721"/>
      <c r="U546" s="732"/>
    </row>
    <row r="547">
      <c r="B547" s="139"/>
      <c r="C547" s="139"/>
      <c r="D547" s="139"/>
      <c r="F547" s="426"/>
      <c r="N547" s="721"/>
      <c r="U547" s="732"/>
    </row>
    <row r="548">
      <c r="B548" s="139"/>
      <c r="C548" s="139"/>
      <c r="D548" s="139"/>
      <c r="F548" s="426"/>
      <c r="N548" s="721"/>
      <c r="U548" s="732"/>
    </row>
    <row r="549">
      <c r="B549" s="139"/>
      <c r="C549" s="139"/>
      <c r="D549" s="139"/>
      <c r="F549" s="426"/>
      <c r="N549" s="721"/>
      <c r="U549" s="732"/>
    </row>
    <row r="550">
      <c r="B550" s="139"/>
      <c r="C550" s="139"/>
      <c r="D550" s="139"/>
      <c r="F550" s="426"/>
      <c r="N550" s="721"/>
      <c r="U550" s="732"/>
    </row>
    <row r="551">
      <c r="B551" s="139"/>
      <c r="C551" s="139"/>
      <c r="D551" s="139"/>
      <c r="F551" s="426"/>
      <c r="N551" s="721"/>
      <c r="U551" s="732"/>
    </row>
    <row r="552">
      <c r="B552" s="139"/>
      <c r="C552" s="139"/>
      <c r="D552" s="139"/>
      <c r="F552" s="426"/>
      <c r="N552" s="721"/>
      <c r="U552" s="732"/>
    </row>
    <row r="553">
      <c r="B553" s="139"/>
      <c r="C553" s="139"/>
      <c r="D553" s="139"/>
      <c r="F553" s="426"/>
      <c r="N553" s="721"/>
      <c r="U553" s="732"/>
    </row>
    <row r="554">
      <c r="B554" s="139"/>
      <c r="C554" s="139"/>
      <c r="D554" s="139"/>
      <c r="F554" s="426"/>
      <c r="N554" s="721"/>
      <c r="U554" s="732"/>
    </row>
    <row r="555">
      <c r="B555" s="139"/>
      <c r="C555" s="139"/>
      <c r="D555" s="139"/>
      <c r="F555" s="426"/>
      <c r="N555" s="721"/>
      <c r="U555" s="732"/>
    </row>
    <row r="556">
      <c r="B556" s="139"/>
      <c r="C556" s="139"/>
      <c r="D556" s="139"/>
      <c r="F556" s="426"/>
      <c r="N556" s="721"/>
      <c r="U556" s="732"/>
    </row>
    <row r="557">
      <c r="B557" s="139"/>
      <c r="C557" s="139"/>
      <c r="D557" s="139"/>
      <c r="F557" s="426"/>
      <c r="N557" s="721"/>
      <c r="U557" s="732"/>
    </row>
    <row r="558">
      <c r="B558" s="139"/>
      <c r="C558" s="139"/>
      <c r="D558" s="139"/>
      <c r="F558" s="426"/>
      <c r="N558" s="721"/>
      <c r="U558" s="732"/>
    </row>
    <row r="559">
      <c r="B559" s="139"/>
      <c r="C559" s="139"/>
      <c r="D559" s="139"/>
      <c r="F559" s="426"/>
      <c r="N559" s="721"/>
      <c r="U559" s="732"/>
    </row>
    <row r="560">
      <c r="B560" s="139"/>
      <c r="C560" s="139"/>
      <c r="D560" s="139"/>
      <c r="F560" s="426"/>
      <c r="N560" s="721"/>
      <c r="U560" s="732"/>
    </row>
    <row r="561">
      <c r="B561" s="139"/>
      <c r="C561" s="139"/>
      <c r="D561" s="139"/>
      <c r="F561" s="426"/>
      <c r="N561" s="721"/>
      <c r="U561" s="732"/>
    </row>
    <row r="562">
      <c r="B562" s="139"/>
      <c r="C562" s="139"/>
      <c r="D562" s="139"/>
      <c r="F562" s="426"/>
      <c r="N562" s="721"/>
      <c r="U562" s="732"/>
    </row>
    <row r="563">
      <c r="B563" s="139"/>
      <c r="C563" s="139"/>
      <c r="D563" s="139"/>
      <c r="F563" s="426"/>
      <c r="N563" s="721"/>
      <c r="U563" s="732"/>
    </row>
    <row r="564">
      <c r="B564" s="139"/>
      <c r="C564" s="139"/>
      <c r="D564" s="139"/>
      <c r="F564" s="426"/>
      <c r="N564" s="721"/>
      <c r="U564" s="732"/>
    </row>
    <row r="565">
      <c r="B565" s="139"/>
      <c r="C565" s="139"/>
      <c r="D565" s="139"/>
      <c r="F565" s="426"/>
      <c r="N565" s="721"/>
      <c r="U565" s="732"/>
    </row>
    <row r="566">
      <c r="B566" s="139"/>
      <c r="C566" s="139"/>
      <c r="D566" s="139"/>
      <c r="F566" s="426"/>
      <c r="N566" s="721"/>
      <c r="U566" s="732"/>
    </row>
    <row r="567">
      <c r="B567" s="139"/>
      <c r="C567" s="139"/>
      <c r="D567" s="139"/>
      <c r="F567" s="426"/>
      <c r="N567" s="721"/>
      <c r="U567" s="732"/>
    </row>
    <row r="568">
      <c r="B568" s="139"/>
      <c r="C568" s="139"/>
      <c r="D568" s="139"/>
      <c r="F568" s="426"/>
      <c r="N568" s="721"/>
      <c r="U568" s="732"/>
    </row>
    <row r="569">
      <c r="B569" s="139"/>
      <c r="C569" s="139"/>
      <c r="D569" s="139"/>
      <c r="F569" s="426"/>
      <c r="N569" s="721"/>
      <c r="U569" s="732"/>
    </row>
    <row r="570">
      <c r="B570" s="139"/>
      <c r="C570" s="139"/>
      <c r="D570" s="139"/>
      <c r="F570" s="426"/>
      <c r="N570" s="721"/>
      <c r="U570" s="732"/>
    </row>
    <row r="571">
      <c r="B571" s="139"/>
      <c r="C571" s="139"/>
      <c r="D571" s="139"/>
      <c r="F571" s="426"/>
      <c r="N571" s="721"/>
      <c r="U571" s="732"/>
    </row>
    <row r="572">
      <c r="B572" s="139"/>
      <c r="C572" s="139"/>
      <c r="D572" s="139"/>
      <c r="F572" s="426"/>
      <c r="N572" s="721"/>
      <c r="U572" s="732"/>
    </row>
    <row r="573">
      <c r="B573" s="139"/>
      <c r="C573" s="139"/>
      <c r="D573" s="139"/>
      <c r="F573" s="426"/>
      <c r="N573" s="721"/>
      <c r="U573" s="732"/>
    </row>
    <row r="574">
      <c r="B574" s="139"/>
      <c r="C574" s="139"/>
      <c r="D574" s="139"/>
      <c r="F574" s="426"/>
      <c r="N574" s="721"/>
      <c r="U574" s="732"/>
    </row>
    <row r="575">
      <c r="B575" s="139"/>
      <c r="C575" s="139"/>
      <c r="D575" s="139"/>
      <c r="F575" s="426"/>
      <c r="N575" s="721"/>
      <c r="U575" s="732"/>
    </row>
    <row r="576">
      <c r="B576" s="139"/>
      <c r="C576" s="139"/>
      <c r="D576" s="139"/>
      <c r="F576" s="426"/>
      <c r="N576" s="721"/>
      <c r="U576" s="732"/>
    </row>
    <row r="577">
      <c r="B577" s="139"/>
      <c r="C577" s="139"/>
      <c r="D577" s="139"/>
      <c r="F577" s="426"/>
      <c r="N577" s="721"/>
      <c r="U577" s="732"/>
    </row>
    <row r="578">
      <c r="B578" s="139"/>
      <c r="C578" s="139"/>
      <c r="D578" s="139"/>
      <c r="F578" s="426"/>
      <c r="N578" s="721"/>
      <c r="U578" s="732"/>
    </row>
    <row r="579">
      <c r="B579" s="139"/>
      <c r="C579" s="139"/>
      <c r="D579" s="139"/>
      <c r="F579" s="426"/>
      <c r="N579" s="721"/>
      <c r="U579" s="732"/>
    </row>
    <row r="580">
      <c r="B580" s="139"/>
      <c r="C580" s="139"/>
      <c r="D580" s="139"/>
      <c r="F580" s="426"/>
      <c r="N580" s="721"/>
      <c r="U580" s="732"/>
    </row>
    <row r="581">
      <c r="B581" s="139"/>
      <c r="C581" s="139"/>
      <c r="D581" s="139"/>
      <c r="F581" s="426"/>
      <c r="N581" s="721"/>
      <c r="U581" s="732"/>
    </row>
    <row r="582">
      <c r="B582" s="139"/>
      <c r="C582" s="139"/>
      <c r="D582" s="139"/>
      <c r="F582" s="426"/>
      <c r="N582" s="721"/>
      <c r="U582" s="732"/>
    </row>
    <row r="583">
      <c r="B583" s="139"/>
      <c r="C583" s="139"/>
      <c r="D583" s="139"/>
      <c r="F583" s="426"/>
      <c r="N583" s="721"/>
      <c r="U583" s="732"/>
    </row>
    <row r="584">
      <c r="B584" s="139"/>
      <c r="C584" s="139"/>
      <c r="D584" s="139"/>
      <c r="F584" s="426"/>
      <c r="N584" s="721"/>
      <c r="U584" s="732"/>
    </row>
    <row r="585">
      <c r="B585" s="139"/>
      <c r="C585" s="139"/>
      <c r="D585" s="139"/>
      <c r="F585" s="426"/>
      <c r="N585" s="721"/>
      <c r="U585" s="732"/>
    </row>
    <row r="586">
      <c r="B586" s="139"/>
      <c r="C586" s="139"/>
      <c r="D586" s="139"/>
      <c r="F586" s="426"/>
      <c r="N586" s="721"/>
      <c r="U586" s="732"/>
    </row>
    <row r="587">
      <c r="B587" s="139"/>
      <c r="C587" s="139"/>
      <c r="D587" s="139"/>
      <c r="F587" s="426"/>
      <c r="N587" s="721"/>
      <c r="U587" s="732"/>
    </row>
    <row r="588">
      <c r="B588" s="139"/>
      <c r="C588" s="139"/>
      <c r="D588" s="139"/>
      <c r="F588" s="426"/>
      <c r="N588" s="721"/>
      <c r="U588" s="732"/>
    </row>
    <row r="589">
      <c r="B589" s="139"/>
      <c r="C589" s="139"/>
      <c r="D589" s="139"/>
      <c r="F589" s="426"/>
      <c r="N589" s="721"/>
      <c r="U589" s="732"/>
    </row>
    <row r="590">
      <c r="B590" s="139"/>
      <c r="C590" s="139"/>
      <c r="D590" s="139"/>
      <c r="F590" s="426"/>
      <c r="N590" s="721"/>
      <c r="U590" s="732"/>
    </row>
    <row r="591">
      <c r="B591" s="139"/>
      <c r="C591" s="139"/>
      <c r="D591" s="139"/>
      <c r="F591" s="426"/>
      <c r="N591" s="721"/>
      <c r="U591" s="732"/>
    </row>
    <row r="592">
      <c r="B592" s="139"/>
      <c r="C592" s="139"/>
      <c r="D592" s="139"/>
      <c r="F592" s="426"/>
      <c r="N592" s="721"/>
      <c r="U592" s="732"/>
    </row>
    <row r="593">
      <c r="B593" s="139"/>
      <c r="C593" s="139"/>
      <c r="D593" s="139"/>
      <c r="F593" s="426"/>
      <c r="N593" s="721"/>
      <c r="U593" s="732"/>
    </row>
    <row r="594">
      <c r="B594" s="139"/>
      <c r="C594" s="139"/>
      <c r="D594" s="139"/>
      <c r="F594" s="426"/>
      <c r="N594" s="721"/>
      <c r="U594" s="732"/>
    </row>
    <row r="595">
      <c r="B595" s="139"/>
      <c r="C595" s="139"/>
      <c r="D595" s="139"/>
      <c r="F595" s="426"/>
      <c r="N595" s="721"/>
      <c r="U595" s="732"/>
    </row>
    <row r="596">
      <c r="B596" s="139"/>
      <c r="C596" s="139"/>
      <c r="D596" s="139"/>
      <c r="F596" s="426"/>
      <c r="N596" s="721"/>
      <c r="U596" s="732"/>
    </row>
    <row r="597">
      <c r="B597" s="139"/>
      <c r="C597" s="139"/>
      <c r="D597" s="139"/>
      <c r="F597" s="426"/>
      <c r="N597" s="721"/>
      <c r="U597" s="732"/>
    </row>
    <row r="598">
      <c r="B598" s="139"/>
      <c r="C598" s="139"/>
      <c r="D598" s="139"/>
      <c r="F598" s="426"/>
      <c r="N598" s="721"/>
      <c r="U598" s="732"/>
    </row>
    <row r="599">
      <c r="B599" s="139"/>
      <c r="C599" s="139"/>
      <c r="D599" s="139"/>
      <c r="F599" s="426"/>
      <c r="N599" s="721"/>
      <c r="U599" s="732"/>
    </row>
    <row r="600">
      <c r="B600" s="139"/>
      <c r="C600" s="139"/>
      <c r="D600" s="139"/>
      <c r="F600" s="426"/>
      <c r="N600" s="721"/>
      <c r="U600" s="732"/>
    </row>
    <row r="601">
      <c r="B601" s="139"/>
      <c r="C601" s="139"/>
      <c r="D601" s="139"/>
      <c r="F601" s="426"/>
      <c r="N601" s="721"/>
      <c r="U601" s="732"/>
    </row>
    <row r="602">
      <c r="B602" s="139"/>
      <c r="C602" s="139"/>
      <c r="D602" s="139"/>
      <c r="F602" s="426"/>
      <c r="N602" s="721"/>
      <c r="U602" s="732"/>
    </row>
    <row r="603">
      <c r="B603" s="139"/>
      <c r="C603" s="139"/>
      <c r="D603" s="139"/>
      <c r="F603" s="426"/>
      <c r="N603" s="721"/>
      <c r="U603" s="732"/>
    </row>
    <row r="604">
      <c r="B604" s="139"/>
      <c r="C604" s="139"/>
      <c r="D604" s="139"/>
      <c r="F604" s="426"/>
      <c r="N604" s="721"/>
      <c r="U604" s="732"/>
    </row>
    <row r="605">
      <c r="B605" s="139"/>
      <c r="C605" s="139"/>
      <c r="D605" s="139"/>
      <c r="F605" s="426"/>
      <c r="N605" s="721"/>
      <c r="U605" s="732"/>
    </row>
    <row r="606">
      <c r="B606" s="139"/>
      <c r="C606" s="139"/>
      <c r="D606" s="139"/>
      <c r="F606" s="426"/>
      <c r="N606" s="721"/>
      <c r="U606" s="732"/>
    </row>
    <row r="607">
      <c r="B607" s="139"/>
      <c r="C607" s="139"/>
      <c r="D607" s="139"/>
      <c r="F607" s="426"/>
      <c r="N607" s="721"/>
      <c r="U607" s="732"/>
    </row>
    <row r="608">
      <c r="B608" s="139"/>
      <c r="C608" s="139"/>
      <c r="D608" s="139"/>
      <c r="F608" s="426"/>
      <c r="N608" s="721"/>
      <c r="U608" s="732"/>
    </row>
    <row r="609">
      <c r="B609" s="139"/>
      <c r="C609" s="139"/>
      <c r="D609" s="139"/>
      <c r="F609" s="426"/>
      <c r="N609" s="721"/>
      <c r="U609" s="732"/>
    </row>
    <row r="610">
      <c r="B610" s="139"/>
      <c r="C610" s="139"/>
      <c r="D610" s="139"/>
      <c r="F610" s="426"/>
      <c r="N610" s="721"/>
      <c r="U610" s="732"/>
    </row>
    <row r="611">
      <c r="B611" s="139"/>
      <c r="C611" s="139"/>
      <c r="D611" s="139"/>
      <c r="F611" s="426"/>
      <c r="N611" s="721"/>
      <c r="U611" s="732"/>
    </row>
    <row r="612">
      <c r="B612" s="139"/>
      <c r="C612" s="139"/>
      <c r="D612" s="139"/>
      <c r="F612" s="426"/>
      <c r="N612" s="721"/>
      <c r="U612" s="732"/>
    </row>
    <row r="613">
      <c r="B613" s="139"/>
      <c r="C613" s="139"/>
      <c r="D613" s="139"/>
      <c r="F613" s="426"/>
      <c r="N613" s="721"/>
      <c r="U613" s="732"/>
    </row>
    <row r="614">
      <c r="B614" s="139"/>
      <c r="C614" s="139"/>
      <c r="D614" s="139"/>
      <c r="F614" s="426"/>
      <c r="N614" s="721"/>
      <c r="U614" s="732"/>
    </row>
    <row r="615">
      <c r="B615" s="139"/>
      <c r="C615" s="139"/>
      <c r="D615" s="139"/>
      <c r="F615" s="426"/>
      <c r="N615" s="721"/>
      <c r="U615" s="732"/>
    </row>
    <row r="616">
      <c r="B616" s="139"/>
      <c r="C616" s="139"/>
      <c r="D616" s="139"/>
      <c r="F616" s="426"/>
      <c r="N616" s="721"/>
      <c r="U616" s="732"/>
    </row>
    <row r="617">
      <c r="B617" s="139"/>
      <c r="C617" s="139"/>
      <c r="D617" s="139"/>
      <c r="F617" s="426"/>
      <c r="N617" s="721"/>
      <c r="U617" s="732"/>
    </row>
    <row r="618">
      <c r="B618" s="139"/>
      <c r="C618" s="139"/>
      <c r="D618" s="139"/>
      <c r="F618" s="426"/>
      <c r="N618" s="721"/>
      <c r="U618" s="732"/>
    </row>
    <row r="619">
      <c r="B619" s="139"/>
      <c r="C619" s="139"/>
      <c r="D619" s="139"/>
      <c r="F619" s="426"/>
      <c r="N619" s="721"/>
      <c r="U619" s="732"/>
    </row>
    <row r="620">
      <c r="B620" s="139"/>
      <c r="C620" s="139"/>
      <c r="D620" s="139"/>
      <c r="F620" s="426"/>
      <c r="N620" s="721"/>
      <c r="U620" s="732"/>
    </row>
    <row r="621">
      <c r="B621" s="139"/>
      <c r="C621" s="139"/>
      <c r="D621" s="139"/>
      <c r="F621" s="426"/>
      <c r="N621" s="721"/>
      <c r="U621" s="732"/>
    </row>
    <row r="622">
      <c r="B622" s="139"/>
      <c r="C622" s="139"/>
      <c r="D622" s="139"/>
      <c r="F622" s="426"/>
      <c r="N622" s="721"/>
      <c r="U622" s="732"/>
    </row>
    <row r="623">
      <c r="B623" s="139"/>
      <c r="C623" s="139"/>
      <c r="D623" s="139"/>
      <c r="F623" s="426"/>
      <c r="N623" s="721"/>
      <c r="U623" s="732"/>
    </row>
    <row r="624">
      <c r="B624" s="139"/>
      <c r="C624" s="139"/>
      <c r="D624" s="139"/>
      <c r="F624" s="426"/>
      <c r="N624" s="721"/>
      <c r="U624" s="732"/>
    </row>
    <row r="625">
      <c r="B625" s="139"/>
      <c r="C625" s="139"/>
      <c r="D625" s="139"/>
      <c r="F625" s="426"/>
      <c r="N625" s="721"/>
      <c r="U625" s="732"/>
    </row>
    <row r="626">
      <c r="B626" s="139"/>
      <c r="C626" s="139"/>
      <c r="D626" s="139"/>
      <c r="F626" s="426"/>
      <c r="N626" s="721"/>
      <c r="U626" s="732"/>
    </row>
    <row r="627">
      <c r="B627" s="139"/>
      <c r="C627" s="139"/>
      <c r="D627" s="139"/>
      <c r="F627" s="426"/>
      <c r="N627" s="721"/>
      <c r="U627" s="732"/>
    </row>
    <row r="628">
      <c r="B628" s="139"/>
      <c r="C628" s="139"/>
      <c r="D628" s="139"/>
      <c r="F628" s="426"/>
      <c r="N628" s="721"/>
      <c r="U628" s="732"/>
    </row>
    <row r="629">
      <c r="B629" s="139"/>
      <c r="C629" s="139"/>
      <c r="D629" s="139"/>
      <c r="F629" s="426"/>
      <c r="N629" s="721"/>
      <c r="U629" s="732"/>
    </row>
    <row r="630">
      <c r="B630" s="139"/>
      <c r="C630" s="139"/>
      <c r="D630" s="139"/>
      <c r="F630" s="426"/>
      <c r="N630" s="721"/>
      <c r="U630" s="732"/>
    </row>
    <row r="631">
      <c r="B631" s="139"/>
      <c r="C631" s="139"/>
      <c r="D631" s="139"/>
      <c r="F631" s="426"/>
      <c r="N631" s="721"/>
      <c r="U631" s="732"/>
    </row>
    <row r="632">
      <c r="B632" s="139"/>
      <c r="C632" s="139"/>
      <c r="D632" s="139"/>
      <c r="F632" s="426"/>
      <c r="N632" s="721"/>
      <c r="U632" s="732"/>
    </row>
    <row r="633">
      <c r="B633" s="139"/>
      <c r="C633" s="139"/>
      <c r="D633" s="139"/>
      <c r="F633" s="426"/>
      <c r="N633" s="721"/>
      <c r="U633" s="732"/>
    </row>
    <row r="634">
      <c r="B634" s="139"/>
      <c r="C634" s="139"/>
      <c r="D634" s="139"/>
      <c r="F634" s="426"/>
      <c r="N634" s="721"/>
      <c r="U634" s="732"/>
    </row>
    <row r="635">
      <c r="B635" s="139"/>
      <c r="C635" s="139"/>
      <c r="D635" s="139"/>
      <c r="F635" s="426"/>
      <c r="N635" s="721"/>
      <c r="U635" s="732"/>
    </row>
    <row r="636">
      <c r="B636" s="139"/>
      <c r="C636" s="139"/>
      <c r="D636" s="139"/>
      <c r="F636" s="426"/>
      <c r="N636" s="721"/>
      <c r="U636" s="732"/>
    </row>
    <row r="637">
      <c r="B637" s="139"/>
      <c r="C637" s="139"/>
      <c r="D637" s="139"/>
      <c r="F637" s="426"/>
      <c r="N637" s="721"/>
      <c r="U637" s="732"/>
    </row>
    <row r="638">
      <c r="B638" s="139"/>
      <c r="C638" s="139"/>
      <c r="D638" s="139"/>
      <c r="F638" s="426"/>
      <c r="N638" s="721"/>
      <c r="U638" s="732"/>
    </row>
    <row r="639">
      <c r="B639" s="139"/>
      <c r="C639" s="139"/>
      <c r="D639" s="139"/>
      <c r="F639" s="426"/>
      <c r="N639" s="721"/>
      <c r="U639" s="732"/>
    </row>
    <row r="640">
      <c r="B640" s="139"/>
      <c r="C640" s="139"/>
      <c r="D640" s="139"/>
      <c r="F640" s="426"/>
      <c r="N640" s="721"/>
      <c r="U640" s="732"/>
    </row>
    <row r="641">
      <c r="B641" s="139"/>
      <c r="C641" s="139"/>
      <c r="D641" s="139"/>
      <c r="F641" s="426"/>
      <c r="N641" s="721"/>
      <c r="U641" s="732"/>
    </row>
    <row r="642">
      <c r="B642" s="139"/>
      <c r="C642" s="139"/>
      <c r="D642" s="139"/>
      <c r="F642" s="426"/>
      <c r="N642" s="721"/>
      <c r="U642" s="732"/>
    </row>
    <row r="643">
      <c r="B643" s="139"/>
      <c r="C643" s="139"/>
      <c r="D643" s="139"/>
      <c r="F643" s="426"/>
      <c r="N643" s="721"/>
      <c r="U643" s="732"/>
    </row>
    <row r="644">
      <c r="B644" s="139"/>
      <c r="C644" s="139"/>
      <c r="D644" s="139"/>
      <c r="F644" s="426"/>
      <c r="N644" s="721"/>
      <c r="U644" s="732"/>
    </row>
    <row r="645">
      <c r="B645" s="139"/>
      <c r="C645" s="139"/>
      <c r="D645" s="139"/>
      <c r="F645" s="426"/>
      <c r="N645" s="721"/>
      <c r="U645" s="732"/>
    </row>
    <row r="646">
      <c r="B646" s="139"/>
      <c r="C646" s="139"/>
      <c r="D646" s="139"/>
      <c r="F646" s="426"/>
      <c r="N646" s="721"/>
      <c r="U646" s="732"/>
    </row>
    <row r="647">
      <c r="B647" s="139"/>
      <c r="C647" s="139"/>
      <c r="D647" s="139"/>
      <c r="F647" s="426"/>
      <c r="N647" s="721"/>
      <c r="U647" s="732"/>
    </row>
    <row r="648">
      <c r="B648" s="139"/>
      <c r="C648" s="139"/>
      <c r="D648" s="139"/>
      <c r="F648" s="426"/>
      <c r="N648" s="721"/>
      <c r="U648" s="732"/>
    </row>
    <row r="649">
      <c r="B649" s="139"/>
      <c r="C649" s="139"/>
      <c r="D649" s="139"/>
      <c r="F649" s="426"/>
      <c r="N649" s="721"/>
      <c r="U649" s="732"/>
    </row>
    <row r="650">
      <c r="B650" s="139"/>
      <c r="C650" s="139"/>
      <c r="D650" s="139"/>
      <c r="F650" s="426"/>
      <c r="N650" s="721"/>
      <c r="U650" s="732"/>
    </row>
    <row r="651">
      <c r="B651" s="139"/>
      <c r="C651" s="139"/>
      <c r="D651" s="139"/>
      <c r="F651" s="426"/>
      <c r="N651" s="721"/>
      <c r="U651" s="732"/>
    </row>
    <row r="652">
      <c r="B652" s="139"/>
      <c r="C652" s="139"/>
      <c r="D652" s="139"/>
      <c r="F652" s="426"/>
      <c r="N652" s="721"/>
      <c r="U652" s="732"/>
    </row>
    <row r="653">
      <c r="B653" s="139"/>
      <c r="C653" s="139"/>
      <c r="D653" s="139"/>
      <c r="F653" s="426"/>
      <c r="N653" s="721"/>
      <c r="U653" s="732"/>
    </row>
    <row r="654">
      <c r="B654" s="139"/>
      <c r="C654" s="139"/>
      <c r="D654" s="139"/>
      <c r="F654" s="426"/>
      <c r="N654" s="721"/>
      <c r="U654" s="732"/>
    </row>
    <row r="655">
      <c r="B655" s="139"/>
      <c r="C655" s="139"/>
      <c r="D655" s="139"/>
      <c r="F655" s="426"/>
      <c r="N655" s="721"/>
      <c r="U655" s="732"/>
    </row>
    <row r="656">
      <c r="B656" s="139"/>
      <c r="C656" s="139"/>
      <c r="D656" s="139"/>
      <c r="F656" s="426"/>
      <c r="N656" s="721"/>
      <c r="U656" s="732"/>
    </row>
    <row r="657">
      <c r="B657" s="139"/>
      <c r="C657" s="139"/>
      <c r="D657" s="139"/>
      <c r="F657" s="426"/>
      <c r="N657" s="721"/>
      <c r="U657" s="732"/>
    </row>
    <row r="658">
      <c r="B658" s="139"/>
      <c r="C658" s="139"/>
      <c r="D658" s="139"/>
      <c r="F658" s="426"/>
      <c r="N658" s="721"/>
      <c r="U658" s="732"/>
    </row>
    <row r="659">
      <c r="B659" s="139"/>
      <c r="C659" s="139"/>
      <c r="D659" s="139"/>
      <c r="F659" s="426"/>
      <c r="N659" s="721"/>
      <c r="U659" s="732"/>
    </row>
    <row r="660">
      <c r="B660" s="139"/>
      <c r="C660" s="139"/>
      <c r="D660" s="139"/>
      <c r="F660" s="426"/>
      <c r="N660" s="721"/>
      <c r="U660" s="732"/>
    </row>
    <row r="661">
      <c r="B661" s="139"/>
      <c r="C661" s="139"/>
      <c r="D661" s="139"/>
      <c r="F661" s="426"/>
      <c r="N661" s="721"/>
      <c r="U661" s="732"/>
    </row>
    <row r="662">
      <c r="B662" s="139"/>
      <c r="C662" s="139"/>
      <c r="D662" s="139"/>
      <c r="F662" s="426"/>
      <c r="N662" s="721"/>
      <c r="U662" s="732"/>
    </row>
    <row r="663">
      <c r="B663" s="139"/>
      <c r="C663" s="139"/>
      <c r="D663" s="139"/>
      <c r="F663" s="426"/>
      <c r="N663" s="721"/>
      <c r="U663" s="732"/>
    </row>
    <row r="664">
      <c r="B664" s="139"/>
      <c r="C664" s="139"/>
      <c r="D664" s="139"/>
      <c r="F664" s="426"/>
      <c r="N664" s="721"/>
      <c r="U664" s="732"/>
    </row>
    <row r="665">
      <c r="B665" s="139"/>
      <c r="C665" s="139"/>
      <c r="D665" s="139"/>
      <c r="F665" s="426"/>
      <c r="N665" s="721"/>
      <c r="U665" s="732"/>
    </row>
    <row r="666">
      <c r="B666" s="139"/>
      <c r="C666" s="139"/>
      <c r="D666" s="139"/>
      <c r="F666" s="426"/>
      <c r="N666" s="721"/>
      <c r="U666" s="732"/>
    </row>
    <row r="667">
      <c r="B667" s="139"/>
      <c r="C667" s="139"/>
      <c r="D667" s="139"/>
      <c r="F667" s="426"/>
      <c r="N667" s="721"/>
      <c r="U667" s="732"/>
    </row>
    <row r="668">
      <c r="B668" s="139"/>
      <c r="C668" s="139"/>
      <c r="D668" s="139"/>
      <c r="F668" s="426"/>
      <c r="N668" s="721"/>
      <c r="U668" s="732"/>
    </row>
    <row r="669">
      <c r="B669" s="139"/>
      <c r="C669" s="139"/>
      <c r="D669" s="139"/>
      <c r="F669" s="426"/>
      <c r="N669" s="721"/>
      <c r="U669" s="732"/>
    </row>
    <row r="670">
      <c r="B670" s="139"/>
      <c r="C670" s="139"/>
      <c r="D670" s="139"/>
      <c r="F670" s="426"/>
      <c r="N670" s="721"/>
      <c r="U670" s="732"/>
    </row>
    <row r="671">
      <c r="B671" s="139"/>
      <c r="C671" s="139"/>
      <c r="D671" s="139"/>
      <c r="F671" s="426"/>
      <c r="N671" s="721"/>
      <c r="U671" s="732"/>
    </row>
    <row r="672">
      <c r="B672" s="139"/>
      <c r="C672" s="139"/>
      <c r="D672" s="139"/>
      <c r="F672" s="426"/>
      <c r="N672" s="721"/>
      <c r="U672" s="732"/>
    </row>
    <row r="673">
      <c r="B673" s="139"/>
      <c r="C673" s="139"/>
      <c r="D673" s="139"/>
      <c r="F673" s="426"/>
      <c r="N673" s="721"/>
      <c r="U673" s="732"/>
    </row>
    <row r="674">
      <c r="B674" s="139"/>
      <c r="C674" s="139"/>
      <c r="D674" s="139"/>
      <c r="F674" s="426"/>
      <c r="N674" s="721"/>
      <c r="U674" s="732"/>
    </row>
    <row r="675">
      <c r="B675" s="139"/>
      <c r="C675" s="139"/>
      <c r="D675" s="139"/>
      <c r="F675" s="426"/>
      <c r="N675" s="721"/>
      <c r="U675" s="732"/>
    </row>
    <row r="676">
      <c r="B676" s="139"/>
      <c r="C676" s="139"/>
      <c r="D676" s="139"/>
      <c r="F676" s="426"/>
      <c r="N676" s="721"/>
      <c r="U676" s="732"/>
    </row>
    <row r="677">
      <c r="B677" s="139"/>
      <c r="C677" s="139"/>
      <c r="D677" s="139"/>
      <c r="F677" s="426"/>
      <c r="N677" s="721"/>
      <c r="U677" s="732"/>
    </row>
    <row r="678">
      <c r="B678" s="139"/>
      <c r="C678" s="139"/>
      <c r="D678" s="139"/>
      <c r="F678" s="426"/>
      <c r="N678" s="721"/>
      <c r="U678" s="732"/>
    </row>
    <row r="679">
      <c r="B679" s="139"/>
      <c r="C679" s="139"/>
      <c r="D679" s="139"/>
      <c r="F679" s="426"/>
      <c r="N679" s="721"/>
      <c r="U679" s="732"/>
    </row>
    <row r="680">
      <c r="B680" s="139"/>
      <c r="C680" s="139"/>
      <c r="D680" s="139"/>
      <c r="F680" s="426"/>
      <c r="N680" s="721"/>
      <c r="U680" s="732"/>
    </row>
    <row r="681">
      <c r="B681" s="139"/>
      <c r="C681" s="139"/>
      <c r="D681" s="139"/>
      <c r="F681" s="426"/>
      <c r="N681" s="721"/>
      <c r="U681" s="732"/>
    </row>
    <row r="682">
      <c r="B682" s="139"/>
      <c r="C682" s="139"/>
      <c r="D682" s="139"/>
      <c r="F682" s="426"/>
      <c r="N682" s="721"/>
      <c r="U682" s="732"/>
    </row>
    <row r="683">
      <c r="B683" s="139"/>
      <c r="C683" s="139"/>
      <c r="D683" s="139"/>
      <c r="F683" s="426"/>
      <c r="N683" s="721"/>
      <c r="U683" s="732"/>
    </row>
    <row r="684">
      <c r="B684" s="139"/>
      <c r="C684" s="139"/>
      <c r="D684" s="139"/>
      <c r="F684" s="426"/>
      <c r="N684" s="721"/>
      <c r="U684" s="732"/>
    </row>
    <row r="685">
      <c r="B685" s="139"/>
      <c r="C685" s="139"/>
      <c r="D685" s="139"/>
      <c r="F685" s="426"/>
      <c r="N685" s="721"/>
      <c r="U685" s="732"/>
    </row>
    <row r="686">
      <c r="B686" s="139"/>
      <c r="C686" s="139"/>
      <c r="D686" s="139"/>
      <c r="F686" s="426"/>
      <c r="N686" s="721"/>
      <c r="U686" s="732"/>
    </row>
    <row r="687">
      <c r="B687" s="139"/>
      <c r="C687" s="139"/>
      <c r="D687" s="139"/>
      <c r="F687" s="426"/>
      <c r="N687" s="721"/>
      <c r="U687" s="732"/>
    </row>
    <row r="688">
      <c r="B688" s="139"/>
      <c r="C688" s="139"/>
      <c r="D688" s="139"/>
      <c r="F688" s="426"/>
      <c r="N688" s="721"/>
      <c r="U688" s="732"/>
    </row>
    <row r="689">
      <c r="B689" s="139"/>
      <c r="C689" s="139"/>
      <c r="D689" s="139"/>
      <c r="F689" s="426"/>
      <c r="N689" s="721"/>
      <c r="U689" s="732"/>
    </row>
    <row r="690">
      <c r="B690" s="139"/>
      <c r="C690" s="139"/>
      <c r="D690" s="139"/>
      <c r="F690" s="426"/>
      <c r="N690" s="721"/>
      <c r="U690" s="732"/>
    </row>
    <row r="691">
      <c r="B691" s="139"/>
      <c r="C691" s="139"/>
      <c r="D691" s="139"/>
      <c r="F691" s="426"/>
      <c r="N691" s="721"/>
      <c r="U691" s="732"/>
    </row>
    <row r="692">
      <c r="B692" s="139"/>
      <c r="C692" s="139"/>
      <c r="D692" s="139"/>
      <c r="F692" s="426"/>
      <c r="N692" s="721"/>
      <c r="U692" s="732"/>
    </row>
    <row r="693">
      <c r="B693" s="139"/>
      <c r="C693" s="139"/>
      <c r="D693" s="139"/>
      <c r="F693" s="426"/>
      <c r="N693" s="721"/>
      <c r="U693" s="732"/>
    </row>
    <row r="694">
      <c r="B694" s="139"/>
      <c r="C694" s="139"/>
      <c r="D694" s="139"/>
      <c r="F694" s="426"/>
      <c r="N694" s="721"/>
      <c r="U694" s="732"/>
    </row>
    <row r="695">
      <c r="B695" s="139"/>
      <c r="C695" s="139"/>
      <c r="D695" s="139"/>
      <c r="F695" s="426"/>
      <c r="N695" s="721"/>
      <c r="U695" s="732"/>
    </row>
    <row r="696">
      <c r="B696" s="139"/>
      <c r="C696" s="139"/>
      <c r="D696" s="139"/>
      <c r="F696" s="426"/>
      <c r="N696" s="721"/>
      <c r="U696" s="732"/>
    </row>
    <row r="697">
      <c r="B697" s="139"/>
      <c r="C697" s="139"/>
      <c r="D697" s="139"/>
      <c r="F697" s="426"/>
      <c r="N697" s="721"/>
      <c r="U697" s="732"/>
    </row>
    <row r="698">
      <c r="B698" s="139"/>
      <c r="C698" s="139"/>
      <c r="D698" s="139"/>
      <c r="F698" s="426"/>
      <c r="N698" s="721"/>
      <c r="U698" s="732"/>
    </row>
    <row r="699">
      <c r="B699" s="139"/>
      <c r="C699" s="139"/>
      <c r="D699" s="139"/>
      <c r="F699" s="426"/>
      <c r="N699" s="721"/>
      <c r="U699" s="732"/>
    </row>
    <row r="700">
      <c r="B700" s="139"/>
      <c r="C700" s="139"/>
      <c r="D700" s="139"/>
      <c r="F700" s="426"/>
      <c r="N700" s="721"/>
      <c r="U700" s="732"/>
    </row>
    <row r="701">
      <c r="B701" s="139"/>
      <c r="C701" s="139"/>
      <c r="D701" s="139"/>
      <c r="F701" s="426"/>
      <c r="N701" s="721"/>
      <c r="U701" s="732"/>
    </row>
    <row r="702">
      <c r="B702" s="139"/>
      <c r="C702" s="139"/>
      <c r="D702" s="139"/>
      <c r="F702" s="426"/>
      <c r="N702" s="721"/>
      <c r="U702" s="732"/>
    </row>
    <row r="703">
      <c r="B703" s="139"/>
      <c r="C703" s="139"/>
      <c r="D703" s="139"/>
      <c r="F703" s="426"/>
      <c r="N703" s="721"/>
      <c r="U703" s="732"/>
    </row>
    <row r="704">
      <c r="B704" s="139"/>
      <c r="C704" s="139"/>
      <c r="D704" s="139"/>
      <c r="F704" s="426"/>
      <c r="N704" s="721"/>
      <c r="U704" s="732"/>
    </row>
    <row r="705">
      <c r="B705" s="139"/>
      <c r="C705" s="139"/>
      <c r="D705" s="139"/>
      <c r="F705" s="426"/>
      <c r="N705" s="721"/>
      <c r="U705" s="732"/>
    </row>
    <row r="706">
      <c r="B706" s="139"/>
      <c r="C706" s="139"/>
      <c r="D706" s="139"/>
      <c r="F706" s="426"/>
      <c r="N706" s="721"/>
      <c r="U706" s="732"/>
    </row>
    <row r="707">
      <c r="B707" s="139"/>
      <c r="C707" s="139"/>
      <c r="D707" s="139"/>
      <c r="F707" s="426"/>
      <c r="N707" s="721"/>
      <c r="U707" s="732"/>
    </row>
    <row r="708">
      <c r="B708" s="139"/>
      <c r="C708" s="139"/>
      <c r="D708" s="139"/>
      <c r="F708" s="426"/>
      <c r="N708" s="721"/>
      <c r="U708" s="732"/>
    </row>
    <row r="709">
      <c r="B709" s="139"/>
      <c r="C709" s="139"/>
      <c r="D709" s="139"/>
      <c r="F709" s="426"/>
      <c r="N709" s="721"/>
      <c r="U709" s="732"/>
    </row>
    <row r="710">
      <c r="B710" s="139"/>
      <c r="C710" s="139"/>
      <c r="D710" s="139"/>
      <c r="F710" s="426"/>
      <c r="N710" s="721"/>
      <c r="U710" s="732"/>
    </row>
    <row r="711">
      <c r="B711" s="139"/>
      <c r="C711" s="139"/>
      <c r="D711" s="139"/>
      <c r="F711" s="426"/>
      <c r="N711" s="721"/>
      <c r="U711" s="732"/>
    </row>
    <row r="712">
      <c r="B712" s="139"/>
      <c r="C712" s="139"/>
      <c r="D712" s="139"/>
      <c r="F712" s="426"/>
      <c r="N712" s="721"/>
      <c r="U712" s="732"/>
    </row>
    <row r="713">
      <c r="B713" s="139"/>
      <c r="C713" s="139"/>
      <c r="D713" s="139"/>
      <c r="F713" s="426"/>
      <c r="N713" s="721"/>
      <c r="U713" s="732"/>
    </row>
    <row r="714">
      <c r="B714" s="139"/>
      <c r="C714" s="139"/>
      <c r="D714" s="139"/>
      <c r="F714" s="426"/>
      <c r="N714" s="721"/>
      <c r="U714" s="732"/>
    </row>
    <row r="715">
      <c r="B715" s="139"/>
      <c r="C715" s="139"/>
      <c r="D715" s="139"/>
      <c r="F715" s="426"/>
      <c r="N715" s="721"/>
      <c r="U715" s="732"/>
    </row>
    <row r="716">
      <c r="B716" s="139"/>
      <c r="C716" s="139"/>
      <c r="D716" s="139"/>
      <c r="F716" s="426"/>
      <c r="N716" s="721"/>
      <c r="U716" s="732"/>
    </row>
    <row r="717">
      <c r="B717" s="139"/>
      <c r="C717" s="139"/>
      <c r="D717" s="139"/>
      <c r="F717" s="426"/>
      <c r="N717" s="721"/>
      <c r="U717" s="732"/>
    </row>
    <row r="718">
      <c r="B718" s="139"/>
      <c r="C718" s="139"/>
      <c r="D718" s="139"/>
      <c r="F718" s="426"/>
      <c r="N718" s="721"/>
      <c r="U718" s="732"/>
    </row>
    <row r="719">
      <c r="B719" s="139"/>
      <c r="C719" s="139"/>
      <c r="D719" s="139"/>
      <c r="F719" s="426"/>
      <c r="N719" s="721"/>
      <c r="U719" s="732"/>
    </row>
    <row r="720">
      <c r="B720" s="139"/>
      <c r="C720" s="139"/>
      <c r="D720" s="139"/>
      <c r="F720" s="426"/>
      <c r="N720" s="721"/>
      <c r="U720" s="732"/>
    </row>
    <row r="721">
      <c r="B721" s="139"/>
      <c r="C721" s="139"/>
      <c r="D721" s="139"/>
      <c r="F721" s="426"/>
      <c r="N721" s="721"/>
      <c r="U721" s="732"/>
    </row>
    <row r="722">
      <c r="B722" s="139"/>
      <c r="C722" s="139"/>
      <c r="D722" s="139"/>
      <c r="F722" s="426"/>
      <c r="N722" s="721"/>
      <c r="U722" s="732"/>
    </row>
    <row r="723">
      <c r="B723" s="139"/>
      <c r="C723" s="139"/>
      <c r="D723" s="139"/>
      <c r="F723" s="426"/>
      <c r="N723" s="721"/>
      <c r="U723" s="732"/>
    </row>
    <row r="724">
      <c r="B724" s="139"/>
      <c r="C724" s="139"/>
      <c r="D724" s="139"/>
      <c r="F724" s="426"/>
      <c r="N724" s="721"/>
      <c r="U724" s="732"/>
    </row>
    <row r="725">
      <c r="B725" s="139"/>
      <c r="C725" s="139"/>
      <c r="D725" s="139"/>
      <c r="F725" s="426"/>
      <c r="N725" s="721"/>
      <c r="U725" s="732"/>
    </row>
    <row r="726">
      <c r="B726" s="139"/>
      <c r="C726" s="139"/>
      <c r="D726" s="139"/>
      <c r="F726" s="426"/>
      <c r="N726" s="721"/>
      <c r="U726" s="732"/>
    </row>
    <row r="727">
      <c r="B727" s="139"/>
      <c r="C727" s="139"/>
      <c r="D727" s="139"/>
      <c r="F727" s="426"/>
      <c r="N727" s="721"/>
      <c r="U727" s="732"/>
    </row>
    <row r="728">
      <c r="B728" s="139"/>
      <c r="C728" s="139"/>
      <c r="D728" s="139"/>
      <c r="F728" s="426"/>
      <c r="N728" s="721"/>
      <c r="U728" s="732"/>
    </row>
    <row r="729">
      <c r="B729" s="139"/>
      <c r="C729" s="139"/>
      <c r="D729" s="139"/>
      <c r="F729" s="426"/>
      <c r="N729" s="721"/>
      <c r="U729" s="732"/>
    </row>
    <row r="730">
      <c r="B730" s="139"/>
      <c r="C730" s="139"/>
      <c r="D730" s="139"/>
      <c r="F730" s="426"/>
      <c r="N730" s="721"/>
      <c r="U730" s="732"/>
    </row>
    <row r="731">
      <c r="B731" s="139"/>
      <c r="C731" s="139"/>
      <c r="D731" s="139"/>
      <c r="F731" s="426"/>
      <c r="N731" s="721"/>
      <c r="U731" s="732"/>
    </row>
    <row r="732">
      <c r="B732" s="139"/>
      <c r="C732" s="139"/>
      <c r="D732" s="139"/>
      <c r="F732" s="426"/>
      <c r="N732" s="721"/>
      <c r="U732" s="732"/>
    </row>
    <row r="733">
      <c r="B733" s="139"/>
      <c r="C733" s="139"/>
      <c r="D733" s="139"/>
      <c r="F733" s="426"/>
      <c r="N733" s="721"/>
      <c r="U733" s="732"/>
    </row>
    <row r="734">
      <c r="B734" s="139"/>
      <c r="C734" s="139"/>
      <c r="D734" s="139"/>
      <c r="F734" s="426"/>
      <c r="N734" s="721"/>
      <c r="U734" s="732"/>
    </row>
    <row r="735">
      <c r="B735" s="139"/>
      <c r="C735" s="139"/>
      <c r="D735" s="139"/>
      <c r="F735" s="426"/>
      <c r="N735" s="721"/>
      <c r="U735" s="732"/>
    </row>
    <row r="736">
      <c r="B736" s="139"/>
      <c r="C736" s="139"/>
      <c r="D736" s="139"/>
      <c r="F736" s="426"/>
      <c r="N736" s="721"/>
      <c r="U736" s="732"/>
    </row>
    <row r="737">
      <c r="B737" s="139"/>
      <c r="C737" s="139"/>
      <c r="D737" s="139"/>
      <c r="F737" s="426"/>
      <c r="N737" s="721"/>
      <c r="U737" s="732"/>
    </row>
    <row r="738">
      <c r="B738" s="139"/>
      <c r="C738" s="139"/>
      <c r="D738" s="139"/>
      <c r="F738" s="426"/>
      <c r="N738" s="721"/>
      <c r="U738" s="732"/>
    </row>
    <row r="739">
      <c r="B739" s="139"/>
      <c r="C739" s="139"/>
      <c r="D739" s="139"/>
      <c r="F739" s="426"/>
      <c r="N739" s="721"/>
      <c r="U739" s="732"/>
    </row>
    <row r="740">
      <c r="B740" s="139"/>
      <c r="C740" s="139"/>
      <c r="D740" s="139"/>
      <c r="F740" s="426"/>
      <c r="N740" s="721"/>
      <c r="U740" s="732"/>
    </row>
    <row r="741">
      <c r="B741" s="139"/>
      <c r="C741" s="139"/>
      <c r="D741" s="139"/>
      <c r="F741" s="426"/>
      <c r="N741" s="721"/>
      <c r="U741" s="732"/>
    </row>
    <row r="742">
      <c r="B742" s="139"/>
      <c r="C742" s="139"/>
      <c r="D742" s="139"/>
      <c r="F742" s="426"/>
      <c r="N742" s="721"/>
      <c r="U742" s="732"/>
    </row>
    <row r="743">
      <c r="B743" s="139"/>
      <c r="C743" s="139"/>
      <c r="D743" s="139"/>
      <c r="F743" s="426"/>
      <c r="N743" s="721"/>
      <c r="U743" s="732"/>
    </row>
    <row r="744">
      <c r="B744" s="139"/>
      <c r="C744" s="139"/>
      <c r="D744" s="139"/>
      <c r="F744" s="426"/>
      <c r="N744" s="721"/>
      <c r="U744" s="732"/>
    </row>
    <row r="745">
      <c r="B745" s="139"/>
      <c r="C745" s="139"/>
      <c r="D745" s="139"/>
      <c r="F745" s="426"/>
      <c r="N745" s="721"/>
      <c r="U745" s="732"/>
    </row>
    <row r="746">
      <c r="B746" s="139"/>
      <c r="C746" s="139"/>
      <c r="D746" s="139"/>
      <c r="F746" s="426"/>
      <c r="N746" s="721"/>
      <c r="U746" s="732"/>
    </row>
    <row r="747">
      <c r="B747" s="139"/>
      <c r="C747" s="139"/>
      <c r="D747" s="139"/>
      <c r="F747" s="426"/>
      <c r="N747" s="721"/>
      <c r="U747" s="732"/>
    </row>
    <row r="748">
      <c r="B748" s="139"/>
      <c r="C748" s="139"/>
      <c r="D748" s="139"/>
      <c r="F748" s="426"/>
      <c r="N748" s="721"/>
      <c r="U748" s="732"/>
    </row>
    <row r="749">
      <c r="B749" s="139"/>
      <c r="C749" s="139"/>
      <c r="D749" s="139"/>
      <c r="F749" s="426"/>
      <c r="N749" s="721"/>
      <c r="U749" s="732"/>
    </row>
    <row r="750">
      <c r="B750" s="139"/>
      <c r="C750" s="139"/>
      <c r="D750" s="139"/>
      <c r="F750" s="426"/>
      <c r="N750" s="721"/>
      <c r="U750" s="732"/>
    </row>
    <row r="751">
      <c r="B751" s="139"/>
      <c r="C751" s="139"/>
      <c r="D751" s="139"/>
      <c r="F751" s="426"/>
      <c r="N751" s="721"/>
      <c r="U751" s="732"/>
    </row>
    <row r="752">
      <c r="B752" s="139"/>
      <c r="C752" s="139"/>
      <c r="D752" s="139"/>
      <c r="F752" s="426"/>
      <c r="N752" s="721"/>
      <c r="U752" s="732"/>
    </row>
    <row r="753">
      <c r="B753" s="139"/>
      <c r="C753" s="139"/>
      <c r="D753" s="139"/>
      <c r="F753" s="426"/>
      <c r="N753" s="721"/>
      <c r="U753" s="732"/>
    </row>
    <row r="754">
      <c r="B754" s="139"/>
      <c r="C754" s="139"/>
      <c r="D754" s="139"/>
      <c r="F754" s="426"/>
      <c r="N754" s="721"/>
      <c r="U754" s="732"/>
    </row>
    <row r="755">
      <c r="B755" s="139"/>
      <c r="C755" s="139"/>
      <c r="D755" s="139"/>
      <c r="F755" s="426"/>
      <c r="N755" s="721"/>
      <c r="U755" s="732"/>
    </row>
    <row r="756">
      <c r="B756" s="139"/>
      <c r="C756" s="139"/>
      <c r="D756" s="139"/>
      <c r="F756" s="426"/>
      <c r="N756" s="721"/>
      <c r="U756" s="732"/>
    </row>
    <row r="757">
      <c r="B757" s="139"/>
      <c r="C757" s="139"/>
      <c r="D757" s="139"/>
      <c r="F757" s="426"/>
      <c r="N757" s="721"/>
      <c r="U757" s="732"/>
    </row>
    <row r="758">
      <c r="B758" s="139"/>
      <c r="C758" s="139"/>
      <c r="D758" s="139"/>
      <c r="F758" s="426"/>
      <c r="N758" s="721"/>
      <c r="U758" s="732"/>
    </row>
    <row r="759">
      <c r="B759" s="139"/>
      <c r="C759" s="139"/>
      <c r="D759" s="139"/>
      <c r="F759" s="426"/>
      <c r="N759" s="721"/>
      <c r="U759" s="732"/>
    </row>
    <row r="760">
      <c r="B760" s="139"/>
      <c r="C760" s="139"/>
      <c r="D760" s="139"/>
      <c r="F760" s="426"/>
      <c r="N760" s="721"/>
      <c r="U760" s="732"/>
    </row>
    <row r="761">
      <c r="B761" s="139"/>
      <c r="C761" s="139"/>
      <c r="D761" s="139"/>
      <c r="F761" s="426"/>
      <c r="N761" s="721"/>
      <c r="U761" s="732"/>
    </row>
    <row r="762">
      <c r="B762" s="139"/>
      <c r="C762" s="139"/>
      <c r="D762" s="139"/>
      <c r="F762" s="426"/>
      <c r="N762" s="721"/>
      <c r="U762" s="732"/>
    </row>
    <row r="763">
      <c r="B763" s="139"/>
      <c r="C763" s="139"/>
      <c r="D763" s="139"/>
      <c r="F763" s="426"/>
      <c r="N763" s="721"/>
      <c r="U763" s="732"/>
    </row>
    <row r="764">
      <c r="B764" s="139"/>
      <c r="C764" s="139"/>
      <c r="D764" s="139"/>
      <c r="F764" s="426"/>
      <c r="N764" s="721"/>
      <c r="U764" s="732"/>
    </row>
    <row r="765">
      <c r="B765" s="139"/>
      <c r="C765" s="139"/>
      <c r="D765" s="139"/>
      <c r="F765" s="426"/>
      <c r="N765" s="721"/>
      <c r="U765" s="732"/>
    </row>
    <row r="766">
      <c r="B766" s="139"/>
      <c r="C766" s="139"/>
      <c r="D766" s="139"/>
      <c r="F766" s="426"/>
      <c r="N766" s="721"/>
      <c r="U766" s="732"/>
    </row>
    <row r="767">
      <c r="B767" s="139"/>
      <c r="C767" s="139"/>
      <c r="D767" s="139"/>
      <c r="F767" s="426"/>
      <c r="N767" s="721"/>
      <c r="U767" s="732"/>
    </row>
    <row r="768">
      <c r="B768" s="139"/>
      <c r="C768" s="139"/>
      <c r="D768" s="139"/>
      <c r="F768" s="426"/>
      <c r="N768" s="721"/>
      <c r="U768" s="732"/>
    </row>
    <row r="769">
      <c r="B769" s="139"/>
      <c r="C769" s="139"/>
      <c r="D769" s="139"/>
      <c r="F769" s="426"/>
      <c r="N769" s="721"/>
      <c r="U769" s="732"/>
    </row>
    <row r="770">
      <c r="B770" s="139"/>
      <c r="C770" s="139"/>
      <c r="D770" s="139"/>
      <c r="F770" s="426"/>
      <c r="N770" s="721"/>
      <c r="U770" s="732"/>
    </row>
    <row r="771">
      <c r="B771" s="139"/>
      <c r="C771" s="139"/>
      <c r="D771" s="139"/>
      <c r="F771" s="426"/>
      <c r="N771" s="721"/>
      <c r="U771" s="732"/>
    </row>
    <row r="772">
      <c r="B772" s="139"/>
      <c r="C772" s="139"/>
      <c r="D772" s="139"/>
      <c r="F772" s="426"/>
      <c r="N772" s="721"/>
      <c r="U772" s="732"/>
    </row>
    <row r="773">
      <c r="B773" s="139"/>
      <c r="C773" s="139"/>
      <c r="D773" s="139"/>
      <c r="F773" s="426"/>
      <c r="N773" s="721"/>
      <c r="U773" s="732"/>
    </row>
    <row r="774">
      <c r="B774" s="139"/>
      <c r="C774" s="139"/>
      <c r="D774" s="139"/>
      <c r="F774" s="426"/>
      <c r="N774" s="721"/>
      <c r="U774" s="732"/>
    </row>
    <row r="775">
      <c r="B775" s="139"/>
      <c r="C775" s="139"/>
      <c r="D775" s="139"/>
      <c r="F775" s="426"/>
      <c r="N775" s="721"/>
      <c r="U775" s="732"/>
    </row>
    <row r="776">
      <c r="B776" s="139"/>
      <c r="C776" s="139"/>
      <c r="D776" s="139"/>
      <c r="F776" s="426"/>
      <c r="N776" s="721"/>
      <c r="U776" s="732"/>
    </row>
    <row r="777">
      <c r="B777" s="139"/>
      <c r="C777" s="139"/>
      <c r="D777" s="139"/>
      <c r="F777" s="426"/>
      <c r="N777" s="721"/>
      <c r="U777" s="732"/>
    </row>
    <row r="778">
      <c r="B778" s="139"/>
      <c r="C778" s="139"/>
      <c r="D778" s="139"/>
      <c r="F778" s="426"/>
      <c r="N778" s="721"/>
      <c r="U778" s="732"/>
    </row>
    <row r="779">
      <c r="B779" s="139"/>
      <c r="C779" s="139"/>
      <c r="D779" s="139"/>
      <c r="F779" s="426"/>
      <c r="N779" s="721"/>
      <c r="U779" s="732"/>
    </row>
    <row r="780">
      <c r="B780" s="139"/>
      <c r="C780" s="139"/>
      <c r="D780" s="139"/>
      <c r="F780" s="426"/>
      <c r="N780" s="721"/>
      <c r="U780" s="732"/>
    </row>
    <row r="781">
      <c r="B781" s="139"/>
      <c r="C781" s="139"/>
      <c r="D781" s="139"/>
      <c r="F781" s="426"/>
      <c r="N781" s="721"/>
      <c r="U781" s="732"/>
    </row>
    <row r="782">
      <c r="B782" s="139"/>
      <c r="C782" s="139"/>
      <c r="D782" s="139"/>
      <c r="F782" s="426"/>
      <c r="N782" s="721"/>
      <c r="U782" s="732"/>
    </row>
    <row r="783">
      <c r="B783" s="139"/>
      <c r="C783" s="139"/>
      <c r="D783" s="139"/>
      <c r="F783" s="426"/>
      <c r="N783" s="721"/>
      <c r="U783" s="732"/>
    </row>
    <row r="784">
      <c r="B784" s="139"/>
      <c r="C784" s="139"/>
      <c r="D784" s="139"/>
      <c r="F784" s="426"/>
      <c r="N784" s="721"/>
      <c r="U784" s="732"/>
    </row>
    <row r="785">
      <c r="B785" s="139"/>
      <c r="C785" s="139"/>
      <c r="D785" s="139"/>
      <c r="F785" s="426"/>
      <c r="N785" s="721"/>
      <c r="U785" s="732"/>
    </row>
    <row r="786">
      <c r="B786" s="139"/>
      <c r="C786" s="139"/>
      <c r="D786" s="139"/>
      <c r="F786" s="426"/>
      <c r="N786" s="721"/>
      <c r="U786" s="732"/>
    </row>
    <row r="787">
      <c r="B787" s="139"/>
      <c r="C787" s="139"/>
      <c r="D787" s="139"/>
      <c r="F787" s="426"/>
      <c r="N787" s="721"/>
      <c r="U787" s="732"/>
    </row>
    <row r="788">
      <c r="B788" s="139"/>
      <c r="C788" s="139"/>
      <c r="D788" s="139"/>
      <c r="F788" s="426"/>
      <c r="N788" s="721"/>
      <c r="U788" s="732"/>
    </row>
    <row r="789">
      <c r="B789" s="139"/>
      <c r="C789" s="139"/>
      <c r="D789" s="139"/>
      <c r="F789" s="426"/>
      <c r="N789" s="721"/>
      <c r="U789" s="732"/>
    </row>
    <row r="790">
      <c r="B790" s="139"/>
      <c r="C790" s="139"/>
      <c r="D790" s="139"/>
      <c r="F790" s="426"/>
      <c r="N790" s="721"/>
      <c r="U790" s="732"/>
    </row>
    <row r="791">
      <c r="B791" s="139"/>
      <c r="C791" s="139"/>
      <c r="D791" s="139"/>
      <c r="F791" s="426"/>
      <c r="N791" s="721"/>
      <c r="U791" s="732"/>
    </row>
    <row r="792">
      <c r="B792" s="139"/>
      <c r="C792" s="139"/>
      <c r="D792" s="139"/>
      <c r="F792" s="426"/>
      <c r="N792" s="721"/>
      <c r="U792" s="732"/>
    </row>
    <row r="793">
      <c r="B793" s="139"/>
      <c r="C793" s="139"/>
      <c r="D793" s="139"/>
      <c r="F793" s="426"/>
      <c r="N793" s="721"/>
      <c r="U793" s="732"/>
    </row>
    <row r="794">
      <c r="B794" s="139"/>
      <c r="C794" s="139"/>
      <c r="D794" s="139"/>
      <c r="F794" s="426"/>
      <c r="N794" s="721"/>
      <c r="U794" s="732"/>
    </row>
    <row r="795">
      <c r="B795" s="139"/>
      <c r="C795" s="139"/>
      <c r="D795" s="139"/>
      <c r="F795" s="426"/>
      <c r="N795" s="721"/>
      <c r="U795" s="732"/>
    </row>
    <row r="796">
      <c r="B796" s="139"/>
      <c r="C796" s="139"/>
      <c r="D796" s="139"/>
      <c r="F796" s="426"/>
      <c r="N796" s="721"/>
      <c r="U796" s="732"/>
    </row>
    <row r="797">
      <c r="B797" s="139"/>
      <c r="C797" s="139"/>
      <c r="D797" s="139"/>
      <c r="F797" s="426"/>
      <c r="N797" s="721"/>
      <c r="U797" s="732"/>
    </row>
    <row r="798">
      <c r="B798" s="139"/>
      <c r="C798" s="139"/>
      <c r="D798" s="139"/>
      <c r="F798" s="426"/>
      <c r="N798" s="721"/>
      <c r="U798" s="732"/>
    </row>
    <row r="799">
      <c r="B799" s="139"/>
      <c r="C799" s="139"/>
      <c r="D799" s="139"/>
      <c r="F799" s="426"/>
      <c r="N799" s="721"/>
      <c r="U799" s="732"/>
    </row>
    <row r="800">
      <c r="B800" s="139"/>
      <c r="C800" s="139"/>
      <c r="D800" s="139"/>
      <c r="F800" s="426"/>
      <c r="N800" s="721"/>
      <c r="U800" s="732"/>
    </row>
    <row r="801">
      <c r="B801" s="139"/>
      <c r="C801" s="139"/>
      <c r="D801" s="139"/>
      <c r="F801" s="426"/>
      <c r="N801" s="721"/>
      <c r="U801" s="732"/>
    </row>
    <row r="802">
      <c r="B802" s="139"/>
      <c r="C802" s="139"/>
      <c r="D802" s="139"/>
      <c r="F802" s="426"/>
      <c r="N802" s="721"/>
      <c r="U802" s="732"/>
    </row>
    <row r="803">
      <c r="B803" s="139"/>
      <c r="C803" s="139"/>
      <c r="D803" s="139"/>
      <c r="F803" s="426"/>
      <c r="N803" s="721"/>
      <c r="U803" s="732"/>
    </row>
    <row r="804">
      <c r="B804" s="139"/>
      <c r="C804" s="139"/>
      <c r="D804" s="139"/>
      <c r="F804" s="426"/>
      <c r="N804" s="721"/>
      <c r="U804" s="732"/>
    </row>
    <row r="805">
      <c r="B805" s="139"/>
      <c r="C805" s="139"/>
      <c r="D805" s="139"/>
      <c r="F805" s="426"/>
      <c r="N805" s="721"/>
      <c r="U805" s="732"/>
    </row>
    <row r="806">
      <c r="B806" s="139"/>
      <c r="C806" s="139"/>
      <c r="D806" s="139"/>
      <c r="F806" s="426"/>
      <c r="N806" s="721"/>
      <c r="U806" s="732"/>
    </row>
    <row r="807">
      <c r="B807" s="139"/>
      <c r="C807" s="139"/>
      <c r="D807" s="139"/>
      <c r="F807" s="426"/>
      <c r="N807" s="721"/>
      <c r="U807" s="732"/>
    </row>
    <row r="808">
      <c r="B808" s="139"/>
      <c r="C808" s="139"/>
      <c r="D808" s="139"/>
      <c r="F808" s="426"/>
      <c r="N808" s="721"/>
      <c r="U808" s="732"/>
    </row>
    <row r="809">
      <c r="B809" s="139"/>
      <c r="C809" s="139"/>
      <c r="D809" s="139"/>
      <c r="F809" s="426"/>
      <c r="N809" s="721"/>
      <c r="U809" s="732"/>
    </row>
    <row r="810">
      <c r="B810" s="139"/>
      <c r="C810" s="139"/>
      <c r="D810" s="139"/>
      <c r="F810" s="426"/>
      <c r="N810" s="721"/>
      <c r="U810" s="732"/>
    </row>
    <row r="811">
      <c r="B811" s="139"/>
      <c r="C811" s="139"/>
      <c r="D811" s="139"/>
      <c r="F811" s="426"/>
      <c r="N811" s="721"/>
      <c r="U811" s="732"/>
    </row>
    <row r="812">
      <c r="B812" s="139"/>
      <c r="C812" s="139"/>
      <c r="D812" s="139"/>
      <c r="F812" s="426"/>
      <c r="N812" s="721"/>
      <c r="U812" s="732"/>
    </row>
    <row r="813">
      <c r="B813" s="139"/>
      <c r="C813" s="139"/>
      <c r="D813" s="139"/>
      <c r="F813" s="426"/>
      <c r="N813" s="721"/>
      <c r="U813" s="732"/>
    </row>
    <row r="814">
      <c r="B814" s="139"/>
      <c r="C814" s="139"/>
      <c r="D814" s="139"/>
      <c r="F814" s="426"/>
      <c r="N814" s="721"/>
      <c r="U814" s="732"/>
    </row>
    <row r="815">
      <c r="B815" s="139"/>
      <c r="C815" s="139"/>
      <c r="D815" s="139"/>
      <c r="F815" s="426"/>
      <c r="N815" s="721"/>
      <c r="U815" s="732"/>
    </row>
    <row r="816">
      <c r="B816" s="139"/>
      <c r="C816" s="139"/>
      <c r="D816" s="139"/>
      <c r="F816" s="426"/>
      <c r="N816" s="721"/>
      <c r="U816" s="732"/>
    </row>
    <row r="817">
      <c r="B817" s="139"/>
      <c r="C817" s="139"/>
      <c r="D817" s="139"/>
      <c r="F817" s="426"/>
      <c r="N817" s="721"/>
      <c r="U817" s="732"/>
    </row>
    <row r="818">
      <c r="B818" s="139"/>
      <c r="C818" s="139"/>
      <c r="D818" s="139"/>
      <c r="F818" s="426"/>
      <c r="N818" s="721"/>
      <c r="U818" s="732"/>
    </row>
    <row r="819">
      <c r="B819" s="139"/>
      <c r="C819" s="139"/>
      <c r="D819" s="139"/>
      <c r="F819" s="426"/>
      <c r="N819" s="721"/>
      <c r="U819" s="732"/>
    </row>
    <row r="820">
      <c r="B820" s="139"/>
      <c r="C820" s="139"/>
      <c r="D820" s="139"/>
      <c r="F820" s="426"/>
      <c r="N820" s="721"/>
      <c r="U820" s="732"/>
    </row>
    <row r="821">
      <c r="B821" s="139"/>
      <c r="C821" s="139"/>
      <c r="D821" s="139"/>
      <c r="F821" s="426"/>
      <c r="N821" s="721"/>
      <c r="U821" s="732"/>
    </row>
    <row r="822">
      <c r="B822" s="139"/>
      <c r="C822" s="139"/>
      <c r="D822" s="139"/>
      <c r="F822" s="426"/>
      <c r="N822" s="721"/>
      <c r="U822" s="732"/>
    </row>
    <row r="823">
      <c r="B823" s="139"/>
      <c r="C823" s="139"/>
      <c r="D823" s="139"/>
      <c r="F823" s="426"/>
      <c r="N823" s="721"/>
      <c r="U823" s="732"/>
    </row>
    <row r="824">
      <c r="B824" s="139"/>
      <c r="C824" s="139"/>
      <c r="D824" s="139"/>
      <c r="F824" s="426"/>
      <c r="N824" s="721"/>
      <c r="U824" s="732"/>
    </row>
    <row r="825">
      <c r="B825" s="139"/>
      <c r="C825" s="139"/>
      <c r="D825" s="139"/>
      <c r="F825" s="426"/>
      <c r="N825" s="721"/>
      <c r="U825" s="732"/>
    </row>
    <row r="826">
      <c r="B826" s="139"/>
      <c r="C826" s="139"/>
      <c r="D826" s="139"/>
      <c r="F826" s="426"/>
      <c r="N826" s="721"/>
      <c r="U826" s="732"/>
    </row>
    <row r="827">
      <c r="B827" s="139"/>
      <c r="C827" s="139"/>
      <c r="D827" s="139"/>
      <c r="F827" s="426"/>
      <c r="N827" s="721"/>
      <c r="U827" s="732"/>
    </row>
    <row r="828">
      <c r="B828" s="139"/>
      <c r="C828" s="139"/>
      <c r="D828" s="139"/>
      <c r="F828" s="426"/>
      <c r="N828" s="721"/>
      <c r="U828" s="732"/>
    </row>
    <row r="829">
      <c r="B829" s="139"/>
      <c r="C829" s="139"/>
      <c r="D829" s="139"/>
      <c r="F829" s="426"/>
      <c r="N829" s="721"/>
      <c r="U829" s="732"/>
    </row>
    <row r="830">
      <c r="B830" s="139"/>
      <c r="C830" s="139"/>
      <c r="D830" s="139"/>
      <c r="F830" s="426"/>
      <c r="N830" s="721"/>
      <c r="U830" s="732"/>
    </row>
    <row r="831">
      <c r="B831" s="139"/>
      <c r="C831" s="139"/>
      <c r="D831" s="139"/>
      <c r="F831" s="426"/>
      <c r="N831" s="721"/>
      <c r="U831" s="732"/>
    </row>
    <row r="832">
      <c r="B832" s="139"/>
      <c r="C832" s="139"/>
      <c r="D832" s="139"/>
      <c r="F832" s="426"/>
      <c r="N832" s="721"/>
      <c r="U832" s="732"/>
    </row>
    <row r="833">
      <c r="B833" s="139"/>
      <c r="C833" s="139"/>
      <c r="D833" s="139"/>
      <c r="F833" s="426"/>
      <c r="N833" s="721"/>
      <c r="U833" s="732"/>
    </row>
    <row r="834">
      <c r="B834" s="139"/>
      <c r="C834" s="139"/>
      <c r="D834" s="139"/>
      <c r="F834" s="426"/>
      <c r="N834" s="721"/>
      <c r="U834" s="732"/>
    </row>
    <row r="835">
      <c r="B835" s="139"/>
      <c r="C835" s="139"/>
      <c r="D835" s="139"/>
      <c r="F835" s="426"/>
      <c r="N835" s="721"/>
      <c r="U835" s="732"/>
    </row>
    <row r="836">
      <c r="B836" s="139"/>
      <c r="C836" s="139"/>
      <c r="D836" s="139"/>
      <c r="F836" s="426"/>
      <c r="N836" s="721"/>
      <c r="U836" s="732"/>
    </row>
    <row r="837">
      <c r="B837" s="139"/>
      <c r="C837" s="139"/>
      <c r="D837" s="139"/>
      <c r="F837" s="426"/>
      <c r="N837" s="721"/>
      <c r="U837" s="732"/>
    </row>
    <row r="838">
      <c r="B838" s="139"/>
      <c r="C838" s="139"/>
      <c r="D838" s="139"/>
      <c r="F838" s="426"/>
      <c r="N838" s="721"/>
      <c r="U838" s="732"/>
    </row>
    <row r="839">
      <c r="B839" s="139"/>
      <c r="C839" s="139"/>
      <c r="D839" s="139"/>
      <c r="F839" s="426"/>
      <c r="N839" s="721"/>
      <c r="U839" s="732"/>
    </row>
    <row r="840">
      <c r="B840" s="139"/>
      <c r="C840" s="139"/>
      <c r="D840" s="139"/>
      <c r="F840" s="426"/>
      <c r="N840" s="721"/>
      <c r="U840" s="732"/>
    </row>
    <row r="841">
      <c r="B841" s="139"/>
      <c r="C841" s="139"/>
      <c r="D841" s="139"/>
      <c r="F841" s="426"/>
      <c r="N841" s="721"/>
      <c r="U841" s="732"/>
    </row>
    <row r="842">
      <c r="B842" s="139"/>
      <c r="C842" s="139"/>
      <c r="D842" s="139"/>
      <c r="F842" s="426"/>
      <c r="N842" s="721"/>
      <c r="U842" s="732"/>
    </row>
    <row r="843">
      <c r="B843" s="139"/>
      <c r="C843" s="139"/>
      <c r="D843" s="139"/>
      <c r="F843" s="426"/>
      <c r="N843" s="721"/>
      <c r="U843" s="732"/>
    </row>
    <row r="844">
      <c r="B844" s="139"/>
      <c r="C844" s="139"/>
      <c r="D844" s="139"/>
      <c r="F844" s="426"/>
      <c r="N844" s="721"/>
      <c r="U844" s="732"/>
    </row>
    <row r="845">
      <c r="B845" s="139"/>
      <c r="C845" s="139"/>
      <c r="D845" s="139"/>
      <c r="F845" s="426"/>
      <c r="N845" s="721"/>
      <c r="U845" s="732"/>
    </row>
    <row r="846">
      <c r="B846" s="139"/>
      <c r="C846" s="139"/>
      <c r="D846" s="139"/>
      <c r="F846" s="426"/>
      <c r="N846" s="721"/>
      <c r="U846" s="732"/>
    </row>
    <row r="847">
      <c r="B847" s="139"/>
      <c r="C847" s="139"/>
      <c r="D847" s="139"/>
      <c r="F847" s="426"/>
      <c r="N847" s="721"/>
      <c r="U847" s="732"/>
    </row>
    <row r="848">
      <c r="B848" s="139"/>
      <c r="C848" s="139"/>
      <c r="D848" s="139"/>
      <c r="F848" s="426"/>
      <c r="N848" s="721"/>
      <c r="U848" s="732"/>
    </row>
    <row r="849">
      <c r="B849" s="139"/>
      <c r="C849" s="139"/>
      <c r="D849" s="139"/>
      <c r="F849" s="426"/>
      <c r="N849" s="721"/>
      <c r="U849" s="732"/>
    </row>
    <row r="850">
      <c r="B850" s="139"/>
      <c r="C850" s="139"/>
      <c r="D850" s="139"/>
      <c r="F850" s="426"/>
      <c r="N850" s="721"/>
      <c r="U850" s="732"/>
    </row>
    <row r="851">
      <c r="B851" s="139"/>
      <c r="C851" s="139"/>
      <c r="D851" s="139"/>
      <c r="F851" s="426"/>
      <c r="N851" s="721"/>
      <c r="U851" s="732"/>
    </row>
    <row r="852">
      <c r="B852" s="139"/>
      <c r="C852" s="139"/>
      <c r="D852" s="139"/>
      <c r="F852" s="426"/>
      <c r="N852" s="721"/>
      <c r="U852" s="732"/>
    </row>
    <row r="853">
      <c r="B853" s="139"/>
      <c r="C853" s="139"/>
      <c r="D853" s="139"/>
      <c r="F853" s="426"/>
      <c r="N853" s="721"/>
      <c r="U853" s="732"/>
    </row>
    <row r="854">
      <c r="B854" s="139"/>
      <c r="C854" s="139"/>
      <c r="D854" s="139"/>
      <c r="F854" s="426"/>
      <c r="N854" s="721"/>
      <c r="U854" s="732"/>
    </row>
    <row r="855">
      <c r="B855" s="139"/>
      <c r="C855" s="139"/>
      <c r="D855" s="139"/>
      <c r="F855" s="426"/>
      <c r="N855" s="721"/>
      <c r="U855" s="732"/>
    </row>
    <row r="856">
      <c r="B856" s="139"/>
      <c r="C856" s="139"/>
      <c r="D856" s="139"/>
      <c r="F856" s="426"/>
      <c r="N856" s="721"/>
      <c r="U856" s="732"/>
    </row>
    <row r="857">
      <c r="B857" s="139"/>
      <c r="C857" s="139"/>
      <c r="D857" s="139"/>
      <c r="F857" s="426"/>
      <c r="N857" s="721"/>
      <c r="U857" s="732"/>
    </row>
    <row r="858">
      <c r="B858" s="139"/>
      <c r="C858" s="139"/>
      <c r="D858" s="139"/>
      <c r="F858" s="426"/>
      <c r="N858" s="721"/>
      <c r="U858" s="732"/>
    </row>
    <row r="859">
      <c r="B859" s="139"/>
      <c r="C859" s="139"/>
      <c r="D859" s="139"/>
      <c r="F859" s="426"/>
      <c r="N859" s="721"/>
      <c r="U859" s="732"/>
    </row>
    <row r="860">
      <c r="B860" s="139"/>
      <c r="C860" s="139"/>
      <c r="D860" s="139"/>
      <c r="F860" s="426"/>
      <c r="N860" s="721"/>
      <c r="U860" s="732"/>
    </row>
    <row r="861">
      <c r="B861" s="139"/>
      <c r="C861" s="139"/>
      <c r="D861" s="139"/>
      <c r="F861" s="426"/>
      <c r="N861" s="721"/>
      <c r="U861" s="732"/>
    </row>
    <row r="862">
      <c r="B862" s="139"/>
      <c r="C862" s="139"/>
      <c r="D862" s="139"/>
      <c r="F862" s="426"/>
      <c r="N862" s="721"/>
      <c r="U862" s="732"/>
    </row>
    <row r="863">
      <c r="B863" s="139"/>
      <c r="C863" s="139"/>
      <c r="D863" s="139"/>
      <c r="F863" s="426"/>
      <c r="N863" s="721"/>
      <c r="U863" s="732"/>
    </row>
    <row r="864">
      <c r="B864" s="139"/>
      <c r="C864" s="139"/>
      <c r="D864" s="139"/>
      <c r="F864" s="426"/>
      <c r="N864" s="721"/>
      <c r="U864" s="732"/>
    </row>
    <row r="865">
      <c r="B865" s="139"/>
      <c r="C865" s="139"/>
      <c r="D865" s="139"/>
      <c r="F865" s="426"/>
      <c r="N865" s="721"/>
      <c r="U865" s="732"/>
    </row>
    <row r="866">
      <c r="B866" s="139"/>
      <c r="C866" s="139"/>
      <c r="D866" s="139"/>
      <c r="F866" s="426"/>
      <c r="N866" s="721"/>
      <c r="U866" s="732"/>
    </row>
    <row r="867">
      <c r="B867" s="139"/>
      <c r="C867" s="139"/>
      <c r="D867" s="139"/>
      <c r="F867" s="426"/>
      <c r="N867" s="721"/>
      <c r="U867" s="732"/>
    </row>
    <row r="868">
      <c r="B868" s="139"/>
      <c r="C868" s="139"/>
      <c r="D868" s="139"/>
      <c r="F868" s="426"/>
      <c r="N868" s="721"/>
      <c r="U868" s="732"/>
    </row>
    <row r="869">
      <c r="B869" s="139"/>
      <c r="C869" s="139"/>
      <c r="D869" s="139"/>
      <c r="F869" s="426"/>
      <c r="N869" s="721"/>
      <c r="U869" s="732"/>
    </row>
    <row r="870">
      <c r="B870" s="139"/>
      <c r="C870" s="139"/>
      <c r="D870" s="139"/>
      <c r="F870" s="426"/>
      <c r="N870" s="721"/>
      <c r="U870" s="732"/>
    </row>
    <row r="871">
      <c r="B871" s="139"/>
      <c r="C871" s="139"/>
      <c r="D871" s="139"/>
      <c r="F871" s="426"/>
      <c r="N871" s="721"/>
      <c r="U871" s="732"/>
    </row>
    <row r="872">
      <c r="B872" s="139"/>
      <c r="C872" s="139"/>
      <c r="D872" s="139"/>
      <c r="F872" s="426"/>
      <c r="N872" s="721"/>
      <c r="U872" s="732"/>
    </row>
    <row r="873">
      <c r="B873" s="139"/>
      <c r="C873" s="139"/>
      <c r="D873" s="139"/>
      <c r="F873" s="426"/>
      <c r="N873" s="721"/>
      <c r="U873" s="732"/>
    </row>
    <row r="874">
      <c r="B874" s="139"/>
      <c r="C874" s="139"/>
      <c r="D874" s="139"/>
      <c r="F874" s="426"/>
      <c r="N874" s="721"/>
      <c r="U874" s="732"/>
    </row>
    <row r="875">
      <c r="B875" s="139"/>
      <c r="C875" s="139"/>
      <c r="D875" s="139"/>
      <c r="F875" s="426"/>
      <c r="N875" s="721"/>
      <c r="U875" s="732"/>
    </row>
    <row r="876">
      <c r="B876" s="139"/>
      <c r="C876" s="139"/>
      <c r="D876" s="139"/>
      <c r="F876" s="426"/>
      <c r="N876" s="721"/>
      <c r="U876" s="732"/>
    </row>
    <row r="877">
      <c r="B877" s="139"/>
      <c r="C877" s="139"/>
      <c r="D877" s="139"/>
      <c r="F877" s="426"/>
      <c r="N877" s="721"/>
      <c r="U877" s="732"/>
    </row>
    <row r="878">
      <c r="B878" s="139"/>
      <c r="C878" s="139"/>
      <c r="D878" s="139"/>
      <c r="F878" s="426"/>
      <c r="N878" s="721"/>
      <c r="U878" s="732"/>
    </row>
    <row r="879">
      <c r="B879" s="139"/>
      <c r="C879" s="139"/>
      <c r="D879" s="139"/>
      <c r="F879" s="426"/>
      <c r="N879" s="721"/>
      <c r="U879" s="732"/>
    </row>
    <row r="880">
      <c r="B880" s="139"/>
      <c r="C880" s="139"/>
      <c r="D880" s="139"/>
      <c r="F880" s="426"/>
      <c r="N880" s="721"/>
      <c r="U880" s="732"/>
    </row>
    <row r="881">
      <c r="B881" s="139"/>
      <c r="C881" s="139"/>
      <c r="D881" s="139"/>
      <c r="F881" s="426"/>
      <c r="N881" s="721"/>
      <c r="U881" s="732"/>
    </row>
    <row r="882">
      <c r="B882" s="139"/>
      <c r="C882" s="139"/>
      <c r="D882" s="139"/>
      <c r="F882" s="426"/>
      <c r="N882" s="721"/>
      <c r="U882" s="732"/>
    </row>
    <row r="883">
      <c r="B883" s="139"/>
      <c r="C883" s="139"/>
      <c r="D883" s="139"/>
      <c r="F883" s="426"/>
      <c r="N883" s="721"/>
      <c r="U883" s="732"/>
    </row>
    <row r="884">
      <c r="B884" s="139"/>
      <c r="C884" s="139"/>
      <c r="D884" s="139"/>
      <c r="F884" s="426"/>
      <c r="N884" s="721"/>
      <c r="U884" s="732"/>
    </row>
    <row r="885">
      <c r="B885" s="139"/>
      <c r="C885" s="139"/>
      <c r="D885" s="139"/>
      <c r="F885" s="426"/>
      <c r="N885" s="721"/>
      <c r="U885" s="732"/>
    </row>
    <row r="886">
      <c r="B886" s="139"/>
      <c r="C886" s="139"/>
      <c r="D886" s="139"/>
      <c r="F886" s="426"/>
      <c r="N886" s="721"/>
      <c r="U886" s="732"/>
    </row>
    <row r="887">
      <c r="B887" s="139"/>
      <c r="C887" s="139"/>
      <c r="D887" s="139"/>
      <c r="F887" s="426"/>
      <c r="N887" s="721"/>
      <c r="U887" s="732"/>
    </row>
    <row r="888">
      <c r="B888" s="139"/>
      <c r="C888" s="139"/>
      <c r="D888" s="139"/>
      <c r="F888" s="426"/>
      <c r="N888" s="721"/>
      <c r="U888" s="732"/>
    </row>
    <row r="889">
      <c r="B889" s="139"/>
      <c r="C889" s="139"/>
      <c r="D889" s="139"/>
      <c r="F889" s="426"/>
      <c r="N889" s="721"/>
      <c r="U889" s="732"/>
    </row>
    <row r="890">
      <c r="B890" s="139"/>
      <c r="C890" s="139"/>
      <c r="D890" s="139"/>
      <c r="F890" s="426"/>
      <c r="N890" s="721"/>
      <c r="U890" s="732"/>
    </row>
    <row r="891">
      <c r="B891" s="139"/>
      <c r="C891" s="139"/>
      <c r="D891" s="139"/>
      <c r="F891" s="426"/>
      <c r="N891" s="721"/>
      <c r="U891" s="732"/>
    </row>
    <row r="892">
      <c r="B892" s="139"/>
      <c r="C892" s="139"/>
      <c r="D892" s="139"/>
      <c r="F892" s="426"/>
      <c r="N892" s="721"/>
      <c r="U892" s="732"/>
    </row>
    <row r="893">
      <c r="B893" s="139"/>
      <c r="C893" s="139"/>
      <c r="D893" s="139"/>
      <c r="F893" s="426"/>
      <c r="N893" s="721"/>
      <c r="U893" s="732"/>
    </row>
    <row r="894">
      <c r="B894" s="139"/>
      <c r="C894" s="139"/>
      <c r="D894" s="139"/>
      <c r="F894" s="426"/>
      <c r="N894" s="721"/>
      <c r="U894" s="732"/>
    </row>
    <row r="895">
      <c r="B895" s="139"/>
      <c r="C895" s="139"/>
      <c r="D895" s="139"/>
      <c r="F895" s="426"/>
      <c r="N895" s="721"/>
      <c r="U895" s="732"/>
    </row>
    <row r="896">
      <c r="B896" s="139"/>
      <c r="C896" s="139"/>
      <c r="D896" s="139"/>
      <c r="F896" s="426"/>
      <c r="N896" s="721"/>
      <c r="U896" s="732"/>
    </row>
    <row r="897">
      <c r="B897" s="139"/>
      <c r="C897" s="139"/>
      <c r="D897" s="139"/>
      <c r="F897" s="426"/>
      <c r="N897" s="721"/>
      <c r="U897" s="732"/>
    </row>
    <row r="898">
      <c r="B898" s="139"/>
      <c r="C898" s="139"/>
      <c r="D898" s="139"/>
      <c r="F898" s="426"/>
      <c r="N898" s="721"/>
      <c r="U898" s="732"/>
    </row>
    <row r="899">
      <c r="B899" s="139"/>
      <c r="C899" s="139"/>
      <c r="D899" s="139"/>
      <c r="F899" s="426"/>
      <c r="N899" s="721"/>
      <c r="U899" s="732"/>
    </row>
    <row r="900">
      <c r="B900" s="139"/>
      <c r="C900" s="139"/>
      <c r="D900" s="139"/>
      <c r="F900" s="426"/>
      <c r="N900" s="721"/>
      <c r="U900" s="732"/>
    </row>
    <row r="901">
      <c r="B901" s="139"/>
      <c r="C901" s="139"/>
      <c r="D901" s="139"/>
      <c r="F901" s="426"/>
      <c r="N901" s="721"/>
      <c r="U901" s="732"/>
    </row>
    <row r="902">
      <c r="B902" s="139"/>
      <c r="C902" s="139"/>
      <c r="D902" s="139"/>
      <c r="F902" s="426"/>
      <c r="N902" s="721"/>
      <c r="U902" s="732"/>
    </row>
    <row r="903">
      <c r="B903" s="139"/>
      <c r="C903" s="139"/>
      <c r="D903" s="139"/>
      <c r="F903" s="426"/>
      <c r="N903" s="721"/>
      <c r="U903" s="732"/>
    </row>
    <row r="904">
      <c r="B904" s="139"/>
      <c r="C904" s="139"/>
      <c r="D904" s="139"/>
      <c r="F904" s="426"/>
      <c r="N904" s="721"/>
      <c r="U904" s="732"/>
    </row>
    <row r="905">
      <c r="B905" s="139"/>
      <c r="C905" s="139"/>
      <c r="D905" s="139"/>
      <c r="F905" s="426"/>
      <c r="N905" s="721"/>
      <c r="U905" s="732"/>
    </row>
    <row r="906">
      <c r="B906" s="139"/>
      <c r="C906" s="139"/>
      <c r="D906" s="139"/>
      <c r="F906" s="426"/>
      <c r="N906" s="721"/>
      <c r="U906" s="732"/>
    </row>
    <row r="907">
      <c r="B907" s="139"/>
      <c r="C907" s="139"/>
      <c r="D907" s="139"/>
      <c r="F907" s="426"/>
      <c r="N907" s="721"/>
      <c r="U907" s="732"/>
    </row>
    <row r="908">
      <c r="B908" s="139"/>
      <c r="C908" s="139"/>
      <c r="D908" s="139"/>
      <c r="F908" s="426"/>
      <c r="N908" s="721"/>
      <c r="U908" s="732"/>
    </row>
    <row r="909">
      <c r="B909" s="139"/>
      <c r="C909" s="139"/>
      <c r="D909" s="139"/>
      <c r="F909" s="426"/>
      <c r="N909" s="721"/>
      <c r="U909" s="732"/>
    </row>
    <row r="910">
      <c r="B910" s="139"/>
      <c r="C910" s="139"/>
      <c r="D910" s="139"/>
      <c r="F910" s="426"/>
      <c r="N910" s="721"/>
      <c r="U910" s="732"/>
    </row>
    <row r="911">
      <c r="B911" s="139"/>
      <c r="C911" s="139"/>
      <c r="D911" s="139"/>
      <c r="F911" s="426"/>
      <c r="N911" s="721"/>
      <c r="U911" s="732"/>
    </row>
    <row r="912">
      <c r="B912" s="139"/>
      <c r="C912" s="139"/>
      <c r="D912" s="139"/>
      <c r="F912" s="426"/>
      <c r="N912" s="721"/>
      <c r="U912" s="732"/>
    </row>
    <row r="913">
      <c r="B913" s="139"/>
      <c r="C913" s="139"/>
      <c r="D913" s="139"/>
      <c r="F913" s="426"/>
      <c r="N913" s="721"/>
      <c r="U913" s="732"/>
    </row>
    <row r="914">
      <c r="B914" s="139"/>
      <c r="C914" s="139"/>
      <c r="D914" s="139"/>
      <c r="F914" s="426"/>
      <c r="N914" s="721"/>
      <c r="U914" s="732"/>
    </row>
    <row r="915">
      <c r="B915" s="139"/>
      <c r="C915" s="139"/>
      <c r="D915" s="139"/>
      <c r="F915" s="426"/>
      <c r="N915" s="721"/>
      <c r="U915" s="732"/>
    </row>
    <row r="916">
      <c r="B916" s="139"/>
      <c r="C916" s="139"/>
      <c r="D916" s="139"/>
      <c r="F916" s="426"/>
      <c r="N916" s="721"/>
      <c r="U916" s="732"/>
    </row>
    <row r="917">
      <c r="B917" s="139"/>
      <c r="C917" s="139"/>
      <c r="D917" s="139"/>
      <c r="F917" s="426"/>
      <c r="N917" s="721"/>
      <c r="U917" s="732"/>
    </row>
    <row r="918">
      <c r="B918" s="139"/>
      <c r="C918" s="139"/>
      <c r="D918" s="139"/>
      <c r="F918" s="426"/>
      <c r="N918" s="721"/>
      <c r="U918" s="732"/>
    </row>
    <row r="919">
      <c r="B919" s="139"/>
      <c r="C919" s="139"/>
      <c r="D919" s="139"/>
      <c r="F919" s="426"/>
      <c r="N919" s="721"/>
      <c r="U919" s="732"/>
    </row>
    <row r="920">
      <c r="B920" s="139"/>
      <c r="C920" s="139"/>
      <c r="D920" s="139"/>
      <c r="F920" s="426"/>
      <c r="N920" s="721"/>
      <c r="U920" s="732"/>
    </row>
    <row r="921">
      <c r="B921" s="139"/>
      <c r="C921" s="139"/>
      <c r="D921" s="139"/>
      <c r="F921" s="426"/>
      <c r="N921" s="721"/>
      <c r="U921" s="732"/>
    </row>
    <row r="922">
      <c r="B922" s="139"/>
      <c r="C922" s="139"/>
      <c r="D922" s="139"/>
      <c r="F922" s="426"/>
      <c r="N922" s="721"/>
      <c r="U922" s="732"/>
    </row>
    <row r="923">
      <c r="B923" s="139"/>
      <c r="C923" s="139"/>
      <c r="D923" s="139"/>
      <c r="F923" s="426"/>
      <c r="N923" s="721"/>
      <c r="U923" s="732"/>
    </row>
    <row r="924">
      <c r="B924" s="139"/>
      <c r="C924" s="139"/>
      <c r="D924" s="139"/>
      <c r="F924" s="426"/>
      <c r="N924" s="721"/>
      <c r="U924" s="732"/>
    </row>
    <row r="925">
      <c r="B925" s="139"/>
      <c r="C925" s="139"/>
      <c r="D925" s="139"/>
      <c r="F925" s="426"/>
      <c r="N925" s="721"/>
      <c r="U925" s="732"/>
    </row>
    <row r="926">
      <c r="B926" s="139"/>
      <c r="C926" s="139"/>
      <c r="D926" s="139"/>
      <c r="F926" s="426"/>
      <c r="N926" s="721"/>
      <c r="U926" s="732"/>
    </row>
    <row r="927">
      <c r="B927" s="139"/>
      <c r="C927" s="139"/>
      <c r="D927" s="139"/>
      <c r="F927" s="426"/>
      <c r="N927" s="721"/>
      <c r="U927" s="732"/>
    </row>
    <row r="928">
      <c r="B928" s="139"/>
      <c r="C928" s="139"/>
      <c r="D928" s="139"/>
      <c r="F928" s="426"/>
      <c r="N928" s="721"/>
      <c r="U928" s="732"/>
    </row>
    <row r="929">
      <c r="B929" s="139"/>
      <c r="C929" s="139"/>
      <c r="D929" s="139"/>
      <c r="F929" s="426"/>
      <c r="N929" s="721"/>
      <c r="U929" s="732"/>
    </row>
    <row r="930">
      <c r="B930" s="139"/>
      <c r="C930" s="139"/>
      <c r="D930" s="139"/>
      <c r="F930" s="426"/>
      <c r="N930" s="721"/>
      <c r="U930" s="732"/>
    </row>
    <row r="931">
      <c r="B931" s="139"/>
      <c r="C931" s="139"/>
      <c r="D931" s="139"/>
      <c r="F931" s="426"/>
      <c r="N931" s="721"/>
      <c r="U931" s="732"/>
    </row>
    <row r="932">
      <c r="B932" s="139"/>
      <c r="C932" s="139"/>
      <c r="D932" s="139"/>
      <c r="F932" s="426"/>
      <c r="N932" s="721"/>
      <c r="U932" s="732"/>
    </row>
    <row r="933">
      <c r="B933" s="139"/>
      <c r="C933" s="139"/>
      <c r="D933" s="139"/>
      <c r="F933" s="426"/>
      <c r="N933" s="721"/>
      <c r="U933" s="732"/>
    </row>
    <row r="934">
      <c r="B934" s="139"/>
      <c r="C934" s="139"/>
      <c r="D934" s="139"/>
      <c r="F934" s="426"/>
      <c r="N934" s="721"/>
      <c r="U934" s="732"/>
    </row>
    <row r="935">
      <c r="B935" s="139"/>
      <c r="C935" s="139"/>
      <c r="D935" s="139"/>
      <c r="F935" s="426"/>
      <c r="N935" s="721"/>
      <c r="U935" s="732"/>
    </row>
    <row r="936">
      <c r="B936" s="139"/>
      <c r="C936" s="139"/>
      <c r="D936" s="139"/>
      <c r="F936" s="426"/>
      <c r="N936" s="721"/>
      <c r="U936" s="732"/>
    </row>
    <row r="937">
      <c r="B937" s="139"/>
      <c r="C937" s="139"/>
      <c r="D937" s="139"/>
      <c r="F937" s="426"/>
      <c r="N937" s="721"/>
      <c r="U937" s="732"/>
    </row>
    <row r="938">
      <c r="B938" s="139"/>
      <c r="C938" s="139"/>
      <c r="D938" s="139"/>
      <c r="F938" s="426"/>
      <c r="N938" s="721"/>
      <c r="U938" s="732"/>
    </row>
    <row r="939">
      <c r="B939" s="139"/>
      <c r="C939" s="139"/>
      <c r="D939" s="139"/>
      <c r="F939" s="426"/>
      <c r="N939" s="721"/>
      <c r="U939" s="732"/>
    </row>
    <row r="940">
      <c r="B940" s="139"/>
      <c r="C940" s="139"/>
      <c r="D940" s="139"/>
      <c r="F940" s="426"/>
      <c r="N940" s="721"/>
      <c r="U940" s="732"/>
    </row>
    <row r="941">
      <c r="B941" s="139"/>
      <c r="C941" s="139"/>
      <c r="D941" s="139"/>
      <c r="F941" s="426"/>
      <c r="N941" s="721"/>
      <c r="U941" s="732"/>
    </row>
    <row r="942">
      <c r="B942" s="139"/>
      <c r="C942" s="139"/>
      <c r="D942" s="139"/>
      <c r="F942" s="426"/>
      <c r="N942" s="721"/>
      <c r="U942" s="732"/>
    </row>
    <row r="943">
      <c r="B943" s="139"/>
      <c r="C943" s="139"/>
      <c r="D943" s="139"/>
      <c r="F943" s="426"/>
      <c r="N943" s="721"/>
      <c r="U943" s="732"/>
    </row>
    <row r="944">
      <c r="B944" s="139"/>
      <c r="C944" s="139"/>
      <c r="D944" s="139"/>
      <c r="F944" s="426"/>
      <c r="N944" s="721"/>
      <c r="U944" s="732"/>
    </row>
    <row r="945">
      <c r="B945" s="139"/>
      <c r="C945" s="139"/>
      <c r="D945" s="139"/>
      <c r="F945" s="426"/>
      <c r="N945" s="721"/>
      <c r="U945" s="732"/>
    </row>
    <row r="946">
      <c r="B946" s="139"/>
      <c r="C946" s="139"/>
      <c r="D946" s="139"/>
      <c r="F946" s="426"/>
      <c r="N946" s="721"/>
      <c r="U946" s="732"/>
    </row>
    <row r="947">
      <c r="B947" s="139"/>
      <c r="C947" s="139"/>
      <c r="D947" s="139"/>
      <c r="F947" s="426"/>
      <c r="N947" s="721"/>
      <c r="U947" s="732"/>
    </row>
    <row r="948">
      <c r="B948" s="139"/>
      <c r="C948" s="139"/>
      <c r="D948" s="139"/>
      <c r="F948" s="426"/>
      <c r="N948" s="721"/>
      <c r="U948" s="732"/>
    </row>
    <row r="949">
      <c r="B949" s="139"/>
      <c r="C949" s="139"/>
      <c r="D949" s="139"/>
      <c r="F949" s="426"/>
      <c r="N949" s="721"/>
      <c r="U949" s="732"/>
    </row>
    <row r="950">
      <c r="B950" s="139"/>
      <c r="C950" s="139"/>
      <c r="D950" s="139"/>
      <c r="F950" s="426"/>
      <c r="N950" s="721"/>
      <c r="U950" s="732"/>
    </row>
    <row r="951">
      <c r="B951" s="139"/>
      <c r="C951" s="139"/>
      <c r="D951" s="139"/>
      <c r="F951" s="426"/>
      <c r="N951" s="721"/>
      <c r="U951" s="732"/>
    </row>
    <row r="952">
      <c r="B952" s="139"/>
      <c r="C952" s="139"/>
      <c r="D952" s="139"/>
      <c r="F952" s="426"/>
      <c r="N952" s="721"/>
      <c r="U952" s="732"/>
    </row>
    <row r="953">
      <c r="B953" s="139"/>
      <c r="C953" s="139"/>
      <c r="D953" s="139"/>
      <c r="F953" s="426"/>
      <c r="N953" s="721"/>
      <c r="U953" s="732"/>
    </row>
    <row r="954">
      <c r="B954" s="139"/>
      <c r="C954" s="139"/>
      <c r="D954" s="139"/>
      <c r="F954" s="426"/>
      <c r="N954" s="721"/>
      <c r="U954" s="732"/>
    </row>
    <row r="955">
      <c r="B955" s="139"/>
      <c r="C955" s="139"/>
      <c r="D955" s="139"/>
      <c r="F955" s="426"/>
      <c r="N955" s="721"/>
      <c r="U955" s="732"/>
    </row>
    <row r="956">
      <c r="B956" s="139"/>
      <c r="C956" s="139"/>
      <c r="D956" s="139"/>
      <c r="F956" s="426"/>
      <c r="N956" s="721"/>
      <c r="U956" s="732"/>
    </row>
    <row r="957">
      <c r="B957" s="139"/>
      <c r="C957" s="139"/>
      <c r="D957" s="139"/>
      <c r="F957" s="426"/>
      <c r="N957" s="721"/>
      <c r="U957" s="732"/>
    </row>
    <row r="958">
      <c r="B958" s="139"/>
      <c r="C958" s="139"/>
      <c r="D958" s="139"/>
      <c r="F958" s="426"/>
      <c r="N958" s="721"/>
      <c r="U958" s="732"/>
    </row>
    <row r="959">
      <c r="B959" s="139"/>
      <c r="C959" s="139"/>
      <c r="D959" s="139"/>
      <c r="F959" s="426"/>
      <c r="N959" s="721"/>
      <c r="U959" s="732"/>
    </row>
    <row r="960">
      <c r="B960" s="139"/>
      <c r="C960" s="139"/>
      <c r="D960" s="139"/>
      <c r="F960" s="426"/>
      <c r="N960" s="721"/>
      <c r="U960" s="732"/>
    </row>
    <row r="961">
      <c r="B961" s="139"/>
      <c r="C961" s="139"/>
      <c r="D961" s="139"/>
      <c r="F961" s="426"/>
      <c r="N961" s="721"/>
      <c r="U961" s="732"/>
    </row>
    <row r="962">
      <c r="B962" s="139"/>
      <c r="C962" s="139"/>
      <c r="D962" s="139"/>
      <c r="F962" s="426"/>
      <c r="N962" s="721"/>
      <c r="U962" s="732"/>
    </row>
    <row r="963">
      <c r="B963" s="139"/>
      <c r="C963" s="139"/>
      <c r="D963" s="139"/>
      <c r="F963" s="426"/>
      <c r="N963" s="721"/>
      <c r="U963" s="732"/>
    </row>
    <row r="964">
      <c r="B964" s="139"/>
      <c r="C964" s="139"/>
      <c r="D964" s="139"/>
      <c r="F964" s="426"/>
      <c r="N964" s="721"/>
      <c r="U964" s="732"/>
    </row>
    <row r="965">
      <c r="B965" s="139"/>
      <c r="C965" s="139"/>
      <c r="D965" s="139"/>
      <c r="F965" s="426"/>
      <c r="N965" s="721"/>
      <c r="U965" s="732"/>
    </row>
    <row r="966">
      <c r="B966" s="139"/>
      <c r="C966" s="139"/>
      <c r="D966" s="139"/>
      <c r="F966" s="426"/>
      <c r="N966" s="721"/>
      <c r="U966" s="732"/>
    </row>
    <row r="967">
      <c r="B967" s="139"/>
      <c r="C967" s="139"/>
      <c r="D967" s="139"/>
      <c r="F967" s="426"/>
      <c r="N967" s="721"/>
      <c r="U967" s="732"/>
    </row>
    <row r="968">
      <c r="B968" s="139"/>
      <c r="C968" s="139"/>
      <c r="D968" s="139"/>
      <c r="F968" s="426"/>
      <c r="N968" s="721"/>
      <c r="U968" s="732"/>
    </row>
    <row r="969">
      <c r="B969" s="139"/>
      <c r="C969" s="139"/>
      <c r="D969" s="139"/>
      <c r="F969" s="426"/>
      <c r="N969" s="721"/>
      <c r="U969" s="732"/>
    </row>
    <row r="970">
      <c r="B970" s="139"/>
      <c r="C970" s="139"/>
      <c r="D970" s="139"/>
      <c r="F970" s="426"/>
      <c r="N970" s="721"/>
      <c r="U970" s="732"/>
    </row>
    <row r="971">
      <c r="B971" s="139"/>
      <c r="C971" s="139"/>
      <c r="D971" s="139"/>
      <c r="F971" s="426"/>
      <c r="N971" s="721"/>
      <c r="U971" s="732"/>
    </row>
    <row r="972">
      <c r="B972" s="139"/>
      <c r="C972" s="139"/>
      <c r="D972" s="139"/>
      <c r="F972" s="426"/>
      <c r="N972" s="721"/>
      <c r="U972" s="732"/>
    </row>
    <row r="973">
      <c r="B973" s="139"/>
      <c r="C973" s="139"/>
      <c r="D973" s="139"/>
      <c r="F973" s="426"/>
      <c r="N973" s="721"/>
      <c r="U973" s="732"/>
    </row>
    <row r="974">
      <c r="B974" s="139"/>
      <c r="C974" s="139"/>
      <c r="D974" s="139"/>
      <c r="F974" s="426"/>
      <c r="N974" s="721"/>
      <c r="U974" s="732"/>
    </row>
    <row r="975">
      <c r="B975" s="139"/>
      <c r="C975" s="139"/>
      <c r="D975" s="139"/>
      <c r="F975" s="426"/>
      <c r="N975" s="721"/>
      <c r="U975" s="732"/>
    </row>
    <row r="976">
      <c r="B976" s="139"/>
      <c r="C976" s="139"/>
      <c r="D976" s="139"/>
      <c r="F976" s="426"/>
      <c r="N976" s="721"/>
      <c r="U976" s="732"/>
    </row>
    <row r="977">
      <c r="B977" s="139"/>
      <c r="C977" s="139"/>
      <c r="D977" s="139"/>
      <c r="F977" s="426"/>
      <c r="N977" s="721"/>
      <c r="U977" s="732"/>
    </row>
    <row r="978">
      <c r="B978" s="139"/>
      <c r="C978" s="139"/>
      <c r="D978" s="139"/>
      <c r="F978" s="426"/>
      <c r="N978" s="721"/>
      <c r="U978" s="732"/>
    </row>
    <row r="979">
      <c r="B979" s="139"/>
      <c r="C979" s="139"/>
      <c r="D979" s="139"/>
      <c r="F979" s="426"/>
      <c r="N979" s="721"/>
      <c r="U979" s="732"/>
    </row>
    <row r="980">
      <c r="B980" s="139"/>
      <c r="C980" s="139"/>
      <c r="D980" s="139"/>
      <c r="F980" s="426"/>
      <c r="N980" s="721"/>
      <c r="U980" s="732"/>
    </row>
    <row r="981">
      <c r="B981" s="139"/>
      <c r="C981" s="139"/>
      <c r="D981" s="139"/>
      <c r="F981" s="426"/>
      <c r="N981" s="721"/>
      <c r="U981" s="732"/>
    </row>
    <row r="982">
      <c r="B982" s="139"/>
      <c r="C982" s="139"/>
      <c r="D982" s="139"/>
      <c r="F982" s="426"/>
      <c r="N982" s="721"/>
      <c r="U982" s="732"/>
    </row>
    <row r="983">
      <c r="B983" s="139"/>
      <c r="C983" s="139"/>
      <c r="D983" s="139"/>
      <c r="F983" s="426"/>
      <c r="N983" s="721"/>
      <c r="U983" s="732"/>
    </row>
    <row r="984">
      <c r="B984" s="139"/>
      <c r="C984" s="139"/>
      <c r="D984" s="139"/>
      <c r="F984" s="426"/>
      <c r="N984" s="721"/>
      <c r="U984" s="732"/>
    </row>
    <row r="985">
      <c r="B985" s="139"/>
      <c r="C985" s="139"/>
      <c r="D985" s="139"/>
      <c r="F985" s="426"/>
      <c r="N985" s="721"/>
      <c r="U985" s="732"/>
    </row>
    <row r="986">
      <c r="B986" s="139"/>
      <c r="C986" s="139"/>
      <c r="D986" s="139"/>
      <c r="F986" s="426"/>
      <c r="N986" s="721"/>
      <c r="U986" s="732"/>
    </row>
    <row r="987">
      <c r="B987" s="139"/>
      <c r="C987" s="139"/>
      <c r="D987" s="139"/>
      <c r="F987" s="426"/>
      <c r="N987" s="721"/>
      <c r="U987" s="732"/>
    </row>
    <row r="988">
      <c r="B988" s="139"/>
      <c r="C988" s="139"/>
      <c r="D988" s="139"/>
      <c r="F988" s="426"/>
      <c r="N988" s="721"/>
      <c r="U988" s="732"/>
    </row>
    <row r="989">
      <c r="B989" s="139"/>
      <c r="C989" s="139"/>
      <c r="D989" s="139"/>
      <c r="F989" s="426"/>
      <c r="N989" s="721"/>
      <c r="U989" s="732"/>
    </row>
    <row r="990">
      <c r="B990" s="139"/>
      <c r="C990" s="139"/>
      <c r="D990" s="139"/>
      <c r="F990" s="426"/>
      <c r="N990" s="721"/>
      <c r="U990" s="732"/>
    </row>
    <row r="991">
      <c r="B991" s="139"/>
      <c r="C991" s="139"/>
      <c r="D991" s="139"/>
      <c r="F991" s="426"/>
      <c r="N991" s="721"/>
      <c r="U991" s="732"/>
    </row>
    <row r="992">
      <c r="B992" s="139"/>
      <c r="C992" s="139"/>
      <c r="D992" s="139"/>
      <c r="F992" s="426"/>
      <c r="N992" s="721"/>
      <c r="U992" s="732"/>
    </row>
    <row r="993">
      <c r="B993" s="139"/>
      <c r="C993" s="139"/>
      <c r="D993" s="139"/>
      <c r="F993" s="426"/>
      <c r="N993" s="721"/>
      <c r="U993" s="732"/>
    </row>
    <row r="994">
      <c r="B994" s="139"/>
      <c r="C994" s="139"/>
      <c r="D994" s="139"/>
      <c r="F994" s="426"/>
      <c r="N994" s="721"/>
      <c r="U994" s="732"/>
    </row>
    <row r="995">
      <c r="B995" s="139"/>
      <c r="C995" s="139"/>
      <c r="D995" s="139"/>
      <c r="F995" s="426"/>
      <c r="N995" s="721"/>
      <c r="U995" s="732"/>
    </row>
    <row r="996">
      <c r="B996" s="139"/>
      <c r="C996" s="139"/>
      <c r="D996" s="139"/>
      <c r="F996" s="426"/>
      <c r="N996" s="721"/>
      <c r="U996" s="732"/>
    </row>
    <row r="997">
      <c r="B997" s="139"/>
      <c r="C997" s="139"/>
      <c r="D997" s="139"/>
      <c r="F997" s="426"/>
      <c r="N997" s="721"/>
      <c r="U997" s="732"/>
    </row>
    <row r="998">
      <c r="B998" s="139"/>
      <c r="C998" s="139"/>
      <c r="D998" s="139"/>
      <c r="F998" s="426"/>
      <c r="N998" s="721"/>
      <c r="U998" s="732"/>
    </row>
    <row r="999">
      <c r="B999" s="139"/>
      <c r="C999" s="139"/>
      <c r="D999" s="139"/>
      <c r="F999" s="426"/>
      <c r="N999" s="721"/>
      <c r="U999" s="732"/>
    </row>
    <row r="1000">
      <c r="B1000" s="139"/>
      <c r="C1000" s="139"/>
      <c r="D1000" s="139"/>
      <c r="F1000" s="426"/>
      <c r="N1000" s="721"/>
      <c r="U1000" s="732"/>
    </row>
    <row r="1001">
      <c r="B1001" s="139"/>
      <c r="C1001" s="139"/>
      <c r="D1001" s="139"/>
      <c r="F1001" s="426"/>
      <c r="N1001" s="721"/>
      <c r="U1001" s="732"/>
    </row>
    <row r="1002">
      <c r="B1002" s="139"/>
      <c r="C1002" s="139"/>
      <c r="D1002" s="139"/>
      <c r="F1002" s="426"/>
      <c r="N1002" s="721"/>
      <c r="U1002" s="732"/>
    </row>
  </sheetData>
  <mergeCells count="2">
    <mergeCell ref="O1:P1"/>
    <mergeCell ref="M1:N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2" ref="C5"/>
    <hyperlink r:id="rId3" ref="C6"/>
    <hyperlink r:id="rId4" ref="C9"/>
    <hyperlink r:id="rId5" ref="C14"/>
    <hyperlink r:id="rId6" ref="C15"/>
    <hyperlink r:id="rId7" ref="C16"/>
    <hyperlink r:id="rId8" ref="C17"/>
    <hyperlink r:id="rId9" ref="C18"/>
    <hyperlink r:id="rId10" ref="C20"/>
    <hyperlink r:id="rId11" ref="C21"/>
    <hyperlink r:id="rId12" ref="C22"/>
    <hyperlink r:id="rId13" ref="C24"/>
    <hyperlink r:id="rId14" ref="C25"/>
    <hyperlink r:id="rId15" ref="C26"/>
    <hyperlink r:id="rId16" ref="C28"/>
    <hyperlink r:id="rId17" ref="C29"/>
    <hyperlink r:id="rId18" ref="C31"/>
    <hyperlink r:id="rId19" ref="C32"/>
    <hyperlink r:id="rId20" ref="C33"/>
    <hyperlink r:id="rId21" ref="C34"/>
    <hyperlink r:id="rId22" ref="C36"/>
    <hyperlink r:id="rId23" ref="C37"/>
    <hyperlink r:id="rId24" ref="C38"/>
    <hyperlink r:id="rId25" ref="C39"/>
    <hyperlink r:id="rId26" ref="C40"/>
    <hyperlink r:id="rId27" ref="C41"/>
    <hyperlink r:id="rId28" ref="C42"/>
    <hyperlink r:id="rId29" ref="C45"/>
    <hyperlink r:id="rId30" ref="C46"/>
    <hyperlink r:id="rId31" ref="C48"/>
    <hyperlink r:id="rId32" ref="C49"/>
    <hyperlink r:id="rId33" ref="C50"/>
    <hyperlink r:id="rId34" ref="C51"/>
    <hyperlink r:id="rId35" ref="C52"/>
    <hyperlink r:id="rId36" ref="C53"/>
    <hyperlink r:id="rId37" ref="C55"/>
    <hyperlink r:id="rId38" ref="C56"/>
    <hyperlink r:id="rId39" ref="C57"/>
    <hyperlink r:id="rId40" ref="C58"/>
    <hyperlink r:id="rId41" ref="C59"/>
    <hyperlink r:id="rId42" ref="C61"/>
    <hyperlink r:id="rId43" ref="C62"/>
    <hyperlink r:id="rId44" ref="C63"/>
    <hyperlink r:id="rId45" ref="C64"/>
    <hyperlink r:id="rId46" ref="C67"/>
    <hyperlink r:id="rId47" ref="C68"/>
    <hyperlink r:id="rId48" ref="C69"/>
    <hyperlink r:id="rId49" ref="C70"/>
    <hyperlink r:id="rId50" ref="C71"/>
    <hyperlink r:id="rId51" ref="C72"/>
    <hyperlink r:id="rId52" ref="C73"/>
    <hyperlink r:id="rId53" ref="C74"/>
    <hyperlink r:id="rId54" ref="C78"/>
    <hyperlink r:id="rId55" ref="B80"/>
    <hyperlink r:id="rId56" ref="C80"/>
    <hyperlink r:id="rId57" ref="B81"/>
    <hyperlink r:id="rId58" ref="B82"/>
    <hyperlink r:id="rId59" ref="C82"/>
    <hyperlink r:id="rId60" ref="B83"/>
    <hyperlink r:id="rId61" ref="C83"/>
    <hyperlink r:id="rId62" ref="B84"/>
    <hyperlink r:id="rId63" ref="C84"/>
    <hyperlink r:id="rId64" ref="C85"/>
    <hyperlink r:id="rId65" ref="C86"/>
    <hyperlink r:id="rId66" ref="C89"/>
    <hyperlink r:id="rId67" ref="B91"/>
    <hyperlink r:id="rId68" ref="C91"/>
    <hyperlink r:id="rId69" ref="C92"/>
    <hyperlink r:id="rId70" ref="C93"/>
    <hyperlink r:id="rId71" ref="B94"/>
    <hyperlink r:id="rId72" ref="C94"/>
    <hyperlink r:id="rId73" ref="B95"/>
    <hyperlink r:id="rId74" ref="C95"/>
    <hyperlink r:id="rId75" ref="B98"/>
    <hyperlink r:id="rId76" ref="C98"/>
    <hyperlink r:id="rId77" ref="B99"/>
    <hyperlink r:id="rId78" ref="B100"/>
    <hyperlink r:id="rId79" ref="C100"/>
    <hyperlink r:id="rId80" ref="B101"/>
    <hyperlink r:id="rId81" ref="B102"/>
    <hyperlink r:id="rId82" ref="C102"/>
    <hyperlink r:id="rId83" ref="B103"/>
    <hyperlink r:id="rId84" ref="C103"/>
    <hyperlink r:id="rId85" ref="B104"/>
    <hyperlink r:id="rId86" ref="C104"/>
    <hyperlink r:id="rId87" ref="B105"/>
    <hyperlink r:id="rId88" ref="B106"/>
    <hyperlink r:id="rId89" ref="C106"/>
    <hyperlink r:id="rId90" ref="B107"/>
    <hyperlink r:id="rId91" ref="C107"/>
    <hyperlink r:id="rId92" ref="B108"/>
    <hyperlink r:id="rId93" ref="C108"/>
  </hyperlinks>
  <drawing r:id="rId94"/>
  <legacyDrawing r:id="rId95"/>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4.43" defaultRowHeight="15.75"/>
  <cols>
    <col customWidth="1" min="1" max="1" width="8.86"/>
    <col customWidth="1" min="2" max="2" width="17.86"/>
    <col customWidth="1" min="12" max="12" width="17.14"/>
  </cols>
  <sheetData>
    <row r="1">
      <c r="A1" s="739" t="s">
        <v>0</v>
      </c>
      <c r="B1" s="740" t="s">
        <v>1</v>
      </c>
      <c r="C1" s="740" t="s">
        <v>2</v>
      </c>
      <c r="D1" s="740"/>
      <c r="E1" s="741"/>
      <c r="F1" s="742" t="s">
        <v>1577</v>
      </c>
      <c r="G1" s="742" t="s">
        <v>4</v>
      </c>
      <c r="H1" s="742" t="s">
        <v>5</v>
      </c>
      <c r="I1" s="742" t="s">
        <v>6</v>
      </c>
      <c r="J1" s="742" t="s">
        <v>7</v>
      </c>
      <c r="K1" s="1" t="s">
        <v>8</v>
      </c>
      <c r="L1" s="743" t="s">
        <v>9</v>
      </c>
      <c r="P1" s="744" t="s">
        <v>14</v>
      </c>
      <c r="T1" s="665"/>
      <c r="U1" s="665"/>
      <c r="V1" s="665"/>
      <c r="W1" s="665"/>
      <c r="X1" s="665"/>
      <c r="Y1" s="665"/>
      <c r="Z1" s="665"/>
      <c r="AA1" s="665"/>
      <c r="AB1" s="665"/>
      <c r="AC1" s="665"/>
      <c r="AD1" s="665"/>
    </row>
    <row r="2">
      <c r="A2" s="745"/>
      <c r="B2" s="746"/>
      <c r="C2" s="747"/>
      <c r="D2" s="747"/>
      <c r="E2" s="741"/>
      <c r="F2" s="749">
        <v>43814.0</v>
      </c>
      <c r="G2" s="749">
        <v>43496.0</v>
      </c>
      <c r="H2" s="21">
        <f>G2-TODAY()</f>
        <v>-239</v>
      </c>
      <c r="I2" s="749">
        <v>43474.0</v>
      </c>
      <c r="J2" s="745"/>
      <c r="K2" s="23"/>
      <c r="L2" s="752">
        <f>CountIFS($E:$E,"=Dem",$A:$A,"=House")</f>
        <v>96</v>
      </c>
      <c r="M2" s="755">
        <f>CountIFS($E:$E,"=Rep",$A:$A,"=House")</f>
        <v>39</v>
      </c>
      <c r="N2" s="756">
        <f>CountIFS($E:$E,"=Ind",$A:$A,"=House")</f>
        <v>6</v>
      </c>
      <c r="O2" s="757">
        <f>CountIFS($E:$E,"=Prog",$A:$A,"=House")</f>
        <v>7</v>
      </c>
      <c r="P2" s="758">
        <f>CountIFS($E:$E,"=Dem",$A:$A,"=Senate")</f>
        <v>21</v>
      </c>
      <c r="Q2" s="755">
        <f>CountIFS($E:$E,"=Rep",$A:$A,"=Senate")</f>
        <v>7</v>
      </c>
      <c r="R2" s="756">
        <f>CountIFS($E:$E,"=Ind",$A:$A,"=Senate")</f>
        <v>0</v>
      </c>
      <c r="S2" s="757">
        <f>CountIFS($E:$E,"=Prog",$A:$A,"=Senate")</f>
        <v>2</v>
      </c>
      <c r="T2" s="665"/>
      <c r="U2" s="665"/>
      <c r="V2" s="665"/>
      <c r="W2" s="665"/>
      <c r="X2" s="665"/>
      <c r="Y2" s="665"/>
      <c r="Z2" s="665"/>
      <c r="AA2" s="665"/>
      <c r="AB2" s="665"/>
      <c r="AC2" s="665"/>
      <c r="AD2" s="665"/>
    </row>
    <row r="3">
      <c r="A3" s="742" t="s">
        <v>29</v>
      </c>
      <c r="B3" s="740" t="s">
        <v>30</v>
      </c>
      <c r="C3" s="740" t="s">
        <v>799</v>
      </c>
      <c r="D3" s="740" t="s">
        <v>800</v>
      </c>
      <c r="E3" s="741" t="s">
        <v>33</v>
      </c>
      <c r="F3" s="739" t="s">
        <v>10</v>
      </c>
      <c r="G3" s="739" t="s">
        <v>34</v>
      </c>
      <c r="H3" s="739" t="s">
        <v>34</v>
      </c>
      <c r="I3" s="739" t="s">
        <v>34</v>
      </c>
      <c r="J3" s="739" t="s">
        <v>34</v>
      </c>
      <c r="K3" s="739" t="s">
        <v>35</v>
      </c>
      <c r="L3" s="759" t="s">
        <v>36</v>
      </c>
      <c r="M3" s="759" t="s">
        <v>37</v>
      </c>
      <c r="N3" s="759" t="s">
        <v>38</v>
      </c>
      <c r="O3" s="761" t="s">
        <v>39</v>
      </c>
      <c r="P3" s="762" t="s">
        <v>40</v>
      </c>
      <c r="Q3" s="762" t="s">
        <v>41</v>
      </c>
      <c r="R3" s="764" t="s">
        <v>42</v>
      </c>
      <c r="S3" s="765"/>
      <c r="T3" s="665"/>
      <c r="U3" s="665"/>
      <c r="V3" s="665"/>
      <c r="W3" s="665"/>
      <c r="X3" s="665"/>
      <c r="Y3" s="665"/>
      <c r="Z3" s="665"/>
      <c r="AA3" s="665"/>
      <c r="AB3" s="665"/>
      <c r="AC3" s="665"/>
      <c r="AD3" s="665"/>
    </row>
    <row r="4">
      <c r="A4" s="14" t="s">
        <v>44</v>
      </c>
      <c r="B4" s="766" t="s">
        <v>13044</v>
      </c>
      <c r="C4" s="204" t="s">
        <v>2969</v>
      </c>
      <c r="D4" s="204" t="s">
        <v>5152</v>
      </c>
      <c r="E4" s="36" t="s">
        <v>49</v>
      </c>
      <c r="F4" s="112"/>
      <c r="L4" s="136" t="s">
        <v>13047</v>
      </c>
      <c r="M4" s="136" t="s">
        <v>13048</v>
      </c>
      <c r="N4" s="41"/>
      <c r="O4" s="41"/>
      <c r="P4" s="41"/>
      <c r="Q4" s="41"/>
      <c r="R4" s="41"/>
      <c r="S4" s="41"/>
    </row>
    <row r="5">
      <c r="A5" s="14" t="s">
        <v>44</v>
      </c>
      <c r="C5" s="204" t="s">
        <v>1651</v>
      </c>
      <c r="D5" s="204" t="s">
        <v>13049</v>
      </c>
      <c r="E5" s="36" t="s">
        <v>49</v>
      </c>
      <c r="F5" s="112"/>
      <c r="L5" s="136" t="s">
        <v>13047</v>
      </c>
      <c r="M5" s="136" t="s">
        <v>13050</v>
      </c>
      <c r="N5" s="41"/>
      <c r="O5" s="41"/>
      <c r="P5" s="41"/>
      <c r="Q5" s="41"/>
      <c r="R5" s="41"/>
      <c r="S5" s="41"/>
    </row>
    <row r="6">
      <c r="A6" s="14" t="s">
        <v>44</v>
      </c>
      <c r="B6" s="766" t="s">
        <v>13051</v>
      </c>
      <c r="C6" s="204" t="s">
        <v>367</v>
      </c>
      <c r="D6" s="204" t="s">
        <v>13052</v>
      </c>
      <c r="E6" s="36" t="s">
        <v>49</v>
      </c>
      <c r="F6" s="112"/>
      <c r="L6" s="136" t="s">
        <v>13047</v>
      </c>
      <c r="M6" s="136" t="s">
        <v>13053</v>
      </c>
      <c r="N6" s="41"/>
      <c r="O6" s="41"/>
      <c r="P6" s="41"/>
      <c r="Q6" s="41"/>
      <c r="R6" s="41"/>
      <c r="S6" s="41"/>
    </row>
    <row r="7">
      <c r="A7" s="14" t="s">
        <v>44</v>
      </c>
      <c r="B7" s="766" t="s">
        <v>13054</v>
      </c>
      <c r="C7" s="204" t="s">
        <v>5233</v>
      </c>
      <c r="D7" s="204" t="s">
        <v>13055</v>
      </c>
      <c r="E7" s="36" t="s">
        <v>49</v>
      </c>
      <c r="F7" s="112"/>
      <c r="L7" s="136" t="s">
        <v>13047</v>
      </c>
      <c r="M7" s="41" t="str">
        <f t="shared" ref="M7:M151" si="1">Concatenate(lower(left(C7,1)),lower(D7),"@leg.state.vt.us")</f>
        <v>dlanpher@leg.state.vt.us</v>
      </c>
      <c r="N7" s="41"/>
      <c r="O7" s="41"/>
      <c r="P7" s="41"/>
      <c r="Q7" s="41"/>
      <c r="R7" s="41"/>
      <c r="S7" s="41"/>
    </row>
    <row r="8">
      <c r="A8" s="14" t="s">
        <v>44</v>
      </c>
      <c r="C8" s="768" t="s">
        <v>13058</v>
      </c>
      <c r="D8" s="768" t="s">
        <v>163</v>
      </c>
      <c r="E8" s="36" t="s">
        <v>49</v>
      </c>
      <c r="F8" s="112"/>
      <c r="L8" s="136" t="s">
        <v>13047</v>
      </c>
      <c r="M8" s="41" t="str">
        <f t="shared" si="1"/>
        <v>bmatt@leg.state.vt.us</v>
      </c>
      <c r="N8" s="41"/>
      <c r="O8" s="41"/>
      <c r="P8" s="41"/>
      <c r="Q8" s="41"/>
      <c r="R8" s="41"/>
      <c r="S8" s="41"/>
    </row>
    <row r="9">
      <c r="A9" s="14" t="s">
        <v>44</v>
      </c>
      <c r="B9" s="766" t="s">
        <v>13063</v>
      </c>
      <c r="C9" s="770" t="s">
        <v>7269</v>
      </c>
      <c r="D9" s="770" t="s">
        <v>8680</v>
      </c>
      <c r="E9" s="36" t="s">
        <v>49</v>
      </c>
      <c r="F9" s="112"/>
      <c r="L9" s="136" t="s">
        <v>13047</v>
      </c>
      <c r="M9" s="41" t="str">
        <f t="shared" si="1"/>
        <v>ecaleb@leg.state.vt.us</v>
      </c>
      <c r="N9" s="41"/>
      <c r="O9" s="41"/>
      <c r="P9" s="41"/>
      <c r="Q9" s="41"/>
      <c r="R9" s="41"/>
      <c r="S9" s="41"/>
    </row>
    <row r="10">
      <c r="A10" s="14" t="s">
        <v>44</v>
      </c>
      <c r="C10" s="204" t="s">
        <v>108</v>
      </c>
      <c r="D10" s="204" t="s">
        <v>5987</v>
      </c>
      <c r="E10" s="36" t="s">
        <v>49</v>
      </c>
      <c r="F10" s="112"/>
      <c r="L10" s="136" t="s">
        <v>13047</v>
      </c>
      <c r="M10" s="41" t="str">
        <f t="shared" si="1"/>
        <v>dsharpe@leg.state.vt.us</v>
      </c>
      <c r="N10" s="41"/>
      <c r="O10" s="41"/>
      <c r="P10" s="41"/>
      <c r="Q10" s="41"/>
      <c r="R10" s="41"/>
      <c r="S10" s="41"/>
    </row>
    <row r="11">
      <c r="A11" s="14" t="s">
        <v>44</v>
      </c>
      <c r="B11" s="766" t="s">
        <v>13067</v>
      </c>
      <c r="C11" s="204" t="s">
        <v>5101</v>
      </c>
      <c r="D11" s="204" t="s">
        <v>1451</v>
      </c>
      <c r="E11" s="51" t="s">
        <v>53</v>
      </c>
      <c r="F11" s="112"/>
      <c r="L11" s="136" t="s">
        <v>13047</v>
      </c>
      <c r="M11" s="41" t="str">
        <f t="shared" si="1"/>
        <v>hsmith@leg.state.vt.us</v>
      </c>
      <c r="N11" s="41"/>
      <c r="O11" s="41"/>
      <c r="P11" s="41"/>
      <c r="Q11" s="41"/>
      <c r="R11" s="41"/>
      <c r="S11" s="41"/>
    </row>
    <row r="12">
      <c r="A12" s="14" t="s">
        <v>44</v>
      </c>
      <c r="B12" s="766" t="s">
        <v>13074</v>
      </c>
      <c r="C12" s="204" t="s">
        <v>1990</v>
      </c>
      <c r="D12" s="204" t="s">
        <v>10218</v>
      </c>
      <c r="E12" s="65" t="s">
        <v>243</v>
      </c>
      <c r="F12" s="112"/>
      <c r="L12" s="136" t="s">
        <v>13047</v>
      </c>
      <c r="M12" s="41" t="str">
        <f t="shared" si="1"/>
        <v>tnorris@leg.state.vt.us</v>
      </c>
      <c r="N12" s="41"/>
      <c r="O12" s="41"/>
      <c r="P12" s="41"/>
      <c r="Q12" s="41"/>
      <c r="R12" s="41"/>
      <c r="S12" s="41"/>
    </row>
    <row r="13">
      <c r="A13" s="14" t="s">
        <v>44</v>
      </c>
      <c r="B13" s="766" t="s">
        <v>13075</v>
      </c>
      <c r="C13" s="770" t="s">
        <v>13076</v>
      </c>
      <c r="D13" s="770" t="s">
        <v>3823</v>
      </c>
      <c r="E13" s="36" t="s">
        <v>49</v>
      </c>
      <c r="F13" s="112"/>
      <c r="L13" s="136" t="s">
        <v>13047</v>
      </c>
      <c r="M13" s="41" t="str">
        <f t="shared" si="1"/>
        <v>bnelson@leg.state.vt.us</v>
      </c>
      <c r="N13" s="41"/>
      <c r="O13" s="41"/>
      <c r="P13" s="41"/>
      <c r="Q13" s="41"/>
      <c r="R13" s="41"/>
      <c r="S13" s="41"/>
    </row>
    <row r="14">
      <c r="A14" s="14" t="s">
        <v>44</v>
      </c>
      <c r="B14" s="766" t="s">
        <v>13078</v>
      </c>
      <c r="C14" s="204" t="s">
        <v>2507</v>
      </c>
      <c r="D14" s="204" t="s">
        <v>13079</v>
      </c>
      <c r="E14" s="36" t="s">
        <v>49</v>
      </c>
      <c r="F14" s="112"/>
      <c r="L14" s="136" t="s">
        <v>13047</v>
      </c>
      <c r="M14" s="41" t="str">
        <f t="shared" si="1"/>
        <v>tcorcoran@leg.state.vt.us</v>
      </c>
      <c r="N14" s="41"/>
      <c r="O14" s="41"/>
      <c r="P14" s="41"/>
      <c r="Q14" s="41"/>
      <c r="R14" s="41"/>
      <c r="S14" s="41"/>
    </row>
    <row r="15">
      <c r="A15" s="14" t="s">
        <v>44</v>
      </c>
      <c r="C15" s="770" t="s">
        <v>2251</v>
      </c>
      <c r="D15" s="770" t="s">
        <v>173</v>
      </c>
      <c r="E15" s="36" t="s">
        <v>49</v>
      </c>
      <c r="F15" s="112"/>
      <c r="L15" s="136" t="s">
        <v>13047</v>
      </c>
      <c r="M15" s="41" t="str">
        <f t="shared" si="1"/>
        <v>bchris@leg.state.vt.us</v>
      </c>
      <c r="N15" s="41"/>
      <c r="O15" s="41"/>
      <c r="P15" s="41"/>
      <c r="Q15" s="41"/>
      <c r="R15" s="41"/>
      <c r="S15" s="41"/>
    </row>
    <row r="16">
      <c r="A16" s="14" t="s">
        <v>44</v>
      </c>
      <c r="B16" s="766" t="s">
        <v>13080</v>
      </c>
      <c r="C16" s="204" t="s">
        <v>13081</v>
      </c>
      <c r="D16" s="204" t="s">
        <v>617</v>
      </c>
      <c r="E16" s="36" t="s">
        <v>49</v>
      </c>
      <c r="F16" s="112"/>
      <c r="L16" s="136" t="s">
        <v>13047</v>
      </c>
      <c r="M16" s="41" t="str">
        <f t="shared" si="1"/>
        <v>kmorris@leg.state.vt.us</v>
      </c>
      <c r="N16" s="41"/>
      <c r="O16" s="41"/>
      <c r="P16" s="41"/>
      <c r="Q16" s="41"/>
      <c r="R16" s="41"/>
      <c r="S16" s="41"/>
    </row>
    <row r="17">
      <c r="A17" s="14" t="s">
        <v>44</v>
      </c>
      <c r="C17" s="204" t="s">
        <v>514</v>
      </c>
      <c r="D17" s="204" t="s">
        <v>13085</v>
      </c>
      <c r="E17" s="51" t="s">
        <v>53</v>
      </c>
      <c r="F17" s="112"/>
      <c r="L17" s="136" t="s">
        <v>13047</v>
      </c>
      <c r="M17" s="41" t="str">
        <f t="shared" si="1"/>
        <v>mmorrissey@leg.state.vt.us</v>
      </c>
      <c r="N17" s="41"/>
      <c r="O17" s="41"/>
      <c r="P17" s="41"/>
      <c r="Q17" s="41"/>
      <c r="R17" s="41"/>
      <c r="S17" s="41"/>
    </row>
    <row r="18">
      <c r="A18" s="14" t="s">
        <v>44</v>
      </c>
      <c r="B18" s="766" t="s">
        <v>13086</v>
      </c>
      <c r="C18" s="204" t="s">
        <v>5331</v>
      </c>
      <c r="D18" s="204" t="s">
        <v>1501</v>
      </c>
      <c r="E18" s="36" t="s">
        <v>49</v>
      </c>
      <c r="F18" s="112"/>
      <c r="L18" s="136" t="s">
        <v>13047</v>
      </c>
      <c r="M18" s="41" t="str">
        <f t="shared" si="1"/>
        <v>amiller@leg.state.vt.us</v>
      </c>
      <c r="N18" s="41"/>
      <c r="O18" s="41"/>
      <c r="P18" s="41"/>
      <c r="Q18" s="41"/>
      <c r="R18" s="41"/>
      <c r="S18" s="41"/>
    </row>
    <row r="19">
      <c r="A19" s="14" t="s">
        <v>44</v>
      </c>
      <c r="B19" s="766" t="s">
        <v>13087</v>
      </c>
      <c r="C19" s="204" t="s">
        <v>3490</v>
      </c>
      <c r="D19" s="204" t="s">
        <v>8303</v>
      </c>
      <c r="E19" s="36" t="s">
        <v>49</v>
      </c>
      <c r="F19" s="112"/>
      <c r="L19" s="136" t="s">
        <v>13047</v>
      </c>
      <c r="M19" s="41" t="str">
        <f t="shared" si="1"/>
        <v>cbrowning@leg.state.vt.us</v>
      </c>
      <c r="N19" s="41"/>
      <c r="O19" s="41"/>
      <c r="P19" s="41"/>
      <c r="Q19" s="41"/>
      <c r="R19" s="41"/>
      <c r="S19" s="41"/>
    </row>
    <row r="20">
      <c r="A20" s="14" t="s">
        <v>44</v>
      </c>
      <c r="C20" s="770" t="s">
        <v>930</v>
      </c>
      <c r="D20" s="770" t="s">
        <v>2554</v>
      </c>
      <c r="E20" s="36" t="s">
        <v>49</v>
      </c>
      <c r="F20" s="112"/>
      <c r="L20" s="136" t="s">
        <v>13047</v>
      </c>
      <c r="M20" s="41" t="str">
        <f t="shared" si="1"/>
        <v>jkathleen@leg.state.vt.us</v>
      </c>
      <c r="N20" s="41"/>
      <c r="O20" s="41"/>
      <c r="P20" s="41"/>
      <c r="Q20" s="41"/>
      <c r="R20" s="41"/>
      <c r="S20" s="41"/>
    </row>
    <row r="21">
      <c r="A21" s="14" t="s">
        <v>44</v>
      </c>
      <c r="B21" s="766" t="s">
        <v>13090</v>
      </c>
      <c r="C21" s="204" t="s">
        <v>978</v>
      </c>
      <c r="D21" s="204" t="s">
        <v>435</v>
      </c>
      <c r="E21" s="36" t="s">
        <v>49</v>
      </c>
      <c r="F21" s="112"/>
      <c r="L21" s="136" t="s">
        <v>13047</v>
      </c>
      <c r="M21" s="41" t="str">
        <f t="shared" si="1"/>
        <v>lsullivan@leg.state.vt.us</v>
      </c>
      <c r="N21" s="41"/>
      <c r="O21" s="41"/>
      <c r="P21" s="41"/>
      <c r="Q21" s="41"/>
      <c r="R21" s="41"/>
      <c r="S21" s="41"/>
    </row>
    <row r="22">
      <c r="A22" s="14" t="s">
        <v>44</v>
      </c>
      <c r="B22" s="766" t="s">
        <v>13091</v>
      </c>
      <c r="C22" s="204" t="s">
        <v>9776</v>
      </c>
      <c r="D22" s="204" t="s">
        <v>13092</v>
      </c>
      <c r="E22" s="51" t="s">
        <v>53</v>
      </c>
      <c r="F22" s="112"/>
      <c r="L22" s="136" t="s">
        <v>13047</v>
      </c>
      <c r="M22" s="41" t="str">
        <f t="shared" si="1"/>
        <v>mmartel@leg.state.vt.us</v>
      </c>
      <c r="N22" s="41"/>
      <c r="O22" s="41"/>
      <c r="P22" s="41"/>
      <c r="Q22" s="41"/>
      <c r="R22" s="41"/>
      <c r="S22" s="41"/>
    </row>
    <row r="23">
      <c r="A23" s="14" t="s">
        <v>44</v>
      </c>
      <c r="B23" s="766" t="s">
        <v>13093</v>
      </c>
      <c r="C23" s="204" t="s">
        <v>767</v>
      </c>
      <c r="D23" s="204" t="s">
        <v>13094</v>
      </c>
      <c r="E23" s="36" t="s">
        <v>49</v>
      </c>
      <c r="F23" s="112"/>
      <c r="L23" s="136" t="s">
        <v>13047</v>
      </c>
      <c r="M23" s="41" t="str">
        <f t="shared" si="1"/>
        <v>ctroiano@leg.state.vt.us</v>
      </c>
      <c r="N23" s="41"/>
      <c r="O23" s="41"/>
      <c r="P23" s="41"/>
      <c r="Q23" s="41"/>
      <c r="R23" s="41"/>
      <c r="S23" s="41"/>
    </row>
    <row r="24">
      <c r="A24" s="14" t="s">
        <v>44</v>
      </c>
      <c r="B24" s="766" t="s">
        <v>13095</v>
      </c>
      <c r="C24" s="204" t="s">
        <v>45</v>
      </c>
      <c r="D24" s="204" t="s">
        <v>1494</v>
      </c>
      <c r="E24" s="51" t="s">
        <v>53</v>
      </c>
      <c r="F24" s="112"/>
      <c r="L24" s="136" t="s">
        <v>13047</v>
      </c>
      <c r="M24" s="41" t="str">
        <f t="shared" si="1"/>
        <v>sbeck@leg.state.vt.us</v>
      </c>
      <c r="N24" s="41"/>
      <c r="O24" s="41"/>
      <c r="P24" s="41"/>
      <c r="Q24" s="41"/>
      <c r="R24" s="41"/>
      <c r="S24" s="41"/>
    </row>
    <row r="25">
      <c r="A25" s="14" t="s">
        <v>44</v>
      </c>
      <c r="C25" s="770" t="s">
        <v>530</v>
      </c>
      <c r="D25" s="770" t="s">
        <v>45</v>
      </c>
      <c r="E25" s="36" t="s">
        <v>49</v>
      </c>
      <c r="F25" s="112"/>
      <c r="L25" s="136" t="s">
        <v>13047</v>
      </c>
      <c r="M25" s="41" t="str">
        <f t="shared" si="1"/>
        <v>cscott@leg.state.vt.us</v>
      </c>
      <c r="N25" s="41"/>
      <c r="O25" s="41"/>
      <c r="P25" s="41"/>
      <c r="Q25" s="41"/>
      <c r="R25" s="41"/>
      <c r="S25" s="41"/>
    </row>
    <row r="26">
      <c r="A26" s="14" t="s">
        <v>44</v>
      </c>
      <c r="B26" s="766" t="s">
        <v>13097</v>
      </c>
      <c r="C26" s="204" t="s">
        <v>1132</v>
      </c>
      <c r="D26" s="204" t="s">
        <v>13098</v>
      </c>
      <c r="E26" s="51" t="s">
        <v>53</v>
      </c>
      <c r="F26" s="112"/>
      <c r="L26" s="136" t="s">
        <v>13047</v>
      </c>
      <c r="M26" s="41" t="str">
        <f t="shared" si="1"/>
        <v>mfeltus@leg.state.vt.us</v>
      </c>
      <c r="N26" s="41"/>
      <c r="O26" s="41"/>
      <c r="P26" s="41"/>
      <c r="Q26" s="41"/>
      <c r="R26" s="41"/>
      <c r="S26" s="41"/>
    </row>
    <row r="27">
      <c r="A27" s="14" t="s">
        <v>44</v>
      </c>
      <c r="C27" s="770" t="s">
        <v>8532</v>
      </c>
      <c r="D27" s="770" t="s">
        <v>1914</v>
      </c>
      <c r="E27" s="51" t="s">
        <v>53</v>
      </c>
      <c r="F27" s="112"/>
      <c r="L27" s="136" t="s">
        <v>13047</v>
      </c>
      <c r="M27" s="41" t="str">
        <f t="shared" si="1"/>
        <v>spatrick@leg.state.vt.us</v>
      </c>
      <c r="N27" s="41"/>
      <c r="O27" s="41"/>
      <c r="P27" s="41"/>
      <c r="Q27" s="41"/>
      <c r="R27" s="41"/>
      <c r="S27" s="41"/>
    </row>
    <row r="28">
      <c r="A28" s="14" t="s">
        <v>44</v>
      </c>
      <c r="B28" s="766" t="s">
        <v>13101</v>
      </c>
      <c r="C28" s="204" t="s">
        <v>13102</v>
      </c>
      <c r="D28" s="204" t="s">
        <v>13103</v>
      </c>
      <c r="E28" s="36" t="s">
        <v>49</v>
      </c>
      <c r="F28" s="112"/>
      <c r="L28" s="136" t="s">
        <v>13047</v>
      </c>
      <c r="M28" s="41" t="str">
        <f t="shared" si="1"/>
        <v>ktoll@leg.state.vt.us</v>
      </c>
      <c r="N28" s="41"/>
      <c r="O28" s="41"/>
      <c r="P28" s="41"/>
      <c r="Q28" s="41"/>
      <c r="R28" s="41"/>
      <c r="S28" s="41"/>
    </row>
    <row r="29">
      <c r="A29" s="14" t="s">
        <v>44</v>
      </c>
      <c r="B29" s="766" t="s">
        <v>13104</v>
      </c>
      <c r="C29" s="204" t="s">
        <v>9776</v>
      </c>
      <c r="D29" s="204" t="s">
        <v>2326</v>
      </c>
      <c r="E29" s="36" t="s">
        <v>49</v>
      </c>
      <c r="F29" s="112"/>
      <c r="L29" s="136" t="s">
        <v>13047</v>
      </c>
      <c r="M29" s="41" t="str">
        <f t="shared" si="1"/>
        <v>mgardner@leg.state.vt.us</v>
      </c>
      <c r="N29" s="41"/>
      <c r="O29" s="41"/>
      <c r="P29" s="41"/>
      <c r="Q29" s="41"/>
      <c r="R29" s="41"/>
      <c r="S29" s="41"/>
    </row>
    <row r="30">
      <c r="A30" s="14" t="s">
        <v>44</v>
      </c>
      <c r="B30" s="766" t="s">
        <v>13105</v>
      </c>
      <c r="C30" s="204" t="s">
        <v>9786</v>
      </c>
      <c r="D30" s="204" t="s">
        <v>13106</v>
      </c>
      <c r="E30" s="36" t="s">
        <v>49</v>
      </c>
      <c r="F30" s="112"/>
      <c r="L30" s="136" t="s">
        <v>13047</v>
      </c>
      <c r="M30" s="41" t="str">
        <f t="shared" si="1"/>
        <v>tmacaig@leg.state.vt.us</v>
      </c>
      <c r="N30" s="41"/>
      <c r="O30" s="41"/>
      <c r="P30" s="41"/>
      <c r="Q30" s="41"/>
      <c r="R30" s="41"/>
      <c r="S30" s="41"/>
    </row>
    <row r="31">
      <c r="A31" s="14" t="s">
        <v>44</v>
      </c>
      <c r="C31" s="204" t="s">
        <v>476</v>
      </c>
      <c r="D31" s="204" t="s">
        <v>1270</v>
      </c>
      <c r="E31" s="36" t="s">
        <v>49</v>
      </c>
      <c r="F31" s="112"/>
      <c r="L31" s="136" t="s">
        <v>13047</v>
      </c>
      <c r="M31" s="41" t="str">
        <f t="shared" si="1"/>
        <v>jmccullough@leg.state.vt.us</v>
      </c>
      <c r="N31" s="41"/>
      <c r="O31" s="41"/>
      <c r="P31" s="41"/>
      <c r="Q31" s="41"/>
      <c r="R31" s="41"/>
      <c r="S31" s="41"/>
    </row>
    <row r="32">
      <c r="A32" s="14" t="s">
        <v>44</v>
      </c>
      <c r="B32" s="766" t="s">
        <v>13107</v>
      </c>
      <c r="C32" s="204" t="s">
        <v>4872</v>
      </c>
      <c r="D32" s="204" t="s">
        <v>13108</v>
      </c>
      <c r="E32" s="36" t="s">
        <v>49</v>
      </c>
      <c r="F32" s="112"/>
      <c r="L32" s="136" t="s">
        <v>13047</v>
      </c>
      <c r="M32" s="41" t="str">
        <f t="shared" si="1"/>
        <v>tsquirrell@leg.state.vt.us</v>
      </c>
      <c r="N32" s="41"/>
      <c r="O32" s="41"/>
      <c r="P32" s="41"/>
      <c r="Q32" s="41"/>
      <c r="R32" s="41"/>
      <c r="S32" s="41"/>
    </row>
    <row r="33">
      <c r="A33" s="14" t="s">
        <v>44</v>
      </c>
      <c r="C33" s="204" t="s">
        <v>98</v>
      </c>
      <c r="D33" s="204" t="s">
        <v>13115</v>
      </c>
      <c r="E33" s="36" t="s">
        <v>49</v>
      </c>
      <c r="F33" s="112"/>
      <c r="L33" s="136" t="s">
        <v>13047</v>
      </c>
      <c r="M33" s="41" t="str">
        <f t="shared" si="1"/>
        <v>gtill@leg.state.vt.us</v>
      </c>
      <c r="N33" s="41"/>
      <c r="O33" s="41"/>
      <c r="P33" s="41"/>
      <c r="Q33" s="41"/>
      <c r="R33" s="41"/>
      <c r="S33" s="41"/>
    </row>
    <row r="34">
      <c r="A34" s="14" t="s">
        <v>44</v>
      </c>
      <c r="B34" s="766" t="s">
        <v>13116</v>
      </c>
      <c r="C34" s="204" t="s">
        <v>157</v>
      </c>
      <c r="D34" s="204" t="s">
        <v>13117</v>
      </c>
      <c r="E34" s="36" t="s">
        <v>49</v>
      </c>
      <c r="F34" s="112"/>
      <c r="L34" s="136" t="s">
        <v>13047</v>
      </c>
      <c r="M34" s="41" t="str">
        <f t="shared" si="1"/>
        <v>myantachka@leg.state.vt.us</v>
      </c>
      <c r="N34" s="41"/>
      <c r="O34" s="41"/>
      <c r="P34" s="41"/>
      <c r="Q34" s="41"/>
      <c r="R34" s="41"/>
      <c r="S34" s="41"/>
    </row>
    <row r="35">
      <c r="A35" s="14" t="s">
        <v>44</v>
      </c>
      <c r="B35" s="766" t="s">
        <v>13118</v>
      </c>
      <c r="C35" s="204" t="s">
        <v>1058</v>
      </c>
      <c r="D35" s="204" t="s">
        <v>7515</v>
      </c>
      <c r="E35" s="36" t="s">
        <v>49</v>
      </c>
      <c r="F35" s="112"/>
      <c r="L35" s="136" t="s">
        <v>13124</v>
      </c>
      <c r="M35" s="41" t="str">
        <f t="shared" si="1"/>
        <v>wlippert@leg.state.vt.us</v>
      </c>
      <c r="N35" s="41"/>
      <c r="O35" s="41"/>
      <c r="P35" s="41"/>
      <c r="Q35" s="41"/>
      <c r="R35" s="41"/>
      <c r="S35" s="41"/>
    </row>
    <row r="36">
      <c r="A36" s="14" t="s">
        <v>44</v>
      </c>
      <c r="B36" s="766" t="s">
        <v>13125</v>
      </c>
      <c r="C36" s="204" t="s">
        <v>1354</v>
      </c>
      <c r="D36" s="204" t="s">
        <v>3036</v>
      </c>
      <c r="E36" s="36" t="s">
        <v>49</v>
      </c>
      <c r="F36" s="112"/>
      <c r="L36" s="41"/>
      <c r="M36" s="41" t="str">
        <f t="shared" si="1"/>
        <v>kwebb@leg.state.vt.us</v>
      </c>
      <c r="N36" s="41"/>
      <c r="O36" s="41"/>
      <c r="P36" s="41"/>
      <c r="Q36" s="41"/>
      <c r="R36" s="41"/>
      <c r="S36" s="41"/>
    </row>
    <row r="37">
      <c r="A37" s="14" t="s">
        <v>44</v>
      </c>
      <c r="B37" s="766" t="s">
        <v>13126</v>
      </c>
      <c r="C37" s="204" t="s">
        <v>6166</v>
      </c>
      <c r="D37" s="204" t="s">
        <v>13127</v>
      </c>
      <c r="E37" s="36" t="s">
        <v>49</v>
      </c>
      <c r="F37" s="112"/>
      <c r="L37" s="41"/>
      <c r="M37" s="41" t="str">
        <f t="shared" si="1"/>
        <v>jbrumsted@leg.state.vt.us</v>
      </c>
      <c r="N37" s="41"/>
      <c r="O37" s="41"/>
      <c r="P37" s="41"/>
      <c r="Q37" s="41"/>
      <c r="R37" s="41"/>
      <c r="S37" s="41"/>
    </row>
    <row r="38">
      <c r="A38" s="14" t="s">
        <v>44</v>
      </c>
      <c r="B38" s="766" t="s">
        <v>13128</v>
      </c>
      <c r="C38" s="204" t="s">
        <v>801</v>
      </c>
      <c r="D38" s="204" t="s">
        <v>13129</v>
      </c>
      <c r="E38" s="36" t="s">
        <v>49</v>
      </c>
      <c r="F38" s="112"/>
      <c r="L38" s="41"/>
      <c r="M38" s="41" t="str">
        <f t="shared" si="1"/>
        <v>code@leg.state.vt.us</v>
      </c>
      <c r="N38" s="41"/>
      <c r="O38" s="41"/>
      <c r="P38" s="41"/>
      <c r="Q38" s="41"/>
      <c r="R38" s="41"/>
      <c r="S38" s="41"/>
    </row>
    <row r="39">
      <c r="A39" s="14" t="s">
        <v>44</v>
      </c>
      <c r="C39" s="770" t="s">
        <v>3231</v>
      </c>
      <c r="D39" s="770" t="s">
        <v>1134</v>
      </c>
      <c r="E39" s="36" t="s">
        <v>49</v>
      </c>
      <c r="F39" s="112"/>
      <c r="L39" s="41"/>
      <c r="M39" s="41" t="str">
        <f t="shared" si="1"/>
        <v>hrobert@leg.state.vt.us</v>
      </c>
      <c r="N39" s="41"/>
      <c r="O39" s="41"/>
      <c r="P39" s="41"/>
      <c r="Q39" s="41"/>
      <c r="R39" s="41"/>
      <c r="S39" s="41"/>
    </row>
    <row r="40">
      <c r="A40" s="14" t="s">
        <v>44</v>
      </c>
      <c r="B40" s="766" t="s">
        <v>13130</v>
      </c>
      <c r="C40" s="204" t="s">
        <v>837</v>
      </c>
      <c r="D40" s="204" t="s">
        <v>13131</v>
      </c>
      <c r="E40" s="36" t="s">
        <v>49</v>
      </c>
      <c r="F40" s="112"/>
      <c r="L40" s="41"/>
      <c r="M40" s="41" t="str">
        <f t="shared" si="1"/>
        <v>jo'sullivan@leg.state.vt.us</v>
      </c>
      <c r="N40" s="41"/>
      <c r="O40" s="41"/>
      <c r="P40" s="41"/>
      <c r="Q40" s="41"/>
      <c r="R40" s="41"/>
      <c r="S40" s="41"/>
    </row>
    <row r="41">
      <c r="A41" s="14" t="s">
        <v>44</v>
      </c>
      <c r="B41" s="766" t="s">
        <v>13132</v>
      </c>
      <c r="C41" s="204" t="s">
        <v>6555</v>
      </c>
      <c r="D41" s="204" t="s">
        <v>13133</v>
      </c>
      <c r="E41" s="36" t="s">
        <v>49</v>
      </c>
      <c r="F41" s="407" t="s">
        <v>176</v>
      </c>
      <c r="L41" s="41"/>
      <c r="M41" s="41" t="str">
        <f t="shared" si="1"/>
        <v>jkrowinski@leg.state.vt.us</v>
      </c>
      <c r="N41" s="41"/>
      <c r="O41" s="41"/>
      <c r="P41" s="41"/>
      <c r="Q41" s="41"/>
      <c r="R41" s="41"/>
      <c r="S41" s="41"/>
    </row>
    <row r="42">
      <c r="A42" s="14" t="s">
        <v>44</v>
      </c>
      <c r="C42" s="204" t="s">
        <v>4099</v>
      </c>
      <c r="D42" s="204" t="s">
        <v>13134</v>
      </c>
      <c r="E42" s="36" t="s">
        <v>49</v>
      </c>
      <c r="F42" s="112"/>
      <c r="L42" s="41"/>
      <c r="M42" s="41" t="str">
        <f t="shared" si="1"/>
        <v>cmccormack@leg.state.vt.us</v>
      </c>
      <c r="N42" s="41"/>
      <c r="O42" s="41"/>
      <c r="P42" s="41"/>
      <c r="Q42" s="41"/>
      <c r="R42" s="41"/>
      <c r="S42" s="41"/>
    </row>
    <row r="43">
      <c r="A43" s="14" t="s">
        <v>44</v>
      </c>
      <c r="B43" s="766" t="s">
        <v>13135</v>
      </c>
      <c r="C43" s="204" t="s">
        <v>1331</v>
      </c>
      <c r="D43" s="204" t="s">
        <v>13136</v>
      </c>
      <c r="E43" s="773" t="s">
        <v>13137</v>
      </c>
      <c r="F43" s="112"/>
      <c r="L43" s="41"/>
      <c r="M43" s="41" t="str">
        <f t="shared" si="1"/>
        <v>bcina@leg.state.vt.us</v>
      </c>
      <c r="N43" s="41"/>
      <c r="O43" s="41"/>
      <c r="P43" s="41"/>
      <c r="Q43" s="41"/>
      <c r="R43" s="41"/>
      <c r="S43" s="41"/>
    </row>
    <row r="44">
      <c r="A44" s="14" t="s">
        <v>44</v>
      </c>
      <c r="C44" s="204" t="s">
        <v>13138</v>
      </c>
      <c r="D44" s="204" t="s">
        <v>13139</v>
      </c>
      <c r="E44" s="773" t="s">
        <v>13137</v>
      </c>
      <c r="F44" s="112"/>
      <c r="L44" s="41"/>
      <c r="M44" s="41" t="str">
        <f t="shared" si="1"/>
        <v>scolburn@leg.state.vt.us</v>
      </c>
      <c r="N44" s="41"/>
      <c r="O44" s="41"/>
      <c r="P44" s="41"/>
      <c r="Q44" s="41"/>
      <c r="R44" s="41"/>
      <c r="S44" s="41"/>
    </row>
    <row r="45">
      <c r="A45" s="14" t="s">
        <v>44</v>
      </c>
      <c r="B45" s="766" t="s">
        <v>13141</v>
      </c>
      <c r="C45" s="204" t="s">
        <v>13143</v>
      </c>
      <c r="D45" s="204" t="s">
        <v>2225</v>
      </c>
      <c r="E45" s="36" t="s">
        <v>49</v>
      </c>
      <c r="F45" s="112"/>
      <c r="L45" s="41"/>
      <c r="M45" s="41" t="str">
        <f t="shared" si="1"/>
        <v>jdonovan@leg.state.vt.us</v>
      </c>
      <c r="N45" s="41"/>
      <c r="O45" s="41"/>
      <c r="P45" s="41"/>
      <c r="Q45" s="41"/>
      <c r="R45" s="41"/>
      <c r="S45" s="41"/>
    </row>
    <row r="46">
      <c r="A46" s="14" t="s">
        <v>44</v>
      </c>
      <c r="C46" s="204" t="s">
        <v>514</v>
      </c>
      <c r="D46" s="204" t="s">
        <v>435</v>
      </c>
      <c r="E46" s="36" t="s">
        <v>49</v>
      </c>
      <c r="F46" s="112"/>
      <c r="L46" s="41"/>
      <c r="M46" s="41" t="str">
        <f t="shared" si="1"/>
        <v>msullivan@leg.state.vt.us</v>
      </c>
      <c r="N46" s="41"/>
      <c r="O46" s="41"/>
      <c r="P46" s="41"/>
      <c r="Q46" s="41"/>
      <c r="R46" s="41"/>
      <c r="S46" s="41"/>
    </row>
    <row r="47">
      <c r="A47" s="14" t="s">
        <v>44</v>
      </c>
      <c r="B47" s="766" t="s">
        <v>13145</v>
      </c>
      <c r="C47" s="204" t="s">
        <v>384</v>
      </c>
      <c r="D47" s="204" t="s">
        <v>13146</v>
      </c>
      <c r="E47" s="36" t="s">
        <v>49</v>
      </c>
      <c r="F47" s="112"/>
      <c r="L47" s="41"/>
      <c r="M47" s="41" t="str">
        <f t="shared" si="1"/>
        <v>brachelson@leg.state.vt.us</v>
      </c>
      <c r="N47" s="41"/>
      <c r="O47" s="41"/>
      <c r="P47" s="41"/>
      <c r="Q47" s="41"/>
      <c r="R47" s="41"/>
      <c r="S47" s="41"/>
    </row>
    <row r="48">
      <c r="A48" s="14" t="s">
        <v>44</v>
      </c>
      <c r="B48" s="766" t="s">
        <v>13147</v>
      </c>
      <c r="C48" s="204" t="s">
        <v>10831</v>
      </c>
      <c r="D48" s="204" t="s">
        <v>13148</v>
      </c>
      <c r="E48" s="36" t="s">
        <v>49</v>
      </c>
      <c r="F48" s="112"/>
      <c r="L48" s="41"/>
      <c r="M48" s="41" t="str">
        <f t="shared" si="1"/>
        <v>cbissonnette@leg.state.vt.us</v>
      </c>
      <c r="N48" s="41"/>
      <c r="O48" s="41"/>
      <c r="P48" s="41"/>
      <c r="Q48" s="41"/>
      <c r="R48" s="41"/>
      <c r="S48" s="41"/>
    </row>
    <row r="49">
      <c r="A49" s="14" t="s">
        <v>44</v>
      </c>
      <c r="C49" s="204" t="s">
        <v>2482</v>
      </c>
      <c r="D49" s="204" t="s">
        <v>2496</v>
      </c>
      <c r="E49" s="773" t="s">
        <v>13137</v>
      </c>
      <c r="F49" s="112"/>
      <c r="L49" s="41"/>
      <c r="M49" s="41" t="str">
        <f t="shared" si="1"/>
        <v>dgonzalez@leg.state.vt.us</v>
      </c>
      <c r="N49" s="41"/>
      <c r="O49" s="41"/>
      <c r="P49" s="41"/>
      <c r="Q49" s="41"/>
      <c r="R49" s="41"/>
      <c r="S49" s="41"/>
    </row>
    <row r="50">
      <c r="A50" s="14" t="s">
        <v>44</v>
      </c>
      <c r="B50" s="766" t="s">
        <v>13149</v>
      </c>
      <c r="C50" s="204" t="s">
        <v>456</v>
      </c>
      <c r="D50" s="204" t="s">
        <v>13150</v>
      </c>
      <c r="E50" s="36" t="s">
        <v>49</v>
      </c>
      <c r="F50" s="112"/>
      <c r="L50" s="41"/>
      <c r="M50" s="41" t="str">
        <f t="shared" si="1"/>
        <v>mlalonde@leg.state.vt.us</v>
      </c>
      <c r="N50" s="41"/>
      <c r="O50" s="41"/>
      <c r="P50" s="41"/>
      <c r="Q50" s="41"/>
      <c r="R50" s="41"/>
      <c r="S50" s="41"/>
    </row>
    <row r="51">
      <c r="A51" s="14" t="s">
        <v>44</v>
      </c>
      <c r="B51" s="766" t="s">
        <v>13151</v>
      </c>
      <c r="C51" s="204" t="s">
        <v>1375</v>
      </c>
      <c r="D51" s="204" t="s">
        <v>6022</v>
      </c>
      <c r="E51" s="36" t="s">
        <v>49</v>
      </c>
      <c r="F51" s="112"/>
      <c r="L51" s="41"/>
      <c r="M51" s="41" t="str">
        <f t="shared" si="1"/>
        <v>apugh@leg.state.vt.us</v>
      </c>
      <c r="N51" s="41"/>
      <c r="O51" s="41"/>
      <c r="P51" s="41"/>
      <c r="Q51" s="41"/>
      <c r="R51" s="41"/>
      <c r="S51" s="41"/>
    </row>
    <row r="52">
      <c r="A52" s="14" t="s">
        <v>44</v>
      </c>
      <c r="B52" s="766" t="s">
        <v>13152</v>
      </c>
      <c r="C52" s="770" t="s">
        <v>13153</v>
      </c>
      <c r="D52" s="770" t="s">
        <v>278</v>
      </c>
      <c r="E52" s="36" t="s">
        <v>49</v>
      </c>
      <c r="F52" s="112"/>
      <c r="L52" s="41"/>
      <c r="M52" s="41" t="str">
        <f t="shared" si="1"/>
        <v>kjohn@leg.state.vt.us</v>
      </c>
      <c r="N52" s="41"/>
      <c r="O52" s="41"/>
      <c r="P52" s="41"/>
      <c r="Q52" s="41"/>
      <c r="R52" s="41"/>
      <c r="S52" s="41"/>
    </row>
    <row r="53">
      <c r="A53" s="14" t="s">
        <v>44</v>
      </c>
      <c r="B53" s="766" t="s">
        <v>13154</v>
      </c>
      <c r="C53" s="204" t="s">
        <v>13155</v>
      </c>
      <c r="D53" s="204" t="s">
        <v>895</v>
      </c>
      <c r="E53" s="36" t="s">
        <v>49</v>
      </c>
      <c r="F53" s="112"/>
      <c r="L53" s="41"/>
      <c r="M53" s="41" t="str">
        <f t="shared" si="1"/>
        <v>mtownsend@leg.state.vt.us</v>
      </c>
      <c r="N53" s="41"/>
      <c r="O53" s="41"/>
      <c r="P53" s="41"/>
      <c r="Q53" s="41"/>
      <c r="R53" s="41"/>
      <c r="S53" s="41"/>
    </row>
    <row r="54">
      <c r="A54" s="14" t="s">
        <v>44</v>
      </c>
      <c r="B54" s="766" t="s">
        <v>13156</v>
      </c>
      <c r="C54" s="770" t="s">
        <v>13157</v>
      </c>
      <c r="D54" s="770" t="s">
        <v>13158</v>
      </c>
      <c r="E54" s="36" t="s">
        <v>49</v>
      </c>
      <c r="F54" s="112"/>
      <c r="L54" s="41"/>
      <c r="M54" s="41" t="str">
        <f t="shared" si="1"/>
        <v>rmarybeth@leg.state.vt.us</v>
      </c>
      <c r="N54" s="41"/>
      <c r="O54" s="41"/>
      <c r="P54" s="41"/>
      <c r="Q54" s="41"/>
      <c r="R54" s="41"/>
      <c r="S54" s="41"/>
    </row>
    <row r="55">
      <c r="A55" s="14" t="s">
        <v>44</v>
      </c>
      <c r="C55" s="204" t="s">
        <v>978</v>
      </c>
      <c r="D55" s="204" t="s">
        <v>8132</v>
      </c>
      <c r="E55" s="51" t="s">
        <v>53</v>
      </c>
      <c r="F55" s="112"/>
      <c r="L55" s="41"/>
      <c r="M55" s="41" t="str">
        <f t="shared" si="1"/>
        <v>lmyers@leg.state.vt.us</v>
      </c>
      <c r="N55" s="41"/>
      <c r="O55" s="41"/>
      <c r="P55" s="41"/>
      <c r="Q55" s="41"/>
      <c r="R55" s="41"/>
      <c r="S55" s="41"/>
    </row>
    <row r="56">
      <c r="A56" s="14" t="s">
        <v>44</v>
      </c>
      <c r="B56" s="766" t="s">
        <v>13159</v>
      </c>
      <c r="C56" s="204" t="s">
        <v>1814</v>
      </c>
      <c r="D56" s="204" t="s">
        <v>13160</v>
      </c>
      <c r="E56" s="36" t="s">
        <v>49</v>
      </c>
      <c r="F56" s="407" t="s">
        <v>13161</v>
      </c>
      <c r="L56" s="41"/>
      <c r="M56" s="41" t="str">
        <f t="shared" si="1"/>
        <v>dgiambatista@leg.state.vt.us</v>
      </c>
      <c r="N56" s="41"/>
      <c r="O56" s="41"/>
      <c r="P56" s="41"/>
      <c r="Q56" s="41"/>
      <c r="R56" s="41"/>
      <c r="S56" s="41"/>
    </row>
    <row r="57">
      <c r="A57" s="14" t="s">
        <v>44</v>
      </c>
      <c r="C57" s="204" t="s">
        <v>2149</v>
      </c>
      <c r="D57" s="204" t="s">
        <v>13162</v>
      </c>
      <c r="E57" s="36" t="s">
        <v>49</v>
      </c>
      <c r="F57" s="112"/>
      <c r="L57" s="41"/>
      <c r="M57" s="41" t="str">
        <f t="shared" si="1"/>
        <v>lhoughton@leg.state.vt.us</v>
      </c>
      <c r="N57" s="41"/>
      <c r="O57" s="41"/>
      <c r="P57" s="41"/>
      <c r="Q57" s="41"/>
      <c r="R57" s="41"/>
      <c r="S57" s="41"/>
    </row>
    <row r="58">
      <c r="A58" s="14" t="s">
        <v>44</v>
      </c>
      <c r="B58" s="766" t="s">
        <v>13163</v>
      </c>
      <c r="C58" s="204" t="s">
        <v>1134</v>
      </c>
      <c r="D58" s="204" t="s">
        <v>13164</v>
      </c>
      <c r="E58" s="51" t="s">
        <v>53</v>
      </c>
      <c r="F58" s="112"/>
      <c r="L58" s="41"/>
      <c r="M58" s="41" t="str">
        <f t="shared" si="1"/>
        <v>rbancroft@leg.state.vt.us</v>
      </c>
      <c r="N58" s="41"/>
      <c r="O58" s="41"/>
      <c r="P58" s="41"/>
      <c r="Q58" s="41"/>
      <c r="R58" s="41"/>
      <c r="S58" s="41"/>
    </row>
    <row r="59">
      <c r="A59" s="14" t="s">
        <v>44</v>
      </c>
      <c r="B59" s="766" t="s">
        <v>13165</v>
      </c>
      <c r="C59" s="770" t="s">
        <v>12074</v>
      </c>
      <c r="D59" s="770" t="s">
        <v>6075</v>
      </c>
      <c r="E59" s="36" t="s">
        <v>49</v>
      </c>
      <c r="F59" s="112"/>
      <c r="L59" s="41"/>
      <c r="M59" s="41" t="str">
        <f t="shared" si="1"/>
        <v>cseth@leg.state.vt.us</v>
      </c>
      <c r="N59" s="41"/>
      <c r="O59" s="41"/>
      <c r="P59" s="41"/>
      <c r="Q59" s="41"/>
      <c r="R59" s="41"/>
      <c r="S59" s="41"/>
    </row>
    <row r="60">
      <c r="A60" s="14" t="s">
        <v>44</v>
      </c>
      <c r="C60" s="204" t="s">
        <v>4657</v>
      </c>
      <c r="D60" s="204" t="s">
        <v>4255</v>
      </c>
      <c r="E60" s="36" t="s">
        <v>49</v>
      </c>
      <c r="F60" s="112"/>
      <c r="L60" s="41"/>
      <c r="M60" s="41" t="str">
        <f t="shared" si="1"/>
        <v>ctaylor@leg.state.vt.us</v>
      </c>
      <c r="N60" s="41"/>
      <c r="O60" s="41"/>
      <c r="P60" s="41"/>
      <c r="Q60" s="41"/>
      <c r="R60" s="41"/>
      <c r="S60" s="41"/>
    </row>
    <row r="61">
      <c r="A61" s="14" t="s">
        <v>44</v>
      </c>
      <c r="B61" s="766" t="s">
        <v>13166</v>
      </c>
      <c r="C61" s="204" t="s">
        <v>1914</v>
      </c>
      <c r="D61" s="204" t="s">
        <v>5912</v>
      </c>
      <c r="E61" s="51" t="s">
        <v>53</v>
      </c>
      <c r="F61" s="112"/>
      <c r="G61" s="14" t="s">
        <v>13167</v>
      </c>
      <c r="L61" s="41"/>
      <c r="M61" s="41" t="str">
        <f t="shared" si="1"/>
        <v>pbrennan@leg.state.vt.us</v>
      </c>
      <c r="N61" s="41"/>
      <c r="O61" s="41"/>
      <c r="P61" s="41"/>
      <c r="Q61" s="41"/>
      <c r="R61" s="41"/>
      <c r="S61" s="41"/>
    </row>
    <row r="62">
      <c r="A62" s="14" t="s">
        <v>44</v>
      </c>
      <c r="C62" s="770" t="s">
        <v>1763</v>
      </c>
      <c r="D62" s="770" t="s">
        <v>13168</v>
      </c>
      <c r="E62" s="36" t="s">
        <v>49</v>
      </c>
      <c r="F62" s="112"/>
      <c r="L62" s="41"/>
      <c r="M62" s="41" t="str">
        <f t="shared" si="1"/>
        <v>asarita@leg.state.vt.us</v>
      </c>
      <c r="N62" s="41"/>
      <c r="O62" s="41"/>
      <c r="P62" s="41"/>
      <c r="Q62" s="41"/>
      <c r="R62" s="41"/>
      <c r="S62" s="41"/>
    </row>
    <row r="63">
      <c r="A63" s="14" t="s">
        <v>44</v>
      </c>
      <c r="B63" s="766" t="s">
        <v>13169</v>
      </c>
      <c r="C63" s="204" t="s">
        <v>173</v>
      </c>
      <c r="D63" s="204" t="s">
        <v>13170</v>
      </c>
      <c r="E63" s="51" t="s">
        <v>53</v>
      </c>
      <c r="F63" s="112"/>
      <c r="L63" s="41"/>
      <c r="M63" s="41" t="str">
        <f t="shared" si="1"/>
        <v>cmattos@leg.state.vt.us</v>
      </c>
      <c r="N63" s="41"/>
      <c r="O63" s="41"/>
      <c r="P63" s="41"/>
      <c r="Q63" s="41"/>
      <c r="R63" s="41"/>
      <c r="S63" s="41"/>
    </row>
    <row r="64">
      <c r="A64" s="14" t="s">
        <v>44</v>
      </c>
      <c r="C64" s="770" t="s">
        <v>13171</v>
      </c>
      <c r="D64" s="770" t="s">
        <v>278</v>
      </c>
      <c r="E64" s="51" t="s">
        <v>53</v>
      </c>
      <c r="F64" s="112"/>
      <c r="L64" s="41"/>
      <c r="M64" s="41" t="str">
        <f t="shared" si="1"/>
        <v>pjohn@leg.state.vt.us</v>
      </c>
      <c r="N64" s="41"/>
      <c r="O64" s="41"/>
      <c r="P64" s="41"/>
      <c r="Q64" s="41"/>
      <c r="R64" s="41"/>
      <c r="S64" s="41"/>
    </row>
    <row r="65">
      <c r="A65" s="14" t="s">
        <v>44</v>
      </c>
      <c r="B65" s="766" t="s">
        <v>13174</v>
      </c>
      <c r="C65" s="204" t="s">
        <v>13175</v>
      </c>
      <c r="D65" s="204" t="s">
        <v>13176</v>
      </c>
      <c r="E65" s="51" t="s">
        <v>53</v>
      </c>
      <c r="F65" s="112"/>
      <c r="L65" s="41"/>
      <c r="M65" s="41" t="str">
        <f t="shared" si="1"/>
        <v>cquimby@leg.state.vt.us</v>
      </c>
      <c r="N65" s="41"/>
      <c r="O65" s="41"/>
      <c r="P65" s="41"/>
      <c r="Q65" s="41"/>
      <c r="R65" s="41"/>
      <c r="S65" s="41"/>
    </row>
    <row r="66">
      <c r="A66" s="14" t="s">
        <v>44</v>
      </c>
      <c r="B66" s="766" t="s">
        <v>13177</v>
      </c>
      <c r="C66" s="204" t="s">
        <v>679</v>
      </c>
      <c r="D66" s="204" t="s">
        <v>13179</v>
      </c>
      <c r="E66" s="51" t="s">
        <v>53</v>
      </c>
      <c r="F66" s="112"/>
      <c r="L66" s="41"/>
      <c r="M66" s="41" t="str">
        <f t="shared" si="1"/>
        <v>plefebvre@leg.state.vt.us</v>
      </c>
      <c r="N66" s="41"/>
      <c r="O66" s="41"/>
      <c r="P66" s="41"/>
      <c r="Q66" s="41"/>
      <c r="R66" s="41"/>
      <c r="S66" s="41"/>
    </row>
    <row r="67">
      <c r="A67" s="14" t="s">
        <v>44</v>
      </c>
      <c r="B67" s="766" t="s">
        <v>13180</v>
      </c>
      <c r="C67" s="204" t="s">
        <v>4087</v>
      </c>
      <c r="D67" s="204" t="s">
        <v>13181</v>
      </c>
      <c r="E67" s="51" t="s">
        <v>53</v>
      </c>
      <c r="F67" s="112"/>
      <c r="L67" s="41"/>
      <c r="M67" s="41" t="str">
        <f t="shared" si="1"/>
        <v>crosenquist@leg.state.vt.us</v>
      </c>
      <c r="N67" s="41"/>
      <c r="O67" s="41"/>
      <c r="P67" s="41"/>
      <c r="Q67" s="41"/>
      <c r="R67" s="41"/>
      <c r="S67" s="41"/>
    </row>
    <row r="68">
      <c r="A68" s="14" t="s">
        <v>44</v>
      </c>
      <c r="B68" s="766" t="s">
        <v>13185</v>
      </c>
      <c r="C68" s="204" t="s">
        <v>384</v>
      </c>
      <c r="D68" s="204" t="s">
        <v>3019</v>
      </c>
      <c r="E68" s="65" t="s">
        <v>243</v>
      </c>
      <c r="F68" s="112"/>
      <c r="L68" s="41"/>
      <c r="M68" s="41" t="str">
        <f t="shared" si="1"/>
        <v>bmurphy@leg.state.vt.us</v>
      </c>
      <c r="N68" s="41"/>
      <c r="O68" s="41"/>
      <c r="P68" s="41"/>
      <c r="Q68" s="41"/>
      <c r="R68" s="41"/>
      <c r="S68" s="41"/>
    </row>
    <row r="69">
      <c r="A69" s="14" t="s">
        <v>44</v>
      </c>
      <c r="B69" s="766" t="s">
        <v>13188</v>
      </c>
      <c r="C69" s="770" t="s">
        <v>13189</v>
      </c>
      <c r="D69" s="770" t="s">
        <v>8242</v>
      </c>
      <c r="E69" s="51" t="s">
        <v>53</v>
      </c>
      <c r="F69" s="112"/>
      <c r="L69" s="41"/>
      <c r="M69" s="41" t="str">
        <f t="shared" si="1"/>
        <v>tcasey@leg.state.vt.us</v>
      </c>
      <c r="N69" s="41"/>
      <c r="O69" s="41"/>
      <c r="P69" s="41"/>
      <c r="Q69" s="41"/>
      <c r="R69" s="41"/>
      <c r="S69" s="41"/>
    </row>
    <row r="70">
      <c r="A70" s="14" t="s">
        <v>44</v>
      </c>
      <c r="B70" s="766" t="s">
        <v>13190</v>
      </c>
      <c r="C70" s="204" t="s">
        <v>4894</v>
      </c>
      <c r="D70" s="204" t="s">
        <v>5098</v>
      </c>
      <c r="E70" s="51" t="s">
        <v>53</v>
      </c>
      <c r="F70" s="112"/>
      <c r="L70" s="41"/>
      <c r="M70" s="41" t="str">
        <f t="shared" si="1"/>
        <v>edickinson@leg.state.vt.us</v>
      </c>
      <c r="N70" s="41"/>
      <c r="O70" s="41"/>
      <c r="P70" s="41"/>
      <c r="Q70" s="41"/>
      <c r="R70" s="41"/>
      <c r="S70" s="41"/>
    </row>
    <row r="71">
      <c r="A71" s="14" t="s">
        <v>44</v>
      </c>
      <c r="B71" s="766" t="s">
        <v>13191</v>
      </c>
      <c r="C71" s="204" t="s">
        <v>13192</v>
      </c>
      <c r="D71" s="204" t="s">
        <v>13193</v>
      </c>
      <c r="E71" s="36" t="s">
        <v>49</v>
      </c>
      <c r="F71" s="112"/>
      <c r="L71" s="41"/>
      <c r="M71" s="41" t="str">
        <f t="shared" si="1"/>
        <v>mgamache@leg.state.vt.us</v>
      </c>
      <c r="N71" s="41"/>
      <c r="O71" s="41"/>
      <c r="P71" s="41"/>
      <c r="Q71" s="41"/>
      <c r="R71" s="41"/>
      <c r="S71" s="41"/>
    </row>
    <row r="72">
      <c r="A72" s="14" t="s">
        <v>44</v>
      </c>
      <c r="C72" s="204" t="s">
        <v>1331</v>
      </c>
      <c r="D72" s="204" t="s">
        <v>13200</v>
      </c>
      <c r="E72" s="51" t="s">
        <v>53</v>
      </c>
      <c r="F72" s="112"/>
      <c r="L72" s="41"/>
      <c r="M72" s="41" t="str">
        <f t="shared" si="1"/>
        <v>bsavage@leg.state.vt.us</v>
      </c>
      <c r="N72" s="41"/>
      <c r="O72" s="41"/>
      <c r="P72" s="41"/>
      <c r="Q72" s="41"/>
      <c r="R72" s="41"/>
      <c r="S72" s="41"/>
    </row>
    <row r="73">
      <c r="A73" s="14" t="s">
        <v>44</v>
      </c>
      <c r="B73" s="766" t="s">
        <v>13201</v>
      </c>
      <c r="C73" s="770" t="s">
        <v>13202</v>
      </c>
      <c r="D73" s="770" t="s">
        <v>2506</v>
      </c>
      <c r="E73" s="51" t="s">
        <v>53</v>
      </c>
      <c r="F73" s="112"/>
      <c r="L73" s="41"/>
      <c r="M73" s="41" t="str">
        <f t="shared" si="1"/>
        <v>ajoshua@leg.state.vt.us</v>
      </c>
      <c r="N73" s="41"/>
      <c r="O73" s="41"/>
      <c r="P73" s="41"/>
      <c r="Q73" s="41"/>
      <c r="R73" s="41"/>
      <c r="S73" s="41"/>
    </row>
    <row r="74">
      <c r="A74" s="14" t="s">
        <v>44</v>
      </c>
      <c r="C74" s="770" t="s">
        <v>13203</v>
      </c>
      <c r="D74" s="770" t="s">
        <v>13204</v>
      </c>
      <c r="E74" s="36" t="s">
        <v>49</v>
      </c>
      <c r="F74" s="112"/>
      <c r="L74" s="41"/>
      <c r="M74" s="41" t="str">
        <f t="shared" si="1"/>
        <v>fcharen@leg.state.vt.us</v>
      </c>
      <c r="N74" s="41"/>
      <c r="O74" s="41"/>
      <c r="P74" s="41"/>
      <c r="Q74" s="41"/>
      <c r="R74" s="41"/>
      <c r="S74" s="41"/>
    </row>
    <row r="75">
      <c r="A75" s="14" t="s">
        <v>44</v>
      </c>
      <c r="B75" s="766" t="s">
        <v>13205</v>
      </c>
      <c r="C75" s="770" t="s">
        <v>6854</v>
      </c>
      <c r="D75" s="770" t="s">
        <v>930</v>
      </c>
      <c r="E75" s="36" t="s">
        <v>49</v>
      </c>
      <c r="F75" s="112"/>
      <c r="L75" s="41"/>
      <c r="M75" s="41" t="str">
        <f t="shared" si="1"/>
        <v>gjames@leg.state.vt.us</v>
      </c>
      <c r="N75" s="41"/>
      <c r="O75" s="41"/>
      <c r="P75" s="41"/>
      <c r="Q75" s="41"/>
      <c r="R75" s="41"/>
      <c r="S75" s="41"/>
    </row>
    <row r="76">
      <c r="A76" s="14" t="s">
        <v>44</v>
      </c>
      <c r="B76" s="766" t="s">
        <v>13206</v>
      </c>
      <c r="C76" s="204" t="s">
        <v>1561</v>
      </c>
      <c r="D76" s="204" t="s">
        <v>13207</v>
      </c>
      <c r="E76" s="773" t="s">
        <v>13137</v>
      </c>
      <c r="F76" s="112"/>
      <c r="L76" s="41"/>
      <c r="M76" s="41" t="str">
        <f t="shared" si="1"/>
        <v>cweed@leg.state.vt.us</v>
      </c>
      <c r="N76" s="41"/>
      <c r="O76" s="41"/>
      <c r="P76" s="41"/>
      <c r="Q76" s="41"/>
      <c r="R76" s="41"/>
      <c r="S76" s="41"/>
    </row>
    <row r="77">
      <c r="A77" s="14" t="s">
        <v>44</v>
      </c>
      <c r="B77" s="766" t="s">
        <v>13208</v>
      </c>
      <c r="C77" s="204" t="s">
        <v>13209</v>
      </c>
      <c r="D77" s="204" t="s">
        <v>118</v>
      </c>
      <c r="E77" s="36" t="s">
        <v>49</v>
      </c>
      <c r="F77" s="407" t="s">
        <v>1056</v>
      </c>
      <c r="L77" s="41"/>
      <c r="M77" s="41" t="str">
        <f t="shared" si="1"/>
        <v>mjohnson@leg.state.vt.us</v>
      </c>
      <c r="N77" s="41"/>
      <c r="O77" s="41"/>
      <c r="P77" s="41"/>
      <c r="Q77" s="41"/>
      <c r="R77" s="41"/>
      <c r="S77" s="41"/>
    </row>
    <row r="78">
      <c r="A78" s="14" t="s">
        <v>44</v>
      </c>
      <c r="B78" s="766" t="s">
        <v>13210</v>
      </c>
      <c r="C78" s="204" t="s">
        <v>5777</v>
      </c>
      <c r="D78" s="204" t="s">
        <v>13211</v>
      </c>
      <c r="E78" s="51" t="s">
        <v>53</v>
      </c>
      <c r="F78" s="112"/>
      <c r="L78" s="41"/>
      <c r="M78" s="41" t="str">
        <f t="shared" si="1"/>
        <v>hscheurermann@leg.state.vt.us</v>
      </c>
      <c r="N78" s="41"/>
      <c r="O78" s="41"/>
      <c r="P78" s="41"/>
      <c r="Q78" s="41"/>
      <c r="R78" s="41"/>
      <c r="S78" s="41"/>
    </row>
    <row r="79">
      <c r="A79" s="14" t="s">
        <v>44</v>
      </c>
      <c r="B79" s="766" t="s">
        <v>13212</v>
      </c>
      <c r="C79" s="204" t="s">
        <v>896</v>
      </c>
      <c r="D79" s="204" t="s">
        <v>485</v>
      </c>
      <c r="E79" s="36" t="s">
        <v>49</v>
      </c>
      <c r="F79" s="112"/>
      <c r="L79" s="41"/>
      <c r="M79" s="41" t="str">
        <f t="shared" si="1"/>
        <v>mhill@leg.state.vt.us</v>
      </c>
      <c r="N79" s="41"/>
      <c r="O79" s="41"/>
      <c r="P79" s="41"/>
      <c r="Q79" s="41"/>
      <c r="R79" s="41"/>
      <c r="S79" s="41"/>
    </row>
    <row r="80">
      <c r="A80" s="14" t="s">
        <v>44</v>
      </c>
      <c r="C80" s="204" t="s">
        <v>552</v>
      </c>
      <c r="D80" s="204" t="s">
        <v>13213</v>
      </c>
      <c r="E80" s="36" t="s">
        <v>49</v>
      </c>
      <c r="F80" s="112"/>
      <c r="L80" s="41"/>
      <c r="M80" s="41" t="str">
        <f t="shared" si="1"/>
        <v>dnoyes@leg.state.vt.us</v>
      </c>
      <c r="N80" s="41"/>
      <c r="O80" s="41"/>
      <c r="P80" s="41"/>
      <c r="Q80" s="41"/>
      <c r="R80" s="41"/>
      <c r="S80" s="41"/>
    </row>
    <row r="81">
      <c r="A81" s="14" t="s">
        <v>44</v>
      </c>
      <c r="B81" s="766" t="s">
        <v>13214</v>
      </c>
      <c r="C81" s="770" t="s">
        <v>494</v>
      </c>
      <c r="D81" s="770" t="s">
        <v>2792</v>
      </c>
      <c r="E81" s="36" t="s">
        <v>49</v>
      </c>
      <c r="F81" s="112"/>
      <c r="L81" s="41"/>
      <c r="M81" s="41" t="str">
        <f t="shared" si="1"/>
        <v>rlucy@leg.state.vt.us</v>
      </c>
      <c r="N81" s="41"/>
      <c r="O81" s="41"/>
      <c r="P81" s="41"/>
      <c r="Q81" s="41"/>
      <c r="R81" s="41"/>
      <c r="S81" s="41"/>
    </row>
    <row r="82">
      <c r="A82" s="14" t="s">
        <v>44</v>
      </c>
      <c r="B82" s="766" t="s">
        <v>13215</v>
      </c>
      <c r="C82" s="770" t="s">
        <v>13216</v>
      </c>
      <c r="D82" s="770" t="s">
        <v>13217</v>
      </c>
      <c r="E82" s="36" t="s">
        <v>49</v>
      </c>
      <c r="F82" s="112"/>
      <c r="L82" s="41"/>
      <c r="M82" s="41" t="str">
        <f t="shared" si="1"/>
        <v>pavram@leg.state.vt.us</v>
      </c>
      <c r="N82" s="41"/>
      <c r="O82" s="41"/>
      <c r="P82" s="41"/>
      <c r="Q82" s="41"/>
      <c r="R82" s="41"/>
      <c r="S82" s="41"/>
    </row>
    <row r="83">
      <c r="A83" s="14" t="s">
        <v>44</v>
      </c>
      <c r="C83" s="204" t="s">
        <v>108</v>
      </c>
      <c r="D83" s="204" t="s">
        <v>13219</v>
      </c>
      <c r="E83" s="36" t="s">
        <v>49</v>
      </c>
      <c r="F83" s="112"/>
      <c r="L83" s="41"/>
      <c r="M83" s="41" t="str">
        <f t="shared" si="1"/>
        <v>dyacovone@leg.state.vt.us</v>
      </c>
      <c r="N83" s="41"/>
      <c r="O83" s="41"/>
      <c r="P83" s="41"/>
      <c r="Q83" s="41"/>
      <c r="R83" s="41"/>
      <c r="S83" s="41"/>
    </row>
    <row r="84">
      <c r="A84" s="14" t="s">
        <v>44</v>
      </c>
      <c r="B84" s="766" t="s">
        <v>13221</v>
      </c>
      <c r="C84" s="770" t="s">
        <v>13222</v>
      </c>
      <c r="D84" s="770" t="s">
        <v>4087</v>
      </c>
      <c r="E84" s="36" t="s">
        <v>49</v>
      </c>
      <c r="F84" s="112"/>
      <c r="L84" s="41"/>
      <c r="M84" s="41" t="str">
        <f t="shared" si="1"/>
        <v>dcarl@leg.state.vt.us</v>
      </c>
      <c r="N84" s="41"/>
      <c r="O84" s="41"/>
      <c r="P84" s="41"/>
      <c r="Q84" s="41"/>
      <c r="R84" s="41"/>
      <c r="S84" s="41"/>
    </row>
    <row r="85">
      <c r="A85" s="14" t="s">
        <v>44</v>
      </c>
      <c r="C85" s="204" t="s">
        <v>526</v>
      </c>
      <c r="D85" s="204" t="s">
        <v>5222</v>
      </c>
      <c r="E85" s="51" t="s">
        <v>53</v>
      </c>
      <c r="F85" s="112"/>
      <c r="L85" s="41"/>
      <c r="M85" s="41" t="str">
        <f t="shared" si="1"/>
        <v>rgraham@leg.state.vt.us</v>
      </c>
      <c r="N85" s="41"/>
      <c r="O85" s="41"/>
      <c r="P85" s="41"/>
      <c r="Q85" s="41"/>
      <c r="R85" s="41"/>
      <c r="S85" s="41"/>
    </row>
    <row r="86">
      <c r="A86" s="14" t="s">
        <v>44</v>
      </c>
      <c r="B86" s="766" t="s">
        <v>13224</v>
      </c>
      <c r="C86" s="204" t="s">
        <v>210</v>
      </c>
      <c r="D86" s="204" t="s">
        <v>13226</v>
      </c>
      <c r="E86" s="36" t="s">
        <v>49</v>
      </c>
      <c r="F86" s="112"/>
      <c r="L86" s="41"/>
      <c r="M86" s="41" t="str">
        <f t="shared" si="1"/>
        <v>scopeland-hanzas@leg.state.vt.us</v>
      </c>
      <c r="N86" s="41"/>
      <c r="O86" s="41"/>
      <c r="P86" s="41"/>
      <c r="Q86" s="41"/>
      <c r="R86" s="41"/>
      <c r="S86" s="41"/>
    </row>
    <row r="87">
      <c r="A87" s="14" t="s">
        <v>44</v>
      </c>
      <c r="B87" s="766" t="s">
        <v>13228</v>
      </c>
      <c r="C87" s="204" t="s">
        <v>767</v>
      </c>
      <c r="D87" s="204" t="s">
        <v>13229</v>
      </c>
      <c r="E87" s="36" t="s">
        <v>49</v>
      </c>
      <c r="F87" s="112"/>
      <c r="L87" s="41"/>
      <c r="M87" s="41" t="str">
        <f t="shared" si="1"/>
        <v>cconquest@leg.state.vt.us</v>
      </c>
      <c r="N87" s="41"/>
      <c r="O87" s="41"/>
      <c r="P87" s="41"/>
      <c r="Q87" s="41"/>
      <c r="R87" s="41"/>
      <c r="S87" s="41"/>
    </row>
    <row r="88">
      <c r="A88" s="14" t="s">
        <v>44</v>
      </c>
      <c r="B88" s="766" t="s">
        <v>13231</v>
      </c>
      <c r="C88" s="204" t="s">
        <v>1013</v>
      </c>
      <c r="D88" s="204" t="s">
        <v>3231</v>
      </c>
      <c r="E88" s="36" t="s">
        <v>49</v>
      </c>
      <c r="F88" s="112"/>
      <c r="L88" s="41"/>
      <c r="M88" s="41" t="str">
        <f t="shared" si="1"/>
        <v>jhooper@leg.state.vt.us</v>
      </c>
      <c r="N88" s="41"/>
      <c r="O88" s="41"/>
      <c r="P88" s="41"/>
      <c r="Q88" s="41"/>
      <c r="R88" s="41"/>
      <c r="S88" s="41"/>
    </row>
    <row r="89">
      <c r="A89" s="14" t="s">
        <v>44</v>
      </c>
      <c r="C89" s="204" t="s">
        <v>195</v>
      </c>
      <c r="D89" s="204" t="s">
        <v>13232</v>
      </c>
      <c r="E89" s="65" t="s">
        <v>243</v>
      </c>
      <c r="F89" s="112"/>
      <c r="L89" s="41"/>
      <c r="M89" s="41" t="str">
        <f t="shared" si="1"/>
        <v>bjickling@leg.state.vt.us</v>
      </c>
      <c r="N89" s="41"/>
      <c r="O89" s="41"/>
      <c r="P89" s="41"/>
      <c r="Q89" s="41"/>
      <c r="R89" s="41"/>
      <c r="S89" s="41"/>
    </row>
    <row r="90">
      <c r="A90" s="14" t="s">
        <v>44</v>
      </c>
      <c r="B90" s="766" t="s">
        <v>13233</v>
      </c>
      <c r="C90" s="204" t="s">
        <v>66</v>
      </c>
      <c r="D90" s="204" t="s">
        <v>13234</v>
      </c>
      <c r="E90" s="51" t="s">
        <v>53</v>
      </c>
      <c r="F90" s="112"/>
      <c r="L90" s="41"/>
      <c r="M90" s="41" t="str">
        <f t="shared" si="1"/>
        <v>lbatchelor@leg.state.vt.us</v>
      </c>
      <c r="N90" s="41"/>
      <c r="O90" s="41"/>
      <c r="P90" s="41"/>
      <c r="Q90" s="41"/>
      <c r="R90" s="41"/>
      <c r="S90" s="41"/>
    </row>
    <row r="91">
      <c r="A91" s="14" t="s">
        <v>44</v>
      </c>
      <c r="C91" s="204" t="s">
        <v>1331</v>
      </c>
      <c r="D91" s="204" t="s">
        <v>1451</v>
      </c>
      <c r="E91" s="51" t="s">
        <v>53</v>
      </c>
      <c r="F91" s="112"/>
      <c r="L91" s="41"/>
      <c r="M91" s="41" t="str">
        <f t="shared" si="1"/>
        <v>bsmith@leg.state.vt.us</v>
      </c>
      <c r="N91" s="41"/>
      <c r="O91" s="41"/>
      <c r="P91" s="41"/>
      <c r="Q91" s="41"/>
      <c r="R91" s="41"/>
      <c r="S91" s="41"/>
    </row>
    <row r="92">
      <c r="A92" s="14" t="s">
        <v>44</v>
      </c>
      <c r="B92" s="766" t="s">
        <v>13235</v>
      </c>
      <c r="C92" s="204" t="s">
        <v>2490</v>
      </c>
      <c r="D92" s="204" t="s">
        <v>13236</v>
      </c>
      <c r="E92" s="51" t="s">
        <v>53</v>
      </c>
      <c r="F92" s="112"/>
      <c r="L92" s="41"/>
      <c r="M92" s="41" t="str">
        <f t="shared" si="1"/>
        <v>mmarcotte@leg.state.vt.us</v>
      </c>
      <c r="N92" s="41"/>
      <c r="O92" s="41"/>
      <c r="P92" s="41"/>
      <c r="Q92" s="41"/>
      <c r="R92" s="41"/>
      <c r="S92" s="41"/>
    </row>
    <row r="93">
      <c r="A93" s="14" t="s">
        <v>44</v>
      </c>
      <c r="C93" s="770" t="s">
        <v>6705</v>
      </c>
      <c r="D93" s="770" t="s">
        <v>13237</v>
      </c>
      <c r="E93" s="51" t="s">
        <v>53</v>
      </c>
      <c r="F93" s="112"/>
      <c r="L93" s="41"/>
      <c r="M93" s="41" t="str">
        <f t="shared" si="1"/>
        <v>pwoodman@leg.state.vt.us</v>
      </c>
      <c r="N93" s="41"/>
      <c r="O93" s="41"/>
      <c r="P93" s="41"/>
      <c r="Q93" s="41"/>
      <c r="R93" s="41"/>
      <c r="S93" s="41"/>
    </row>
    <row r="94">
      <c r="A94" s="14" t="s">
        <v>44</v>
      </c>
      <c r="B94" s="766" t="s">
        <v>13238</v>
      </c>
      <c r="C94" s="204" t="s">
        <v>2408</v>
      </c>
      <c r="D94" s="204" t="s">
        <v>12582</v>
      </c>
      <c r="E94" s="51" t="s">
        <v>53</v>
      </c>
      <c r="F94" s="112"/>
      <c r="L94" s="41"/>
      <c r="M94" s="41" t="str">
        <f t="shared" si="1"/>
        <v>vstrong@leg.state.vt.us</v>
      </c>
      <c r="N94" s="41"/>
      <c r="O94" s="41"/>
      <c r="P94" s="41"/>
      <c r="Q94" s="41"/>
      <c r="R94" s="41"/>
      <c r="S94" s="41"/>
    </row>
    <row r="95">
      <c r="A95" s="14" t="s">
        <v>44</v>
      </c>
      <c r="C95" s="204" t="s">
        <v>224</v>
      </c>
      <c r="D95" s="204" t="s">
        <v>429</v>
      </c>
      <c r="E95" s="36" t="s">
        <v>49</v>
      </c>
      <c r="F95" s="112"/>
      <c r="L95" s="41"/>
      <c r="M95" s="41" t="str">
        <f t="shared" si="1"/>
        <v>syoung@leg.state.vt.us</v>
      </c>
      <c r="N95" s="41"/>
      <c r="O95" s="41"/>
      <c r="P95" s="41"/>
      <c r="Q95" s="41"/>
      <c r="R95" s="41"/>
      <c r="S95" s="41"/>
    </row>
    <row r="96">
      <c r="A96" s="14" t="s">
        <v>44</v>
      </c>
      <c r="B96" s="766" t="s">
        <v>13241</v>
      </c>
      <c r="C96" s="204" t="s">
        <v>91</v>
      </c>
      <c r="D96" s="204" t="s">
        <v>13242</v>
      </c>
      <c r="E96" s="51" t="s">
        <v>53</v>
      </c>
      <c r="F96" s="112"/>
      <c r="L96" s="41"/>
      <c r="M96" s="41" t="str">
        <f t="shared" si="1"/>
        <v>mhigley@leg.state.vt.us</v>
      </c>
      <c r="N96" s="41"/>
      <c r="O96" s="41"/>
      <c r="P96" s="41"/>
      <c r="Q96" s="41"/>
      <c r="R96" s="41"/>
      <c r="S96" s="41"/>
    </row>
    <row r="97">
      <c r="A97" s="14" t="s">
        <v>44</v>
      </c>
      <c r="B97" s="766" t="s">
        <v>13243</v>
      </c>
      <c r="C97" s="204" t="s">
        <v>2249</v>
      </c>
      <c r="D97" s="204" t="s">
        <v>12067</v>
      </c>
      <c r="E97" s="51" t="s">
        <v>53</v>
      </c>
      <c r="F97" s="407" t="s">
        <v>498</v>
      </c>
      <c r="L97" s="41"/>
      <c r="M97" s="41" t="str">
        <f t="shared" si="1"/>
        <v>pmccoy@leg.state.vt.us</v>
      </c>
      <c r="N97" s="41"/>
      <c r="O97" s="41"/>
      <c r="P97" s="41"/>
      <c r="Q97" s="41"/>
      <c r="R97" s="41"/>
      <c r="S97" s="41"/>
    </row>
    <row r="98">
      <c r="A98" s="14" t="s">
        <v>44</v>
      </c>
      <c r="B98" s="766" t="s">
        <v>13244</v>
      </c>
      <c r="C98" s="204" t="s">
        <v>561</v>
      </c>
      <c r="D98" s="204" t="s">
        <v>13245</v>
      </c>
      <c r="E98" s="51" t="s">
        <v>53</v>
      </c>
      <c r="F98" s="112"/>
      <c r="L98" s="41"/>
      <c r="M98" s="41" t="str">
        <f t="shared" si="1"/>
        <v>tburditt@leg.state.vt.us</v>
      </c>
      <c r="N98" s="41"/>
      <c r="O98" s="41"/>
      <c r="P98" s="41"/>
      <c r="Q98" s="41"/>
      <c r="R98" s="41"/>
      <c r="S98" s="41"/>
    </row>
    <row r="99">
      <c r="A99" s="14" t="s">
        <v>44</v>
      </c>
      <c r="C99" s="204" t="s">
        <v>76</v>
      </c>
      <c r="D99" s="204" t="s">
        <v>12409</v>
      </c>
      <c r="E99" s="36" t="s">
        <v>49</v>
      </c>
      <c r="F99" s="112"/>
      <c r="L99" s="41"/>
      <c r="M99" s="41" t="str">
        <f t="shared" si="1"/>
        <v>dpotter@leg.state.vt.us</v>
      </c>
      <c r="N99" s="41"/>
      <c r="O99" s="41"/>
      <c r="P99" s="41"/>
      <c r="Q99" s="41"/>
      <c r="R99" s="41"/>
      <c r="S99" s="41"/>
    </row>
    <row r="100">
      <c r="A100" s="14" t="s">
        <v>44</v>
      </c>
      <c r="B100" s="766" t="s">
        <v>13246</v>
      </c>
      <c r="C100" s="204" t="s">
        <v>1058</v>
      </c>
      <c r="D100" s="204" t="s">
        <v>13247</v>
      </c>
      <c r="E100" s="51" t="s">
        <v>53</v>
      </c>
      <c r="F100" s="112"/>
      <c r="L100" s="41"/>
      <c r="M100" s="41" t="str">
        <f t="shared" si="1"/>
        <v>wcanfield@leg.state.vt.us</v>
      </c>
      <c r="N100" s="41"/>
      <c r="O100" s="41"/>
      <c r="P100" s="41"/>
      <c r="Q100" s="41"/>
      <c r="R100" s="41"/>
      <c r="S100" s="41"/>
    </row>
    <row r="101">
      <c r="A101" s="14" t="s">
        <v>44</v>
      </c>
      <c r="C101" s="204" t="s">
        <v>1134</v>
      </c>
      <c r="D101" s="204" t="s">
        <v>10860</v>
      </c>
      <c r="E101" s="51" t="s">
        <v>53</v>
      </c>
      <c r="F101" s="112"/>
      <c r="L101" s="41"/>
      <c r="M101" s="41" t="str">
        <f t="shared" si="1"/>
        <v>rhelm@leg.state.vt.us</v>
      </c>
      <c r="N101" s="41"/>
      <c r="O101" s="41"/>
      <c r="P101" s="41"/>
      <c r="Q101" s="41"/>
      <c r="R101" s="41"/>
      <c r="S101" s="41"/>
    </row>
    <row r="102">
      <c r="A102" s="14" t="s">
        <v>44</v>
      </c>
      <c r="B102" s="766" t="s">
        <v>13248</v>
      </c>
      <c r="C102" s="204" t="s">
        <v>561</v>
      </c>
      <c r="D102" s="204" t="s">
        <v>13249</v>
      </c>
      <c r="E102" s="51" t="s">
        <v>53</v>
      </c>
      <c r="F102" s="112"/>
      <c r="L102" s="41"/>
      <c r="M102" s="41" t="str">
        <f t="shared" si="1"/>
        <v>tterenzini@leg.state.vt.us</v>
      </c>
      <c r="N102" s="41"/>
      <c r="O102" s="41"/>
      <c r="P102" s="41"/>
      <c r="Q102" s="41"/>
      <c r="R102" s="41"/>
      <c r="S102" s="41"/>
    </row>
    <row r="103">
      <c r="A103" s="14" t="s">
        <v>44</v>
      </c>
      <c r="B103" s="766" t="s">
        <v>13250</v>
      </c>
      <c r="C103" s="204" t="s">
        <v>367</v>
      </c>
      <c r="D103" s="204" t="s">
        <v>13251</v>
      </c>
      <c r="E103" s="51" t="s">
        <v>53</v>
      </c>
      <c r="F103" s="112"/>
      <c r="L103" s="41"/>
      <c r="M103" s="41" t="str">
        <f t="shared" si="1"/>
        <v>pfagan@leg.state.vt.us</v>
      </c>
      <c r="N103" s="41"/>
      <c r="O103" s="41"/>
      <c r="P103" s="41"/>
      <c r="Q103" s="41"/>
      <c r="R103" s="41"/>
      <c r="S103" s="41"/>
    </row>
    <row r="104">
      <c r="A104" s="14" t="s">
        <v>44</v>
      </c>
      <c r="B104" s="766" t="s">
        <v>13252</v>
      </c>
      <c r="C104" s="204" t="s">
        <v>572</v>
      </c>
      <c r="D104" s="204" t="s">
        <v>13253</v>
      </c>
      <c r="E104" s="51" t="s">
        <v>53</v>
      </c>
      <c r="F104" s="112"/>
      <c r="L104" s="41"/>
      <c r="M104" s="41" t="str">
        <f t="shared" si="1"/>
        <v>lcupoli@leg.state.vt.us</v>
      </c>
      <c r="N104" s="41"/>
      <c r="O104" s="41"/>
      <c r="P104" s="41"/>
      <c r="Q104" s="41"/>
      <c r="R104" s="41"/>
      <c r="S104" s="41"/>
    </row>
    <row r="105">
      <c r="A105" s="14" t="s">
        <v>44</v>
      </c>
      <c r="B105" s="766" t="s">
        <v>13254</v>
      </c>
      <c r="C105" s="204" t="s">
        <v>514</v>
      </c>
      <c r="D105" s="204" t="s">
        <v>297</v>
      </c>
      <c r="E105" s="36" t="s">
        <v>49</v>
      </c>
      <c r="F105" s="112"/>
      <c r="L105" s="41"/>
      <c r="M105" s="41" t="str">
        <f t="shared" si="1"/>
        <v>mhoward@leg.state.vt.us</v>
      </c>
      <c r="N105" s="41"/>
      <c r="O105" s="41"/>
      <c r="P105" s="41"/>
      <c r="Q105" s="41"/>
      <c r="R105" s="41"/>
      <c r="S105" s="41"/>
    </row>
    <row r="106">
      <c r="A106" s="14" t="s">
        <v>44</v>
      </c>
      <c r="B106" s="766" t="s">
        <v>13258</v>
      </c>
      <c r="C106" s="770" t="s">
        <v>13260</v>
      </c>
      <c r="D106" s="770" t="s">
        <v>1058</v>
      </c>
      <c r="E106" s="36" t="s">
        <v>49</v>
      </c>
      <c r="F106" s="112"/>
      <c r="L106" s="41"/>
      <c r="M106" s="41" t="str">
        <f t="shared" si="1"/>
        <v>nwilliam@leg.state.vt.us</v>
      </c>
      <c r="N106" s="41"/>
      <c r="O106" s="41"/>
      <c r="P106" s="41"/>
      <c r="Q106" s="41"/>
      <c r="R106" s="41"/>
      <c r="S106" s="41"/>
    </row>
    <row r="107">
      <c r="A107" s="14" t="s">
        <v>44</v>
      </c>
      <c r="B107" s="766" t="s">
        <v>13261</v>
      </c>
      <c r="C107" s="770" t="s">
        <v>3900</v>
      </c>
      <c r="D107" s="770" t="s">
        <v>2254</v>
      </c>
      <c r="E107" s="36" t="s">
        <v>49</v>
      </c>
      <c r="F107" s="112"/>
      <c r="L107" s="41"/>
      <c r="M107" s="41" t="str">
        <f t="shared" si="1"/>
        <v>jstephanie@leg.state.vt.us</v>
      </c>
      <c r="N107" s="41"/>
      <c r="O107" s="41"/>
      <c r="P107" s="41"/>
      <c r="Q107" s="41"/>
      <c r="R107" s="41"/>
      <c r="S107" s="41"/>
    </row>
    <row r="108">
      <c r="A108" s="14" t="s">
        <v>44</v>
      </c>
      <c r="C108" s="770" t="s">
        <v>183</v>
      </c>
      <c r="D108" s="770" t="s">
        <v>1287</v>
      </c>
      <c r="E108" s="51" t="s">
        <v>53</v>
      </c>
      <c r="F108" s="112"/>
      <c r="L108" s="41"/>
      <c r="M108" s="41" t="str">
        <f t="shared" si="1"/>
        <v>scharles@leg.state.vt.us</v>
      </c>
      <c r="N108" s="41"/>
      <c r="O108" s="41"/>
      <c r="P108" s="41"/>
      <c r="Q108" s="41"/>
      <c r="R108" s="41"/>
      <c r="S108" s="41"/>
    </row>
    <row r="109">
      <c r="A109" s="14" t="s">
        <v>44</v>
      </c>
      <c r="B109" s="766" t="s">
        <v>13264</v>
      </c>
      <c r="C109" s="204" t="s">
        <v>1651</v>
      </c>
      <c r="D109" s="204" t="s">
        <v>13265</v>
      </c>
      <c r="E109" s="773" t="s">
        <v>13137</v>
      </c>
      <c r="F109" s="112"/>
      <c r="L109" s="41"/>
      <c r="M109" s="41" t="str">
        <f t="shared" si="1"/>
        <v>rchesnut-tangerman@leg.state.vt.us</v>
      </c>
      <c r="N109" s="41"/>
      <c r="O109" s="41"/>
      <c r="P109" s="41"/>
      <c r="Q109" s="41"/>
      <c r="R109" s="41"/>
      <c r="S109" s="41"/>
    </row>
    <row r="110">
      <c r="A110" s="14" t="s">
        <v>44</v>
      </c>
      <c r="B110" s="766" t="s">
        <v>13266</v>
      </c>
      <c r="C110" s="204" t="s">
        <v>476</v>
      </c>
      <c r="D110" s="204" t="s">
        <v>12534</v>
      </c>
      <c r="E110" s="51" t="s">
        <v>53</v>
      </c>
      <c r="F110" s="112"/>
      <c r="L110" s="41"/>
      <c r="M110" s="41" t="str">
        <f t="shared" si="1"/>
        <v>jharrison@leg.state.vt.us</v>
      </c>
      <c r="N110" s="41"/>
      <c r="O110" s="41"/>
      <c r="P110" s="41"/>
      <c r="Q110" s="41"/>
      <c r="R110" s="41"/>
      <c r="S110" s="41"/>
    </row>
    <row r="111">
      <c r="A111" s="14" t="s">
        <v>44</v>
      </c>
      <c r="B111" s="766" t="s">
        <v>13267</v>
      </c>
      <c r="C111" s="770" t="s">
        <v>13268</v>
      </c>
      <c r="D111" s="770" t="s">
        <v>2887</v>
      </c>
      <c r="E111" s="36" t="s">
        <v>49</v>
      </c>
      <c r="F111" s="112"/>
      <c r="L111" s="41"/>
      <c r="M111" s="41" t="str">
        <f t="shared" si="1"/>
        <v>nlogan@leg.state.vt.us</v>
      </c>
      <c r="N111" s="41"/>
      <c r="O111" s="41"/>
      <c r="P111" s="41"/>
      <c r="Q111" s="41"/>
      <c r="R111" s="41"/>
      <c r="S111" s="41"/>
    </row>
    <row r="112">
      <c r="A112" s="14" t="s">
        <v>44</v>
      </c>
      <c r="B112" s="766" t="s">
        <v>13269</v>
      </c>
      <c r="C112" s="204" t="s">
        <v>2560</v>
      </c>
      <c r="D112" s="204" t="s">
        <v>6632</v>
      </c>
      <c r="E112" s="51" t="s">
        <v>53</v>
      </c>
      <c r="F112" s="112"/>
      <c r="L112" s="41"/>
      <c r="M112" s="41" t="str">
        <f t="shared" si="1"/>
        <v>adonahue@leg.state.vt.us</v>
      </c>
      <c r="N112" s="41"/>
      <c r="O112" s="41"/>
      <c r="P112" s="41"/>
      <c r="Q112" s="41"/>
      <c r="R112" s="41"/>
      <c r="S112" s="41"/>
    </row>
    <row r="113">
      <c r="A113" s="14" t="s">
        <v>44</v>
      </c>
      <c r="C113" s="770" t="s">
        <v>13272</v>
      </c>
      <c r="D113" s="770" t="s">
        <v>2777</v>
      </c>
      <c r="E113" s="51" t="s">
        <v>53</v>
      </c>
      <c r="F113" s="112"/>
      <c r="L113" s="41"/>
      <c r="M113" s="41" t="str">
        <f t="shared" si="1"/>
        <v>gkenneth@leg.state.vt.us</v>
      </c>
      <c r="N113" s="41"/>
      <c r="O113" s="41"/>
      <c r="P113" s="41"/>
      <c r="Q113" s="41"/>
      <c r="R113" s="41"/>
      <c r="S113" s="41"/>
    </row>
    <row r="114">
      <c r="A114" s="14" t="s">
        <v>44</v>
      </c>
      <c r="B114" s="766" t="s">
        <v>13273</v>
      </c>
      <c r="C114" s="204" t="s">
        <v>1134</v>
      </c>
      <c r="D114" s="204" t="s">
        <v>13274</v>
      </c>
      <c r="E114" s="51" t="s">
        <v>53</v>
      </c>
      <c r="F114" s="112"/>
      <c r="L114" s="41"/>
      <c r="M114" s="41" t="str">
        <f t="shared" si="1"/>
        <v>rlaclair@leg.state.vt.us</v>
      </c>
      <c r="N114" s="41"/>
      <c r="O114" s="41"/>
      <c r="P114" s="41"/>
      <c r="Q114" s="41"/>
      <c r="R114" s="41"/>
      <c r="S114" s="41"/>
    </row>
    <row r="115">
      <c r="A115" s="14" t="s">
        <v>44</v>
      </c>
      <c r="C115" s="204" t="s">
        <v>3391</v>
      </c>
      <c r="D115" s="204" t="s">
        <v>13275</v>
      </c>
      <c r="E115" s="51" t="s">
        <v>53</v>
      </c>
      <c r="F115" s="112"/>
      <c r="L115" s="41"/>
      <c r="M115" s="41" t="str">
        <f t="shared" si="1"/>
        <v>fmcfaun@leg.state.vt.us</v>
      </c>
      <c r="N115" s="41"/>
      <c r="O115" s="41"/>
      <c r="P115" s="41"/>
      <c r="Q115" s="41"/>
      <c r="R115" s="41"/>
      <c r="S115" s="41"/>
    </row>
    <row r="116">
      <c r="A116" s="14" t="s">
        <v>44</v>
      </c>
      <c r="B116" s="766" t="s">
        <v>13276</v>
      </c>
      <c r="C116" s="770" t="s">
        <v>496</v>
      </c>
      <c r="D116" s="770" t="s">
        <v>367</v>
      </c>
      <c r="E116" s="36" t="s">
        <v>49</v>
      </c>
      <c r="F116" s="112"/>
      <c r="L116" s="41"/>
      <c r="M116" s="41" t="str">
        <f t="shared" si="1"/>
        <v>apeter@leg.state.vt.us</v>
      </c>
      <c r="N116" s="41"/>
      <c r="O116" s="41"/>
      <c r="P116" s="41"/>
      <c r="Q116" s="41"/>
      <c r="R116" s="41"/>
      <c r="S116" s="41"/>
    </row>
    <row r="117">
      <c r="A117" s="14" t="s">
        <v>44</v>
      </c>
      <c r="C117" s="204" t="s">
        <v>317</v>
      </c>
      <c r="D117" s="204" t="s">
        <v>8665</v>
      </c>
      <c r="E117" s="36" t="s">
        <v>49</v>
      </c>
      <c r="F117" s="112"/>
      <c r="L117" s="41"/>
      <c r="M117" s="41" t="str">
        <f t="shared" si="1"/>
        <v>twalz@leg.state.vt.us</v>
      </c>
      <c r="N117" s="41"/>
      <c r="O117" s="41"/>
      <c r="P117" s="41"/>
      <c r="Q117" s="41"/>
      <c r="R117" s="41"/>
      <c r="S117" s="41"/>
    </row>
    <row r="118">
      <c r="A118" s="14" t="s">
        <v>44</v>
      </c>
      <c r="B118" s="766" t="s">
        <v>13280</v>
      </c>
      <c r="C118" s="204" t="s">
        <v>514</v>
      </c>
      <c r="D118" s="204" t="s">
        <v>3231</v>
      </c>
      <c r="E118" s="36" t="s">
        <v>49</v>
      </c>
      <c r="F118" s="112"/>
      <c r="L118" s="41"/>
      <c r="M118" s="41" t="str">
        <f t="shared" si="1"/>
        <v>mhooper@leg.state.vt.us</v>
      </c>
      <c r="N118" s="41"/>
      <c r="O118" s="41"/>
      <c r="P118" s="41"/>
      <c r="Q118" s="41"/>
      <c r="R118" s="41"/>
      <c r="S118" s="41"/>
    </row>
    <row r="119">
      <c r="A119" s="14" t="s">
        <v>44</v>
      </c>
      <c r="C119" s="204" t="s">
        <v>646</v>
      </c>
      <c r="D119" s="204" t="s">
        <v>13283</v>
      </c>
      <c r="E119" s="36" t="s">
        <v>49</v>
      </c>
      <c r="F119" s="112"/>
      <c r="L119" s="41"/>
      <c r="M119" s="41" t="str">
        <f t="shared" si="1"/>
        <v>wkitzmiller@leg.state.vt.us</v>
      </c>
      <c r="N119" s="41"/>
      <c r="O119" s="41"/>
      <c r="P119" s="41"/>
      <c r="Q119" s="41"/>
      <c r="R119" s="41"/>
      <c r="S119" s="41"/>
    </row>
    <row r="120">
      <c r="A120" s="14" t="s">
        <v>44</v>
      </c>
      <c r="B120" s="766" t="s">
        <v>13284</v>
      </c>
      <c r="C120" s="204" t="s">
        <v>2689</v>
      </c>
      <c r="D120" s="204" t="s">
        <v>13285</v>
      </c>
      <c r="E120" s="36" t="s">
        <v>49</v>
      </c>
      <c r="F120" s="112"/>
      <c r="L120" s="41"/>
      <c r="M120" s="41" t="str">
        <f t="shared" si="1"/>
        <v>kjessup@leg.state.vt.us</v>
      </c>
      <c r="N120" s="41"/>
      <c r="O120" s="41"/>
      <c r="P120" s="41"/>
      <c r="Q120" s="41"/>
      <c r="R120" s="41"/>
      <c r="S120" s="41"/>
    </row>
    <row r="121">
      <c r="A121" s="14" t="s">
        <v>44</v>
      </c>
      <c r="B121" s="766" t="s">
        <v>13286</v>
      </c>
      <c r="C121" s="204" t="s">
        <v>1930</v>
      </c>
      <c r="D121" s="204" t="s">
        <v>13287</v>
      </c>
      <c r="E121" s="36" t="s">
        <v>49</v>
      </c>
      <c r="F121" s="112"/>
      <c r="L121" s="41"/>
      <c r="M121" s="41" t="str">
        <f t="shared" si="1"/>
        <v>jancel@leg.state.vt.us</v>
      </c>
      <c r="N121" s="41"/>
      <c r="O121" s="41"/>
      <c r="P121" s="41"/>
      <c r="Q121" s="41"/>
      <c r="R121" s="41"/>
      <c r="S121" s="41"/>
    </row>
    <row r="122">
      <c r="A122" s="14" t="s">
        <v>44</v>
      </c>
      <c r="B122" s="766" t="s">
        <v>13288</v>
      </c>
      <c r="C122" s="204" t="s">
        <v>2342</v>
      </c>
      <c r="D122" s="204" t="s">
        <v>13289</v>
      </c>
      <c r="E122" s="36" t="s">
        <v>49</v>
      </c>
      <c r="F122" s="112"/>
      <c r="L122" s="41"/>
      <c r="M122" s="41" t="str">
        <f t="shared" si="1"/>
        <v>mgrad@leg.state.vt.us</v>
      </c>
      <c r="N122" s="41"/>
      <c r="O122" s="41"/>
      <c r="P122" s="41"/>
      <c r="Q122" s="41"/>
      <c r="R122" s="41"/>
      <c r="S122" s="41"/>
    </row>
    <row r="123">
      <c r="A123" s="14" t="s">
        <v>44</v>
      </c>
      <c r="C123" s="770" t="s">
        <v>10784</v>
      </c>
      <c r="D123" s="770" t="s">
        <v>8626</v>
      </c>
      <c r="E123" s="36" t="s">
        <v>49</v>
      </c>
      <c r="F123" s="112"/>
      <c r="L123" s="41"/>
      <c r="M123" s="41" t="str">
        <f t="shared" si="1"/>
        <v>dkari@leg.state.vt.us</v>
      </c>
      <c r="N123" s="41"/>
      <c r="O123" s="41"/>
      <c r="P123" s="41"/>
      <c r="Q123" s="41"/>
      <c r="R123" s="41"/>
      <c r="S123" s="41"/>
    </row>
    <row r="124">
      <c r="A124" s="14" t="s">
        <v>44</v>
      </c>
      <c r="B124" s="766" t="s">
        <v>13292</v>
      </c>
      <c r="C124" s="204" t="s">
        <v>338</v>
      </c>
      <c r="D124" s="204" t="s">
        <v>378</v>
      </c>
      <c r="E124" s="36" t="s">
        <v>49</v>
      </c>
      <c r="F124" s="112"/>
      <c r="L124" s="41"/>
      <c r="M124" s="41" t="str">
        <f t="shared" si="1"/>
        <v>tstevens@leg.state.vt.us</v>
      </c>
      <c r="N124" s="41"/>
      <c r="O124" s="41"/>
      <c r="P124" s="41"/>
      <c r="Q124" s="41"/>
      <c r="R124" s="41"/>
      <c r="S124" s="41"/>
    </row>
    <row r="125">
      <c r="A125" s="14" t="s">
        <v>44</v>
      </c>
      <c r="C125" s="204" t="s">
        <v>2846</v>
      </c>
      <c r="D125" s="204" t="s">
        <v>415</v>
      </c>
      <c r="E125" s="36" t="s">
        <v>49</v>
      </c>
      <c r="F125" s="112"/>
      <c r="L125" s="41"/>
      <c r="M125" s="41" t="str">
        <f t="shared" si="1"/>
        <v>twood@leg.state.vt.us</v>
      </c>
      <c r="N125" s="41"/>
      <c r="O125" s="41"/>
      <c r="P125" s="41"/>
      <c r="Q125" s="41"/>
      <c r="R125" s="41"/>
      <c r="S125" s="41"/>
    </row>
    <row r="126">
      <c r="A126" s="14" t="s">
        <v>44</v>
      </c>
      <c r="B126" s="766" t="s">
        <v>13293</v>
      </c>
      <c r="C126" s="770" t="s">
        <v>5113</v>
      </c>
      <c r="D126" s="770" t="s">
        <v>171</v>
      </c>
      <c r="E126" s="36" t="s">
        <v>49</v>
      </c>
      <c r="F126" s="112"/>
      <c r="L126" s="41"/>
      <c r="M126" s="41" t="str">
        <f t="shared" si="1"/>
        <v>csara@leg.state.vt.us</v>
      </c>
      <c r="N126" s="41"/>
      <c r="O126" s="41"/>
      <c r="P126" s="41"/>
      <c r="Q126" s="41"/>
      <c r="R126" s="41"/>
      <c r="S126" s="41"/>
    </row>
    <row r="127">
      <c r="A127" s="14" t="s">
        <v>44</v>
      </c>
      <c r="B127" s="766" t="s">
        <v>13294</v>
      </c>
      <c r="C127" s="204" t="s">
        <v>2658</v>
      </c>
      <c r="D127" s="204" t="s">
        <v>4471</v>
      </c>
      <c r="E127" s="36" t="s">
        <v>49</v>
      </c>
      <c r="F127" s="112"/>
      <c r="L127" s="41"/>
      <c r="M127" s="41" t="str">
        <f t="shared" si="1"/>
        <v>vstuart@leg.state.vt.us</v>
      </c>
      <c r="N127" s="41"/>
      <c r="O127" s="41"/>
      <c r="P127" s="41"/>
      <c r="Q127" s="41"/>
      <c r="R127" s="41"/>
      <c r="S127" s="41"/>
    </row>
    <row r="128">
      <c r="A128" s="14" t="s">
        <v>44</v>
      </c>
      <c r="B128" s="766" t="s">
        <v>13295</v>
      </c>
      <c r="C128" s="204" t="s">
        <v>13296</v>
      </c>
      <c r="D128" s="204" t="s">
        <v>1837</v>
      </c>
      <c r="E128" s="773" t="s">
        <v>13137</v>
      </c>
      <c r="F128" s="112"/>
      <c r="L128" s="41"/>
      <c r="M128" s="41" t="str">
        <f t="shared" si="1"/>
        <v>mburke@leg.state.vt.us</v>
      </c>
      <c r="N128" s="41"/>
      <c r="O128" s="41"/>
      <c r="P128" s="41"/>
      <c r="Q128" s="41"/>
      <c r="R128" s="41"/>
      <c r="S128" s="41"/>
    </row>
    <row r="129">
      <c r="A129" s="14" t="s">
        <v>44</v>
      </c>
      <c r="B129" s="766" t="s">
        <v>13297</v>
      </c>
      <c r="C129" s="204" t="s">
        <v>13298</v>
      </c>
      <c r="D129" s="204" t="s">
        <v>13299</v>
      </c>
      <c r="E129" s="36" t="s">
        <v>49</v>
      </c>
      <c r="F129" s="407" t="s">
        <v>1479</v>
      </c>
      <c r="L129" s="41"/>
      <c r="M129" s="41" t="str">
        <f t="shared" si="1"/>
        <v>ttoleno@leg.state.vt.us</v>
      </c>
      <c r="N129" s="41"/>
      <c r="O129" s="41"/>
      <c r="P129" s="41"/>
      <c r="Q129" s="41"/>
      <c r="R129" s="41"/>
      <c r="S129" s="41"/>
    </row>
    <row r="130">
      <c r="A130" s="14" t="s">
        <v>44</v>
      </c>
      <c r="B130" s="766" t="s">
        <v>13300</v>
      </c>
      <c r="C130" s="204" t="s">
        <v>3902</v>
      </c>
      <c r="D130" s="204" t="s">
        <v>12191</v>
      </c>
      <c r="E130" s="36" t="s">
        <v>49</v>
      </c>
      <c r="F130" s="112"/>
      <c r="L130" s="41"/>
      <c r="M130" s="41" t="str">
        <f t="shared" si="1"/>
        <v>cpartridge@leg.state.vt.us</v>
      </c>
      <c r="N130" s="41"/>
      <c r="O130" s="41"/>
      <c r="P130" s="41"/>
      <c r="Q130" s="41"/>
      <c r="R130" s="41"/>
      <c r="S130" s="41"/>
    </row>
    <row r="131">
      <c r="A131" s="14" t="s">
        <v>44</v>
      </c>
      <c r="C131" s="204" t="s">
        <v>896</v>
      </c>
      <c r="D131" s="204" t="s">
        <v>13301</v>
      </c>
      <c r="E131" s="36" t="s">
        <v>49</v>
      </c>
      <c r="F131" s="112"/>
      <c r="L131" s="41"/>
      <c r="M131" s="41" t="str">
        <f t="shared" si="1"/>
        <v>mtrieber@leg.state.vt.us</v>
      </c>
      <c r="N131" s="41"/>
      <c r="O131" s="41"/>
      <c r="P131" s="41"/>
      <c r="Q131" s="41"/>
      <c r="R131" s="41"/>
      <c r="S131" s="41"/>
    </row>
    <row r="132">
      <c r="A132" s="14" t="s">
        <v>44</v>
      </c>
      <c r="B132" s="766" t="s">
        <v>13302</v>
      </c>
      <c r="C132" s="204" t="s">
        <v>108</v>
      </c>
      <c r="D132" s="204" t="s">
        <v>13303</v>
      </c>
      <c r="E132" s="36" t="s">
        <v>49</v>
      </c>
      <c r="F132" s="112"/>
      <c r="L132" s="41"/>
      <c r="M132" s="41" t="str">
        <f t="shared" si="1"/>
        <v>ddeen@leg.state.vt.us</v>
      </c>
      <c r="N132" s="41"/>
      <c r="O132" s="41"/>
      <c r="P132" s="41"/>
      <c r="Q132" s="41"/>
      <c r="R132" s="41"/>
      <c r="S132" s="41"/>
    </row>
    <row r="133">
      <c r="A133" s="14" t="s">
        <v>44</v>
      </c>
      <c r="C133" s="204" t="s">
        <v>157</v>
      </c>
      <c r="D133" s="204" t="s">
        <v>13304</v>
      </c>
      <c r="E133" s="36" t="s">
        <v>49</v>
      </c>
      <c r="F133" s="112"/>
      <c r="L133" s="41"/>
      <c r="M133" s="41" t="str">
        <f t="shared" si="1"/>
        <v>mmrowicki@leg.state.vt.us</v>
      </c>
      <c r="N133" s="41"/>
      <c r="O133" s="41"/>
      <c r="P133" s="41"/>
      <c r="Q133" s="41"/>
      <c r="R133" s="41"/>
      <c r="S133" s="41"/>
    </row>
    <row r="134">
      <c r="A134" s="14" t="s">
        <v>44</v>
      </c>
      <c r="B134" s="766" t="s">
        <v>13305</v>
      </c>
      <c r="C134" s="204" t="s">
        <v>1674</v>
      </c>
      <c r="D134" s="204" t="s">
        <v>4836</v>
      </c>
      <c r="E134" s="36" t="s">
        <v>49</v>
      </c>
      <c r="F134" s="407" t="s">
        <v>13307</v>
      </c>
      <c r="L134" s="41"/>
      <c r="M134" s="41" t="str">
        <f t="shared" si="1"/>
        <v>elong@leg.state.vt.us</v>
      </c>
      <c r="N134" s="41"/>
      <c r="O134" s="41"/>
      <c r="P134" s="41"/>
      <c r="Q134" s="41"/>
      <c r="R134" s="41"/>
      <c r="S134" s="41"/>
    </row>
    <row r="135">
      <c r="A135" s="14" t="s">
        <v>44</v>
      </c>
      <c r="B135" s="766" t="s">
        <v>13310</v>
      </c>
      <c r="C135" s="204" t="s">
        <v>278</v>
      </c>
      <c r="D135" s="204" t="s">
        <v>3838</v>
      </c>
      <c r="E135" s="36" t="s">
        <v>49</v>
      </c>
      <c r="F135" s="112"/>
      <c r="L135" s="41"/>
      <c r="M135" s="41" t="str">
        <f t="shared" si="1"/>
        <v>jgannon@leg.state.vt.us</v>
      </c>
      <c r="N135" s="41"/>
      <c r="O135" s="41"/>
      <c r="P135" s="41"/>
      <c r="Q135" s="41"/>
      <c r="R135" s="41"/>
      <c r="S135" s="41"/>
    </row>
    <row r="136">
      <c r="A136" s="14" t="s">
        <v>44</v>
      </c>
      <c r="B136" s="766" t="s">
        <v>13311</v>
      </c>
      <c r="C136" s="204" t="s">
        <v>292</v>
      </c>
      <c r="D136" s="204" t="s">
        <v>13312</v>
      </c>
      <c r="E136" s="65" t="s">
        <v>243</v>
      </c>
      <c r="F136" s="112"/>
      <c r="L136" s="41"/>
      <c r="M136" s="41" t="str">
        <f t="shared" si="1"/>
        <v>lsibilia@leg.state.vt.us</v>
      </c>
      <c r="N136" s="41"/>
      <c r="O136" s="41"/>
      <c r="P136" s="41"/>
      <c r="Q136" s="41"/>
      <c r="R136" s="41"/>
      <c r="S136" s="41"/>
    </row>
    <row r="137">
      <c r="A137" s="14" t="s">
        <v>44</v>
      </c>
      <c r="B137" s="766" t="s">
        <v>13314</v>
      </c>
      <c r="C137" s="204" t="s">
        <v>130</v>
      </c>
      <c r="D137" s="204" t="s">
        <v>13315</v>
      </c>
      <c r="E137" s="65" t="s">
        <v>243</v>
      </c>
      <c r="F137" s="112"/>
      <c r="L137" s="41"/>
      <c r="M137" s="41" t="str">
        <f t="shared" si="1"/>
        <v>kpajala@leg.state.vt.us</v>
      </c>
      <c r="N137" s="41"/>
      <c r="O137" s="41"/>
      <c r="P137" s="41"/>
      <c r="Q137" s="41"/>
      <c r="R137" s="41"/>
      <c r="S137" s="41"/>
    </row>
    <row r="138">
      <c r="A138" s="14" t="s">
        <v>44</v>
      </c>
      <c r="B138" s="766" t="s">
        <v>13316</v>
      </c>
      <c r="C138" s="204" t="s">
        <v>1387</v>
      </c>
      <c r="D138" s="204" t="s">
        <v>13317</v>
      </c>
      <c r="E138" s="36" t="s">
        <v>49</v>
      </c>
      <c r="F138" s="112"/>
      <c r="L138" s="41"/>
      <c r="M138" s="41" t="str">
        <f t="shared" si="1"/>
        <v>jbartholomew@leg.state.vt.us</v>
      </c>
      <c r="N138" s="41"/>
      <c r="O138" s="41"/>
      <c r="P138" s="41"/>
      <c r="Q138" s="41"/>
      <c r="R138" s="41"/>
      <c r="S138" s="41"/>
    </row>
    <row r="139">
      <c r="A139" s="14" t="s">
        <v>44</v>
      </c>
      <c r="C139" s="770" t="s">
        <v>588</v>
      </c>
      <c r="D139" s="770" t="s">
        <v>13318</v>
      </c>
      <c r="E139" s="65" t="s">
        <v>243</v>
      </c>
      <c r="F139" s="112"/>
      <c r="L139" s="41"/>
      <c r="M139" s="41" t="str">
        <f t="shared" si="1"/>
        <v>rzachariah@leg.state.vt.us</v>
      </c>
      <c r="N139" s="41"/>
      <c r="O139" s="41"/>
      <c r="P139" s="41"/>
      <c r="Q139" s="41"/>
      <c r="R139" s="41"/>
      <c r="S139" s="41"/>
    </row>
    <row r="140">
      <c r="A140" s="14" t="s">
        <v>44</v>
      </c>
      <c r="B140" s="766" t="s">
        <v>13319</v>
      </c>
      <c r="C140" s="204" t="s">
        <v>13320</v>
      </c>
      <c r="D140" s="204" t="s">
        <v>3972</v>
      </c>
      <c r="E140" s="36" t="s">
        <v>49</v>
      </c>
      <c r="F140" s="112"/>
      <c r="L140" s="41"/>
      <c r="M140" s="41" t="str">
        <f t="shared" si="1"/>
        <v>achristensen@leg.state.vt.us</v>
      </c>
      <c r="N140" s="41"/>
      <c r="O140" s="41"/>
      <c r="P140" s="41"/>
      <c r="Q140" s="41"/>
      <c r="R140" s="41"/>
      <c r="S140" s="41"/>
    </row>
    <row r="141">
      <c r="A141" s="14" t="s">
        <v>44</v>
      </c>
      <c r="B141" s="766" t="s">
        <v>13321</v>
      </c>
      <c r="C141" s="204" t="s">
        <v>561</v>
      </c>
      <c r="D141" s="204" t="s">
        <v>13323</v>
      </c>
      <c r="E141" s="36" t="s">
        <v>49</v>
      </c>
      <c r="F141" s="112"/>
      <c r="L141" s="41"/>
      <c r="M141" s="41" t="str">
        <f t="shared" si="1"/>
        <v>tbock@leg.state.vt.us</v>
      </c>
      <c r="N141" s="41"/>
      <c r="O141" s="41"/>
      <c r="P141" s="41"/>
      <c r="Q141" s="41"/>
      <c r="R141" s="41"/>
      <c r="S141" s="41"/>
    </row>
    <row r="142">
      <c r="A142" s="14" t="s">
        <v>44</v>
      </c>
      <c r="B142" s="766" t="s">
        <v>13324</v>
      </c>
      <c r="C142" s="204" t="s">
        <v>5331</v>
      </c>
      <c r="D142" s="204" t="s">
        <v>13325</v>
      </c>
      <c r="E142" s="36" t="s">
        <v>49</v>
      </c>
      <c r="F142" s="112"/>
      <c r="L142" s="41"/>
      <c r="M142" s="41" t="str">
        <f t="shared" si="1"/>
        <v>aemmons@leg.state.vt.us</v>
      </c>
      <c r="N142" s="41"/>
      <c r="O142" s="41"/>
      <c r="P142" s="41"/>
      <c r="Q142" s="41"/>
      <c r="R142" s="41"/>
      <c r="S142" s="41"/>
    </row>
    <row r="143">
      <c r="A143" s="14" t="s">
        <v>44</v>
      </c>
      <c r="C143" s="204" t="s">
        <v>1134</v>
      </c>
      <c r="D143" s="204" t="s">
        <v>13328</v>
      </c>
      <c r="E143" s="36" t="s">
        <v>49</v>
      </c>
      <c r="F143" s="112"/>
      <c r="L143" s="41"/>
      <c r="M143" s="41" t="str">
        <f t="shared" si="1"/>
        <v>rforguites@leg.state.vt.us</v>
      </c>
      <c r="N143" s="41"/>
      <c r="O143" s="41"/>
      <c r="P143" s="41"/>
      <c r="Q143" s="41"/>
      <c r="R143" s="41"/>
      <c r="S143" s="41"/>
    </row>
    <row r="144">
      <c r="A144" s="14" t="s">
        <v>44</v>
      </c>
      <c r="B144" s="766" t="s">
        <v>13330</v>
      </c>
      <c r="C144" s="204" t="s">
        <v>1446</v>
      </c>
      <c r="D144" s="204" t="s">
        <v>13331</v>
      </c>
      <c r="E144" s="36" t="s">
        <v>49</v>
      </c>
      <c r="F144" s="112"/>
      <c r="L144" s="41"/>
      <c r="M144" s="41" t="str">
        <f t="shared" si="1"/>
        <v>sbuckholz@leg.state.vt.us</v>
      </c>
      <c r="N144" s="41"/>
      <c r="O144" s="41"/>
      <c r="P144" s="41"/>
      <c r="Q144" s="41"/>
      <c r="R144" s="41"/>
      <c r="S144" s="41"/>
    </row>
    <row r="145">
      <c r="A145" s="14" t="s">
        <v>44</v>
      </c>
      <c r="B145" s="766" t="s">
        <v>13333</v>
      </c>
      <c r="C145" s="204" t="s">
        <v>971</v>
      </c>
      <c r="D145" s="204" t="s">
        <v>2544</v>
      </c>
      <c r="E145" s="36" t="s">
        <v>49</v>
      </c>
      <c r="F145" s="112"/>
      <c r="L145" s="41"/>
      <c r="M145" s="41" t="str">
        <f t="shared" si="1"/>
        <v>kchristie@leg.state.vt.us</v>
      </c>
      <c r="N145" s="41"/>
      <c r="O145" s="41"/>
      <c r="P145" s="41"/>
      <c r="Q145" s="41"/>
      <c r="R145" s="41"/>
      <c r="S145" s="41"/>
    </row>
    <row r="146">
      <c r="A146" s="14" t="s">
        <v>44</v>
      </c>
      <c r="C146" s="204" t="s">
        <v>133</v>
      </c>
      <c r="D146" s="204" t="s">
        <v>13335</v>
      </c>
      <c r="E146" s="36" t="s">
        <v>49</v>
      </c>
      <c r="F146" s="112"/>
      <c r="L146" s="41"/>
      <c r="M146" s="41" t="str">
        <f t="shared" si="1"/>
        <v>glucke@leg.state.vt.us</v>
      </c>
      <c r="N146" s="41"/>
      <c r="O146" s="41"/>
      <c r="P146" s="41"/>
      <c r="Q146" s="41"/>
      <c r="R146" s="41"/>
      <c r="S146" s="41"/>
    </row>
    <row r="147">
      <c r="A147" s="14" t="s">
        <v>44</v>
      </c>
      <c r="B147" s="766" t="s">
        <v>13336</v>
      </c>
      <c r="C147" s="204" t="s">
        <v>2746</v>
      </c>
      <c r="D147" s="204" t="s">
        <v>13337</v>
      </c>
      <c r="E147" s="36" t="s">
        <v>49</v>
      </c>
      <c r="F147" s="112"/>
      <c r="L147" s="41"/>
      <c r="M147" s="41" t="str">
        <f t="shared" si="1"/>
        <v>ckimbell@leg.state.vt.us</v>
      </c>
      <c r="N147" s="41"/>
      <c r="O147" s="41"/>
      <c r="P147" s="41"/>
      <c r="Q147" s="41"/>
      <c r="R147" s="41"/>
      <c r="S147" s="41"/>
    </row>
    <row r="148">
      <c r="A148" s="14" t="s">
        <v>44</v>
      </c>
      <c r="B148" s="766" t="s">
        <v>13338</v>
      </c>
      <c r="C148" s="770" t="s">
        <v>10256</v>
      </c>
      <c r="D148" s="770" t="s">
        <v>278</v>
      </c>
      <c r="E148" s="36" t="s">
        <v>49</v>
      </c>
      <c r="F148" s="112"/>
      <c r="L148" s="41"/>
      <c r="M148" s="41" t="str">
        <f t="shared" si="1"/>
        <v>ojohn@leg.state.vt.us</v>
      </c>
      <c r="N148" s="41"/>
      <c r="O148" s="41"/>
      <c r="P148" s="41"/>
      <c r="Q148" s="41"/>
      <c r="R148" s="41"/>
      <c r="S148" s="41"/>
    </row>
    <row r="149">
      <c r="A149" s="14" t="s">
        <v>44</v>
      </c>
      <c r="B149" s="766" t="s">
        <v>13339</v>
      </c>
      <c r="C149" s="204" t="s">
        <v>2507</v>
      </c>
      <c r="D149" s="204" t="s">
        <v>13340</v>
      </c>
      <c r="E149" s="36" t="s">
        <v>49</v>
      </c>
      <c r="F149" s="112"/>
      <c r="L149" s="41"/>
      <c r="M149" s="41" t="str">
        <f t="shared" si="1"/>
        <v>tbriglin@leg.state.vt.us</v>
      </c>
      <c r="N149" s="41"/>
      <c r="O149" s="41"/>
      <c r="P149" s="41"/>
      <c r="Q149" s="41"/>
      <c r="R149" s="41"/>
      <c r="S149" s="41"/>
    </row>
    <row r="150">
      <c r="A150" s="14" t="s">
        <v>44</v>
      </c>
      <c r="C150" s="204" t="s">
        <v>476</v>
      </c>
      <c r="D150" s="204" t="s">
        <v>13341</v>
      </c>
      <c r="E150" s="36" t="s">
        <v>49</v>
      </c>
      <c r="F150" s="112"/>
      <c r="L150" s="41"/>
      <c r="M150" s="41" t="str">
        <f t="shared" si="1"/>
        <v>jmasland@leg.state.vt.us</v>
      </c>
      <c r="N150" s="41"/>
      <c r="O150" s="41"/>
      <c r="P150" s="41"/>
      <c r="Q150" s="41"/>
      <c r="R150" s="41"/>
      <c r="S150" s="41"/>
    </row>
    <row r="151">
      <c r="A151" s="14" t="s">
        <v>44</v>
      </c>
      <c r="B151" s="766" t="s">
        <v>13342</v>
      </c>
      <c r="C151" s="204" t="s">
        <v>5229</v>
      </c>
      <c r="D151" s="204" t="s">
        <v>13343</v>
      </c>
      <c r="E151" s="773" t="s">
        <v>13137</v>
      </c>
      <c r="F151" s="112"/>
      <c r="L151" s="41"/>
      <c r="M151" s="41" t="str">
        <f t="shared" si="1"/>
        <v>shaas@leg.state.vt.us</v>
      </c>
      <c r="N151" s="41"/>
      <c r="O151" s="41"/>
      <c r="P151" s="41"/>
      <c r="Q151" s="41"/>
      <c r="R151" s="41"/>
      <c r="S151" s="41"/>
    </row>
    <row r="152">
      <c r="A152" s="70"/>
      <c r="B152" s="775"/>
      <c r="C152" s="101"/>
      <c r="D152" s="101"/>
      <c r="E152" s="70"/>
      <c r="F152" s="70"/>
      <c r="G152" s="70"/>
      <c r="H152" s="70"/>
      <c r="I152" s="70"/>
      <c r="J152" s="70"/>
      <c r="K152" s="70"/>
      <c r="L152" s="70"/>
      <c r="M152" s="70"/>
      <c r="N152" s="70"/>
      <c r="O152" s="70"/>
      <c r="P152" s="70"/>
      <c r="Q152" s="70"/>
      <c r="R152" s="70"/>
      <c r="S152" s="70"/>
      <c r="T152" s="70"/>
      <c r="U152" s="70"/>
      <c r="V152" s="70"/>
      <c r="W152" s="70"/>
      <c r="X152" s="70"/>
      <c r="Y152" s="70"/>
      <c r="Z152" s="70"/>
      <c r="AA152" s="70"/>
      <c r="AB152" s="70"/>
      <c r="AC152" s="70"/>
      <c r="AD152" s="70"/>
      <c r="AE152" s="70"/>
      <c r="AF152" s="70"/>
      <c r="AG152" s="70"/>
      <c r="AH152" s="70"/>
    </row>
    <row r="153">
      <c r="A153" s="14" t="s">
        <v>286</v>
      </c>
      <c r="B153" s="767" t="s">
        <v>13348</v>
      </c>
      <c r="C153" s="770" t="s">
        <v>5470</v>
      </c>
      <c r="D153" s="770" t="s">
        <v>2779</v>
      </c>
      <c r="E153" s="36" t="s">
        <v>49</v>
      </c>
      <c r="F153" s="112"/>
      <c r="L153" s="41"/>
      <c r="M153" s="41" t="str">
        <f t="shared" ref="M153:M182" si="2">Concatenate(lower(left(C153,1)),lower(D153),"@leg.state.vt.us")</f>
        <v>hruth@leg.state.vt.us</v>
      </c>
      <c r="N153" s="41"/>
      <c r="O153" s="41"/>
      <c r="P153" s="41"/>
      <c r="Q153" s="41"/>
      <c r="R153" s="41"/>
      <c r="S153" s="41"/>
    </row>
    <row r="154">
      <c r="A154" s="14" t="s">
        <v>286</v>
      </c>
      <c r="C154" s="213" t="s">
        <v>575</v>
      </c>
      <c r="D154" s="213" t="s">
        <v>4900</v>
      </c>
      <c r="E154" s="36" t="s">
        <v>49</v>
      </c>
      <c r="F154" s="112"/>
      <c r="L154" s="41"/>
      <c r="M154" s="41" t="str">
        <f t="shared" si="2"/>
        <v>cbray@leg.state.vt.us</v>
      </c>
      <c r="N154" s="41"/>
      <c r="O154" s="41"/>
      <c r="P154" s="41"/>
      <c r="Q154" s="41"/>
      <c r="R154" s="41"/>
      <c r="S154" s="41"/>
    </row>
    <row r="155">
      <c r="A155" s="14" t="s">
        <v>286</v>
      </c>
      <c r="B155" s="767" t="s">
        <v>13358</v>
      </c>
      <c r="C155" s="204" t="s">
        <v>1331</v>
      </c>
      <c r="D155" s="204" t="s">
        <v>13365</v>
      </c>
      <c r="E155" s="36" t="s">
        <v>49</v>
      </c>
      <c r="F155" s="112"/>
      <c r="L155" s="41"/>
      <c r="M155" s="41" t="str">
        <f t="shared" si="2"/>
        <v>bcampion@leg.state.vt.us</v>
      </c>
      <c r="N155" s="41"/>
      <c r="O155" s="41"/>
      <c r="P155" s="41"/>
      <c r="Q155" s="41"/>
      <c r="R155" s="41"/>
      <c r="S155" s="41"/>
    </row>
    <row r="156">
      <c r="A156" s="14" t="s">
        <v>286</v>
      </c>
      <c r="C156" s="204" t="s">
        <v>1112</v>
      </c>
      <c r="D156" s="204" t="s">
        <v>13373</v>
      </c>
      <c r="E156" s="36" t="s">
        <v>49</v>
      </c>
      <c r="F156" s="112"/>
      <c r="L156" s="41"/>
      <c r="M156" s="41" t="str">
        <f t="shared" si="2"/>
        <v>rsears@leg.state.vt.us</v>
      </c>
      <c r="N156" s="41"/>
      <c r="O156" s="41"/>
      <c r="P156" s="41"/>
      <c r="Q156" s="41"/>
      <c r="R156" s="41"/>
      <c r="S156" s="41"/>
    </row>
    <row r="157">
      <c r="A157" s="14" t="s">
        <v>286</v>
      </c>
      <c r="B157" s="767" t="s">
        <v>13374</v>
      </c>
      <c r="C157" s="204" t="s">
        <v>622</v>
      </c>
      <c r="D157" s="204" t="s">
        <v>13379</v>
      </c>
      <c r="E157" s="51" t="s">
        <v>53</v>
      </c>
      <c r="F157" s="407" t="s">
        <v>498</v>
      </c>
      <c r="L157" s="41"/>
      <c r="M157" s="41" t="str">
        <f t="shared" si="2"/>
        <v>jbenning@leg.state.vt.us</v>
      </c>
      <c r="N157" s="41"/>
      <c r="O157" s="41"/>
      <c r="P157" s="41"/>
      <c r="Q157" s="41"/>
      <c r="R157" s="41"/>
      <c r="S157" s="41"/>
    </row>
    <row r="158">
      <c r="A158" s="14" t="s">
        <v>286</v>
      </c>
      <c r="C158" s="204" t="s">
        <v>2443</v>
      </c>
      <c r="D158" s="204" t="s">
        <v>13381</v>
      </c>
      <c r="E158" s="36" t="s">
        <v>49</v>
      </c>
      <c r="F158" s="112"/>
      <c r="L158" s="41"/>
      <c r="M158" s="41" t="str">
        <f t="shared" si="2"/>
        <v>jkitchel@leg.state.vt.us</v>
      </c>
      <c r="N158" s="41"/>
      <c r="O158" s="41"/>
      <c r="P158" s="41"/>
      <c r="Q158" s="41"/>
      <c r="R158" s="41"/>
      <c r="S158" s="41"/>
    </row>
    <row r="159">
      <c r="A159" s="14" t="s">
        <v>286</v>
      </c>
      <c r="B159" s="767" t="s">
        <v>13382</v>
      </c>
      <c r="C159" s="204" t="s">
        <v>225</v>
      </c>
      <c r="D159" s="204" t="s">
        <v>6815</v>
      </c>
      <c r="E159" s="100" t="s">
        <v>49</v>
      </c>
      <c r="F159" s="407" t="s">
        <v>7336</v>
      </c>
      <c r="L159" s="41"/>
      <c r="M159" s="41" t="str">
        <f t="shared" si="2"/>
        <v>tashe@leg.state.vt.us</v>
      </c>
      <c r="N159" s="41"/>
      <c r="O159" s="41"/>
      <c r="P159" s="41"/>
      <c r="Q159" s="41"/>
      <c r="R159" s="41"/>
      <c r="S159" s="41"/>
    </row>
    <row r="160">
      <c r="A160" s="14" t="s">
        <v>286</v>
      </c>
      <c r="C160" s="204" t="s">
        <v>1483</v>
      </c>
      <c r="D160" s="204" t="s">
        <v>13387</v>
      </c>
      <c r="E160" s="100" t="s">
        <v>49</v>
      </c>
      <c r="F160" s="112"/>
      <c r="L160" s="41"/>
      <c r="M160" s="41" t="str">
        <f t="shared" si="2"/>
        <v>pbaruth@leg.state.vt.us</v>
      </c>
      <c r="N160" s="41"/>
      <c r="O160" s="41"/>
      <c r="P160" s="41"/>
      <c r="Q160" s="41"/>
      <c r="R160" s="41"/>
      <c r="S160" s="41"/>
    </row>
    <row r="161">
      <c r="A161" s="14" t="s">
        <v>286</v>
      </c>
      <c r="C161" s="204" t="s">
        <v>425</v>
      </c>
      <c r="D161" s="204" t="s">
        <v>608</v>
      </c>
      <c r="E161" s="36" t="s">
        <v>49</v>
      </c>
      <c r="F161" s="112"/>
      <c r="L161" s="41"/>
      <c r="M161" s="41" t="str">
        <f t="shared" si="2"/>
        <v>dingram@leg.state.vt.us</v>
      </c>
      <c r="N161" s="41"/>
      <c r="O161" s="41"/>
      <c r="P161" s="41"/>
      <c r="Q161" s="41"/>
      <c r="R161" s="41"/>
      <c r="S161" s="41"/>
    </row>
    <row r="162">
      <c r="A162" s="14" t="s">
        <v>286</v>
      </c>
      <c r="C162" s="204" t="s">
        <v>442</v>
      </c>
      <c r="D162" s="204" t="s">
        <v>6088</v>
      </c>
      <c r="E162" s="36" t="s">
        <v>49</v>
      </c>
      <c r="F162" s="112"/>
      <c r="L162" s="41"/>
      <c r="M162" s="41" t="str">
        <f t="shared" si="2"/>
        <v>glyons@leg.state.vt.us</v>
      </c>
      <c r="N162" s="41"/>
      <c r="O162" s="41"/>
      <c r="P162" s="41"/>
      <c r="Q162" s="41"/>
      <c r="R162" s="41"/>
      <c r="S162" s="41"/>
    </row>
    <row r="163">
      <c r="A163" s="14" t="s">
        <v>286</v>
      </c>
      <c r="C163" s="204" t="s">
        <v>575</v>
      </c>
      <c r="D163" s="204" t="s">
        <v>6037</v>
      </c>
      <c r="E163" s="778" t="s">
        <v>13137</v>
      </c>
      <c r="F163" s="112"/>
      <c r="L163" s="41"/>
      <c r="M163" s="41" t="str">
        <f t="shared" si="2"/>
        <v>cpearson@leg.state.vt.us</v>
      </c>
      <c r="N163" s="41"/>
      <c r="O163" s="41"/>
      <c r="P163" s="41"/>
      <c r="Q163" s="41"/>
      <c r="R163" s="41"/>
      <c r="S163" s="41"/>
    </row>
    <row r="164">
      <c r="A164" s="14" t="s">
        <v>286</v>
      </c>
      <c r="C164" s="204" t="s">
        <v>2490</v>
      </c>
      <c r="D164" s="204" t="s">
        <v>13400</v>
      </c>
      <c r="E164" s="36" t="s">
        <v>49</v>
      </c>
      <c r="F164" s="112"/>
      <c r="L164" s="41"/>
      <c r="M164" s="41" t="str">
        <f t="shared" si="2"/>
        <v>msirotkin@leg.state.vt.us</v>
      </c>
      <c r="N164" s="41"/>
      <c r="O164" s="41"/>
      <c r="P164" s="41"/>
      <c r="Q164" s="41"/>
      <c r="R164" s="41"/>
      <c r="S164" s="41"/>
    </row>
    <row r="165">
      <c r="A165" s="14" t="s">
        <v>286</v>
      </c>
      <c r="B165" s="767" t="s">
        <v>13401</v>
      </c>
      <c r="C165" s="204" t="s">
        <v>278</v>
      </c>
      <c r="D165" s="204" t="s">
        <v>13405</v>
      </c>
      <c r="E165" s="36" t="s">
        <v>49</v>
      </c>
      <c r="F165" s="112"/>
      <c r="L165" s="41"/>
      <c r="M165" s="41" t="str">
        <f t="shared" si="2"/>
        <v>jrodgers@leg.state.vt.us</v>
      </c>
      <c r="N165" s="41"/>
      <c r="O165" s="41"/>
      <c r="P165" s="41"/>
      <c r="Q165" s="41"/>
      <c r="R165" s="41"/>
      <c r="S165" s="41"/>
    </row>
    <row r="166">
      <c r="A166" s="14" t="s">
        <v>286</v>
      </c>
      <c r="C166" s="204" t="s">
        <v>1134</v>
      </c>
      <c r="D166" s="204" t="s">
        <v>13410</v>
      </c>
      <c r="E166" s="36" t="s">
        <v>49</v>
      </c>
      <c r="F166" s="112"/>
      <c r="L166" s="41"/>
      <c r="M166" s="41" t="str">
        <f t="shared" si="2"/>
        <v>rstarr@leg.state.vt.us</v>
      </c>
      <c r="N166" s="41"/>
      <c r="O166" s="41"/>
      <c r="P166" s="41"/>
      <c r="Q166" s="41"/>
      <c r="R166" s="41"/>
      <c r="S166" s="41"/>
    </row>
    <row r="167">
      <c r="A167" s="14" t="s">
        <v>286</v>
      </c>
      <c r="B167" s="767" t="s">
        <v>2670</v>
      </c>
      <c r="C167" s="770" t="s">
        <v>4686</v>
      </c>
      <c r="D167" s="770" t="s">
        <v>200</v>
      </c>
      <c r="E167" s="51" t="s">
        <v>53</v>
      </c>
      <c r="F167" s="112"/>
      <c r="L167" s="41"/>
      <c r="M167" s="41" t="str">
        <f t="shared" si="2"/>
        <v>pcorey@leg.state.vt.us</v>
      </c>
      <c r="N167" s="41"/>
      <c r="O167" s="41"/>
      <c r="P167" s="41"/>
      <c r="Q167" s="41"/>
      <c r="R167" s="41"/>
      <c r="S167" s="41"/>
    </row>
    <row r="168">
      <c r="A168" s="14" t="s">
        <v>286</v>
      </c>
      <c r="C168" s="204" t="s">
        <v>412</v>
      </c>
      <c r="D168" s="204" t="s">
        <v>12131</v>
      </c>
      <c r="E168" s="51" t="s">
        <v>53</v>
      </c>
      <c r="F168" s="112"/>
      <c r="L168" s="41"/>
      <c r="M168" s="41" t="str">
        <f t="shared" si="2"/>
        <v>rbrock@leg.state.vt.us</v>
      </c>
      <c r="N168" s="41"/>
      <c r="O168" s="41"/>
      <c r="P168" s="41"/>
      <c r="Q168" s="41"/>
      <c r="R168" s="41"/>
      <c r="S168" s="41"/>
    </row>
    <row r="169">
      <c r="A169" s="14" t="s">
        <v>286</v>
      </c>
      <c r="B169" s="767" t="s">
        <v>13412</v>
      </c>
      <c r="C169" s="204" t="s">
        <v>1112</v>
      </c>
      <c r="D169" s="204" t="s">
        <v>13419</v>
      </c>
      <c r="E169" s="36" t="s">
        <v>49</v>
      </c>
      <c r="F169" s="112"/>
      <c r="G169" s="14" t="s">
        <v>8931</v>
      </c>
      <c r="L169" s="41"/>
      <c r="M169" s="41" t="str">
        <f t="shared" si="2"/>
        <v>rmazza@leg.state.vt.us</v>
      </c>
      <c r="N169" s="41"/>
      <c r="O169" s="41"/>
      <c r="P169" s="41"/>
      <c r="Q169" s="41"/>
      <c r="R169" s="41"/>
      <c r="S169" s="41"/>
    </row>
    <row r="170">
      <c r="A170" s="14" t="s">
        <v>286</v>
      </c>
      <c r="B170" s="767" t="s">
        <v>13422</v>
      </c>
      <c r="C170" s="204" t="s">
        <v>345</v>
      </c>
      <c r="D170" s="204" t="s">
        <v>13424</v>
      </c>
      <c r="E170" s="51" t="s">
        <v>53</v>
      </c>
      <c r="F170" s="112"/>
      <c r="L170" s="41"/>
      <c r="M170" s="41" t="str">
        <f t="shared" si="2"/>
        <v>rwestman@leg.state.vt.us</v>
      </c>
      <c r="N170" s="41"/>
      <c r="O170" s="41"/>
      <c r="P170" s="41"/>
      <c r="Q170" s="41"/>
      <c r="R170" s="41"/>
      <c r="S170" s="41"/>
    </row>
    <row r="171">
      <c r="A171" s="14" t="s">
        <v>286</v>
      </c>
      <c r="B171" s="767" t="s">
        <v>2566</v>
      </c>
      <c r="C171" s="204" t="s">
        <v>91</v>
      </c>
      <c r="D171" s="204" t="s">
        <v>7319</v>
      </c>
      <c r="E171" s="36" t="s">
        <v>49</v>
      </c>
      <c r="F171" s="407" t="s">
        <v>1479</v>
      </c>
      <c r="L171" s="41"/>
      <c r="M171" s="41" t="str">
        <f t="shared" si="2"/>
        <v>mmacdonald@leg.state.vt.us</v>
      </c>
      <c r="N171" s="41"/>
      <c r="O171" s="41"/>
      <c r="P171" s="41"/>
      <c r="Q171" s="41"/>
      <c r="R171" s="41"/>
      <c r="S171" s="41"/>
    </row>
    <row r="172">
      <c r="A172" s="14" t="s">
        <v>286</v>
      </c>
      <c r="B172" s="767" t="s">
        <v>13431</v>
      </c>
      <c r="C172" s="204" t="s">
        <v>1331</v>
      </c>
      <c r="D172" s="204" t="s">
        <v>13436</v>
      </c>
      <c r="E172" s="51" t="s">
        <v>53</v>
      </c>
      <c r="F172" s="112"/>
      <c r="L172" s="41"/>
      <c r="M172" s="41" t="str">
        <f t="shared" si="2"/>
        <v>bcollamore@leg.state.vt.us</v>
      </c>
      <c r="N172" s="41"/>
      <c r="O172" s="41"/>
      <c r="P172" s="41"/>
      <c r="Q172" s="41"/>
      <c r="R172" s="41"/>
      <c r="S172" s="41"/>
    </row>
    <row r="173">
      <c r="A173" s="14" t="s">
        <v>286</v>
      </c>
      <c r="C173" s="204" t="s">
        <v>3040</v>
      </c>
      <c r="D173" s="204" t="s">
        <v>13442</v>
      </c>
      <c r="E173" s="51" t="s">
        <v>53</v>
      </c>
      <c r="F173" s="112"/>
      <c r="L173" s="41"/>
      <c r="M173" s="41" t="str">
        <f t="shared" si="2"/>
        <v>mflory@leg.state.vt.us</v>
      </c>
      <c r="N173" s="41"/>
      <c r="O173" s="41"/>
      <c r="P173" s="41"/>
      <c r="Q173" s="41"/>
      <c r="R173" s="41"/>
      <c r="S173" s="41"/>
    </row>
    <row r="174">
      <c r="A174" s="14" t="s">
        <v>286</v>
      </c>
      <c r="C174" s="204" t="s">
        <v>108</v>
      </c>
      <c r="D174" s="204" t="s">
        <v>13443</v>
      </c>
      <c r="E174" s="51" t="s">
        <v>53</v>
      </c>
      <c r="F174" s="112"/>
      <c r="L174" s="41"/>
      <c r="M174" s="41" t="str">
        <f t="shared" si="2"/>
        <v>dsoucy@leg.state.vt.us</v>
      </c>
      <c r="N174" s="41"/>
      <c r="O174" s="41"/>
      <c r="P174" s="41"/>
      <c r="Q174" s="41"/>
      <c r="R174" s="41"/>
      <c r="S174" s="41"/>
    </row>
    <row r="175">
      <c r="A175" s="14" t="s">
        <v>286</v>
      </c>
      <c r="B175" s="767" t="s">
        <v>277</v>
      </c>
      <c r="C175" s="770" t="s">
        <v>13447</v>
      </c>
      <c r="D175" s="770" t="s">
        <v>80</v>
      </c>
      <c r="E175" s="36" t="s">
        <v>49</v>
      </c>
      <c r="F175" s="112"/>
      <c r="L175" s="41"/>
      <c r="M175" s="41" t="str">
        <f t="shared" si="2"/>
        <v>pandrew@leg.state.vt.us</v>
      </c>
      <c r="N175" s="41"/>
      <c r="O175" s="41"/>
      <c r="P175" s="41"/>
      <c r="Q175" s="41"/>
      <c r="R175" s="41"/>
      <c r="S175" s="41"/>
    </row>
    <row r="176">
      <c r="A176" s="14" t="s">
        <v>286</v>
      </c>
      <c r="C176" s="204" t="s">
        <v>1375</v>
      </c>
      <c r="D176" s="204" t="s">
        <v>2610</v>
      </c>
      <c r="E176" s="36" t="s">
        <v>49</v>
      </c>
      <c r="F176" s="112"/>
      <c r="L176" s="41"/>
      <c r="M176" s="41" t="str">
        <f t="shared" si="2"/>
        <v>acummings@leg.state.vt.us</v>
      </c>
      <c r="N176" s="41"/>
      <c r="O176" s="41"/>
      <c r="P176" s="41"/>
      <c r="Q176" s="41"/>
      <c r="R176" s="41"/>
      <c r="S176" s="41"/>
    </row>
    <row r="177">
      <c r="A177" s="14" t="s">
        <v>286</v>
      </c>
      <c r="C177" s="204" t="s">
        <v>496</v>
      </c>
      <c r="D177" s="204" t="s">
        <v>13450</v>
      </c>
      <c r="E177" s="778" t="s">
        <v>13137</v>
      </c>
      <c r="F177" s="112"/>
      <c r="L177" s="41"/>
      <c r="M177" s="41" t="str">
        <f t="shared" si="2"/>
        <v>apollina@leg.state.vt.us</v>
      </c>
      <c r="N177" s="41"/>
      <c r="O177" s="41"/>
      <c r="P177" s="41"/>
      <c r="Q177" s="41"/>
      <c r="R177" s="41"/>
      <c r="S177" s="41"/>
    </row>
    <row r="178">
      <c r="A178" s="14" t="s">
        <v>286</v>
      </c>
      <c r="B178" s="767" t="s">
        <v>5815</v>
      </c>
      <c r="C178" s="204" t="s">
        <v>13455</v>
      </c>
      <c r="D178" s="204" t="s">
        <v>13456</v>
      </c>
      <c r="E178" s="36" t="s">
        <v>49</v>
      </c>
      <c r="F178" s="407" t="s">
        <v>176</v>
      </c>
      <c r="L178" s="41"/>
      <c r="M178" s="41" t="str">
        <f t="shared" si="2"/>
        <v>bbalint@leg.state.vt.us</v>
      </c>
      <c r="N178" s="41"/>
      <c r="O178" s="41"/>
      <c r="P178" s="41"/>
      <c r="Q178" s="41"/>
      <c r="R178" s="41"/>
      <c r="S178" s="41"/>
    </row>
    <row r="179">
      <c r="A179" s="14" t="s">
        <v>286</v>
      </c>
      <c r="C179" s="204" t="s">
        <v>13457</v>
      </c>
      <c r="D179" s="204" t="s">
        <v>6034</v>
      </c>
      <c r="E179" s="36" t="s">
        <v>49</v>
      </c>
      <c r="F179" s="112"/>
      <c r="L179" s="41"/>
      <c r="M179" s="41" t="str">
        <f t="shared" si="2"/>
        <v>jwhite@leg.state.vt.us</v>
      </c>
      <c r="N179" s="41"/>
      <c r="O179" s="41"/>
      <c r="P179" s="41"/>
      <c r="Q179" s="41"/>
      <c r="R179" s="41"/>
      <c r="S179" s="41"/>
    </row>
    <row r="180">
      <c r="A180" s="14" t="s">
        <v>286</v>
      </c>
      <c r="B180" s="767" t="s">
        <v>13460</v>
      </c>
      <c r="C180" s="204" t="s">
        <v>13462</v>
      </c>
      <c r="D180" s="204" t="s">
        <v>13463</v>
      </c>
      <c r="E180" s="36" t="s">
        <v>49</v>
      </c>
      <c r="F180" s="112"/>
      <c r="L180" s="41"/>
      <c r="M180" s="41" t="str">
        <f t="shared" si="2"/>
        <v>aclarkson@leg.state.vt.us</v>
      </c>
      <c r="N180" s="41"/>
      <c r="O180" s="41"/>
      <c r="P180" s="41"/>
      <c r="Q180" s="41"/>
      <c r="R180" s="41"/>
      <c r="S180" s="41"/>
    </row>
    <row r="181">
      <c r="A181" s="14" t="s">
        <v>286</v>
      </c>
      <c r="C181" s="204" t="s">
        <v>1112</v>
      </c>
      <c r="D181" s="204" t="s">
        <v>13134</v>
      </c>
      <c r="E181" s="36" t="s">
        <v>49</v>
      </c>
      <c r="F181" s="112"/>
      <c r="L181" s="41"/>
      <c r="M181" s="41" t="str">
        <f t="shared" si="2"/>
        <v>rmccormack@leg.state.vt.us</v>
      </c>
      <c r="N181" s="41"/>
      <c r="O181" s="41"/>
      <c r="P181" s="41"/>
      <c r="Q181" s="41"/>
      <c r="R181" s="41"/>
      <c r="S181" s="41"/>
    </row>
    <row r="182">
      <c r="A182" s="14" t="s">
        <v>286</v>
      </c>
      <c r="C182" s="204" t="s">
        <v>5331</v>
      </c>
      <c r="D182" s="204" t="s">
        <v>13464</v>
      </c>
      <c r="E182" s="36" t="s">
        <v>49</v>
      </c>
      <c r="F182" s="112"/>
      <c r="L182" s="41"/>
      <c r="M182" s="41" t="str">
        <f t="shared" si="2"/>
        <v>anitka@leg.state.vt.us</v>
      </c>
      <c r="N182" s="41"/>
      <c r="O182" s="41"/>
      <c r="P182" s="41"/>
      <c r="Q182" s="41"/>
      <c r="R182" s="41"/>
      <c r="S182" s="41"/>
    </row>
    <row r="183">
      <c r="A183" s="70"/>
      <c r="B183" s="775"/>
      <c r="C183" s="101"/>
      <c r="D183" s="101"/>
      <c r="E183" s="70"/>
      <c r="F183" s="70"/>
      <c r="G183" s="70"/>
      <c r="H183" s="70"/>
      <c r="I183" s="70"/>
      <c r="J183" s="70"/>
      <c r="K183" s="70"/>
      <c r="L183" s="70"/>
      <c r="M183" s="70"/>
      <c r="N183" s="70"/>
      <c r="O183" s="70"/>
      <c r="P183" s="70"/>
      <c r="Q183" s="70"/>
      <c r="R183" s="70"/>
      <c r="S183" s="70"/>
      <c r="T183" s="70"/>
      <c r="U183" s="70"/>
      <c r="V183" s="70"/>
      <c r="W183" s="70"/>
      <c r="X183" s="70"/>
      <c r="Y183" s="70"/>
      <c r="Z183" s="70"/>
      <c r="AA183" s="70"/>
      <c r="AB183" s="70"/>
      <c r="AC183" s="70"/>
      <c r="AD183" s="70"/>
      <c r="AE183" s="70"/>
      <c r="AF183" s="70"/>
      <c r="AG183" s="70"/>
      <c r="AH183" s="70"/>
    </row>
    <row r="184">
      <c r="A184" s="14" t="s">
        <v>421</v>
      </c>
      <c r="B184" s="779"/>
      <c r="C184" s="131" t="s">
        <v>1483</v>
      </c>
      <c r="D184" s="131" t="s">
        <v>45</v>
      </c>
      <c r="E184" s="51" t="s">
        <v>53</v>
      </c>
      <c r="F184" s="138"/>
      <c r="L184" s="41"/>
      <c r="M184" s="41"/>
      <c r="N184" s="41"/>
      <c r="O184" s="41"/>
      <c r="P184" s="41"/>
      <c r="Q184" s="41"/>
      <c r="R184" s="41"/>
      <c r="S184" s="41"/>
    </row>
    <row r="185">
      <c r="A185" s="70"/>
      <c r="B185" s="775"/>
      <c r="C185" s="101"/>
      <c r="D185" s="101"/>
      <c r="E185" s="70"/>
      <c r="F185" s="70"/>
      <c r="G185" s="70"/>
      <c r="H185" s="70"/>
      <c r="I185" s="70"/>
      <c r="J185" s="70"/>
      <c r="K185" s="70"/>
      <c r="L185" s="70"/>
      <c r="M185" s="70"/>
      <c r="N185" s="70"/>
      <c r="O185" s="70"/>
      <c r="P185" s="70"/>
      <c r="Q185" s="70"/>
      <c r="R185" s="70"/>
      <c r="S185" s="70"/>
      <c r="T185" s="70"/>
      <c r="U185" s="70"/>
      <c r="V185" s="70"/>
      <c r="W185" s="70"/>
      <c r="X185" s="70"/>
      <c r="Y185" s="70"/>
      <c r="Z185" s="70"/>
      <c r="AA185" s="70"/>
      <c r="AB185" s="70"/>
      <c r="AC185" s="70"/>
      <c r="AD185" s="70"/>
      <c r="AE185" s="70"/>
      <c r="AF185" s="70"/>
      <c r="AG185" s="70"/>
      <c r="AH185" s="70"/>
    </row>
    <row r="186">
      <c r="A186" s="14" t="s">
        <v>427</v>
      </c>
      <c r="B186" s="779"/>
      <c r="C186" s="131" t="s">
        <v>367</v>
      </c>
      <c r="D186" s="131" t="s">
        <v>3731</v>
      </c>
      <c r="E186" s="36" t="s">
        <v>49</v>
      </c>
      <c r="F186" s="138"/>
      <c r="L186" s="41"/>
      <c r="M186" s="41"/>
      <c r="N186" s="41"/>
      <c r="O186" s="41"/>
      <c r="P186" s="41"/>
      <c r="Q186" s="41"/>
      <c r="R186" s="41"/>
      <c r="S186" s="41"/>
    </row>
    <row r="187">
      <c r="A187" s="70"/>
      <c r="B187" s="775"/>
      <c r="C187" s="775"/>
      <c r="D187" s="775"/>
      <c r="E187" s="775"/>
      <c r="F187" s="775"/>
      <c r="G187" s="775"/>
      <c r="H187" s="775"/>
      <c r="I187" s="70"/>
      <c r="J187" s="70"/>
      <c r="K187" s="70"/>
      <c r="L187" s="70"/>
      <c r="M187" s="70"/>
      <c r="N187" s="70"/>
      <c r="O187" s="70"/>
      <c r="P187" s="70"/>
      <c r="Q187" s="70"/>
      <c r="R187" s="70"/>
      <c r="S187" s="70"/>
      <c r="T187" s="70"/>
      <c r="U187" s="70"/>
      <c r="V187" s="70"/>
      <c r="W187" s="70"/>
      <c r="X187" s="70"/>
      <c r="Y187" s="70"/>
      <c r="Z187" s="70"/>
      <c r="AA187" s="70"/>
      <c r="AB187" s="70"/>
      <c r="AC187" s="70"/>
      <c r="AD187" s="70"/>
      <c r="AE187" s="70"/>
      <c r="AF187" s="70"/>
      <c r="AG187" s="70"/>
      <c r="AH187" s="70"/>
    </row>
    <row r="188">
      <c r="A188" s="14" t="s">
        <v>430</v>
      </c>
      <c r="B188" s="780" t="s">
        <v>431</v>
      </c>
      <c r="C188" s="131" t="s">
        <v>1914</v>
      </c>
      <c r="D188" s="131" t="s">
        <v>13473</v>
      </c>
      <c r="E188" s="51" t="s">
        <v>53</v>
      </c>
      <c r="F188" s="138"/>
      <c r="L188" s="41"/>
      <c r="M188" s="41"/>
      <c r="N188" s="41"/>
      <c r="O188" s="41"/>
      <c r="P188" s="41"/>
      <c r="Q188" s="41"/>
      <c r="R188" s="41"/>
      <c r="S188" s="41"/>
    </row>
    <row r="189">
      <c r="A189" s="14" t="s">
        <v>430</v>
      </c>
      <c r="B189" s="780" t="s">
        <v>434</v>
      </c>
      <c r="C189" s="131" t="s">
        <v>10038</v>
      </c>
      <c r="D189" s="131" t="s">
        <v>10280</v>
      </c>
      <c r="E189" s="781" t="s">
        <v>5529</v>
      </c>
      <c r="F189" s="138"/>
      <c r="L189" s="41"/>
      <c r="M189" s="41"/>
      <c r="N189" s="41"/>
      <c r="O189" s="41"/>
      <c r="P189" s="41"/>
      <c r="Q189" s="41"/>
      <c r="R189" s="41"/>
      <c r="S189" s="41"/>
    </row>
    <row r="190">
      <c r="A190" s="70"/>
      <c r="B190" s="775"/>
      <c r="C190" s="775"/>
      <c r="D190" s="775"/>
      <c r="E190" s="775"/>
      <c r="F190" s="775"/>
      <c r="G190" s="775"/>
      <c r="H190" s="775"/>
      <c r="I190" s="70"/>
      <c r="J190" s="70"/>
      <c r="K190" s="70"/>
      <c r="L190" s="70"/>
      <c r="M190" s="70"/>
      <c r="N190" s="70"/>
      <c r="O190" s="70"/>
      <c r="P190" s="70"/>
      <c r="Q190" s="70"/>
      <c r="R190" s="70"/>
      <c r="S190" s="70"/>
      <c r="T190" s="70"/>
      <c r="U190" s="70"/>
      <c r="V190" s="70"/>
      <c r="W190" s="70"/>
      <c r="X190" s="70"/>
      <c r="Y190" s="70"/>
      <c r="Z190" s="70"/>
      <c r="AA190" s="70"/>
      <c r="AB190" s="70"/>
      <c r="AC190" s="70"/>
      <c r="AD190" s="70"/>
      <c r="AE190" s="70"/>
      <c r="AF190" s="70"/>
      <c r="AG190" s="70"/>
      <c r="AH190" s="70"/>
    </row>
    <row r="191">
      <c r="A191" s="14" t="s">
        <v>438</v>
      </c>
      <c r="B191" s="779"/>
      <c r="C191" s="131" t="s">
        <v>13474</v>
      </c>
      <c r="D191" s="131" t="s">
        <v>2225</v>
      </c>
      <c r="E191" s="36" t="s">
        <v>49</v>
      </c>
      <c r="F191" s="138"/>
      <c r="L191" s="41"/>
      <c r="M191" s="41"/>
      <c r="N191" s="41"/>
      <c r="O191" s="41"/>
      <c r="P191" s="41"/>
      <c r="Q191" s="41"/>
      <c r="R191" s="41"/>
      <c r="S191" s="41"/>
    </row>
    <row r="192">
      <c r="A192" s="70"/>
      <c r="B192" s="775"/>
      <c r="C192" s="775"/>
      <c r="D192" s="775"/>
      <c r="E192" s="775"/>
      <c r="F192" s="775"/>
      <c r="G192" s="775"/>
      <c r="H192" s="775"/>
      <c r="I192" s="70"/>
      <c r="J192" s="70"/>
      <c r="K192" s="70"/>
      <c r="L192" s="70"/>
      <c r="M192" s="70"/>
      <c r="N192" s="70"/>
      <c r="O192" s="70"/>
      <c r="P192" s="70"/>
      <c r="Q192" s="70"/>
      <c r="R192" s="70"/>
      <c r="S192" s="70"/>
      <c r="T192" s="70"/>
      <c r="U192" s="70"/>
      <c r="V192" s="70"/>
      <c r="W192" s="70"/>
      <c r="X192" s="70"/>
      <c r="Y192" s="70"/>
      <c r="Z192" s="70"/>
      <c r="AA192" s="70"/>
      <c r="AB192" s="70"/>
      <c r="AC192" s="70"/>
      <c r="AD192" s="70"/>
      <c r="AE192" s="70"/>
      <c r="AF192" s="70"/>
      <c r="AG192" s="70"/>
      <c r="AH192" s="70"/>
    </row>
    <row r="193">
      <c r="B193" s="779"/>
      <c r="C193" s="130"/>
      <c r="D193" s="130"/>
      <c r="F193" s="138"/>
    </row>
    <row r="194">
      <c r="B194" s="779"/>
      <c r="C194" s="130"/>
      <c r="D194" s="130"/>
      <c r="F194" s="138"/>
    </row>
    <row r="195">
      <c r="B195" s="779"/>
      <c r="C195" s="130"/>
      <c r="D195" s="130"/>
      <c r="F195" s="138"/>
    </row>
    <row r="196">
      <c r="B196" s="779"/>
      <c r="C196" s="130"/>
      <c r="D196" s="130"/>
      <c r="F196" s="138"/>
    </row>
    <row r="197">
      <c r="B197" s="779"/>
      <c r="C197" s="130"/>
      <c r="D197" s="130"/>
      <c r="F197" s="138"/>
    </row>
    <row r="198">
      <c r="B198" s="779"/>
      <c r="C198" s="130"/>
      <c r="D198" s="130"/>
      <c r="F198" s="138"/>
    </row>
    <row r="199">
      <c r="B199" s="779"/>
      <c r="C199" s="130"/>
      <c r="D199" s="130"/>
      <c r="F199" s="138"/>
    </row>
    <row r="200">
      <c r="B200" s="779"/>
      <c r="C200" s="130"/>
      <c r="D200" s="130"/>
      <c r="F200" s="138"/>
    </row>
    <row r="201">
      <c r="B201" s="779"/>
      <c r="C201" s="130"/>
      <c r="D201" s="130"/>
      <c r="F201" s="138"/>
    </row>
    <row r="202">
      <c r="B202" s="779"/>
      <c r="C202" s="130"/>
      <c r="D202" s="130"/>
      <c r="F202" s="138"/>
    </row>
    <row r="203">
      <c r="B203" s="779"/>
      <c r="C203" s="130"/>
      <c r="D203" s="130"/>
      <c r="F203" s="138"/>
    </row>
    <row r="204">
      <c r="B204" s="779"/>
      <c r="C204" s="130"/>
      <c r="D204" s="130"/>
      <c r="F204" s="138"/>
    </row>
    <row r="205">
      <c r="B205" s="779"/>
      <c r="C205" s="130"/>
      <c r="D205" s="130"/>
      <c r="F205" s="138"/>
    </row>
    <row r="206">
      <c r="B206" s="779"/>
      <c r="C206" s="130"/>
      <c r="D206" s="130"/>
      <c r="F206" s="138"/>
    </row>
    <row r="207">
      <c r="B207" s="779"/>
      <c r="C207" s="130"/>
      <c r="D207" s="130"/>
      <c r="F207" s="138"/>
    </row>
    <row r="208">
      <c r="B208" s="779"/>
      <c r="C208" s="130"/>
      <c r="D208" s="130"/>
      <c r="F208" s="138"/>
    </row>
    <row r="209">
      <c r="B209" s="779"/>
      <c r="C209" s="130"/>
      <c r="D209" s="130"/>
      <c r="F209" s="138"/>
    </row>
    <row r="210">
      <c r="B210" s="779"/>
      <c r="C210" s="130"/>
      <c r="D210" s="130"/>
      <c r="F210" s="138"/>
    </row>
    <row r="211">
      <c r="B211" s="779"/>
      <c r="C211" s="130"/>
      <c r="D211" s="130"/>
      <c r="F211" s="138"/>
    </row>
    <row r="212">
      <c r="B212" s="779"/>
      <c r="C212" s="130"/>
      <c r="D212" s="130"/>
      <c r="F212" s="138"/>
    </row>
    <row r="213">
      <c r="B213" s="779"/>
      <c r="C213" s="130"/>
      <c r="D213" s="130"/>
      <c r="F213" s="138"/>
    </row>
    <row r="214">
      <c r="B214" s="779"/>
      <c r="C214" s="130"/>
      <c r="D214" s="130"/>
      <c r="F214" s="138"/>
    </row>
    <row r="215">
      <c r="B215" s="779"/>
      <c r="C215" s="130"/>
      <c r="D215" s="130"/>
      <c r="F215" s="138"/>
    </row>
    <row r="216">
      <c r="B216" s="779"/>
      <c r="C216" s="130"/>
      <c r="D216" s="130"/>
      <c r="F216" s="138"/>
    </row>
    <row r="217">
      <c r="B217" s="779"/>
      <c r="C217" s="130"/>
      <c r="D217" s="130"/>
      <c r="F217" s="138"/>
    </row>
    <row r="218">
      <c r="B218" s="779"/>
      <c r="C218" s="130"/>
      <c r="D218" s="130"/>
      <c r="F218" s="138"/>
    </row>
    <row r="219">
      <c r="B219" s="779"/>
      <c r="C219" s="130"/>
      <c r="D219" s="130"/>
      <c r="F219" s="138"/>
    </row>
    <row r="220">
      <c r="B220" s="779"/>
      <c r="C220" s="130"/>
      <c r="D220" s="130"/>
      <c r="F220" s="138"/>
    </row>
    <row r="221">
      <c r="B221" s="779"/>
      <c r="C221" s="130"/>
      <c r="D221" s="130"/>
      <c r="F221" s="138"/>
    </row>
    <row r="222">
      <c r="B222" s="779"/>
      <c r="C222" s="130"/>
      <c r="D222" s="130"/>
      <c r="F222" s="138"/>
    </row>
    <row r="223">
      <c r="B223" s="779"/>
      <c r="C223" s="130"/>
      <c r="D223" s="130"/>
      <c r="F223" s="138"/>
    </row>
    <row r="224">
      <c r="B224" s="779"/>
      <c r="C224" s="130"/>
      <c r="D224" s="130"/>
      <c r="F224" s="138"/>
    </row>
    <row r="225">
      <c r="B225" s="779"/>
      <c r="C225" s="130"/>
      <c r="D225" s="130"/>
      <c r="F225" s="138"/>
    </row>
    <row r="226">
      <c r="B226" s="779"/>
      <c r="C226" s="130"/>
      <c r="D226" s="130"/>
      <c r="F226" s="138"/>
    </row>
    <row r="227">
      <c r="B227" s="779"/>
      <c r="C227" s="130"/>
      <c r="D227" s="130"/>
      <c r="F227" s="138"/>
    </row>
    <row r="228">
      <c r="B228" s="779"/>
      <c r="C228" s="130"/>
      <c r="D228" s="130"/>
      <c r="F228" s="138"/>
    </row>
    <row r="229">
      <c r="B229" s="779"/>
      <c r="C229" s="130"/>
      <c r="D229" s="130"/>
      <c r="F229" s="138"/>
    </row>
    <row r="230">
      <c r="B230" s="779"/>
      <c r="C230" s="130"/>
      <c r="D230" s="130"/>
      <c r="F230" s="138"/>
    </row>
    <row r="231">
      <c r="B231" s="779"/>
      <c r="C231" s="130"/>
      <c r="D231" s="130"/>
      <c r="F231" s="138"/>
    </row>
    <row r="232">
      <c r="B232" s="779"/>
      <c r="C232" s="130"/>
      <c r="D232" s="130"/>
      <c r="F232" s="138"/>
    </row>
    <row r="233">
      <c r="B233" s="779"/>
      <c r="C233" s="130"/>
      <c r="D233" s="130"/>
      <c r="F233" s="138"/>
    </row>
    <row r="234">
      <c r="B234" s="779"/>
      <c r="C234" s="130"/>
      <c r="D234" s="130"/>
      <c r="F234" s="138"/>
    </row>
    <row r="235">
      <c r="B235" s="779"/>
      <c r="C235" s="130"/>
      <c r="D235" s="130"/>
      <c r="F235" s="138"/>
    </row>
    <row r="236">
      <c r="B236" s="779"/>
      <c r="C236" s="130"/>
      <c r="D236" s="130"/>
      <c r="F236" s="138"/>
    </row>
    <row r="237">
      <c r="B237" s="779"/>
      <c r="C237" s="130"/>
      <c r="D237" s="130"/>
      <c r="F237" s="138"/>
    </row>
    <row r="238">
      <c r="B238" s="779"/>
      <c r="C238" s="130"/>
      <c r="D238" s="130"/>
      <c r="F238" s="138"/>
    </row>
    <row r="239">
      <c r="B239" s="779"/>
      <c r="C239" s="130"/>
      <c r="D239" s="130"/>
      <c r="F239" s="138"/>
    </row>
    <row r="240">
      <c r="B240" s="779"/>
      <c r="C240" s="130"/>
      <c r="D240" s="130"/>
      <c r="F240" s="138"/>
    </row>
    <row r="241">
      <c r="B241" s="779"/>
      <c r="C241" s="130"/>
      <c r="D241" s="130"/>
      <c r="F241" s="138"/>
    </row>
    <row r="242">
      <c r="B242" s="779"/>
      <c r="C242" s="130"/>
      <c r="D242" s="130"/>
      <c r="F242" s="138"/>
    </row>
    <row r="243">
      <c r="B243" s="779"/>
      <c r="C243" s="130"/>
      <c r="D243" s="130"/>
      <c r="F243" s="138"/>
    </row>
    <row r="244">
      <c r="B244" s="779"/>
      <c r="C244" s="130"/>
      <c r="D244" s="130"/>
      <c r="F244" s="138"/>
    </row>
    <row r="245">
      <c r="B245" s="779"/>
      <c r="C245" s="130"/>
      <c r="D245" s="130"/>
      <c r="F245" s="138"/>
    </row>
    <row r="246">
      <c r="B246" s="779"/>
      <c r="C246" s="130"/>
      <c r="D246" s="130"/>
      <c r="F246" s="138"/>
    </row>
    <row r="247">
      <c r="B247" s="779"/>
      <c r="C247" s="130"/>
      <c r="D247" s="130"/>
      <c r="F247" s="138"/>
    </row>
    <row r="248">
      <c r="B248" s="779"/>
      <c r="C248" s="130"/>
      <c r="D248" s="130"/>
      <c r="F248" s="138"/>
    </row>
    <row r="249">
      <c r="B249" s="779"/>
      <c r="C249" s="130"/>
      <c r="D249" s="130"/>
      <c r="F249" s="138"/>
    </row>
    <row r="250">
      <c r="B250" s="779"/>
      <c r="C250" s="130"/>
      <c r="D250" s="130"/>
      <c r="F250" s="138"/>
    </row>
    <row r="251">
      <c r="B251" s="779"/>
      <c r="C251" s="130"/>
      <c r="D251" s="130"/>
      <c r="F251" s="138"/>
    </row>
    <row r="252">
      <c r="B252" s="779"/>
      <c r="C252" s="130"/>
      <c r="D252" s="130"/>
      <c r="F252" s="138"/>
    </row>
    <row r="253">
      <c r="B253" s="779"/>
      <c r="C253" s="130"/>
      <c r="D253" s="130"/>
      <c r="F253" s="138"/>
    </row>
    <row r="254">
      <c r="B254" s="779"/>
      <c r="C254" s="130"/>
      <c r="D254" s="130"/>
      <c r="F254" s="138"/>
    </row>
    <row r="255">
      <c r="B255" s="779"/>
      <c r="C255" s="130"/>
      <c r="D255" s="130"/>
      <c r="F255" s="138"/>
    </row>
    <row r="256">
      <c r="B256" s="779"/>
      <c r="C256" s="130"/>
      <c r="D256" s="130"/>
      <c r="F256" s="138"/>
    </row>
    <row r="257">
      <c r="B257" s="779"/>
      <c r="C257" s="130"/>
      <c r="D257" s="130"/>
      <c r="F257" s="138"/>
    </row>
    <row r="258">
      <c r="B258" s="779"/>
      <c r="C258" s="130"/>
      <c r="D258" s="130"/>
      <c r="F258" s="138"/>
    </row>
    <row r="259">
      <c r="B259" s="779"/>
      <c r="C259" s="130"/>
      <c r="D259" s="130"/>
      <c r="F259" s="138"/>
    </row>
    <row r="260">
      <c r="B260" s="779"/>
      <c r="C260" s="130"/>
      <c r="D260" s="130"/>
      <c r="F260" s="138"/>
    </row>
    <row r="261">
      <c r="B261" s="779"/>
      <c r="C261" s="130"/>
      <c r="D261" s="130"/>
      <c r="F261" s="138"/>
    </row>
    <row r="262">
      <c r="B262" s="779"/>
      <c r="C262" s="130"/>
      <c r="D262" s="130"/>
      <c r="F262" s="138"/>
    </row>
    <row r="263">
      <c r="B263" s="779"/>
      <c r="C263" s="130"/>
      <c r="D263" s="130"/>
      <c r="F263" s="138"/>
    </row>
    <row r="264">
      <c r="B264" s="779"/>
      <c r="C264" s="130"/>
      <c r="D264" s="130"/>
      <c r="F264" s="138"/>
    </row>
    <row r="265">
      <c r="B265" s="779"/>
      <c r="C265" s="130"/>
      <c r="D265" s="130"/>
      <c r="F265" s="138"/>
    </row>
    <row r="266">
      <c r="B266" s="779"/>
      <c r="C266" s="130"/>
      <c r="D266" s="130"/>
      <c r="F266" s="138"/>
    </row>
    <row r="267">
      <c r="B267" s="779"/>
      <c r="C267" s="130"/>
      <c r="D267" s="130"/>
      <c r="F267" s="138"/>
    </row>
    <row r="268">
      <c r="B268" s="779"/>
      <c r="C268" s="130"/>
      <c r="D268" s="130"/>
      <c r="F268" s="138"/>
    </row>
    <row r="269">
      <c r="B269" s="779"/>
      <c r="C269" s="130"/>
      <c r="D269" s="130"/>
      <c r="F269" s="138"/>
    </row>
    <row r="270">
      <c r="B270" s="779"/>
      <c r="C270" s="130"/>
      <c r="D270" s="130"/>
      <c r="F270" s="138"/>
    </row>
    <row r="271">
      <c r="B271" s="779"/>
      <c r="C271" s="130"/>
      <c r="D271" s="130"/>
      <c r="F271" s="138"/>
    </row>
    <row r="272">
      <c r="B272" s="779"/>
      <c r="C272" s="130"/>
      <c r="D272" s="130"/>
      <c r="F272" s="138"/>
    </row>
    <row r="273">
      <c r="B273" s="779"/>
      <c r="C273" s="130"/>
      <c r="D273" s="130"/>
      <c r="F273" s="138"/>
    </row>
    <row r="274">
      <c r="B274" s="779"/>
      <c r="C274" s="130"/>
      <c r="D274" s="130"/>
      <c r="F274" s="138"/>
    </row>
    <row r="275">
      <c r="B275" s="779"/>
      <c r="C275" s="130"/>
      <c r="D275" s="130"/>
      <c r="F275" s="138"/>
    </row>
    <row r="276">
      <c r="B276" s="779"/>
      <c r="C276" s="130"/>
      <c r="D276" s="130"/>
      <c r="F276" s="138"/>
    </row>
    <row r="277">
      <c r="B277" s="779"/>
      <c r="C277" s="130"/>
      <c r="D277" s="130"/>
      <c r="F277" s="138"/>
    </row>
    <row r="278">
      <c r="B278" s="779"/>
      <c r="C278" s="130"/>
      <c r="D278" s="130"/>
      <c r="F278" s="138"/>
    </row>
    <row r="279">
      <c r="B279" s="779"/>
      <c r="C279" s="130"/>
      <c r="D279" s="130"/>
      <c r="F279" s="138"/>
    </row>
    <row r="280">
      <c r="B280" s="779"/>
      <c r="C280" s="130"/>
      <c r="D280" s="130"/>
      <c r="F280" s="138"/>
    </row>
    <row r="281">
      <c r="B281" s="779"/>
      <c r="C281" s="130"/>
      <c r="D281" s="130"/>
      <c r="F281" s="138"/>
    </row>
    <row r="282">
      <c r="B282" s="779"/>
      <c r="C282" s="130"/>
      <c r="D282" s="130"/>
      <c r="F282" s="138"/>
    </row>
    <row r="283">
      <c r="B283" s="779"/>
      <c r="C283" s="130"/>
      <c r="D283" s="130"/>
      <c r="F283" s="138"/>
    </row>
    <row r="284">
      <c r="B284" s="779"/>
      <c r="C284" s="130"/>
      <c r="D284" s="130"/>
      <c r="F284" s="138"/>
    </row>
    <row r="285">
      <c r="B285" s="779"/>
      <c r="C285" s="130"/>
      <c r="D285" s="130"/>
      <c r="F285" s="138"/>
    </row>
    <row r="286">
      <c r="B286" s="779"/>
      <c r="C286" s="130"/>
      <c r="D286" s="130"/>
      <c r="F286" s="138"/>
    </row>
    <row r="287">
      <c r="B287" s="779"/>
      <c r="C287" s="130"/>
      <c r="D287" s="130"/>
      <c r="F287" s="138"/>
    </row>
    <row r="288">
      <c r="B288" s="779"/>
      <c r="C288" s="130"/>
      <c r="D288" s="130"/>
      <c r="F288" s="138"/>
    </row>
    <row r="289">
      <c r="B289" s="779"/>
      <c r="C289" s="130"/>
      <c r="D289" s="130"/>
      <c r="F289" s="138"/>
    </row>
    <row r="290">
      <c r="B290" s="779"/>
      <c r="C290" s="130"/>
      <c r="D290" s="130"/>
      <c r="F290" s="138"/>
    </row>
    <row r="291">
      <c r="B291" s="779"/>
      <c r="C291" s="130"/>
      <c r="D291" s="130"/>
      <c r="F291" s="138"/>
    </row>
    <row r="292">
      <c r="B292" s="779"/>
      <c r="C292" s="130"/>
      <c r="D292" s="130"/>
      <c r="F292" s="138"/>
    </row>
    <row r="293">
      <c r="B293" s="779"/>
      <c r="C293" s="130"/>
      <c r="D293" s="130"/>
      <c r="F293" s="138"/>
    </row>
    <row r="294">
      <c r="B294" s="779"/>
      <c r="C294" s="130"/>
      <c r="D294" s="130"/>
      <c r="F294" s="138"/>
    </row>
    <row r="295">
      <c r="B295" s="779"/>
      <c r="C295" s="130"/>
      <c r="D295" s="130"/>
      <c r="F295" s="138"/>
    </row>
    <row r="296">
      <c r="B296" s="779"/>
      <c r="C296" s="130"/>
      <c r="D296" s="130"/>
      <c r="F296" s="138"/>
    </row>
    <row r="297">
      <c r="B297" s="779"/>
      <c r="C297" s="130"/>
      <c r="D297" s="130"/>
      <c r="F297" s="138"/>
    </row>
    <row r="298">
      <c r="B298" s="779"/>
      <c r="C298" s="130"/>
      <c r="D298" s="130"/>
      <c r="F298" s="138"/>
    </row>
    <row r="299">
      <c r="B299" s="779"/>
      <c r="C299" s="130"/>
      <c r="D299" s="130"/>
      <c r="F299" s="138"/>
    </row>
    <row r="300">
      <c r="B300" s="779"/>
      <c r="C300" s="130"/>
      <c r="D300" s="130"/>
      <c r="F300" s="138"/>
    </row>
    <row r="301">
      <c r="B301" s="779"/>
      <c r="C301" s="130"/>
      <c r="D301" s="130"/>
      <c r="F301" s="138"/>
    </row>
    <row r="302">
      <c r="B302" s="779"/>
      <c r="C302" s="130"/>
      <c r="D302" s="130"/>
      <c r="F302" s="138"/>
    </row>
    <row r="303">
      <c r="B303" s="779"/>
      <c r="C303" s="130"/>
      <c r="D303" s="130"/>
      <c r="F303" s="138"/>
    </row>
    <row r="304">
      <c r="B304" s="779"/>
      <c r="C304" s="130"/>
      <c r="D304" s="130"/>
      <c r="F304" s="138"/>
    </row>
    <row r="305">
      <c r="B305" s="779"/>
      <c r="C305" s="130"/>
      <c r="D305" s="130"/>
      <c r="F305" s="138"/>
    </row>
    <row r="306">
      <c r="B306" s="779"/>
      <c r="C306" s="130"/>
      <c r="D306" s="130"/>
      <c r="F306" s="138"/>
    </row>
    <row r="307">
      <c r="B307" s="779"/>
      <c r="C307" s="130"/>
      <c r="D307" s="130"/>
      <c r="F307" s="138"/>
    </row>
    <row r="308">
      <c r="B308" s="779"/>
      <c r="C308" s="130"/>
      <c r="D308" s="130"/>
      <c r="F308" s="138"/>
    </row>
    <row r="309">
      <c r="B309" s="779"/>
      <c r="C309" s="130"/>
      <c r="D309" s="130"/>
      <c r="F309" s="138"/>
    </row>
    <row r="310">
      <c r="B310" s="779"/>
      <c r="C310" s="130"/>
      <c r="D310" s="130"/>
      <c r="F310" s="138"/>
    </row>
    <row r="311">
      <c r="B311" s="779"/>
      <c r="C311" s="130"/>
      <c r="D311" s="130"/>
      <c r="F311" s="138"/>
    </row>
    <row r="312">
      <c r="B312" s="779"/>
      <c r="C312" s="130"/>
      <c r="D312" s="130"/>
      <c r="F312" s="138"/>
    </row>
    <row r="313">
      <c r="B313" s="779"/>
      <c r="C313" s="130"/>
      <c r="D313" s="130"/>
      <c r="F313" s="138"/>
    </row>
    <row r="314">
      <c r="B314" s="779"/>
      <c r="C314" s="130"/>
      <c r="D314" s="130"/>
      <c r="F314" s="138"/>
    </row>
    <row r="315">
      <c r="B315" s="779"/>
      <c r="C315" s="130"/>
      <c r="D315" s="130"/>
      <c r="F315" s="138"/>
    </row>
    <row r="316">
      <c r="B316" s="779"/>
      <c r="C316" s="130"/>
      <c r="D316" s="130"/>
      <c r="F316" s="138"/>
    </row>
    <row r="317">
      <c r="B317" s="779"/>
      <c r="C317" s="130"/>
      <c r="D317" s="130"/>
      <c r="F317" s="138"/>
    </row>
    <row r="318">
      <c r="B318" s="779"/>
      <c r="C318" s="130"/>
      <c r="D318" s="130"/>
      <c r="F318" s="138"/>
    </row>
    <row r="319">
      <c r="B319" s="779"/>
      <c r="C319" s="130"/>
      <c r="D319" s="130"/>
      <c r="F319" s="138"/>
    </row>
    <row r="320">
      <c r="B320" s="779"/>
      <c r="C320" s="130"/>
      <c r="D320" s="130"/>
      <c r="F320" s="138"/>
    </row>
    <row r="321">
      <c r="B321" s="779"/>
      <c r="C321" s="130"/>
      <c r="D321" s="130"/>
      <c r="F321" s="138"/>
    </row>
    <row r="322">
      <c r="B322" s="779"/>
      <c r="C322" s="130"/>
      <c r="D322" s="130"/>
      <c r="F322" s="138"/>
    </row>
    <row r="323">
      <c r="B323" s="779"/>
      <c r="C323" s="130"/>
      <c r="D323" s="130"/>
      <c r="F323" s="138"/>
    </row>
    <row r="324">
      <c r="B324" s="779"/>
      <c r="C324" s="130"/>
      <c r="D324" s="130"/>
      <c r="F324" s="138"/>
    </row>
    <row r="325">
      <c r="B325" s="779"/>
      <c r="C325" s="130"/>
      <c r="D325" s="130"/>
      <c r="F325" s="138"/>
    </row>
    <row r="326">
      <c r="B326" s="779"/>
      <c r="C326" s="130"/>
      <c r="D326" s="130"/>
      <c r="F326" s="138"/>
    </row>
    <row r="327">
      <c r="B327" s="779"/>
      <c r="C327" s="130"/>
      <c r="D327" s="130"/>
      <c r="F327" s="138"/>
    </row>
    <row r="328">
      <c r="B328" s="779"/>
      <c r="C328" s="130"/>
      <c r="D328" s="130"/>
      <c r="F328" s="138"/>
    </row>
    <row r="329">
      <c r="B329" s="779"/>
      <c r="C329" s="130"/>
      <c r="D329" s="130"/>
      <c r="F329" s="138"/>
    </row>
    <row r="330">
      <c r="B330" s="779"/>
      <c r="C330" s="130"/>
      <c r="D330" s="130"/>
      <c r="F330" s="138"/>
    </row>
    <row r="331">
      <c r="B331" s="779"/>
      <c r="C331" s="130"/>
      <c r="D331" s="130"/>
      <c r="F331" s="138"/>
    </row>
    <row r="332">
      <c r="B332" s="779"/>
      <c r="C332" s="130"/>
      <c r="D332" s="130"/>
      <c r="F332" s="138"/>
    </row>
    <row r="333">
      <c r="B333" s="779"/>
      <c r="C333" s="130"/>
      <c r="D333" s="130"/>
      <c r="F333" s="138"/>
    </row>
    <row r="334">
      <c r="B334" s="779"/>
      <c r="C334" s="130"/>
      <c r="D334" s="130"/>
      <c r="F334" s="138"/>
    </row>
    <row r="335">
      <c r="B335" s="779"/>
      <c r="C335" s="130"/>
      <c r="D335" s="130"/>
      <c r="F335" s="138"/>
    </row>
    <row r="336">
      <c r="B336" s="779"/>
      <c r="C336" s="130"/>
      <c r="D336" s="130"/>
      <c r="F336" s="138"/>
    </row>
    <row r="337">
      <c r="B337" s="779"/>
      <c r="C337" s="130"/>
      <c r="D337" s="130"/>
      <c r="F337" s="138"/>
    </row>
    <row r="338">
      <c r="B338" s="779"/>
      <c r="C338" s="130"/>
      <c r="D338" s="130"/>
      <c r="F338" s="138"/>
    </row>
    <row r="339">
      <c r="B339" s="779"/>
      <c r="C339" s="130"/>
      <c r="D339" s="130"/>
      <c r="F339" s="138"/>
    </row>
    <row r="340">
      <c r="B340" s="779"/>
      <c r="C340" s="130"/>
      <c r="D340" s="130"/>
      <c r="F340" s="138"/>
    </row>
    <row r="341">
      <c r="B341" s="779"/>
      <c r="C341" s="130"/>
      <c r="D341" s="130"/>
      <c r="F341" s="138"/>
    </row>
    <row r="342">
      <c r="B342" s="779"/>
      <c r="C342" s="130"/>
      <c r="D342" s="130"/>
      <c r="F342" s="138"/>
    </row>
    <row r="343">
      <c r="B343" s="779"/>
      <c r="C343" s="130"/>
      <c r="D343" s="130"/>
      <c r="F343" s="138"/>
    </row>
    <row r="344">
      <c r="B344" s="779"/>
      <c r="C344" s="130"/>
      <c r="D344" s="130"/>
      <c r="F344" s="138"/>
    </row>
    <row r="345">
      <c r="B345" s="779"/>
      <c r="C345" s="130"/>
      <c r="D345" s="130"/>
      <c r="F345" s="138"/>
    </row>
    <row r="346">
      <c r="B346" s="779"/>
      <c r="C346" s="130"/>
      <c r="D346" s="130"/>
      <c r="F346" s="138"/>
    </row>
    <row r="347">
      <c r="B347" s="779"/>
      <c r="C347" s="130"/>
      <c r="D347" s="130"/>
      <c r="F347" s="138"/>
    </row>
    <row r="348">
      <c r="B348" s="779"/>
      <c r="C348" s="130"/>
      <c r="D348" s="130"/>
      <c r="F348" s="138"/>
    </row>
    <row r="349">
      <c r="B349" s="779"/>
      <c r="C349" s="130"/>
      <c r="D349" s="130"/>
      <c r="F349" s="138"/>
    </row>
    <row r="350">
      <c r="B350" s="779"/>
      <c r="C350" s="130"/>
      <c r="D350" s="130"/>
      <c r="F350" s="138"/>
    </row>
    <row r="351">
      <c r="B351" s="779"/>
      <c r="C351" s="130"/>
      <c r="D351" s="130"/>
      <c r="F351" s="138"/>
    </row>
    <row r="352">
      <c r="B352" s="779"/>
      <c r="C352" s="130"/>
      <c r="D352" s="130"/>
      <c r="F352" s="138"/>
    </row>
    <row r="353">
      <c r="B353" s="779"/>
      <c r="C353" s="130"/>
      <c r="D353" s="130"/>
      <c r="F353" s="138"/>
    </row>
    <row r="354">
      <c r="B354" s="779"/>
      <c r="C354" s="130"/>
      <c r="D354" s="130"/>
      <c r="F354" s="138"/>
    </row>
    <row r="355">
      <c r="B355" s="779"/>
      <c r="C355" s="130"/>
      <c r="D355" s="130"/>
      <c r="F355" s="138"/>
    </row>
    <row r="356">
      <c r="B356" s="779"/>
      <c r="C356" s="130"/>
      <c r="D356" s="130"/>
      <c r="F356" s="138"/>
    </row>
    <row r="357">
      <c r="B357" s="779"/>
      <c r="C357" s="130"/>
      <c r="D357" s="130"/>
      <c r="F357" s="138"/>
    </row>
    <row r="358">
      <c r="B358" s="779"/>
      <c r="C358" s="130"/>
      <c r="D358" s="130"/>
      <c r="F358" s="138"/>
    </row>
    <row r="359">
      <c r="B359" s="779"/>
      <c r="C359" s="130"/>
      <c r="D359" s="130"/>
      <c r="F359" s="138"/>
    </row>
    <row r="360">
      <c r="B360" s="779"/>
      <c r="C360" s="130"/>
      <c r="D360" s="130"/>
      <c r="F360" s="138"/>
    </row>
    <row r="361">
      <c r="B361" s="779"/>
      <c r="C361" s="130"/>
      <c r="D361" s="130"/>
      <c r="F361" s="138"/>
    </row>
    <row r="362">
      <c r="B362" s="779"/>
      <c r="C362" s="130"/>
      <c r="D362" s="130"/>
      <c r="F362" s="138"/>
    </row>
    <row r="363">
      <c r="B363" s="779"/>
      <c r="C363" s="130"/>
      <c r="D363" s="130"/>
      <c r="F363" s="138"/>
    </row>
    <row r="364">
      <c r="B364" s="779"/>
      <c r="C364" s="130"/>
      <c r="D364" s="130"/>
      <c r="F364" s="138"/>
    </row>
    <row r="365">
      <c r="B365" s="779"/>
      <c r="C365" s="130"/>
      <c r="D365" s="130"/>
      <c r="F365" s="138"/>
    </row>
    <row r="366">
      <c r="B366" s="779"/>
      <c r="C366" s="130"/>
      <c r="D366" s="130"/>
      <c r="F366" s="138"/>
    </row>
    <row r="367">
      <c r="B367" s="779"/>
      <c r="C367" s="130"/>
      <c r="D367" s="130"/>
      <c r="F367" s="138"/>
    </row>
    <row r="368">
      <c r="B368" s="779"/>
      <c r="C368" s="130"/>
      <c r="D368" s="130"/>
      <c r="F368" s="138"/>
    </row>
    <row r="369">
      <c r="B369" s="779"/>
      <c r="C369" s="130"/>
      <c r="D369" s="130"/>
      <c r="F369" s="138"/>
    </row>
    <row r="370">
      <c r="B370" s="779"/>
      <c r="C370" s="130"/>
      <c r="D370" s="130"/>
      <c r="F370" s="138"/>
    </row>
    <row r="371">
      <c r="B371" s="779"/>
      <c r="C371" s="130"/>
      <c r="D371" s="130"/>
      <c r="F371" s="138"/>
    </row>
    <row r="372">
      <c r="B372" s="779"/>
      <c r="C372" s="130"/>
      <c r="D372" s="130"/>
      <c r="F372" s="138"/>
    </row>
    <row r="373">
      <c r="B373" s="779"/>
      <c r="C373" s="130"/>
      <c r="D373" s="130"/>
      <c r="F373" s="138"/>
    </row>
    <row r="374">
      <c r="B374" s="779"/>
      <c r="C374" s="130"/>
      <c r="D374" s="130"/>
      <c r="F374" s="138"/>
    </row>
    <row r="375">
      <c r="B375" s="779"/>
      <c r="C375" s="130"/>
      <c r="D375" s="130"/>
      <c r="F375" s="138"/>
    </row>
    <row r="376">
      <c r="B376" s="779"/>
      <c r="C376" s="130"/>
      <c r="D376" s="130"/>
      <c r="F376" s="138"/>
    </row>
    <row r="377">
      <c r="B377" s="779"/>
      <c r="C377" s="130"/>
      <c r="D377" s="130"/>
      <c r="F377" s="138"/>
    </row>
    <row r="378">
      <c r="B378" s="779"/>
      <c r="C378" s="130"/>
      <c r="D378" s="130"/>
      <c r="F378" s="138"/>
    </row>
    <row r="379">
      <c r="B379" s="779"/>
      <c r="C379" s="130"/>
      <c r="D379" s="130"/>
      <c r="F379" s="138"/>
    </row>
    <row r="380">
      <c r="B380" s="779"/>
      <c r="C380" s="130"/>
      <c r="D380" s="130"/>
      <c r="F380" s="138"/>
    </row>
    <row r="381">
      <c r="B381" s="779"/>
      <c r="C381" s="130"/>
      <c r="D381" s="130"/>
      <c r="F381" s="138"/>
    </row>
    <row r="382">
      <c r="B382" s="779"/>
      <c r="C382" s="130"/>
      <c r="D382" s="130"/>
      <c r="F382" s="138"/>
    </row>
    <row r="383">
      <c r="B383" s="779"/>
      <c r="C383" s="130"/>
      <c r="D383" s="130"/>
      <c r="F383" s="138"/>
    </row>
    <row r="384">
      <c r="B384" s="779"/>
      <c r="C384" s="130"/>
      <c r="D384" s="130"/>
      <c r="F384" s="138"/>
    </row>
    <row r="385">
      <c r="B385" s="779"/>
      <c r="C385" s="130"/>
      <c r="D385" s="130"/>
      <c r="F385" s="138"/>
    </row>
    <row r="386">
      <c r="B386" s="779"/>
      <c r="C386" s="130"/>
      <c r="D386" s="130"/>
      <c r="F386" s="138"/>
    </row>
    <row r="387">
      <c r="B387" s="779"/>
      <c r="C387" s="130"/>
      <c r="D387" s="130"/>
      <c r="F387" s="138"/>
    </row>
    <row r="388">
      <c r="B388" s="779"/>
      <c r="C388" s="130"/>
      <c r="D388" s="130"/>
      <c r="F388" s="138"/>
    </row>
    <row r="389">
      <c r="B389" s="779"/>
      <c r="C389" s="130"/>
      <c r="D389" s="130"/>
      <c r="F389" s="138"/>
    </row>
    <row r="390">
      <c r="B390" s="779"/>
      <c r="C390" s="130"/>
      <c r="D390" s="130"/>
      <c r="F390" s="138"/>
    </row>
    <row r="391">
      <c r="B391" s="779"/>
      <c r="C391" s="130"/>
      <c r="D391" s="130"/>
      <c r="F391" s="138"/>
    </row>
    <row r="392">
      <c r="B392" s="779"/>
      <c r="C392" s="130"/>
      <c r="D392" s="130"/>
      <c r="F392" s="138"/>
    </row>
    <row r="393">
      <c r="B393" s="779"/>
      <c r="C393" s="130"/>
      <c r="D393" s="130"/>
      <c r="F393" s="138"/>
    </row>
    <row r="394">
      <c r="B394" s="779"/>
      <c r="C394" s="130"/>
      <c r="D394" s="130"/>
      <c r="F394" s="138"/>
    </row>
    <row r="395">
      <c r="B395" s="779"/>
      <c r="C395" s="130"/>
      <c r="D395" s="130"/>
      <c r="F395" s="138"/>
    </row>
    <row r="396">
      <c r="B396" s="779"/>
      <c r="C396" s="130"/>
      <c r="D396" s="130"/>
      <c r="F396" s="138"/>
    </row>
    <row r="397">
      <c r="B397" s="779"/>
      <c r="C397" s="130"/>
      <c r="D397" s="130"/>
      <c r="F397" s="138"/>
    </row>
    <row r="398">
      <c r="B398" s="779"/>
      <c r="C398" s="130"/>
      <c r="D398" s="130"/>
      <c r="F398" s="138"/>
    </row>
    <row r="399">
      <c r="B399" s="779"/>
      <c r="C399" s="130"/>
      <c r="D399" s="130"/>
      <c r="F399" s="138"/>
    </row>
    <row r="400">
      <c r="B400" s="779"/>
      <c r="C400" s="130"/>
      <c r="D400" s="130"/>
      <c r="F400" s="138"/>
    </row>
    <row r="401">
      <c r="B401" s="779"/>
      <c r="C401" s="130"/>
      <c r="D401" s="130"/>
      <c r="F401" s="138"/>
    </row>
    <row r="402">
      <c r="B402" s="779"/>
      <c r="C402" s="130"/>
      <c r="D402" s="130"/>
      <c r="F402" s="138"/>
    </row>
    <row r="403">
      <c r="B403" s="779"/>
      <c r="C403" s="130"/>
      <c r="D403" s="130"/>
      <c r="F403" s="138"/>
    </row>
    <row r="404">
      <c r="B404" s="779"/>
      <c r="C404" s="130"/>
      <c r="D404" s="130"/>
      <c r="F404" s="138"/>
    </row>
    <row r="405">
      <c r="B405" s="779"/>
      <c r="C405" s="130"/>
      <c r="D405" s="130"/>
      <c r="F405" s="138"/>
    </row>
    <row r="406">
      <c r="B406" s="779"/>
      <c r="C406" s="130"/>
      <c r="D406" s="130"/>
      <c r="F406" s="138"/>
    </row>
    <row r="407">
      <c r="B407" s="779"/>
      <c r="C407" s="130"/>
      <c r="D407" s="130"/>
      <c r="F407" s="138"/>
    </row>
    <row r="408">
      <c r="B408" s="779"/>
      <c r="C408" s="130"/>
      <c r="D408" s="130"/>
      <c r="F408" s="138"/>
    </row>
    <row r="409">
      <c r="B409" s="779"/>
      <c r="C409" s="130"/>
      <c r="D409" s="130"/>
      <c r="F409" s="138"/>
    </row>
    <row r="410">
      <c r="B410" s="779"/>
      <c r="C410" s="130"/>
      <c r="D410" s="130"/>
      <c r="F410" s="138"/>
    </row>
    <row r="411">
      <c r="B411" s="779"/>
      <c r="C411" s="130"/>
      <c r="D411" s="130"/>
      <c r="F411" s="138"/>
    </row>
    <row r="412">
      <c r="B412" s="779"/>
      <c r="C412" s="130"/>
      <c r="D412" s="130"/>
      <c r="F412" s="138"/>
    </row>
    <row r="413">
      <c r="B413" s="779"/>
      <c r="C413" s="130"/>
      <c r="D413" s="130"/>
      <c r="F413" s="138"/>
    </row>
    <row r="414">
      <c r="B414" s="779"/>
      <c r="C414" s="130"/>
      <c r="D414" s="130"/>
      <c r="F414" s="138"/>
    </row>
    <row r="415">
      <c r="B415" s="779"/>
      <c r="C415" s="130"/>
      <c r="D415" s="130"/>
      <c r="F415" s="138"/>
    </row>
    <row r="416">
      <c r="B416" s="779"/>
      <c r="C416" s="130"/>
      <c r="D416" s="130"/>
      <c r="F416" s="138"/>
    </row>
    <row r="417">
      <c r="B417" s="779"/>
      <c r="C417" s="130"/>
      <c r="D417" s="130"/>
      <c r="F417" s="138"/>
    </row>
    <row r="418">
      <c r="B418" s="779"/>
      <c r="C418" s="130"/>
      <c r="D418" s="130"/>
      <c r="F418" s="138"/>
    </row>
    <row r="419">
      <c r="B419" s="779"/>
      <c r="C419" s="130"/>
      <c r="D419" s="130"/>
      <c r="F419" s="138"/>
    </row>
    <row r="420">
      <c r="B420" s="779"/>
      <c r="C420" s="130"/>
      <c r="D420" s="130"/>
      <c r="F420" s="138"/>
    </row>
    <row r="421">
      <c r="B421" s="779"/>
      <c r="C421" s="130"/>
      <c r="D421" s="130"/>
      <c r="F421" s="138"/>
    </row>
    <row r="422">
      <c r="B422" s="779"/>
      <c r="C422" s="130"/>
      <c r="D422" s="130"/>
      <c r="F422" s="138"/>
    </row>
    <row r="423">
      <c r="B423" s="779"/>
      <c r="C423" s="130"/>
      <c r="D423" s="130"/>
      <c r="F423" s="138"/>
    </row>
    <row r="424">
      <c r="B424" s="779"/>
      <c r="C424" s="130"/>
      <c r="D424" s="130"/>
      <c r="F424" s="138"/>
    </row>
    <row r="425">
      <c r="B425" s="779"/>
      <c r="C425" s="130"/>
      <c r="D425" s="130"/>
      <c r="F425" s="138"/>
    </row>
    <row r="426">
      <c r="B426" s="779"/>
      <c r="C426" s="130"/>
      <c r="D426" s="130"/>
      <c r="F426" s="138"/>
    </row>
    <row r="427">
      <c r="B427" s="779"/>
      <c r="C427" s="130"/>
      <c r="D427" s="130"/>
      <c r="F427" s="138"/>
    </row>
    <row r="428">
      <c r="B428" s="779"/>
      <c r="C428" s="130"/>
      <c r="D428" s="130"/>
      <c r="F428" s="138"/>
    </row>
    <row r="429">
      <c r="B429" s="779"/>
      <c r="C429" s="130"/>
      <c r="D429" s="130"/>
      <c r="F429" s="138"/>
    </row>
    <row r="430">
      <c r="B430" s="779"/>
      <c r="C430" s="130"/>
      <c r="D430" s="130"/>
      <c r="F430" s="138"/>
    </row>
    <row r="431">
      <c r="B431" s="779"/>
      <c r="C431" s="130"/>
      <c r="D431" s="130"/>
      <c r="F431" s="138"/>
    </row>
    <row r="432">
      <c r="B432" s="779"/>
      <c r="C432" s="130"/>
      <c r="D432" s="130"/>
      <c r="F432" s="138"/>
    </row>
    <row r="433">
      <c r="B433" s="779"/>
      <c r="C433" s="130"/>
      <c r="D433" s="130"/>
      <c r="F433" s="138"/>
    </row>
    <row r="434">
      <c r="B434" s="779"/>
      <c r="C434" s="130"/>
      <c r="D434" s="130"/>
      <c r="F434" s="138"/>
    </row>
    <row r="435">
      <c r="B435" s="779"/>
      <c r="C435" s="130"/>
      <c r="D435" s="130"/>
      <c r="F435" s="138"/>
    </row>
    <row r="436">
      <c r="B436" s="779"/>
      <c r="C436" s="130"/>
      <c r="D436" s="130"/>
      <c r="F436" s="138"/>
    </row>
    <row r="437">
      <c r="B437" s="779"/>
      <c r="C437" s="130"/>
      <c r="D437" s="130"/>
      <c r="F437" s="138"/>
    </row>
    <row r="438">
      <c r="B438" s="779"/>
      <c r="C438" s="130"/>
      <c r="D438" s="130"/>
      <c r="F438" s="138"/>
    </row>
    <row r="439">
      <c r="B439" s="779"/>
      <c r="C439" s="130"/>
      <c r="D439" s="130"/>
      <c r="F439" s="138"/>
    </row>
    <row r="440">
      <c r="B440" s="779"/>
      <c r="C440" s="130"/>
      <c r="D440" s="130"/>
      <c r="F440" s="138"/>
    </row>
    <row r="441">
      <c r="B441" s="779"/>
      <c r="C441" s="130"/>
      <c r="D441" s="130"/>
      <c r="F441" s="138"/>
    </row>
    <row r="442">
      <c r="B442" s="779"/>
      <c r="C442" s="130"/>
      <c r="D442" s="130"/>
      <c r="F442" s="138"/>
    </row>
    <row r="443">
      <c r="B443" s="779"/>
      <c r="C443" s="130"/>
      <c r="D443" s="130"/>
      <c r="F443" s="138"/>
    </row>
    <row r="444">
      <c r="B444" s="779"/>
      <c r="C444" s="130"/>
      <c r="D444" s="130"/>
      <c r="F444" s="138"/>
    </row>
    <row r="445">
      <c r="B445" s="779"/>
      <c r="C445" s="130"/>
      <c r="D445" s="130"/>
      <c r="F445" s="138"/>
    </row>
    <row r="446">
      <c r="B446" s="779"/>
      <c r="C446" s="130"/>
      <c r="D446" s="130"/>
      <c r="F446" s="138"/>
    </row>
    <row r="447">
      <c r="B447" s="779"/>
      <c r="C447" s="130"/>
      <c r="D447" s="130"/>
      <c r="F447" s="138"/>
    </row>
    <row r="448">
      <c r="B448" s="779"/>
      <c r="C448" s="130"/>
      <c r="D448" s="130"/>
      <c r="F448" s="138"/>
    </row>
    <row r="449">
      <c r="B449" s="779"/>
      <c r="C449" s="130"/>
      <c r="D449" s="130"/>
      <c r="F449" s="138"/>
    </row>
    <row r="450">
      <c r="B450" s="779"/>
      <c r="C450" s="130"/>
      <c r="D450" s="130"/>
      <c r="F450" s="138"/>
    </row>
    <row r="451">
      <c r="B451" s="779"/>
      <c r="C451" s="130"/>
      <c r="D451" s="130"/>
      <c r="F451" s="138"/>
    </row>
    <row r="452">
      <c r="B452" s="779"/>
      <c r="C452" s="130"/>
      <c r="D452" s="130"/>
      <c r="F452" s="138"/>
    </row>
    <row r="453">
      <c r="B453" s="779"/>
      <c r="C453" s="130"/>
      <c r="D453" s="130"/>
      <c r="F453" s="138"/>
    </row>
    <row r="454">
      <c r="B454" s="779"/>
      <c r="C454" s="130"/>
      <c r="D454" s="130"/>
      <c r="F454" s="138"/>
    </row>
    <row r="455">
      <c r="B455" s="779"/>
      <c r="C455" s="130"/>
      <c r="D455" s="130"/>
      <c r="F455" s="138"/>
    </row>
    <row r="456">
      <c r="B456" s="779"/>
      <c r="C456" s="130"/>
      <c r="D456" s="130"/>
      <c r="F456" s="138"/>
    </row>
    <row r="457">
      <c r="B457" s="779"/>
      <c r="C457" s="130"/>
      <c r="D457" s="130"/>
      <c r="F457" s="138"/>
    </row>
    <row r="458">
      <c r="B458" s="779"/>
      <c r="C458" s="130"/>
      <c r="D458" s="130"/>
      <c r="F458" s="138"/>
    </row>
    <row r="459">
      <c r="B459" s="779"/>
      <c r="C459" s="130"/>
      <c r="D459" s="130"/>
      <c r="F459" s="138"/>
    </row>
    <row r="460">
      <c r="B460" s="779"/>
      <c r="C460" s="130"/>
      <c r="D460" s="130"/>
      <c r="F460" s="138"/>
    </row>
    <row r="461">
      <c r="B461" s="779"/>
      <c r="C461" s="130"/>
      <c r="D461" s="130"/>
      <c r="F461" s="138"/>
    </row>
    <row r="462">
      <c r="B462" s="779"/>
      <c r="C462" s="130"/>
      <c r="D462" s="130"/>
      <c r="F462" s="138"/>
    </row>
    <row r="463">
      <c r="B463" s="779"/>
      <c r="C463" s="130"/>
      <c r="D463" s="130"/>
      <c r="F463" s="138"/>
    </row>
    <row r="464">
      <c r="B464" s="779"/>
      <c r="C464" s="130"/>
      <c r="D464" s="130"/>
      <c r="F464" s="138"/>
    </row>
    <row r="465">
      <c r="B465" s="779"/>
      <c r="C465" s="130"/>
      <c r="D465" s="130"/>
      <c r="F465" s="138"/>
    </row>
    <row r="466">
      <c r="B466" s="779"/>
      <c r="C466" s="130"/>
      <c r="D466" s="130"/>
      <c r="F466" s="138"/>
    </row>
    <row r="467">
      <c r="B467" s="779"/>
      <c r="C467" s="130"/>
      <c r="D467" s="130"/>
      <c r="F467" s="138"/>
    </row>
    <row r="468">
      <c r="B468" s="779"/>
      <c r="C468" s="130"/>
      <c r="D468" s="130"/>
      <c r="F468" s="138"/>
    </row>
    <row r="469">
      <c r="B469" s="779"/>
      <c r="C469" s="130"/>
      <c r="D469" s="130"/>
      <c r="F469" s="138"/>
    </row>
    <row r="470">
      <c r="B470" s="779"/>
      <c r="C470" s="130"/>
      <c r="D470" s="130"/>
      <c r="F470" s="138"/>
    </row>
    <row r="471">
      <c r="B471" s="779"/>
      <c r="C471" s="130"/>
      <c r="D471" s="130"/>
      <c r="F471" s="138"/>
    </row>
    <row r="472">
      <c r="B472" s="779"/>
      <c r="C472" s="130"/>
      <c r="D472" s="130"/>
      <c r="F472" s="138"/>
    </row>
    <row r="473">
      <c r="B473" s="779"/>
      <c r="C473" s="130"/>
      <c r="D473" s="130"/>
      <c r="F473" s="138"/>
    </row>
    <row r="474">
      <c r="B474" s="779"/>
      <c r="C474" s="130"/>
      <c r="D474" s="130"/>
      <c r="F474" s="138"/>
    </row>
    <row r="475">
      <c r="B475" s="779"/>
      <c r="C475" s="130"/>
      <c r="D475" s="130"/>
      <c r="F475" s="138"/>
    </row>
    <row r="476">
      <c r="B476" s="779"/>
      <c r="C476" s="130"/>
      <c r="D476" s="130"/>
      <c r="F476" s="138"/>
    </row>
    <row r="477">
      <c r="B477" s="779"/>
      <c r="C477" s="130"/>
      <c r="D477" s="130"/>
      <c r="F477" s="138"/>
    </row>
    <row r="478">
      <c r="B478" s="779"/>
      <c r="C478" s="130"/>
      <c r="D478" s="130"/>
      <c r="F478" s="138"/>
    </row>
    <row r="479">
      <c r="B479" s="779"/>
      <c r="C479" s="130"/>
      <c r="D479" s="130"/>
      <c r="F479" s="138"/>
    </row>
    <row r="480">
      <c r="B480" s="779"/>
      <c r="C480" s="130"/>
      <c r="D480" s="130"/>
      <c r="F480" s="138"/>
    </row>
    <row r="481">
      <c r="B481" s="779"/>
      <c r="C481" s="130"/>
      <c r="D481" s="130"/>
      <c r="F481" s="138"/>
    </row>
    <row r="482">
      <c r="B482" s="779"/>
      <c r="C482" s="130"/>
      <c r="D482" s="130"/>
      <c r="F482" s="138"/>
    </row>
    <row r="483">
      <c r="B483" s="779"/>
      <c r="C483" s="130"/>
      <c r="D483" s="130"/>
      <c r="F483" s="138"/>
    </row>
    <row r="484">
      <c r="B484" s="779"/>
      <c r="C484" s="130"/>
      <c r="D484" s="130"/>
      <c r="F484" s="138"/>
    </row>
    <row r="485">
      <c r="B485" s="779"/>
      <c r="C485" s="130"/>
      <c r="D485" s="130"/>
      <c r="F485" s="138"/>
    </row>
    <row r="486">
      <c r="B486" s="779"/>
      <c r="C486" s="130"/>
      <c r="D486" s="130"/>
      <c r="F486" s="138"/>
    </row>
    <row r="487">
      <c r="B487" s="779"/>
      <c r="C487" s="130"/>
      <c r="D487" s="130"/>
      <c r="F487" s="138"/>
    </row>
    <row r="488">
      <c r="B488" s="779"/>
      <c r="C488" s="130"/>
      <c r="D488" s="130"/>
      <c r="F488" s="138"/>
    </row>
    <row r="489">
      <c r="B489" s="779"/>
      <c r="C489" s="130"/>
      <c r="D489" s="130"/>
      <c r="F489" s="138"/>
    </row>
    <row r="490">
      <c r="B490" s="779"/>
      <c r="C490" s="130"/>
      <c r="D490" s="130"/>
      <c r="F490" s="138"/>
    </row>
    <row r="491">
      <c r="B491" s="779"/>
      <c r="C491" s="130"/>
      <c r="D491" s="130"/>
      <c r="F491" s="138"/>
    </row>
    <row r="492">
      <c r="B492" s="779"/>
      <c r="C492" s="130"/>
      <c r="D492" s="130"/>
      <c r="F492" s="138"/>
    </row>
    <row r="493">
      <c r="B493" s="779"/>
      <c r="C493" s="130"/>
      <c r="D493" s="130"/>
      <c r="F493" s="138"/>
    </row>
    <row r="494">
      <c r="B494" s="779"/>
      <c r="C494" s="130"/>
      <c r="D494" s="130"/>
      <c r="F494" s="138"/>
    </row>
    <row r="495">
      <c r="B495" s="779"/>
      <c r="C495" s="130"/>
      <c r="D495" s="130"/>
      <c r="F495" s="138"/>
    </row>
    <row r="496">
      <c r="B496" s="779"/>
      <c r="C496" s="130"/>
      <c r="D496" s="130"/>
      <c r="F496" s="138"/>
    </row>
    <row r="497">
      <c r="B497" s="779"/>
      <c r="C497" s="130"/>
      <c r="D497" s="130"/>
      <c r="F497" s="138"/>
    </row>
    <row r="498">
      <c r="B498" s="779"/>
      <c r="C498" s="130"/>
      <c r="D498" s="130"/>
      <c r="F498" s="138"/>
    </row>
    <row r="499">
      <c r="B499" s="779"/>
      <c r="C499" s="130"/>
      <c r="D499" s="130"/>
      <c r="F499" s="138"/>
    </row>
    <row r="500">
      <c r="B500" s="779"/>
      <c r="C500" s="130"/>
      <c r="D500" s="130"/>
      <c r="F500" s="138"/>
    </row>
    <row r="501">
      <c r="B501" s="779"/>
      <c r="C501" s="130"/>
      <c r="D501" s="130"/>
      <c r="F501" s="138"/>
    </row>
    <row r="502">
      <c r="B502" s="779"/>
      <c r="C502" s="130"/>
      <c r="D502" s="130"/>
      <c r="F502" s="138"/>
    </row>
    <row r="503">
      <c r="B503" s="779"/>
      <c r="C503" s="130"/>
      <c r="D503" s="130"/>
      <c r="F503" s="138"/>
    </row>
    <row r="504">
      <c r="B504" s="779"/>
      <c r="C504" s="130"/>
      <c r="D504" s="130"/>
      <c r="F504" s="138"/>
    </row>
    <row r="505">
      <c r="B505" s="779"/>
      <c r="C505" s="130"/>
      <c r="D505" s="130"/>
      <c r="F505" s="138"/>
    </row>
    <row r="506">
      <c r="B506" s="779"/>
      <c r="C506" s="130"/>
      <c r="D506" s="130"/>
      <c r="F506" s="138"/>
    </row>
    <row r="507">
      <c r="B507" s="779"/>
      <c r="C507" s="130"/>
      <c r="D507" s="130"/>
      <c r="F507" s="138"/>
    </row>
    <row r="508">
      <c r="B508" s="779"/>
      <c r="C508" s="130"/>
      <c r="D508" s="130"/>
      <c r="F508" s="138"/>
    </row>
    <row r="509">
      <c r="B509" s="779"/>
      <c r="C509" s="130"/>
      <c r="D509" s="130"/>
      <c r="F509" s="138"/>
    </row>
    <row r="510">
      <c r="B510" s="779"/>
      <c r="C510" s="130"/>
      <c r="D510" s="130"/>
      <c r="F510" s="138"/>
    </row>
    <row r="511">
      <c r="B511" s="779"/>
      <c r="C511" s="130"/>
      <c r="D511" s="130"/>
      <c r="F511" s="138"/>
    </row>
    <row r="512">
      <c r="B512" s="779"/>
      <c r="C512" s="130"/>
      <c r="D512" s="130"/>
      <c r="F512" s="138"/>
    </row>
    <row r="513">
      <c r="B513" s="779"/>
      <c r="C513" s="130"/>
      <c r="D513" s="130"/>
      <c r="F513" s="138"/>
    </row>
    <row r="514">
      <c r="B514" s="779"/>
      <c r="C514" s="130"/>
      <c r="D514" s="130"/>
      <c r="F514" s="138"/>
    </row>
    <row r="515">
      <c r="B515" s="779"/>
      <c r="C515" s="130"/>
      <c r="D515" s="130"/>
      <c r="F515" s="138"/>
    </row>
    <row r="516">
      <c r="B516" s="779"/>
      <c r="C516" s="130"/>
      <c r="D516" s="130"/>
      <c r="F516" s="138"/>
    </row>
    <row r="517">
      <c r="B517" s="779"/>
      <c r="C517" s="130"/>
      <c r="D517" s="130"/>
      <c r="F517" s="138"/>
    </row>
    <row r="518">
      <c r="B518" s="779"/>
      <c r="C518" s="130"/>
      <c r="D518" s="130"/>
      <c r="F518" s="138"/>
    </row>
    <row r="519">
      <c r="B519" s="779"/>
      <c r="C519" s="130"/>
      <c r="D519" s="130"/>
      <c r="F519" s="138"/>
    </row>
    <row r="520">
      <c r="B520" s="779"/>
      <c r="C520" s="130"/>
      <c r="D520" s="130"/>
      <c r="F520" s="138"/>
    </row>
    <row r="521">
      <c r="B521" s="779"/>
      <c r="C521" s="130"/>
      <c r="D521" s="130"/>
      <c r="F521" s="138"/>
    </row>
    <row r="522">
      <c r="B522" s="779"/>
      <c r="C522" s="130"/>
      <c r="D522" s="130"/>
      <c r="F522" s="138"/>
    </row>
    <row r="523">
      <c r="B523" s="779"/>
      <c r="C523" s="130"/>
      <c r="D523" s="130"/>
      <c r="F523" s="138"/>
    </row>
    <row r="524">
      <c r="B524" s="779"/>
      <c r="C524" s="130"/>
      <c r="D524" s="130"/>
      <c r="F524" s="138"/>
    </row>
    <row r="525">
      <c r="B525" s="779"/>
      <c r="C525" s="130"/>
      <c r="D525" s="130"/>
      <c r="F525" s="138"/>
    </row>
    <row r="526">
      <c r="B526" s="779"/>
      <c r="C526" s="130"/>
      <c r="D526" s="130"/>
      <c r="F526" s="138"/>
    </row>
    <row r="527">
      <c r="B527" s="779"/>
      <c r="C527" s="130"/>
      <c r="D527" s="130"/>
      <c r="F527" s="138"/>
    </row>
    <row r="528">
      <c r="B528" s="779"/>
      <c r="C528" s="130"/>
      <c r="D528" s="130"/>
      <c r="F528" s="138"/>
    </row>
    <row r="529">
      <c r="B529" s="779"/>
      <c r="C529" s="130"/>
      <c r="D529" s="130"/>
      <c r="F529" s="138"/>
    </row>
    <row r="530">
      <c r="B530" s="779"/>
      <c r="C530" s="130"/>
      <c r="D530" s="130"/>
      <c r="F530" s="138"/>
    </row>
    <row r="531">
      <c r="B531" s="779"/>
      <c r="C531" s="130"/>
      <c r="D531" s="130"/>
      <c r="F531" s="138"/>
    </row>
    <row r="532">
      <c r="B532" s="779"/>
      <c r="C532" s="130"/>
      <c r="D532" s="130"/>
      <c r="F532" s="138"/>
    </row>
    <row r="533">
      <c r="B533" s="779"/>
      <c r="C533" s="130"/>
      <c r="D533" s="130"/>
      <c r="F533" s="138"/>
    </row>
    <row r="534">
      <c r="B534" s="779"/>
      <c r="C534" s="130"/>
      <c r="D534" s="130"/>
      <c r="F534" s="138"/>
    </row>
    <row r="535">
      <c r="B535" s="779"/>
      <c r="C535" s="130"/>
      <c r="D535" s="130"/>
      <c r="F535" s="138"/>
    </row>
    <row r="536">
      <c r="B536" s="779"/>
      <c r="C536" s="130"/>
      <c r="D536" s="130"/>
      <c r="F536" s="138"/>
    </row>
    <row r="537">
      <c r="B537" s="779"/>
      <c r="C537" s="130"/>
      <c r="D537" s="130"/>
      <c r="F537" s="138"/>
    </row>
    <row r="538">
      <c r="B538" s="779"/>
      <c r="C538" s="130"/>
      <c r="D538" s="130"/>
      <c r="F538" s="138"/>
    </row>
    <row r="539">
      <c r="B539" s="779"/>
      <c r="C539" s="130"/>
      <c r="D539" s="130"/>
      <c r="F539" s="138"/>
    </row>
    <row r="540">
      <c r="B540" s="779"/>
      <c r="C540" s="130"/>
      <c r="D540" s="130"/>
      <c r="F540" s="138"/>
    </row>
    <row r="541">
      <c r="B541" s="779"/>
      <c r="C541" s="130"/>
      <c r="D541" s="130"/>
      <c r="F541" s="138"/>
    </row>
    <row r="542">
      <c r="B542" s="779"/>
      <c r="C542" s="130"/>
      <c r="D542" s="130"/>
      <c r="F542" s="138"/>
    </row>
    <row r="543">
      <c r="B543" s="779"/>
      <c r="C543" s="130"/>
      <c r="D543" s="130"/>
      <c r="F543" s="138"/>
    </row>
    <row r="544">
      <c r="B544" s="779"/>
      <c r="C544" s="130"/>
      <c r="D544" s="130"/>
      <c r="F544" s="138"/>
    </row>
    <row r="545">
      <c r="B545" s="779"/>
      <c r="C545" s="130"/>
      <c r="D545" s="130"/>
      <c r="F545" s="138"/>
    </row>
    <row r="546">
      <c r="B546" s="779"/>
      <c r="C546" s="130"/>
      <c r="D546" s="130"/>
      <c r="F546" s="138"/>
    </row>
    <row r="547">
      <c r="B547" s="779"/>
      <c r="C547" s="130"/>
      <c r="D547" s="130"/>
      <c r="F547" s="138"/>
    </row>
    <row r="548">
      <c r="B548" s="779"/>
      <c r="C548" s="130"/>
      <c r="D548" s="130"/>
      <c r="F548" s="138"/>
    </row>
    <row r="549">
      <c r="B549" s="779"/>
      <c r="C549" s="130"/>
      <c r="D549" s="130"/>
      <c r="F549" s="138"/>
    </row>
    <row r="550">
      <c r="B550" s="779"/>
      <c r="C550" s="130"/>
      <c r="D550" s="130"/>
      <c r="F550" s="138"/>
    </row>
    <row r="551">
      <c r="B551" s="779"/>
      <c r="C551" s="130"/>
      <c r="D551" s="130"/>
      <c r="F551" s="138"/>
    </row>
    <row r="552">
      <c r="B552" s="779"/>
      <c r="C552" s="130"/>
      <c r="D552" s="130"/>
      <c r="F552" s="138"/>
    </row>
    <row r="553">
      <c r="B553" s="779"/>
      <c r="C553" s="130"/>
      <c r="D553" s="130"/>
      <c r="F553" s="138"/>
    </row>
    <row r="554">
      <c r="B554" s="779"/>
      <c r="C554" s="130"/>
      <c r="D554" s="130"/>
      <c r="F554" s="138"/>
    </row>
    <row r="555">
      <c r="B555" s="779"/>
      <c r="C555" s="130"/>
      <c r="D555" s="130"/>
      <c r="F555" s="138"/>
    </row>
    <row r="556">
      <c r="B556" s="779"/>
      <c r="C556" s="130"/>
      <c r="D556" s="130"/>
      <c r="F556" s="138"/>
    </row>
    <row r="557">
      <c r="B557" s="779"/>
      <c r="C557" s="130"/>
      <c r="D557" s="130"/>
      <c r="F557" s="138"/>
    </row>
    <row r="558">
      <c r="B558" s="779"/>
      <c r="C558" s="130"/>
      <c r="D558" s="130"/>
      <c r="F558" s="138"/>
    </row>
    <row r="559">
      <c r="B559" s="779"/>
      <c r="C559" s="130"/>
      <c r="D559" s="130"/>
      <c r="F559" s="138"/>
    </row>
    <row r="560">
      <c r="B560" s="779"/>
      <c r="C560" s="130"/>
      <c r="D560" s="130"/>
      <c r="F560" s="138"/>
    </row>
    <row r="561">
      <c r="B561" s="779"/>
      <c r="C561" s="130"/>
      <c r="D561" s="130"/>
      <c r="F561" s="138"/>
    </row>
    <row r="562">
      <c r="B562" s="779"/>
      <c r="C562" s="130"/>
      <c r="D562" s="130"/>
      <c r="F562" s="138"/>
    </row>
    <row r="563">
      <c r="B563" s="779"/>
      <c r="C563" s="130"/>
      <c r="D563" s="130"/>
      <c r="F563" s="138"/>
    </row>
    <row r="564">
      <c r="B564" s="779"/>
      <c r="C564" s="130"/>
      <c r="D564" s="130"/>
      <c r="F564" s="138"/>
    </row>
    <row r="565">
      <c r="B565" s="779"/>
      <c r="C565" s="130"/>
      <c r="D565" s="130"/>
      <c r="F565" s="138"/>
    </row>
    <row r="566">
      <c r="B566" s="779"/>
      <c r="C566" s="130"/>
      <c r="D566" s="130"/>
      <c r="F566" s="138"/>
    </row>
    <row r="567">
      <c r="B567" s="779"/>
      <c r="C567" s="130"/>
      <c r="D567" s="130"/>
      <c r="F567" s="138"/>
    </row>
    <row r="568">
      <c r="B568" s="779"/>
      <c r="C568" s="130"/>
      <c r="D568" s="130"/>
      <c r="F568" s="138"/>
    </row>
    <row r="569">
      <c r="B569" s="779"/>
      <c r="C569" s="130"/>
      <c r="D569" s="130"/>
      <c r="F569" s="138"/>
    </row>
    <row r="570">
      <c r="B570" s="779"/>
      <c r="C570" s="130"/>
      <c r="D570" s="130"/>
      <c r="F570" s="138"/>
    </row>
    <row r="571">
      <c r="B571" s="779"/>
      <c r="C571" s="130"/>
      <c r="D571" s="130"/>
      <c r="F571" s="138"/>
    </row>
    <row r="572">
      <c r="B572" s="779"/>
      <c r="C572" s="130"/>
      <c r="D572" s="130"/>
      <c r="F572" s="138"/>
    </row>
    <row r="573">
      <c r="B573" s="779"/>
      <c r="C573" s="130"/>
      <c r="D573" s="130"/>
      <c r="F573" s="138"/>
    </row>
    <row r="574">
      <c r="B574" s="779"/>
      <c r="C574" s="130"/>
      <c r="D574" s="130"/>
      <c r="F574" s="138"/>
    </row>
    <row r="575">
      <c r="B575" s="779"/>
      <c r="C575" s="130"/>
      <c r="D575" s="130"/>
      <c r="F575" s="138"/>
    </row>
    <row r="576">
      <c r="B576" s="779"/>
      <c r="C576" s="130"/>
      <c r="D576" s="130"/>
      <c r="F576" s="138"/>
    </row>
    <row r="577">
      <c r="B577" s="779"/>
      <c r="C577" s="130"/>
      <c r="D577" s="130"/>
      <c r="F577" s="138"/>
    </row>
    <row r="578">
      <c r="B578" s="779"/>
      <c r="C578" s="130"/>
      <c r="D578" s="130"/>
      <c r="F578" s="138"/>
    </row>
    <row r="579">
      <c r="B579" s="779"/>
      <c r="C579" s="130"/>
      <c r="D579" s="130"/>
      <c r="F579" s="138"/>
    </row>
    <row r="580">
      <c r="B580" s="779"/>
      <c r="C580" s="130"/>
      <c r="D580" s="130"/>
      <c r="F580" s="138"/>
    </row>
    <row r="581">
      <c r="B581" s="779"/>
      <c r="C581" s="130"/>
      <c r="D581" s="130"/>
      <c r="F581" s="138"/>
    </row>
    <row r="582">
      <c r="B582" s="779"/>
      <c r="C582" s="130"/>
      <c r="D582" s="130"/>
      <c r="F582" s="138"/>
    </row>
    <row r="583">
      <c r="B583" s="779"/>
      <c r="C583" s="130"/>
      <c r="D583" s="130"/>
      <c r="F583" s="138"/>
    </row>
    <row r="584">
      <c r="B584" s="779"/>
      <c r="C584" s="130"/>
      <c r="D584" s="130"/>
      <c r="F584" s="138"/>
    </row>
    <row r="585">
      <c r="B585" s="779"/>
      <c r="C585" s="130"/>
      <c r="D585" s="130"/>
      <c r="F585" s="138"/>
    </row>
    <row r="586">
      <c r="B586" s="779"/>
      <c r="C586" s="130"/>
      <c r="D586" s="130"/>
      <c r="F586" s="138"/>
    </row>
    <row r="587">
      <c r="B587" s="779"/>
      <c r="C587" s="130"/>
      <c r="D587" s="130"/>
      <c r="F587" s="138"/>
    </row>
    <row r="588">
      <c r="B588" s="779"/>
      <c r="C588" s="130"/>
      <c r="D588" s="130"/>
      <c r="F588" s="138"/>
    </row>
    <row r="589">
      <c r="B589" s="779"/>
      <c r="C589" s="130"/>
      <c r="D589" s="130"/>
      <c r="F589" s="138"/>
    </row>
    <row r="590">
      <c r="B590" s="779"/>
      <c r="C590" s="130"/>
      <c r="D590" s="130"/>
      <c r="F590" s="138"/>
    </row>
    <row r="591">
      <c r="B591" s="779"/>
      <c r="C591" s="130"/>
      <c r="D591" s="130"/>
      <c r="F591" s="138"/>
    </row>
    <row r="592">
      <c r="B592" s="779"/>
      <c r="C592" s="130"/>
      <c r="D592" s="130"/>
      <c r="F592" s="138"/>
    </row>
    <row r="593">
      <c r="B593" s="779"/>
      <c r="C593" s="130"/>
      <c r="D593" s="130"/>
      <c r="F593" s="138"/>
    </row>
    <row r="594">
      <c r="B594" s="779"/>
      <c r="C594" s="130"/>
      <c r="D594" s="130"/>
      <c r="F594" s="138"/>
    </row>
    <row r="595">
      <c r="B595" s="779"/>
      <c r="C595" s="130"/>
      <c r="D595" s="130"/>
      <c r="F595" s="138"/>
    </row>
    <row r="596">
      <c r="B596" s="779"/>
      <c r="C596" s="130"/>
      <c r="D596" s="130"/>
      <c r="F596" s="138"/>
    </row>
    <row r="597">
      <c r="B597" s="779"/>
      <c r="C597" s="130"/>
      <c r="D597" s="130"/>
      <c r="F597" s="138"/>
    </row>
    <row r="598">
      <c r="B598" s="779"/>
      <c r="C598" s="130"/>
      <c r="D598" s="130"/>
      <c r="F598" s="138"/>
    </row>
    <row r="599">
      <c r="B599" s="779"/>
      <c r="C599" s="130"/>
      <c r="D599" s="130"/>
      <c r="F599" s="138"/>
    </row>
    <row r="600">
      <c r="B600" s="779"/>
      <c r="C600" s="130"/>
      <c r="D600" s="130"/>
      <c r="F600" s="138"/>
    </row>
    <row r="601">
      <c r="B601" s="779"/>
      <c r="C601" s="130"/>
      <c r="D601" s="130"/>
      <c r="F601" s="138"/>
    </row>
    <row r="602">
      <c r="B602" s="779"/>
      <c r="C602" s="130"/>
      <c r="D602" s="130"/>
      <c r="F602" s="138"/>
    </row>
    <row r="603">
      <c r="B603" s="779"/>
      <c r="C603" s="130"/>
      <c r="D603" s="130"/>
      <c r="F603" s="138"/>
    </row>
    <row r="604">
      <c r="B604" s="779"/>
      <c r="C604" s="130"/>
      <c r="D604" s="130"/>
      <c r="F604" s="138"/>
    </row>
    <row r="605">
      <c r="B605" s="779"/>
      <c r="C605" s="130"/>
      <c r="D605" s="130"/>
      <c r="F605" s="138"/>
    </row>
    <row r="606">
      <c r="B606" s="779"/>
      <c r="C606" s="130"/>
      <c r="D606" s="130"/>
      <c r="F606" s="138"/>
    </row>
    <row r="607">
      <c r="B607" s="779"/>
      <c r="C607" s="130"/>
      <c r="D607" s="130"/>
      <c r="F607" s="138"/>
    </row>
    <row r="608">
      <c r="B608" s="779"/>
      <c r="C608" s="130"/>
      <c r="D608" s="130"/>
      <c r="F608" s="138"/>
    </row>
    <row r="609">
      <c r="B609" s="779"/>
      <c r="C609" s="130"/>
      <c r="D609" s="130"/>
      <c r="F609" s="138"/>
    </row>
    <row r="610">
      <c r="B610" s="779"/>
      <c r="C610" s="130"/>
      <c r="D610" s="130"/>
      <c r="F610" s="138"/>
    </row>
    <row r="611">
      <c r="B611" s="779"/>
      <c r="C611" s="130"/>
      <c r="D611" s="130"/>
      <c r="F611" s="138"/>
    </row>
    <row r="612">
      <c r="B612" s="779"/>
      <c r="C612" s="130"/>
      <c r="D612" s="130"/>
      <c r="F612" s="138"/>
    </row>
    <row r="613">
      <c r="B613" s="779"/>
      <c r="C613" s="130"/>
      <c r="D613" s="130"/>
      <c r="F613" s="138"/>
    </row>
    <row r="614">
      <c r="B614" s="779"/>
      <c r="C614" s="130"/>
      <c r="D614" s="130"/>
      <c r="F614" s="138"/>
    </row>
    <row r="615">
      <c r="B615" s="779"/>
      <c r="C615" s="130"/>
      <c r="D615" s="130"/>
      <c r="F615" s="138"/>
    </row>
    <row r="616">
      <c r="B616" s="779"/>
      <c r="C616" s="130"/>
      <c r="D616" s="130"/>
      <c r="F616" s="138"/>
    </row>
    <row r="617">
      <c r="B617" s="779"/>
      <c r="C617" s="130"/>
      <c r="D617" s="130"/>
      <c r="F617" s="138"/>
    </row>
    <row r="618">
      <c r="B618" s="779"/>
      <c r="C618" s="130"/>
      <c r="D618" s="130"/>
      <c r="F618" s="138"/>
    </row>
    <row r="619">
      <c r="B619" s="779"/>
      <c r="C619" s="130"/>
      <c r="D619" s="130"/>
      <c r="F619" s="138"/>
    </row>
    <row r="620">
      <c r="B620" s="779"/>
      <c r="C620" s="130"/>
      <c r="D620" s="130"/>
      <c r="F620" s="138"/>
    </row>
    <row r="621">
      <c r="B621" s="779"/>
      <c r="C621" s="130"/>
      <c r="D621" s="130"/>
      <c r="F621" s="138"/>
    </row>
    <row r="622">
      <c r="B622" s="779"/>
      <c r="C622" s="130"/>
      <c r="D622" s="130"/>
      <c r="F622" s="138"/>
    </row>
    <row r="623">
      <c r="B623" s="779"/>
      <c r="C623" s="130"/>
      <c r="D623" s="130"/>
      <c r="F623" s="138"/>
    </row>
    <row r="624">
      <c r="B624" s="779"/>
      <c r="C624" s="130"/>
      <c r="D624" s="130"/>
      <c r="F624" s="138"/>
    </row>
    <row r="625">
      <c r="B625" s="779"/>
      <c r="C625" s="130"/>
      <c r="D625" s="130"/>
      <c r="F625" s="138"/>
    </row>
    <row r="626">
      <c r="B626" s="779"/>
      <c r="C626" s="130"/>
      <c r="D626" s="130"/>
      <c r="F626" s="138"/>
    </row>
    <row r="627">
      <c r="B627" s="779"/>
      <c r="C627" s="130"/>
      <c r="D627" s="130"/>
      <c r="F627" s="138"/>
    </row>
    <row r="628">
      <c r="B628" s="779"/>
      <c r="C628" s="130"/>
      <c r="D628" s="130"/>
      <c r="F628" s="138"/>
    </row>
    <row r="629">
      <c r="B629" s="779"/>
      <c r="C629" s="130"/>
      <c r="D629" s="130"/>
      <c r="F629" s="138"/>
    </row>
    <row r="630">
      <c r="B630" s="779"/>
      <c r="C630" s="130"/>
      <c r="D630" s="130"/>
      <c r="F630" s="138"/>
    </row>
    <row r="631">
      <c r="B631" s="779"/>
      <c r="C631" s="130"/>
      <c r="D631" s="130"/>
      <c r="F631" s="138"/>
    </row>
    <row r="632">
      <c r="B632" s="779"/>
      <c r="C632" s="130"/>
      <c r="D632" s="130"/>
      <c r="F632" s="138"/>
    </row>
    <row r="633">
      <c r="B633" s="779"/>
      <c r="C633" s="130"/>
      <c r="D633" s="130"/>
      <c r="F633" s="138"/>
    </row>
    <row r="634">
      <c r="B634" s="779"/>
      <c r="C634" s="130"/>
      <c r="D634" s="130"/>
      <c r="F634" s="138"/>
    </row>
    <row r="635">
      <c r="B635" s="779"/>
      <c r="C635" s="130"/>
      <c r="D635" s="130"/>
      <c r="F635" s="138"/>
    </row>
    <row r="636">
      <c r="B636" s="779"/>
      <c r="C636" s="130"/>
      <c r="D636" s="130"/>
      <c r="F636" s="138"/>
    </row>
    <row r="637">
      <c r="B637" s="779"/>
      <c r="C637" s="130"/>
      <c r="D637" s="130"/>
      <c r="F637" s="138"/>
    </row>
    <row r="638">
      <c r="B638" s="779"/>
      <c r="C638" s="130"/>
      <c r="D638" s="130"/>
      <c r="F638" s="138"/>
    </row>
    <row r="639">
      <c r="B639" s="779"/>
      <c r="C639" s="130"/>
      <c r="D639" s="130"/>
      <c r="F639" s="138"/>
    </row>
    <row r="640">
      <c r="B640" s="779"/>
      <c r="C640" s="130"/>
      <c r="D640" s="130"/>
      <c r="F640" s="138"/>
    </row>
    <row r="641">
      <c r="B641" s="779"/>
      <c r="C641" s="130"/>
      <c r="D641" s="130"/>
      <c r="F641" s="138"/>
    </row>
    <row r="642">
      <c r="B642" s="779"/>
      <c r="C642" s="130"/>
      <c r="D642" s="130"/>
      <c r="F642" s="138"/>
    </row>
    <row r="643">
      <c r="B643" s="779"/>
      <c r="C643" s="130"/>
      <c r="D643" s="130"/>
      <c r="F643" s="138"/>
    </row>
    <row r="644">
      <c r="B644" s="779"/>
      <c r="C644" s="130"/>
      <c r="D644" s="130"/>
      <c r="F644" s="138"/>
    </row>
    <row r="645">
      <c r="B645" s="779"/>
      <c r="C645" s="130"/>
      <c r="D645" s="130"/>
      <c r="F645" s="138"/>
    </row>
    <row r="646">
      <c r="B646" s="779"/>
      <c r="C646" s="130"/>
      <c r="D646" s="130"/>
      <c r="F646" s="138"/>
    </row>
    <row r="647">
      <c r="B647" s="779"/>
      <c r="C647" s="130"/>
      <c r="D647" s="130"/>
      <c r="F647" s="138"/>
    </row>
    <row r="648">
      <c r="B648" s="779"/>
      <c r="C648" s="130"/>
      <c r="D648" s="130"/>
      <c r="F648" s="138"/>
    </row>
    <row r="649">
      <c r="B649" s="779"/>
      <c r="C649" s="130"/>
      <c r="D649" s="130"/>
      <c r="F649" s="138"/>
    </row>
    <row r="650">
      <c r="B650" s="779"/>
      <c r="C650" s="130"/>
      <c r="D650" s="130"/>
      <c r="F650" s="138"/>
    </row>
    <row r="651">
      <c r="B651" s="779"/>
      <c r="C651" s="130"/>
      <c r="D651" s="130"/>
      <c r="F651" s="138"/>
    </row>
    <row r="652">
      <c r="B652" s="779"/>
      <c r="C652" s="130"/>
      <c r="D652" s="130"/>
      <c r="F652" s="138"/>
    </row>
    <row r="653">
      <c r="B653" s="779"/>
      <c r="C653" s="130"/>
      <c r="D653" s="130"/>
      <c r="F653" s="138"/>
    </row>
    <row r="654">
      <c r="B654" s="779"/>
      <c r="C654" s="130"/>
      <c r="D654" s="130"/>
      <c r="F654" s="138"/>
    </row>
    <row r="655">
      <c r="B655" s="779"/>
      <c r="C655" s="130"/>
      <c r="D655" s="130"/>
      <c r="F655" s="138"/>
    </row>
    <row r="656">
      <c r="B656" s="779"/>
      <c r="C656" s="130"/>
      <c r="D656" s="130"/>
      <c r="F656" s="138"/>
    </row>
    <row r="657">
      <c r="B657" s="779"/>
      <c r="C657" s="130"/>
      <c r="D657" s="130"/>
      <c r="F657" s="138"/>
    </row>
    <row r="658">
      <c r="B658" s="779"/>
      <c r="C658" s="130"/>
      <c r="D658" s="130"/>
      <c r="F658" s="138"/>
    </row>
    <row r="659">
      <c r="B659" s="779"/>
      <c r="C659" s="130"/>
      <c r="D659" s="130"/>
      <c r="F659" s="138"/>
    </row>
    <row r="660">
      <c r="B660" s="779"/>
      <c r="C660" s="130"/>
      <c r="D660" s="130"/>
      <c r="F660" s="138"/>
    </row>
    <row r="661">
      <c r="B661" s="779"/>
      <c r="C661" s="130"/>
      <c r="D661" s="130"/>
      <c r="F661" s="138"/>
    </row>
    <row r="662">
      <c r="B662" s="779"/>
      <c r="C662" s="130"/>
      <c r="D662" s="130"/>
      <c r="F662" s="138"/>
    </row>
    <row r="663">
      <c r="B663" s="779"/>
      <c r="C663" s="130"/>
      <c r="D663" s="130"/>
      <c r="F663" s="138"/>
    </row>
    <row r="664">
      <c r="B664" s="779"/>
      <c r="C664" s="130"/>
      <c r="D664" s="130"/>
      <c r="F664" s="138"/>
    </row>
    <row r="665">
      <c r="B665" s="779"/>
      <c r="C665" s="130"/>
      <c r="D665" s="130"/>
      <c r="F665" s="138"/>
    </row>
    <row r="666">
      <c r="B666" s="779"/>
      <c r="C666" s="130"/>
      <c r="D666" s="130"/>
      <c r="F666" s="138"/>
    </row>
    <row r="667">
      <c r="B667" s="779"/>
      <c r="C667" s="130"/>
      <c r="D667" s="130"/>
      <c r="F667" s="138"/>
    </row>
    <row r="668">
      <c r="B668" s="779"/>
      <c r="C668" s="130"/>
      <c r="D668" s="130"/>
      <c r="F668" s="138"/>
    </row>
    <row r="669">
      <c r="B669" s="779"/>
      <c r="C669" s="130"/>
      <c r="D669" s="130"/>
      <c r="F669" s="138"/>
    </row>
    <row r="670">
      <c r="B670" s="779"/>
      <c r="C670" s="130"/>
      <c r="D670" s="130"/>
      <c r="F670" s="138"/>
    </row>
    <row r="671">
      <c r="B671" s="779"/>
      <c r="C671" s="130"/>
      <c r="D671" s="130"/>
      <c r="F671" s="138"/>
    </row>
    <row r="672">
      <c r="B672" s="779"/>
      <c r="C672" s="130"/>
      <c r="D672" s="130"/>
      <c r="F672" s="138"/>
    </row>
    <row r="673">
      <c r="B673" s="779"/>
      <c r="C673" s="130"/>
      <c r="D673" s="130"/>
      <c r="F673" s="138"/>
    </row>
    <row r="674">
      <c r="B674" s="779"/>
      <c r="C674" s="130"/>
      <c r="D674" s="130"/>
      <c r="F674" s="138"/>
    </row>
    <row r="675">
      <c r="B675" s="779"/>
      <c r="C675" s="130"/>
      <c r="D675" s="130"/>
      <c r="F675" s="138"/>
    </row>
    <row r="676">
      <c r="B676" s="779"/>
      <c r="C676" s="130"/>
      <c r="D676" s="130"/>
      <c r="F676" s="138"/>
    </row>
    <row r="677">
      <c r="B677" s="779"/>
      <c r="C677" s="130"/>
      <c r="D677" s="130"/>
      <c r="F677" s="138"/>
    </row>
    <row r="678">
      <c r="B678" s="779"/>
      <c r="C678" s="130"/>
      <c r="D678" s="130"/>
      <c r="F678" s="138"/>
    </row>
    <row r="679">
      <c r="B679" s="779"/>
      <c r="C679" s="130"/>
      <c r="D679" s="130"/>
      <c r="F679" s="138"/>
    </row>
    <row r="680">
      <c r="B680" s="779"/>
      <c r="C680" s="130"/>
      <c r="D680" s="130"/>
      <c r="F680" s="138"/>
    </row>
    <row r="681">
      <c r="B681" s="779"/>
      <c r="C681" s="130"/>
      <c r="D681" s="130"/>
      <c r="F681" s="138"/>
    </row>
    <row r="682">
      <c r="B682" s="779"/>
      <c r="C682" s="130"/>
      <c r="D682" s="130"/>
      <c r="F682" s="138"/>
    </row>
    <row r="683">
      <c r="B683" s="779"/>
      <c r="C683" s="130"/>
      <c r="D683" s="130"/>
      <c r="F683" s="138"/>
    </row>
    <row r="684">
      <c r="B684" s="779"/>
      <c r="C684" s="130"/>
      <c r="D684" s="130"/>
      <c r="F684" s="138"/>
    </row>
    <row r="685">
      <c r="B685" s="779"/>
      <c r="C685" s="130"/>
      <c r="D685" s="130"/>
      <c r="F685" s="138"/>
    </row>
    <row r="686">
      <c r="B686" s="779"/>
      <c r="C686" s="130"/>
      <c r="D686" s="130"/>
      <c r="F686" s="138"/>
    </row>
    <row r="687">
      <c r="B687" s="779"/>
      <c r="C687" s="130"/>
      <c r="D687" s="130"/>
      <c r="F687" s="138"/>
    </row>
    <row r="688">
      <c r="B688" s="779"/>
      <c r="C688" s="130"/>
      <c r="D688" s="130"/>
      <c r="F688" s="138"/>
    </row>
    <row r="689">
      <c r="B689" s="779"/>
      <c r="C689" s="130"/>
      <c r="D689" s="130"/>
      <c r="F689" s="138"/>
    </row>
    <row r="690">
      <c r="B690" s="779"/>
      <c r="C690" s="130"/>
      <c r="D690" s="130"/>
      <c r="F690" s="138"/>
    </row>
    <row r="691">
      <c r="B691" s="779"/>
      <c r="C691" s="130"/>
      <c r="D691" s="130"/>
      <c r="F691" s="138"/>
    </row>
    <row r="692">
      <c r="B692" s="779"/>
      <c r="C692" s="130"/>
      <c r="D692" s="130"/>
      <c r="F692" s="138"/>
    </row>
    <row r="693">
      <c r="B693" s="779"/>
      <c r="C693" s="130"/>
      <c r="D693" s="130"/>
      <c r="F693" s="138"/>
    </row>
    <row r="694">
      <c r="B694" s="779"/>
      <c r="C694" s="130"/>
      <c r="D694" s="130"/>
      <c r="F694" s="138"/>
    </row>
    <row r="695">
      <c r="B695" s="779"/>
      <c r="C695" s="130"/>
      <c r="D695" s="130"/>
      <c r="F695" s="138"/>
    </row>
    <row r="696">
      <c r="B696" s="779"/>
      <c r="C696" s="130"/>
      <c r="D696" s="130"/>
      <c r="F696" s="138"/>
    </row>
    <row r="697">
      <c r="B697" s="779"/>
      <c r="C697" s="130"/>
      <c r="D697" s="130"/>
      <c r="F697" s="138"/>
    </row>
    <row r="698">
      <c r="B698" s="779"/>
      <c r="C698" s="130"/>
      <c r="D698" s="130"/>
      <c r="F698" s="138"/>
    </row>
    <row r="699">
      <c r="B699" s="779"/>
      <c r="C699" s="130"/>
      <c r="D699" s="130"/>
      <c r="F699" s="138"/>
    </row>
    <row r="700">
      <c r="B700" s="779"/>
      <c r="C700" s="130"/>
      <c r="D700" s="130"/>
      <c r="F700" s="138"/>
    </row>
    <row r="701">
      <c r="B701" s="779"/>
      <c r="C701" s="130"/>
      <c r="D701" s="130"/>
      <c r="F701" s="138"/>
    </row>
    <row r="702">
      <c r="B702" s="779"/>
      <c r="C702" s="130"/>
      <c r="D702" s="130"/>
      <c r="F702" s="138"/>
    </row>
    <row r="703">
      <c r="B703" s="779"/>
      <c r="C703" s="130"/>
      <c r="D703" s="130"/>
      <c r="F703" s="138"/>
    </row>
    <row r="704">
      <c r="B704" s="779"/>
      <c r="C704" s="130"/>
      <c r="D704" s="130"/>
      <c r="F704" s="138"/>
    </row>
    <row r="705">
      <c r="B705" s="779"/>
      <c r="C705" s="130"/>
      <c r="D705" s="130"/>
      <c r="F705" s="138"/>
    </row>
    <row r="706">
      <c r="B706" s="779"/>
      <c r="C706" s="130"/>
      <c r="D706" s="130"/>
      <c r="F706" s="138"/>
    </row>
    <row r="707">
      <c r="B707" s="779"/>
      <c r="C707" s="130"/>
      <c r="D707" s="130"/>
      <c r="F707" s="138"/>
    </row>
    <row r="708">
      <c r="B708" s="779"/>
      <c r="C708" s="130"/>
      <c r="D708" s="130"/>
      <c r="F708" s="138"/>
    </row>
    <row r="709">
      <c r="B709" s="779"/>
      <c r="C709" s="130"/>
      <c r="D709" s="130"/>
      <c r="F709" s="138"/>
    </row>
    <row r="710">
      <c r="B710" s="779"/>
      <c r="C710" s="130"/>
      <c r="D710" s="130"/>
      <c r="F710" s="138"/>
    </row>
    <row r="711">
      <c r="B711" s="779"/>
      <c r="C711" s="130"/>
      <c r="D711" s="130"/>
      <c r="F711" s="138"/>
    </row>
    <row r="712">
      <c r="B712" s="779"/>
      <c r="C712" s="130"/>
      <c r="D712" s="130"/>
      <c r="F712" s="138"/>
    </row>
    <row r="713">
      <c r="B713" s="779"/>
      <c r="C713" s="130"/>
      <c r="D713" s="130"/>
      <c r="F713" s="138"/>
    </row>
    <row r="714">
      <c r="B714" s="779"/>
      <c r="C714" s="130"/>
      <c r="D714" s="130"/>
      <c r="F714" s="138"/>
    </row>
    <row r="715">
      <c r="B715" s="779"/>
      <c r="C715" s="130"/>
      <c r="D715" s="130"/>
      <c r="F715" s="138"/>
    </row>
    <row r="716">
      <c r="B716" s="779"/>
      <c r="C716" s="130"/>
      <c r="D716" s="130"/>
      <c r="F716" s="138"/>
    </row>
    <row r="717">
      <c r="B717" s="779"/>
      <c r="C717" s="130"/>
      <c r="D717" s="130"/>
      <c r="F717" s="138"/>
    </row>
    <row r="718">
      <c r="B718" s="779"/>
      <c r="C718" s="130"/>
      <c r="D718" s="130"/>
      <c r="F718" s="138"/>
    </row>
    <row r="719">
      <c r="B719" s="779"/>
      <c r="C719" s="130"/>
      <c r="D719" s="130"/>
      <c r="F719" s="138"/>
    </row>
    <row r="720">
      <c r="B720" s="779"/>
      <c r="C720" s="130"/>
      <c r="D720" s="130"/>
      <c r="F720" s="138"/>
    </row>
    <row r="721">
      <c r="B721" s="779"/>
      <c r="C721" s="130"/>
      <c r="D721" s="130"/>
      <c r="F721" s="138"/>
    </row>
    <row r="722">
      <c r="B722" s="779"/>
      <c r="C722" s="130"/>
      <c r="D722" s="130"/>
      <c r="F722" s="138"/>
    </row>
    <row r="723">
      <c r="B723" s="779"/>
      <c r="C723" s="130"/>
      <c r="D723" s="130"/>
      <c r="F723" s="138"/>
    </row>
    <row r="724">
      <c r="B724" s="779"/>
      <c r="C724" s="130"/>
      <c r="D724" s="130"/>
      <c r="F724" s="138"/>
    </row>
    <row r="725">
      <c r="B725" s="779"/>
      <c r="C725" s="130"/>
      <c r="D725" s="130"/>
      <c r="F725" s="138"/>
    </row>
    <row r="726">
      <c r="B726" s="779"/>
      <c r="C726" s="130"/>
      <c r="D726" s="130"/>
      <c r="F726" s="138"/>
    </row>
    <row r="727">
      <c r="B727" s="779"/>
      <c r="C727" s="130"/>
      <c r="D727" s="130"/>
      <c r="F727" s="138"/>
    </row>
    <row r="728">
      <c r="B728" s="779"/>
      <c r="C728" s="130"/>
      <c r="D728" s="130"/>
      <c r="F728" s="138"/>
    </row>
    <row r="729">
      <c r="B729" s="779"/>
      <c r="C729" s="130"/>
      <c r="D729" s="130"/>
      <c r="F729" s="138"/>
    </row>
    <row r="730">
      <c r="B730" s="779"/>
      <c r="C730" s="130"/>
      <c r="D730" s="130"/>
      <c r="F730" s="138"/>
    </row>
    <row r="731">
      <c r="B731" s="779"/>
      <c r="C731" s="130"/>
      <c r="D731" s="130"/>
      <c r="F731" s="138"/>
    </row>
    <row r="732">
      <c r="B732" s="779"/>
      <c r="C732" s="130"/>
      <c r="D732" s="130"/>
      <c r="F732" s="138"/>
    </row>
    <row r="733">
      <c r="B733" s="779"/>
      <c r="C733" s="130"/>
      <c r="D733" s="130"/>
      <c r="F733" s="138"/>
    </row>
    <row r="734">
      <c r="B734" s="779"/>
      <c r="C734" s="130"/>
      <c r="D734" s="130"/>
      <c r="F734" s="138"/>
    </row>
    <row r="735">
      <c r="B735" s="779"/>
      <c r="C735" s="130"/>
      <c r="D735" s="130"/>
      <c r="F735" s="138"/>
    </row>
    <row r="736">
      <c r="B736" s="779"/>
      <c r="C736" s="130"/>
      <c r="D736" s="130"/>
      <c r="F736" s="138"/>
    </row>
    <row r="737">
      <c r="B737" s="779"/>
      <c r="C737" s="130"/>
      <c r="D737" s="130"/>
      <c r="F737" s="138"/>
    </row>
    <row r="738">
      <c r="B738" s="779"/>
      <c r="C738" s="130"/>
      <c r="D738" s="130"/>
      <c r="F738" s="138"/>
    </row>
    <row r="739">
      <c r="B739" s="779"/>
      <c r="C739" s="130"/>
      <c r="D739" s="130"/>
      <c r="F739" s="138"/>
    </row>
    <row r="740">
      <c r="B740" s="779"/>
      <c r="C740" s="130"/>
      <c r="D740" s="130"/>
      <c r="F740" s="138"/>
    </row>
    <row r="741">
      <c r="B741" s="779"/>
      <c r="C741" s="130"/>
      <c r="D741" s="130"/>
      <c r="F741" s="138"/>
    </row>
    <row r="742">
      <c r="B742" s="779"/>
      <c r="C742" s="130"/>
      <c r="D742" s="130"/>
      <c r="F742" s="138"/>
    </row>
    <row r="743">
      <c r="B743" s="779"/>
      <c r="C743" s="130"/>
      <c r="D743" s="130"/>
      <c r="F743" s="138"/>
    </row>
    <row r="744">
      <c r="B744" s="779"/>
      <c r="C744" s="130"/>
      <c r="D744" s="130"/>
      <c r="F744" s="138"/>
    </row>
    <row r="745">
      <c r="B745" s="779"/>
      <c r="C745" s="130"/>
      <c r="D745" s="130"/>
      <c r="F745" s="138"/>
    </row>
    <row r="746">
      <c r="B746" s="779"/>
      <c r="C746" s="130"/>
      <c r="D746" s="130"/>
      <c r="F746" s="138"/>
    </row>
    <row r="747">
      <c r="B747" s="779"/>
      <c r="C747" s="130"/>
      <c r="D747" s="130"/>
      <c r="F747" s="138"/>
    </row>
    <row r="748">
      <c r="B748" s="779"/>
      <c r="C748" s="130"/>
      <c r="D748" s="130"/>
      <c r="F748" s="138"/>
    </row>
    <row r="749">
      <c r="B749" s="779"/>
      <c r="C749" s="130"/>
      <c r="D749" s="130"/>
      <c r="F749" s="138"/>
    </row>
    <row r="750">
      <c r="B750" s="779"/>
      <c r="C750" s="130"/>
      <c r="D750" s="130"/>
      <c r="F750" s="138"/>
    </row>
    <row r="751">
      <c r="B751" s="779"/>
      <c r="C751" s="130"/>
      <c r="D751" s="130"/>
      <c r="F751" s="138"/>
    </row>
    <row r="752">
      <c r="B752" s="779"/>
      <c r="C752" s="130"/>
      <c r="D752" s="130"/>
      <c r="F752" s="138"/>
    </row>
    <row r="753">
      <c r="B753" s="779"/>
      <c r="C753" s="130"/>
      <c r="D753" s="130"/>
      <c r="F753" s="138"/>
    </row>
    <row r="754">
      <c r="B754" s="779"/>
      <c r="C754" s="130"/>
      <c r="D754" s="130"/>
      <c r="F754" s="138"/>
    </row>
    <row r="755">
      <c r="B755" s="779"/>
      <c r="C755" s="130"/>
      <c r="D755" s="130"/>
      <c r="F755" s="138"/>
    </row>
    <row r="756">
      <c r="B756" s="779"/>
      <c r="C756" s="130"/>
      <c r="D756" s="130"/>
      <c r="F756" s="138"/>
    </row>
    <row r="757">
      <c r="B757" s="779"/>
      <c r="C757" s="130"/>
      <c r="D757" s="130"/>
      <c r="F757" s="138"/>
    </row>
    <row r="758">
      <c r="B758" s="779"/>
      <c r="C758" s="130"/>
      <c r="D758" s="130"/>
      <c r="F758" s="138"/>
    </row>
    <row r="759">
      <c r="B759" s="779"/>
      <c r="C759" s="130"/>
      <c r="D759" s="130"/>
      <c r="F759" s="138"/>
    </row>
    <row r="760">
      <c r="B760" s="779"/>
      <c r="C760" s="130"/>
      <c r="D760" s="130"/>
      <c r="F760" s="138"/>
    </row>
    <row r="761">
      <c r="B761" s="779"/>
      <c r="C761" s="130"/>
      <c r="D761" s="130"/>
      <c r="F761" s="138"/>
    </row>
    <row r="762">
      <c r="B762" s="779"/>
      <c r="C762" s="130"/>
      <c r="D762" s="130"/>
      <c r="F762" s="138"/>
    </row>
    <row r="763">
      <c r="B763" s="779"/>
      <c r="C763" s="130"/>
      <c r="D763" s="130"/>
      <c r="F763" s="138"/>
    </row>
    <row r="764">
      <c r="B764" s="779"/>
      <c r="C764" s="130"/>
      <c r="D764" s="130"/>
      <c r="F764" s="138"/>
    </row>
    <row r="765">
      <c r="B765" s="779"/>
      <c r="C765" s="130"/>
      <c r="D765" s="130"/>
      <c r="F765" s="138"/>
    </row>
    <row r="766">
      <c r="B766" s="779"/>
      <c r="C766" s="130"/>
      <c r="D766" s="130"/>
      <c r="F766" s="138"/>
    </row>
    <row r="767">
      <c r="B767" s="779"/>
      <c r="C767" s="130"/>
      <c r="D767" s="130"/>
      <c r="F767" s="138"/>
    </row>
    <row r="768">
      <c r="B768" s="779"/>
      <c r="C768" s="130"/>
      <c r="D768" s="130"/>
      <c r="F768" s="138"/>
    </row>
    <row r="769">
      <c r="B769" s="779"/>
      <c r="C769" s="130"/>
      <c r="D769" s="130"/>
      <c r="F769" s="138"/>
    </row>
    <row r="770">
      <c r="B770" s="779"/>
      <c r="C770" s="130"/>
      <c r="D770" s="130"/>
      <c r="F770" s="138"/>
    </row>
    <row r="771">
      <c r="B771" s="779"/>
      <c r="C771" s="130"/>
      <c r="D771" s="130"/>
      <c r="F771" s="138"/>
    </row>
    <row r="772">
      <c r="B772" s="779"/>
      <c r="C772" s="130"/>
      <c r="D772" s="130"/>
      <c r="F772" s="138"/>
    </row>
    <row r="773">
      <c r="B773" s="779"/>
      <c r="C773" s="130"/>
      <c r="D773" s="130"/>
      <c r="F773" s="138"/>
    </row>
    <row r="774">
      <c r="B774" s="779"/>
      <c r="C774" s="130"/>
      <c r="D774" s="130"/>
      <c r="F774" s="138"/>
    </row>
    <row r="775">
      <c r="B775" s="779"/>
      <c r="C775" s="130"/>
      <c r="D775" s="130"/>
      <c r="F775" s="138"/>
    </row>
    <row r="776">
      <c r="B776" s="779"/>
      <c r="C776" s="130"/>
      <c r="D776" s="130"/>
      <c r="F776" s="138"/>
    </row>
    <row r="777">
      <c r="B777" s="779"/>
      <c r="C777" s="130"/>
      <c r="D777" s="130"/>
      <c r="F777" s="138"/>
    </row>
    <row r="778">
      <c r="B778" s="779"/>
      <c r="C778" s="130"/>
      <c r="D778" s="130"/>
      <c r="F778" s="138"/>
    </row>
    <row r="779">
      <c r="B779" s="779"/>
      <c r="C779" s="130"/>
      <c r="D779" s="130"/>
      <c r="F779" s="138"/>
    </row>
    <row r="780">
      <c r="B780" s="779"/>
      <c r="C780" s="130"/>
      <c r="D780" s="130"/>
      <c r="F780" s="138"/>
    </row>
    <row r="781">
      <c r="B781" s="779"/>
      <c r="C781" s="130"/>
      <c r="D781" s="130"/>
      <c r="F781" s="138"/>
    </row>
    <row r="782">
      <c r="B782" s="779"/>
      <c r="C782" s="130"/>
      <c r="D782" s="130"/>
      <c r="F782" s="138"/>
    </row>
    <row r="783">
      <c r="B783" s="779"/>
      <c r="C783" s="130"/>
      <c r="D783" s="130"/>
      <c r="F783" s="138"/>
    </row>
    <row r="784">
      <c r="B784" s="779"/>
      <c r="C784" s="130"/>
      <c r="D784" s="130"/>
      <c r="F784" s="138"/>
    </row>
    <row r="785">
      <c r="B785" s="779"/>
      <c r="C785" s="130"/>
      <c r="D785" s="130"/>
      <c r="F785" s="138"/>
    </row>
    <row r="786">
      <c r="B786" s="779"/>
      <c r="C786" s="130"/>
      <c r="D786" s="130"/>
      <c r="F786" s="138"/>
    </row>
    <row r="787">
      <c r="B787" s="779"/>
      <c r="C787" s="130"/>
      <c r="D787" s="130"/>
      <c r="F787" s="138"/>
    </row>
    <row r="788">
      <c r="B788" s="779"/>
      <c r="C788" s="130"/>
      <c r="D788" s="130"/>
      <c r="F788" s="138"/>
    </row>
    <row r="789">
      <c r="B789" s="779"/>
      <c r="C789" s="130"/>
      <c r="D789" s="130"/>
      <c r="F789" s="138"/>
    </row>
    <row r="790">
      <c r="B790" s="779"/>
      <c r="C790" s="130"/>
      <c r="D790" s="130"/>
      <c r="F790" s="138"/>
    </row>
    <row r="791">
      <c r="B791" s="779"/>
      <c r="C791" s="130"/>
      <c r="D791" s="130"/>
      <c r="F791" s="138"/>
    </row>
    <row r="792">
      <c r="B792" s="779"/>
      <c r="C792" s="130"/>
      <c r="D792" s="130"/>
      <c r="F792" s="138"/>
    </row>
    <row r="793">
      <c r="B793" s="779"/>
      <c r="C793" s="130"/>
      <c r="D793" s="130"/>
      <c r="F793" s="138"/>
    </row>
    <row r="794">
      <c r="B794" s="779"/>
      <c r="C794" s="130"/>
      <c r="D794" s="130"/>
      <c r="F794" s="138"/>
    </row>
    <row r="795">
      <c r="B795" s="779"/>
      <c r="C795" s="130"/>
      <c r="D795" s="130"/>
      <c r="F795" s="138"/>
    </row>
    <row r="796">
      <c r="B796" s="779"/>
      <c r="C796" s="130"/>
      <c r="D796" s="130"/>
      <c r="F796" s="138"/>
    </row>
    <row r="797">
      <c r="B797" s="779"/>
      <c r="C797" s="130"/>
      <c r="D797" s="130"/>
      <c r="F797" s="138"/>
    </row>
    <row r="798">
      <c r="B798" s="779"/>
      <c r="C798" s="130"/>
      <c r="D798" s="130"/>
      <c r="F798" s="138"/>
    </row>
    <row r="799">
      <c r="B799" s="779"/>
      <c r="C799" s="130"/>
      <c r="D799" s="130"/>
      <c r="F799" s="138"/>
    </row>
    <row r="800">
      <c r="B800" s="779"/>
      <c r="C800" s="130"/>
      <c r="D800" s="130"/>
      <c r="F800" s="138"/>
    </row>
    <row r="801">
      <c r="B801" s="779"/>
      <c r="C801" s="130"/>
      <c r="D801" s="130"/>
      <c r="F801" s="138"/>
    </row>
    <row r="802">
      <c r="B802" s="779"/>
      <c r="C802" s="130"/>
      <c r="D802" s="130"/>
      <c r="F802" s="138"/>
    </row>
    <row r="803">
      <c r="B803" s="779"/>
      <c r="C803" s="130"/>
      <c r="D803" s="130"/>
      <c r="F803" s="138"/>
    </row>
    <row r="804">
      <c r="B804" s="779"/>
      <c r="C804" s="130"/>
      <c r="D804" s="130"/>
      <c r="F804" s="138"/>
    </row>
    <row r="805">
      <c r="B805" s="779"/>
      <c r="C805" s="130"/>
      <c r="D805" s="130"/>
      <c r="F805" s="138"/>
    </row>
    <row r="806">
      <c r="B806" s="779"/>
      <c r="C806" s="130"/>
      <c r="D806" s="130"/>
      <c r="F806" s="138"/>
    </row>
    <row r="807">
      <c r="B807" s="779"/>
      <c r="C807" s="130"/>
      <c r="D807" s="130"/>
      <c r="F807" s="138"/>
    </row>
    <row r="808">
      <c r="B808" s="779"/>
      <c r="C808" s="130"/>
      <c r="D808" s="130"/>
      <c r="F808" s="138"/>
    </row>
    <row r="809">
      <c r="B809" s="779"/>
      <c r="C809" s="130"/>
      <c r="D809" s="130"/>
      <c r="F809" s="138"/>
    </row>
    <row r="810">
      <c r="B810" s="779"/>
      <c r="C810" s="130"/>
      <c r="D810" s="130"/>
      <c r="F810" s="138"/>
    </row>
    <row r="811">
      <c r="B811" s="779"/>
      <c r="C811" s="130"/>
      <c r="D811" s="130"/>
      <c r="F811" s="138"/>
    </row>
    <row r="812">
      <c r="B812" s="779"/>
      <c r="C812" s="130"/>
      <c r="D812" s="130"/>
      <c r="F812" s="138"/>
    </row>
    <row r="813">
      <c r="B813" s="779"/>
      <c r="C813" s="130"/>
      <c r="D813" s="130"/>
      <c r="F813" s="138"/>
    </row>
    <row r="814">
      <c r="B814" s="779"/>
      <c r="C814" s="130"/>
      <c r="D814" s="130"/>
      <c r="F814" s="138"/>
    </row>
    <row r="815">
      <c r="B815" s="779"/>
      <c r="C815" s="130"/>
      <c r="D815" s="130"/>
      <c r="F815" s="138"/>
    </row>
    <row r="816">
      <c r="B816" s="779"/>
      <c r="C816" s="130"/>
      <c r="D816" s="130"/>
      <c r="F816" s="138"/>
    </row>
    <row r="817">
      <c r="B817" s="779"/>
      <c r="C817" s="130"/>
      <c r="D817" s="130"/>
      <c r="F817" s="138"/>
    </row>
    <row r="818">
      <c r="B818" s="779"/>
      <c r="C818" s="130"/>
      <c r="D818" s="130"/>
      <c r="F818" s="138"/>
    </row>
    <row r="819">
      <c r="B819" s="779"/>
      <c r="C819" s="130"/>
      <c r="D819" s="130"/>
      <c r="F819" s="138"/>
    </row>
    <row r="820">
      <c r="B820" s="779"/>
      <c r="C820" s="130"/>
      <c r="D820" s="130"/>
      <c r="F820" s="138"/>
    </row>
    <row r="821">
      <c r="B821" s="779"/>
      <c r="C821" s="130"/>
      <c r="D821" s="130"/>
      <c r="F821" s="138"/>
    </row>
    <row r="822">
      <c r="B822" s="779"/>
      <c r="C822" s="130"/>
      <c r="D822" s="130"/>
      <c r="F822" s="138"/>
    </row>
    <row r="823">
      <c r="B823" s="779"/>
      <c r="C823" s="130"/>
      <c r="D823" s="130"/>
      <c r="F823" s="138"/>
    </row>
    <row r="824">
      <c r="B824" s="779"/>
      <c r="C824" s="130"/>
      <c r="D824" s="130"/>
      <c r="F824" s="138"/>
    </row>
    <row r="825">
      <c r="B825" s="779"/>
      <c r="C825" s="130"/>
      <c r="D825" s="130"/>
      <c r="F825" s="138"/>
    </row>
    <row r="826">
      <c r="B826" s="779"/>
      <c r="C826" s="130"/>
      <c r="D826" s="130"/>
      <c r="F826" s="138"/>
    </row>
    <row r="827">
      <c r="B827" s="779"/>
      <c r="C827" s="130"/>
      <c r="D827" s="130"/>
      <c r="F827" s="138"/>
    </row>
    <row r="828">
      <c r="B828" s="779"/>
      <c r="C828" s="130"/>
      <c r="D828" s="130"/>
      <c r="F828" s="138"/>
    </row>
    <row r="829">
      <c r="B829" s="779"/>
      <c r="C829" s="130"/>
      <c r="D829" s="130"/>
      <c r="F829" s="138"/>
    </row>
    <row r="830">
      <c r="B830" s="779"/>
      <c r="C830" s="130"/>
      <c r="D830" s="130"/>
      <c r="F830" s="138"/>
    </row>
    <row r="831">
      <c r="B831" s="779"/>
      <c r="C831" s="130"/>
      <c r="D831" s="130"/>
      <c r="F831" s="138"/>
    </row>
    <row r="832">
      <c r="B832" s="779"/>
      <c r="C832" s="130"/>
      <c r="D832" s="130"/>
      <c r="F832" s="138"/>
    </row>
    <row r="833">
      <c r="B833" s="779"/>
      <c r="C833" s="130"/>
      <c r="D833" s="130"/>
      <c r="F833" s="138"/>
    </row>
    <row r="834">
      <c r="B834" s="779"/>
      <c r="C834" s="130"/>
      <c r="D834" s="130"/>
      <c r="F834" s="138"/>
    </row>
    <row r="835">
      <c r="B835" s="779"/>
      <c r="C835" s="130"/>
      <c r="D835" s="130"/>
      <c r="F835" s="138"/>
    </row>
    <row r="836">
      <c r="B836" s="779"/>
      <c r="C836" s="130"/>
      <c r="D836" s="130"/>
      <c r="F836" s="138"/>
    </row>
    <row r="837">
      <c r="B837" s="779"/>
      <c r="C837" s="130"/>
      <c r="D837" s="130"/>
      <c r="F837" s="138"/>
    </row>
    <row r="838">
      <c r="B838" s="779"/>
      <c r="C838" s="130"/>
      <c r="D838" s="130"/>
      <c r="F838" s="138"/>
    </row>
    <row r="839">
      <c r="B839" s="779"/>
      <c r="C839" s="130"/>
      <c r="D839" s="130"/>
      <c r="F839" s="138"/>
    </row>
    <row r="840">
      <c r="B840" s="779"/>
      <c r="C840" s="130"/>
      <c r="D840" s="130"/>
      <c r="F840" s="138"/>
    </row>
    <row r="841">
      <c r="B841" s="779"/>
      <c r="C841" s="130"/>
      <c r="D841" s="130"/>
      <c r="F841" s="138"/>
    </row>
    <row r="842">
      <c r="B842" s="779"/>
      <c r="C842" s="130"/>
      <c r="D842" s="130"/>
      <c r="F842" s="138"/>
    </row>
    <row r="843">
      <c r="B843" s="779"/>
      <c r="C843" s="130"/>
      <c r="D843" s="130"/>
      <c r="F843" s="138"/>
    </row>
    <row r="844">
      <c r="B844" s="779"/>
      <c r="C844" s="130"/>
      <c r="D844" s="130"/>
      <c r="F844" s="138"/>
    </row>
    <row r="845">
      <c r="B845" s="779"/>
      <c r="C845" s="130"/>
      <c r="D845" s="130"/>
      <c r="F845" s="138"/>
    </row>
    <row r="846">
      <c r="B846" s="779"/>
      <c r="C846" s="130"/>
      <c r="D846" s="130"/>
      <c r="F846" s="138"/>
    </row>
    <row r="847">
      <c r="B847" s="779"/>
      <c r="C847" s="130"/>
      <c r="D847" s="130"/>
      <c r="F847" s="138"/>
    </row>
    <row r="848">
      <c r="B848" s="779"/>
      <c r="C848" s="130"/>
      <c r="D848" s="130"/>
      <c r="F848" s="138"/>
    </row>
    <row r="849">
      <c r="B849" s="779"/>
      <c r="C849" s="130"/>
      <c r="D849" s="130"/>
      <c r="F849" s="138"/>
    </row>
    <row r="850">
      <c r="B850" s="779"/>
      <c r="C850" s="130"/>
      <c r="D850" s="130"/>
      <c r="F850" s="138"/>
    </row>
    <row r="851">
      <c r="B851" s="779"/>
      <c r="C851" s="130"/>
      <c r="D851" s="130"/>
      <c r="F851" s="138"/>
    </row>
    <row r="852">
      <c r="B852" s="779"/>
      <c r="C852" s="130"/>
      <c r="D852" s="130"/>
      <c r="F852" s="138"/>
    </row>
    <row r="853">
      <c r="B853" s="779"/>
      <c r="C853" s="130"/>
      <c r="D853" s="130"/>
      <c r="F853" s="138"/>
    </row>
    <row r="854">
      <c r="B854" s="779"/>
      <c r="C854" s="130"/>
      <c r="D854" s="130"/>
      <c r="F854" s="138"/>
    </row>
    <row r="855">
      <c r="B855" s="779"/>
      <c r="C855" s="130"/>
      <c r="D855" s="130"/>
      <c r="F855" s="138"/>
    </row>
    <row r="856">
      <c r="B856" s="779"/>
      <c r="C856" s="130"/>
      <c r="D856" s="130"/>
      <c r="F856" s="138"/>
    </row>
    <row r="857">
      <c r="B857" s="779"/>
      <c r="C857" s="130"/>
      <c r="D857" s="130"/>
      <c r="F857" s="138"/>
    </row>
    <row r="858">
      <c r="B858" s="779"/>
      <c r="C858" s="130"/>
      <c r="D858" s="130"/>
      <c r="F858" s="138"/>
    </row>
    <row r="859">
      <c r="B859" s="779"/>
      <c r="C859" s="130"/>
      <c r="D859" s="130"/>
      <c r="F859" s="138"/>
    </row>
    <row r="860">
      <c r="B860" s="779"/>
      <c r="C860" s="130"/>
      <c r="D860" s="130"/>
      <c r="F860" s="138"/>
    </row>
    <row r="861">
      <c r="B861" s="779"/>
      <c r="C861" s="130"/>
      <c r="D861" s="130"/>
      <c r="F861" s="138"/>
    </row>
    <row r="862">
      <c r="B862" s="779"/>
      <c r="C862" s="130"/>
      <c r="D862" s="130"/>
      <c r="F862" s="138"/>
    </row>
    <row r="863">
      <c r="B863" s="779"/>
      <c r="C863" s="130"/>
      <c r="D863" s="130"/>
      <c r="F863" s="138"/>
    </row>
    <row r="864">
      <c r="B864" s="779"/>
      <c r="C864" s="130"/>
      <c r="D864" s="130"/>
      <c r="F864" s="138"/>
    </row>
    <row r="865">
      <c r="B865" s="779"/>
      <c r="C865" s="130"/>
      <c r="D865" s="130"/>
      <c r="F865" s="138"/>
    </row>
    <row r="866">
      <c r="B866" s="779"/>
      <c r="C866" s="130"/>
      <c r="D866" s="130"/>
      <c r="F866" s="138"/>
    </row>
    <row r="867">
      <c r="B867" s="779"/>
      <c r="C867" s="130"/>
      <c r="D867" s="130"/>
      <c r="F867" s="138"/>
    </row>
    <row r="868">
      <c r="B868" s="779"/>
      <c r="C868" s="130"/>
      <c r="D868" s="130"/>
      <c r="F868" s="138"/>
    </row>
    <row r="869">
      <c r="B869" s="779"/>
      <c r="C869" s="130"/>
      <c r="D869" s="130"/>
      <c r="F869" s="138"/>
    </row>
    <row r="870">
      <c r="B870" s="779"/>
      <c r="C870" s="130"/>
      <c r="D870" s="130"/>
      <c r="F870" s="138"/>
    </row>
    <row r="871">
      <c r="B871" s="779"/>
      <c r="C871" s="130"/>
      <c r="D871" s="130"/>
      <c r="F871" s="138"/>
    </row>
    <row r="872">
      <c r="B872" s="779"/>
      <c r="C872" s="130"/>
      <c r="D872" s="130"/>
      <c r="F872" s="138"/>
    </row>
    <row r="873">
      <c r="B873" s="779"/>
      <c r="C873" s="130"/>
      <c r="D873" s="130"/>
      <c r="F873" s="138"/>
    </row>
    <row r="874">
      <c r="B874" s="779"/>
      <c r="C874" s="130"/>
      <c r="D874" s="130"/>
      <c r="F874" s="138"/>
    </row>
    <row r="875">
      <c r="B875" s="779"/>
      <c r="C875" s="130"/>
      <c r="D875" s="130"/>
      <c r="F875" s="138"/>
    </row>
    <row r="876">
      <c r="B876" s="779"/>
      <c r="C876" s="130"/>
      <c r="D876" s="130"/>
      <c r="F876" s="138"/>
    </row>
    <row r="877">
      <c r="B877" s="779"/>
      <c r="C877" s="130"/>
      <c r="D877" s="130"/>
      <c r="F877" s="138"/>
    </row>
    <row r="878">
      <c r="B878" s="779"/>
      <c r="C878" s="130"/>
      <c r="D878" s="130"/>
      <c r="F878" s="138"/>
    </row>
    <row r="879">
      <c r="B879" s="779"/>
      <c r="C879" s="130"/>
      <c r="D879" s="130"/>
      <c r="F879" s="138"/>
    </row>
    <row r="880">
      <c r="B880" s="779"/>
      <c r="C880" s="130"/>
      <c r="D880" s="130"/>
      <c r="F880" s="138"/>
    </row>
    <row r="881">
      <c r="B881" s="779"/>
      <c r="C881" s="130"/>
      <c r="D881" s="130"/>
      <c r="F881" s="138"/>
    </row>
    <row r="882">
      <c r="B882" s="779"/>
      <c r="C882" s="130"/>
      <c r="D882" s="130"/>
      <c r="F882" s="138"/>
    </row>
    <row r="883">
      <c r="B883" s="779"/>
      <c r="C883" s="130"/>
      <c r="D883" s="130"/>
      <c r="F883" s="138"/>
    </row>
    <row r="884">
      <c r="B884" s="779"/>
      <c r="C884" s="130"/>
      <c r="D884" s="130"/>
      <c r="F884" s="138"/>
    </row>
    <row r="885">
      <c r="B885" s="779"/>
      <c r="C885" s="130"/>
      <c r="D885" s="130"/>
      <c r="F885" s="138"/>
    </row>
    <row r="886">
      <c r="B886" s="779"/>
      <c r="C886" s="130"/>
      <c r="D886" s="130"/>
      <c r="F886" s="138"/>
    </row>
    <row r="887">
      <c r="B887" s="779"/>
      <c r="C887" s="130"/>
      <c r="D887" s="130"/>
      <c r="F887" s="138"/>
    </row>
    <row r="888">
      <c r="B888" s="779"/>
      <c r="C888" s="130"/>
      <c r="D888" s="130"/>
      <c r="F888" s="138"/>
    </row>
    <row r="889">
      <c r="B889" s="779"/>
      <c r="C889" s="130"/>
      <c r="D889" s="130"/>
      <c r="F889" s="138"/>
    </row>
    <row r="890">
      <c r="B890" s="779"/>
      <c r="C890" s="130"/>
      <c r="D890" s="130"/>
      <c r="F890" s="138"/>
    </row>
    <row r="891">
      <c r="B891" s="779"/>
      <c r="C891" s="130"/>
      <c r="D891" s="130"/>
      <c r="F891" s="138"/>
    </row>
    <row r="892">
      <c r="B892" s="779"/>
      <c r="C892" s="130"/>
      <c r="D892" s="130"/>
      <c r="F892" s="138"/>
    </row>
    <row r="893">
      <c r="B893" s="779"/>
      <c r="C893" s="130"/>
      <c r="D893" s="130"/>
      <c r="F893" s="138"/>
    </row>
    <row r="894">
      <c r="B894" s="779"/>
      <c r="C894" s="130"/>
      <c r="D894" s="130"/>
      <c r="F894" s="138"/>
    </row>
    <row r="895">
      <c r="B895" s="779"/>
      <c r="C895" s="130"/>
      <c r="D895" s="130"/>
      <c r="F895" s="138"/>
    </row>
    <row r="896">
      <c r="B896" s="779"/>
      <c r="C896" s="130"/>
      <c r="D896" s="130"/>
      <c r="F896" s="138"/>
    </row>
    <row r="897">
      <c r="B897" s="779"/>
      <c r="C897" s="130"/>
      <c r="D897" s="130"/>
      <c r="F897" s="138"/>
    </row>
    <row r="898">
      <c r="B898" s="779"/>
      <c r="C898" s="130"/>
      <c r="D898" s="130"/>
      <c r="F898" s="138"/>
    </row>
    <row r="899">
      <c r="B899" s="779"/>
      <c r="C899" s="130"/>
      <c r="D899" s="130"/>
      <c r="F899" s="138"/>
    </row>
    <row r="900">
      <c r="B900" s="779"/>
      <c r="C900" s="130"/>
      <c r="D900" s="130"/>
      <c r="F900" s="138"/>
    </row>
    <row r="901">
      <c r="B901" s="779"/>
      <c r="C901" s="130"/>
      <c r="D901" s="130"/>
      <c r="F901" s="138"/>
    </row>
    <row r="902">
      <c r="B902" s="779"/>
      <c r="C902" s="130"/>
      <c r="D902" s="130"/>
      <c r="F902" s="138"/>
    </row>
    <row r="903">
      <c r="B903" s="779"/>
      <c r="C903" s="130"/>
      <c r="D903" s="130"/>
      <c r="F903" s="138"/>
    </row>
    <row r="904">
      <c r="B904" s="779"/>
      <c r="C904" s="130"/>
      <c r="D904" s="130"/>
      <c r="F904" s="138"/>
    </row>
    <row r="905">
      <c r="B905" s="779"/>
      <c r="C905" s="130"/>
      <c r="D905" s="130"/>
      <c r="F905" s="138"/>
    </row>
    <row r="906">
      <c r="B906" s="779"/>
      <c r="C906" s="130"/>
      <c r="D906" s="130"/>
      <c r="F906" s="138"/>
    </row>
    <row r="907">
      <c r="B907" s="779"/>
      <c r="C907" s="130"/>
      <c r="D907" s="130"/>
      <c r="F907" s="138"/>
    </row>
    <row r="908">
      <c r="B908" s="779"/>
      <c r="C908" s="130"/>
      <c r="D908" s="130"/>
      <c r="F908" s="138"/>
    </row>
    <row r="909">
      <c r="B909" s="779"/>
      <c r="C909" s="130"/>
      <c r="D909" s="130"/>
      <c r="F909" s="138"/>
    </row>
    <row r="910">
      <c r="B910" s="779"/>
      <c r="C910" s="130"/>
      <c r="D910" s="130"/>
      <c r="F910" s="138"/>
    </row>
    <row r="911">
      <c r="B911" s="779"/>
      <c r="C911" s="130"/>
      <c r="D911" s="130"/>
      <c r="F911" s="138"/>
    </row>
    <row r="912">
      <c r="B912" s="779"/>
      <c r="C912" s="130"/>
      <c r="D912" s="130"/>
      <c r="F912" s="138"/>
    </row>
    <row r="913">
      <c r="B913" s="779"/>
      <c r="C913" s="130"/>
      <c r="D913" s="130"/>
      <c r="F913" s="138"/>
    </row>
    <row r="914">
      <c r="B914" s="779"/>
      <c r="C914" s="130"/>
      <c r="D914" s="130"/>
      <c r="F914" s="138"/>
    </row>
    <row r="915">
      <c r="B915" s="779"/>
      <c r="C915" s="130"/>
      <c r="D915" s="130"/>
      <c r="F915" s="138"/>
    </row>
    <row r="916">
      <c r="B916" s="779"/>
      <c r="C916" s="130"/>
      <c r="D916" s="130"/>
      <c r="F916" s="138"/>
    </row>
    <row r="917">
      <c r="B917" s="779"/>
      <c r="C917" s="130"/>
      <c r="D917" s="130"/>
      <c r="F917" s="138"/>
    </row>
    <row r="918">
      <c r="B918" s="779"/>
      <c r="C918" s="130"/>
      <c r="D918" s="130"/>
      <c r="F918" s="138"/>
    </row>
    <row r="919">
      <c r="B919" s="779"/>
      <c r="C919" s="130"/>
      <c r="D919" s="130"/>
      <c r="F919" s="138"/>
    </row>
    <row r="920">
      <c r="B920" s="779"/>
      <c r="C920" s="130"/>
      <c r="D920" s="130"/>
      <c r="F920" s="138"/>
    </row>
    <row r="921">
      <c r="B921" s="779"/>
      <c r="C921" s="130"/>
      <c r="D921" s="130"/>
      <c r="F921" s="138"/>
    </row>
    <row r="922">
      <c r="B922" s="779"/>
      <c r="C922" s="130"/>
      <c r="D922" s="130"/>
      <c r="F922" s="138"/>
    </row>
    <row r="923">
      <c r="B923" s="779"/>
      <c r="C923" s="130"/>
      <c r="D923" s="130"/>
      <c r="F923" s="138"/>
    </row>
    <row r="924">
      <c r="B924" s="779"/>
      <c r="C924" s="130"/>
      <c r="D924" s="130"/>
      <c r="F924" s="138"/>
    </row>
    <row r="925">
      <c r="B925" s="779"/>
      <c r="C925" s="130"/>
      <c r="D925" s="130"/>
      <c r="F925" s="138"/>
    </row>
    <row r="926">
      <c r="B926" s="779"/>
      <c r="C926" s="130"/>
      <c r="D926" s="130"/>
      <c r="F926" s="138"/>
    </row>
    <row r="927">
      <c r="B927" s="779"/>
      <c r="C927" s="130"/>
      <c r="D927" s="130"/>
      <c r="F927" s="138"/>
    </row>
    <row r="928">
      <c r="B928" s="779"/>
      <c r="C928" s="130"/>
      <c r="D928" s="130"/>
      <c r="F928" s="138"/>
    </row>
    <row r="929">
      <c r="B929" s="779"/>
      <c r="C929" s="130"/>
      <c r="D929" s="130"/>
      <c r="F929" s="138"/>
    </row>
    <row r="930">
      <c r="B930" s="779"/>
      <c r="C930" s="130"/>
      <c r="D930" s="130"/>
      <c r="F930" s="138"/>
    </row>
    <row r="931">
      <c r="B931" s="779"/>
      <c r="C931" s="130"/>
      <c r="D931" s="130"/>
      <c r="F931" s="138"/>
    </row>
    <row r="932">
      <c r="B932" s="779"/>
      <c r="C932" s="130"/>
      <c r="D932" s="130"/>
      <c r="F932" s="138"/>
    </row>
    <row r="933">
      <c r="B933" s="779"/>
      <c r="C933" s="130"/>
      <c r="D933" s="130"/>
      <c r="F933" s="138"/>
    </row>
    <row r="934">
      <c r="B934" s="779"/>
      <c r="C934" s="130"/>
      <c r="D934" s="130"/>
      <c r="F934" s="138"/>
    </row>
    <row r="935">
      <c r="B935" s="779"/>
      <c r="C935" s="130"/>
      <c r="D935" s="130"/>
      <c r="F935" s="138"/>
    </row>
    <row r="936">
      <c r="B936" s="779"/>
      <c r="C936" s="130"/>
      <c r="D936" s="130"/>
      <c r="F936" s="138"/>
    </row>
    <row r="937">
      <c r="B937" s="779"/>
      <c r="C937" s="130"/>
      <c r="D937" s="130"/>
      <c r="F937" s="138"/>
    </row>
    <row r="938">
      <c r="B938" s="779"/>
      <c r="C938" s="130"/>
      <c r="D938" s="130"/>
      <c r="F938" s="138"/>
    </row>
    <row r="939">
      <c r="B939" s="779"/>
      <c r="C939" s="130"/>
      <c r="D939" s="130"/>
      <c r="F939" s="138"/>
    </row>
    <row r="940">
      <c r="B940" s="779"/>
      <c r="C940" s="130"/>
      <c r="D940" s="130"/>
      <c r="F940" s="138"/>
    </row>
    <row r="941">
      <c r="B941" s="779"/>
      <c r="C941" s="130"/>
      <c r="D941" s="130"/>
      <c r="F941" s="138"/>
    </row>
    <row r="942">
      <c r="B942" s="779"/>
      <c r="C942" s="130"/>
      <c r="D942" s="130"/>
      <c r="F942" s="138"/>
    </row>
    <row r="943">
      <c r="B943" s="779"/>
      <c r="C943" s="130"/>
      <c r="D943" s="130"/>
      <c r="F943" s="138"/>
    </row>
    <row r="944">
      <c r="B944" s="779"/>
      <c r="C944" s="130"/>
      <c r="D944" s="130"/>
      <c r="F944" s="138"/>
    </row>
    <row r="945">
      <c r="B945" s="779"/>
      <c r="C945" s="130"/>
      <c r="D945" s="130"/>
      <c r="F945" s="138"/>
    </row>
    <row r="946">
      <c r="B946" s="779"/>
      <c r="C946" s="130"/>
      <c r="D946" s="130"/>
      <c r="F946" s="138"/>
    </row>
    <row r="947">
      <c r="B947" s="779"/>
      <c r="C947" s="130"/>
      <c r="D947" s="130"/>
      <c r="F947" s="138"/>
    </row>
    <row r="948">
      <c r="B948" s="779"/>
      <c r="C948" s="130"/>
      <c r="D948" s="130"/>
      <c r="F948" s="138"/>
    </row>
    <row r="949">
      <c r="B949" s="779"/>
      <c r="C949" s="130"/>
      <c r="D949" s="130"/>
      <c r="F949" s="138"/>
    </row>
    <row r="950">
      <c r="B950" s="779"/>
      <c r="C950" s="130"/>
      <c r="D950" s="130"/>
      <c r="F950" s="138"/>
    </row>
    <row r="951">
      <c r="B951" s="779"/>
      <c r="C951" s="130"/>
      <c r="D951" s="130"/>
      <c r="F951" s="138"/>
    </row>
    <row r="952">
      <c r="B952" s="779"/>
      <c r="C952" s="130"/>
      <c r="D952" s="130"/>
      <c r="F952" s="138"/>
    </row>
    <row r="953">
      <c r="B953" s="779"/>
      <c r="C953" s="130"/>
      <c r="D953" s="130"/>
      <c r="F953" s="138"/>
    </row>
    <row r="954">
      <c r="B954" s="779"/>
      <c r="C954" s="130"/>
      <c r="D954" s="130"/>
      <c r="F954" s="138"/>
    </row>
    <row r="955">
      <c r="B955" s="779"/>
      <c r="C955" s="130"/>
      <c r="D955" s="130"/>
      <c r="F955" s="138"/>
    </row>
    <row r="956">
      <c r="B956" s="779"/>
      <c r="C956" s="130"/>
      <c r="D956" s="130"/>
      <c r="F956" s="138"/>
    </row>
    <row r="957">
      <c r="B957" s="779"/>
      <c r="C957" s="130"/>
      <c r="D957" s="130"/>
      <c r="F957" s="138"/>
    </row>
    <row r="958">
      <c r="B958" s="779"/>
      <c r="C958" s="130"/>
      <c r="D958" s="130"/>
      <c r="F958" s="138"/>
    </row>
    <row r="959">
      <c r="B959" s="779"/>
      <c r="C959" s="130"/>
      <c r="D959" s="130"/>
      <c r="F959" s="138"/>
    </row>
    <row r="960">
      <c r="B960" s="779"/>
      <c r="C960" s="130"/>
      <c r="D960" s="130"/>
      <c r="F960" s="138"/>
    </row>
    <row r="961">
      <c r="B961" s="779"/>
      <c r="C961" s="130"/>
      <c r="D961" s="130"/>
      <c r="F961" s="138"/>
    </row>
    <row r="962">
      <c r="B962" s="779"/>
      <c r="C962" s="130"/>
      <c r="D962" s="130"/>
      <c r="F962" s="138"/>
    </row>
    <row r="963">
      <c r="B963" s="779"/>
      <c r="C963" s="130"/>
      <c r="D963" s="130"/>
      <c r="F963" s="138"/>
    </row>
    <row r="964">
      <c r="B964" s="779"/>
      <c r="C964" s="130"/>
      <c r="D964" s="130"/>
      <c r="F964" s="138"/>
    </row>
    <row r="965">
      <c r="B965" s="779"/>
      <c r="C965" s="130"/>
      <c r="D965" s="130"/>
      <c r="F965" s="138"/>
    </row>
    <row r="966">
      <c r="B966" s="779"/>
      <c r="C966" s="130"/>
      <c r="D966" s="130"/>
      <c r="F966" s="138"/>
    </row>
    <row r="967">
      <c r="B967" s="779"/>
      <c r="C967" s="130"/>
      <c r="D967" s="130"/>
      <c r="F967" s="138"/>
    </row>
    <row r="968">
      <c r="B968" s="779"/>
      <c r="C968" s="130"/>
      <c r="D968" s="130"/>
      <c r="F968" s="138"/>
    </row>
    <row r="969">
      <c r="B969" s="779"/>
      <c r="C969" s="130"/>
      <c r="D969" s="130"/>
      <c r="F969" s="138"/>
    </row>
    <row r="970">
      <c r="B970" s="779"/>
      <c r="C970" s="130"/>
      <c r="D970" s="130"/>
      <c r="F970" s="138"/>
    </row>
    <row r="971">
      <c r="B971" s="779"/>
      <c r="C971" s="130"/>
      <c r="D971" s="130"/>
      <c r="F971" s="138"/>
    </row>
    <row r="972">
      <c r="B972" s="779"/>
      <c r="C972" s="130"/>
      <c r="D972" s="130"/>
      <c r="F972" s="138"/>
    </row>
    <row r="973">
      <c r="B973" s="779"/>
      <c r="C973" s="130"/>
      <c r="D973" s="130"/>
      <c r="F973" s="138"/>
    </row>
    <row r="974">
      <c r="B974" s="779"/>
      <c r="C974" s="130"/>
      <c r="D974" s="130"/>
      <c r="F974" s="138"/>
    </row>
    <row r="975">
      <c r="B975" s="779"/>
      <c r="C975" s="130"/>
      <c r="D975" s="130"/>
      <c r="F975" s="138"/>
    </row>
    <row r="976">
      <c r="B976" s="779"/>
      <c r="C976" s="130"/>
      <c r="D976" s="130"/>
      <c r="F976" s="138"/>
    </row>
    <row r="977">
      <c r="B977" s="779"/>
      <c r="C977" s="130"/>
      <c r="D977" s="130"/>
      <c r="F977" s="138"/>
    </row>
    <row r="978">
      <c r="B978" s="779"/>
      <c r="C978" s="130"/>
      <c r="D978" s="130"/>
      <c r="F978" s="138"/>
    </row>
    <row r="979">
      <c r="B979" s="779"/>
      <c r="C979" s="130"/>
      <c r="D979" s="130"/>
      <c r="F979" s="138"/>
    </row>
    <row r="980">
      <c r="B980" s="779"/>
      <c r="C980" s="130"/>
      <c r="D980" s="130"/>
      <c r="F980" s="138"/>
    </row>
    <row r="981">
      <c r="B981" s="779"/>
      <c r="C981" s="130"/>
      <c r="D981" s="130"/>
      <c r="F981" s="138"/>
    </row>
    <row r="982">
      <c r="B982" s="779"/>
      <c r="C982" s="130"/>
      <c r="D982" s="130"/>
      <c r="F982" s="138"/>
    </row>
    <row r="983">
      <c r="B983" s="779"/>
      <c r="C983" s="130"/>
      <c r="D983" s="130"/>
      <c r="F983" s="138"/>
    </row>
    <row r="984">
      <c r="B984" s="779"/>
      <c r="C984" s="130"/>
      <c r="D984" s="130"/>
      <c r="F984" s="138"/>
    </row>
    <row r="985">
      <c r="B985" s="779"/>
      <c r="C985" s="130"/>
      <c r="D985" s="130"/>
      <c r="F985" s="138"/>
    </row>
    <row r="986">
      <c r="B986" s="779"/>
      <c r="C986" s="130"/>
      <c r="D986" s="130"/>
      <c r="F986" s="138"/>
    </row>
    <row r="987">
      <c r="B987" s="779"/>
      <c r="C987" s="130"/>
      <c r="D987" s="130"/>
      <c r="F987" s="138"/>
    </row>
    <row r="988">
      <c r="B988" s="779"/>
      <c r="C988" s="130"/>
      <c r="D988" s="130"/>
      <c r="F988" s="138"/>
    </row>
    <row r="989">
      <c r="B989" s="779"/>
      <c r="C989" s="130"/>
      <c r="D989" s="130"/>
      <c r="F989" s="138"/>
    </row>
    <row r="990">
      <c r="B990" s="779"/>
      <c r="C990" s="130"/>
      <c r="D990" s="130"/>
      <c r="F990" s="138"/>
    </row>
    <row r="991">
      <c r="B991" s="779"/>
      <c r="C991" s="130"/>
      <c r="D991" s="130"/>
      <c r="F991" s="138"/>
    </row>
    <row r="992">
      <c r="B992" s="779"/>
      <c r="C992" s="130"/>
      <c r="D992" s="130"/>
      <c r="F992" s="138"/>
    </row>
    <row r="993">
      <c r="B993" s="779"/>
      <c r="C993" s="130"/>
      <c r="D993" s="130"/>
      <c r="F993" s="138"/>
    </row>
    <row r="994">
      <c r="B994" s="779"/>
      <c r="C994" s="130"/>
      <c r="D994" s="130"/>
      <c r="F994" s="138"/>
    </row>
    <row r="995">
      <c r="B995" s="779"/>
      <c r="C995" s="130"/>
      <c r="D995" s="130"/>
      <c r="F995" s="138"/>
    </row>
    <row r="996">
      <c r="B996" s="779"/>
      <c r="C996" s="130"/>
      <c r="D996" s="130"/>
      <c r="F996" s="138"/>
    </row>
    <row r="997">
      <c r="B997" s="779"/>
      <c r="C997" s="130"/>
      <c r="D997" s="130"/>
      <c r="F997" s="138"/>
    </row>
    <row r="998">
      <c r="B998" s="779"/>
      <c r="C998" s="130"/>
      <c r="D998" s="130"/>
      <c r="F998" s="138"/>
    </row>
    <row r="999">
      <c r="B999" s="779"/>
      <c r="C999" s="130"/>
      <c r="D999" s="130"/>
      <c r="F999" s="138"/>
    </row>
    <row r="1000">
      <c r="B1000" s="779"/>
      <c r="C1000" s="130"/>
      <c r="D1000" s="130"/>
      <c r="F1000" s="138"/>
    </row>
  </sheetData>
  <mergeCells count="56">
    <mergeCell ref="B43:B44"/>
    <mergeCell ref="B41:B42"/>
    <mergeCell ref="B30:B31"/>
    <mergeCell ref="B26:B27"/>
    <mergeCell ref="B9:B10"/>
    <mergeCell ref="B16:B17"/>
    <mergeCell ref="B14:B15"/>
    <mergeCell ref="B4:B5"/>
    <mergeCell ref="B7:B8"/>
    <mergeCell ref="B38:B39"/>
    <mergeCell ref="L1:O1"/>
    <mergeCell ref="P1:S1"/>
    <mergeCell ref="B45:B46"/>
    <mergeCell ref="B32:B33"/>
    <mergeCell ref="B24:B25"/>
    <mergeCell ref="B19:B20"/>
    <mergeCell ref="B82:B83"/>
    <mergeCell ref="B84:B85"/>
    <mergeCell ref="B92:B93"/>
    <mergeCell ref="B88:B89"/>
    <mergeCell ref="B90:B91"/>
    <mergeCell ref="B79:B80"/>
    <mergeCell ref="B73:B74"/>
    <mergeCell ref="B98:B99"/>
    <mergeCell ref="B100:B101"/>
    <mergeCell ref="B63:B64"/>
    <mergeCell ref="B56:B57"/>
    <mergeCell ref="B54:B55"/>
    <mergeCell ref="B48:B49"/>
    <mergeCell ref="B94:B95"/>
    <mergeCell ref="B71:B72"/>
    <mergeCell ref="B145:B146"/>
    <mergeCell ref="B149:B150"/>
    <mergeCell ref="B132:B133"/>
    <mergeCell ref="B130:B131"/>
    <mergeCell ref="B172:B174"/>
    <mergeCell ref="B175:B177"/>
    <mergeCell ref="B178:B179"/>
    <mergeCell ref="B180:B182"/>
    <mergeCell ref="B114:B115"/>
    <mergeCell ref="B107:B108"/>
    <mergeCell ref="B112:B113"/>
    <mergeCell ref="B118:B119"/>
    <mergeCell ref="B116:B117"/>
    <mergeCell ref="B61:B62"/>
    <mergeCell ref="B59:B60"/>
    <mergeCell ref="B159:B164"/>
    <mergeCell ref="B165:B166"/>
    <mergeCell ref="B167:B168"/>
    <mergeCell ref="B155:B156"/>
    <mergeCell ref="B153:B154"/>
    <mergeCell ref="B157:B158"/>
    <mergeCell ref="B122:B123"/>
    <mergeCell ref="B124:B125"/>
    <mergeCell ref="B142:B143"/>
    <mergeCell ref="B138:B139"/>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2" ref="C4"/>
    <hyperlink r:id="rId3" ref="C11"/>
    <hyperlink r:id="rId4" ref="C17"/>
    <hyperlink r:id="rId5" ref="C35"/>
    <hyperlink r:id="rId6" ref="C45"/>
    <hyperlink r:id="rId7" ref="C67"/>
    <hyperlink r:id="rId8" ref="C70"/>
    <hyperlink r:id="rId9" ref="C72"/>
    <hyperlink r:id="rId10" ref="C112"/>
    <hyperlink r:id="rId11" ref="C118"/>
    <hyperlink r:id="rId12" ref="C141"/>
    <hyperlink r:id="rId13" ref="C151"/>
    <hyperlink r:id="rId14" ref="B153"/>
    <hyperlink r:id="rId15" ref="B155"/>
    <hyperlink r:id="rId16" ref="C155"/>
    <hyperlink r:id="rId17" ref="C156"/>
    <hyperlink r:id="rId18" ref="B157"/>
    <hyperlink r:id="rId19" ref="C157"/>
    <hyperlink r:id="rId20" ref="C158"/>
    <hyperlink r:id="rId21" ref="B159"/>
    <hyperlink r:id="rId22" ref="C159"/>
    <hyperlink r:id="rId23" ref="C160"/>
    <hyperlink r:id="rId24" ref="C162"/>
    <hyperlink r:id="rId25" ref="C163"/>
    <hyperlink r:id="rId26" ref="C164"/>
    <hyperlink r:id="rId27" ref="B165"/>
    <hyperlink r:id="rId28" ref="C165"/>
    <hyperlink r:id="rId29" ref="C166"/>
    <hyperlink r:id="rId30" ref="B167"/>
    <hyperlink r:id="rId31" ref="C168"/>
    <hyperlink r:id="rId32" ref="B169"/>
    <hyperlink r:id="rId33" ref="C169"/>
    <hyperlink r:id="rId34" ref="B170"/>
    <hyperlink r:id="rId35" ref="B171"/>
    <hyperlink r:id="rId36" ref="C171"/>
    <hyperlink r:id="rId37" ref="B172"/>
    <hyperlink r:id="rId38" ref="C173"/>
    <hyperlink r:id="rId39" ref="B175"/>
    <hyperlink r:id="rId40" ref="C176"/>
    <hyperlink r:id="rId41" ref="C177"/>
    <hyperlink r:id="rId42" ref="B178"/>
    <hyperlink r:id="rId43" ref="C178"/>
    <hyperlink r:id="rId44" ref="C179"/>
    <hyperlink r:id="rId45" ref="B180"/>
  </hyperlinks>
  <drawing r:id="rId46"/>
  <legacyDrawing r:id="rId47"/>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FC5E8"/>
    <outlinePr summaryBelow="0" summaryRight="0"/>
  </sheetPr>
  <sheetViews>
    <sheetView workbookViewId="0">
      <pane xSplit="4.0" topLeftCell="E1" activePane="topRight" state="frozen"/>
      <selection activeCell="F2" sqref="F2" pane="topRight"/>
    </sheetView>
  </sheetViews>
  <sheetFormatPr customHeight="1" defaultColWidth="14.43" defaultRowHeight="15.75"/>
  <cols>
    <col customWidth="1" min="1" max="1" width="12.29"/>
    <col customWidth="1" min="2" max="2" width="9.57"/>
    <col customWidth="1" min="3" max="3" width="13.57"/>
    <col customWidth="1" min="4" max="4" width="18.57"/>
  </cols>
  <sheetData>
    <row r="1">
      <c r="A1" s="739" t="s">
        <v>0</v>
      </c>
      <c r="B1" s="740" t="s">
        <v>1</v>
      </c>
      <c r="C1" s="748" t="s">
        <v>2</v>
      </c>
      <c r="D1" s="748" t="s">
        <v>2</v>
      </c>
      <c r="E1" s="750"/>
      <c r="F1" s="742" t="s">
        <v>1577</v>
      </c>
      <c r="G1" s="742" t="s">
        <v>4</v>
      </c>
      <c r="H1" s="742" t="s">
        <v>5</v>
      </c>
      <c r="I1" s="742" t="s">
        <v>6</v>
      </c>
      <c r="J1" s="742" t="s">
        <v>7</v>
      </c>
      <c r="K1" s="1" t="s">
        <v>8</v>
      </c>
      <c r="L1" s="743" t="s">
        <v>9</v>
      </c>
      <c r="N1" s="743" t="s">
        <v>14</v>
      </c>
      <c r="O1" s="751"/>
      <c r="P1" s="741"/>
      <c r="Q1" s="741"/>
      <c r="R1" s="742"/>
      <c r="S1" s="665"/>
      <c r="T1" s="665"/>
      <c r="U1" s="665"/>
      <c r="V1" s="665"/>
      <c r="W1" s="665"/>
      <c r="X1" s="665"/>
      <c r="Y1" s="665"/>
      <c r="Z1" s="665"/>
      <c r="AA1" s="665"/>
      <c r="AB1" s="665"/>
      <c r="AC1" s="665"/>
      <c r="AD1" s="665"/>
    </row>
    <row r="2">
      <c r="A2" s="745"/>
      <c r="B2" s="746"/>
      <c r="C2" s="753"/>
      <c r="D2" s="753"/>
      <c r="E2" s="750"/>
      <c r="F2" s="749">
        <v>43474.0</v>
      </c>
      <c r="G2" s="749">
        <v>43483.0</v>
      </c>
      <c r="H2" s="754"/>
      <c r="I2" s="749">
        <v>43474.0</v>
      </c>
      <c r="J2" s="745"/>
      <c r="K2" s="23"/>
      <c r="L2" s="752">
        <f>CountIFS($E:$E,"=Dem",$A:$A,"=House")</f>
        <v>49</v>
      </c>
      <c r="M2" s="755">
        <f>CountIFS($E:$E,"=Rep",$A:$A,"=House")</f>
        <v>51</v>
      </c>
      <c r="N2" s="752">
        <f>CountIFS($E:$E,"=Dem",$A:$A,"=Senate")</f>
        <v>18</v>
      </c>
      <c r="O2" s="755">
        <f>CountIFS($E:$E,"=Rep",$A:$A,"=Senate")</f>
        <v>21</v>
      </c>
      <c r="P2" s="741"/>
      <c r="Q2" s="741"/>
      <c r="R2" s="742"/>
      <c r="S2" s="665"/>
      <c r="T2" s="665"/>
      <c r="U2" s="665"/>
      <c r="V2" s="665"/>
      <c r="W2" s="665"/>
      <c r="X2" s="665"/>
      <c r="Y2" s="665"/>
      <c r="Z2" s="665"/>
      <c r="AA2" s="665"/>
      <c r="AB2" s="665"/>
      <c r="AC2" s="665"/>
      <c r="AD2" s="665"/>
    </row>
    <row r="3">
      <c r="A3" s="742" t="s">
        <v>29</v>
      </c>
      <c r="B3" s="740" t="s">
        <v>30</v>
      </c>
      <c r="C3" s="760" t="s">
        <v>31</v>
      </c>
      <c r="D3" s="760" t="s">
        <v>32</v>
      </c>
      <c r="E3" s="763" t="s">
        <v>33</v>
      </c>
      <c r="F3" s="739" t="s">
        <v>10</v>
      </c>
      <c r="G3" s="739" t="s">
        <v>34</v>
      </c>
      <c r="H3" s="739" t="s">
        <v>34</v>
      </c>
      <c r="I3" s="739" t="s">
        <v>34</v>
      </c>
      <c r="J3" s="739" t="s">
        <v>34</v>
      </c>
      <c r="K3" s="739" t="s">
        <v>35</v>
      </c>
      <c r="L3" s="759" t="s">
        <v>36</v>
      </c>
      <c r="M3" s="759" t="s">
        <v>37</v>
      </c>
      <c r="N3" s="759" t="s">
        <v>38</v>
      </c>
      <c r="O3" s="761" t="s">
        <v>39</v>
      </c>
      <c r="P3" s="762" t="s">
        <v>40</v>
      </c>
      <c r="Q3" s="762" t="s">
        <v>41</v>
      </c>
      <c r="R3" s="764" t="s">
        <v>42</v>
      </c>
      <c r="S3" s="665"/>
      <c r="T3" s="665"/>
      <c r="U3" s="665"/>
      <c r="V3" s="665"/>
      <c r="W3" s="665"/>
      <c r="X3" s="665"/>
      <c r="Y3" s="665"/>
      <c r="Z3" s="665"/>
      <c r="AA3" s="665"/>
      <c r="AB3" s="665"/>
      <c r="AC3" s="665"/>
      <c r="AD3" s="665"/>
    </row>
    <row r="4">
      <c r="A4" s="14" t="s">
        <v>44</v>
      </c>
      <c r="B4" s="767">
        <v>1.0</v>
      </c>
      <c r="C4" s="295" t="s">
        <v>1990</v>
      </c>
      <c r="D4" s="295" t="s">
        <v>13059</v>
      </c>
      <c r="E4" s="769" t="s">
        <v>53</v>
      </c>
      <c r="F4" s="771"/>
      <c r="G4" s="264" t="s">
        <v>9620</v>
      </c>
      <c r="H4" s="14" t="s">
        <v>13066</v>
      </c>
      <c r="I4" s="14" t="s">
        <v>780</v>
      </c>
      <c r="K4" s="395" t="s">
        <v>13068</v>
      </c>
      <c r="L4" s="223" t="s">
        <v>13069</v>
      </c>
      <c r="M4" s="89" t="str">
        <f t="shared" ref="M4:M26" si="1">Concatenate("del",lower(left(C4,1)),lower(D4),"@house.virginia.gov")</f>
        <v>deltkilgore@house.virginia.gov</v>
      </c>
      <c r="N4" s="89"/>
      <c r="O4" s="89"/>
      <c r="P4" s="89"/>
      <c r="Q4" s="89"/>
      <c r="R4" s="89"/>
    </row>
    <row r="5">
      <c r="A5" s="14" t="s">
        <v>44</v>
      </c>
      <c r="B5" s="767">
        <v>2.0</v>
      </c>
      <c r="C5" s="295" t="s">
        <v>191</v>
      </c>
      <c r="D5" s="256" t="s">
        <v>13096</v>
      </c>
      <c r="E5" s="772" t="s">
        <v>49</v>
      </c>
      <c r="F5" s="771"/>
      <c r="G5" s="14" t="s">
        <v>13066</v>
      </c>
      <c r="H5" s="14" t="s">
        <v>13099</v>
      </c>
      <c r="L5" s="223" t="s">
        <v>13100</v>
      </c>
      <c r="M5" s="89" t="str">
        <f t="shared" si="1"/>
        <v>deljcarrollfoy@house.virginia.gov</v>
      </c>
      <c r="N5" s="89"/>
      <c r="O5" s="89"/>
      <c r="P5" s="89"/>
      <c r="Q5" s="89"/>
      <c r="R5" s="89"/>
    </row>
    <row r="6">
      <c r="A6" s="14" t="s">
        <v>44</v>
      </c>
      <c r="B6" s="767">
        <v>3.0</v>
      </c>
      <c r="C6" s="295" t="s">
        <v>689</v>
      </c>
      <c r="D6" s="295" t="s">
        <v>13119</v>
      </c>
      <c r="E6" s="769" t="s">
        <v>53</v>
      </c>
      <c r="F6" s="771"/>
      <c r="G6" s="14" t="s">
        <v>13120</v>
      </c>
      <c r="H6" s="14" t="s">
        <v>13121</v>
      </c>
      <c r="I6" s="14" t="s">
        <v>7635</v>
      </c>
      <c r="J6" s="14" t="s">
        <v>13099</v>
      </c>
      <c r="L6" s="223" t="s">
        <v>13122</v>
      </c>
      <c r="M6" s="89" t="str">
        <f t="shared" si="1"/>
        <v>delwmorefield@house.virginia.gov</v>
      </c>
      <c r="N6" s="89"/>
      <c r="O6" s="89"/>
      <c r="P6" s="89"/>
      <c r="Q6" s="89"/>
      <c r="R6" s="89"/>
    </row>
    <row r="7">
      <c r="A7" s="14" t="s">
        <v>44</v>
      </c>
      <c r="B7" s="767">
        <v>4.0</v>
      </c>
      <c r="C7" s="295" t="s">
        <v>1974</v>
      </c>
      <c r="D7" s="295" t="s">
        <v>13140</v>
      </c>
      <c r="E7" s="769" t="s">
        <v>53</v>
      </c>
      <c r="F7" s="771"/>
      <c r="G7" s="264" t="s">
        <v>626</v>
      </c>
      <c r="H7" s="14" t="s">
        <v>13142</v>
      </c>
      <c r="I7" s="14" t="s">
        <v>578</v>
      </c>
      <c r="L7" s="223" t="s">
        <v>13144</v>
      </c>
      <c r="M7" s="89" t="str">
        <f t="shared" si="1"/>
        <v>deltpillion@house.virginia.gov</v>
      </c>
      <c r="N7" s="89"/>
      <c r="O7" s="89"/>
      <c r="P7" s="89"/>
      <c r="Q7" s="89"/>
      <c r="R7" s="89"/>
    </row>
    <row r="8">
      <c r="A8" s="14" t="s">
        <v>44</v>
      </c>
      <c r="B8" s="767">
        <v>5.0</v>
      </c>
      <c r="C8" s="295" t="s">
        <v>12588</v>
      </c>
      <c r="D8" s="295" t="s">
        <v>13172</v>
      </c>
      <c r="E8" s="769" t="s">
        <v>53</v>
      </c>
      <c r="F8" s="771"/>
      <c r="G8" s="264" t="s">
        <v>9620</v>
      </c>
      <c r="H8" s="14" t="s">
        <v>13099</v>
      </c>
      <c r="I8" s="14" t="s">
        <v>13173</v>
      </c>
      <c r="L8" s="223" t="s">
        <v>13178</v>
      </c>
      <c r="M8" s="261" t="str">
        <f t="shared" si="1"/>
        <v>delio'quinn@house.virginia.gov</v>
      </c>
      <c r="N8" s="89"/>
      <c r="O8" s="89"/>
      <c r="P8" s="89"/>
      <c r="Q8" s="89"/>
      <c r="R8" s="89"/>
    </row>
    <row r="9">
      <c r="A9" s="14" t="s">
        <v>44</v>
      </c>
      <c r="B9" s="767">
        <v>6.0</v>
      </c>
      <c r="C9" s="295" t="s">
        <v>683</v>
      </c>
      <c r="D9" s="295" t="s">
        <v>530</v>
      </c>
      <c r="E9" s="769" t="s">
        <v>53</v>
      </c>
      <c r="F9" s="771"/>
      <c r="G9" s="14" t="s">
        <v>13121</v>
      </c>
      <c r="H9" s="14" t="s">
        <v>13066</v>
      </c>
      <c r="I9" s="14" t="s">
        <v>13194</v>
      </c>
      <c r="J9" s="14" t="s">
        <v>13142</v>
      </c>
      <c r="L9" s="223" t="s">
        <v>13195</v>
      </c>
      <c r="M9" s="89" t="str">
        <f t="shared" si="1"/>
        <v>deljcampbell@house.virginia.gov</v>
      </c>
      <c r="N9" s="89"/>
      <c r="O9" s="89"/>
      <c r="P9" s="89"/>
      <c r="Q9" s="89"/>
      <c r="R9" s="89"/>
    </row>
    <row r="10">
      <c r="A10" s="14" t="s">
        <v>44</v>
      </c>
      <c r="B10" s="767">
        <v>7.0</v>
      </c>
      <c r="C10" s="295" t="s">
        <v>3030</v>
      </c>
      <c r="D10" s="295" t="s">
        <v>4690</v>
      </c>
      <c r="E10" s="769" t="s">
        <v>53</v>
      </c>
      <c r="F10" s="771"/>
      <c r="G10" s="264" t="s">
        <v>626</v>
      </c>
      <c r="H10" s="14" t="s">
        <v>13099</v>
      </c>
      <c r="I10" s="14" t="s">
        <v>13173</v>
      </c>
      <c r="L10" s="223" t="s">
        <v>13227</v>
      </c>
      <c r="M10" s="89" t="str">
        <f t="shared" si="1"/>
        <v>delnrush@house.virginia.gov</v>
      </c>
      <c r="N10" s="89"/>
      <c r="O10" s="89"/>
      <c r="P10" s="89"/>
      <c r="Q10" s="89"/>
      <c r="R10" s="89"/>
    </row>
    <row r="11">
      <c r="A11" s="14" t="s">
        <v>44</v>
      </c>
      <c r="B11" s="767">
        <v>8.0</v>
      </c>
      <c r="C11" s="266" t="s">
        <v>2527</v>
      </c>
      <c r="D11" s="266" t="s">
        <v>4777</v>
      </c>
      <c r="E11" s="769" t="s">
        <v>53</v>
      </c>
      <c r="F11" s="771"/>
      <c r="G11" s="264" t="s">
        <v>13239</v>
      </c>
      <c r="L11" s="223" t="s">
        <v>13240</v>
      </c>
      <c r="M11" s="89" t="str">
        <f t="shared" si="1"/>
        <v>deljmcnamara@house.virginia.gov</v>
      </c>
      <c r="N11" s="89"/>
      <c r="O11" s="89"/>
      <c r="P11" s="89"/>
      <c r="Q11" s="89"/>
      <c r="R11" s="89"/>
    </row>
    <row r="12">
      <c r="A12" s="14" t="s">
        <v>44</v>
      </c>
      <c r="B12" s="767">
        <v>9.0</v>
      </c>
      <c r="C12" s="295" t="s">
        <v>1287</v>
      </c>
      <c r="D12" s="295" t="s">
        <v>13270</v>
      </c>
      <c r="E12" s="769" t="s">
        <v>53</v>
      </c>
      <c r="F12" s="771"/>
      <c r="G12" s="14" t="s">
        <v>13120</v>
      </c>
      <c r="H12" s="264" t="s">
        <v>626</v>
      </c>
      <c r="I12" s="14" t="s">
        <v>13121</v>
      </c>
      <c r="L12" s="223" t="s">
        <v>13271</v>
      </c>
      <c r="M12" s="89" t="str">
        <f t="shared" si="1"/>
        <v>delcpoindexter@house.virginia.gov</v>
      </c>
      <c r="N12" s="89"/>
      <c r="O12" s="89"/>
      <c r="P12" s="89"/>
      <c r="Q12" s="89"/>
      <c r="R12" s="89"/>
    </row>
    <row r="13">
      <c r="A13" s="14" t="s">
        <v>44</v>
      </c>
      <c r="B13" s="767">
        <v>10.0</v>
      </c>
      <c r="C13" s="295" t="s">
        <v>1725</v>
      </c>
      <c r="D13" s="295" t="s">
        <v>13290</v>
      </c>
      <c r="E13" s="772" t="s">
        <v>49</v>
      </c>
      <c r="F13" s="771"/>
      <c r="G13" s="14" t="s">
        <v>13121</v>
      </c>
      <c r="H13" s="14" t="s">
        <v>13142</v>
      </c>
      <c r="L13" s="223" t="s">
        <v>13291</v>
      </c>
      <c r="M13" s="89" t="str">
        <f t="shared" si="1"/>
        <v>delwgooditis@house.virginia.gov</v>
      </c>
      <c r="N13" s="89"/>
      <c r="O13" s="89"/>
      <c r="P13" s="89"/>
      <c r="Q13" s="89"/>
      <c r="R13" s="89"/>
    </row>
    <row r="14">
      <c r="A14" s="14" t="s">
        <v>44</v>
      </c>
      <c r="B14" s="767">
        <v>11.0</v>
      </c>
      <c r="C14" s="295" t="s">
        <v>13322</v>
      </c>
      <c r="D14" s="295" t="s">
        <v>13326</v>
      </c>
      <c r="E14" s="772" t="s">
        <v>49</v>
      </c>
      <c r="F14" s="771"/>
      <c r="G14" s="14" t="s">
        <v>13194</v>
      </c>
      <c r="H14" s="14" t="s">
        <v>13099</v>
      </c>
      <c r="I14" s="14" t="s">
        <v>13173</v>
      </c>
      <c r="L14" s="223" t="s">
        <v>13329</v>
      </c>
      <c r="M14" s="89" t="str">
        <f t="shared" si="1"/>
        <v>delsrasoul@house.virginia.gov</v>
      </c>
      <c r="N14" s="89"/>
      <c r="O14" s="89"/>
      <c r="P14" s="89"/>
      <c r="Q14" s="89"/>
      <c r="R14" s="89"/>
    </row>
    <row r="15">
      <c r="A15" s="14" t="s">
        <v>44</v>
      </c>
      <c r="B15" s="767">
        <v>12.0</v>
      </c>
      <c r="C15" s="295" t="s">
        <v>173</v>
      </c>
      <c r="D15" s="295" t="s">
        <v>408</v>
      </c>
      <c r="E15" s="772" t="s">
        <v>49</v>
      </c>
      <c r="F15" s="771"/>
      <c r="G15" s="14" t="s">
        <v>515</v>
      </c>
      <c r="H15" s="14" t="s">
        <v>13142</v>
      </c>
      <c r="L15" s="223" t="s">
        <v>13349</v>
      </c>
      <c r="M15" s="89" t="str">
        <f t="shared" si="1"/>
        <v>delchurst@house.virginia.gov</v>
      </c>
      <c r="N15" s="89"/>
      <c r="O15" s="89"/>
      <c r="P15" s="89"/>
      <c r="Q15" s="89"/>
      <c r="R15" s="89"/>
    </row>
    <row r="16">
      <c r="A16" s="14" t="s">
        <v>44</v>
      </c>
      <c r="B16" s="767">
        <v>13.0</v>
      </c>
      <c r="C16" s="295" t="s">
        <v>13353</v>
      </c>
      <c r="D16" s="295" t="s">
        <v>13354</v>
      </c>
      <c r="E16" s="772" t="s">
        <v>49</v>
      </c>
      <c r="F16" s="771"/>
      <c r="G16" s="14" t="s">
        <v>13121</v>
      </c>
      <c r="H16" s="14" t="s">
        <v>13142</v>
      </c>
      <c r="L16" s="776" t="s">
        <v>13355</v>
      </c>
      <c r="M16" s="89" t="str">
        <f t="shared" si="1"/>
        <v>deldroem@house.virginia.gov</v>
      </c>
      <c r="N16" s="89"/>
      <c r="O16" s="89"/>
      <c r="P16" s="89"/>
      <c r="Q16" s="89"/>
      <c r="R16" s="89"/>
    </row>
    <row r="17">
      <c r="A17" s="14" t="s">
        <v>44</v>
      </c>
      <c r="B17" s="767">
        <v>14.0</v>
      </c>
      <c r="C17" s="295" t="s">
        <v>100</v>
      </c>
      <c r="D17" s="295" t="s">
        <v>1150</v>
      </c>
      <c r="E17" s="769" t="s">
        <v>53</v>
      </c>
      <c r="F17" s="771"/>
      <c r="G17" s="14" t="s">
        <v>13120</v>
      </c>
      <c r="H17" s="264" t="s">
        <v>9620</v>
      </c>
      <c r="I17" s="14" t="s">
        <v>13121</v>
      </c>
      <c r="L17" s="776" t="s">
        <v>13366</v>
      </c>
      <c r="M17" s="89" t="str">
        <f t="shared" si="1"/>
        <v>deldmarshall@house.virginia.gov</v>
      </c>
      <c r="N17" s="89"/>
      <c r="O17" s="89"/>
      <c r="P17" s="89"/>
      <c r="Q17" s="89"/>
      <c r="R17" s="89"/>
    </row>
    <row r="18">
      <c r="A18" s="14" t="s">
        <v>44</v>
      </c>
      <c r="B18" s="767">
        <v>15.0</v>
      </c>
      <c r="C18" s="256" t="s">
        <v>1974</v>
      </c>
      <c r="D18" s="256" t="s">
        <v>815</v>
      </c>
      <c r="E18" s="769" t="s">
        <v>53</v>
      </c>
      <c r="F18" s="777" t="s">
        <v>176</v>
      </c>
      <c r="G18" s="14" t="s">
        <v>13066</v>
      </c>
      <c r="H18" s="14" t="s">
        <v>7635</v>
      </c>
      <c r="I18" s="14" t="s">
        <v>780</v>
      </c>
      <c r="L18" s="776" t="s">
        <v>13375</v>
      </c>
      <c r="M18" s="89" t="str">
        <f t="shared" si="1"/>
        <v>deltgilbert@house.virginia.gov</v>
      </c>
      <c r="N18" s="89"/>
      <c r="O18" s="89"/>
      <c r="P18" s="89"/>
      <c r="Q18" s="89"/>
      <c r="R18" s="89"/>
    </row>
    <row r="19">
      <c r="A19" s="14" t="s">
        <v>44</v>
      </c>
      <c r="B19" s="767">
        <v>16.0</v>
      </c>
      <c r="C19" s="295" t="s">
        <v>1205</v>
      </c>
      <c r="D19" s="295" t="s">
        <v>5375</v>
      </c>
      <c r="E19" s="769" t="s">
        <v>53</v>
      </c>
      <c r="F19" s="771"/>
      <c r="G19" s="14" t="s">
        <v>13066</v>
      </c>
      <c r="H19" s="14" t="s">
        <v>13173</v>
      </c>
      <c r="I19" s="14" t="s">
        <v>13142</v>
      </c>
      <c r="J19" s="14" t="s">
        <v>578</v>
      </c>
      <c r="L19" s="223" t="s">
        <v>13380</v>
      </c>
      <c r="M19" s="89" t="str">
        <f t="shared" si="1"/>
        <v>delladams@house.virginia.gov</v>
      </c>
      <c r="N19" s="89"/>
      <c r="O19" s="89"/>
      <c r="P19" s="89"/>
      <c r="Q19" s="89"/>
      <c r="R19" s="89"/>
    </row>
    <row r="20">
      <c r="A20" s="14" t="s">
        <v>44</v>
      </c>
      <c r="B20" s="767">
        <v>17.0</v>
      </c>
      <c r="C20" s="295" t="s">
        <v>173</v>
      </c>
      <c r="D20" s="295" t="s">
        <v>4842</v>
      </c>
      <c r="E20" s="769" t="s">
        <v>53</v>
      </c>
      <c r="F20" s="771"/>
      <c r="G20" s="264" t="s">
        <v>626</v>
      </c>
      <c r="H20" s="14" t="s">
        <v>13194</v>
      </c>
      <c r="I20" s="14" t="s">
        <v>13099</v>
      </c>
      <c r="J20" s="14" t="s">
        <v>13142</v>
      </c>
      <c r="L20" s="223" t="s">
        <v>13386</v>
      </c>
      <c r="M20" s="89" t="str">
        <f t="shared" si="1"/>
        <v>delchead@house.virginia.gov</v>
      </c>
      <c r="N20" s="89"/>
      <c r="O20" s="89"/>
      <c r="P20" s="89"/>
      <c r="Q20" s="89"/>
      <c r="R20" s="89"/>
    </row>
    <row r="21">
      <c r="A21" s="14" t="s">
        <v>44</v>
      </c>
      <c r="B21" s="767">
        <v>18.0</v>
      </c>
      <c r="C21" s="295" t="s">
        <v>2490</v>
      </c>
      <c r="D21" s="295" t="s">
        <v>13394</v>
      </c>
      <c r="E21" s="769" t="s">
        <v>53</v>
      </c>
      <c r="F21" s="771"/>
      <c r="G21" s="264" t="s">
        <v>9620</v>
      </c>
      <c r="H21" s="14" t="s">
        <v>13121</v>
      </c>
      <c r="I21" s="14" t="s">
        <v>13099</v>
      </c>
      <c r="L21" s="223" t="s">
        <v>13396</v>
      </c>
      <c r="M21" s="89" t="str">
        <f t="shared" si="1"/>
        <v>delmwebert@house.virginia.gov</v>
      </c>
      <c r="N21" s="89"/>
      <c r="O21" s="89"/>
      <c r="P21" s="89"/>
      <c r="Q21" s="89"/>
      <c r="R21" s="89"/>
    </row>
    <row r="22">
      <c r="A22" s="14" t="s">
        <v>44</v>
      </c>
      <c r="B22" s="767">
        <v>19.0</v>
      </c>
      <c r="C22" s="295" t="s">
        <v>1990</v>
      </c>
      <c r="D22" s="295" t="s">
        <v>1763</v>
      </c>
      <c r="E22" s="769" t="s">
        <v>53</v>
      </c>
      <c r="F22" s="771"/>
      <c r="G22" s="14" t="s">
        <v>13121</v>
      </c>
      <c r="H22" s="14" t="s">
        <v>780</v>
      </c>
      <c r="I22" s="14" t="s">
        <v>578</v>
      </c>
      <c r="L22" s="223" t="s">
        <v>13404</v>
      </c>
      <c r="M22" s="89" t="str">
        <f t="shared" si="1"/>
        <v>deltaustin@house.virginia.gov</v>
      </c>
      <c r="N22" s="89"/>
      <c r="O22" s="89"/>
      <c r="P22" s="89"/>
      <c r="Q22" s="89"/>
      <c r="R22" s="89"/>
    </row>
    <row r="23">
      <c r="A23" s="14" t="s">
        <v>44</v>
      </c>
      <c r="B23" s="767">
        <v>20.0</v>
      </c>
      <c r="C23" s="295" t="s">
        <v>1112</v>
      </c>
      <c r="D23" s="295" t="s">
        <v>3007</v>
      </c>
      <c r="E23" s="769" t="s">
        <v>53</v>
      </c>
      <c r="F23" s="771"/>
      <c r="G23" s="14" t="s">
        <v>515</v>
      </c>
      <c r="H23" s="14" t="s">
        <v>7635</v>
      </c>
      <c r="I23" s="14" t="s">
        <v>13194</v>
      </c>
      <c r="L23" s="223" t="s">
        <v>13413</v>
      </c>
      <c r="M23" s="89" t="str">
        <f t="shared" si="1"/>
        <v>delrbell@house.virginia.gov</v>
      </c>
      <c r="N23" s="89"/>
      <c r="O23" s="89"/>
      <c r="P23" s="89"/>
      <c r="Q23" s="89"/>
      <c r="R23" s="89"/>
    </row>
    <row r="24">
      <c r="A24" s="14" t="s">
        <v>44</v>
      </c>
      <c r="B24" s="767">
        <v>21.0</v>
      </c>
      <c r="C24" s="295" t="s">
        <v>130</v>
      </c>
      <c r="D24" s="295" t="s">
        <v>4684</v>
      </c>
      <c r="E24" s="772" t="s">
        <v>49</v>
      </c>
      <c r="F24" s="771"/>
      <c r="G24" s="14" t="s">
        <v>13173</v>
      </c>
      <c r="H24" s="14" t="s">
        <v>13142</v>
      </c>
      <c r="L24" s="223" t="s">
        <v>13423</v>
      </c>
      <c r="M24" s="89" t="str">
        <f t="shared" si="1"/>
        <v>delkfowler@house.virginia.gov</v>
      </c>
      <c r="N24" s="89"/>
      <c r="O24" s="89"/>
      <c r="P24" s="89"/>
      <c r="Q24" s="89"/>
      <c r="R24" s="89"/>
    </row>
    <row r="25">
      <c r="A25" s="14" t="s">
        <v>44</v>
      </c>
      <c r="B25" s="767">
        <v>22.0</v>
      </c>
      <c r="C25" s="295" t="s">
        <v>2724</v>
      </c>
      <c r="D25" s="295" t="s">
        <v>2537</v>
      </c>
      <c r="E25" s="769" t="s">
        <v>53</v>
      </c>
      <c r="F25" s="771"/>
      <c r="G25" s="264" t="s">
        <v>9620</v>
      </c>
      <c r="H25" s="14" t="s">
        <v>1264</v>
      </c>
      <c r="I25" s="14" t="s">
        <v>13142</v>
      </c>
      <c r="L25" s="223" t="s">
        <v>13435</v>
      </c>
      <c r="M25" s="89" t="str">
        <f t="shared" si="1"/>
        <v>delkbyron@house.virginia.gov</v>
      </c>
      <c r="N25" s="89"/>
      <c r="O25" s="89"/>
      <c r="P25" s="89"/>
      <c r="Q25" s="89"/>
      <c r="R25" s="89"/>
    </row>
    <row r="26">
      <c r="A26" s="14" t="s">
        <v>44</v>
      </c>
      <c r="B26" s="767">
        <v>23.0</v>
      </c>
      <c r="C26" s="295" t="s">
        <v>45</v>
      </c>
      <c r="D26" s="295" t="s">
        <v>463</v>
      </c>
      <c r="E26" s="769" t="s">
        <v>53</v>
      </c>
      <c r="F26" s="771"/>
      <c r="G26" s="264" t="s">
        <v>626</v>
      </c>
      <c r="H26" s="14" t="s">
        <v>13194</v>
      </c>
      <c r="I26" s="14" t="s">
        <v>578</v>
      </c>
      <c r="L26" s="223" t="s">
        <v>13437</v>
      </c>
      <c r="M26" s="89" t="str">
        <f t="shared" si="1"/>
        <v>delsgarrett@house.virginia.gov</v>
      </c>
      <c r="N26" s="89"/>
      <c r="O26" s="89"/>
      <c r="P26" s="89"/>
      <c r="Q26" s="89"/>
      <c r="R26" s="89"/>
    </row>
    <row r="27">
      <c r="A27" s="14" t="s">
        <v>44</v>
      </c>
      <c r="B27" s="767">
        <v>24.0</v>
      </c>
      <c r="C27" s="295" t="s">
        <v>195</v>
      </c>
      <c r="D27" s="295" t="s">
        <v>13444</v>
      </c>
      <c r="E27" s="769" t="s">
        <v>53</v>
      </c>
      <c r="F27" s="777" t="s">
        <v>13445</v>
      </c>
      <c r="G27" s="771"/>
      <c r="L27" s="777" t="s">
        <v>13445</v>
      </c>
      <c r="N27" s="89"/>
      <c r="O27" s="89"/>
      <c r="P27" s="89"/>
      <c r="Q27" s="89"/>
      <c r="R27" s="89"/>
    </row>
    <row r="28">
      <c r="A28" s="14" t="s">
        <v>44</v>
      </c>
      <c r="B28" s="767">
        <v>25.0</v>
      </c>
      <c r="C28" s="295" t="s">
        <v>55</v>
      </c>
      <c r="D28" s="295" t="s">
        <v>13451</v>
      </c>
      <c r="E28" s="769" t="s">
        <v>53</v>
      </c>
      <c r="F28" s="771"/>
      <c r="G28" s="264" t="s">
        <v>626</v>
      </c>
      <c r="H28" s="14" t="s">
        <v>515</v>
      </c>
      <c r="I28" s="14" t="s">
        <v>13173</v>
      </c>
      <c r="J28" s="14" t="s">
        <v>780</v>
      </c>
      <c r="L28" s="223" t="s">
        <v>13452</v>
      </c>
      <c r="M28" s="89" t="str">
        <f t="shared" ref="M28:M103" si="2">Concatenate("del",lower(left(C28,1)),lower(D28),"@house.virginia.gov")</f>
        <v>delslandes@house.virginia.gov</v>
      </c>
      <c r="N28" s="89"/>
      <c r="O28" s="89"/>
      <c r="P28" s="89"/>
      <c r="Q28" s="89"/>
      <c r="R28" s="89"/>
    </row>
    <row r="29">
      <c r="A29" s="14" t="s">
        <v>44</v>
      </c>
      <c r="B29" s="767">
        <v>26.0</v>
      </c>
      <c r="C29" s="295" t="s">
        <v>980</v>
      </c>
      <c r="D29" s="295" t="s">
        <v>13471</v>
      </c>
      <c r="E29" s="769" t="s">
        <v>53</v>
      </c>
      <c r="F29" s="771"/>
      <c r="G29" s="14" t="s">
        <v>13120</v>
      </c>
      <c r="H29" s="264" t="s">
        <v>9620</v>
      </c>
      <c r="I29" s="14" t="s">
        <v>13121</v>
      </c>
      <c r="J29" s="14" t="s">
        <v>13099</v>
      </c>
      <c r="L29" s="776" t="s">
        <v>13472</v>
      </c>
      <c r="M29" s="89" t="str">
        <f t="shared" si="2"/>
        <v>deltwilt@house.virginia.gov</v>
      </c>
      <c r="N29" s="89"/>
      <c r="O29" s="89"/>
      <c r="P29" s="89"/>
      <c r="Q29" s="89"/>
      <c r="R29" s="89"/>
    </row>
    <row r="30">
      <c r="A30" s="14" t="s">
        <v>44</v>
      </c>
      <c r="B30" s="767">
        <v>27.0</v>
      </c>
      <c r="C30" s="295" t="s">
        <v>13477</v>
      </c>
      <c r="D30" s="295" t="s">
        <v>3039</v>
      </c>
      <c r="E30" s="769" t="s">
        <v>53</v>
      </c>
      <c r="F30" s="771"/>
      <c r="G30" s="264" t="s">
        <v>626</v>
      </c>
      <c r="H30" s="14" t="s">
        <v>515</v>
      </c>
      <c r="I30" s="14" t="s">
        <v>13142</v>
      </c>
      <c r="L30" s="223" t="s">
        <v>13481</v>
      </c>
      <c r="M30" s="89" t="str">
        <f t="shared" si="2"/>
        <v>delrrobinson@house.virginia.gov</v>
      </c>
      <c r="N30" s="89"/>
      <c r="O30" s="89"/>
      <c r="P30" s="89"/>
      <c r="Q30" s="89"/>
      <c r="R30" s="89"/>
    </row>
    <row r="31">
      <c r="A31" s="14" t="s">
        <v>44</v>
      </c>
      <c r="B31" s="767">
        <v>28.0</v>
      </c>
      <c r="C31" s="295" t="s">
        <v>419</v>
      </c>
      <c r="D31" s="295" t="s">
        <v>561</v>
      </c>
      <c r="E31" s="769" t="s">
        <v>53</v>
      </c>
      <c r="F31" s="771"/>
      <c r="G31" s="14" t="s">
        <v>13121</v>
      </c>
      <c r="H31" s="14" t="s">
        <v>13142</v>
      </c>
      <c r="I31" s="14" t="s">
        <v>578</v>
      </c>
      <c r="L31" s="223" t="s">
        <v>13486</v>
      </c>
      <c r="M31" s="89" t="str">
        <f t="shared" si="2"/>
        <v>delbthomas@house.virginia.gov</v>
      </c>
      <c r="N31" s="89"/>
      <c r="O31" s="89"/>
      <c r="P31" s="89"/>
      <c r="Q31" s="89"/>
      <c r="R31" s="89"/>
    </row>
    <row r="32">
      <c r="A32" s="14" t="s">
        <v>44</v>
      </c>
      <c r="B32" s="767">
        <v>29.0</v>
      </c>
      <c r="C32" s="295" t="s">
        <v>173</v>
      </c>
      <c r="D32" s="295" t="s">
        <v>137</v>
      </c>
      <c r="E32" s="769" t="s">
        <v>53</v>
      </c>
      <c r="F32" s="771"/>
      <c r="G32" s="14" t="s">
        <v>13066</v>
      </c>
      <c r="H32" s="14" t="s">
        <v>515</v>
      </c>
      <c r="I32" s="14" t="s">
        <v>578</v>
      </c>
      <c r="L32" s="223" t="s">
        <v>13491</v>
      </c>
      <c r="M32" s="89" t="str">
        <f t="shared" si="2"/>
        <v>delccollins@house.virginia.gov</v>
      </c>
      <c r="N32" s="89"/>
      <c r="O32" s="89"/>
      <c r="P32" s="89"/>
      <c r="Q32" s="89"/>
      <c r="R32" s="89"/>
    </row>
    <row r="33">
      <c r="A33" s="14" t="s">
        <v>44</v>
      </c>
      <c r="B33" s="767">
        <v>30.0</v>
      </c>
      <c r="C33" s="295" t="s">
        <v>3097</v>
      </c>
      <c r="D33" s="295" t="s">
        <v>13498</v>
      </c>
      <c r="E33" s="769" t="s">
        <v>53</v>
      </c>
      <c r="F33" s="771"/>
      <c r="G33" s="14" t="s">
        <v>1264</v>
      </c>
      <c r="H33" s="14" t="s">
        <v>13099</v>
      </c>
      <c r="I33" s="14" t="s">
        <v>13142</v>
      </c>
      <c r="L33" s="223" t="s">
        <v>13502</v>
      </c>
      <c r="M33" s="89" t="str">
        <f t="shared" si="2"/>
        <v>delnfreitas@house.virginia.gov</v>
      </c>
      <c r="N33" s="89"/>
      <c r="O33" s="89"/>
      <c r="P33" s="89"/>
      <c r="Q33" s="89"/>
      <c r="R33" s="89"/>
    </row>
    <row r="34">
      <c r="A34" s="14" t="s">
        <v>44</v>
      </c>
      <c r="B34" s="767">
        <v>31.0</v>
      </c>
      <c r="C34" s="295" t="s">
        <v>2830</v>
      </c>
      <c r="D34" s="295" t="s">
        <v>13514</v>
      </c>
      <c r="E34" s="772" t="s">
        <v>49</v>
      </c>
      <c r="F34" s="771"/>
      <c r="G34" s="14" t="s">
        <v>13121</v>
      </c>
      <c r="H34" s="14" t="s">
        <v>13173</v>
      </c>
      <c r="L34" s="223" t="s">
        <v>13515</v>
      </c>
      <c r="M34" s="89" t="str">
        <f t="shared" si="2"/>
        <v>deleguzman@house.virginia.gov</v>
      </c>
      <c r="N34" s="89"/>
      <c r="O34" s="89"/>
      <c r="P34" s="89"/>
      <c r="Q34" s="89"/>
      <c r="R34" s="89"/>
    </row>
    <row r="35">
      <c r="A35" s="14" t="s">
        <v>44</v>
      </c>
      <c r="B35" s="767">
        <v>32.0</v>
      </c>
      <c r="C35" s="295" t="s">
        <v>108</v>
      </c>
      <c r="D35" s="295" t="s">
        <v>6096</v>
      </c>
      <c r="E35" s="772" t="s">
        <v>49</v>
      </c>
      <c r="F35" s="771"/>
      <c r="G35" s="14" t="s">
        <v>13121</v>
      </c>
      <c r="H35" s="14" t="s">
        <v>578</v>
      </c>
      <c r="L35" s="223" t="s">
        <v>13524</v>
      </c>
      <c r="M35" s="89" t="str">
        <f t="shared" si="2"/>
        <v>deldreid@house.virginia.gov</v>
      </c>
      <c r="N35" s="89"/>
      <c r="O35" s="89"/>
      <c r="P35" s="89"/>
      <c r="Q35" s="89"/>
      <c r="R35" s="89"/>
    </row>
    <row r="36">
      <c r="A36" s="14" t="s">
        <v>44</v>
      </c>
      <c r="B36" s="767">
        <v>33.0</v>
      </c>
      <c r="C36" s="295" t="s">
        <v>76</v>
      </c>
      <c r="D36" s="295" t="s">
        <v>13531</v>
      </c>
      <c r="E36" s="769" t="s">
        <v>53</v>
      </c>
      <c r="F36" s="771"/>
      <c r="G36" s="14" t="s">
        <v>515</v>
      </c>
      <c r="H36" s="14" t="s">
        <v>13142</v>
      </c>
      <c r="I36" s="14" t="s">
        <v>578</v>
      </c>
      <c r="L36" s="223" t="s">
        <v>13532</v>
      </c>
      <c r="M36" s="89" t="str">
        <f t="shared" si="2"/>
        <v>deldlarock@house.virginia.gov</v>
      </c>
      <c r="N36" s="89"/>
      <c r="O36" s="89"/>
      <c r="P36" s="89"/>
      <c r="Q36" s="89"/>
      <c r="R36" s="89"/>
    </row>
    <row r="37">
      <c r="A37" s="14" t="s">
        <v>44</v>
      </c>
      <c r="B37" s="767">
        <v>34.0</v>
      </c>
      <c r="C37" s="295" t="s">
        <v>2554</v>
      </c>
      <c r="D37" s="295" t="s">
        <v>3019</v>
      </c>
      <c r="E37" s="772" t="s">
        <v>49</v>
      </c>
      <c r="F37" s="771"/>
      <c r="G37" s="14" t="s">
        <v>7635</v>
      </c>
      <c r="H37" s="14" t="s">
        <v>578</v>
      </c>
      <c r="L37" s="223" t="s">
        <v>13550</v>
      </c>
      <c r="M37" s="89" t="str">
        <f t="shared" si="2"/>
        <v>delkmurphy@house.virginia.gov</v>
      </c>
      <c r="N37" s="89"/>
      <c r="O37" s="89"/>
      <c r="P37" s="89"/>
      <c r="Q37" s="89"/>
      <c r="R37" s="89"/>
    </row>
    <row r="38">
      <c r="A38" s="14" t="s">
        <v>44</v>
      </c>
      <c r="B38" s="767">
        <v>35.0</v>
      </c>
      <c r="C38" s="295" t="s">
        <v>91</v>
      </c>
      <c r="D38" s="295" t="s">
        <v>13558</v>
      </c>
      <c r="E38" s="772" t="s">
        <v>49</v>
      </c>
      <c r="F38" s="771"/>
      <c r="G38" s="14" t="s">
        <v>13120</v>
      </c>
      <c r="H38" s="264" t="s">
        <v>9620</v>
      </c>
      <c r="I38" s="14" t="s">
        <v>515</v>
      </c>
      <c r="J38" s="14" t="s">
        <v>1264</v>
      </c>
      <c r="L38" s="776" t="s">
        <v>13559</v>
      </c>
      <c r="M38" s="89" t="str">
        <f t="shared" si="2"/>
        <v>delmkeam@house.virginia.gov</v>
      </c>
      <c r="N38" s="89"/>
      <c r="O38" s="89"/>
      <c r="P38" s="89"/>
      <c r="Q38" s="89"/>
      <c r="R38" s="89"/>
    </row>
    <row r="39">
      <c r="A39" s="14" t="s">
        <v>44</v>
      </c>
      <c r="B39" s="767">
        <v>36.0</v>
      </c>
      <c r="C39" s="295" t="s">
        <v>2777</v>
      </c>
      <c r="D39" s="295" t="s">
        <v>13560</v>
      </c>
      <c r="E39" s="772" t="s">
        <v>49</v>
      </c>
      <c r="F39" s="771"/>
      <c r="G39" s="14" t="s">
        <v>13120</v>
      </c>
      <c r="H39" s="14" t="s">
        <v>780</v>
      </c>
      <c r="I39" s="14" t="s">
        <v>13142</v>
      </c>
      <c r="J39" s="14" t="s">
        <v>578</v>
      </c>
      <c r="L39" s="223" t="s">
        <v>13561</v>
      </c>
      <c r="M39" s="89" t="str">
        <f t="shared" si="2"/>
        <v>delkplum@house.virginia.gov</v>
      </c>
      <c r="N39" s="89"/>
      <c r="O39" s="89"/>
      <c r="P39" s="89"/>
      <c r="Q39" s="89"/>
      <c r="R39" s="89"/>
    </row>
    <row r="40">
      <c r="A40" s="14" t="s">
        <v>44</v>
      </c>
      <c r="B40" s="767">
        <v>37.0</v>
      </c>
      <c r="C40" s="295" t="s">
        <v>108</v>
      </c>
      <c r="D40" s="295" t="s">
        <v>13562</v>
      </c>
      <c r="E40" s="772" t="s">
        <v>49</v>
      </c>
      <c r="F40" s="771"/>
      <c r="G40" s="14" t="s">
        <v>13120</v>
      </c>
      <c r="H40" s="14" t="s">
        <v>515</v>
      </c>
      <c r="I40" s="14" t="s">
        <v>7635</v>
      </c>
      <c r="L40" s="223" t="s">
        <v>13563</v>
      </c>
      <c r="M40" s="89" t="str">
        <f t="shared" si="2"/>
        <v>deldbulova@house.virginia.gov</v>
      </c>
      <c r="N40" s="89"/>
      <c r="O40" s="89"/>
      <c r="P40" s="89"/>
      <c r="Q40" s="89"/>
      <c r="R40" s="89"/>
    </row>
    <row r="41">
      <c r="A41" s="14" t="s">
        <v>44</v>
      </c>
      <c r="B41" s="767">
        <v>38.0</v>
      </c>
      <c r="C41" s="295" t="s">
        <v>13564</v>
      </c>
      <c r="D41" s="295" t="s">
        <v>13565</v>
      </c>
      <c r="E41" s="772" t="s">
        <v>49</v>
      </c>
      <c r="F41" s="771"/>
      <c r="G41" s="264" t="s">
        <v>9620</v>
      </c>
      <c r="H41" s="14" t="s">
        <v>1264</v>
      </c>
      <c r="I41" s="14" t="s">
        <v>13099</v>
      </c>
      <c r="L41" s="223" t="s">
        <v>13566</v>
      </c>
      <c r="M41" s="89" t="str">
        <f t="shared" si="2"/>
        <v>delkkory@house.virginia.gov</v>
      </c>
      <c r="N41" s="89"/>
      <c r="O41" s="89"/>
      <c r="P41" s="89"/>
      <c r="Q41" s="89"/>
      <c r="R41" s="89"/>
    </row>
    <row r="42">
      <c r="A42" s="14" t="s">
        <v>44</v>
      </c>
      <c r="B42" s="767">
        <v>39.0</v>
      </c>
      <c r="C42" s="295" t="s">
        <v>1092</v>
      </c>
      <c r="D42" s="295" t="s">
        <v>9335</v>
      </c>
      <c r="E42" s="772" t="s">
        <v>49</v>
      </c>
      <c r="F42" s="771"/>
      <c r="G42" s="14" t="s">
        <v>13066</v>
      </c>
      <c r="H42" s="14" t="s">
        <v>1264</v>
      </c>
      <c r="I42" s="14" t="s">
        <v>13142</v>
      </c>
      <c r="L42" s="223" t="s">
        <v>13567</v>
      </c>
      <c r="M42" s="89" t="str">
        <f t="shared" si="2"/>
        <v>delvwatts@house.virginia.gov</v>
      </c>
      <c r="N42" s="89"/>
      <c r="O42" s="89"/>
      <c r="P42" s="89"/>
      <c r="Q42" s="89"/>
      <c r="R42" s="89"/>
    </row>
    <row r="43">
      <c r="A43" s="14" t="s">
        <v>44</v>
      </c>
      <c r="B43" s="767">
        <v>40.0</v>
      </c>
      <c r="C43" s="256" t="s">
        <v>225</v>
      </c>
      <c r="D43" s="256" t="s">
        <v>13568</v>
      </c>
      <c r="E43" s="769" t="s">
        <v>53</v>
      </c>
      <c r="F43" s="771"/>
      <c r="G43" s="264" t="s">
        <v>9620</v>
      </c>
      <c r="H43" s="14" t="s">
        <v>1264</v>
      </c>
      <c r="I43" s="14" t="s">
        <v>13173</v>
      </c>
      <c r="J43" s="14" t="s">
        <v>578</v>
      </c>
      <c r="L43" s="223" t="s">
        <v>13569</v>
      </c>
      <c r="M43" s="89" t="str">
        <f t="shared" si="2"/>
        <v>delthugo@house.virginia.gov</v>
      </c>
      <c r="N43" s="89"/>
      <c r="O43" s="89"/>
      <c r="P43" s="89"/>
      <c r="Q43" s="89"/>
      <c r="R43" s="89"/>
    </row>
    <row r="44">
      <c r="A44" s="14" t="s">
        <v>44</v>
      </c>
      <c r="B44" s="767">
        <v>41.0</v>
      </c>
      <c r="C44" s="295" t="s">
        <v>4894</v>
      </c>
      <c r="D44" s="295" t="s">
        <v>13570</v>
      </c>
      <c r="E44" s="772" t="s">
        <v>49</v>
      </c>
      <c r="F44" s="771"/>
      <c r="G44" s="264" t="s">
        <v>9620</v>
      </c>
      <c r="H44" s="14" t="s">
        <v>1264</v>
      </c>
      <c r="I44" s="14" t="s">
        <v>578</v>
      </c>
      <c r="L44" s="223" t="s">
        <v>13571</v>
      </c>
      <c r="M44" s="89" t="str">
        <f t="shared" si="2"/>
        <v>delefiller-corn@house.virginia.gov</v>
      </c>
      <c r="N44" s="89"/>
      <c r="O44" s="89"/>
      <c r="P44" s="89"/>
      <c r="Q44" s="89"/>
      <c r="R44" s="89"/>
    </row>
    <row r="45">
      <c r="A45" s="14" t="s">
        <v>44</v>
      </c>
      <c r="B45" s="767">
        <v>42.0</v>
      </c>
      <c r="C45" s="295" t="s">
        <v>2724</v>
      </c>
      <c r="D45" s="295" t="s">
        <v>7283</v>
      </c>
      <c r="E45" s="772" t="s">
        <v>49</v>
      </c>
      <c r="F45" s="771"/>
      <c r="G45" s="14" t="s">
        <v>13173</v>
      </c>
      <c r="H45" s="14" t="s">
        <v>13142</v>
      </c>
      <c r="L45" s="223" t="s">
        <v>13572</v>
      </c>
      <c r="M45" s="89" t="str">
        <f t="shared" si="2"/>
        <v>delktran@house.virginia.gov</v>
      </c>
      <c r="N45" s="89"/>
      <c r="O45" s="89"/>
      <c r="P45" s="89"/>
      <c r="Q45" s="89"/>
      <c r="R45" s="89"/>
    </row>
    <row r="46">
      <c r="A46" s="14" t="s">
        <v>44</v>
      </c>
      <c r="B46" s="767">
        <v>43.0</v>
      </c>
      <c r="C46" s="295" t="s">
        <v>91</v>
      </c>
      <c r="D46" s="295" t="s">
        <v>13573</v>
      </c>
      <c r="E46" s="772" t="s">
        <v>49</v>
      </c>
      <c r="F46" s="771"/>
      <c r="G46" s="264" t="s">
        <v>626</v>
      </c>
      <c r="H46" s="14" t="s">
        <v>13194</v>
      </c>
      <c r="I46" s="14" t="s">
        <v>13173</v>
      </c>
      <c r="L46" s="223" t="s">
        <v>13574</v>
      </c>
      <c r="M46" s="89" t="str">
        <f t="shared" si="2"/>
        <v>delmsickles@house.virginia.gov</v>
      </c>
      <c r="N46" s="89"/>
      <c r="O46" s="89"/>
      <c r="P46" s="89"/>
      <c r="Q46" s="89"/>
      <c r="R46" s="89"/>
    </row>
    <row r="47">
      <c r="A47" s="14" t="s">
        <v>44</v>
      </c>
      <c r="B47" s="767">
        <v>44.0</v>
      </c>
      <c r="C47" s="295" t="s">
        <v>679</v>
      </c>
      <c r="D47" s="295" t="s">
        <v>13575</v>
      </c>
      <c r="E47" s="772" t="s">
        <v>49</v>
      </c>
      <c r="F47" s="771"/>
      <c r="G47" s="264" t="s">
        <v>626</v>
      </c>
      <c r="H47" s="14" t="s">
        <v>13121</v>
      </c>
      <c r="L47" s="223" t="s">
        <v>13576</v>
      </c>
      <c r="M47" s="89" t="str">
        <f t="shared" si="2"/>
        <v>delpkrizek@house.virginia.gov</v>
      </c>
      <c r="N47" s="89"/>
      <c r="O47" s="89"/>
      <c r="P47" s="89"/>
      <c r="Q47" s="89"/>
      <c r="R47" s="89"/>
    </row>
    <row r="48">
      <c r="A48" s="14" t="s">
        <v>44</v>
      </c>
      <c r="B48" s="767">
        <v>45.0</v>
      </c>
      <c r="C48" s="295" t="s">
        <v>91</v>
      </c>
      <c r="D48" s="295" t="s">
        <v>1432</v>
      </c>
      <c r="E48" s="772" t="s">
        <v>49</v>
      </c>
      <c r="F48" s="771"/>
      <c r="G48" s="14" t="s">
        <v>13121</v>
      </c>
      <c r="H48" s="14" t="s">
        <v>13099</v>
      </c>
      <c r="L48" s="223" t="s">
        <v>13577</v>
      </c>
      <c r="M48" s="89" t="str">
        <f t="shared" si="2"/>
        <v>delmlevine@house.virginia.gov</v>
      </c>
      <c r="N48" s="89"/>
      <c r="O48" s="89"/>
      <c r="P48" s="89"/>
      <c r="Q48" s="89"/>
      <c r="R48" s="89"/>
    </row>
    <row r="49">
      <c r="A49" s="14" t="s">
        <v>44</v>
      </c>
      <c r="B49" s="767">
        <v>46.0</v>
      </c>
      <c r="C49" s="256" t="s">
        <v>13578</v>
      </c>
      <c r="D49" s="256" t="s">
        <v>13579</v>
      </c>
      <c r="E49" s="772" t="s">
        <v>49</v>
      </c>
      <c r="F49" s="777" t="s">
        <v>13580</v>
      </c>
      <c r="G49" s="14" t="s">
        <v>13120</v>
      </c>
      <c r="H49" s="14" t="s">
        <v>13121</v>
      </c>
      <c r="I49" s="14" t="s">
        <v>13066</v>
      </c>
      <c r="L49" s="223" t="s">
        <v>13581</v>
      </c>
      <c r="M49" s="89" t="str">
        <f t="shared" si="2"/>
        <v>delcherring@house.virginia.gov</v>
      </c>
      <c r="N49" s="89"/>
      <c r="O49" s="89"/>
      <c r="P49" s="89"/>
      <c r="Q49" s="89"/>
      <c r="R49" s="89"/>
    </row>
    <row r="50">
      <c r="A50" s="14" t="s">
        <v>44</v>
      </c>
      <c r="B50" s="767">
        <v>47.0</v>
      </c>
      <c r="C50" s="295" t="s">
        <v>1914</v>
      </c>
      <c r="D50" s="295" t="s">
        <v>7220</v>
      </c>
      <c r="E50" s="772" t="s">
        <v>49</v>
      </c>
      <c r="F50" s="771"/>
      <c r="G50" s="14" t="s">
        <v>13066</v>
      </c>
      <c r="H50" s="14" t="s">
        <v>7635</v>
      </c>
      <c r="I50" s="14" t="s">
        <v>13194</v>
      </c>
      <c r="L50" s="223" t="s">
        <v>13582</v>
      </c>
      <c r="M50" s="89" t="str">
        <f t="shared" si="2"/>
        <v>delphope@house.virginia.gov</v>
      </c>
      <c r="N50" s="89"/>
      <c r="O50" s="89"/>
      <c r="P50" s="89"/>
      <c r="Q50" s="89"/>
      <c r="R50" s="89"/>
    </row>
    <row r="51">
      <c r="A51" s="14" t="s">
        <v>44</v>
      </c>
      <c r="B51" s="767">
        <v>48.0</v>
      </c>
      <c r="C51" s="295" t="s">
        <v>13583</v>
      </c>
      <c r="D51" s="295" t="s">
        <v>435</v>
      </c>
      <c r="E51" s="772" t="s">
        <v>49</v>
      </c>
      <c r="F51" s="771"/>
      <c r="G51" s="14" t="s">
        <v>13120</v>
      </c>
      <c r="H51" s="14" t="s">
        <v>1264</v>
      </c>
      <c r="L51" s="223" t="s">
        <v>13584</v>
      </c>
      <c r="M51" s="89" t="str">
        <f t="shared" si="2"/>
        <v>delrsullivan@house.virginia.gov</v>
      </c>
      <c r="N51" s="89"/>
      <c r="O51" s="89"/>
      <c r="P51" s="89"/>
      <c r="Q51" s="89"/>
      <c r="R51" s="89"/>
    </row>
    <row r="52">
      <c r="A52" s="14" t="s">
        <v>44</v>
      </c>
      <c r="B52" s="767">
        <v>49.0</v>
      </c>
      <c r="C52" s="295" t="s">
        <v>13585</v>
      </c>
      <c r="D52" s="295" t="s">
        <v>2855</v>
      </c>
      <c r="E52" s="772" t="s">
        <v>49</v>
      </c>
      <c r="F52" s="771"/>
      <c r="G52" s="14" t="s">
        <v>13120</v>
      </c>
      <c r="H52" s="14" t="s">
        <v>13099</v>
      </c>
      <c r="I52" s="14" t="s">
        <v>13142</v>
      </c>
      <c r="L52" s="223" t="s">
        <v>13587</v>
      </c>
      <c r="M52" s="89" t="str">
        <f t="shared" si="2"/>
        <v>delalopez@house.virginia.gov</v>
      </c>
      <c r="N52" s="89"/>
      <c r="O52" s="89"/>
      <c r="P52" s="89"/>
      <c r="Q52" s="89"/>
      <c r="R52" s="89"/>
    </row>
    <row r="53">
      <c r="A53" s="14" t="s">
        <v>44</v>
      </c>
      <c r="B53" s="767">
        <v>50.0</v>
      </c>
      <c r="C53" s="295" t="s">
        <v>629</v>
      </c>
      <c r="D53" s="295" t="s">
        <v>1256</v>
      </c>
      <c r="E53" s="772" t="s">
        <v>49</v>
      </c>
      <c r="F53" s="771"/>
      <c r="G53" s="14" t="s">
        <v>1264</v>
      </c>
      <c r="H53" s="14" t="s">
        <v>13099</v>
      </c>
      <c r="L53" s="223" t="s">
        <v>13588</v>
      </c>
      <c r="M53" s="89" t="str">
        <f t="shared" si="2"/>
        <v>dellcarter@house.virginia.gov</v>
      </c>
      <c r="N53" s="89"/>
      <c r="O53" s="89"/>
      <c r="P53" s="89"/>
      <c r="Q53" s="89"/>
      <c r="R53" s="89"/>
    </row>
    <row r="54">
      <c r="A54" s="14" t="s">
        <v>44</v>
      </c>
      <c r="B54" s="767">
        <v>51.0</v>
      </c>
      <c r="C54" s="295" t="s">
        <v>13591</v>
      </c>
      <c r="D54" s="295" t="s">
        <v>13593</v>
      </c>
      <c r="E54" s="772" t="s">
        <v>49</v>
      </c>
      <c r="F54" s="771"/>
      <c r="G54" s="14" t="s">
        <v>13099</v>
      </c>
      <c r="H54" s="14" t="s">
        <v>13142</v>
      </c>
      <c r="L54" s="223" t="s">
        <v>13594</v>
      </c>
      <c r="M54" s="89" t="str">
        <f t="shared" si="2"/>
        <v>delhayala@house.virginia.gov</v>
      </c>
      <c r="N54" s="89"/>
      <c r="O54" s="89"/>
      <c r="P54" s="89"/>
      <c r="Q54" s="89"/>
      <c r="R54" s="89"/>
    </row>
    <row r="55">
      <c r="A55" s="14" t="s">
        <v>44</v>
      </c>
      <c r="B55" s="767">
        <v>52.0</v>
      </c>
      <c r="C55" s="295" t="s">
        <v>3309</v>
      </c>
      <c r="D55" s="295" t="s">
        <v>13598</v>
      </c>
      <c r="E55" s="772" t="s">
        <v>49</v>
      </c>
      <c r="F55" s="771"/>
      <c r="G55" s="14" t="s">
        <v>13142</v>
      </c>
      <c r="H55" s="14" t="s">
        <v>7635</v>
      </c>
      <c r="I55" s="14" t="s">
        <v>780</v>
      </c>
      <c r="L55" s="223" t="s">
        <v>13594</v>
      </c>
      <c r="M55" s="89" t="str">
        <f t="shared" si="2"/>
        <v>delltorian@house.virginia.gov</v>
      </c>
      <c r="N55" s="89"/>
      <c r="O55" s="89"/>
      <c r="P55" s="89"/>
      <c r="Q55" s="89"/>
      <c r="R55" s="89"/>
    </row>
    <row r="56">
      <c r="A56" s="14" t="s">
        <v>44</v>
      </c>
      <c r="B56" s="767">
        <v>53.0</v>
      </c>
      <c r="C56" s="295" t="s">
        <v>1161</v>
      </c>
      <c r="D56" s="295" t="s">
        <v>6029</v>
      </c>
      <c r="E56" s="772" t="s">
        <v>49</v>
      </c>
      <c r="F56" s="771"/>
      <c r="G56" s="14" t="s">
        <v>13066</v>
      </c>
      <c r="H56" s="14" t="s">
        <v>13099</v>
      </c>
      <c r="I56" s="14" t="s">
        <v>13142</v>
      </c>
      <c r="L56" s="223" t="s">
        <v>13603</v>
      </c>
      <c r="M56" s="89" t="str">
        <f t="shared" si="2"/>
        <v>delmsimon@house.virginia.gov</v>
      </c>
      <c r="N56" s="89"/>
      <c r="O56" s="89"/>
      <c r="P56" s="89"/>
      <c r="Q56" s="89"/>
      <c r="R56" s="89"/>
    </row>
    <row r="57">
      <c r="A57" s="14" t="s">
        <v>44</v>
      </c>
      <c r="B57" s="767">
        <v>54.0</v>
      </c>
      <c r="C57" s="295" t="s">
        <v>1019</v>
      </c>
      <c r="D57" s="295" t="s">
        <v>4625</v>
      </c>
      <c r="E57" s="769" t="s">
        <v>53</v>
      </c>
      <c r="F57" s="771"/>
      <c r="G57" s="14" t="s">
        <v>13120</v>
      </c>
      <c r="H57" s="14" t="s">
        <v>1264</v>
      </c>
      <c r="I57" s="14" t="s">
        <v>13194</v>
      </c>
      <c r="J57" s="14" t="s">
        <v>780</v>
      </c>
      <c r="L57" s="223" t="s">
        <v>13604</v>
      </c>
      <c r="M57" s="89" t="str">
        <f t="shared" si="2"/>
        <v>delborrock@house.virginia.gov</v>
      </c>
      <c r="N57" s="89"/>
      <c r="O57" s="89"/>
      <c r="P57" s="89"/>
      <c r="Q57" s="89"/>
      <c r="R57" s="89"/>
    </row>
    <row r="58">
      <c r="A58" s="14" t="s">
        <v>44</v>
      </c>
      <c r="B58" s="767">
        <v>55.0</v>
      </c>
      <c r="C58" s="295" t="s">
        <v>4755</v>
      </c>
      <c r="D58" s="295" t="s">
        <v>4684</v>
      </c>
      <c r="E58" s="769" t="s">
        <v>53</v>
      </c>
      <c r="F58" s="771"/>
      <c r="G58" s="14" t="s">
        <v>1264</v>
      </c>
      <c r="H58" s="14" t="s">
        <v>7635</v>
      </c>
      <c r="I58" s="14" t="s">
        <v>13173</v>
      </c>
      <c r="L58" s="223" t="s">
        <v>13612</v>
      </c>
      <c r="M58" s="89" t="str">
        <f t="shared" si="2"/>
        <v>delbfowler@house.virginia.gov</v>
      </c>
      <c r="N58" s="89"/>
      <c r="O58" s="89"/>
      <c r="P58" s="89"/>
      <c r="Q58" s="89"/>
      <c r="R58" s="89"/>
    </row>
    <row r="59">
      <c r="A59" s="14" t="s">
        <v>44</v>
      </c>
      <c r="B59" s="767">
        <v>56.0</v>
      </c>
      <c r="C59" s="295" t="s">
        <v>278</v>
      </c>
      <c r="D59" s="295" t="s">
        <v>2011</v>
      </c>
      <c r="E59" s="769" t="s">
        <v>53</v>
      </c>
      <c r="F59" s="771"/>
      <c r="G59" s="14" t="s">
        <v>13121</v>
      </c>
      <c r="H59" s="14" t="s">
        <v>515</v>
      </c>
      <c r="I59" s="14" t="s">
        <v>13142</v>
      </c>
      <c r="L59" s="223" t="s">
        <v>13617</v>
      </c>
      <c r="M59" s="89" t="str">
        <f t="shared" si="2"/>
        <v>deljmcguire@house.virginia.gov</v>
      </c>
      <c r="N59" s="89"/>
      <c r="O59" s="89"/>
      <c r="P59" s="89"/>
      <c r="Q59" s="89"/>
      <c r="R59" s="89"/>
    </row>
    <row r="60">
      <c r="A60" s="14" t="s">
        <v>44</v>
      </c>
      <c r="B60" s="767">
        <v>57.0</v>
      </c>
      <c r="C60" s="295" t="s">
        <v>108</v>
      </c>
      <c r="D60" s="256" t="s">
        <v>13625</v>
      </c>
      <c r="E60" s="772" t="s">
        <v>49</v>
      </c>
      <c r="F60" s="777" t="s">
        <v>498</v>
      </c>
      <c r="G60" s="264" t="s">
        <v>9620</v>
      </c>
      <c r="H60" s="14" t="s">
        <v>13066</v>
      </c>
      <c r="I60" s="14" t="s">
        <v>780</v>
      </c>
      <c r="L60" s="223" t="s">
        <v>13626</v>
      </c>
      <c r="M60" s="89" t="str">
        <f t="shared" si="2"/>
        <v>deldtoscano@house.virginia.gov</v>
      </c>
      <c r="N60" s="89"/>
      <c r="O60" s="89"/>
      <c r="P60" s="89"/>
      <c r="Q60" s="89"/>
      <c r="R60" s="89"/>
    </row>
    <row r="61">
      <c r="A61" s="14" t="s">
        <v>44</v>
      </c>
      <c r="B61" s="767">
        <v>58.0</v>
      </c>
      <c r="C61" s="295" t="s">
        <v>1476</v>
      </c>
      <c r="D61" s="295" t="s">
        <v>3007</v>
      </c>
      <c r="E61" s="769" t="s">
        <v>53</v>
      </c>
      <c r="F61" s="771"/>
      <c r="G61" s="264" t="s">
        <v>9620</v>
      </c>
      <c r="H61" s="14" t="s">
        <v>13066</v>
      </c>
      <c r="I61" s="14" t="s">
        <v>13194</v>
      </c>
      <c r="J61" s="14" t="s">
        <v>13173</v>
      </c>
      <c r="L61" s="223" t="s">
        <v>13635</v>
      </c>
      <c r="M61" s="89" t="str">
        <f t="shared" si="2"/>
        <v>delrbell@house.virginia.gov</v>
      </c>
      <c r="N61" s="89"/>
      <c r="O61" s="89"/>
      <c r="P61" s="89"/>
      <c r="Q61" s="89"/>
      <c r="R61" s="89"/>
    </row>
    <row r="62">
      <c r="A62" s="14" t="s">
        <v>44</v>
      </c>
      <c r="B62" s="767">
        <v>59.0</v>
      </c>
      <c r="C62" s="295" t="s">
        <v>163</v>
      </c>
      <c r="D62" s="295" t="s">
        <v>13639</v>
      </c>
      <c r="E62" s="769" t="s">
        <v>53</v>
      </c>
      <c r="F62" s="771"/>
      <c r="G62" s="14" t="s">
        <v>13120</v>
      </c>
      <c r="H62" s="14" t="s">
        <v>1264</v>
      </c>
      <c r="I62" s="14" t="s">
        <v>13099</v>
      </c>
      <c r="L62" s="223" t="s">
        <v>13640</v>
      </c>
      <c r="M62" s="89" t="str">
        <f t="shared" si="2"/>
        <v>delmfariss@house.virginia.gov</v>
      </c>
      <c r="N62" s="89"/>
      <c r="O62" s="89"/>
      <c r="P62" s="89"/>
      <c r="Q62" s="89"/>
      <c r="R62" s="89"/>
    </row>
    <row r="63">
      <c r="A63" s="14" t="s">
        <v>44</v>
      </c>
      <c r="B63" s="767">
        <v>60.0</v>
      </c>
      <c r="C63" s="295" t="s">
        <v>930</v>
      </c>
      <c r="D63" s="295" t="s">
        <v>13647</v>
      </c>
      <c r="E63" s="769" t="s">
        <v>53</v>
      </c>
      <c r="F63" s="771"/>
      <c r="G63" s="14" t="s">
        <v>13120</v>
      </c>
      <c r="H63" s="14" t="s">
        <v>13194</v>
      </c>
      <c r="I63" s="14" t="s">
        <v>13099</v>
      </c>
      <c r="L63" s="223" t="s">
        <v>13648</v>
      </c>
      <c r="M63" s="89" t="str">
        <f t="shared" si="2"/>
        <v>deljedmunds@house.virginia.gov</v>
      </c>
      <c r="N63" s="89"/>
      <c r="O63" s="89"/>
      <c r="P63" s="89"/>
      <c r="Q63" s="89"/>
      <c r="R63" s="89"/>
    </row>
    <row r="64">
      <c r="A64" s="14" t="s">
        <v>44</v>
      </c>
      <c r="B64" s="767">
        <v>61.0</v>
      </c>
      <c r="C64" s="295" t="s">
        <v>317</v>
      </c>
      <c r="D64" s="295" t="s">
        <v>3221</v>
      </c>
      <c r="E64" s="769" t="s">
        <v>53</v>
      </c>
      <c r="F64" s="771"/>
      <c r="G64" s="14" t="s">
        <v>13120</v>
      </c>
      <c r="H64" s="14" t="s">
        <v>7635</v>
      </c>
      <c r="I64" s="14" t="s">
        <v>13099</v>
      </c>
      <c r="L64" s="223" t="s">
        <v>13654</v>
      </c>
      <c r="M64" s="89" t="str">
        <f t="shared" si="2"/>
        <v>deltwright@house.virginia.gov</v>
      </c>
      <c r="N64" s="89"/>
      <c r="O64" s="89"/>
      <c r="P64" s="89"/>
      <c r="Q64" s="89"/>
      <c r="R64" s="89"/>
    </row>
    <row r="65">
      <c r="A65" s="14" t="s">
        <v>44</v>
      </c>
      <c r="B65" s="767">
        <v>62.0</v>
      </c>
      <c r="C65" s="295" t="s">
        <v>2564</v>
      </c>
      <c r="D65" s="295" t="s">
        <v>608</v>
      </c>
      <c r="E65" s="769" t="s">
        <v>53</v>
      </c>
      <c r="F65" s="771"/>
      <c r="G65" s="264" t="s">
        <v>626</v>
      </c>
      <c r="H65" s="14" t="s">
        <v>13121</v>
      </c>
      <c r="I65" s="14" t="s">
        <v>13173</v>
      </c>
      <c r="J65" s="14" t="s">
        <v>780</v>
      </c>
      <c r="L65" s="223" t="s">
        <v>13668</v>
      </c>
      <c r="M65" s="89" t="str">
        <f t="shared" si="2"/>
        <v>delringram@house.virginia.gov</v>
      </c>
      <c r="N65" s="89"/>
      <c r="O65" s="89"/>
      <c r="P65" s="89"/>
      <c r="Q65" s="89"/>
      <c r="R65" s="89"/>
    </row>
    <row r="66">
      <c r="A66" s="14" t="s">
        <v>44</v>
      </c>
      <c r="B66" s="767">
        <v>63.0</v>
      </c>
      <c r="C66" s="295" t="s">
        <v>13673</v>
      </c>
      <c r="D66" s="295" t="s">
        <v>13675</v>
      </c>
      <c r="E66" s="772" t="s">
        <v>49</v>
      </c>
      <c r="F66" s="771"/>
      <c r="G66" s="264" t="s">
        <v>626</v>
      </c>
      <c r="H66" s="14" t="s">
        <v>7635</v>
      </c>
      <c r="I66" s="14" t="s">
        <v>13194</v>
      </c>
      <c r="L66" s="223" t="s">
        <v>13676</v>
      </c>
      <c r="M66" s="89" t="str">
        <f t="shared" si="2"/>
        <v>dellaird@house.virginia.gov</v>
      </c>
      <c r="N66" s="89"/>
      <c r="O66" s="89"/>
      <c r="P66" s="89"/>
      <c r="Q66" s="89"/>
      <c r="R66" s="89"/>
    </row>
    <row r="67">
      <c r="A67" s="14" t="s">
        <v>44</v>
      </c>
      <c r="B67" s="767">
        <v>64.0</v>
      </c>
      <c r="C67" s="295" t="s">
        <v>1674</v>
      </c>
      <c r="D67" s="295" t="s">
        <v>6847</v>
      </c>
      <c r="E67" s="769" t="s">
        <v>53</v>
      </c>
      <c r="F67" s="771"/>
      <c r="G67" s="14" t="s">
        <v>1264</v>
      </c>
      <c r="H67" s="14" t="s">
        <v>13099</v>
      </c>
      <c r="J67" s="14" t="s">
        <v>13142</v>
      </c>
      <c r="L67" s="223" t="s">
        <v>13684</v>
      </c>
      <c r="M67" s="89" t="str">
        <f t="shared" si="2"/>
        <v>delebrewer@house.virginia.gov</v>
      </c>
      <c r="N67" s="89"/>
      <c r="O67" s="89"/>
      <c r="P67" s="89"/>
      <c r="Q67" s="89"/>
      <c r="R67" s="89"/>
    </row>
    <row r="68">
      <c r="A68" s="14" t="s">
        <v>44</v>
      </c>
      <c r="B68" s="767">
        <v>65.0</v>
      </c>
      <c r="C68" s="295" t="s">
        <v>629</v>
      </c>
      <c r="D68" s="295" t="s">
        <v>5473</v>
      </c>
      <c r="E68" s="769" t="s">
        <v>53</v>
      </c>
      <c r="F68" s="771"/>
      <c r="G68" s="14" t="s">
        <v>13120</v>
      </c>
      <c r="H68" s="264" t="s">
        <v>9620</v>
      </c>
      <c r="I68" s="14" t="s">
        <v>1264</v>
      </c>
      <c r="J68" s="14" t="s">
        <v>780</v>
      </c>
      <c r="L68" s="223" t="s">
        <v>13692</v>
      </c>
      <c r="M68" s="89" t="str">
        <f t="shared" si="2"/>
        <v>dellware@house.virginia.gov</v>
      </c>
      <c r="N68" s="89"/>
      <c r="O68" s="89"/>
      <c r="P68" s="89"/>
      <c r="Q68" s="89"/>
      <c r="R68" s="89"/>
    </row>
    <row r="69">
      <c r="A69" s="14" t="s">
        <v>44</v>
      </c>
      <c r="B69" s="767">
        <v>66.0</v>
      </c>
      <c r="C69" s="256" t="s">
        <v>11327</v>
      </c>
      <c r="D69" s="256" t="s">
        <v>3708</v>
      </c>
      <c r="E69" s="769" t="s">
        <v>53</v>
      </c>
      <c r="F69" s="777" t="s">
        <v>1056</v>
      </c>
      <c r="G69" s="14" t="s">
        <v>780</v>
      </c>
      <c r="L69" s="223" t="s">
        <v>13694</v>
      </c>
      <c r="M69" s="89" t="str">
        <f t="shared" si="2"/>
        <v>delkcox@house.virginia.gov</v>
      </c>
      <c r="N69" s="89"/>
      <c r="O69" s="89"/>
      <c r="P69" s="89"/>
      <c r="Q69" s="89"/>
      <c r="R69" s="89"/>
    </row>
    <row r="70">
      <c r="A70" s="14" t="s">
        <v>44</v>
      </c>
      <c r="B70" s="767">
        <v>67.0</v>
      </c>
      <c r="C70" s="295" t="s">
        <v>13696</v>
      </c>
      <c r="D70" s="295" t="s">
        <v>13698</v>
      </c>
      <c r="E70" s="772" t="s">
        <v>49</v>
      </c>
      <c r="F70" s="771"/>
      <c r="G70" s="14" t="s">
        <v>13194</v>
      </c>
      <c r="H70" s="14" t="s">
        <v>578</v>
      </c>
      <c r="L70" s="223" t="s">
        <v>13699</v>
      </c>
      <c r="M70" s="89" t="str">
        <f t="shared" si="2"/>
        <v>delkdelaney@house.virginia.gov</v>
      </c>
      <c r="N70" s="89"/>
      <c r="O70" s="89"/>
      <c r="P70" s="89"/>
      <c r="Q70" s="89"/>
      <c r="R70" s="89"/>
    </row>
    <row r="71">
      <c r="A71" s="14" t="s">
        <v>44</v>
      </c>
      <c r="B71" s="767">
        <v>68.0</v>
      </c>
      <c r="C71" s="295" t="s">
        <v>9525</v>
      </c>
      <c r="D71" s="295" t="s">
        <v>5375</v>
      </c>
      <c r="E71" s="772" t="s">
        <v>49</v>
      </c>
      <c r="F71" s="771"/>
      <c r="G71" s="14" t="s">
        <v>13120</v>
      </c>
      <c r="H71" s="14" t="s">
        <v>13099</v>
      </c>
      <c r="L71" s="223" t="s">
        <v>13705</v>
      </c>
      <c r="M71" s="89" t="str">
        <f t="shared" si="2"/>
        <v>deldadams@house.virginia.gov</v>
      </c>
      <c r="N71" s="89"/>
      <c r="O71" s="89"/>
      <c r="P71" s="89"/>
      <c r="Q71" s="89"/>
      <c r="R71" s="89"/>
    </row>
    <row r="72">
      <c r="A72" s="14" t="s">
        <v>44</v>
      </c>
      <c r="B72" s="767">
        <v>69.0</v>
      </c>
      <c r="C72" s="295" t="s">
        <v>3434</v>
      </c>
      <c r="D72" s="295" t="s">
        <v>4774</v>
      </c>
      <c r="E72" s="772" t="s">
        <v>49</v>
      </c>
      <c r="F72" s="771"/>
      <c r="G72" s="264" t="s">
        <v>626</v>
      </c>
      <c r="H72" s="14" t="s">
        <v>7635</v>
      </c>
      <c r="I72" s="14" t="s">
        <v>780</v>
      </c>
      <c r="J72" s="14" t="s">
        <v>578</v>
      </c>
      <c r="L72" s="223" t="s">
        <v>13709</v>
      </c>
      <c r="M72" s="89" t="str">
        <f t="shared" si="2"/>
        <v>delbcarr@house.virginia.gov</v>
      </c>
      <c r="N72" s="89"/>
      <c r="O72" s="89"/>
      <c r="P72" s="89"/>
      <c r="Q72" s="89"/>
      <c r="R72" s="89"/>
    </row>
    <row r="73">
      <c r="A73" s="14" t="s">
        <v>44</v>
      </c>
      <c r="B73" s="767">
        <v>70.0</v>
      </c>
      <c r="C73" s="295" t="s">
        <v>3061</v>
      </c>
      <c r="D73" s="295" t="s">
        <v>13713</v>
      </c>
      <c r="E73" s="772" t="s">
        <v>49</v>
      </c>
      <c r="F73" s="771"/>
      <c r="G73" s="264" t="s">
        <v>626</v>
      </c>
      <c r="H73" s="14" t="s">
        <v>7635</v>
      </c>
      <c r="I73" s="14" t="s">
        <v>578</v>
      </c>
      <c r="L73" s="223" t="s">
        <v>13715</v>
      </c>
      <c r="M73" s="89" t="str">
        <f t="shared" si="2"/>
        <v>deldmcquinn@house.virginia.gov</v>
      </c>
      <c r="N73" s="89"/>
      <c r="O73" s="89"/>
      <c r="P73" s="89"/>
      <c r="Q73" s="89"/>
      <c r="R73" s="89"/>
    </row>
    <row r="74">
      <c r="A74" s="14" t="s">
        <v>44</v>
      </c>
      <c r="B74" s="767">
        <v>71.0</v>
      </c>
      <c r="C74" s="295" t="s">
        <v>683</v>
      </c>
      <c r="D74" s="295" t="s">
        <v>4423</v>
      </c>
      <c r="E74" s="772" t="s">
        <v>49</v>
      </c>
      <c r="F74" s="771"/>
      <c r="G74" s="264" t="s">
        <v>9620</v>
      </c>
      <c r="H74" s="14" t="s">
        <v>13066</v>
      </c>
      <c r="I74" s="14" t="s">
        <v>515</v>
      </c>
      <c r="L74" s="223" t="s">
        <v>13719</v>
      </c>
      <c r="M74" s="89" t="str">
        <f t="shared" si="2"/>
        <v>deljbourne@house.virginia.gov</v>
      </c>
      <c r="N74" s="89"/>
      <c r="O74" s="89"/>
      <c r="P74" s="89"/>
      <c r="Q74" s="89"/>
      <c r="R74" s="89"/>
    </row>
    <row r="75">
      <c r="A75" s="14" t="s">
        <v>44</v>
      </c>
      <c r="B75" s="767">
        <v>72.0</v>
      </c>
      <c r="C75" s="295" t="s">
        <v>13722</v>
      </c>
      <c r="D75" s="295" t="s">
        <v>13729</v>
      </c>
      <c r="E75" s="772" t="s">
        <v>49</v>
      </c>
      <c r="F75" s="771"/>
      <c r="G75" s="14" t="s">
        <v>515</v>
      </c>
      <c r="H75" s="14" t="s">
        <v>13173</v>
      </c>
      <c r="L75" s="223" t="s">
        <v>13730</v>
      </c>
      <c r="M75" s="89" t="str">
        <f t="shared" si="2"/>
        <v>delsvanvalkenburg@house.virginia.gov</v>
      </c>
      <c r="N75" s="89"/>
      <c r="O75" s="89"/>
      <c r="P75" s="89"/>
      <c r="Q75" s="89"/>
      <c r="R75" s="89"/>
    </row>
    <row r="76">
      <c r="A76" s="14" t="s">
        <v>44</v>
      </c>
      <c r="B76" s="767">
        <v>73.0</v>
      </c>
      <c r="C76" s="295" t="s">
        <v>2601</v>
      </c>
      <c r="D76" s="295" t="s">
        <v>13737</v>
      </c>
      <c r="E76" s="772" t="s">
        <v>49</v>
      </c>
      <c r="F76" s="771"/>
      <c r="G76" s="14" t="s">
        <v>13120</v>
      </c>
      <c r="H76" s="14" t="s">
        <v>515</v>
      </c>
      <c r="I76" s="14" t="s">
        <v>13194</v>
      </c>
      <c r="L76" s="223" t="s">
        <v>13738</v>
      </c>
      <c r="M76" s="89" t="str">
        <f t="shared" si="2"/>
        <v>deldrodman@house.virginia.gov</v>
      </c>
      <c r="N76" s="89"/>
      <c r="O76" s="89"/>
      <c r="P76" s="89"/>
      <c r="Q76" s="89"/>
      <c r="R76" s="89"/>
    </row>
    <row r="77">
      <c r="A77" s="14" t="s">
        <v>44</v>
      </c>
      <c r="B77" s="767">
        <v>74.0</v>
      </c>
      <c r="C77" s="295" t="s">
        <v>3013</v>
      </c>
      <c r="D77" s="295" t="s">
        <v>13746</v>
      </c>
      <c r="E77" s="772" t="s">
        <v>49</v>
      </c>
      <c r="F77" s="771"/>
      <c r="G77" s="264" t="s">
        <v>9620</v>
      </c>
      <c r="H77" s="14" t="s">
        <v>515</v>
      </c>
      <c r="I77" s="14" t="s">
        <v>780</v>
      </c>
      <c r="J77" s="14" t="s">
        <v>578</v>
      </c>
      <c r="L77" s="223" t="s">
        <v>13747</v>
      </c>
      <c r="M77" s="89" t="str">
        <f t="shared" si="2"/>
        <v>dellbagby@house.virginia.gov</v>
      </c>
      <c r="N77" s="89"/>
      <c r="O77" s="89"/>
      <c r="P77" s="89"/>
      <c r="Q77" s="89"/>
      <c r="R77" s="89"/>
    </row>
    <row r="78">
      <c r="A78" s="14" t="s">
        <v>44</v>
      </c>
      <c r="B78" s="767">
        <v>75.0</v>
      </c>
      <c r="C78" s="295" t="s">
        <v>13752</v>
      </c>
      <c r="D78" s="295" t="s">
        <v>1323</v>
      </c>
      <c r="E78" s="772" t="s">
        <v>49</v>
      </c>
      <c r="F78" s="771"/>
      <c r="G78" s="264" t="s">
        <v>626</v>
      </c>
      <c r="H78" s="14" t="s">
        <v>515</v>
      </c>
      <c r="I78" s="14" t="s">
        <v>13099</v>
      </c>
      <c r="L78" s="223" t="s">
        <v>13755</v>
      </c>
      <c r="M78" s="89" t="str">
        <f t="shared" si="2"/>
        <v>delrtyler@house.virginia.gov</v>
      </c>
      <c r="N78" s="89"/>
      <c r="O78" s="89"/>
      <c r="P78" s="89"/>
      <c r="Q78" s="89"/>
      <c r="R78" s="89"/>
    </row>
    <row r="79">
      <c r="A79" s="14" t="s">
        <v>44</v>
      </c>
      <c r="B79" s="767">
        <v>76.0</v>
      </c>
      <c r="C79" s="295" t="s">
        <v>173</v>
      </c>
      <c r="D79" s="295" t="s">
        <v>706</v>
      </c>
      <c r="E79" s="769" t="s">
        <v>53</v>
      </c>
      <c r="F79" s="771"/>
      <c r="G79" s="264" t="s">
        <v>626</v>
      </c>
      <c r="H79" s="14" t="s">
        <v>13173</v>
      </c>
      <c r="I79" s="14" t="s">
        <v>780</v>
      </c>
      <c r="L79" s="223" t="s">
        <v>13761</v>
      </c>
      <c r="M79" s="89" t="str">
        <f t="shared" si="2"/>
        <v>delcjones@house.virginia.gov</v>
      </c>
      <c r="N79" s="89"/>
      <c r="O79" s="89"/>
      <c r="P79" s="89"/>
      <c r="Q79" s="89"/>
      <c r="R79" s="89"/>
    </row>
    <row r="80">
      <c r="A80" s="14" t="s">
        <v>44</v>
      </c>
      <c r="B80" s="767">
        <v>77.0</v>
      </c>
      <c r="C80" s="295" t="s">
        <v>4224</v>
      </c>
      <c r="D80" s="295" t="s">
        <v>13766</v>
      </c>
      <c r="E80" s="772" t="s">
        <v>49</v>
      </c>
      <c r="F80" s="771"/>
      <c r="G80" s="264" t="s">
        <v>626</v>
      </c>
      <c r="H80" s="14" t="s">
        <v>13121</v>
      </c>
      <c r="I80" s="14" t="s">
        <v>13194</v>
      </c>
      <c r="L80" s="223" t="s">
        <v>13767</v>
      </c>
      <c r="M80" s="89" t="str">
        <f t="shared" si="2"/>
        <v>delchayes,@house.virginia.gov</v>
      </c>
      <c r="N80" s="89"/>
      <c r="O80" s="89"/>
      <c r="P80" s="89"/>
      <c r="Q80" s="89"/>
      <c r="R80" s="89"/>
    </row>
    <row r="81">
      <c r="A81" s="14" t="s">
        <v>44</v>
      </c>
      <c r="B81" s="767">
        <v>78.0</v>
      </c>
      <c r="C81" s="295" t="s">
        <v>930</v>
      </c>
      <c r="D81" s="295" t="s">
        <v>13771</v>
      </c>
      <c r="E81" s="769" t="s">
        <v>53</v>
      </c>
      <c r="F81" s="771"/>
      <c r="G81" s="14" t="s">
        <v>13066</v>
      </c>
      <c r="H81" s="14" t="s">
        <v>515</v>
      </c>
      <c r="I81" s="14" t="s">
        <v>7635</v>
      </c>
      <c r="J81" s="14" t="s">
        <v>13173</v>
      </c>
      <c r="L81" s="223" t="s">
        <v>13772</v>
      </c>
      <c r="M81" s="89" t="str">
        <f t="shared" si="2"/>
        <v>deljleftwich@house.virginia.gov</v>
      </c>
      <c r="N81" s="89"/>
      <c r="O81" s="89"/>
      <c r="P81" s="89"/>
      <c r="Q81" s="89"/>
      <c r="R81" s="89"/>
    </row>
    <row r="82">
      <c r="A82" s="14" t="s">
        <v>44</v>
      </c>
      <c r="B82" s="767">
        <v>79.0</v>
      </c>
      <c r="C82" s="295" t="s">
        <v>55</v>
      </c>
      <c r="D82" s="295" t="s">
        <v>13776</v>
      </c>
      <c r="E82" s="772" t="s">
        <v>49</v>
      </c>
      <c r="F82" s="771"/>
      <c r="G82" s="264" t="s">
        <v>9620</v>
      </c>
      <c r="H82" s="14" t="s">
        <v>13121</v>
      </c>
      <c r="I82" s="14" t="s">
        <v>1264</v>
      </c>
      <c r="L82" s="223" t="s">
        <v>13777</v>
      </c>
      <c r="M82" s="89" t="str">
        <f t="shared" si="2"/>
        <v>delsheretick@house.virginia.gov</v>
      </c>
      <c r="N82" s="89"/>
      <c r="O82" s="89"/>
      <c r="P82" s="89"/>
      <c r="Q82" s="89"/>
      <c r="R82" s="89"/>
    </row>
    <row r="83">
      <c r="A83" s="14" t="s">
        <v>44</v>
      </c>
      <c r="B83" s="767">
        <v>80.0</v>
      </c>
      <c r="C83" s="295" t="s">
        <v>896</v>
      </c>
      <c r="D83" s="295" t="s">
        <v>930</v>
      </c>
      <c r="E83" s="772" t="s">
        <v>49</v>
      </c>
      <c r="F83" s="771"/>
      <c r="G83" s="14" t="s">
        <v>13120</v>
      </c>
      <c r="H83" s="264" t="s">
        <v>626</v>
      </c>
      <c r="I83" s="14" t="s">
        <v>13194</v>
      </c>
      <c r="L83" s="223" t="s">
        <v>13784</v>
      </c>
      <c r="M83" s="89" t="str">
        <f t="shared" si="2"/>
        <v>delmjames@house.virginia.gov</v>
      </c>
      <c r="N83" s="89"/>
      <c r="O83" s="89"/>
      <c r="P83" s="89"/>
      <c r="Q83" s="89"/>
      <c r="R83" s="89"/>
    </row>
    <row r="84">
      <c r="A84" s="14" t="s">
        <v>44</v>
      </c>
      <c r="B84" s="767">
        <v>81.0</v>
      </c>
      <c r="C84" s="295" t="s">
        <v>3785</v>
      </c>
      <c r="D84" s="295" t="s">
        <v>3865</v>
      </c>
      <c r="E84" s="769" t="s">
        <v>53</v>
      </c>
      <c r="F84" s="771"/>
      <c r="G84" s="14" t="s">
        <v>13120</v>
      </c>
      <c r="H84" s="264" t="s">
        <v>626</v>
      </c>
      <c r="I84" s="14" t="s">
        <v>7635</v>
      </c>
      <c r="J84" s="14" t="s">
        <v>780</v>
      </c>
      <c r="L84" s="223" t="s">
        <v>13791</v>
      </c>
      <c r="M84" s="89" t="str">
        <f t="shared" si="2"/>
        <v>delbknight@house.virginia.gov</v>
      </c>
      <c r="N84" s="89"/>
      <c r="O84" s="89"/>
      <c r="P84" s="89"/>
      <c r="Q84" s="89"/>
      <c r="R84" s="89"/>
    </row>
    <row r="85">
      <c r="A85" s="14" t="s">
        <v>44</v>
      </c>
      <c r="B85" s="767">
        <v>82.0</v>
      </c>
      <c r="C85" s="295" t="s">
        <v>1231</v>
      </c>
      <c r="D85" s="295" t="s">
        <v>13805</v>
      </c>
      <c r="E85" s="769" t="s">
        <v>53</v>
      </c>
      <c r="F85" s="771"/>
      <c r="G85" s="14" t="s">
        <v>13066</v>
      </c>
      <c r="H85" s="14" t="s">
        <v>7635</v>
      </c>
      <c r="I85" s="14" t="s">
        <v>578</v>
      </c>
      <c r="L85" s="223" t="s">
        <v>13806</v>
      </c>
      <c r="M85" s="89" t="str">
        <f t="shared" si="2"/>
        <v>deljmiyares@house.virginia.gov</v>
      </c>
      <c r="N85" s="89"/>
      <c r="O85" s="89"/>
      <c r="P85" s="89"/>
      <c r="Q85" s="89"/>
      <c r="R85" s="89"/>
    </row>
    <row r="86">
      <c r="A86" s="14" t="s">
        <v>44</v>
      </c>
      <c r="B86" s="767">
        <v>83.0</v>
      </c>
      <c r="C86" s="295" t="s">
        <v>173</v>
      </c>
      <c r="D86" s="295" t="s">
        <v>13811</v>
      </c>
      <c r="E86" s="769" t="s">
        <v>53</v>
      </c>
      <c r="F86" s="771"/>
      <c r="G86" s="264" t="s">
        <v>626</v>
      </c>
      <c r="H86" s="14" t="s">
        <v>13121</v>
      </c>
      <c r="I86" s="14" t="s">
        <v>13194</v>
      </c>
      <c r="L86" s="223" t="s">
        <v>13812</v>
      </c>
      <c r="M86" s="89" t="str">
        <f t="shared" si="2"/>
        <v>delcstolle@house.virginia.gov</v>
      </c>
      <c r="N86" s="89"/>
      <c r="O86" s="89"/>
      <c r="P86" s="89"/>
      <c r="Q86" s="89"/>
      <c r="R86" s="89"/>
    </row>
    <row r="87">
      <c r="A87" s="14" t="s">
        <v>44</v>
      </c>
      <c r="B87" s="767">
        <v>84.0</v>
      </c>
      <c r="C87" s="295" t="s">
        <v>3589</v>
      </c>
      <c r="D87" s="295" t="s">
        <v>1254</v>
      </c>
      <c r="E87" s="769" t="s">
        <v>53</v>
      </c>
      <c r="F87" s="771"/>
      <c r="G87" s="14" t="s">
        <v>515</v>
      </c>
      <c r="H87" s="14" t="s">
        <v>7635</v>
      </c>
      <c r="I87" s="14" t="s">
        <v>578</v>
      </c>
      <c r="L87" s="223" t="s">
        <v>13818</v>
      </c>
      <c r="M87" s="89" t="str">
        <f t="shared" si="2"/>
        <v>delgdavis@house.virginia.gov</v>
      </c>
      <c r="N87" s="89"/>
      <c r="O87" s="89"/>
      <c r="P87" s="89"/>
      <c r="Q87" s="89"/>
      <c r="R87" s="89"/>
    </row>
    <row r="88">
      <c r="A88" s="14" t="s">
        <v>44</v>
      </c>
      <c r="B88" s="767">
        <v>85.0</v>
      </c>
      <c r="C88" s="295" t="s">
        <v>5120</v>
      </c>
      <c r="D88" s="295" t="s">
        <v>13825</v>
      </c>
      <c r="E88" s="772" t="s">
        <v>49</v>
      </c>
      <c r="F88" s="771"/>
      <c r="G88" s="14" t="s">
        <v>515</v>
      </c>
      <c r="H88" s="14" t="s">
        <v>13173</v>
      </c>
      <c r="L88" s="223" t="s">
        <v>13826</v>
      </c>
      <c r="M88" s="89" t="str">
        <f t="shared" si="2"/>
        <v>delcturpin@house.virginia.gov</v>
      </c>
      <c r="N88" s="89"/>
      <c r="O88" s="89"/>
      <c r="P88" s="89"/>
      <c r="Q88" s="89"/>
      <c r="R88" s="89"/>
    </row>
    <row r="89">
      <c r="A89" s="14" t="s">
        <v>44</v>
      </c>
      <c r="B89" s="767">
        <v>86.0</v>
      </c>
      <c r="C89" s="295" t="s">
        <v>191</v>
      </c>
      <c r="D89" s="295" t="s">
        <v>13828</v>
      </c>
      <c r="E89" s="772" t="s">
        <v>49</v>
      </c>
      <c r="F89" s="771"/>
      <c r="G89" s="14" t="s">
        <v>13121</v>
      </c>
      <c r="H89" s="14" t="s">
        <v>515</v>
      </c>
      <c r="I89" s="14" t="s">
        <v>13173</v>
      </c>
      <c r="L89" s="223" t="s">
        <v>13829</v>
      </c>
      <c r="M89" s="89" t="str">
        <f t="shared" si="2"/>
        <v>deljboysko@house.virginia.gov</v>
      </c>
      <c r="N89" s="89"/>
      <c r="O89" s="89"/>
      <c r="P89" s="89"/>
      <c r="Q89" s="89"/>
      <c r="R89" s="89"/>
    </row>
    <row r="90">
      <c r="A90" s="14" t="s">
        <v>44</v>
      </c>
      <c r="B90" s="767">
        <v>87.0</v>
      </c>
      <c r="C90" s="295" t="s">
        <v>278</v>
      </c>
      <c r="D90" s="295" t="s">
        <v>3007</v>
      </c>
      <c r="E90" s="772" t="s">
        <v>49</v>
      </c>
      <c r="F90" s="771"/>
      <c r="G90" s="264" t="s">
        <v>626</v>
      </c>
      <c r="H90" s="14" t="s">
        <v>13121</v>
      </c>
      <c r="I90" s="14" t="s">
        <v>13099</v>
      </c>
      <c r="L90" s="223" t="s">
        <v>13836</v>
      </c>
      <c r="M90" s="89" t="str">
        <f t="shared" si="2"/>
        <v>deljbell@house.virginia.gov</v>
      </c>
      <c r="N90" s="89"/>
      <c r="O90" s="89"/>
      <c r="P90" s="89"/>
      <c r="Q90" s="89"/>
      <c r="R90" s="89"/>
    </row>
    <row r="91">
      <c r="A91" s="14" t="s">
        <v>44</v>
      </c>
      <c r="B91" s="767">
        <v>88.0</v>
      </c>
      <c r="C91" s="295" t="s">
        <v>91</v>
      </c>
      <c r="D91" s="295" t="s">
        <v>7299</v>
      </c>
      <c r="E91" s="769" t="s">
        <v>53</v>
      </c>
      <c r="F91" s="771"/>
      <c r="G91" s="14" t="s">
        <v>515</v>
      </c>
      <c r="H91" s="14" t="s">
        <v>1264</v>
      </c>
      <c r="I91" s="14" t="s">
        <v>13173</v>
      </c>
      <c r="L91" s="223" t="s">
        <v>13842</v>
      </c>
      <c r="M91" s="89" t="str">
        <f t="shared" si="2"/>
        <v>delmcole@house.virginia.gov</v>
      </c>
      <c r="N91" s="89"/>
      <c r="O91" s="89"/>
      <c r="P91" s="89"/>
      <c r="Q91" s="89"/>
      <c r="R91" s="89"/>
    </row>
    <row r="92">
      <c r="A92" s="14" t="s">
        <v>44</v>
      </c>
      <c r="B92" s="767">
        <v>89.0</v>
      </c>
      <c r="C92" s="295" t="s">
        <v>1013</v>
      </c>
      <c r="D92" s="295" t="s">
        <v>706</v>
      </c>
      <c r="E92" s="772" t="s">
        <v>49</v>
      </c>
      <c r="F92" s="771"/>
      <c r="G92" s="14" t="s">
        <v>1264</v>
      </c>
      <c r="H92" s="14" t="s">
        <v>7635</v>
      </c>
      <c r="I92" s="14" t="s">
        <v>578</v>
      </c>
      <c r="L92" s="223" t="s">
        <v>13847</v>
      </c>
      <c r="M92" s="89" t="str">
        <f t="shared" si="2"/>
        <v>deljjones@house.virginia.gov</v>
      </c>
      <c r="N92" s="89"/>
      <c r="O92" s="89"/>
      <c r="P92" s="89"/>
      <c r="Q92" s="89"/>
      <c r="R92" s="89"/>
    </row>
    <row r="93">
      <c r="A93" s="14" t="s">
        <v>44</v>
      </c>
      <c r="B93" s="767">
        <v>90.0</v>
      </c>
      <c r="C93" s="295" t="s">
        <v>622</v>
      </c>
      <c r="D93" s="295" t="s">
        <v>4630</v>
      </c>
      <c r="E93" s="772" t="s">
        <v>49</v>
      </c>
      <c r="F93" s="771"/>
      <c r="G93" s="264" t="s">
        <v>9620</v>
      </c>
      <c r="H93" s="14" t="s">
        <v>1264</v>
      </c>
      <c r="I93" s="14" t="s">
        <v>13173</v>
      </c>
      <c r="L93" s="223" t="s">
        <v>13853</v>
      </c>
      <c r="M93" s="89" t="str">
        <f t="shared" si="2"/>
        <v>deljlindsey@house.virginia.gov</v>
      </c>
      <c r="N93" s="89"/>
      <c r="O93" s="89"/>
      <c r="P93" s="89"/>
      <c r="Q93" s="89"/>
      <c r="R93" s="89"/>
    </row>
    <row r="94">
      <c r="A94" s="14" t="s">
        <v>44</v>
      </c>
      <c r="B94" s="767">
        <v>91.0</v>
      </c>
      <c r="C94" s="295" t="s">
        <v>4142</v>
      </c>
      <c r="D94" s="295" t="s">
        <v>13857</v>
      </c>
      <c r="E94" s="769" t="s">
        <v>53</v>
      </c>
      <c r="F94" s="771"/>
      <c r="G94" s="14" t="s">
        <v>515</v>
      </c>
      <c r="H94" s="14" t="s">
        <v>7635</v>
      </c>
      <c r="I94" s="14" t="s">
        <v>13194</v>
      </c>
      <c r="L94" s="223" t="s">
        <v>13859</v>
      </c>
      <c r="M94" s="89" t="str">
        <f t="shared" si="2"/>
        <v>delghelsel@house.virginia.gov</v>
      </c>
      <c r="N94" s="89"/>
      <c r="O94" s="89"/>
      <c r="P94" s="89"/>
      <c r="Q94" s="89"/>
      <c r="R94" s="89"/>
    </row>
    <row r="95">
      <c r="A95" s="14" t="s">
        <v>44</v>
      </c>
      <c r="B95" s="767">
        <v>92.0</v>
      </c>
      <c r="C95" s="295" t="s">
        <v>13864</v>
      </c>
      <c r="D95" s="295" t="s">
        <v>919</v>
      </c>
      <c r="E95" s="772" t="s">
        <v>49</v>
      </c>
      <c r="F95" s="771"/>
      <c r="G95" s="264" t="s">
        <v>9620</v>
      </c>
      <c r="H95" s="14" t="s">
        <v>7635</v>
      </c>
      <c r="I95" s="14" t="s">
        <v>780</v>
      </c>
      <c r="J95" s="14" t="s">
        <v>578</v>
      </c>
      <c r="L95" s="223" t="s">
        <v>13867</v>
      </c>
      <c r="M95" s="89" t="str">
        <f t="shared" si="2"/>
        <v>deljward@house.virginia.gov</v>
      </c>
      <c r="N95" s="89"/>
      <c r="O95" s="89"/>
      <c r="P95" s="89"/>
      <c r="Q95" s="89"/>
      <c r="R95" s="89"/>
    </row>
    <row r="96">
      <c r="A96" s="14" t="s">
        <v>44</v>
      </c>
      <c r="B96" s="767">
        <v>93.0</v>
      </c>
      <c r="C96" s="295" t="s">
        <v>2490</v>
      </c>
      <c r="D96" s="295" t="s">
        <v>1497</v>
      </c>
      <c r="E96" s="772" t="s">
        <v>49</v>
      </c>
      <c r="F96" s="771"/>
      <c r="G96" s="264" t="s">
        <v>9620</v>
      </c>
      <c r="H96" s="14" t="s">
        <v>13121</v>
      </c>
      <c r="I96" s="14" t="s">
        <v>13066</v>
      </c>
      <c r="L96" s="223" t="s">
        <v>13875</v>
      </c>
      <c r="M96" s="89" t="str">
        <f t="shared" si="2"/>
        <v>delmmullin@house.virginia.gov</v>
      </c>
      <c r="N96" s="89"/>
      <c r="O96" s="89"/>
      <c r="P96" s="89"/>
      <c r="Q96" s="89"/>
      <c r="R96" s="89"/>
    </row>
    <row r="97">
      <c r="A97" s="14" t="s">
        <v>44</v>
      </c>
      <c r="B97" s="767">
        <v>94.0</v>
      </c>
      <c r="C97" s="295" t="s">
        <v>108</v>
      </c>
      <c r="D97" s="295" t="s">
        <v>7031</v>
      </c>
      <c r="E97" s="769" t="s">
        <v>53</v>
      </c>
      <c r="F97" s="771"/>
      <c r="G97" s="264" t="s">
        <v>9620</v>
      </c>
      <c r="H97" s="14" t="s">
        <v>515</v>
      </c>
      <c r="I97" s="14" t="s">
        <v>578</v>
      </c>
      <c r="L97" s="223" t="s">
        <v>13880</v>
      </c>
      <c r="M97" s="89" t="str">
        <f t="shared" si="2"/>
        <v>deldyancey@house.virginia.gov</v>
      </c>
      <c r="N97" s="89"/>
      <c r="O97" s="89"/>
      <c r="P97" s="89"/>
      <c r="Q97" s="89"/>
      <c r="R97" s="89"/>
    </row>
    <row r="98">
      <c r="A98" s="14" t="s">
        <v>44</v>
      </c>
      <c r="B98" s="767">
        <v>95.0</v>
      </c>
      <c r="C98" s="295" t="s">
        <v>9776</v>
      </c>
      <c r="D98" s="295" t="s">
        <v>906</v>
      </c>
      <c r="E98" s="772" t="s">
        <v>49</v>
      </c>
      <c r="F98" s="771"/>
      <c r="G98" s="14" t="s">
        <v>7635</v>
      </c>
      <c r="H98" s="14" t="s">
        <v>13194</v>
      </c>
      <c r="I98" s="14" t="s">
        <v>13173</v>
      </c>
      <c r="L98" s="223" t="s">
        <v>13883</v>
      </c>
      <c r="M98" s="89" t="str">
        <f t="shared" si="2"/>
        <v>delmprice@house.virginia.gov</v>
      </c>
      <c r="N98" s="89"/>
      <c r="O98" s="89"/>
      <c r="P98" s="89"/>
      <c r="Q98" s="89"/>
      <c r="R98" s="89"/>
    </row>
    <row r="99">
      <c r="A99" s="14" t="s">
        <v>44</v>
      </c>
      <c r="B99" s="767">
        <v>96.0</v>
      </c>
      <c r="C99" s="295" t="s">
        <v>2755</v>
      </c>
      <c r="D99" s="295" t="s">
        <v>13886</v>
      </c>
      <c r="E99" s="769" t="s">
        <v>53</v>
      </c>
      <c r="F99" s="771"/>
      <c r="G99" s="14" t="s">
        <v>515</v>
      </c>
      <c r="H99" s="14" t="s">
        <v>1264</v>
      </c>
      <c r="I99" s="14" t="s">
        <v>13194</v>
      </c>
      <c r="L99" s="223" t="s">
        <v>13887</v>
      </c>
      <c r="M99" s="89" t="str">
        <f t="shared" si="2"/>
        <v>delbpogge@house.virginia.gov</v>
      </c>
      <c r="N99" s="89"/>
      <c r="O99" s="89"/>
      <c r="P99" s="89"/>
      <c r="Q99" s="89"/>
      <c r="R99" s="89"/>
    </row>
    <row r="100">
      <c r="A100" s="14" t="s">
        <v>44</v>
      </c>
      <c r="B100" s="767">
        <v>97.0</v>
      </c>
      <c r="C100" s="295" t="s">
        <v>173</v>
      </c>
      <c r="D100" s="295" t="s">
        <v>13893</v>
      </c>
      <c r="E100" s="769" t="s">
        <v>53</v>
      </c>
      <c r="F100" s="771"/>
      <c r="G100" s="264" t="s">
        <v>626</v>
      </c>
      <c r="H100" s="14" t="s">
        <v>7635</v>
      </c>
      <c r="I100" s="14" t="s">
        <v>13194</v>
      </c>
      <c r="J100" s="14" t="s">
        <v>13142</v>
      </c>
      <c r="L100" s="223" t="s">
        <v>13895</v>
      </c>
      <c r="M100" s="89" t="str">
        <f t="shared" si="2"/>
        <v>delcpeace@house.virginia.gov</v>
      </c>
      <c r="N100" s="89"/>
      <c r="O100" s="89"/>
      <c r="P100" s="89"/>
      <c r="Q100" s="89"/>
      <c r="R100" s="89"/>
    </row>
    <row r="101">
      <c r="A101" s="14" t="s">
        <v>44</v>
      </c>
      <c r="B101" s="767">
        <v>98.0</v>
      </c>
      <c r="C101" s="295" t="s">
        <v>1617</v>
      </c>
      <c r="D101" s="295" t="s">
        <v>1429</v>
      </c>
      <c r="E101" s="769" t="s">
        <v>53</v>
      </c>
      <c r="F101" s="771"/>
      <c r="G101" s="14" t="s">
        <v>13121</v>
      </c>
      <c r="H101" s="14" t="s">
        <v>7635</v>
      </c>
      <c r="I101" s="14" t="s">
        <v>13194</v>
      </c>
      <c r="L101" s="223" t="s">
        <v>13898</v>
      </c>
      <c r="M101" s="89" t="str">
        <f t="shared" si="2"/>
        <v>delkhodges@house.virginia.gov</v>
      </c>
      <c r="N101" s="89"/>
      <c r="O101" s="89"/>
      <c r="P101" s="89"/>
      <c r="Q101" s="89"/>
      <c r="R101" s="89"/>
    </row>
    <row r="102">
      <c r="A102" s="14" t="s">
        <v>44</v>
      </c>
      <c r="B102" s="767">
        <v>99.0</v>
      </c>
      <c r="C102" s="295" t="s">
        <v>3040</v>
      </c>
      <c r="D102" s="295" t="s">
        <v>13903</v>
      </c>
      <c r="E102" s="769" t="s">
        <v>53</v>
      </c>
      <c r="F102" s="771"/>
      <c r="G102" s="14" t="s">
        <v>13120</v>
      </c>
      <c r="H102" s="264" t="s">
        <v>9620</v>
      </c>
      <c r="I102" s="14" t="s">
        <v>13173</v>
      </c>
      <c r="L102" s="223" t="s">
        <v>13904</v>
      </c>
      <c r="M102" s="89" t="str">
        <f t="shared" si="2"/>
        <v>delmransone@house.virginia.gov</v>
      </c>
      <c r="N102" s="89"/>
      <c r="O102" s="89"/>
      <c r="P102" s="89"/>
      <c r="Q102" s="89"/>
      <c r="R102" s="89"/>
    </row>
    <row r="103">
      <c r="A103" s="14" t="s">
        <v>44</v>
      </c>
      <c r="B103" s="767">
        <v>100.0</v>
      </c>
      <c r="C103" s="295" t="s">
        <v>1134</v>
      </c>
      <c r="D103" s="256" t="s">
        <v>13908</v>
      </c>
      <c r="E103" s="769" t="s">
        <v>53</v>
      </c>
      <c r="F103" s="771"/>
      <c r="G103" s="14" t="s">
        <v>13120</v>
      </c>
      <c r="H103" s="14" t="s">
        <v>1264</v>
      </c>
      <c r="I103" s="14" t="s">
        <v>578</v>
      </c>
      <c r="L103" s="223" t="s">
        <v>13909</v>
      </c>
      <c r="M103" s="89" t="str">
        <f t="shared" si="2"/>
        <v>delrbloxom@house.virginia.gov</v>
      </c>
      <c r="N103" s="89"/>
      <c r="O103" s="89"/>
      <c r="P103" s="89"/>
      <c r="Q103" s="89"/>
      <c r="R103" s="89"/>
    </row>
    <row r="104">
      <c r="A104" s="70"/>
      <c r="B104" s="71"/>
      <c r="C104" s="371"/>
      <c r="D104" s="371"/>
      <c r="E104" s="128"/>
      <c r="F104" s="70"/>
      <c r="G104" s="70"/>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row>
    <row r="105">
      <c r="A105" s="14" t="s">
        <v>286</v>
      </c>
      <c r="B105" s="767">
        <v>1.0</v>
      </c>
      <c r="C105" s="295" t="s">
        <v>13912</v>
      </c>
      <c r="D105" s="295" t="s">
        <v>3835</v>
      </c>
      <c r="E105" s="772" t="s">
        <v>49</v>
      </c>
      <c r="F105" s="771"/>
      <c r="G105" s="14" t="s">
        <v>13914</v>
      </c>
      <c r="H105" s="14" t="s">
        <v>13915</v>
      </c>
      <c r="I105" s="14" t="s">
        <v>13916</v>
      </c>
      <c r="L105" s="223" t="s">
        <v>13917</v>
      </c>
      <c r="M105" s="89" t="str">
        <f t="shared" ref="M105:M113" si="3">concatenate("district0",B105,"@senate.virginia.gov")</f>
        <v>district01@senate.virginia.gov</v>
      </c>
      <c r="N105" s="89"/>
      <c r="O105" s="89"/>
      <c r="P105" s="89"/>
      <c r="Q105" s="89"/>
      <c r="R105" s="89"/>
    </row>
    <row r="106">
      <c r="A106" s="14" t="s">
        <v>286</v>
      </c>
      <c r="B106" s="767">
        <v>2.0</v>
      </c>
      <c r="C106" s="295" t="s">
        <v>13921</v>
      </c>
      <c r="D106" s="295" t="s">
        <v>13923</v>
      </c>
      <c r="E106" s="772" t="s">
        <v>49</v>
      </c>
      <c r="F106" s="771"/>
      <c r="G106" s="14" t="s">
        <v>13925</v>
      </c>
      <c r="H106" s="14" t="s">
        <v>13915</v>
      </c>
      <c r="I106" s="14" t="s">
        <v>13916</v>
      </c>
      <c r="J106" s="14" t="s">
        <v>780</v>
      </c>
      <c r="L106" s="223" t="s">
        <v>13926</v>
      </c>
      <c r="M106" s="89" t="str">
        <f t="shared" si="3"/>
        <v>district02@senate.virginia.gov</v>
      </c>
      <c r="N106" s="89"/>
      <c r="O106" s="89"/>
      <c r="P106" s="89"/>
      <c r="Q106" s="89"/>
      <c r="R106" s="89"/>
    </row>
    <row r="107">
      <c r="A107" s="14" t="s">
        <v>286</v>
      </c>
      <c r="B107" s="767">
        <v>3.0</v>
      </c>
      <c r="C107" s="295" t="s">
        <v>317</v>
      </c>
      <c r="D107" s="295" t="s">
        <v>13930</v>
      </c>
      <c r="E107" s="769" t="s">
        <v>53</v>
      </c>
      <c r="F107" s="771"/>
      <c r="G107" s="14" t="s">
        <v>9620</v>
      </c>
      <c r="H107" s="14" t="s">
        <v>13066</v>
      </c>
      <c r="I107" s="14" t="s">
        <v>1264</v>
      </c>
      <c r="J107" s="14" t="s">
        <v>780</v>
      </c>
      <c r="L107" s="223" t="s">
        <v>13931</v>
      </c>
      <c r="M107" s="89" t="str">
        <f t="shared" si="3"/>
        <v>district03@senate.virginia.gov</v>
      </c>
      <c r="N107" s="89"/>
      <c r="O107" s="89"/>
      <c r="P107" s="89"/>
      <c r="Q107" s="89"/>
      <c r="R107" s="89"/>
    </row>
    <row r="108">
      <c r="A108" s="14" t="s">
        <v>286</v>
      </c>
      <c r="B108" s="767">
        <v>4.0</v>
      </c>
      <c r="C108" s="295" t="s">
        <v>2780</v>
      </c>
      <c r="D108" s="295" t="s">
        <v>13934</v>
      </c>
      <c r="E108" s="769" t="s">
        <v>53</v>
      </c>
      <c r="F108" s="771"/>
      <c r="G108" s="14" t="s">
        <v>9620</v>
      </c>
      <c r="H108" s="14" t="s">
        <v>13066</v>
      </c>
      <c r="I108" s="14" t="s">
        <v>1264</v>
      </c>
      <c r="J108" s="14" t="s">
        <v>13916</v>
      </c>
      <c r="K108" s="14" t="s">
        <v>780</v>
      </c>
      <c r="L108" s="223" t="s">
        <v>13935</v>
      </c>
      <c r="M108" s="89" t="str">
        <f t="shared" si="3"/>
        <v>district04@senate.virginia.gov</v>
      </c>
      <c r="N108" s="89"/>
      <c r="O108" s="89"/>
      <c r="P108" s="89"/>
      <c r="Q108" s="89"/>
      <c r="R108" s="89"/>
    </row>
    <row r="109">
      <c r="A109" s="14" t="s">
        <v>286</v>
      </c>
      <c r="B109" s="767">
        <v>5.0</v>
      </c>
      <c r="C109" s="295" t="s">
        <v>13938</v>
      </c>
      <c r="D109" s="295" t="s">
        <v>13941</v>
      </c>
      <c r="E109" s="772" t="s">
        <v>49</v>
      </c>
      <c r="F109" s="771"/>
      <c r="G109" s="14" t="s">
        <v>9620</v>
      </c>
      <c r="H109" s="14" t="s">
        <v>13173</v>
      </c>
      <c r="I109" s="14" t="s">
        <v>13916</v>
      </c>
      <c r="L109" s="223" t="s">
        <v>13942</v>
      </c>
      <c r="M109" s="89" t="str">
        <f t="shared" si="3"/>
        <v>district05@senate.virginia.gov</v>
      </c>
      <c r="N109" s="89"/>
      <c r="O109" s="89"/>
      <c r="P109" s="89"/>
      <c r="Q109" s="89"/>
      <c r="R109" s="89"/>
    </row>
    <row r="110">
      <c r="A110" s="14" t="s">
        <v>286</v>
      </c>
      <c r="B110" s="767">
        <v>6.0</v>
      </c>
      <c r="C110" s="295" t="s">
        <v>13944</v>
      </c>
      <c r="D110" s="295" t="s">
        <v>1707</v>
      </c>
      <c r="E110" s="772" t="s">
        <v>49</v>
      </c>
      <c r="F110" s="771"/>
      <c r="G110" s="14" t="s">
        <v>13916</v>
      </c>
      <c r="H110" s="14" t="s">
        <v>13925</v>
      </c>
      <c r="I110" s="14" t="s">
        <v>2239</v>
      </c>
      <c r="L110" s="223" t="s">
        <v>13946</v>
      </c>
      <c r="M110" s="89" t="str">
        <f t="shared" si="3"/>
        <v>district06@senate.virginia.gov</v>
      </c>
      <c r="N110" s="89"/>
      <c r="O110" s="89"/>
      <c r="P110" s="89"/>
      <c r="Q110" s="89"/>
      <c r="R110" s="89"/>
    </row>
    <row r="111">
      <c r="A111" s="14" t="s">
        <v>286</v>
      </c>
      <c r="B111" s="767">
        <v>7.0</v>
      </c>
      <c r="C111" s="295" t="s">
        <v>1000</v>
      </c>
      <c r="D111" s="295" t="s">
        <v>6832</v>
      </c>
      <c r="E111" s="769" t="s">
        <v>53</v>
      </c>
      <c r="F111" s="771"/>
      <c r="G111" s="14" t="s">
        <v>9620</v>
      </c>
      <c r="H111" s="14" t="s">
        <v>1264</v>
      </c>
      <c r="I111" s="14" t="s">
        <v>13916</v>
      </c>
      <c r="J111" s="14" t="s">
        <v>780</v>
      </c>
      <c r="L111" s="223" t="s">
        <v>13949</v>
      </c>
      <c r="M111" s="89" t="str">
        <f t="shared" si="3"/>
        <v>district07@senate.virginia.gov</v>
      </c>
      <c r="N111" s="89"/>
      <c r="O111" s="89"/>
      <c r="P111" s="89"/>
      <c r="Q111" s="89"/>
      <c r="R111" s="89"/>
    </row>
    <row r="112">
      <c r="A112" s="14" t="s">
        <v>286</v>
      </c>
      <c r="B112" s="767">
        <v>8.0</v>
      </c>
      <c r="C112" s="295" t="s">
        <v>1058</v>
      </c>
      <c r="D112" s="295" t="s">
        <v>13952</v>
      </c>
      <c r="E112" s="769" t="s">
        <v>53</v>
      </c>
      <c r="F112" s="771"/>
      <c r="G112" s="14" t="s">
        <v>13915</v>
      </c>
      <c r="H112" s="14" t="s">
        <v>2239</v>
      </c>
      <c r="I112" s="14" t="s">
        <v>13173</v>
      </c>
      <c r="J112" s="14" t="s">
        <v>13916</v>
      </c>
      <c r="K112" s="14" t="s">
        <v>578</v>
      </c>
      <c r="L112" s="223" t="s">
        <v>13953</v>
      </c>
      <c r="M112" s="89" t="str">
        <f t="shared" si="3"/>
        <v>district08@senate.virginia.gov</v>
      </c>
      <c r="N112" s="89"/>
      <c r="O112" s="89"/>
      <c r="P112" s="89"/>
      <c r="Q112" s="89"/>
      <c r="R112" s="89"/>
    </row>
    <row r="113">
      <c r="A113" s="14" t="s">
        <v>286</v>
      </c>
      <c r="B113" s="767">
        <v>9.0</v>
      </c>
      <c r="C113" s="295" t="s">
        <v>191</v>
      </c>
      <c r="D113" s="295" t="s">
        <v>13954</v>
      </c>
      <c r="E113" s="772" t="s">
        <v>49</v>
      </c>
      <c r="F113" s="771"/>
      <c r="G113" s="14" t="s">
        <v>13914</v>
      </c>
      <c r="H113" s="14" t="s">
        <v>2239</v>
      </c>
      <c r="I113" s="14" t="s">
        <v>578</v>
      </c>
      <c r="L113" s="223" t="s">
        <v>13955</v>
      </c>
      <c r="M113" s="89" t="str">
        <f t="shared" si="3"/>
        <v>district09@senate.virginia.gov</v>
      </c>
      <c r="N113" s="89"/>
      <c r="O113" s="89"/>
      <c r="P113" s="89"/>
      <c r="Q113" s="89"/>
      <c r="R113" s="89"/>
    </row>
    <row r="114">
      <c r="A114" s="14" t="s">
        <v>286</v>
      </c>
      <c r="B114" s="767">
        <v>10.0</v>
      </c>
      <c r="C114" s="295" t="s">
        <v>7931</v>
      </c>
      <c r="D114" s="295" t="s">
        <v>13957</v>
      </c>
      <c r="E114" s="769" t="s">
        <v>53</v>
      </c>
      <c r="F114" s="771"/>
      <c r="G114" s="14" t="s">
        <v>9620</v>
      </c>
      <c r="H114" s="14" t="s">
        <v>13066</v>
      </c>
      <c r="I114" s="14" t="s">
        <v>13915</v>
      </c>
      <c r="J114" s="14" t="s">
        <v>2239</v>
      </c>
      <c r="L114" s="223" t="s">
        <v>13958</v>
      </c>
      <c r="M114" s="89" t="str">
        <f t="shared" ref="M114:M144" si="4">concatenate("district",B114,"@senate.virginia.gov")</f>
        <v>district10@senate.virginia.gov</v>
      </c>
      <c r="N114" s="89"/>
      <c r="O114" s="89"/>
      <c r="P114" s="89"/>
      <c r="Q114" s="89"/>
      <c r="R114" s="89"/>
    </row>
    <row r="115">
      <c r="A115" s="14" t="s">
        <v>286</v>
      </c>
      <c r="B115" s="767">
        <v>11.0</v>
      </c>
      <c r="C115" s="295" t="s">
        <v>5684</v>
      </c>
      <c r="D115" s="295" t="s">
        <v>12074</v>
      </c>
      <c r="E115" s="769" t="s">
        <v>53</v>
      </c>
      <c r="F115" s="771"/>
      <c r="G115" s="14" t="s">
        <v>13925</v>
      </c>
      <c r="H115" s="14" t="s">
        <v>2239</v>
      </c>
      <c r="I115" s="14" t="s">
        <v>13173</v>
      </c>
      <c r="J115" s="14" t="s">
        <v>578</v>
      </c>
      <c r="L115" s="223" t="s">
        <v>13959</v>
      </c>
      <c r="M115" s="89" t="str">
        <f t="shared" si="4"/>
        <v>district11@senate.virginia.gov</v>
      </c>
      <c r="N115" s="89"/>
      <c r="O115" s="89"/>
      <c r="P115" s="89"/>
      <c r="Q115" s="89"/>
      <c r="R115" s="89"/>
    </row>
    <row r="116">
      <c r="A116" s="14" t="s">
        <v>286</v>
      </c>
      <c r="B116" s="767">
        <v>12.0</v>
      </c>
      <c r="C116" s="295" t="s">
        <v>13960</v>
      </c>
      <c r="D116" s="295" t="s">
        <v>13962</v>
      </c>
      <c r="E116" s="769" t="s">
        <v>53</v>
      </c>
      <c r="F116" s="771"/>
      <c r="G116" s="14" t="s">
        <v>13925</v>
      </c>
      <c r="H116" s="14" t="s">
        <v>1264</v>
      </c>
      <c r="I116" s="14" t="s">
        <v>13915</v>
      </c>
      <c r="J116" s="14" t="s">
        <v>2239</v>
      </c>
      <c r="L116" s="223" t="s">
        <v>13963</v>
      </c>
      <c r="M116" s="89" t="str">
        <f t="shared" si="4"/>
        <v>district12@senate.virginia.gov</v>
      </c>
      <c r="N116" s="89"/>
      <c r="O116" s="89"/>
      <c r="P116" s="89"/>
      <c r="Q116" s="89"/>
      <c r="R116" s="89"/>
    </row>
    <row r="117">
      <c r="A117" s="14" t="s">
        <v>286</v>
      </c>
      <c r="B117" s="767">
        <v>13.0</v>
      </c>
      <c r="C117" s="295" t="s">
        <v>4711</v>
      </c>
      <c r="D117" s="295" t="s">
        <v>4384</v>
      </c>
      <c r="E117" s="769" t="s">
        <v>53</v>
      </c>
      <c r="F117" s="771"/>
      <c r="G117" s="14" t="s">
        <v>13914</v>
      </c>
      <c r="H117" s="14" t="s">
        <v>9620</v>
      </c>
      <c r="I117" s="14" t="s">
        <v>13925</v>
      </c>
      <c r="J117" s="14" t="s">
        <v>13915</v>
      </c>
      <c r="K117" s="14" t="s">
        <v>13916</v>
      </c>
      <c r="L117" s="223" t="s">
        <v>13964</v>
      </c>
      <c r="M117" s="89" t="str">
        <f t="shared" si="4"/>
        <v>district13@senate.virginia.gov</v>
      </c>
      <c r="N117" s="89"/>
      <c r="O117" s="89"/>
      <c r="P117" s="89"/>
      <c r="Q117" s="89"/>
      <c r="R117" s="89"/>
    </row>
    <row r="118">
      <c r="A118" s="14" t="s">
        <v>286</v>
      </c>
      <c r="B118" s="767">
        <v>14.0</v>
      </c>
      <c r="C118" s="295" t="s">
        <v>278</v>
      </c>
      <c r="D118" s="295" t="s">
        <v>13968</v>
      </c>
      <c r="E118" s="769" t="s">
        <v>53</v>
      </c>
      <c r="F118" s="771"/>
      <c r="G118" s="14" t="s">
        <v>9620</v>
      </c>
      <c r="H118" s="14" t="s">
        <v>13925</v>
      </c>
      <c r="I118" s="14" t="s">
        <v>13173</v>
      </c>
      <c r="J118" s="14" t="s">
        <v>13916</v>
      </c>
      <c r="K118" s="14" t="s">
        <v>578</v>
      </c>
      <c r="L118" s="223" t="s">
        <v>13969</v>
      </c>
      <c r="M118" s="89" t="str">
        <f t="shared" si="4"/>
        <v>district14@senate.virginia.gov</v>
      </c>
      <c r="N118" s="89"/>
      <c r="O118" s="89"/>
      <c r="P118" s="89"/>
      <c r="Q118" s="89"/>
      <c r="R118" s="89"/>
    </row>
    <row r="119">
      <c r="A119" s="14" t="s">
        <v>286</v>
      </c>
      <c r="B119" s="767">
        <v>15.0</v>
      </c>
      <c r="C119" s="295" t="s">
        <v>1000</v>
      </c>
      <c r="D119" s="295" t="s">
        <v>13971</v>
      </c>
      <c r="E119" s="769" t="s">
        <v>53</v>
      </c>
      <c r="F119" s="771"/>
      <c r="G119" s="14" t="s">
        <v>13914</v>
      </c>
      <c r="H119" s="14" t="s">
        <v>1264</v>
      </c>
      <c r="I119" s="14" t="s">
        <v>13915</v>
      </c>
      <c r="J119" s="14" t="s">
        <v>13173</v>
      </c>
      <c r="K119" s="14" t="s">
        <v>780</v>
      </c>
      <c r="L119" s="223" t="s">
        <v>13972</v>
      </c>
      <c r="M119" s="89" t="str">
        <f t="shared" si="4"/>
        <v>district15@senate.virginia.gov</v>
      </c>
      <c r="N119" s="89"/>
      <c r="O119" s="89"/>
      <c r="P119" s="89"/>
      <c r="Q119" s="89"/>
      <c r="R119" s="89"/>
    </row>
    <row r="120">
      <c r="A120" s="14" t="s">
        <v>286</v>
      </c>
      <c r="B120" s="767">
        <v>16.0</v>
      </c>
      <c r="C120" s="295" t="s">
        <v>3534</v>
      </c>
      <c r="D120" s="295" t="s">
        <v>13974</v>
      </c>
      <c r="E120" s="772" t="s">
        <v>49</v>
      </c>
      <c r="F120" s="771"/>
      <c r="G120" s="14" t="s">
        <v>13914</v>
      </c>
      <c r="H120" s="14" t="s">
        <v>9620</v>
      </c>
      <c r="I120" s="14" t="s">
        <v>1264</v>
      </c>
      <c r="J120" s="14" t="s">
        <v>13173</v>
      </c>
      <c r="L120" s="223" t="s">
        <v>13975</v>
      </c>
      <c r="M120" s="89" t="str">
        <f t="shared" si="4"/>
        <v>district16@senate.virginia.gov</v>
      </c>
      <c r="N120" s="89"/>
      <c r="O120" s="89"/>
      <c r="P120" s="89"/>
      <c r="Q120" s="89"/>
      <c r="R120" s="89"/>
    </row>
    <row r="121">
      <c r="A121" s="14" t="s">
        <v>286</v>
      </c>
      <c r="B121" s="767">
        <v>17.0</v>
      </c>
      <c r="C121" s="295" t="s">
        <v>251</v>
      </c>
      <c r="D121" s="295" t="s">
        <v>3278</v>
      </c>
      <c r="E121" s="769" t="s">
        <v>53</v>
      </c>
      <c r="F121" s="771"/>
      <c r="G121" s="14" t="s">
        <v>13066</v>
      </c>
      <c r="H121" s="14" t="s">
        <v>13915</v>
      </c>
      <c r="I121" s="14" t="s">
        <v>13173</v>
      </c>
      <c r="J121" s="14" t="s">
        <v>13916</v>
      </c>
      <c r="K121" s="14" t="s">
        <v>780</v>
      </c>
      <c r="L121" s="223" t="s">
        <v>13978</v>
      </c>
      <c r="M121" s="89" t="str">
        <f t="shared" si="4"/>
        <v>district17@senate.virginia.gov</v>
      </c>
      <c r="N121" s="89"/>
      <c r="O121" s="89"/>
      <c r="P121" s="89"/>
      <c r="Q121" s="89"/>
      <c r="R121" s="89"/>
    </row>
    <row r="122">
      <c r="A122" s="14" t="s">
        <v>286</v>
      </c>
      <c r="B122" s="767">
        <v>18.0</v>
      </c>
      <c r="C122" s="295" t="s">
        <v>216</v>
      </c>
      <c r="D122" s="295" t="s">
        <v>4549</v>
      </c>
      <c r="E122" s="772" t="s">
        <v>49</v>
      </c>
      <c r="F122" s="771"/>
      <c r="G122" s="14" t="s">
        <v>9620</v>
      </c>
      <c r="H122" s="14" t="s">
        <v>13066</v>
      </c>
      <c r="I122" s="14" t="s">
        <v>13925</v>
      </c>
      <c r="K122" s="14" t="s">
        <v>1264</v>
      </c>
      <c r="L122" s="223" t="s">
        <v>13980</v>
      </c>
      <c r="M122" s="89" t="str">
        <f t="shared" si="4"/>
        <v>district18@senate.virginia.gov</v>
      </c>
      <c r="N122" s="89"/>
      <c r="O122" s="89"/>
      <c r="P122" s="89"/>
      <c r="Q122" s="89"/>
      <c r="R122" s="89"/>
    </row>
    <row r="123">
      <c r="A123" s="14" t="s">
        <v>286</v>
      </c>
      <c r="B123" s="767">
        <v>19.0</v>
      </c>
      <c r="C123" s="295" t="s">
        <v>108</v>
      </c>
      <c r="D123" s="295" t="s">
        <v>13983</v>
      </c>
      <c r="E123" s="769" t="s">
        <v>53</v>
      </c>
      <c r="F123" s="771"/>
      <c r="G123" s="14" t="s">
        <v>13914</v>
      </c>
      <c r="H123" s="14" t="s">
        <v>13925</v>
      </c>
      <c r="I123" s="14" t="s">
        <v>13915</v>
      </c>
      <c r="J123" s="14" t="s">
        <v>578</v>
      </c>
      <c r="L123" s="223" t="s">
        <v>13984</v>
      </c>
      <c r="M123" s="89" t="str">
        <f t="shared" si="4"/>
        <v>district19@senate.virginia.gov</v>
      </c>
      <c r="N123" s="89"/>
      <c r="O123" s="89"/>
      <c r="P123" s="89"/>
      <c r="Q123" s="89"/>
      <c r="R123" s="89"/>
    </row>
    <row r="124">
      <c r="A124" s="14" t="s">
        <v>286</v>
      </c>
      <c r="B124" s="767">
        <v>20.0</v>
      </c>
      <c r="C124" s="295" t="s">
        <v>325</v>
      </c>
      <c r="D124" s="295" t="s">
        <v>3550</v>
      </c>
      <c r="E124" s="769" t="s">
        <v>53</v>
      </c>
      <c r="F124" s="771"/>
      <c r="G124" s="14" t="s">
        <v>13914</v>
      </c>
      <c r="H124" s="14" t="s">
        <v>9620</v>
      </c>
      <c r="I124" s="14" t="s">
        <v>13066</v>
      </c>
      <c r="J124" s="14" t="s">
        <v>2239</v>
      </c>
      <c r="K124" s="14" t="s">
        <v>780</v>
      </c>
      <c r="L124" s="223" t="s">
        <v>13985</v>
      </c>
      <c r="M124" s="89" t="str">
        <f t="shared" si="4"/>
        <v>district20@senate.virginia.gov</v>
      </c>
      <c r="N124" s="89"/>
      <c r="O124" s="89"/>
      <c r="P124" s="89"/>
      <c r="Q124" s="89"/>
      <c r="R124" s="89"/>
    </row>
    <row r="125">
      <c r="A125" s="14" t="s">
        <v>286</v>
      </c>
      <c r="B125" s="767">
        <v>21.0</v>
      </c>
      <c r="C125" s="295" t="s">
        <v>278</v>
      </c>
      <c r="D125" s="295" t="s">
        <v>6476</v>
      </c>
      <c r="E125" s="772" t="s">
        <v>13987</v>
      </c>
      <c r="F125" s="771"/>
      <c r="G125" s="14" t="s">
        <v>13066</v>
      </c>
      <c r="H125" s="14" t="s">
        <v>13173</v>
      </c>
      <c r="I125" s="14" t="s">
        <v>578</v>
      </c>
      <c r="L125" s="223" t="s">
        <v>13988</v>
      </c>
      <c r="M125" s="89" t="str">
        <f t="shared" si="4"/>
        <v>district21@senate.virginia.gov</v>
      </c>
      <c r="N125" s="89"/>
      <c r="O125" s="89"/>
      <c r="P125" s="89"/>
      <c r="Q125" s="89"/>
      <c r="R125" s="89"/>
    </row>
    <row r="126">
      <c r="A126" s="14" t="s">
        <v>286</v>
      </c>
      <c r="B126" s="767">
        <v>22.0</v>
      </c>
      <c r="C126" s="295" t="s">
        <v>91</v>
      </c>
      <c r="D126" s="295" t="s">
        <v>6688</v>
      </c>
      <c r="E126" s="769" t="s">
        <v>53</v>
      </c>
      <c r="F126" s="771"/>
      <c r="G126" s="14" t="s">
        <v>13066</v>
      </c>
      <c r="H126" s="14" t="s">
        <v>13925</v>
      </c>
      <c r="I126" s="14" t="s">
        <v>13173</v>
      </c>
      <c r="J126" s="14" t="s">
        <v>578</v>
      </c>
      <c r="L126" s="223" t="s">
        <v>13990</v>
      </c>
      <c r="M126" s="89" t="str">
        <f t="shared" si="4"/>
        <v>district22@senate.virginia.gov</v>
      </c>
      <c r="N126" s="89"/>
      <c r="O126" s="89"/>
      <c r="P126" s="89"/>
      <c r="Q126" s="89"/>
      <c r="R126" s="89"/>
    </row>
    <row r="127">
      <c r="A127" s="14" t="s">
        <v>286</v>
      </c>
      <c r="B127" s="767">
        <v>23.0</v>
      </c>
      <c r="C127" s="295" t="s">
        <v>55</v>
      </c>
      <c r="D127" s="295" t="s">
        <v>8374</v>
      </c>
      <c r="E127" s="769" t="s">
        <v>53</v>
      </c>
      <c r="F127" s="771"/>
      <c r="G127" s="14" t="s">
        <v>9620</v>
      </c>
      <c r="H127" s="14" t="s">
        <v>13925</v>
      </c>
      <c r="I127" s="14" t="s">
        <v>1264</v>
      </c>
      <c r="J127" s="14" t="s">
        <v>780</v>
      </c>
      <c r="K127" s="14" t="s">
        <v>578</v>
      </c>
      <c r="L127" s="223" t="s">
        <v>13991</v>
      </c>
      <c r="M127" s="89" t="str">
        <f t="shared" si="4"/>
        <v>district23@senate.virginia.gov</v>
      </c>
      <c r="N127" s="89"/>
      <c r="O127" s="89"/>
      <c r="P127" s="89"/>
      <c r="Q127" s="89"/>
      <c r="R127" s="89"/>
    </row>
    <row r="128">
      <c r="A128" s="14" t="s">
        <v>286</v>
      </c>
      <c r="B128" s="767">
        <v>24.0</v>
      </c>
      <c r="C128" s="295" t="s">
        <v>2563</v>
      </c>
      <c r="D128" s="295" t="s">
        <v>13992</v>
      </c>
      <c r="E128" s="769" t="s">
        <v>53</v>
      </c>
      <c r="F128" s="771"/>
      <c r="G128" s="14" t="s">
        <v>13914</v>
      </c>
      <c r="H128" s="14" t="s">
        <v>1264</v>
      </c>
      <c r="I128" s="14" t="s">
        <v>2239</v>
      </c>
      <c r="J128" s="14" t="s">
        <v>13916</v>
      </c>
      <c r="K128" s="14" t="s">
        <v>780</v>
      </c>
      <c r="L128" s="223" t="s">
        <v>13993</v>
      </c>
      <c r="M128" s="89" t="str">
        <f t="shared" si="4"/>
        <v>district24@senate.virginia.gov</v>
      </c>
      <c r="N128" s="89"/>
      <c r="O128" s="89"/>
      <c r="P128" s="89"/>
      <c r="Q128" s="89"/>
      <c r="R128" s="89"/>
    </row>
    <row r="129">
      <c r="A129" s="14" t="s">
        <v>286</v>
      </c>
      <c r="B129" s="767">
        <v>25.0</v>
      </c>
      <c r="C129" s="295" t="s">
        <v>13995</v>
      </c>
      <c r="D129" s="295" t="s">
        <v>13996</v>
      </c>
      <c r="E129" s="772" t="s">
        <v>49</v>
      </c>
      <c r="F129" s="771"/>
      <c r="G129" s="14" t="s">
        <v>13066</v>
      </c>
      <c r="H129" s="14" t="s">
        <v>13173</v>
      </c>
      <c r="I129" s="14" t="s">
        <v>578</v>
      </c>
      <c r="L129" s="223" t="s">
        <v>13997</v>
      </c>
      <c r="M129" s="89" t="str">
        <f t="shared" si="4"/>
        <v>district25@senate.virginia.gov</v>
      </c>
      <c r="N129" s="89"/>
      <c r="O129" s="89"/>
      <c r="P129" s="89"/>
      <c r="Q129" s="89"/>
      <c r="R129" s="89"/>
    </row>
    <row r="130">
      <c r="A130" s="14" t="s">
        <v>286</v>
      </c>
      <c r="B130" s="767">
        <v>26.0</v>
      </c>
      <c r="C130" s="295" t="s">
        <v>91</v>
      </c>
      <c r="D130" s="295" t="s">
        <v>14001</v>
      </c>
      <c r="E130" s="769" t="s">
        <v>53</v>
      </c>
      <c r="F130" s="771"/>
      <c r="G130" s="14" t="s">
        <v>13914</v>
      </c>
      <c r="H130" s="14" t="s">
        <v>9620</v>
      </c>
      <c r="I130" s="14" t="s">
        <v>13066</v>
      </c>
      <c r="J130" s="14" t="s">
        <v>1264</v>
      </c>
      <c r="K130" s="14" t="s">
        <v>780</v>
      </c>
      <c r="L130" s="223" t="s">
        <v>14002</v>
      </c>
      <c r="M130" s="89" t="str">
        <f t="shared" si="4"/>
        <v>district26@senate.virginia.gov</v>
      </c>
      <c r="N130" s="89"/>
      <c r="O130" s="89"/>
      <c r="P130" s="89"/>
      <c r="Q130" s="89"/>
      <c r="R130" s="89"/>
    </row>
    <row r="131">
      <c r="A131" s="14" t="s">
        <v>286</v>
      </c>
      <c r="B131" s="767">
        <v>27.0</v>
      </c>
      <c r="C131" s="295" t="s">
        <v>6555</v>
      </c>
      <c r="D131" s="295" t="s">
        <v>7511</v>
      </c>
      <c r="E131" s="769" t="s">
        <v>53</v>
      </c>
      <c r="F131" s="771"/>
      <c r="G131" s="14" t="s">
        <v>1264</v>
      </c>
      <c r="H131" s="14" t="s">
        <v>13915</v>
      </c>
      <c r="I131" s="14" t="s">
        <v>13173</v>
      </c>
      <c r="J131" s="14" t="s">
        <v>780</v>
      </c>
      <c r="L131" s="223" t="s">
        <v>14006</v>
      </c>
      <c r="M131" s="89" t="str">
        <f t="shared" si="4"/>
        <v>district27@senate.virginia.gov</v>
      </c>
      <c r="N131" s="89"/>
      <c r="O131" s="89"/>
      <c r="P131" s="89"/>
      <c r="Q131" s="89"/>
      <c r="R131" s="89"/>
    </row>
    <row r="132">
      <c r="A132" s="14" t="s">
        <v>286</v>
      </c>
      <c r="B132" s="767">
        <v>28.0</v>
      </c>
      <c r="C132" s="295" t="s">
        <v>1112</v>
      </c>
      <c r="D132" s="295" t="s">
        <v>4471</v>
      </c>
      <c r="E132" s="769" t="s">
        <v>53</v>
      </c>
      <c r="F132" s="771"/>
      <c r="G132" s="14" t="s">
        <v>13914</v>
      </c>
      <c r="H132" s="14" t="s">
        <v>9620</v>
      </c>
      <c r="I132" s="14" t="s">
        <v>13066</v>
      </c>
      <c r="J132" s="14" t="s">
        <v>1264</v>
      </c>
      <c r="K132" s="14" t="s">
        <v>780</v>
      </c>
      <c r="L132" s="223" t="s">
        <v>14011</v>
      </c>
      <c r="M132" s="89" t="str">
        <f t="shared" si="4"/>
        <v>district28@senate.virginia.gov</v>
      </c>
      <c r="N132" s="89"/>
      <c r="O132" s="89"/>
      <c r="P132" s="89"/>
      <c r="Q132" s="89"/>
      <c r="R132" s="89"/>
    </row>
    <row r="133">
      <c r="A133" s="14" t="s">
        <v>286</v>
      </c>
      <c r="B133" s="767">
        <v>29.0</v>
      </c>
      <c r="C133" s="295" t="s">
        <v>657</v>
      </c>
      <c r="D133" s="295" t="s">
        <v>14014</v>
      </c>
      <c r="E133" s="772" t="s">
        <v>49</v>
      </c>
      <c r="F133" s="771"/>
      <c r="G133" s="14" t="s">
        <v>13915</v>
      </c>
      <c r="H133" s="14" t="s">
        <v>2239</v>
      </c>
      <c r="I133" s="14" t="s">
        <v>13916</v>
      </c>
      <c r="L133" s="223" t="s">
        <v>14015</v>
      </c>
      <c r="M133" s="89" t="str">
        <f t="shared" si="4"/>
        <v>district29@senate.virginia.gov</v>
      </c>
      <c r="N133" s="89"/>
      <c r="O133" s="89"/>
      <c r="P133" s="89"/>
      <c r="Q133" s="89"/>
      <c r="R133" s="89"/>
    </row>
    <row r="134">
      <c r="A134" s="14" t="s">
        <v>286</v>
      </c>
      <c r="B134" s="767">
        <v>30.0</v>
      </c>
      <c r="C134" s="295" t="s">
        <v>69</v>
      </c>
      <c r="D134" s="295" t="s">
        <v>14022</v>
      </c>
      <c r="E134" s="772" t="s">
        <v>49</v>
      </c>
      <c r="F134" s="771"/>
      <c r="G134" s="14" t="s">
        <v>13914</v>
      </c>
      <c r="H134" s="14" t="s">
        <v>13915</v>
      </c>
      <c r="I134" s="14" t="s">
        <v>13173</v>
      </c>
      <c r="L134" s="223" t="s">
        <v>14023</v>
      </c>
      <c r="M134" s="89" t="str">
        <f t="shared" si="4"/>
        <v>district30@senate.virginia.gov</v>
      </c>
      <c r="N134" s="89"/>
      <c r="O134" s="89"/>
      <c r="P134" s="89"/>
      <c r="Q134" s="89"/>
      <c r="R134" s="89"/>
    </row>
    <row r="135">
      <c r="A135" s="14" t="s">
        <v>286</v>
      </c>
      <c r="B135" s="767">
        <v>31.0</v>
      </c>
      <c r="C135" s="295" t="s">
        <v>384</v>
      </c>
      <c r="D135" s="295" t="s">
        <v>14028</v>
      </c>
      <c r="E135" s="772" t="s">
        <v>49</v>
      </c>
      <c r="F135" s="771"/>
      <c r="G135" s="14" t="s">
        <v>2239</v>
      </c>
      <c r="H135" s="14" t="s">
        <v>13916</v>
      </c>
      <c r="I135" s="14" t="s">
        <v>578</v>
      </c>
      <c r="L135" s="223" t="s">
        <v>14029</v>
      </c>
      <c r="M135" s="89" t="str">
        <f t="shared" si="4"/>
        <v>district31@senate.virginia.gov</v>
      </c>
      <c r="N135" s="89"/>
      <c r="O135" s="89"/>
      <c r="P135" s="89"/>
      <c r="Q135" s="89"/>
      <c r="R135" s="89"/>
    </row>
    <row r="136">
      <c r="A136" s="14" t="s">
        <v>286</v>
      </c>
      <c r="B136" s="767">
        <v>32.0</v>
      </c>
      <c r="C136" s="295" t="s">
        <v>1930</v>
      </c>
      <c r="D136" s="295" t="s">
        <v>7245</v>
      </c>
      <c r="E136" s="772" t="s">
        <v>49</v>
      </c>
      <c r="F136" s="771"/>
      <c r="G136" s="14" t="s">
        <v>13066</v>
      </c>
      <c r="H136" s="14" t="s">
        <v>13925</v>
      </c>
      <c r="I136" s="14" t="s">
        <v>1264</v>
      </c>
      <c r="J136" s="14" t="s">
        <v>13173</v>
      </c>
      <c r="K136" s="14" t="s">
        <v>780</v>
      </c>
      <c r="L136" s="223" t="s">
        <v>14035</v>
      </c>
      <c r="M136" s="89" t="str">
        <f t="shared" si="4"/>
        <v>district32@senate.virginia.gov</v>
      </c>
      <c r="N136" s="89"/>
      <c r="O136" s="89"/>
      <c r="P136" s="89"/>
      <c r="Q136" s="89"/>
      <c r="R136" s="89"/>
    </row>
    <row r="137">
      <c r="A137" s="14" t="s">
        <v>286</v>
      </c>
      <c r="B137" s="767">
        <v>33.0</v>
      </c>
      <c r="C137" s="295" t="s">
        <v>191</v>
      </c>
      <c r="D137" s="295" t="s">
        <v>14039</v>
      </c>
      <c r="E137" s="772" t="s">
        <v>49</v>
      </c>
      <c r="F137" s="771"/>
      <c r="G137" s="14" t="s">
        <v>13915</v>
      </c>
      <c r="H137" s="14" t="s">
        <v>13916</v>
      </c>
      <c r="I137" s="14" t="s">
        <v>578</v>
      </c>
      <c r="L137" s="223" t="s">
        <v>14041</v>
      </c>
      <c r="M137" s="89" t="str">
        <f t="shared" si="4"/>
        <v>district33@senate.virginia.gov</v>
      </c>
      <c r="N137" s="89"/>
      <c r="O137" s="89"/>
      <c r="P137" s="89"/>
      <c r="Q137" s="89"/>
      <c r="R137" s="89"/>
    </row>
    <row r="138">
      <c r="A138" s="14" t="s">
        <v>286</v>
      </c>
      <c r="B138" s="767">
        <v>34.0</v>
      </c>
      <c r="C138" s="295" t="s">
        <v>14043</v>
      </c>
      <c r="D138" s="295" t="s">
        <v>819</v>
      </c>
      <c r="E138" s="772" t="s">
        <v>49</v>
      </c>
      <c r="F138" s="771"/>
      <c r="G138" s="14" t="s">
        <v>13914</v>
      </c>
      <c r="H138" s="14" t="s">
        <v>13066</v>
      </c>
      <c r="I138" s="14" t="s">
        <v>13925</v>
      </c>
      <c r="L138" s="223" t="s">
        <v>14048</v>
      </c>
      <c r="M138" s="89" t="str">
        <f t="shared" si="4"/>
        <v>district34@senate.virginia.gov</v>
      </c>
      <c r="N138" s="89"/>
      <c r="O138" s="89"/>
      <c r="P138" s="89"/>
      <c r="Q138" s="89"/>
      <c r="R138" s="89"/>
    </row>
    <row r="139">
      <c r="A139" s="14" t="s">
        <v>286</v>
      </c>
      <c r="B139" s="767">
        <v>35.0</v>
      </c>
      <c r="C139" s="295" t="s">
        <v>1112</v>
      </c>
      <c r="D139" s="295" t="s">
        <v>14052</v>
      </c>
      <c r="E139" s="772" t="s">
        <v>49</v>
      </c>
      <c r="F139" s="801" t="s">
        <v>498</v>
      </c>
      <c r="G139" s="14" t="s">
        <v>9620</v>
      </c>
      <c r="H139" s="14" t="s">
        <v>13066</v>
      </c>
      <c r="I139" s="14" t="s">
        <v>13925</v>
      </c>
      <c r="J139" s="14" t="s">
        <v>1264</v>
      </c>
      <c r="K139" s="14" t="s">
        <v>780</v>
      </c>
      <c r="L139" s="223" t="s">
        <v>14054</v>
      </c>
      <c r="M139" s="89" t="str">
        <f t="shared" si="4"/>
        <v>district35@senate.virginia.gov</v>
      </c>
      <c r="N139" s="89"/>
      <c r="O139" s="89"/>
      <c r="P139" s="89"/>
      <c r="Q139" s="89"/>
      <c r="R139" s="89"/>
    </row>
    <row r="140">
      <c r="A140" s="14" t="s">
        <v>286</v>
      </c>
      <c r="B140" s="767">
        <v>36.0</v>
      </c>
      <c r="C140" s="295" t="s">
        <v>45</v>
      </c>
      <c r="D140" s="295" t="s">
        <v>14057</v>
      </c>
      <c r="E140" s="772" t="s">
        <v>49</v>
      </c>
      <c r="F140" s="771"/>
      <c r="G140" s="14" t="s">
        <v>13915</v>
      </c>
      <c r="H140" s="14" t="s">
        <v>2239</v>
      </c>
      <c r="I140" s="14" t="s">
        <v>13916</v>
      </c>
      <c r="L140" s="223" t="s">
        <v>14058</v>
      </c>
      <c r="M140" s="89" t="str">
        <f t="shared" si="4"/>
        <v>district36@senate.virginia.gov</v>
      </c>
      <c r="N140" s="89"/>
      <c r="O140" s="89"/>
      <c r="P140" s="89"/>
      <c r="Q140" s="89"/>
      <c r="R140" s="89"/>
    </row>
    <row r="141">
      <c r="A141" s="14" t="s">
        <v>286</v>
      </c>
      <c r="B141" s="767">
        <v>37.0</v>
      </c>
      <c r="C141" s="295" t="s">
        <v>76</v>
      </c>
      <c r="D141" s="295" t="s">
        <v>14061</v>
      </c>
      <c r="E141" s="772" t="s">
        <v>49</v>
      </c>
      <c r="F141" s="771"/>
      <c r="G141" s="14" t="s">
        <v>13914</v>
      </c>
      <c r="H141" s="14" t="s">
        <v>2239</v>
      </c>
      <c r="I141" s="14" t="s">
        <v>578</v>
      </c>
      <c r="L141" s="223" t="s">
        <v>14062</v>
      </c>
      <c r="M141" s="89" t="str">
        <f t="shared" si="4"/>
        <v>district37@senate.virginia.gov</v>
      </c>
      <c r="N141" s="89"/>
      <c r="O141" s="89"/>
      <c r="P141" s="89"/>
      <c r="Q141" s="89"/>
      <c r="R141" s="89"/>
    </row>
    <row r="142">
      <c r="A142" s="14" t="s">
        <v>286</v>
      </c>
      <c r="B142" s="767">
        <v>38.0</v>
      </c>
      <c r="C142" s="295" t="s">
        <v>195</v>
      </c>
      <c r="D142" s="295" t="s">
        <v>14066</v>
      </c>
      <c r="E142" s="769" t="s">
        <v>53</v>
      </c>
      <c r="F142" s="771"/>
      <c r="G142" s="14" t="s">
        <v>13914</v>
      </c>
      <c r="H142" s="14" t="s">
        <v>9620</v>
      </c>
      <c r="I142" s="14" t="s">
        <v>13066</v>
      </c>
      <c r="J142" s="14" t="s">
        <v>13173</v>
      </c>
      <c r="K142" s="14" t="s">
        <v>13916</v>
      </c>
      <c r="L142" s="223" t="s">
        <v>14067</v>
      </c>
      <c r="M142" s="89" t="str">
        <f t="shared" si="4"/>
        <v>district38@senate.virginia.gov</v>
      </c>
      <c r="N142" s="89"/>
      <c r="O142" s="89"/>
      <c r="P142" s="89"/>
      <c r="Q142" s="89"/>
      <c r="R142" s="89"/>
    </row>
    <row r="143">
      <c r="A143" s="14" t="s">
        <v>286</v>
      </c>
      <c r="B143" s="767">
        <v>39.0</v>
      </c>
      <c r="C143" s="295" t="s">
        <v>98</v>
      </c>
      <c r="D143" s="295" t="s">
        <v>5094</v>
      </c>
      <c r="E143" s="772" t="s">
        <v>49</v>
      </c>
      <c r="F143" s="771"/>
      <c r="G143" s="14" t="s">
        <v>13925</v>
      </c>
      <c r="H143" s="14" t="s">
        <v>1264</v>
      </c>
      <c r="I143" s="14" t="s">
        <v>13915</v>
      </c>
      <c r="L143" s="223" t="s">
        <v>14070</v>
      </c>
      <c r="M143" s="89" t="str">
        <f t="shared" si="4"/>
        <v>district39@senate.virginia.gov</v>
      </c>
      <c r="N143" s="89"/>
      <c r="O143" s="89"/>
      <c r="P143" s="89"/>
      <c r="Q143" s="89"/>
      <c r="R143" s="89"/>
    </row>
    <row r="144">
      <c r="A144" s="14" t="s">
        <v>286</v>
      </c>
      <c r="B144" s="767">
        <v>40.0</v>
      </c>
      <c r="C144" s="256" t="s">
        <v>1287</v>
      </c>
      <c r="D144" s="256" t="s">
        <v>14072</v>
      </c>
      <c r="E144" s="769" t="s">
        <v>53</v>
      </c>
      <c r="F144" s="771"/>
      <c r="G144" s="14" t="s">
        <v>13925</v>
      </c>
      <c r="H144" s="14" t="s">
        <v>1264</v>
      </c>
      <c r="I144" s="14" t="s">
        <v>2239</v>
      </c>
      <c r="J144" s="14" t="s">
        <v>780</v>
      </c>
      <c r="K144" s="14" t="s">
        <v>578</v>
      </c>
      <c r="L144" s="223" t="s">
        <v>14073</v>
      </c>
      <c r="M144" s="89" t="str">
        <f t="shared" si="4"/>
        <v>district40@senate.virginia.gov</v>
      </c>
      <c r="N144" s="89"/>
      <c r="O144" s="89"/>
      <c r="P144" s="89"/>
      <c r="Q144" s="89"/>
      <c r="R144" s="89"/>
    </row>
    <row r="145">
      <c r="A145" s="70"/>
      <c r="B145" s="71"/>
      <c r="C145" s="371"/>
      <c r="D145" s="371"/>
      <c r="E145" s="128"/>
      <c r="F145" s="70"/>
      <c r="G145" s="70"/>
      <c r="H145" s="70"/>
      <c r="I145" s="70"/>
      <c r="J145" s="70"/>
      <c r="K145" s="70"/>
      <c r="L145" s="70"/>
      <c r="M145" s="70"/>
      <c r="N145" s="70"/>
      <c r="O145" s="70"/>
      <c r="P145" s="70"/>
      <c r="Q145" s="70"/>
      <c r="R145" s="70"/>
      <c r="S145" s="70"/>
      <c r="T145" s="70"/>
      <c r="U145" s="70"/>
      <c r="V145" s="70"/>
      <c r="W145" s="70"/>
      <c r="X145" s="70"/>
      <c r="Y145" s="70"/>
      <c r="Z145" s="70"/>
      <c r="AA145" s="70"/>
      <c r="AB145" s="70"/>
      <c r="AC145" s="70"/>
      <c r="AD145" s="70"/>
      <c r="AE145" s="70"/>
      <c r="AF145" s="70"/>
      <c r="AG145" s="70"/>
      <c r="AH145" s="70"/>
    </row>
    <row r="146">
      <c r="A146" s="14" t="s">
        <v>421</v>
      </c>
      <c r="B146" s="139"/>
      <c r="C146" s="374" t="s">
        <v>588</v>
      </c>
      <c r="D146" s="374" t="s">
        <v>14077</v>
      </c>
      <c r="E146" s="772" t="s">
        <v>49</v>
      </c>
      <c r="L146" s="89"/>
      <c r="M146" s="89"/>
      <c r="N146" s="89"/>
      <c r="O146" s="89"/>
      <c r="P146" s="89"/>
      <c r="Q146" s="89"/>
      <c r="R146" s="89"/>
    </row>
    <row r="147">
      <c r="A147" s="70"/>
      <c r="B147" s="71"/>
      <c r="C147" s="371"/>
      <c r="D147" s="371"/>
      <c r="E147" s="128"/>
      <c r="F147" s="70"/>
      <c r="G147" s="70"/>
      <c r="H147" s="70"/>
      <c r="I147" s="70"/>
      <c r="J147" s="70"/>
      <c r="K147" s="70"/>
      <c r="L147" s="70"/>
      <c r="M147" s="70"/>
      <c r="N147" s="70"/>
      <c r="O147" s="70"/>
      <c r="P147" s="70"/>
      <c r="Q147" s="70"/>
      <c r="R147" s="70"/>
      <c r="S147" s="70"/>
      <c r="T147" s="70"/>
      <c r="U147" s="70"/>
      <c r="V147" s="70"/>
      <c r="W147" s="70"/>
      <c r="X147" s="70"/>
      <c r="Y147" s="70"/>
      <c r="Z147" s="70"/>
      <c r="AA147" s="70"/>
      <c r="AB147" s="70"/>
      <c r="AC147" s="70"/>
      <c r="AD147" s="70"/>
      <c r="AE147" s="70"/>
      <c r="AF147" s="70"/>
      <c r="AG147" s="70"/>
      <c r="AH147" s="70"/>
    </row>
    <row r="148">
      <c r="A148" s="14" t="s">
        <v>427</v>
      </c>
      <c r="B148" s="77">
        <v>1.0</v>
      </c>
      <c r="C148" s="374" t="s">
        <v>1476</v>
      </c>
      <c r="D148" s="374" t="s">
        <v>14080</v>
      </c>
      <c r="E148" s="769" t="s">
        <v>53</v>
      </c>
      <c r="L148" s="89"/>
      <c r="M148" s="89"/>
      <c r="N148" s="89"/>
      <c r="O148" s="89"/>
      <c r="P148" s="89"/>
      <c r="Q148" s="89"/>
      <c r="R148" s="89"/>
    </row>
    <row r="149">
      <c r="A149" s="14" t="s">
        <v>427</v>
      </c>
      <c r="B149" s="77">
        <v>2.0</v>
      </c>
      <c r="C149" s="374" t="s">
        <v>3948</v>
      </c>
      <c r="D149" s="374" t="s">
        <v>14081</v>
      </c>
      <c r="E149" s="772" t="s">
        <v>49</v>
      </c>
      <c r="L149" s="89"/>
      <c r="M149" s="89"/>
      <c r="N149" s="89"/>
      <c r="O149" s="89"/>
      <c r="P149" s="89"/>
      <c r="Q149" s="89"/>
      <c r="R149" s="89"/>
    </row>
    <row r="150">
      <c r="A150" s="14" t="s">
        <v>427</v>
      </c>
      <c r="B150" s="77">
        <v>3.0</v>
      </c>
      <c r="C150" s="374" t="s">
        <v>1019</v>
      </c>
      <c r="D150" s="374" t="s">
        <v>45</v>
      </c>
      <c r="E150" s="772" t="s">
        <v>49</v>
      </c>
      <c r="L150" s="89"/>
      <c r="M150" s="89"/>
      <c r="N150" s="89"/>
      <c r="O150" s="89"/>
      <c r="P150" s="89"/>
      <c r="Q150" s="89"/>
      <c r="R150" s="89"/>
    </row>
    <row r="151">
      <c r="A151" s="14" t="s">
        <v>427</v>
      </c>
      <c r="B151" s="77">
        <v>4.0</v>
      </c>
      <c r="C151" s="374" t="s">
        <v>2139</v>
      </c>
      <c r="D151" s="374" t="s">
        <v>14085</v>
      </c>
      <c r="E151" s="772" t="s">
        <v>49</v>
      </c>
      <c r="L151" s="89"/>
      <c r="M151" s="89"/>
      <c r="N151" s="89"/>
      <c r="O151" s="89"/>
      <c r="P151" s="89"/>
      <c r="Q151" s="89"/>
      <c r="R151" s="89"/>
    </row>
    <row r="152">
      <c r="A152" s="14" t="s">
        <v>427</v>
      </c>
      <c r="B152" s="77">
        <v>5.0</v>
      </c>
      <c r="C152" s="374" t="s">
        <v>1603</v>
      </c>
      <c r="D152" s="374" t="s">
        <v>14086</v>
      </c>
      <c r="E152" s="769" t="s">
        <v>53</v>
      </c>
      <c r="L152" s="89"/>
      <c r="M152" s="89"/>
      <c r="N152" s="89"/>
      <c r="O152" s="89"/>
      <c r="P152" s="89"/>
      <c r="Q152" s="89"/>
      <c r="R152" s="89"/>
    </row>
    <row r="153">
      <c r="A153" s="14" t="s">
        <v>427</v>
      </c>
      <c r="B153" s="77">
        <v>6.0</v>
      </c>
      <c r="C153" s="374" t="s">
        <v>195</v>
      </c>
      <c r="D153" s="374" t="s">
        <v>13444</v>
      </c>
      <c r="E153" s="769" t="s">
        <v>53</v>
      </c>
      <c r="L153" s="89"/>
      <c r="M153" s="89"/>
      <c r="N153" s="89"/>
      <c r="O153" s="89"/>
      <c r="P153" s="89"/>
      <c r="Q153" s="89"/>
      <c r="R153" s="89"/>
    </row>
    <row r="154">
      <c r="A154" s="14" t="s">
        <v>427</v>
      </c>
      <c r="B154" s="77">
        <v>7.0</v>
      </c>
      <c r="C154" s="374" t="s">
        <v>6707</v>
      </c>
      <c r="D154" s="374" t="s">
        <v>14090</v>
      </c>
      <c r="E154" s="772" t="s">
        <v>49</v>
      </c>
      <c r="L154" s="89"/>
      <c r="M154" s="89"/>
      <c r="N154" s="89"/>
      <c r="O154" s="89"/>
      <c r="P154" s="89"/>
      <c r="Q154" s="89"/>
      <c r="R154" s="89"/>
    </row>
    <row r="155">
      <c r="A155" s="14" t="s">
        <v>427</v>
      </c>
      <c r="B155" s="77">
        <v>8.0</v>
      </c>
      <c r="C155" s="374" t="s">
        <v>2139</v>
      </c>
      <c r="D155" s="374" t="s">
        <v>11530</v>
      </c>
      <c r="E155" s="772" t="s">
        <v>49</v>
      </c>
      <c r="L155" s="89"/>
      <c r="M155" s="89"/>
      <c r="N155" s="89"/>
      <c r="O155" s="89"/>
      <c r="P155" s="89"/>
      <c r="Q155" s="89"/>
      <c r="R155" s="89"/>
    </row>
    <row r="156">
      <c r="A156" s="14" t="s">
        <v>427</v>
      </c>
      <c r="B156" s="77">
        <v>9.0</v>
      </c>
      <c r="C156" s="374" t="s">
        <v>141</v>
      </c>
      <c r="D156" s="374" t="s">
        <v>2642</v>
      </c>
      <c r="E156" s="769" t="s">
        <v>53</v>
      </c>
      <c r="L156" s="89"/>
      <c r="M156" s="89"/>
      <c r="N156" s="89"/>
      <c r="O156" s="89"/>
      <c r="P156" s="89"/>
      <c r="Q156" s="89"/>
      <c r="R156" s="89"/>
    </row>
    <row r="157">
      <c r="A157" s="14" t="s">
        <v>427</v>
      </c>
      <c r="B157" s="77">
        <v>10.0</v>
      </c>
      <c r="C157" s="374" t="s">
        <v>191</v>
      </c>
      <c r="D157" s="374" t="s">
        <v>14039</v>
      </c>
      <c r="E157" s="772" t="s">
        <v>49</v>
      </c>
      <c r="L157" s="89"/>
      <c r="M157" s="89"/>
      <c r="N157" s="89"/>
      <c r="O157" s="89"/>
      <c r="P157" s="89"/>
      <c r="Q157" s="89"/>
      <c r="R157" s="89"/>
    </row>
    <row r="158">
      <c r="A158" s="14" t="s">
        <v>427</v>
      </c>
      <c r="B158" s="77">
        <v>11.0</v>
      </c>
      <c r="C158" s="374" t="s">
        <v>987</v>
      </c>
      <c r="D158" s="374" t="s">
        <v>6906</v>
      </c>
      <c r="E158" s="772" t="s">
        <v>49</v>
      </c>
      <c r="L158" s="89"/>
      <c r="M158" s="89"/>
      <c r="N158" s="89"/>
      <c r="O158" s="89"/>
      <c r="P158" s="89"/>
      <c r="Q158" s="89"/>
      <c r="R158" s="89"/>
    </row>
    <row r="159">
      <c r="A159" s="70"/>
      <c r="B159" s="71"/>
      <c r="C159" s="371"/>
      <c r="D159" s="371"/>
      <c r="E159" s="128"/>
      <c r="F159" s="70"/>
      <c r="G159" s="70"/>
      <c r="H159" s="70"/>
      <c r="I159" s="70"/>
      <c r="J159" s="70"/>
      <c r="K159" s="70"/>
      <c r="L159" s="70"/>
      <c r="M159" s="70"/>
      <c r="N159" s="70"/>
      <c r="O159" s="70"/>
      <c r="P159" s="70"/>
      <c r="Q159" s="70"/>
      <c r="R159" s="70"/>
      <c r="S159" s="70"/>
      <c r="T159" s="70"/>
      <c r="U159" s="70"/>
      <c r="V159" s="70"/>
      <c r="W159" s="70"/>
      <c r="X159" s="70"/>
      <c r="Y159" s="70"/>
      <c r="Z159" s="70"/>
      <c r="AA159" s="70"/>
      <c r="AB159" s="70"/>
      <c r="AC159" s="70"/>
      <c r="AD159" s="70"/>
      <c r="AE159" s="70"/>
      <c r="AF159" s="70"/>
      <c r="AG159" s="70"/>
      <c r="AH159" s="70"/>
    </row>
    <row r="160">
      <c r="A160" s="14" t="s">
        <v>430</v>
      </c>
      <c r="B160" s="77" t="s">
        <v>431</v>
      </c>
      <c r="C160" s="374" t="s">
        <v>91</v>
      </c>
      <c r="D160" s="374" t="s">
        <v>10883</v>
      </c>
      <c r="E160" s="772" t="s">
        <v>49</v>
      </c>
      <c r="L160" s="89"/>
      <c r="M160" s="89"/>
      <c r="N160" s="89"/>
      <c r="O160" s="89"/>
      <c r="P160" s="89"/>
      <c r="Q160" s="89"/>
      <c r="R160" s="89"/>
    </row>
    <row r="161">
      <c r="A161" s="14" t="s">
        <v>430</v>
      </c>
      <c r="B161" s="77" t="s">
        <v>434</v>
      </c>
      <c r="C161" s="374" t="s">
        <v>200</v>
      </c>
      <c r="D161" s="374" t="s">
        <v>3220</v>
      </c>
      <c r="E161" s="769" t="s">
        <v>53</v>
      </c>
      <c r="L161" s="89"/>
      <c r="M161" s="89"/>
      <c r="N161" s="89"/>
      <c r="O161" s="89"/>
      <c r="P161" s="89"/>
      <c r="Q161" s="89"/>
      <c r="R161" s="89"/>
    </row>
    <row r="162">
      <c r="A162" s="70"/>
      <c r="B162" s="71"/>
      <c r="C162" s="371"/>
      <c r="D162" s="371"/>
      <c r="E162" s="128"/>
      <c r="F162" s="70"/>
      <c r="G162" s="70"/>
      <c r="H162" s="70"/>
      <c r="I162" s="70"/>
      <c r="J162" s="70"/>
      <c r="K162" s="70"/>
      <c r="L162" s="70"/>
      <c r="M162" s="70"/>
      <c r="N162" s="70"/>
      <c r="O162" s="70"/>
      <c r="P162" s="70"/>
      <c r="Q162" s="70"/>
      <c r="R162" s="70"/>
      <c r="S162" s="70"/>
      <c r="T162" s="70"/>
      <c r="U162" s="70"/>
      <c r="V162" s="70"/>
      <c r="W162" s="70"/>
      <c r="X162" s="70"/>
      <c r="Y162" s="70"/>
      <c r="Z162" s="70"/>
      <c r="AA162" s="70"/>
      <c r="AB162" s="70"/>
      <c r="AC162" s="70"/>
      <c r="AD162" s="70"/>
      <c r="AE162" s="70"/>
      <c r="AF162" s="70"/>
      <c r="AG162" s="70"/>
      <c r="AH162" s="70"/>
    </row>
    <row r="163">
      <c r="A163" s="14" t="s">
        <v>438</v>
      </c>
      <c r="B163" s="139"/>
      <c r="C163" s="374" t="s">
        <v>91</v>
      </c>
      <c r="D163" s="374" t="s">
        <v>13579</v>
      </c>
      <c r="E163" s="772" t="s">
        <v>49</v>
      </c>
      <c r="L163" s="89"/>
      <c r="M163" s="89"/>
      <c r="N163" s="89"/>
      <c r="O163" s="89"/>
      <c r="P163" s="89"/>
      <c r="Q163" s="89"/>
      <c r="R163" s="89"/>
    </row>
    <row r="164">
      <c r="A164" s="70"/>
      <c r="B164" s="71"/>
      <c r="C164" s="371"/>
      <c r="D164" s="371"/>
      <c r="E164" s="128"/>
      <c r="F164" s="70"/>
      <c r="G164" s="70"/>
      <c r="H164" s="70"/>
      <c r="I164" s="70"/>
      <c r="J164" s="70"/>
      <c r="K164" s="70"/>
      <c r="L164" s="70"/>
      <c r="M164" s="70"/>
      <c r="N164" s="70"/>
      <c r="O164" s="70"/>
      <c r="P164" s="70"/>
      <c r="Q164" s="70"/>
      <c r="R164" s="70"/>
      <c r="S164" s="70"/>
      <c r="T164" s="70"/>
      <c r="U164" s="70"/>
      <c r="V164" s="70"/>
      <c r="W164" s="70"/>
      <c r="X164" s="70"/>
      <c r="Y164" s="70"/>
      <c r="Z164" s="70"/>
      <c r="AA164" s="70"/>
      <c r="AB164" s="70"/>
      <c r="AC164" s="70"/>
      <c r="AD164" s="70"/>
      <c r="AE164" s="70"/>
      <c r="AF164" s="70"/>
      <c r="AG164" s="70"/>
      <c r="AH164" s="70"/>
    </row>
    <row r="165">
      <c r="B165" s="139"/>
      <c r="C165" s="377"/>
      <c r="D165" s="377"/>
      <c r="E165" s="140"/>
    </row>
    <row r="166">
      <c r="B166" s="139"/>
      <c r="C166" s="377"/>
      <c r="D166" s="377"/>
      <c r="E166" s="140"/>
    </row>
    <row r="167">
      <c r="B167" s="139"/>
      <c r="C167" s="377"/>
      <c r="D167" s="377"/>
      <c r="E167" s="140"/>
    </row>
    <row r="168">
      <c r="B168" s="139"/>
      <c r="C168" s="377"/>
      <c r="D168" s="377"/>
      <c r="E168" s="140"/>
    </row>
    <row r="169">
      <c r="B169" s="139"/>
      <c r="C169" s="377"/>
      <c r="D169" s="377"/>
      <c r="E169" s="140"/>
    </row>
    <row r="170">
      <c r="B170" s="139"/>
      <c r="C170" s="377"/>
      <c r="D170" s="377"/>
      <c r="E170" s="140"/>
    </row>
    <row r="171">
      <c r="B171" s="139"/>
      <c r="C171" s="377"/>
      <c r="D171" s="377"/>
      <c r="E171" s="140"/>
    </row>
    <row r="172">
      <c r="B172" s="139"/>
      <c r="C172" s="377"/>
      <c r="D172" s="377"/>
      <c r="E172" s="140"/>
    </row>
    <row r="173">
      <c r="B173" s="139"/>
      <c r="C173" s="377"/>
      <c r="D173" s="377"/>
      <c r="E173" s="140"/>
    </row>
    <row r="174">
      <c r="B174" s="139"/>
      <c r="C174" s="377"/>
      <c r="D174" s="377"/>
      <c r="E174" s="140"/>
    </row>
    <row r="175">
      <c r="B175" s="139"/>
      <c r="C175" s="377"/>
      <c r="D175" s="377"/>
      <c r="E175" s="140"/>
    </row>
    <row r="176">
      <c r="B176" s="139"/>
      <c r="C176" s="377"/>
      <c r="D176" s="377"/>
      <c r="E176" s="140"/>
    </row>
    <row r="177">
      <c r="B177" s="139"/>
      <c r="C177" s="377"/>
      <c r="D177" s="377"/>
      <c r="E177" s="140"/>
    </row>
    <row r="178">
      <c r="B178" s="139"/>
      <c r="C178" s="377"/>
      <c r="D178" s="377"/>
      <c r="E178" s="140"/>
    </row>
    <row r="179">
      <c r="B179" s="139"/>
      <c r="C179" s="377"/>
      <c r="D179" s="377"/>
      <c r="E179" s="140"/>
    </row>
    <row r="180">
      <c r="B180" s="139"/>
      <c r="C180" s="377"/>
      <c r="D180" s="377"/>
      <c r="E180" s="140"/>
    </row>
    <row r="181">
      <c r="B181" s="139"/>
      <c r="C181" s="377"/>
      <c r="D181" s="377"/>
      <c r="E181" s="140"/>
    </row>
    <row r="182">
      <c r="B182" s="139"/>
      <c r="C182" s="377"/>
      <c r="D182" s="377"/>
      <c r="E182" s="140"/>
    </row>
    <row r="183">
      <c r="B183" s="139"/>
      <c r="C183" s="377"/>
      <c r="D183" s="377"/>
      <c r="E183" s="140"/>
    </row>
    <row r="184">
      <c r="B184" s="139"/>
      <c r="C184" s="377"/>
      <c r="D184" s="377"/>
      <c r="E184" s="140"/>
    </row>
    <row r="185">
      <c r="B185" s="139"/>
      <c r="C185" s="377"/>
      <c r="D185" s="377"/>
      <c r="E185" s="140"/>
    </row>
    <row r="186">
      <c r="B186" s="139"/>
      <c r="C186" s="377"/>
      <c r="D186" s="377"/>
      <c r="E186" s="140"/>
    </row>
    <row r="187">
      <c r="B187" s="139"/>
      <c r="C187" s="377"/>
      <c r="D187" s="377"/>
      <c r="E187" s="140"/>
    </row>
    <row r="188">
      <c r="B188" s="139"/>
      <c r="C188" s="377"/>
      <c r="D188" s="377"/>
      <c r="E188" s="140"/>
    </row>
    <row r="189">
      <c r="B189" s="139"/>
      <c r="C189" s="377"/>
      <c r="D189" s="377"/>
      <c r="E189" s="140"/>
    </row>
    <row r="190">
      <c r="B190" s="139"/>
      <c r="C190" s="377"/>
      <c r="D190" s="377"/>
      <c r="E190" s="140"/>
    </row>
    <row r="191">
      <c r="B191" s="139"/>
      <c r="C191" s="377"/>
      <c r="D191" s="377"/>
      <c r="E191" s="140"/>
    </row>
    <row r="192">
      <c r="B192" s="139"/>
      <c r="C192" s="377"/>
      <c r="D192" s="377"/>
      <c r="E192" s="140"/>
    </row>
    <row r="193">
      <c r="B193" s="139"/>
      <c r="C193" s="377"/>
      <c r="D193" s="377"/>
      <c r="E193" s="140"/>
    </row>
    <row r="194">
      <c r="B194" s="139"/>
      <c r="C194" s="377"/>
      <c r="D194" s="377"/>
      <c r="E194" s="140"/>
    </row>
    <row r="195">
      <c r="B195" s="139"/>
      <c r="C195" s="377"/>
      <c r="D195" s="377"/>
      <c r="E195" s="140"/>
    </row>
    <row r="196">
      <c r="B196" s="139"/>
      <c r="C196" s="377"/>
      <c r="D196" s="377"/>
      <c r="E196" s="140"/>
    </row>
    <row r="197">
      <c r="B197" s="139"/>
      <c r="C197" s="377"/>
      <c r="D197" s="377"/>
      <c r="E197" s="140"/>
    </row>
    <row r="198">
      <c r="B198" s="139"/>
      <c r="C198" s="377"/>
      <c r="D198" s="377"/>
      <c r="E198" s="140"/>
    </row>
    <row r="199">
      <c r="B199" s="139"/>
      <c r="C199" s="377"/>
      <c r="D199" s="377"/>
      <c r="E199" s="140"/>
    </row>
    <row r="200">
      <c r="B200" s="139"/>
      <c r="C200" s="377"/>
      <c r="D200" s="377"/>
      <c r="E200" s="140"/>
    </row>
    <row r="201">
      <c r="B201" s="139"/>
      <c r="C201" s="377"/>
      <c r="D201" s="377"/>
      <c r="E201" s="140"/>
    </row>
    <row r="202">
      <c r="B202" s="139"/>
      <c r="C202" s="377"/>
      <c r="D202" s="377"/>
      <c r="E202" s="140"/>
    </row>
    <row r="203">
      <c r="B203" s="139"/>
      <c r="C203" s="377"/>
      <c r="D203" s="377"/>
      <c r="E203" s="140"/>
    </row>
    <row r="204">
      <c r="B204" s="139"/>
      <c r="C204" s="377"/>
      <c r="D204" s="377"/>
      <c r="E204" s="140"/>
    </row>
    <row r="205">
      <c r="B205" s="139"/>
      <c r="C205" s="377"/>
      <c r="D205" s="377"/>
      <c r="E205" s="140"/>
    </row>
    <row r="206">
      <c r="B206" s="139"/>
      <c r="C206" s="377"/>
      <c r="D206" s="377"/>
      <c r="E206" s="140"/>
    </row>
    <row r="207">
      <c r="B207" s="139"/>
      <c r="C207" s="377"/>
      <c r="D207" s="377"/>
      <c r="E207" s="140"/>
    </row>
    <row r="208">
      <c r="B208" s="139"/>
      <c r="C208" s="377"/>
      <c r="D208" s="377"/>
      <c r="E208" s="140"/>
    </row>
    <row r="209">
      <c r="B209" s="139"/>
      <c r="C209" s="377"/>
      <c r="D209" s="377"/>
      <c r="E209" s="140"/>
    </row>
    <row r="210">
      <c r="B210" s="139"/>
      <c r="C210" s="377"/>
      <c r="D210" s="377"/>
      <c r="E210" s="140"/>
    </row>
    <row r="211">
      <c r="B211" s="139"/>
      <c r="C211" s="377"/>
      <c r="D211" s="377"/>
      <c r="E211" s="140"/>
    </row>
    <row r="212">
      <c r="B212" s="139"/>
      <c r="C212" s="377"/>
      <c r="D212" s="377"/>
      <c r="E212" s="140"/>
    </row>
    <row r="213">
      <c r="B213" s="139"/>
      <c r="C213" s="377"/>
      <c r="D213" s="377"/>
      <c r="E213" s="140"/>
    </row>
    <row r="214">
      <c r="B214" s="139"/>
      <c r="C214" s="377"/>
      <c r="D214" s="377"/>
      <c r="E214" s="140"/>
    </row>
    <row r="215">
      <c r="B215" s="139"/>
      <c r="C215" s="377"/>
      <c r="D215" s="377"/>
      <c r="E215" s="140"/>
    </row>
    <row r="216">
      <c r="B216" s="139"/>
      <c r="C216" s="377"/>
      <c r="D216" s="377"/>
      <c r="E216" s="140"/>
    </row>
    <row r="217">
      <c r="B217" s="139"/>
      <c r="C217" s="377"/>
      <c r="D217" s="377"/>
      <c r="E217" s="140"/>
    </row>
    <row r="218">
      <c r="B218" s="139"/>
      <c r="C218" s="377"/>
      <c r="D218" s="377"/>
      <c r="E218" s="140"/>
    </row>
    <row r="219">
      <c r="B219" s="139"/>
      <c r="C219" s="377"/>
      <c r="D219" s="377"/>
      <c r="E219" s="140"/>
    </row>
    <row r="220">
      <c r="B220" s="139"/>
      <c r="C220" s="377"/>
      <c r="D220" s="377"/>
      <c r="E220" s="140"/>
    </row>
    <row r="221">
      <c r="B221" s="139"/>
      <c r="C221" s="377"/>
      <c r="D221" s="377"/>
      <c r="E221" s="140"/>
    </row>
    <row r="222">
      <c r="B222" s="139"/>
      <c r="C222" s="377"/>
      <c r="D222" s="377"/>
      <c r="E222" s="140"/>
    </row>
    <row r="223">
      <c r="B223" s="139"/>
      <c r="C223" s="377"/>
      <c r="D223" s="377"/>
      <c r="E223" s="140"/>
    </row>
    <row r="224">
      <c r="B224" s="139"/>
      <c r="C224" s="377"/>
      <c r="D224" s="377"/>
      <c r="E224" s="140"/>
    </row>
    <row r="225">
      <c r="B225" s="139"/>
      <c r="C225" s="377"/>
      <c r="D225" s="377"/>
      <c r="E225" s="140"/>
    </row>
    <row r="226">
      <c r="B226" s="139"/>
      <c r="C226" s="377"/>
      <c r="D226" s="377"/>
      <c r="E226" s="140"/>
    </row>
    <row r="227">
      <c r="B227" s="139"/>
      <c r="C227" s="377"/>
      <c r="D227" s="377"/>
      <c r="E227" s="140"/>
    </row>
    <row r="228">
      <c r="B228" s="139"/>
      <c r="C228" s="377"/>
      <c r="D228" s="377"/>
      <c r="E228" s="140"/>
    </row>
    <row r="229">
      <c r="B229" s="139"/>
      <c r="C229" s="377"/>
      <c r="D229" s="377"/>
      <c r="E229" s="140"/>
    </row>
    <row r="230">
      <c r="B230" s="139"/>
      <c r="C230" s="377"/>
      <c r="D230" s="377"/>
      <c r="E230" s="140"/>
    </row>
    <row r="231">
      <c r="B231" s="139"/>
      <c r="C231" s="377"/>
      <c r="D231" s="377"/>
      <c r="E231" s="140"/>
    </row>
    <row r="232">
      <c r="B232" s="139"/>
      <c r="C232" s="377"/>
      <c r="D232" s="377"/>
      <c r="E232" s="140"/>
    </row>
    <row r="233">
      <c r="B233" s="139"/>
      <c r="C233" s="377"/>
      <c r="D233" s="377"/>
      <c r="E233" s="140"/>
    </row>
    <row r="234">
      <c r="B234" s="139"/>
      <c r="C234" s="377"/>
      <c r="D234" s="377"/>
      <c r="E234" s="140"/>
    </row>
    <row r="235">
      <c r="B235" s="139"/>
      <c r="C235" s="377"/>
      <c r="D235" s="377"/>
      <c r="E235" s="140"/>
    </row>
    <row r="236">
      <c r="B236" s="139"/>
      <c r="C236" s="377"/>
      <c r="D236" s="377"/>
      <c r="E236" s="140"/>
    </row>
    <row r="237">
      <c r="B237" s="139"/>
      <c r="C237" s="377"/>
      <c r="D237" s="377"/>
      <c r="E237" s="140"/>
    </row>
    <row r="238">
      <c r="B238" s="139"/>
      <c r="C238" s="377"/>
      <c r="D238" s="377"/>
      <c r="E238" s="140"/>
    </row>
    <row r="239">
      <c r="B239" s="139"/>
      <c r="C239" s="377"/>
      <c r="D239" s="377"/>
      <c r="E239" s="140"/>
    </row>
    <row r="240">
      <c r="B240" s="139"/>
      <c r="C240" s="377"/>
      <c r="D240" s="377"/>
      <c r="E240" s="140"/>
    </row>
    <row r="241">
      <c r="B241" s="139"/>
      <c r="C241" s="377"/>
      <c r="D241" s="377"/>
      <c r="E241" s="140"/>
    </row>
    <row r="242">
      <c r="B242" s="139"/>
      <c r="C242" s="377"/>
      <c r="D242" s="377"/>
      <c r="E242" s="140"/>
    </row>
    <row r="243">
      <c r="B243" s="139"/>
      <c r="C243" s="377"/>
      <c r="D243" s="377"/>
      <c r="E243" s="140"/>
    </row>
    <row r="244">
      <c r="B244" s="139"/>
      <c r="C244" s="377"/>
      <c r="D244" s="377"/>
      <c r="E244" s="140"/>
    </row>
    <row r="245">
      <c r="B245" s="139"/>
      <c r="C245" s="377"/>
      <c r="D245" s="377"/>
      <c r="E245" s="140"/>
    </row>
    <row r="246">
      <c r="B246" s="139"/>
      <c r="C246" s="377"/>
      <c r="D246" s="377"/>
      <c r="E246" s="140"/>
    </row>
    <row r="247">
      <c r="B247" s="139"/>
      <c r="C247" s="377"/>
      <c r="D247" s="377"/>
      <c r="E247" s="140"/>
    </row>
    <row r="248">
      <c r="B248" s="139"/>
      <c r="C248" s="377"/>
      <c r="D248" s="377"/>
      <c r="E248" s="140"/>
    </row>
    <row r="249">
      <c r="B249" s="139"/>
      <c r="C249" s="377"/>
      <c r="D249" s="377"/>
      <c r="E249" s="140"/>
    </row>
    <row r="250">
      <c r="B250" s="139"/>
      <c r="C250" s="377"/>
      <c r="D250" s="377"/>
      <c r="E250" s="140"/>
    </row>
    <row r="251">
      <c r="B251" s="139"/>
      <c r="C251" s="377"/>
      <c r="D251" s="377"/>
      <c r="E251" s="140"/>
    </row>
    <row r="252">
      <c r="B252" s="139"/>
      <c r="C252" s="377"/>
      <c r="D252" s="377"/>
      <c r="E252" s="140"/>
    </row>
    <row r="253">
      <c r="B253" s="139"/>
      <c r="C253" s="377"/>
      <c r="D253" s="377"/>
      <c r="E253" s="140"/>
    </row>
    <row r="254">
      <c r="B254" s="139"/>
      <c r="C254" s="377"/>
      <c r="D254" s="377"/>
      <c r="E254" s="140"/>
    </row>
    <row r="255">
      <c r="B255" s="139"/>
      <c r="C255" s="377"/>
      <c r="D255" s="377"/>
      <c r="E255" s="140"/>
    </row>
    <row r="256">
      <c r="B256" s="139"/>
      <c r="C256" s="377"/>
      <c r="D256" s="377"/>
      <c r="E256" s="140"/>
    </row>
    <row r="257">
      <c r="B257" s="139"/>
      <c r="C257" s="377"/>
      <c r="D257" s="377"/>
      <c r="E257" s="140"/>
    </row>
    <row r="258">
      <c r="B258" s="139"/>
      <c r="C258" s="377"/>
      <c r="D258" s="377"/>
      <c r="E258" s="140"/>
    </row>
    <row r="259">
      <c r="B259" s="139"/>
      <c r="C259" s="377"/>
      <c r="D259" s="377"/>
      <c r="E259" s="140"/>
    </row>
    <row r="260">
      <c r="B260" s="139"/>
      <c r="C260" s="377"/>
      <c r="D260" s="377"/>
      <c r="E260" s="140"/>
    </row>
    <row r="261">
      <c r="B261" s="139"/>
      <c r="C261" s="377"/>
      <c r="D261" s="377"/>
      <c r="E261" s="140"/>
    </row>
    <row r="262">
      <c r="B262" s="139"/>
      <c r="C262" s="377"/>
      <c r="D262" s="377"/>
      <c r="E262" s="140"/>
    </row>
    <row r="263">
      <c r="B263" s="139"/>
      <c r="C263" s="377"/>
      <c r="D263" s="377"/>
      <c r="E263" s="140"/>
    </row>
    <row r="264">
      <c r="B264" s="139"/>
      <c r="C264" s="377"/>
      <c r="D264" s="377"/>
      <c r="E264" s="140"/>
    </row>
    <row r="265">
      <c r="B265" s="139"/>
      <c r="C265" s="377"/>
      <c r="D265" s="377"/>
      <c r="E265" s="140"/>
    </row>
    <row r="266">
      <c r="B266" s="139"/>
      <c r="C266" s="377"/>
      <c r="D266" s="377"/>
      <c r="E266" s="140"/>
    </row>
    <row r="267">
      <c r="B267" s="139"/>
      <c r="C267" s="377"/>
      <c r="D267" s="377"/>
      <c r="E267" s="140"/>
    </row>
    <row r="268">
      <c r="B268" s="139"/>
      <c r="C268" s="377"/>
      <c r="D268" s="377"/>
      <c r="E268" s="140"/>
    </row>
    <row r="269">
      <c r="B269" s="139"/>
      <c r="C269" s="377"/>
      <c r="D269" s="377"/>
      <c r="E269" s="140"/>
    </row>
    <row r="270">
      <c r="B270" s="139"/>
      <c r="C270" s="377"/>
      <c r="D270" s="377"/>
      <c r="E270" s="140"/>
    </row>
    <row r="271">
      <c r="B271" s="139"/>
      <c r="C271" s="377"/>
      <c r="D271" s="377"/>
      <c r="E271" s="140"/>
    </row>
    <row r="272">
      <c r="B272" s="139"/>
      <c r="C272" s="377"/>
      <c r="D272" s="377"/>
      <c r="E272" s="140"/>
    </row>
    <row r="273">
      <c r="B273" s="139"/>
      <c r="C273" s="377"/>
      <c r="D273" s="377"/>
      <c r="E273" s="140"/>
    </row>
    <row r="274">
      <c r="B274" s="139"/>
      <c r="C274" s="377"/>
      <c r="D274" s="377"/>
      <c r="E274" s="140"/>
    </row>
    <row r="275">
      <c r="B275" s="139"/>
      <c r="C275" s="377"/>
      <c r="D275" s="377"/>
      <c r="E275" s="140"/>
    </row>
    <row r="276">
      <c r="B276" s="139"/>
      <c r="C276" s="377"/>
      <c r="D276" s="377"/>
      <c r="E276" s="140"/>
    </row>
    <row r="277">
      <c r="B277" s="139"/>
      <c r="C277" s="377"/>
      <c r="D277" s="377"/>
      <c r="E277" s="140"/>
    </row>
    <row r="278">
      <c r="B278" s="139"/>
      <c r="C278" s="377"/>
      <c r="D278" s="377"/>
      <c r="E278" s="140"/>
    </row>
    <row r="279">
      <c r="B279" s="139"/>
      <c r="C279" s="377"/>
      <c r="D279" s="377"/>
      <c r="E279" s="140"/>
    </row>
    <row r="280">
      <c r="B280" s="139"/>
      <c r="C280" s="377"/>
      <c r="D280" s="377"/>
      <c r="E280" s="140"/>
    </row>
    <row r="281">
      <c r="B281" s="139"/>
      <c r="C281" s="377"/>
      <c r="D281" s="377"/>
      <c r="E281" s="140"/>
    </row>
    <row r="282">
      <c r="B282" s="139"/>
      <c r="C282" s="377"/>
      <c r="D282" s="377"/>
      <c r="E282" s="140"/>
    </row>
    <row r="283">
      <c r="B283" s="139"/>
      <c r="C283" s="377"/>
      <c r="D283" s="377"/>
      <c r="E283" s="140"/>
    </row>
    <row r="284">
      <c r="B284" s="139"/>
      <c r="C284" s="377"/>
      <c r="D284" s="377"/>
      <c r="E284" s="140"/>
    </row>
    <row r="285">
      <c r="B285" s="139"/>
      <c r="C285" s="377"/>
      <c r="D285" s="377"/>
      <c r="E285" s="140"/>
    </row>
    <row r="286">
      <c r="B286" s="139"/>
      <c r="C286" s="377"/>
      <c r="D286" s="377"/>
      <c r="E286" s="140"/>
    </row>
    <row r="287">
      <c r="B287" s="139"/>
      <c r="C287" s="377"/>
      <c r="D287" s="377"/>
      <c r="E287" s="140"/>
    </row>
    <row r="288">
      <c r="B288" s="139"/>
      <c r="C288" s="377"/>
      <c r="D288" s="377"/>
      <c r="E288" s="140"/>
    </row>
    <row r="289">
      <c r="B289" s="139"/>
      <c r="C289" s="377"/>
      <c r="D289" s="377"/>
      <c r="E289" s="140"/>
    </row>
    <row r="290">
      <c r="B290" s="139"/>
      <c r="C290" s="377"/>
      <c r="D290" s="377"/>
      <c r="E290" s="140"/>
    </row>
    <row r="291">
      <c r="B291" s="139"/>
      <c r="C291" s="377"/>
      <c r="D291" s="377"/>
      <c r="E291" s="140"/>
    </row>
    <row r="292">
      <c r="B292" s="139"/>
      <c r="C292" s="377"/>
      <c r="D292" s="377"/>
      <c r="E292" s="140"/>
    </row>
    <row r="293">
      <c r="B293" s="139"/>
      <c r="C293" s="377"/>
      <c r="D293" s="377"/>
      <c r="E293" s="140"/>
    </row>
    <row r="294">
      <c r="B294" s="139"/>
      <c r="C294" s="377"/>
      <c r="D294" s="377"/>
      <c r="E294" s="140"/>
    </row>
    <row r="295">
      <c r="B295" s="139"/>
      <c r="C295" s="377"/>
      <c r="D295" s="377"/>
      <c r="E295" s="140"/>
    </row>
    <row r="296">
      <c r="B296" s="139"/>
      <c r="C296" s="377"/>
      <c r="D296" s="377"/>
      <c r="E296" s="140"/>
    </row>
    <row r="297">
      <c r="B297" s="139"/>
      <c r="C297" s="377"/>
      <c r="D297" s="377"/>
      <c r="E297" s="140"/>
    </row>
    <row r="298">
      <c r="B298" s="139"/>
      <c r="C298" s="377"/>
      <c r="D298" s="377"/>
      <c r="E298" s="140"/>
    </row>
    <row r="299">
      <c r="B299" s="139"/>
      <c r="C299" s="377"/>
      <c r="D299" s="377"/>
      <c r="E299" s="140"/>
    </row>
    <row r="300">
      <c r="B300" s="139"/>
      <c r="C300" s="377"/>
      <c r="D300" s="377"/>
      <c r="E300" s="140"/>
    </row>
    <row r="301">
      <c r="B301" s="139"/>
      <c r="C301" s="377"/>
      <c r="D301" s="377"/>
      <c r="E301" s="140"/>
    </row>
    <row r="302">
      <c r="B302" s="139"/>
      <c r="C302" s="377"/>
      <c r="D302" s="377"/>
      <c r="E302" s="140"/>
    </row>
    <row r="303">
      <c r="B303" s="139"/>
      <c r="C303" s="377"/>
      <c r="D303" s="377"/>
      <c r="E303" s="140"/>
    </row>
    <row r="304">
      <c r="B304" s="139"/>
      <c r="C304" s="377"/>
      <c r="D304" s="377"/>
      <c r="E304" s="140"/>
    </row>
    <row r="305">
      <c r="B305" s="139"/>
      <c r="C305" s="377"/>
      <c r="D305" s="377"/>
      <c r="E305" s="140"/>
    </row>
    <row r="306">
      <c r="B306" s="139"/>
      <c r="C306" s="377"/>
      <c r="D306" s="377"/>
      <c r="E306" s="140"/>
    </row>
    <row r="307">
      <c r="B307" s="139"/>
      <c r="C307" s="377"/>
      <c r="D307" s="377"/>
      <c r="E307" s="140"/>
    </row>
    <row r="308">
      <c r="B308" s="139"/>
      <c r="C308" s="377"/>
      <c r="D308" s="377"/>
      <c r="E308" s="140"/>
    </row>
    <row r="309">
      <c r="B309" s="139"/>
      <c r="C309" s="377"/>
      <c r="D309" s="377"/>
      <c r="E309" s="140"/>
    </row>
    <row r="310">
      <c r="B310" s="139"/>
      <c r="C310" s="377"/>
      <c r="D310" s="377"/>
      <c r="E310" s="140"/>
    </row>
    <row r="311">
      <c r="B311" s="139"/>
      <c r="C311" s="377"/>
      <c r="D311" s="377"/>
      <c r="E311" s="140"/>
    </row>
    <row r="312">
      <c r="B312" s="139"/>
      <c r="C312" s="377"/>
      <c r="D312" s="377"/>
      <c r="E312" s="140"/>
    </row>
    <row r="313">
      <c r="B313" s="139"/>
      <c r="C313" s="377"/>
      <c r="D313" s="377"/>
      <c r="E313" s="140"/>
    </row>
    <row r="314">
      <c r="B314" s="139"/>
      <c r="C314" s="377"/>
      <c r="D314" s="377"/>
      <c r="E314" s="140"/>
    </row>
    <row r="315">
      <c r="B315" s="139"/>
      <c r="C315" s="377"/>
      <c r="D315" s="377"/>
      <c r="E315" s="140"/>
    </row>
    <row r="316">
      <c r="B316" s="139"/>
      <c r="C316" s="377"/>
      <c r="D316" s="377"/>
      <c r="E316" s="140"/>
    </row>
    <row r="317">
      <c r="B317" s="139"/>
      <c r="C317" s="377"/>
      <c r="D317" s="377"/>
      <c r="E317" s="140"/>
    </row>
    <row r="318">
      <c r="B318" s="139"/>
      <c r="C318" s="377"/>
      <c r="D318" s="377"/>
      <c r="E318" s="140"/>
    </row>
    <row r="319">
      <c r="B319" s="139"/>
      <c r="C319" s="377"/>
      <c r="D319" s="377"/>
      <c r="E319" s="140"/>
    </row>
    <row r="320">
      <c r="B320" s="139"/>
      <c r="C320" s="377"/>
      <c r="D320" s="377"/>
      <c r="E320" s="140"/>
    </row>
    <row r="321">
      <c r="B321" s="139"/>
      <c r="C321" s="377"/>
      <c r="D321" s="377"/>
      <c r="E321" s="140"/>
    </row>
    <row r="322">
      <c r="B322" s="139"/>
      <c r="C322" s="377"/>
      <c r="D322" s="377"/>
      <c r="E322" s="140"/>
    </row>
    <row r="323">
      <c r="B323" s="139"/>
      <c r="C323" s="377"/>
      <c r="D323" s="377"/>
      <c r="E323" s="140"/>
    </row>
    <row r="324">
      <c r="B324" s="139"/>
      <c r="C324" s="377"/>
      <c r="D324" s="377"/>
      <c r="E324" s="140"/>
    </row>
    <row r="325">
      <c r="B325" s="139"/>
      <c r="C325" s="377"/>
      <c r="D325" s="377"/>
      <c r="E325" s="140"/>
    </row>
    <row r="326">
      <c r="B326" s="139"/>
      <c r="C326" s="377"/>
      <c r="D326" s="377"/>
      <c r="E326" s="140"/>
    </row>
    <row r="327">
      <c r="B327" s="139"/>
      <c r="C327" s="377"/>
      <c r="D327" s="377"/>
      <c r="E327" s="140"/>
    </row>
    <row r="328">
      <c r="B328" s="139"/>
      <c r="C328" s="377"/>
      <c r="D328" s="377"/>
      <c r="E328" s="140"/>
    </row>
    <row r="329">
      <c r="B329" s="139"/>
      <c r="C329" s="377"/>
      <c r="D329" s="377"/>
      <c r="E329" s="140"/>
    </row>
    <row r="330">
      <c r="B330" s="139"/>
      <c r="C330" s="377"/>
      <c r="D330" s="377"/>
      <c r="E330" s="140"/>
    </row>
    <row r="331">
      <c r="B331" s="139"/>
      <c r="C331" s="377"/>
      <c r="D331" s="377"/>
      <c r="E331" s="140"/>
    </row>
    <row r="332">
      <c r="B332" s="139"/>
      <c r="C332" s="377"/>
      <c r="D332" s="377"/>
      <c r="E332" s="140"/>
    </row>
    <row r="333">
      <c r="B333" s="139"/>
      <c r="C333" s="377"/>
      <c r="D333" s="377"/>
      <c r="E333" s="140"/>
    </row>
    <row r="334">
      <c r="B334" s="139"/>
      <c r="C334" s="377"/>
      <c r="D334" s="377"/>
      <c r="E334" s="140"/>
    </row>
    <row r="335">
      <c r="B335" s="139"/>
      <c r="C335" s="377"/>
      <c r="D335" s="377"/>
      <c r="E335" s="140"/>
    </row>
    <row r="336">
      <c r="B336" s="139"/>
      <c r="C336" s="377"/>
      <c r="D336" s="377"/>
      <c r="E336" s="140"/>
    </row>
    <row r="337">
      <c r="B337" s="139"/>
      <c r="C337" s="377"/>
      <c r="D337" s="377"/>
      <c r="E337" s="140"/>
    </row>
    <row r="338">
      <c r="B338" s="139"/>
      <c r="C338" s="377"/>
      <c r="D338" s="377"/>
      <c r="E338" s="140"/>
    </row>
    <row r="339">
      <c r="B339" s="139"/>
      <c r="C339" s="377"/>
      <c r="D339" s="377"/>
      <c r="E339" s="140"/>
    </row>
    <row r="340">
      <c r="B340" s="139"/>
      <c r="C340" s="377"/>
      <c r="D340" s="377"/>
      <c r="E340" s="140"/>
    </row>
    <row r="341">
      <c r="B341" s="139"/>
      <c r="C341" s="377"/>
      <c r="D341" s="377"/>
      <c r="E341" s="140"/>
    </row>
    <row r="342">
      <c r="B342" s="139"/>
      <c r="C342" s="377"/>
      <c r="D342" s="377"/>
      <c r="E342" s="140"/>
    </row>
    <row r="343">
      <c r="B343" s="139"/>
      <c r="C343" s="377"/>
      <c r="D343" s="377"/>
      <c r="E343" s="140"/>
    </row>
    <row r="344">
      <c r="B344" s="139"/>
      <c r="C344" s="377"/>
      <c r="D344" s="377"/>
      <c r="E344" s="140"/>
    </row>
    <row r="345">
      <c r="B345" s="139"/>
      <c r="C345" s="377"/>
      <c r="D345" s="377"/>
      <c r="E345" s="140"/>
    </row>
    <row r="346">
      <c r="B346" s="139"/>
      <c r="C346" s="377"/>
      <c r="D346" s="377"/>
      <c r="E346" s="140"/>
    </row>
    <row r="347">
      <c r="B347" s="139"/>
      <c r="C347" s="377"/>
      <c r="D347" s="377"/>
      <c r="E347" s="140"/>
    </row>
    <row r="348">
      <c r="B348" s="139"/>
      <c r="C348" s="377"/>
      <c r="D348" s="377"/>
      <c r="E348" s="140"/>
    </row>
    <row r="349">
      <c r="B349" s="139"/>
      <c r="C349" s="377"/>
      <c r="D349" s="377"/>
      <c r="E349" s="140"/>
    </row>
    <row r="350">
      <c r="B350" s="139"/>
      <c r="C350" s="377"/>
      <c r="D350" s="377"/>
      <c r="E350" s="140"/>
    </row>
    <row r="351">
      <c r="B351" s="139"/>
      <c r="C351" s="377"/>
      <c r="D351" s="377"/>
      <c r="E351" s="140"/>
    </row>
    <row r="352">
      <c r="B352" s="139"/>
      <c r="C352" s="377"/>
      <c r="D352" s="377"/>
      <c r="E352" s="140"/>
    </row>
    <row r="353">
      <c r="B353" s="139"/>
      <c r="C353" s="377"/>
      <c r="D353" s="377"/>
      <c r="E353" s="140"/>
    </row>
    <row r="354">
      <c r="B354" s="139"/>
      <c r="C354" s="377"/>
      <c r="D354" s="377"/>
      <c r="E354" s="140"/>
    </row>
    <row r="355">
      <c r="B355" s="139"/>
      <c r="C355" s="377"/>
      <c r="D355" s="377"/>
      <c r="E355" s="140"/>
    </row>
    <row r="356">
      <c r="B356" s="139"/>
      <c r="C356" s="377"/>
      <c r="D356" s="377"/>
      <c r="E356" s="140"/>
    </row>
    <row r="357">
      <c r="B357" s="139"/>
      <c r="C357" s="377"/>
      <c r="D357" s="377"/>
      <c r="E357" s="140"/>
    </row>
    <row r="358">
      <c r="B358" s="139"/>
      <c r="C358" s="377"/>
      <c r="D358" s="377"/>
      <c r="E358" s="140"/>
    </row>
    <row r="359">
      <c r="B359" s="139"/>
      <c r="C359" s="377"/>
      <c r="D359" s="377"/>
      <c r="E359" s="140"/>
    </row>
    <row r="360">
      <c r="B360" s="139"/>
      <c r="C360" s="377"/>
      <c r="D360" s="377"/>
      <c r="E360" s="140"/>
    </row>
    <row r="361">
      <c r="B361" s="139"/>
      <c r="C361" s="377"/>
      <c r="D361" s="377"/>
      <c r="E361" s="140"/>
    </row>
    <row r="362">
      <c r="B362" s="139"/>
      <c r="C362" s="377"/>
      <c r="D362" s="377"/>
      <c r="E362" s="140"/>
    </row>
    <row r="363">
      <c r="B363" s="139"/>
      <c r="C363" s="377"/>
      <c r="D363" s="377"/>
      <c r="E363" s="140"/>
    </row>
    <row r="364">
      <c r="B364" s="139"/>
      <c r="C364" s="377"/>
      <c r="D364" s="377"/>
      <c r="E364" s="140"/>
    </row>
    <row r="365">
      <c r="B365" s="139"/>
      <c r="C365" s="377"/>
      <c r="D365" s="377"/>
      <c r="E365" s="140"/>
    </row>
    <row r="366">
      <c r="B366" s="139"/>
      <c r="C366" s="377"/>
      <c r="D366" s="377"/>
      <c r="E366" s="140"/>
    </row>
    <row r="367">
      <c r="B367" s="139"/>
      <c r="C367" s="377"/>
      <c r="D367" s="377"/>
      <c r="E367" s="140"/>
    </row>
    <row r="368">
      <c r="B368" s="139"/>
      <c r="C368" s="377"/>
      <c r="D368" s="377"/>
      <c r="E368" s="140"/>
    </row>
    <row r="369">
      <c r="B369" s="139"/>
      <c r="C369" s="377"/>
      <c r="D369" s="377"/>
      <c r="E369" s="140"/>
    </row>
    <row r="370">
      <c r="B370" s="139"/>
      <c r="C370" s="377"/>
      <c r="D370" s="377"/>
      <c r="E370" s="140"/>
    </row>
    <row r="371">
      <c r="B371" s="139"/>
      <c r="C371" s="377"/>
      <c r="D371" s="377"/>
      <c r="E371" s="140"/>
    </row>
    <row r="372">
      <c r="B372" s="139"/>
      <c r="C372" s="377"/>
      <c r="D372" s="377"/>
      <c r="E372" s="140"/>
    </row>
    <row r="373">
      <c r="B373" s="139"/>
      <c r="C373" s="377"/>
      <c r="D373" s="377"/>
      <c r="E373" s="140"/>
    </row>
    <row r="374">
      <c r="B374" s="139"/>
      <c r="C374" s="377"/>
      <c r="D374" s="377"/>
      <c r="E374" s="140"/>
    </row>
    <row r="375">
      <c r="B375" s="139"/>
      <c r="C375" s="377"/>
      <c r="D375" s="377"/>
      <c r="E375" s="140"/>
    </row>
    <row r="376">
      <c r="B376" s="139"/>
      <c r="C376" s="377"/>
      <c r="D376" s="377"/>
      <c r="E376" s="140"/>
    </row>
    <row r="377">
      <c r="B377" s="139"/>
      <c r="C377" s="377"/>
      <c r="D377" s="377"/>
      <c r="E377" s="140"/>
    </row>
    <row r="378">
      <c r="B378" s="139"/>
      <c r="C378" s="377"/>
      <c r="D378" s="377"/>
      <c r="E378" s="140"/>
    </row>
    <row r="379">
      <c r="B379" s="139"/>
      <c r="C379" s="377"/>
      <c r="D379" s="377"/>
      <c r="E379" s="140"/>
    </row>
    <row r="380">
      <c r="B380" s="139"/>
      <c r="C380" s="377"/>
      <c r="D380" s="377"/>
      <c r="E380" s="140"/>
    </row>
    <row r="381">
      <c r="B381" s="139"/>
      <c r="C381" s="377"/>
      <c r="D381" s="377"/>
      <c r="E381" s="140"/>
    </row>
    <row r="382">
      <c r="B382" s="139"/>
      <c r="C382" s="377"/>
      <c r="D382" s="377"/>
      <c r="E382" s="140"/>
    </row>
    <row r="383">
      <c r="B383" s="139"/>
      <c r="C383" s="377"/>
      <c r="D383" s="377"/>
      <c r="E383" s="140"/>
    </row>
    <row r="384">
      <c r="B384" s="139"/>
      <c r="C384" s="377"/>
      <c r="D384" s="377"/>
      <c r="E384" s="140"/>
    </row>
    <row r="385">
      <c r="B385" s="139"/>
      <c r="C385" s="377"/>
      <c r="D385" s="377"/>
      <c r="E385" s="140"/>
    </row>
    <row r="386">
      <c r="B386" s="139"/>
      <c r="C386" s="377"/>
      <c r="D386" s="377"/>
      <c r="E386" s="140"/>
    </row>
    <row r="387">
      <c r="B387" s="139"/>
      <c r="C387" s="377"/>
      <c r="D387" s="377"/>
      <c r="E387" s="140"/>
    </row>
    <row r="388">
      <c r="B388" s="139"/>
      <c r="C388" s="377"/>
      <c r="D388" s="377"/>
      <c r="E388" s="140"/>
    </row>
    <row r="389">
      <c r="B389" s="139"/>
      <c r="C389" s="377"/>
      <c r="D389" s="377"/>
      <c r="E389" s="140"/>
    </row>
    <row r="390">
      <c r="B390" s="139"/>
      <c r="C390" s="377"/>
      <c r="D390" s="377"/>
      <c r="E390" s="140"/>
    </row>
    <row r="391">
      <c r="B391" s="139"/>
      <c r="C391" s="377"/>
      <c r="D391" s="377"/>
      <c r="E391" s="140"/>
    </row>
    <row r="392">
      <c r="B392" s="139"/>
      <c r="C392" s="377"/>
      <c r="D392" s="377"/>
      <c r="E392" s="140"/>
    </row>
    <row r="393">
      <c r="B393" s="139"/>
      <c r="C393" s="377"/>
      <c r="D393" s="377"/>
      <c r="E393" s="140"/>
    </row>
    <row r="394">
      <c r="B394" s="139"/>
      <c r="C394" s="377"/>
      <c r="D394" s="377"/>
      <c r="E394" s="140"/>
    </row>
    <row r="395">
      <c r="B395" s="139"/>
      <c r="C395" s="377"/>
      <c r="D395" s="377"/>
      <c r="E395" s="140"/>
    </row>
    <row r="396">
      <c r="B396" s="139"/>
      <c r="C396" s="377"/>
      <c r="D396" s="377"/>
      <c r="E396" s="140"/>
    </row>
    <row r="397">
      <c r="B397" s="139"/>
      <c r="C397" s="377"/>
      <c r="D397" s="377"/>
      <c r="E397" s="140"/>
    </row>
    <row r="398">
      <c r="B398" s="139"/>
      <c r="C398" s="377"/>
      <c r="D398" s="377"/>
      <c r="E398" s="140"/>
    </row>
    <row r="399">
      <c r="B399" s="139"/>
      <c r="C399" s="377"/>
      <c r="D399" s="377"/>
      <c r="E399" s="140"/>
    </row>
    <row r="400">
      <c r="B400" s="139"/>
      <c r="C400" s="377"/>
      <c r="D400" s="377"/>
      <c r="E400" s="140"/>
    </row>
    <row r="401">
      <c r="B401" s="139"/>
      <c r="C401" s="377"/>
      <c r="D401" s="377"/>
      <c r="E401" s="140"/>
    </row>
    <row r="402">
      <c r="B402" s="139"/>
      <c r="C402" s="377"/>
      <c r="D402" s="377"/>
      <c r="E402" s="140"/>
    </row>
    <row r="403">
      <c r="B403" s="139"/>
      <c r="C403" s="377"/>
      <c r="D403" s="377"/>
      <c r="E403" s="140"/>
    </row>
    <row r="404">
      <c r="B404" s="139"/>
      <c r="C404" s="377"/>
      <c r="D404" s="377"/>
      <c r="E404" s="140"/>
    </row>
    <row r="405">
      <c r="B405" s="139"/>
      <c r="C405" s="377"/>
      <c r="D405" s="377"/>
      <c r="E405" s="140"/>
    </row>
    <row r="406">
      <c r="B406" s="139"/>
      <c r="C406" s="377"/>
      <c r="D406" s="377"/>
      <c r="E406" s="140"/>
    </row>
    <row r="407">
      <c r="B407" s="139"/>
      <c r="C407" s="377"/>
      <c r="D407" s="377"/>
      <c r="E407" s="140"/>
    </row>
    <row r="408">
      <c r="B408" s="139"/>
      <c r="C408" s="377"/>
      <c r="D408" s="377"/>
      <c r="E408" s="140"/>
    </row>
    <row r="409">
      <c r="B409" s="139"/>
      <c r="C409" s="377"/>
      <c r="D409" s="377"/>
      <c r="E409" s="140"/>
    </row>
    <row r="410">
      <c r="B410" s="139"/>
      <c r="C410" s="377"/>
      <c r="D410" s="377"/>
      <c r="E410" s="140"/>
    </row>
    <row r="411">
      <c r="B411" s="139"/>
      <c r="C411" s="377"/>
      <c r="D411" s="377"/>
      <c r="E411" s="140"/>
    </row>
    <row r="412">
      <c r="B412" s="139"/>
      <c r="C412" s="377"/>
      <c r="D412" s="377"/>
      <c r="E412" s="140"/>
    </row>
    <row r="413">
      <c r="B413" s="139"/>
      <c r="C413" s="377"/>
      <c r="D413" s="377"/>
      <c r="E413" s="140"/>
    </row>
    <row r="414">
      <c r="B414" s="139"/>
      <c r="C414" s="377"/>
      <c r="D414" s="377"/>
      <c r="E414" s="140"/>
    </row>
    <row r="415">
      <c r="B415" s="139"/>
      <c r="C415" s="377"/>
      <c r="D415" s="377"/>
      <c r="E415" s="140"/>
    </row>
    <row r="416">
      <c r="B416" s="139"/>
      <c r="C416" s="377"/>
      <c r="D416" s="377"/>
      <c r="E416" s="140"/>
    </row>
    <row r="417">
      <c r="B417" s="139"/>
      <c r="C417" s="377"/>
      <c r="D417" s="377"/>
      <c r="E417" s="140"/>
    </row>
    <row r="418">
      <c r="B418" s="139"/>
      <c r="C418" s="377"/>
      <c r="D418" s="377"/>
      <c r="E418" s="140"/>
    </row>
    <row r="419">
      <c r="B419" s="139"/>
      <c r="C419" s="377"/>
      <c r="D419" s="377"/>
      <c r="E419" s="140"/>
    </row>
    <row r="420">
      <c r="B420" s="139"/>
      <c r="C420" s="377"/>
      <c r="D420" s="377"/>
      <c r="E420" s="140"/>
    </row>
    <row r="421">
      <c r="B421" s="139"/>
      <c r="C421" s="377"/>
      <c r="D421" s="377"/>
      <c r="E421" s="140"/>
    </row>
    <row r="422">
      <c r="B422" s="139"/>
      <c r="C422" s="377"/>
      <c r="D422" s="377"/>
      <c r="E422" s="140"/>
    </row>
    <row r="423">
      <c r="B423" s="139"/>
      <c r="C423" s="377"/>
      <c r="D423" s="377"/>
      <c r="E423" s="140"/>
    </row>
    <row r="424">
      <c r="B424" s="139"/>
      <c r="C424" s="377"/>
      <c r="D424" s="377"/>
      <c r="E424" s="140"/>
    </row>
    <row r="425">
      <c r="B425" s="139"/>
      <c r="C425" s="377"/>
      <c r="D425" s="377"/>
      <c r="E425" s="140"/>
    </row>
    <row r="426">
      <c r="B426" s="139"/>
      <c r="C426" s="377"/>
      <c r="D426" s="377"/>
      <c r="E426" s="140"/>
    </row>
    <row r="427">
      <c r="B427" s="139"/>
      <c r="C427" s="377"/>
      <c r="D427" s="377"/>
      <c r="E427" s="140"/>
    </row>
    <row r="428">
      <c r="B428" s="139"/>
      <c r="C428" s="377"/>
      <c r="D428" s="377"/>
      <c r="E428" s="140"/>
    </row>
    <row r="429">
      <c r="B429" s="139"/>
      <c r="C429" s="377"/>
      <c r="D429" s="377"/>
      <c r="E429" s="140"/>
    </row>
    <row r="430">
      <c r="B430" s="139"/>
      <c r="C430" s="377"/>
      <c r="D430" s="377"/>
      <c r="E430" s="140"/>
    </row>
    <row r="431">
      <c r="B431" s="139"/>
      <c r="C431" s="377"/>
      <c r="D431" s="377"/>
      <c r="E431" s="140"/>
    </row>
    <row r="432">
      <c r="B432" s="139"/>
      <c r="C432" s="377"/>
      <c r="D432" s="377"/>
      <c r="E432" s="140"/>
    </row>
    <row r="433">
      <c r="B433" s="139"/>
      <c r="C433" s="377"/>
      <c r="D433" s="377"/>
      <c r="E433" s="140"/>
    </row>
    <row r="434">
      <c r="B434" s="139"/>
      <c r="C434" s="377"/>
      <c r="D434" s="377"/>
      <c r="E434" s="140"/>
    </row>
    <row r="435">
      <c r="B435" s="139"/>
      <c r="C435" s="377"/>
      <c r="D435" s="377"/>
      <c r="E435" s="140"/>
    </row>
    <row r="436">
      <c r="B436" s="139"/>
      <c r="C436" s="377"/>
      <c r="D436" s="377"/>
      <c r="E436" s="140"/>
    </row>
    <row r="437">
      <c r="B437" s="139"/>
      <c r="C437" s="377"/>
      <c r="D437" s="377"/>
      <c r="E437" s="140"/>
    </row>
    <row r="438">
      <c r="B438" s="139"/>
      <c r="C438" s="377"/>
      <c r="D438" s="377"/>
      <c r="E438" s="140"/>
    </row>
    <row r="439">
      <c r="B439" s="139"/>
      <c r="C439" s="377"/>
      <c r="D439" s="377"/>
      <c r="E439" s="140"/>
    </row>
    <row r="440">
      <c r="B440" s="139"/>
      <c r="C440" s="377"/>
      <c r="D440" s="377"/>
      <c r="E440" s="140"/>
    </row>
    <row r="441">
      <c r="B441" s="139"/>
      <c r="C441" s="377"/>
      <c r="D441" s="377"/>
      <c r="E441" s="140"/>
    </row>
    <row r="442">
      <c r="B442" s="139"/>
      <c r="C442" s="377"/>
      <c r="D442" s="377"/>
      <c r="E442" s="140"/>
    </row>
    <row r="443">
      <c r="B443" s="139"/>
      <c r="C443" s="377"/>
      <c r="D443" s="377"/>
      <c r="E443" s="140"/>
    </row>
    <row r="444">
      <c r="B444" s="139"/>
      <c r="C444" s="377"/>
      <c r="D444" s="377"/>
      <c r="E444" s="140"/>
    </row>
    <row r="445">
      <c r="B445" s="139"/>
      <c r="C445" s="377"/>
      <c r="D445" s="377"/>
      <c r="E445" s="140"/>
    </row>
    <row r="446">
      <c r="B446" s="139"/>
      <c r="C446" s="377"/>
      <c r="D446" s="377"/>
      <c r="E446" s="140"/>
    </row>
    <row r="447">
      <c r="B447" s="139"/>
      <c r="C447" s="377"/>
      <c r="D447" s="377"/>
      <c r="E447" s="140"/>
    </row>
    <row r="448">
      <c r="B448" s="139"/>
      <c r="C448" s="377"/>
      <c r="D448" s="377"/>
      <c r="E448" s="140"/>
    </row>
    <row r="449">
      <c r="B449" s="139"/>
      <c r="C449" s="377"/>
      <c r="D449" s="377"/>
      <c r="E449" s="140"/>
    </row>
    <row r="450">
      <c r="B450" s="139"/>
      <c r="C450" s="377"/>
      <c r="D450" s="377"/>
      <c r="E450" s="140"/>
    </row>
    <row r="451">
      <c r="B451" s="139"/>
      <c r="C451" s="377"/>
      <c r="D451" s="377"/>
      <c r="E451" s="140"/>
    </row>
    <row r="452">
      <c r="B452" s="139"/>
      <c r="C452" s="377"/>
      <c r="D452" s="377"/>
      <c r="E452" s="140"/>
    </row>
    <row r="453">
      <c r="B453" s="139"/>
      <c r="C453" s="377"/>
      <c r="D453" s="377"/>
      <c r="E453" s="140"/>
    </row>
    <row r="454">
      <c r="B454" s="139"/>
      <c r="C454" s="377"/>
      <c r="D454" s="377"/>
      <c r="E454" s="140"/>
    </row>
    <row r="455">
      <c r="B455" s="139"/>
      <c r="C455" s="377"/>
      <c r="D455" s="377"/>
      <c r="E455" s="140"/>
    </row>
    <row r="456">
      <c r="B456" s="139"/>
      <c r="C456" s="377"/>
      <c r="D456" s="377"/>
      <c r="E456" s="140"/>
    </row>
    <row r="457">
      <c r="B457" s="139"/>
      <c r="C457" s="377"/>
      <c r="D457" s="377"/>
      <c r="E457" s="140"/>
    </row>
    <row r="458">
      <c r="B458" s="139"/>
      <c r="C458" s="377"/>
      <c r="D458" s="377"/>
      <c r="E458" s="140"/>
    </row>
    <row r="459">
      <c r="B459" s="139"/>
      <c r="C459" s="377"/>
      <c r="D459" s="377"/>
      <c r="E459" s="140"/>
    </row>
    <row r="460">
      <c r="B460" s="139"/>
      <c r="C460" s="377"/>
      <c r="D460" s="377"/>
      <c r="E460" s="140"/>
    </row>
    <row r="461">
      <c r="B461" s="139"/>
      <c r="C461" s="377"/>
      <c r="D461" s="377"/>
      <c r="E461" s="140"/>
    </row>
    <row r="462">
      <c r="B462" s="139"/>
      <c r="C462" s="377"/>
      <c r="D462" s="377"/>
      <c r="E462" s="140"/>
    </row>
    <row r="463">
      <c r="B463" s="139"/>
      <c r="C463" s="377"/>
      <c r="D463" s="377"/>
      <c r="E463" s="140"/>
    </row>
    <row r="464">
      <c r="B464" s="139"/>
      <c r="C464" s="377"/>
      <c r="D464" s="377"/>
      <c r="E464" s="140"/>
    </row>
    <row r="465">
      <c r="B465" s="139"/>
      <c r="C465" s="377"/>
      <c r="D465" s="377"/>
      <c r="E465" s="140"/>
    </row>
    <row r="466">
      <c r="B466" s="139"/>
      <c r="C466" s="377"/>
      <c r="D466" s="377"/>
      <c r="E466" s="140"/>
    </row>
    <row r="467">
      <c r="B467" s="139"/>
      <c r="C467" s="377"/>
      <c r="D467" s="377"/>
      <c r="E467" s="140"/>
    </row>
    <row r="468">
      <c r="B468" s="139"/>
      <c r="C468" s="377"/>
      <c r="D468" s="377"/>
      <c r="E468" s="140"/>
    </row>
    <row r="469">
      <c r="B469" s="139"/>
      <c r="C469" s="377"/>
      <c r="D469" s="377"/>
      <c r="E469" s="140"/>
    </row>
    <row r="470">
      <c r="B470" s="139"/>
      <c r="C470" s="377"/>
      <c r="D470" s="377"/>
      <c r="E470" s="140"/>
    </row>
    <row r="471">
      <c r="B471" s="139"/>
      <c r="C471" s="377"/>
      <c r="D471" s="377"/>
      <c r="E471" s="140"/>
    </row>
    <row r="472">
      <c r="B472" s="139"/>
      <c r="C472" s="377"/>
      <c r="D472" s="377"/>
      <c r="E472" s="140"/>
    </row>
    <row r="473">
      <c r="B473" s="139"/>
      <c r="C473" s="377"/>
      <c r="D473" s="377"/>
      <c r="E473" s="140"/>
    </row>
    <row r="474">
      <c r="B474" s="139"/>
      <c r="C474" s="377"/>
      <c r="D474" s="377"/>
      <c r="E474" s="140"/>
    </row>
    <row r="475">
      <c r="B475" s="139"/>
      <c r="C475" s="377"/>
      <c r="D475" s="377"/>
      <c r="E475" s="140"/>
    </row>
    <row r="476">
      <c r="B476" s="139"/>
      <c r="C476" s="377"/>
      <c r="D476" s="377"/>
      <c r="E476" s="140"/>
    </row>
    <row r="477">
      <c r="B477" s="139"/>
      <c r="C477" s="377"/>
      <c r="D477" s="377"/>
      <c r="E477" s="140"/>
    </row>
    <row r="478">
      <c r="B478" s="139"/>
      <c r="C478" s="377"/>
      <c r="D478" s="377"/>
      <c r="E478" s="140"/>
    </row>
    <row r="479">
      <c r="B479" s="139"/>
      <c r="C479" s="377"/>
      <c r="D479" s="377"/>
      <c r="E479" s="140"/>
    </row>
    <row r="480">
      <c r="B480" s="139"/>
      <c r="C480" s="377"/>
      <c r="D480" s="377"/>
      <c r="E480" s="140"/>
    </row>
    <row r="481">
      <c r="B481" s="139"/>
      <c r="C481" s="377"/>
      <c r="D481" s="377"/>
      <c r="E481" s="140"/>
    </row>
    <row r="482">
      <c r="B482" s="139"/>
      <c r="C482" s="377"/>
      <c r="D482" s="377"/>
      <c r="E482" s="140"/>
    </row>
    <row r="483">
      <c r="B483" s="139"/>
      <c r="C483" s="377"/>
      <c r="D483" s="377"/>
      <c r="E483" s="140"/>
    </row>
    <row r="484">
      <c r="B484" s="139"/>
      <c r="C484" s="377"/>
      <c r="D484" s="377"/>
      <c r="E484" s="140"/>
    </row>
    <row r="485">
      <c r="B485" s="139"/>
      <c r="C485" s="377"/>
      <c r="D485" s="377"/>
      <c r="E485" s="140"/>
    </row>
    <row r="486">
      <c r="B486" s="139"/>
      <c r="C486" s="377"/>
      <c r="D486" s="377"/>
      <c r="E486" s="140"/>
    </row>
    <row r="487">
      <c r="B487" s="139"/>
      <c r="C487" s="377"/>
      <c r="D487" s="377"/>
      <c r="E487" s="140"/>
    </row>
    <row r="488">
      <c r="B488" s="139"/>
      <c r="C488" s="377"/>
      <c r="D488" s="377"/>
      <c r="E488" s="140"/>
    </row>
    <row r="489">
      <c r="B489" s="139"/>
      <c r="C489" s="377"/>
      <c r="D489" s="377"/>
      <c r="E489" s="140"/>
    </row>
    <row r="490">
      <c r="B490" s="139"/>
      <c r="C490" s="377"/>
      <c r="D490" s="377"/>
      <c r="E490" s="140"/>
    </row>
    <row r="491">
      <c r="B491" s="139"/>
      <c r="C491" s="377"/>
      <c r="D491" s="377"/>
      <c r="E491" s="140"/>
    </row>
    <row r="492">
      <c r="B492" s="139"/>
      <c r="C492" s="377"/>
      <c r="D492" s="377"/>
      <c r="E492" s="140"/>
    </row>
    <row r="493">
      <c r="B493" s="139"/>
      <c r="C493" s="377"/>
      <c r="D493" s="377"/>
      <c r="E493" s="140"/>
    </row>
    <row r="494">
      <c r="B494" s="139"/>
      <c r="C494" s="377"/>
      <c r="D494" s="377"/>
      <c r="E494" s="140"/>
    </row>
    <row r="495">
      <c r="B495" s="139"/>
      <c r="C495" s="377"/>
      <c r="D495" s="377"/>
      <c r="E495" s="140"/>
    </row>
    <row r="496">
      <c r="B496" s="139"/>
      <c r="C496" s="377"/>
      <c r="D496" s="377"/>
      <c r="E496" s="140"/>
    </row>
    <row r="497">
      <c r="B497" s="139"/>
      <c r="C497" s="377"/>
      <c r="D497" s="377"/>
      <c r="E497" s="140"/>
    </row>
    <row r="498">
      <c r="B498" s="139"/>
      <c r="C498" s="377"/>
      <c r="D498" s="377"/>
      <c r="E498" s="140"/>
    </row>
    <row r="499">
      <c r="B499" s="139"/>
      <c r="C499" s="377"/>
      <c r="D499" s="377"/>
      <c r="E499" s="140"/>
    </row>
    <row r="500">
      <c r="B500" s="139"/>
      <c r="C500" s="377"/>
      <c r="D500" s="377"/>
      <c r="E500" s="140"/>
    </row>
    <row r="501">
      <c r="B501" s="139"/>
      <c r="C501" s="377"/>
      <c r="D501" s="377"/>
      <c r="E501" s="140"/>
    </row>
    <row r="502">
      <c r="B502" s="139"/>
      <c r="C502" s="377"/>
      <c r="D502" s="377"/>
      <c r="E502" s="140"/>
    </row>
    <row r="503">
      <c r="B503" s="139"/>
      <c r="C503" s="377"/>
      <c r="D503" s="377"/>
      <c r="E503" s="140"/>
    </row>
    <row r="504">
      <c r="B504" s="139"/>
      <c r="C504" s="377"/>
      <c r="D504" s="377"/>
      <c r="E504" s="140"/>
    </row>
    <row r="505">
      <c r="B505" s="139"/>
      <c r="C505" s="377"/>
      <c r="D505" s="377"/>
      <c r="E505" s="140"/>
    </row>
    <row r="506">
      <c r="B506" s="139"/>
      <c r="C506" s="377"/>
      <c r="D506" s="377"/>
      <c r="E506" s="140"/>
    </row>
    <row r="507">
      <c r="B507" s="139"/>
      <c r="C507" s="377"/>
      <c r="D507" s="377"/>
      <c r="E507" s="140"/>
    </row>
    <row r="508">
      <c r="B508" s="139"/>
      <c r="C508" s="377"/>
      <c r="D508" s="377"/>
      <c r="E508" s="140"/>
    </row>
    <row r="509">
      <c r="B509" s="139"/>
      <c r="C509" s="377"/>
      <c r="D509" s="377"/>
      <c r="E509" s="140"/>
    </row>
    <row r="510">
      <c r="B510" s="139"/>
      <c r="C510" s="377"/>
      <c r="D510" s="377"/>
      <c r="E510" s="140"/>
    </row>
    <row r="511">
      <c r="B511" s="139"/>
      <c r="C511" s="377"/>
      <c r="D511" s="377"/>
      <c r="E511" s="140"/>
    </row>
    <row r="512">
      <c r="B512" s="139"/>
      <c r="C512" s="377"/>
      <c r="D512" s="377"/>
      <c r="E512" s="140"/>
    </row>
    <row r="513">
      <c r="B513" s="139"/>
      <c r="C513" s="377"/>
      <c r="D513" s="377"/>
      <c r="E513" s="140"/>
    </row>
    <row r="514">
      <c r="B514" s="139"/>
      <c r="C514" s="377"/>
      <c r="D514" s="377"/>
      <c r="E514" s="140"/>
    </row>
    <row r="515">
      <c r="B515" s="139"/>
      <c r="C515" s="377"/>
      <c r="D515" s="377"/>
      <c r="E515" s="140"/>
    </row>
    <row r="516">
      <c r="B516" s="139"/>
      <c r="C516" s="377"/>
      <c r="D516" s="377"/>
      <c r="E516" s="140"/>
    </row>
    <row r="517">
      <c r="B517" s="139"/>
      <c r="C517" s="377"/>
      <c r="D517" s="377"/>
      <c r="E517" s="140"/>
    </row>
    <row r="518">
      <c r="B518" s="139"/>
      <c r="C518" s="377"/>
      <c r="D518" s="377"/>
      <c r="E518" s="140"/>
    </row>
    <row r="519">
      <c r="B519" s="139"/>
      <c r="C519" s="377"/>
      <c r="D519" s="377"/>
      <c r="E519" s="140"/>
    </row>
    <row r="520">
      <c r="B520" s="139"/>
      <c r="C520" s="377"/>
      <c r="D520" s="377"/>
      <c r="E520" s="140"/>
    </row>
    <row r="521">
      <c r="B521" s="139"/>
      <c r="C521" s="377"/>
      <c r="D521" s="377"/>
      <c r="E521" s="140"/>
    </row>
    <row r="522">
      <c r="B522" s="139"/>
      <c r="C522" s="377"/>
      <c r="D522" s="377"/>
      <c r="E522" s="140"/>
    </row>
    <row r="523">
      <c r="B523" s="139"/>
      <c r="C523" s="377"/>
      <c r="D523" s="377"/>
      <c r="E523" s="140"/>
    </row>
    <row r="524">
      <c r="B524" s="139"/>
      <c r="C524" s="377"/>
      <c r="D524" s="377"/>
      <c r="E524" s="140"/>
    </row>
    <row r="525">
      <c r="B525" s="139"/>
      <c r="C525" s="377"/>
      <c r="D525" s="377"/>
      <c r="E525" s="140"/>
    </row>
    <row r="526">
      <c r="B526" s="139"/>
      <c r="C526" s="377"/>
      <c r="D526" s="377"/>
      <c r="E526" s="140"/>
    </row>
    <row r="527">
      <c r="B527" s="139"/>
      <c r="C527" s="377"/>
      <c r="D527" s="377"/>
      <c r="E527" s="140"/>
    </row>
    <row r="528">
      <c r="B528" s="139"/>
      <c r="C528" s="377"/>
      <c r="D528" s="377"/>
      <c r="E528" s="140"/>
    </row>
    <row r="529">
      <c r="B529" s="139"/>
      <c r="C529" s="377"/>
      <c r="D529" s="377"/>
      <c r="E529" s="140"/>
    </row>
    <row r="530">
      <c r="B530" s="139"/>
      <c r="C530" s="377"/>
      <c r="D530" s="377"/>
      <c r="E530" s="140"/>
    </row>
    <row r="531">
      <c r="B531" s="139"/>
      <c r="C531" s="377"/>
      <c r="D531" s="377"/>
      <c r="E531" s="140"/>
    </row>
    <row r="532">
      <c r="B532" s="139"/>
      <c r="C532" s="377"/>
      <c r="D532" s="377"/>
      <c r="E532" s="140"/>
    </row>
    <row r="533">
      <c r="B533" s="139"/>
      <c r="C533" s="377"/>
      <c r="D533" s="377"/>
      <c r="E533" s="140"/>
    </row>
    <row r="534">
      <c r="B534" s="139"/>
      <c r="C534" s="377"/>
      <c r="D534" s="377"/>
      <c r="E534" s="140"/>
    </row>
    <row r="535">
      <c r="B535" s="139"/>
      <c r="C535" s="377"/>
      <c r="D535" s="377"/>
      <c r="E535" s="140"/>
    </row>
    <row r="536">
      <c r="B536" s="139"/>
      <c r="C536" s="377"/>
      <c r="D536" s="377"/>
      <c r="E536" s="140"/>
    </row>
    <row r="537">
      <c r="B537" s="139"/>
      <c r="C537" s="377"/>
      <c r="D537" s="377"/>
      <c r="E537" s="140"/>
    </row>
    <row r="538">
      <c r="B538" s="139"/>
      <c r="C538" s="377"/>
      <c r="D538" s="377"/>
      <c r="E538" s="140"/>
    </row>
    <row r="539">
      <c r="B539" s="139"/>
      <c r="C539" s="377"/>
      <c r="D539" s="377"/>
      <c r="E539" s="140"/>
    </row>
    <row r="540">
      <c r="B540" s="139"/>
      <c r="C540" s="377"/>
      <c r="D540" s="377"/>
      <c r="E540" s="140"/>
    </row>
    <row r="541">
      <c r="B541" s="139"/>
      <c r="C541" s="377"/>
      <c r="D541" s="377"/>
      <c r="E541" s="140"/>
    </row>
    <row r="542">
      <c r="B542" s="139"/>
      <c r="C542" s="377"/>
      <c r="D542" s="377"/>
      <c r="E542" s="140"/>
    </row>
    <row r="543">
      <c r="B543" s="139"/>
      <c r="C543" s="377"/>
      <c r="D543" s="377"/>
      <c r="E543" s="140"/>
    </row>
    <row r="544">
      <c r="B544" s="139"/>
      <c r="C544" s="377"/>
      <c r="D544" s="377"/>
      <c r="E544" s="140"/>
    </row>
    <row r="545">
      <c r="B545" s="139"/>
      <c r="C545" s="377"/>
      <c r="D545" s="377"/>
      <c r="E545" s="140"/>
    </row>
    <row r="546">
      <c r="B546" s="139"/>
      <c r="C546" s="377"/>
      <c r="D546" s="377"/>
      <c r="E546" s="140"/>
    </row>
    <row r="547">
      <c r="B547" s="139"/>
      <c r="C547" s="377"/>
      <c r="D547" s="377"/>
      <c r="E547" s="140"/>
    </row>
    <row r="548">
      <c r="B548" s="139"/>
      <c r="C548" s="377"/>
      <c r="D548" s="377"/>
      <c r="E548" s="140"/>
    </row>
    <row r="549">
      <c r="B549" s="139"/>
      <c r="C549" s="377"/>
      <c r="D549" s="377"/>
      <c r="E549" s="140"/>
    </row>
    <row r="550">
      <c r="B550" s="139"/>
      <c r="C550" s="377"/>
      <c r="D550" s="377"/>
      <c r="E550" s="140"/>
    </row>
    <row r="551">
      <c r="B551" s="139"/>
      <c r="C551" s="377"/>
      <c r="D551" s="377"/>
      <c r="E551" s="140"/>
    </row>
    <row r="552">
      <c r="B552" s="139"/>
      <c r="C552" s="377"/>
      <c r="D552" s="377"/>
      <c r="E552" s="140"/>
    </row>
    <row r="553">
      <c r="B553" s="139"/>
      <c r="C553" s="377"/>
      <c r="D553" s="377"/>
      <c r="E553" s="140"/>
    </row>
    <row r="554">
      <c r="B554" s="139"/>
      <c r="C554" s="377"/>
      <c r="D554" s="377"/>
      <c r="E554" s="140"/>
    </row>
    <row r="555">
      <c r="B555" s="139"/>
      <c r="C555" s="377"/>
      <c r="D555" s="377"/>
      <c r="E555" s="140"/>
    </row>
    <row r="556">
      <c r="B556" s="139"/>
      <c r="C556" s="377"/>
      <c r="D556" s="377"/>
      <c r="E556" s="140"/>
    </row>
    <row r="557">
      <c r="B557" s="139"/>
      <c r="C557" s="377"/>
      <c r="D557" s="377"/>
      <c r="E557" s="140"/>
    </row>
    <row r="558">
      <c r="B558" s="139"/>
      <c r="C558" s="377"/>
      <c r="D558" s="377"/>
      <c r="E558" s="140"/>
    </row>
    <row r="559">
      <c r="B559" s="139"/>
      <c r="C559" s="377"/>
      <c r="D559" s="377"/>
      <c r="E559" s="140"/>
    </row>
    <row r="560">
      <c r="B560" s="139"/>
      <c r="C560" s="377"/>
      <c r="D560" s="377"/>
      <c r="E560" s="140"/>
    </row>
    <row r="561">
      <c r="B561" s="139"/>
      <c r="C561" s="377"/>
      <c r="D561" s="377"/>
      <c r="E561" s="140"/>
    </row>
    <row r="562">
      <c r="B562" s="139"/>
      <c r="C562" s="377"/>
      <c r="D562" s="377"/>
      <c r="E562" s="140"/>
    </row>
    <row r="563">
      <c r="B563" s="139"/>
      <c r="C563" s="377"/>
      <c r="D563" s="377"/>
      <c r="E563" s="140"/>
    </row>
    <row r="564">
      <c r="B564" s="139"/>
      <c r="C564" s="377"/>
      <c r="D564" s="377"/>
      <c r="E564" s="140"/>
    </row>
    <row r="565">
      <c r="B565" s="139"/>
      <c r="C565" s="377"/>
      <c r="D565" s="377"/>
      <c r="E565" s="140"/>
    </row>
    <row r="566">
      <c r="B566" s="139"/>
      <c r="C566" s="377"/>
      <c r="D566" s="377"/>
      <c r="E566" s="140"/>
    </row>
    <row r="567">
      <c r="B567" s="139"/>
      <c r="C567" s="377"/>
      <c r="D567" s="377"/>
      <c r="E567" s="140"/>
    </row>
    <row r="568">
      <c r="B568" s="139"/>
      <c r="C568" s="377"/>
      <c r="D568" s="377"/>
      <c r="E568" s="140"/>
    </row>
    <row r="569">
      <c r="B569" s="139"/>
      <c r="C569" s="377"/>
      <c r="D569" s="377"/>
      <c r="E569" s="140"/>
    </row>
    <row r="570">
      <c r="B570" s="139"/>
      <c r="C570" s="377"/>
      <c r="D570" s="377"/>
      <c r="E570" s="140"/>
    </row>
    <row r="571">
      <c r="B571" s="139"/>
      <c r="C571" s="377"/>
      <c r="D571" s="377"/>
      <c r="E571" s="140"/>
    </row>
    <row r="572">
      <c r="B572" s="139"/>
      <c r="C572" s="377"/>
      <c r="D572" s="377"/>
      <c r="E572" s="140"/>
    </row>
    <row r="573">
      <c r="B573" s="139"/>
      <c r="C573" s="377"/>
      <c r="D573" s="377"/>
      <c r="E573" s="140"/>
    </row>
    <row r="574">
      <c r="B574" s="139"/>
      <c r="C574" s="377"/>
      <c r="D574" s="377"/>
      <c r="E574" s="140"/>
    </row>
    <row r="575">
      <c r="B575" s="139"/>
      <c r="C575" s="377"/>
      <c r="D575" s="377"/>
      <c r="E575" s="140"/>
    </row>
    <row r="576">
      <c r="B576" s="139"/>
      <c r="C576" s="377"/>
      <c r="D576" s="377"/>
      <c r="E576" s="140"/>
    </row>
    <row r="577">
      <c r="B577" s="139"/>
      <c r="C577" s="377"/>
      <c r="D577" s="377"/>
      <c r="E577" s="140"/>
    </row>
    <row r="578">
      <c r="B578" s="139"/>
      <c r="C578" s="377"/>
      <c r="D578" s="377"/>
      <c r="E578" s="140"/>
    </row>
    <row r="579">
      <c r="B579" s="139"/>
      <c r="C579" s="377"/>
      <c r="D579" s="377"/>
      <c r="E579" s="140"/>
    </row>
    <row r="580">
      <c r="B580" s="139"/>
      <c r="C580" s="377"/>
      <c r="D580" s="377"/>
      <c r="E580" s="140"/>
    </row>
    <row r="581">
      <c r="B581" s="139"/>
      <c r="C581" s="377"/>
      <c r="D581" s="377"/>
      <c r="E581" s="140"/>
    </row>
    <row r="582">
      <c r="B582" s="139"/>
      <c r="C582" s="377"/>
      <c r="D582" s="377"/>
      <c r="E582" s="140"/>
    </row>
    <row r="583">
      <c r="B583" s="139"/>
      <c r="C583" s="377"/>
      <c r="D583" s="377"/>
      <c r="E583" s="140"/>
    </row>
    <row r="584">
      <c r="B584" s="139"/>
      <c r="C584" s="377"/>
      <c r="D584" s="377"/>
      <c r="E584" s="140"/>
    </row>
    <row r="585">
      <c r="B585" s="139"/>
      <c r="C585" s="377"/>
      <c r="D585" s="377"/>
      <c r="E585" s="140"/>
    </row>
    <row r="586">
      <c r="B586" s="139"/>
      <c r="C586" s="377"/>
      <c r="D586" s="377"/>
      <c r="E586" s="140"/>
    </row>
    <row r="587">
      <c r="B587" s="139"/>
      <c r="C587" s="377"/>
      <c r="D587" s="377"/>
      <c r="E587" s="140"/>
    </row>
    <row r="588">
      <c r="B588" s="139"/>
      <c r="C588" s="377"/>
      <c r="D588" s="377"/>
      <c r="E588" s="140"/>
    </row>
    <row r="589">
      <c r="B589" s="139"/>
      <c r="C589" s="377"/>
      <c r="D589" s="377"/>
      <c r="E589" s="140"/>
    </row>
    <row r="590">
      <c r="B590" s="139"/>
      <c r="C590" s="377"/>
      <c r="D590" s="377"/>
      <c r="E590" s="140"/>
    </row>
    <row r="591">
      <c r="B591" s="139"/>
      <c r="C591" s="377"/>
      <c r="D591" s="377"/>
      <c r="E591" s="140"/>
    </row>
    <row r="592">
      <c r="B592" s="139"/>
      <c r="C592" s="377"/>
      <c r="D592" s="377"/>
      <c r="E592" s="140"/>
    </row>
    <row r="593">
      <c r="B593" s="139"/>
      <c r="C593" s="377"/>
      <c r="D593" s="377"/>
      <c r="E593" s="140"/>
    </row>
    <row r="594">
      <c r="B594" s="139"/>
      <c r="C594" s="377"/>
      <c r="D594" s="377"/>
      <c r="E594" s="140"/>
    </row>
    <row r="595">
      <c r="B595" s="139"/>
      <c r="C595" s="377"/>
      <c r="D595" s="377"/>
      <c r="E595" s="140"/>
    </row>
    <row r="596">
      <c r="B596" s="139"/>
      <c r="C596" s="377"/>
      <c r="D596" s="377"/>
      <c r="E596" s="140"/>
    </row>
    <row r="597">
      <c r="B597" s="139"/>
      <c r="C597" s="377"/>
      <c r="D597" s="377"/>
      <c r="E597" s="140"/>
    </row>
    <row r="598">
      <c r="B598" s="139"/>
      <c r="C598" s="377"/>
      <c r="D598" s="377"/>
      <c r="E598" s="140"/>
    </row>
    <row r="599">
      <c r="B599" s="139"/>
      <c r="C599" s="377"/>
      <c r="D599" s="377"/>
      <c r="E599" s="140"/>
    </row>
    <row r="600">
      <c r="B600" s="139"/>
      <c r="C600" s="377"/>
      <c r="D600" s="377"/>
      <c r="E600" s="140"/>
    </row>
    <row r="601">
      <c r="B601" s="139"/>
      <c r="C601" s="377"/>
      <c r="D601" s="377"/>
      <c r="E601" s="140"/>
    </row>
    <row r="602">
      <c r="B602" s="139"/>
      <c r="C602" s="377"/>
      <c r="D602" s="377"/>
      <c r="E602" s="140"/>
    </row>
    <row r="603">
      <c r="B603" s="139"/>
      <c r="C603" s="377"/>
      <c r="D603" s="377"/>
      <c r="E603" s="140"/>
    </row>
    <row r="604">
      <c r="B604" s="139"/>
      <c r="C604" s="377"/>
      <c r="D604" s="377"/>
      <c r="E604" s="140"/>
    </row>
    <row r="605">
      <c r="B605" s="139"/>
      <c r="C605" s="377"/>
      <c r="D605" s="377"/>
      <c r="E605" s="140"/>
    </row>
    <row r="606">
      <c r="B606" s="139"/>
      <c r="C606" s="377"/>
      <c r="D606" s="377"/>
      <c r="E606" s="140"/>
    </row>
    <row r="607">
      <c r="B607" s="139"/>
      <c r="C607" s="377"/>
      <c r="D607" s="377"/>
      <c r="E607" s="140"/>
    </row>
    <row r="608">
      <c r="B608" s="139"/>
      <c r="C608" s="377"/>
      <c r="D608" s="377"/>
      <c r="E608" s="140"/>
    </row>
    <row r="609">
      <c r="B609" s="139"/>
      <c r="C609" s="377"/>
      <c r="D609" s="377"/>
      <c r="E609" s="140"/>
    </row>
    <row r="610">
      <c r="B610" s="139"/>
      <c r="C610" s="377"/>
      <c r="D610" s="377"/>
      <c r="E610" s="140"/>
    </row>
    <row r="611">
      <c r="B611" s="139"/>
      <c r="C611" s="377"/>
      <c r="D611" s="377"/>
      <c r="E611" s="140"/>
    </row>
    <row r="612">
      <c r="B612" s="139"/>
      <c r="C612" s="377"/>
      <c r="D612" s="377"/>
      <c r="E612" s="140"/>
    </row>
    <row r="613">
      <c r="B613" s="139"/>
      <c r="C613" s="377"/>
      <c r="D613" s="377"/>
      <c r="E613" s="140"/>
    </row>
    <row r="614">
      <c r="B614" s="139"/>
      <c r="C614" s="377"/>
      <c r="D614" s="377"/>
      <c r="E614" s="140"/>
    </row>
    <row r="615">
      <c r="B615" s="139"/>
      <c r="C615" s="377"/>
      <c r="D615" s="377"/>
      <c r="E615" s="140"/>
    </row>
    <row r="616">
      <c r="B616" s="139"/>
      <c r="C616" s="377"/>
      <c r="D616" s="377"/>
      <c r="E616" s="140"/>
    </row>
    <row r="617">
      <c r="B617" s="139"/>
      <c r="C617" s="377"/>
      <c r="D617" s="377"/>
      <c r="E617" s="140"/>
    </row>
    <row r="618">
      <c r="B618" s="139"/>
      <c r="C618" s="377"/>
      <c r="D618" s="377"/>
      <c r="E618" s="140"/>
    </row>
    <row r="619">
      <c r="B619" s="139"/>
      <c r="C619" s="377"/>
      <c r="D619" s="377"/>
      <c r="E619" s="140"/>
    </row>
    <row r="620">
      <c r="B620" s="139"/>
      <c r="C620" s="377"/>
      <c r="D620" s="377"/>
      <c r="E620" s="140"/>
    </row>
    <row r="621">
      <c r="B621" s="139"/>
      <c r="C621" s="377"/>
      <c r="D621" s="377"/>
      <c r="E621" s="140"/>
    </row>
    <row r="622">
      <c r="B622" s="139"/>
      <c r="C622" s="377"/>
      <c r="D622" s="377"/>
      <c r="E622" s="140"/>
    </row>
    <row r="623">
      <c r="B623" s="139"/>
      <c r="C623" s="377"/>
      <c r="D623" s="377"/>
      <c r="E623" s="140"/>
    </row>
    <row r="624">
      <c r="B624" s="139"/>
      <c r="C624" s="377"/>
      <c r="D624" s="377"/>
      <c r="E624" s="140"/>
    </row>
    <row r="625">
      <c r="B625" s="139"/>
      <c r="C625" s="377"/>
      <c r="D625" s="377"/>
      <c r="E625" s="140"/>
    </row>
    <row r="626">
      <c r="B626" s="139"/>
      <c r="C626" s="377"/>
      <c r="D626" s="377"/>
      <c r="E626" s="140"/>
    </row>
    <row r="627">
      <c r="B627" s="139"/>
      <c r="C627" s="377"/>
      <c r="D627" s="377"/>
      <c r="E627" s="140"/>
    </row>
    <row r="628">
      <c r="B628" s="139"/>
      <c r="C628" s="377"/>
      <c r="D628" s="377"/>
      <c r="E628" s="140"/>
    </row>
    <row r="629">
      <c r="B629" s="139"/>
      <c r="C629" s="377"/>
      <c r="D629" s="377"/>
      <c r="E629" s="140"/>
    </row>
    <row r="630">
      <c r="B630" s="139"/>
      <c r="C630" s="377"/>
      <c r="D630" s="377"/>
      <c r="E630" s="140"/>
    </row>
    <row r="631">
      <c r="B631" s="139"/>
      <c r="C631" s="377"/>
      <c r="D631" s="377"/>
      <c r="E631" s="140"/>
    </row>
    <row r="632">
      <c r="B632" s="139"/>
      <c r="C632" s="377"/>
      <c r="D632" s="377"/>
      <c r="E632" s="140"/>
    </row>
    <row r="633">
      <c r="B633" s="139"/>
      <c r="C633" s="377"/>
      <c r="D633" s="377"/>
      <c r="E633" s="140"/>
    </row>
    <row r="634">
      <c r="B634" s="139"/>
      <c r="C634" s="377"/>
      <c r="D634" s="377"/>
      <c r="E634" s="140"/>
    </row>
    <row r="635">
      <c r="B635" s="139"/>
      <c r="C635" s="377"/>
      <c r="D635" s="377"/>
      <c r="E635" s="140"/>
    </row>
    <row r="636">
      <c r="B636" s="139"/>
      <c r="C636" s="377"/>
      <c r="D636" s="377"/>
      <c r="E636" s="140"/>
    </row>
    <row r="637">
      <c r="B637" s="139"/>
      <c r="C637" s="377"/>
      <c r="D637" s="377"/>
      <c r="E637" s="140"/>
    </row>
    <row r="638">
      <c r="B638" s="139"/>
      <c r="C638" s="377"/>
      <c r="D638" s="377"/>
      <c r="E638" s="140"/>
    </row>
    <row r="639">
      <c r="B639" s="139"/>
      <c r="C639" s="377"/>
      <c r="D639" s="377"/>
      <c r="E639" s="140"/>
    </row>
    <row r="640">
      <c r="B640" s="139"/>
      <c r="C640" s="377"/>
      <c r="D640" s="377"/>
      <c r="E640" s="140"/>
    </row>
    <row r="641">
      <c r="B641" s="139"/>
      <c r="C641" s="377"/>
      <c r="D641" s="377"/>
      <c r="E641" s="140"/>
    </row>
    <row r="642">
      <c r="B642" s="139"/>
      <c r="C642" s="377"/>
      <c r="D642" s="377"/>
      <c r="E642" s="140"/>
    </row>
    <row r="643">
      <c r="B643" s="139"/>
      <c r="C643" s="377"/>
      <c r="D643" s="377"/>
      <c r="E643" s="140"/>
    </row>
    <row r="644">
      <c r="B644" s="139"/>
      <c r="C644" s="377"/>
      <c r="D644" s="377"/>
      <c r="E644" s="140"/>
    </row>
    <row r="645">
      <c r="B645" s="139"/>
      <c r="C645" s="377"/>
      <c r="D645" s="377"/>
      <c r="E645" s="140"/>
    </row>
    <row r="646">
      <c r="B646" s="139"/>
      <c r="C646" s="377"/>
      <c r="D646" s="377"/>
      <c r="E646" s="140"/>
    </row>
    <row r="647">
      <c r="B647" s="139"/>
      <c r="C647" s="377"/>
      <c r="D647" s="377"/>
      <c r="E647" s="140"/>
    </row>
    <row r="648">
      <c r="B648" s="139"/>
      <c r="C648" s="377"/>
      <c r="D648" s="377"/>
      <c r="E648" s="140"/>
    </row>
    <row r="649">
      <c r="B649" s="139"/>
      <c r="C649" s="377"/>
      <c r="D649" s="377"/>
      <c r="E649" s="140"/>
    </row>
    <row r="650">
      <c r="B650" s="139"/>
      <c r="C650" s="377"/>
      <c r="D650" s="377"/>
      <c r="E650" s="140"/>
    </row>
    <row r="651">
      <c r="B651" s="139"/>
      <c r="C651" s="377"/>
      <c r="D651" s="377"/>
      <c r="E651" s="140"/>
    </row>
    <row r="652">
      <c r="B652" s="139"/>
      <c r="C652" s="377"/>
      <c r="D652" s="377"/>
      <c r="E652" s="140"/>
    </row>
    <row r="653">
      <c r="B653" s="139"/>
      <c r="C653" s="377"/>
      <c r="D653" s="377"/>
      <c r="E653" s="140"/>
    </row>
    <row r="654">
      <c r="B654" s="139"/>
      <c r="C654" s="377"/>
      <c r="D654" s="377"/>
      <c r="E654" s="140"/>
    </row>
    <row r="655">
      <c r="B655" s="139"/>
      <c r="C655" s="377"/>
      <c r="D655" s="377"/>
      <c r="E655" s="140"/>
    </row>
    <row r="656">
      <c r="B656" s="139"/>
      <c r="C656" s="377"/>
      <c r="D656" s="377"/>
      <c r="E656" s="140"/>
    </row>
    <row r="657">
      <c r="B657" s="139"/>
      <c r="C657" s="377"/>
      <c r="D657" s="377"/>
      <c r="E657" s="140"/>
    </row>
    <row r="658">
      <c r="B658" s="139"/>
      <c r="C658" s="377"/>
      <c r="D658" s="377"/>
      <c r="E658" s="140"/>
    </row>
    <row r="659">
      <c r="B659" s="139"/>
      <c r="C659" s="377"/>
      <c r="D659" s="377"/>
      <c r="E659" s="140"/>
    </row>
    <row r="660">
      <c r="B660" s="139"/>
      <c r="C660" s="377"/>
      <c r="D660" s="377"/>
      <c r="E660" s="140"/>
    </row>
    <row r="661">
      <c r="B661" s="139"/>
      <c r="C661" s="377"/>
      <c r="D661" s="377"/>
      <c r="E661" s="140"/>
    </row>
    <row r="662">
      <c r="B662" s="139"/>
      <c r="C662" s="377"/>
      <c r="D662" s="377"/>
      <c r="E662" s="140"/>
    </row>
    <row r="663">
      <c r="B663" s="139"/>
      <c r="C663" s="377"/>
      <c r="D663" s="377"/>
      <c r="E663" s="140"/>
    </row>
    <row r="664">
      <c r="B664" s="139"/>
      <c r="C664" s="377"/>
      <c r="D664" s="377"/>
      <c r="E664" s="140"/>
    </row>
    <row r="665">
      <c r="B665" s="139"/>
      <c r="C665" s="377"/>
      <c r="D665" s="377"/>
      <c r="E665" s="140"/>
    </row>
    <row r="666">
      <c r="B666" s="139"/>
      <c r="C666" s="377"/>
      <c r="D666" s="377"/>
      <c r="E666" s="140"/>
    </row>
    <row r="667">
      <c r="B667" s="139"/>
      <c r="C667" s="377"/>
      <c r="D667" s="377"/>
      <c r="E667" s="140"/>
    </row>
    <row r="668">
      <c r="B668" s="139"/>
      <c r="C668" s="377"/>
      <c r="D668" s="377"/>
      <c r="E668" s="140"/>
    </row>
    <row r="669">
      <c r="B669" s="139"/>
      <c r="C669" s="377"/>
      <c r="D669" s="377"/>
      <c r="E669" s="140"/>
    </row>
    <row r="670">
      <c r="B670" s="139"/>
      <c r="C670" s="377"/>
      <c r="D670" s="377"/>
      <c r="E670" s="140"/>
    </row>
    <row r="671">
      <c r="B671" s="139"/>
      <c r="C671" s="377"/>
      <c r="D671" s="377"/>
      <c r="E671" s="140"/>
    </row>
    <row r="672">
      <c r="B672" s="139"/>
      <c r="C672" s="377"/>
      <c r="D672" s="377"/>
      <c r="E672" s="140"/>
    </row>
    <row r="673">
      <c r="B673" s="139"/>
      <c r="C673" s="377"/>
      <c r="D673" s="377"/>
      <c r="E673" s="140"/>
    </row>
    <row r="674">
      <c r="B674" s="139"/>
      <c r="C674" s="377"/>
      <c r="D674" s="377"/>
      <c r="E674" s="140"/>
    </row>
    <row r="675">
      <c r="B675" s="139"/>
      <c r="C675" s="377"/>
      <c r="D675" s="377"/>
      <c r="E675" s="140"/>
    </row>
    <row r="676">
      <c r="B676" s="139"/>
      <c r="C676" s="377"/>
      <c r="D676" s="377"/>
      <c r="E676" s="140"/>
    </row>
    <row r="677">
      <c r="B677" s="139"/>
      <c r="C677" s="377"/>
      <c r="D677" s="377"/>
      <c r="E677" s="140"/>
    </row>
    <row r="678">
      <c r="B678" s="139"/>
      <c r="C678" s="377"/>
      <c r="D678" s="377"/>
      <c r="E678" s="140"/>
    </row>
    <row r="679">
      <c r="B679" s="139"/>
      <c r="C679" s="377"/>
      <c r="D679" s="377"/>
      <c r="E679" s="140"/>
    </row>
    <row r="680">
      <c r="B680" s="139"/>
      <c r="C680" s="377"/>
      <c r="D680" s="377"/>
      <c r="E680" s="140"/>
    </row>
    <row r="681">
      <c r="B681" s="139"/>
      <c r="C681" s="377"/>
      <c r="D681" s="377"/>
      <c r="E681" s="140"/>
    </row>
    <row r="682">
      <c r="B682" s="139"/>
      <c r="C682" s="377"/>
      <c r="D682" s="377"/>
      <c r="E682" s="140"/>
    </row>
    <row r="683">
      <c r="B683" s="139"/>
      <c r="C683" s="377"/>
      <c r="D683" s="377"/>
      <c r="E683" s="140"/>
    </row>
    <row r="684">
      <c r="B684" s="139"/>
      <c r="C684" s="377"/>
      <c r="D684" s="377"/>
      <c r="E684" s="140"/>
    </row>
    <row r="685">
      <c r="B685" s="139"/>
      <c r="C685" s="377"/>
      <c r="D685" s="377"/>
      <c r="E685" s="140"/>
    </row>
    <row r="686">
      <c r="B686" s="139"/>
      <c r="C686" s="377"/>
      <c r="D686" s="377"/>
      <c r="E686" s="140"/>
    </row>
    <row r="687">
      <c r="B687" s="139"/>
      <c r="C687" s="377"/>
      <c r="D687" s="377"/>
      <c r="E687" s="140"/>
    </row>
    <row r="688">
      <c r="B688" s="139"/>
      <c r="C688" s="377"/>
      <c r="D688" s="377"/>
      <c r="E688" s="140"/>
    </row>
    <row r="689">
      <c r="B689" s="139"/>
      <c r="C689" s="377"/>
      <c r="D689" s="377"/>
      <c r="E689" s="140"/>
    </row>
    <row r="690">
      <c r="B690" s="139"/>
      <c r="C690" s="377"/>
      <c r="D690" s="377"/>
      <c r="E690" s="140"/>
    </row>
    <row r="691">
      <c r="B691" s="139"/>
      <c r="C691" s="377"/>
      <c r="D691" s="377"/>
      <c r="E691" s="140"/>
    </row>
    <row r="692">
      <c r="B692" s="139"/>
      <c r="C692" s="377"/>
      <c r="D692" s="377"/>
      <c r="E692" s="140"/>
    </row>
    <row r="693">
      <c r="B693" s="139"/>
      <c r="C693" s="377"/>
      <c r="D693" s="377"/>
      <c r="E693" s="140"/>
    </row>
    <row r="694">
      <c r="B694" s="139"/>
      <c r="C694" s="377"/>
      <c r="D694" s="377"/>
      <c r="E694" s="140"/>
    </row>
    <row r="695">
      <c r="B695" s="139"/>
      <c r="C695" s="377"/>
      <c r="D695" s="377"/>
      <c r="E695" s="140"/>
    </row>
    <row r="696">
      <c r="B696" s="139"/>
      <c r="C696" s="377"/>
      <c r="D696" s="377"/>
      <c r="E696" s="140"/>
    </row>
    <row r="697">
      <c r="B697" s="139"/>
      <c r="C697" s="377"/>
      <c r="D697" s="377"/>
      <c r="E697" s="140"/>
    </row>
    <row r="698">
      <c r="B698" s="139"/>
      <c r="C698" s="377"/>
      <c r="D698" s="377"/>
      <c r="E698" s="140"/>
    </row>
    <row r="699">
      <c r="B699" s="139"/>
      <c r="C699" s="377"/>
      <c r="D699" s="377"/>
      <c r="E699" s="140"/>
    </row>
    <row r="700">
      <c r="B700" s="139"/>
      <c r="C700" s="377"/>
      <c r="D700" s="377"/>
      <c r="E700" s="140"/>
    </row>
    <row r="701">
      <c r="B701" s="139"/>
      <c r="C701" s="377"/>
      <c r="D701" s="377"/>
      <c r="E701" s="140"/>
    </row>
    <row r="702">
      <c r="B702" s="139"/>
      <c r="C702" s="377"/>
      <c r="D702" s="377"/>
      <c r="E702" s="140"/>
    </row>
    <row r="703">
      <c r="B703" s="139"/>
      <c r="C703" s="377"/>
      <c r="D703" s="377"/>
      <c r="E703" s="140"/>
    </row>
    <row r="704">
      <c r="B704" s="139"/>
      <c r="C704" s="377"/>
      <c r="D704" s="377"/>
      <c r="E704" s="140"/>
    </row>
    <row r="705">
      <c r="B705" s="139"/>
      <c r="C705" s="377"/>
      <c r="D705" s="377"/>
      <c r="E705" s="140"/>
    </row>
    <row r="706">
      <c r="B706" s="139"/>
      <c r="C706" s="377"/>
      <c r="D706" s="377"/>
      <c r="E706" s="140"/>
    </row>
    <row r="707">
      <c r="B707" s="139"/>
      <c r="C707" s="377"/>
      <c r="D707" s="377"/>
      <c r="E707" s="140"/>
    </row>
    <row r="708">
      <c r="B708" s="139"/>
      <c r="C708" s="377"/>
      <c r="D708" s="377"/>
      <c r="E708" s="140"/>
    </row>
    <row r="709">
      <c r="B709" s="139"/>
      <c r="C709" s="377"/>
      <c r="D709" s="377"/>
      <c r="E709" s="140"/>
    </row>
    <row r="710">
      <c r="B710" s="139"/>
      <c r="C710" s="377"/>
      <c r="D710" s="377"/>
      <c r="E710" s="140"/>
    </row>
    <row r="711">
      <c r="B711" s="139"/>
      <c r="C711" s="377"/>
      <c r="D711" s="377"/>
      <c r="E711" s="140"/>
    </row>
    <row r="712">
      <c r="B712" s="139"/>
      <c r="C712" s="377"/>
      <c r="D712" s="377"/>
      <c r="E712" s="140"/>
    </row>
    <row r="713">
      <c r="B713" s="139"/>
      <c r="C713" s="377"/>
      <c r="D713" s="377"/>
      <c r="E713" s="140"/>
    </row>
    <row r="714">
      <c r="B714" s="139"/>
      <c r="C714" s="377"/>
      <c r="D714" s="377"/>
      <c r="E714" s="140"/>
    </row>
    <row r="715">
      <c r="B715" s="139"/>
      <c r="C715" s="377"/>
      <c r="D715" s="377"/>
      <c r="E715" s="140"/>
    </row>
    <row r="716">
      <c r="B716" s="139"/>
      <c r="C716" s="377"/>
      <c r="D716" s="377"/>
      <c r="E716" s="140"/>
    </row>
    <row r="717">
      <c r="B717" s="139"/>
      <c r="C717" s="377"/>
      <c r="D717" s="377"/>
      <c r="E717" s="140"/>
    </row>
    <row r="718">
      <c r="B718" s="139"/>
      <c r="C718" s="377"/>
      <c r="D718" s="377"/>
      <c r="E718" s="140"/>
    </row>
    <row r="719">
      <c r="B719" s="139"/>
      <c r="C719" s="377"/>
      <c r="D719" s="377"/>
      <c r="E719" s="140"/>
    </row>
    <row r="720">
      <c r="B720" s="139"/>
      <c r="C720" s="377"/>
      <c r="D720" s="377"/>
      <c r="E720" s="140"/>
    </row>
    <row r="721">
      <c r="B721" s="139"/>
      <c r="C721" s="377"/>
      <c r="D721" s="377"/>
      <c r="E721" s="140"/>
    </row>
    <row r="722">
      <c r="B722" s="139"/>
      <c r="C722" s="377"/>
      <c r="D722" s="377"/>
      <c r="E722" s="140"/>
    </row>
    <row r="723">
      <c r="B723" s="139"/>
      <c r="C723" s="377"/>
      <c r="D723" s="377"/>
      <c r="E723" s="140"/>
    </row>
    <row r="724">
      <c r="B724" s="139"/>
      <c r="C724" s="377"/>
      <c r="D724" s="377"/>
      <c r="E724" s="140"/>
    </row>
    <row r="725">
      <c r="B725" s="139"/>
      <c r="C725" s="377"/>
      <c r="D725" s="377"/>
      <c r="E725" s="140"/>
    </row>
    <row r="726">
      <c r="B726" s="139"/>
      <c r="C726" s="377"/>
      <c r="D726" s="377"/>
      <c r="E726" s="140"/>
    </row>
    <row r="727">
      <c r="B727" s="139"/>
      <c r="C727" s="377"/>
      <c r="D727" s="377"/>
      <c r="E727" s="140"/>
    </row>
    <row r="728">
      <c r="B728" s="139"/>
      <c r="C728" s="377"/>
      <c r="D728" s="377"/>
      <c r="E728" s="140"/>
    </row>
    <row r="729">
      <c r="B729" s="139"/>
      <c r="C729" s="377"/>
      <c r="D729" s="377"/>
      <c r="E729" s="140"/>
    </row>
    <row r="730">
      <c r="B730" s="139"/>
      <c r="C730" s="377"/>
      <c r="D730" s="377"/>
      <c r="E730" s="140"/>
    </row>
    <row r="731">
      <c r="B731" s="139"/>
      <c r="C731" s="377"/>
      <c r="D731" s="377"/>
      <c r="E731" s="140"/>
    </row>
    <row r="732">
      <c r="B732" s="139"/>
      <c r="C732" s="377"/>
      <c r="D732" s="377"/>
      <c r="E732" s="140"/>
    </row>
    <row r="733">
      <c r="B733" s="139"/>
      <c r="C733" s="377"/>
      <c r="D733" s="377"/>
      <c r="E733" s="140"/>
    </row>
    <row r="734">
      <c r="B734" s="139"/>
      <c r="C734" s="377"/>
      <c r="D734" s="377"/>
      <c r="E734" s="140"/>
    </row>
    <row r="735">
      <c r="B735" s="139"/>
      <c r="C735" s="377"/>
      <c r="D735" s="377"/>
      <c r="E735" s="140"/>
    </row>
    <row r="736">
      <c r="B736" s="139"/>
      <c r="C736" s="377"/>
      <c r="D736" s="377"/>
      <c r="E736" s="140"/>
    </row>
    <row r="737">
      <c r="B737" s="139"/>
      <c r="C737" s="377"/>
      <c r="D737" s="377"/>
      <c r="E737" s="140"/>
    </row>
    <row r="738">
      <c r="B738" s="139"/>
      <c r="C738" s="377"/>
      <c r="D738" s="377"/>
      <c r="E738" s="140"/>
    </row>
    <row r="739">
      <c r="B739" s="139"/>
      <c r="C739" s="377"/>
      <c r="D739" s="377"/>
      <c r="E739" s="140"/>
    </row>
    <row r="740">
      <c r="B740" s="139"/>
      <c r="C740" s="377"/>
      <c r="D740" s="377"/>
      <c r="E740" s="140"/>
    </row>
    <row r="741">
      <c r="B741" s="139"/>
      <c r="C741" s="377"/>
      <c r="D741" s="377"/>
      <c r="E741" s="140"/>
    </row>
    <row r="742">
      <c r="B742" s="139"/>
      <c r="C742" s="377"/>
      <c r="D742" s="377"/>
      <c r="E742" s="140"/>
    </row>
    <row r="743">
      <c r="B743" s="139"/>
      <c r="C743" s="377"/>
      <c r="D743" s="377"/>
      <c r="E743" s="140"/>
    </row>
    <row r="744">
      <c r="B744" s="139"/>
      <c r="C744" s="377"/>
      <c r="D744" s="377"/>
      <c r="E744" s="140"/>
    </row>
    <row r="745">
      <c r="B745" s="139"/>
      <c r="C745" s="377"/>
      <c r="D745" s="377"/>
      <c r="E745" s="140"/>
    </row>
    <row r="746">
      <c r="B746" s="139"/>
      <c r="C746" s="377"/>
      <c r="D746" s="377"/>
      <c r="E746" s="140"/>
    </row>
    <row r="747">
      <c r="B747" s="139"/>
      <c r="C747" s="377"/>
      <c r="D747" s="377"/>
      <c r="E747" s="140"/>
    </row>
    <row r="748">
      <c r="B748" s="139"/>
      <c r="C748" s="377"/>
      <c r="D748" s="377"/>
      <c r="E748" s="140"/>
    </row>
    <row r="749">
      <c r="B749" s="139"/>
      <c r="C749" s="377"/>
      <c r="D749" s="377"/>
      <c r="E749" s="140"/>
    </row>
    <row r="750">
      <c r="B750" s="139"/>
      <c r="C750" s="377"/>
      <c r="D750" s="377"/>
      <c r="E750" s="140"/>
    </row>
    <row r="751">
      <c r="B751" s="139"/>
      <c r="C751" s="377"/>
      <c r="D751" s="377"/>
      <c r="E751" s="140"/>
    </row>
    <row r="752">
      <c r="B752" s="139"/>
      <c r="C752" s="377"/>
      <c r="D752" s="377"/>
      <c r="E752" s="140"/>
    </row>
    <row r="753">
      <c r="B753" s="139"/>
      <c r="C753" s="377"/>
      <c r="D753" s="377"/>
      <c r="E753" s="140"/>
    </row>
    <row r="754">
      <c r="B754" s="139"/>
      <c r="C754" s="377"/>
      <c r="D754" s="377"/>
      <c r="E754" s="140"/>
    </row>
    <row r="755">
      <c r="B755" s="139"/>
      <c r="C755" s="377"/>
      <c r="D755" s="377"/>
      <c r="E755" s="140"/>
    </row>
    <row r="756">
      <c r="B756" s="139"/>
      <c r="C756" s="377"/>
      <c r="D756" s="377"/>
      <c r="E756" s="140"/>
    </row>
    <row r="757">
      <c r="B757" s="139"/>
      <c r="C757" s="377"/>
      <c r="D757" s="377"/>
      <c r="E757" s="140"/>
    </row>
    <row r="758">
      <c r="B758" s="139"/>
      <c r="C758" s="377"/>
      <c r="D758" s="377"/>
      <c r="E758" s="140"/>
    </row>
    <row r="759">
      <c r="B759" s="139"/>
      <c r="C759" s="377"/>
      <c r="D759" s="377"/>
      <c r="E759" s="140"/>
    </row>
    <row r="760">
      <c r="B760" s="139"/>
      <c r="C760" s="377"/>
      <c r="D760" s="377"/>
      <c r="E760" s="140"/>
    </row>
    <row r="761">
      <c r="B761" s="139"/>
      <c r="C761" s="377"/>
      <c r="D761" s="377"/>
      <c r="E761" s="140"/>
    </row>
    <row r="762">
      <c r="B762" s="139"/>
      <c r="C762" s="377"/>
      <c r="D762" s="377"/>
      <c r="E762" s="140"/>
    </row>
    <row r="763">
      <c r="B763" s="139"/>
      <c r="C763" s="377"/>
      <c r="D763" s="377"/>
      <c r="E763" s="140"/>
    </row>
    <row r="764">
      <c r="B764" s="139"/>
      <c r="C764" s="377"/>
      <c r="D764" s="377"/>
      <c r="E764" s="140"/>
    </row>
    <row r="765">
      <c r="B765" s="139"/>
      <c r="C765" s="377"/>
      <c r="D765" s="377"/>
      <c r="E765" s="140"/>
    </row>
    <row r="766">
      <c r="B766" s="139"/>
      <c r="C766" s="377"/>
      <c r="D766" s="377"/>
      <c r="E766" s="140"/>
    </row>
    <row r="767">
      <c r="B767" s="139"/>
      <c r="C767" s="377"/>
      <c r="D767" s="377"/>
      <c r="E767" s="140"/>
    </row>
    <row r="768">
      <c r="B768" s="139"/>
      <c r="C768" s="377"/>
      <c r="D768" s="377"/>
      <c r="E768" s="140"/>
    </row>
    <row r="769">
      <c r="B769" s="139"/>
      <c r="C769" s="377"/>
      <c r="D769" s="377"/>
      <c r="E769" s="140"/>
    </row>
    <row r="770">
      <c r="B770" s="139"/>
      <c r="C770" s="377"/>
      <c r="D770" s="377"/>
      <c r="E770" s="140"/>
    </row>
    <row r="771">
      <c r="B771" s="139"/>
      <c r="C771" s="377"/>
      <c r="D771" s="377"/>
      <c r="E771" s="140"/>
    </row>
    <row r="772">
      <c r="B772" s="139"/>
      <c r="C772" s="377"/>
      <c r="D772" s="377"/>
      <c r="E772" s="140"/>
    </row>
    <row r="773">
      <c r="B773" s="139"/>
      <c r="C773" s="377"/>
      <c r="D773" s="377"/>
      <c r="E773" s="140"/>
    </row>
    <row r="774">
      <c r="B774" s="139"/>
      <c r="C774" s="377"/>
      <c r="D774" s="377"/>
      <c r="E774" s="140"/>
    </row>
    <row r="775">
      <c r="B775" s="139"/>
      <c r="C775" s="377"/>
      <c r="D775" s="377"/>
      <c r="E775" s="140"/>
    </row>
    <row r="776">
      <c r="B776" s="139"/>
      <c r="C776" s="377"/>
      <c r="D776" s="377"/>
      <c r="E776" s="140"/>
    </row>
    <row r="777">
      <c r="B777" s="139"/>
      <c r="C777" s="377"/>
      <c r="D777" s="377"/>
      <c r="E777" s="140"/>
    </row>
    <row r="778">
      <c r="B778" s="139"/>
      <c r="C778" s="377"/>
      <c r="D778" s="377"/>
      <c r="E778" s="140"/>
    </row>
    <row r="779">
      <c r="B779" s="139"/>
      <c r="C779" s="377"/>
      <c r="D779" s="377"/>
      <c r="E779" s="140"/>
    </row>
    <row r="780">
      <c r="B780" s="139"/>
      <c r="C780" s="377"/>
      <c r="D780" s="377"/>
      <c r="E780" s="140"/>
    </row>
    <row r="781">
      <c r="B781" s="139"/>
      <c r="C781" s="377"/>
      <c r="D781" s="377"/>
      <c r="E781" s="140"/>
    </row>
    <row r="782">
      <c r="B782" s="139"/>
      <c r="C782" s="377"/>
      <c r="D782" s="377"/>
      <c r="E782" s="140"/>
    </row>
    <row r="783">
      <c r="B783" s="139"/>
      <c r="C783" s="377"/>
      <c r="D783" s="377"/>
      <c r="E783" s="140"/>
    </row>
    <row r="784">
      <c r="B784" s="139"/>
      <c r="C784" s="377"/>
      <c r="D784" s="377"/>
      <c r="E784" s="140"/>
    </row>
    <row r="785">
      <c r="B785" s="139"/>
      <c r="C785" s="377"/>
      <c r="D785" s="377"/>
      <c r="E785" s="140"/>
    </row>
    <row r="786">
      <c r="B786" s="139"/>
      <c r="C786" s="377"/>
      <c r="D786" s="377"/>
      <c r="E786" s="140"/>
    </row>
    <row r="787">
      <c r="B787" s="139"/>
      <c r="C787" s="377"/>
      <c r="D787" s="377"/>
      <c r="E787" s="140"/>
    </row>
    <row r="788">
      <c r="B788" s="139"/>
      <c r="C788" s="377"/>
      <c r="D788" s="377"/>
      <c r="E788" s="140"/>
    </row>
    <row r="789">
      <c r="B789" s="139"/>
      <c r="C789" s="377"/>
      <c r="D789" s="377"/>
      <c r="E789" s="140"/>
    </row>
    <row r="790">
      <c r="B790" s="139"/>
      <c r="C790" s="377"/>
      <c r="D790" s="377"/>
      <c r="E790" s="140"/>
    </row>
    <row r="791">
      <c r="B791" s="139"/>
      <c r="C791" s="377"/>
      <c r="D791" s="377"/>
      <c r="E791" s="140"/>
    </row>
    <row r="792">
      <c r="B792" s="139"/>
      <c r="C792" s="377"/>
      <c r="D792" s="377"/>
      <c r="E792" s="140"/>
    </row>
    <row r="793">
      <c r="B793" s="139"/>
      <c r="C793" s="377"/>
      <c r="D793" s="377"/>
      <c r="E793" s="140"/>
    </row>
    <row r="794">
      <c r="B794" s="139"/>
      <c r="C794" s="377"/>
      <c r="D794" s="377"/>
      <c r="E794" s="140"/>
    </row>
    <row r="795">
      <c r="B795" s="139"/>
      <c r="C795" s="377"/>
      <c r="D795" s="377"/>
      <c r="E795" s="140"/>
    </row>
    <row r="796">
      <c r="B796" s="139"/>
      <c r="C796" s="377"/>
      <c r="D796" s="377"/>
      <c r="E796" s="140"/>
    </row>
    <row r="797">
      <c r="B797" s="139"/>
      <c r="C797" s="377"/>
      <c r="D797" s="377"/>
      <c r="E797" s="140"/>
    </row>
    <row r="798">
      <c r="B798" s="139"/>
      <c r="C798" s="377"/>
      <c r="D798" s="377"/>
      <c r="E798" s="140"/>
    </row>
    <row r="799">
      <c r="B799" s="139"/>
      <c r="C799" s="377"/>
      <c r="D799" s="377"/>
      <c r="E799" s="140"/>
    </row>
    <row r="800">
      <c r="B800" s="139"/>
      <c r="C800" s="377"/>
      <c r="D800" s="377"/>
      <c r="E800" s="140"/>
    </row>
    <row r="801">
      <c r="B801" s="139"/>
      <c r="C801" s="377"/>
      <c r="D801" s="377"/>
      <c r="E801" s="140"/>
    </row>
    <row r="802">
      <c r="B802" s="139"/>
      <c r="C802" s="377"/>
      <c r="D802" s="377"/>
      <c r="E802" s="140"/>
    </row>
    <row r="803">
      <c r="B803" s="139"/>
      <c r="C803" s="377"/>
      <c r="D803" s="377"/>
      <c r="E803" s="140"/>
    </row>
    <row r="804">
      <c r="B804" s="139"/>
      <c r="C804" s="377"/>
      <c r="D804" s="377"/>
      <c r="E804" s="140"/>
    </row>
    <row r="805">
      <c r="B805" s="139"/>
      <c r="C805" s="377"/>
      <c r="D805" s="377"/>
      <c r="E805" s="140"/>
    </row>
    <row r="806">
      <c r="B806" s="139"/>
      <c r="C806" s="377"/>
      <c r="D806" s="377"/>
      <c r="E806" s="140"/>
    </row>
    <row r="807">
      <c r="B807" s="139"/>
      <c r="C807" s="377"/>
      <c r="D807" s="377"/>
      <c r="E807" s="140"/>
    </row>
    <row r="808">
      <c r="B808" s="139"/>
      <c r="C808" s="377"/>
      <c r="D808" s="377"/>
      <c r="E808" s="140"/>
    </row>
    <row r="809">
      <c r="B809" s="139"/>
      <c r="C809" s="377"/>
      <c r="D809" s="377"/>
      <c r="E809" s="140"/>
    </row>
    <row r="810">
      <c r="B810" s="139"/>
      <c r="C810" s="377"/>
      <c r="D810" s="377"/>
      <c r="E810" s="140"/>
    </row>
    <row r="811">
      <c r="B811" s="139"/>
      <c r="C811" s="377"/>
      <c r="D811" s="377"/>
      <c r="E811" s="140"/>
    </row>
    <row r="812">
      <c r="B812" s="139"/>
      <c r="C812" s="377"/>
      <c r="D812" s="377"/>
      <c r="E812" s="140"/>
    </row>
    <row r="813">
      <c r="B813" s="139"/>
      <c r="C813" s="377"/>
      <c r="D813" s="377"/>
      <c r="E813" s="140"/>
    </row>
    <row r="814">
      <c r="B814" s="139"/>
      <c r="C814" s="377"/>
      <c r="D814" s="377"/>
      <c r="E814" s="140"/>
    </row>
    <row r="815">
      <c r="B815" s="139"/>
      <c r="C815" s="377"/>
      <c r="D815" s="377"/>
      <c r="E815" s="140"/>
    </row>
    <row r="816">
      <c r="B816" s="139"/>
      <c r="C816" s="377"/>
      <c r="D816" s="377"/>
      <c r="E816" s="140"/>
    </row>
    <row r="817">
      <c r="B817" s="139"/>
      <c r="C817" s="377"/>
      <c r="D817" s="377"/>
      <c r="E817" s="140"/>
    </row>
    <row r="818">
      <c r="B818" s="139"/>
      <c r="C818" s="377"/>
      <c r="D818" s="377"/>
      <c r="E818" s="140"/>
    </row>
    <row r="819">
      <c r="B819" s="139"/>
      <c r="C819" s="377"/>
      <c r="D819" s="377"/>
      <c r="E819" s="140"/>
    </row>
    <row r="820">
      <c r="B820" s="139"/>
      <c r="C820" s="377"/>
      <c r="D820" s="377"/>
      <c r="E820" s="140"/>
    </row>
    <row r="821">
      <c r="B821" s="139"/>
      <c r="C821" s="377"/>
      <c r="D821" s="377"/>
      <c r="E821" s="140"/>
    </row>
    <row r="822">
      <c r="B822" s="139"/>
      <c r="C822" s="377"/>
      <c r="D822" s="377"/>
      <c r="E822" s="140"/>
    </row>
    <row r="823">
      <c r="B823" s="139"/>
      <c r="C823" s="377"/>
      <c r="D823" s="377"/>
      <c r="E823" s="140"/>
    </row>
    <row r="824">
      <c r="B824" s="139"/>
      <c r="C824" s="377"/>
      <c r="D824" s="377"/>
      <c r="E824" s="140"/>
    </row>
    <row r="825">
      <c r="B825" s="139"/>
      <c r="C825" s="377"/>
      <c r="D825" s="377"/>
      <c r="E825" s="140"/>
    </row>
    <row r="826">
      <c r="B826" s="139"/>
      <c r="C826" s="377"/>
      <c r="D826" s="377"/>
      <c r="E826" s="140"/>
    </row>
    <row r="827">
      <c r="B827" s="139"/>
      <c r="C827" s="377"/>
      <c r="D827" s="377"/>
      <c r="E827" s="140"/>
    </row>
    <row r="828">
      <c r="B828" s="139"/>
      <c r="C828" s="377"/>
      <c r="D828" s="377"/>
      <c r="E828" s="140"/>
    </row>
    <row r="829">
      <c r="B829" s="139"/>
      <c r="C829" s="377"/>
      <c r="D829" s="377"/>
      <c r="E829" s="140"/>
    </row>
    <row r="830">
      <c r="B830" s="139"/>
      <c r="C830" s="377"/>
      <c r="D830" s="377"/>
      <c r="E830" s="140"/>
    </row>
    <row r="831">
      <c r="B831" s="139"/>
      <c r="C831" s="377"/>
      <c r="D831" s="377"/>
      <c r="E831" s="140"/>
    </row>
    <row r="832">
      <c r="B832" s="139"/>
      <c r="C832" s="377"/>
      <c r="D832" s="377"/>
      <c r="E832" s="140"/>
    </row>
    <row r="833">
      <c r="B833" s="139"/>
      <c r="C833" s="377"/>
      <c r="D833" s="377"/>
      <c r="E833" s="140"/>
    </row>
    <row r="834">
      <c r="B834" s="139"/>
      <c r="C834" s="377"/>
      <c r="D834" s="377"/>
      <c r="E834" s="140"/>
    </row>
    <row r="835">
      <c r="B835" s="139"/>
      <c r="C835" s="377"/>
      <c r="D835" s="377"/>
      <c r="E835" s="140"/>
    </row>
    <row r="836">
      <c r="B836" s="139"/>
      <c r="C836" s="377"/>
      <c r="D836" s="377"/>
      <c r="E836" s="140"/>
    </row>
    <row r="837">
      <c r="B837" s="139"/>
      <c r="C837" s="377"/>
      <c r="D837" s="377"/>
      <c r="E837" s="140"/>
    </row>
    <row r="838">
      <c r="B838" s="139"/>
      <c r="C838" s="377"/>
      <c r="D838" s="377"/>
      <c r="E838" s="140"/>
    </row>
    <row r="839">
      <c r="B839" s="139"/>
      <c r="C839" s="377"/>
      <c r="D839" s="377"/>
      <c r="E839" s="140"/>
    </row>
    <row r="840">
      <c r="B840" s="139"/>
      <c r="C840" s="377"/>
      <c r="D840" s="377"/>
      <c r="E840" s="140"/>
    </row>
    <row r="841">
      <c r="B841" s="139"/>
      <c r="C841" s="377"/>
      <c r="D841" s="377"/>
      <c r="E841" s="140"/>
    </row>
    <row r="842">
      <c r="B842" s="139"/>
      <c r="C842" s="377"/>
      <c r="D842" s="377"/>
      <c r="E842" s="140"/>
    </row>
    <row r="843">
      <c r="B843" s="139"/>
      <c r="C843" s="377"/>
      <c r="D843" s="377"/>
      <c r="E843" s="140"/>
    </row>
    <row r="844">
      <c r="B844" s="139"/>
      <c r="C844" s="377"/>
      <c r="D844" s="377"/>
      <c r="E844" s="140"/>
    </row>
    <row r="845">
      <c r="B845" s="139"/>
      <c r="C845" s="377"/>
      <c r="D845" s="377"/>
      <c r="E845" s="140"/>
    </row>
    <row r="846">
      <c r="B846" s="139"/>
      <c r="C846" s="377"/>
      <c r="D846" s="377"/>
      <c r="E846" s="140"/>
    </row>
    <row r="847">
      <c r="B847" s="139"/>
      <c r="C847" s="377"/>
      <c r="D847" s="377"/>
      <c r="E847" s="140"/>
    </row>
    <row r="848">
      <c r="B848" s="139"/>
      <c r="C848" s="377"/>
      <c r="D848" s="377"/>
      <c r="E848" s="140"/>
    </row>
    <row r="849">
      <c r="B849" s="139"/>
      <c r="C849" s="377"/>
      <c r="D849" s="377"/>
      <c r="E849" s="140"/>
    </row>
    <row r="850">
      <c r="B850" s="139"/>
      <c r="C850" s="377"/>
      <c r="D850" s="377"/>
      <c r="E850" s="140"/>
    </row>
    <row r="851">
      <c r="B851" s="139"/>
      <c r="C851" s="377"/>
      <c r="D851" s="377"/>
      <c r="E851" s="140"/>
    </row>
    <row r="852">
      <c r="B852" s="139"/>
      <c r="C852" s="377"/>
      <c r="D852" s="377"/>
      <c r="E852" s="140"/>
    </row>
    <row r="853">
      <c r="B853" s="139"/>
      <c r="C853" s="377"/>
      <c r="D853" s="377"/>
      <c r="E853" s="140"/>
    </row>
    <row r="854">
      <c r="B854" s="139"/>
      <c r="C854" s="377"/>
      <c r="D854" s="377"/>
      <c r="E854" s="140"/>
    </row>
    <row r="855">
      <c r="B855" s="139"/>
      <c r="C855" s="377"/>
      <c r="D855" s="377"/>
      <c r="E855" s="140"/>
    </row>
    <row r="856">
      <c r="B856" s="139"/>
      <c r="C856" s="377"/>
      <c r="D856" s="377"/>
      <c r="E856" s="140"/>
    </row>
    <row r="857">
      <c r="B857" s="139"/>
      <c r="C857" s="377"/>
      <c r="D857" s="377"/>
      <c r="E857" s="140"/>
    </row>
    <row r="858">
      <c r="B858" s="139"/>
      <c r="C858" s="377"/>
      <c r="D858" s="377"/>
      <c r="E858" s="140"/>
    </row>
    <row r="859">
      <c r="B859" s="139"/>
      <c r="C859" s="377"/>
      <c r="D859" s="377"/>
      <c r="E859" s="140"/>
    </row>
    <row r="860">
      <c r="B860" s="139"/>
      <c r="C860" s="377"/>
      <c r="D860" s="377"/>
      <c r="E860" s="140"/>
    </row>
    <row r="861">
      <c r="B861" s="139"/>
      <c r="C861" s="377"/>
      <c r="D861" s="377"/>
      <c r="E861" s="140"/>
    </row>
    <row r="862">
      <c r="B862" s="139"/>
      <c r="C862" s="377"/>
      <c r="D862" s="377"/>
      <c r="E862" s="140"/>
    </row>
    <row r="863">
      <c r="B863" s="139"/>
      <c r="C863" s="377"/>
      <c r="D863" s="377"/>
      <c r="E863" s="140"/>
    </row>
    <row r="864">
      <c r="B864" s="139"/>
      <c r="C864" s="377"/>
      <c r="D864" s="377"/>
      <c r="E864" s="140"/>
    </row>
    <row r="865">
      <c r="B865" s="139"/>
      <c r="C865" s="377"/>
      <c r="D865" s="377"/>
      <c r="E865" s="140"/>
    </row>
    <row r="866">
      <c r="B866" s="139"/>
      <c r="C866" s="377"/>
      <c r="D866" s="377"/>
      <c r="E866" s="140"/>
    </row>
    <row r="867">
      <c r="B867" s="139"/>
      <c r="C867" s="377"/>
      <c r="D867" s="377"/>
      <c r="E867" s="140"/>
    </row>
    <row r="868">
      <c r="B868" s="139"/>
      <c r="C868" s="377"/>
      <c r="D868" s="377"/>
      <c r="E868" s="140"/>
    </row>
    <row r="869">
      <c r="B869" s="139"/>
      <c r="C869" s="377"/>
      <c r="D869" s="377"/>
      <c r="E869" s="140"/>
    </row>
    <row r="870">
      <c r="B870" s="139"/>
      <c r="C870" s="377"/>
      <c r="D870" s="377"/>
      <c r="E870" s="140"/>
    </row>
    <row r="871">
      <c r="B871" s="139"/>
      <c r="C871" s="377"/>
      <c r="D871" s="377"/>
      <c r="E871" s="140"/>
    </row>
    <row r="872">
      <c r="B872" s="139"/>
      <c r="C872" s="377"/>
      <c r="D872" s="377"/>
      <c r="E872" s="140"/>
    </row>
    <row r="873">
      <c r="B873" s="139"/>
      <c r="C873" s="377"/>
      <c r="D873" s="377"/>
      <c r="E873" s="140"/>
    </row>
    <row r="874">
      <c r="B874" s="139"/>
      <c r="C874" s="377"/>
      <c r="D874" s="377"/>
      <c r="E874" s="140"/>
    </row>
    <row r="875">
      <c r="B875" s="139"/>
      <c r="C875" s="377"/>
      <c r="D875" s="377"/>
      <c r="E875" s="140"/>
    </row>
    <row r="876">
      <c r="B876" s="139"/>
      <c r="C876" s="377"/>
      <c r="D876" s="377"/>
      <c r="E876" s="140"/>
    </row>
    <row r="877">
      <c r="B877" s="139"/>
      <c r="C877" s="377"/>
      <c r="D877" s="377"/>
      <c r="E877" s="140"/>
    </row>
    <row r="878">
      <c r="B878" s="139"/>
      <c r="C878" s="377"/>
      <c r="D878" s="377"/>
      <c r="E878" s="140"/>
    </row>
    <row r="879">
      <c r="B879" s="139"/>
      <c r="C879" s="377"/>
      <c r="D879" s="377"/>
      <c r="E879" s="140"/>
    </row>
    <row r="880">
      <c r="B880" s="139"/>
      <c r="C880" s="377"/>
      <c r="D880" s="377"/>
      <c r="E880" s="140"/>
    </row>
    <row r="881">
      <c r="B881" s="139"/>
      <c r="C881" s="377"/>
      <c r="D881" s="377"/>
      <c r="E881" s="140"/>
    </row>
    <row r="882">
      <c r="B882" s="139"/>
      <c r="C882" s="377"/>
      <c r="D882" s="377"/>
      <c r="E882" s="140"/>
    </row>
    <row r="883">
      <c r="B883" s="139"/>
      <c r="C883" s="377"/>
      <c r="D883" s="377"/>
      <c r="E883" s="140"/>
    </row>
    <row r="884">
      <c r="B884" s="139"/>
      <c r="C884" s="377"/>
      <c r="D884" s="377"/>
      <c r="E884" s="140"/>
    </row>
    <row r="885">
      <c r="B885" s="139"/>
      <c r="C885" s="377"/>
      <c r="D885" s="377"/>
      <c r="E885" s="140"/>
    </row>
    <row r="886">
      <c r="B886" s="139"/>
      <c r="C886" s="377"/>
      <c r="D886" s="377"/>
      <c r="E886" s="140"/>
    </row>
    <row r="887">
      <c r="B887" s="139"/>
      <c r="C887" s="377"/>
      <c r="D887" s="377"/>
      <c r="E887" s="140"/>
    </row>
    <row r="888">
      <c r="B888" s="139"/>
      <c r="C888" s="377"/>
      <c r="D888" s="377"/>
      <c r="E888" s="140"/>
    </row>
    <row r="889">
      <c r="B889" s="139"/>
      <c r="C889" s="377"/>
      <c r="D889" s="377"/>
      <c r="E889" s="140"/>
    </row>
    <row r="890">
      <c r="B890" s="139"/>
      <c r="C890" s="377"/>
      <c r="D890" s="377"/>
      <c r="E890" s="140"/>
    </row>
    <row r="891">
      <c r="B891" s="139"/>
      <c r="C891" s="377"/>
      <c r="D891" s="377"/>
      <c r="E891" s="140"/>
    </row>
    <row r="892">
      <c r="B892" s="139"/>
      <c r="C892" s="377"/>
      <c r="D892" s="377"/>
      <c r="E892" s="140"/>
    </row>
    <row r="893">
      <c r="B893" s="139"/>
      <c r="C893" s="377"/>
      <c r="D893" s="377"/>
      <c r="E893" s="140"/>
    </row>
    <row r="894">
      <c r="B894" s="139"/>
      <c r="C894" s="377"/>
      <c r="D894" s="377"/>
      <c r="E894" s="140"/>
    </row>
    <row r="895">
      <c r="B895" s="139"/>
      <c r="C895" s="377"/>
      <c r="D895" s="377"/>
      <c r="E895" s="140"/>
    </row>
    <row r="896">
      <c r="B896" s="139"/>
      <c r="C896" s="377"/>
      <c r="D896" s="377"/>
      <c r="E896" s="140"/>
    </row>
    <row r="897">
      <c r="B897" s="139"/>
      <c r="C897" s="377"/>
      <c r="D897" s="377"/>
      <c r="E897" s="140"/>
    </row>
    <row r="898">
      <c r="B898" s="139"/>
      <c r="C898" s="377"/>
      <c r="D898" s="377"/>
      <c r="E898" s="140"/>
    </row>
    <row r="899">
      <c r="B899" s="139"/>
      <c r="C899" s="377"/>
      <c r="D899" s="377"/>
      <c r="E899" s="140"/>
    </row>
    <row r="900">
      <c r="B900" s="139"/>
      <c r="C900" s="377"/>
      <c r="D900" s="377"/>
      <c r="E900" s="140"/>
    </row>
    <row r="901">
      <c r="B901" s="139"/>
      <c r="C901" s="377"/>
      <c r="D901" s="377"/>
      <c r="E901" s="140"/>
    </row>
    <row r="902">
      <c r="B902" s="139"/>
      <c r="C902" s="377"/>
      <c r="D902" s="377"/>
      <c r="E902" s="140"/>
    </row>
    <row r="903">
      <c r="B903" s="139"/>
      <c r="C903" s="377"/>
      <c r="D903" s="377"/>
      <c r="E903" s="140"/>
    </row>
    <row r="904">
      <c r="B904" s="139"/>
      <c r="C904" s="377"/>
      <c r="D904" s="377"/>
      <c r="E904" s="140"/>
    </row>
    <row r="905">
      <c r="B905" s="139"/>
      <c r="C905" s="377"/>
      <c r="D905" s="377"/>
      <c r="E905" s="140"/>
    </row>
    <row r="906">
      <c r="B906" s="139"/>
      <c r="C906" s="377"/>
      <c r="D906" s="377"/>
      <c r="E906" s="140"/>
    </row>
    <row r="907">
      <c r="B907" s="139"/>
      <c r="C907" s="377"/>
      <c r="D907" s="377"/>
      <c r="E907" s="140"/>
    </row>
    <row r="908">
      <c r="B908" s="139"/>
      <c r="C908" s="377"/>
      <c r="D908" s="377"/>
      <c r="E908" s="140"/>
    </row>
    <row r="909">
      <c r="B909" s="139"/>
      <c r="C909" s="377"/>
      <c r="D909" s="377"/>
      <c r="E909" s="140"/>
    </row>
    <row r="910">
      <c r="B910" s="139"/>
      <c r="C910" s="377"/>
      <c r="D910" s="377"/>
      <c r="E910" s="140"/>
    </row>
    <row r="911">
      <c r="B911" s="139"/>
      <c r="C911" s="377"/>
      <c r="D911" s="377"/>
      <c r="E911" s="140"/>
    </row>
    <row r="912">
      <c r="B912" s="139"/>
      <c r="C912" s="377"/>
      <c r="D912" s="377"/>
      <c r="E912" s="140"/>
    </row>
    <row r="913">
      <c r="B913" s="139"/>
      <c r="C913" s="377"/>
      <c r="D913" s="377"/>
      <c r="E913" s="140"/>
    </row>
    <row r="914">
      <c r="B914" s="139"/>
      <c r="C914" s="377"/>
      <c r="D914" s="377"/>
      <c r="E914" s="140"/>
    </row>
    <row r="915">
      <c r="B915" s="139"/>
      <c r="C915" s="377"/>
      <c r="D915" s="377"/>
      <c r="E915" s="140"/>
    </row>
    <row r="916">
      <c r="B916" s="139"/>
      <c r="C916" s="377"/>
      <c r="D916" s="377"/>
      <c r="E916" s="140"/>
    </row>
    <row r="917">
      <c r="B917" s="139"/>
      <c r="C917" s="377"/>
      <c r="D917" s="377"/>
      <c r="E917" s="140"/>
    </row>
    <row r="918">
      <c r="B918" s="139"/>
      <c r="C918" s="377"/>
      <c r="D918" s="377"/>
      <c r="E918" s="140"/>
    </row>
    <row r="919">
      <c r="B919" s="139"/>
      <c r="C919" s="377"/>
      <c r="D919" s="377"/>
      <c r="E919" s="140"/>
    </row>
    <row r="920">
      <c r="B920" s="139"/>
      <c r="C920" s="377"/>
      <c r="D920" s="377"/>
      <c r="E920" s="140"/>
    </row>
    <row r="921">
      <c r="B921" s="139"/>
      <c r="C921" s="377"/>
      <c r="D921" s="377"/>
      <c r="E921" s="140"/>
    </row>
    <row r="922">
      <c r="B922" s="139"/>
      <c r="C922" s="377"/>
      <c r="D922" s="377"/>
      <c r="E922" s="140"/>
    </row>
    <row r="923">
      <c r="B923" s="139"/>
      <c r="C923" s="377"/>
      <c r="D923" s="377"/>
      <c r="E923" s="140"/>
    </row>
    <row r="924">
      <c r="B924" s="139"/>
      <c r="C924" s="377"/>
      <c r="D924" s="377"/>
      <c r="E924" s="140"/>
    </row>
    <row r="925">
      <c r="B925" s="139"/>
      <c r="C925" s="377"/>
      <c r="D925" s="377"/>
      <c r="E925" s="140"/>
    </row>
    <row r="926">
      <c r="B926" s="139"/>
      <c r="C926" s="377"/>
      <c r="D926" s="377"/>
      <c r="E926" s="140"/>
    </row>
    <row r="927">
      <c r="B927" s="139"/>
      <c r="C927" s="377"/>
      <c r="D927" s="377"/>
      <c r="E927" s="140"/>
    </row>
    <row r="928">
      <c r="B928" s="139"/>
      <c r="C928" s="377"/>
      <c r="D928" s="377"/>
      <c r="E928" s="140"/>
    </row>
    <row r="929">
      <c r="B929" s="139"/>
      <c r="C929" s="377"/>
      <c r="D929" s="377"/>
      <c r="E929" s="140"/>
    </row>
    <row r="930">
      <c r="B930" s="139"/>
      <c r="C930" s="377"/>
      <c r="D930" s="377"/>
      <c r="E930" s="140"/>
    </row>
    <row r="931">
      <c r="B931" s="139"/>
      <c r="C931" s="377"/>
      <c r="D931" s="377"/>
      <c r="E931" s="140"/>
    </row>
    <row r="932">
      <c r="B932" s="139"/>
      <c r="C932" s="377"/>
      <c r="D932" s="377"/>
      <c r="E932" s="140"/>
    </row>
    <row r="933">
      <c r="B933" s="139"/>
      <c r="C933" s="377"/>
      <c r="D933" s="377"/>
      <c r="E933" s="140"/>
    </row>
    <row r="934">
      <c r="B934" s="139"/>
      <c r="C934" s="377"/>
      <c r="D934" s="377"/>
      <c r="E934" s="140"/>
    </row>
    <row r="935">
      <c r="B935" s="139"/>
      <c r="C935" s="377"/>
      <c r="D935" s="377"/>
      <c r="E935" s="140"/>
    </row>
    <row r="936">
      <c r="B936" s="139"/>
      <c r="C936" s="377"/>
      <c r="D936" s="377"/>
      <c r="E936" s="140"/>
    </row>
    <row r="937">
      <c r="B937" s="139"/>
      <c r="C937" s="377"/>
      <c r="D937" s="377"/>
      <c r="E937" s="140"/>
    </row>
    <row r="938">
      <c r="B938" s="139"/>
      <c r="C938" s="377"/>
      <c r="D938" s="377"/>
      <c r="E938" s="140"/>
    </row>
    <row r="939">
      <c r="B939" s="139"/>
      <c r="C939" s="377"/>
      <c r="D939" s="377"/>
      <c r="E939" s="140"/>
    </row>
    <row r="940">
      <c r="B940" s="139"/>
      <c r="C940" s="377"/>
      <c r="D940" s="377"/>
      <c r="E940" s="140"/>
    </row>
    <row r="941">
      <c r="B941" s="139"/>
      <c r="C941" s="377"/>
      <c r="D941" s="377"/>
      <c r="E941" s="140"/>
    </row>
    <row r="942">
      <c r="B942" s="139"/>
      <c r="C942" s="377"/>
      <c r="D942" s="377"/>
      <c r="E942" s="140"/>
    </row>
    <row r="943">
      <c r="B943" s="139"/>
      <c r="C943" s="377"/>
      <c r="D943" s="377"/>
      <c r="E943" s="140"/>
    </row>
    <row r="944">
      <c r="B944" s="139"/>
      <c r="C944" s="377"/>
      <c r="D944" s="377"/>
      <c r="E944" s="140"/>
    </row>
    <row r="945">
      <c r="B945" s="139"/>
      <c r="C945" s="377"/>
      <c r="D945" s="377"/>
      <c r="E945" s="140"/>
    </row>
    <row r="946">
      <c r="B946" s="139"/>
      <c r="C946" s="377"/>
      <c r="D946" s="377"/>
      <c r="E946" s="140"/>
    </row>
    <row r="947">
      <c r="B947" s="139"/>
      <c r="C947" s="377"/>
      <c r="D947" s="377"/>
      <c r="E947" s="140"/>
    </row>
    <row r="948">
      <c r="B948" s="139"/>
      <c r="C948" s="377"/>
      <c r="D948" s="377"/>
      <c r="E948" s="140"/>
    </row>
    <row r="949">
      <c r="B949" s="139"/>
      <c r="C949" s="377"/>
      <c r="D949" s="377"/>
      <c r="E949" s="140"/>
    </row>
    <row r="950">
      <c r="B950" s="139"/>
      <c r="C950" s="377"/>
      <c r="D950" s="377"/>
      <c r="E950" s="140"/>
    </row>
    <row r="951">
      <c r="B951" s="139"/>
      <c r="C951" s="377"/>
      <c r="D951" s="377"/>
      <c r="E951" s="140"/>
    </row>
    <row r="952">
      <c r="B952" s="139"/>
      <c r="C952" s="377"/>
      <c r="D952" s="377"/>
      <c r="E952" s="140"/>
    </row>
    <row r="953">
      <c r="B953" s="139"/>
      <c r="C953" s="377"/>
      <c r="D953" s="377"/>
      <c r="E953" s="140"/>
    </row>
    <row r="954">
      <c r="B954" s="139"/>
      <c r="C954" s="377"/>
      <c r="D954" s="377"/>
      <c r="E954" s="140"/>
    </row>
    <row r="955">
      <c r="B955" s="139"/>
      <c r="C955" s="377"/>
      <c r="D955" s="377"/>
      <c r="E955" s="140"/>
    </row>
    <row r="956">
      <c r="B956" s="139"/>
      <c r="C956" s="377"/>
      <c r="D956" s="377"/>
      <c r="E956" s="140"/>
    </row>
    <row r="957">
      <c r="B957" s="139"/>
      <c r="C957" s="377"/>
      <c r="D957" s="377"/>
      <c r="E957" s="140"/>
    </row>
    <row r="958">
      <c r="B958" s="139"/>
      <c r="C958" s="377"/>
      <c r="D958" s="377"/>
      <c r="E958" s="140"/>
    </row>
    <row r="959">
      <c r="B959" s="139"/>
      <c r="C959" s="377"/>
      <c r="D959" s="377"/>
      <c r="E959" s="140"/>
    </row>
    <row r="960">
      <c r="B960" s="139"/>
      <c r="C960" s="377"/>
      <c r="D960" s="377"/>
      <c r="E960" s="140"/>
    </row>
    <row r="961">
      <c r="B961" s="139"/>
      <c r="C961" s="377"/>
      <c r="D961" s="377"/>
      <c r="E961" s="140"/>
    </row>
    <row r="962">
      <c r="B962" s="139"/>
      <c r="C962" s="377"/>
      <c r="D962" s="377"/>
      <c r="E962" s="140"/>
    </row>
    <row r="963">
      <c r="B963" s="139"/>
      <c r="C963" s="377"/>
      <c r="D963" s="377"/>
      <c r="E963" s="140"/>
    </row>
    <row r="964">
      <c r="B964" s="139"/>
      <c r="C964" s="377"/>
      <c r="D964" s="377"/>
      <c r="E964" s="140"/>
    </row>
    <row r="965">
      <c r="B965" s="139"/>
      <c r="C965" s="377"/>
      <c r="D965" s="377"/>
      <c r="E965" s="140"/>
    </row>
    <row r="966">
      <c r="B966" s="139"/>
      <c r="C966" s="377"/>
      <c r="D966" s="377"/>
      <c r="E966" s="140"/>
    </row>
    <row r="967">
      <c r="B967" s="139"/>
      <c r="C967" s="377"/>
      <c r="D967" s="377"/>
      <c r="E967" s="140"/>
    </row>
    <row r="968">
      <c r="B968" s="139"/>
      <c r="C968" s="377"/>
      <c r="D968" s="377"/>
      <c r="E968" s="140"/>
    </row>
    <row r="969">
      <c r="B969" s="139"/>
      <c r="C969" s="377"/>
      <c r="D969" s="377"/>
      <c r="E969" s="140"/>
    </row>
    <row r="970">
      <c r="B970" s="139"/>
      <c r="C970" s="377"/>
      <c r="D970" s="377"/>
      <c r="E970" s="140"/>
    </row>
    <row r="971">
      <c r="B971" s="139"/>
      <c r="C971" s="377"/>
      <c r="D971" s="377"/>
      <c r="E971" s="140"/>
    </row>
    <row r="972">
      <c r="B972" s="139"/>
      <c r="C972" s="377"/>
      <c r="D972" s="377"/>
      <c r="E972" s="140"/>
    </row>
    <row r="973">
      <c r="B973" s="139"/>
      <c r="C973" s="377"/>
      <c r="D973" s="377"/>
      <c r="E973" s="140"/>
    </row>
    <row r="974">
      <c r="B974" s="139"/>
      <c r="C974" s="377"/>
      <c r="D974" s="377"/>
      <c r="E974" s="140"/>
    </row>
    <row r="975">
      <c r="B975" s="139"/>
      <c r="C975" s="377"/>
      <c r="D975" s="377"/>
      <c r="E975" s="140"/>
    </row>
    <row r="976">
      <c r="B976" s="139"/>
      <c r="C976" s="377"/>
      <c r="D976" s="377"/>
      <c r="E976" s="140"/>
    </row>
    <row r="977">
      <c r="B977" s="139"/>
      <c r="C977" s="377"/>
      <c r="D977" s="377"/>
      <c r="E977" s="140"/>
    </row>
    <row r="978">
      <c r="B978" s="139"/>
      <c r="C978" s="377"/>
      <c r="D978" s="377"/>
      <c r="E978" s="140"/>
    </row>
    <row r="979">
      <c r="B979" s="139"/>
      <c r="C979" s="377"/>
      <c r="D979" s="377"/>
      <c r="E979" s="140"/>
    </row>
    <row r="980">
      <c r="B980" s="139"/>
      <c r="C980" s="377"/>
      <c r="D980" s="377"/>
      <c r="E980" s="140"/>
    </row>
    <row r="981">
      <c r="B981" s="139"/>
      <c r="C981" s="377"/>
      <c r="D981" s="377"/>
      <c r="E981" s="140"/>
    </row>
    <row r="982">
      <c r="B982" s="139"/>
      <c r="C982" s="377"/>
      <c r="D982" s="377"/>
      <c r="E982" s="140"/>
    </row>
    <row r="983">
      <c r="B983" s="139"/>
      <c r="C983" s="377"/>
      <c r="D983" s="377"/>
      <c r="E983" s="140"/>
    </row>
    <row r="984">
      <c r="B984" s="139"/>
      <c r="C984" s="377"/>
      <c r="D984" s="377"/>
      <c r="E984" s="140"/>
    </row>
    <row r="985">
      <c r="B985" s="139"/>
      <c r="C985" s="377"/>
      <c r="D985" s="377"/>
      <c r="E985" s="140"/>
    </row>
    <row r="986">
      <c r="B986" s="139"/>
      <c r="C986" s="377"/>
      <c r="D986" s="377"/>
      <c r="E986" s="140"/>
    </row>
    <row r="987">
      <c r="B987" s="139"/>
      <c r="C987" s="377"/>
      <c r="D987" s="377"/>
      <c r="E987" s="140"/>
    </row>
    <row r="988">
      <c r="B988" s="139"/>
      <c r="C988" s="377"/>
      <c r="D988" s="377"/>
      <c r="E988" s="140"/>
    </row>
    <row r="989">
      <c r="B989" s="139"/>
      <c r="C989" s="377"/>
      <c r="D989" s="377"/>
      <c r="E989" s="140"/>
    </row>
    <row r="990">
      <c r="B990" s="139"/>
      <c r="C990" s="377"/>
      <c r="D990" s="377"/>
      <c r="E990" s="140"/>
    </row>
    <row r="991">
      <c r="B991" s="139"/>
      <c r="C991" s="377"/>
      <c r="D991" s="377"/>
      <c r="E991" s="140"/>
    </row>
    <row r="992">
      <c r="B992" s="139"/>
      <c r="C992" s="377"/>
      <c r="D992" s="377"/>
      <c r="E992" s="140"/>
    </row>
    <row r="993">
      <c r="B993" s="139"/>
      <c r="C993" s="377"/>
      <c r="D993" s="377"/>
      <c r="E993" s="140"/>
    </row>
    <row r="994">
      <c r="B994" s="139"/>
      <c r="C994" s="377"/>
      <c r="D994" s="377"/>
      <c r="E994" s="140"/>
    </row>
    <row r="995">
      <c r="B995" s="139"/>
      <c r="C995" s="377"/>
      <c r="D995" s="377"/>
      <c r="E995" s="140"/>
    </row>
    <row r="996">
      <c r="B996" s="139"/>
      <c r="C996" s="377"/>
      <c r="D996" s="377"/>
      <c r="E996" s="140"/>
    </row>
    <row r="997">
      <c r="B997" s="139"/>
      <c r="C997" s="377"/>
      <c r="D997" s="377"/>
      <c r="E997" s="140"/>
    </row>
    <row r="998">
      <c r="B998" s="139"/>
      <c r="C998" s="377"/>
      <c r="D998" s="377"/>
      <c r="E998" s="140"/>
    </row>
    <row r="999">
      <c r="B999" s="139"/>
      <c r="C999" s="377"/>
      <c r="D999" s="377"/>
      <c r="E999" s="140"/>
    </row>
    <row r="1000">
      <c r="B1000" s="139"/>
      <c r="C1000" s="377"/>
      <c r="D1000" s="377"/>
      <c r="E1000" s="140"/>
    </row>
    <row r="1001">
      <c r="B1001" s="139"/>
      <c r="C1001" s="377"/>
      <c r="D1001" s="377"/>
      <c r="E1001" s="140"/>
    </row>
    <row r="1002">
      <c r="B1002" s="139"/>
      <c r="C1002" s="377"/>
      <c r="D1002" s="377"/>
      <c r="E1002" s="140"/>
    </row>
  </sheetData>
  <mergeCells count="2">
    <mergeCell ref="L1:M1"/>
    <mergeCell ref="N1:O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B4"/>
    <hyperlink r:id="rId2" ref="C4"/>
    <hyperlink r:id="rId3" ref="K4"/>
    <hyperlink r:id="rId4" ref="B5"/>
    <hyperlink r:id="rId5" ref="C5"/>
    <hyperlink r:id="rId6" ref="B6"/>
    <hyperlink r:id="rId7" ref="C6"/>
    <hyperlink r:id="rId8" ref="B7"/>
    <hyperlink r:id="rId9" ref="C7"/>
    <hyperlink r:id="rId10" ref="B8"/>
    <hyperlink r:id="rId11" ref="C8"/>
    <hyperlink r:id="rId12" ref="B9"/>
    <hyperlink r:id="rId13" ref="C9"/>
    <hyperlink r:id="rId14" ref="B10"/>
    <hyperlink r:id="rId15" ref="C10"/>
    <hyperlink r:id="rId16" ref="B11"/>
    <hyperlink r:id="rId17" ref="B12"/>
    <hyperlink r:id="rId18" ref="C12"/>
    <hyperlink r:id="rId19" ref="B13"/>
    <hyperlink r:id="rId20" ref="C13"/>
    <hyperlink r:id="rId21" ref="B14"/>
    <hyperlink r:id="rId22" ref="C14"/>
    <hyperlink r:id="rId23" ref="B15"/>
    <hyperlink r:id="rId24" ref="C15"/>
    <hyperlink r:id="rId25" ref="B16"/>
    <hyperlink r:id="rId26" ref="C16"/>
    <hyperlink r:id="rId27" ref="B17"/>
    <hyperlink r:id="rId28" ref="C17"/>
    <hyperlink r:id="rId29" ref="B18"/>
    <hyperlink r:id="rId30" ref="B19"/>
    <hyperlink r:id="rId31" ref="C19"/>
    <hyperlink r:id="rId32" ref="B20"/>
    <hyperlink r:id="rId33" ref="C20"/>
    <hyperlink r:id="rId34" ref="B21"/>
    <hyperlink r:id="rId35" ref="C21"/>
    <hyperlink r:id="rId36" ref="B22"/>
    <hyperlink r:id="rId37" ref="C22"/>
    <hyperlink r:id="rId38" ref="B23"/>
    <hyperlink r:id="rId39" ref="C23"/>
    <hyperlink r:id="rId40" ref="B24"/>
    <hyperlink r:id="rId41" ref="C24"/>
    <hyperlink r:id="rId42" ref="B25"/>
    <hyperlink r:id="rId43" ref="C25"/>
    <hyperlink r:id="rId44" ref="B26"/>
    <hyperlink r:id="rId45" ref="C26"/>
    <hyperlink r:id="rId46" ref="B27"/>
    <hyperlink r:id="rId47" ref="C27"/>
    <hyperlink r:id="rId48" ref="B28"/>
    <hyperlink r:id="rId49" ref="C28"/>
    <hyperlink r:id="rId50" ref="B29"/>
    <hyperlink r:id="rId51" ref="C29"/>
    <hyperlink r:id="rId52" ref="B30"/>
    <hyperlink r:id="rId53" ref="C30"/>
    <hyperlink r:id="rId54" ref="B31"/>
    <hyperlink r:id="rId55" ref="C31"/>
    <hyperlink r:id="rId56" ref="B32"/>
    <hyperlink r:id="rId57" ref="C32"/>
    <hyperlink r:id="rId58" ref="B33"/>
    <hyperlink r:id="rId59" ref="C33"/>
    <hyperlink r:id="rId60" ref="B34"/>
    <hyperlink r:id="rId61" ref="C34"/>
    <hyperlink r:id="rId62" ref="B35"/>
    <hyperlink r:id="rId63" ref="C35"/>
    <hyperlink r:id="rId64" ref="B36"/>
    <hyperlink r:id="rId65" ref="C36"/>
    <hyperlink r:id="rId66" ref="B37"/>
    <hyperlink r:id="rId67" ref="C37"/>
    <hyperlink r:id="rId68" ref="B38"/>
    <hyperlink r:id="rId69" ref="C38"/>
    <hyperlink r:id="rId70" ref="B39"/>
    <hyperlink r:id="rId71" ref="C39"/>
    <hyperlink r:id="rId72" ref="B40"/>
    <hyperlink r:id="rId73" ref="C40"/>
    <hyperlink r:id="rId74" ref="B41"/>
    <hyperlink r:id="rId75" ref="C41"/>
    <hyperlink r:id="rId76" ref="B42"/>
    <hyperlink r:id="rId77" ref="C42"/>
    <hyperlink r:id="rId78" ref="B43"/>
    <hyperlink r:id="rId79" ref="B44"/>
    <hyperlink r:id="rId80" ref="C44"/>
    <hyperlink r:id="rId81" ref="B45"/>
    <hyperlink r:id="rId82" ref="C45"/>
    <hyperlink r:id="rId83" ref="B46"/>
    <hyperlink r:id="rId84" ref="C46"/>
    <hyperlink r:id="rId85" ref="B47"/>
    <hyperlink r:id="rId86" ref="C47"/>
    <hyperlink r:id="rId87" ref="B48"/>
    <hyperlink r:id="rId88" ref="C48"/>
    <hyperlink r:id="rId89" ref="B49"/>
    <hyperlink r:id="rId90" ref="B50"/>
    <hyperlink r:id="rId91" ref="C50"/>
    <hyperlink r:id="rId92" ref="B51"/>
    <hyperlink r:id="rId93" ref="C51"/>
    <hyperlink r:id="rId94" ref="B52"/>
    <hyperlink r:id="rId95" ref="C52"/>
    <hyperlink r:id="rId96" ref="B53"/>
    <hyperlink r:id="rId97" ref="C53"/>
    <hyperlink r:id="rId98" ref="B54"/>
    <hyperlink r:id="rId99" ref="C54"/>
    <hyperlink r:id="rId100" ref="B55"/>
    <hyperlink r:id="rId101" ref="C55"/>
    <hyperlink r:id="rId102" ref="B56"/>
    <hyperlink r:id="rId103" ref="C56"/>
    <hyperlink r:id="rId104" ref="B57"/>
    <hyperlink r:id="rId105" ref="C57"/>
    <hyperlink r:id="rId106" ref="B58"/>
    <hyperlink r:id="rId107" ref="C58"/>
    <hyperlink r:id="rId108" ref="B59"/>
    <hyperlink r:id="rId109" ref="C59"/>
    <hyperlink r:id="rId110" ref="B60"/>
    <hyperlink r:id="rId111" ref="C60"/>
    <hyperlink r:id="rId112" ref="B61"/>
    <hyperlink r:id="rId113" ref="C61"/>
    <hyperlink r:id="rId114" ref="B62"/>
    <hyperlink r:id="rId115" ref="C62"/>
    <hyperlink r:id="rId116" ref="B63"/>
    <hyperlink r:id="rId117" ref="C63"/>
    <hyperlink r:id="rId118" ref="B64"/>
    <hyperlink r:id="rId119" ref="C64"/>
    <hyperlink r:id="rId120" ref="B65"/>
    <hyperlink r:id="rId121" ref="C65"/>
    <hyperlink r:id="rId122" ref="B66"/>
    <hyperlink r:id="rId123" ref="C66"/>
    <hyperlink r:id="rId124" ref="B67"/>
    <hyperlink r:id="rId125" ref="C67"/>
    <hyperlink r:id="rId126" ref="B68"/>
    <hyperlink r:id="rId127" ref="C68"/>
    <hyperlink r:id="rId128" ref="B69"/>
    <hyperlink r:id="rId129" ref="B70"/>
    <hyperlink r:id="rId130" ref="C70"/>
    <hyperlink r:id="rId131" ref="B71"/>
    <hyperlink r:id="rId132" ref="C71"/>
    <hyperlink r:id="rId133" ref="B72"/>
    <hyperlink r:id="rId134" ref="C72"/>
    <hyperlink r:id="rId135" ref="B73"/>
    <hyperlink r:id="rId136" ref="C73"/>
    <hyperlink r:id="rId137" ref="B74"/>
    <hyperlink r:id="rId138" ref="C74"/>
    <hyperlink r:id="rId139" ref="B75"/>
    <hyperlink r:id="rId140" ref="C75"/>
    <hyperlink r:id="rId141" ref="B76"/>
    <hyperlink r:id="rId142" ref="C76"/>
    <hyperlink r:id="rId143" ref="B77"/>
    <hyperlink r:id="rId144" ref="C77"/>
    <hyperlink r:id="rId145" ref="B78"/>
    <hyperlink r:id="rId146" ref="C78"/>
    <hyperlink r:id="rId147" ref="B79"/>
    <hyperlink r:id="rId148" ref="C79"/>
    <hyperlink r:id="rId149" ref="B80"/>
    <hyperlink r:id="rId150" ref="C80"/>
    <hyperlink r:id="rId151" ref="B81"/>
    <hyperlink r:id="rId152" ref="C81"/>
    <hyperlink r:id="rId153" ref="B82"/>
    <hyperlink r:id="rId154" ref="C82"/>
    <hyperlink r:id="rId155" ref="B83"/>
    <hyperlink r:id="rId156" ref="C83"/>
    <hyperlink r:id="rId157" ref="B84"/>
    <hyperlink r:id="rId158" ref="C84"/>
    <hyperlink r:id="rId159" ref="B85"/>
    <hyperlink r:id="rId160" ref="C85"/>
    <hyperlink r:id="rId161" ref="B86"/>
    <hyperlink r:id="rId162" ref="C86"/>
    <hyperlink r:id="rId163" ref="B87"/>
    <hyperlink r:id="rId164" ref="C87"/>
    <hyperlink r:id="rId165" ref="B88"/>
    <hyperlink r:id="rId166" ref="C88"/>
    <hyperlink r:id="rId167" ref="B89"/>
    <hyperlink r:id="rId168" ref="C89"/>
    <hyperlink r:id="rId169" ref="B90"/>
    <hyperlink r:id="rId170" ref="C90"/>
    <hyperlink r:id="rId171" ref="B91"/>
    <hyperlink r:id="rId172" ref="C91"/>
    <hyperlink r:id="rId173" ref="B92"/>
    <hyperlink r:id="rId174" ref="C92"/>
    <hyperlink r:id="rId175" ref="B93"/>
    <hyperlink r:id="rId176" ref="C93"/>
    <hyperlink r:id="rId177" ref="B94"/>
    <hyperlink r:id="rId178" ref="C94"/>
    <hyperlink r:id="rId179" ref="B95"/>
    <hyperlink r:id="rId180" ref="C95"/>
    <hyperlink r:id="rId181" ref="B96"/>
    <hyperlink r:id="rId182" ref="C96"/>
    <hyperlink r:id="rId183" ref="B97"/>
    <hyperlink r:id="rId184" ref="C97"/>
    <hyperlink r:id="rId185" ref="B98"/>
    <hyperlink r:id="rId186" ref="C98"/>
    <hyperlink r:id="rId187" ref="B99"/>
    <hyperlink r:id="rId188" ref="C99"/>
    <hyperlink r:id="rId189" ref="B100"/>
    <hyperlink r:id="rId190" ref="C100"/>
    <hyperlink r:id="rId191" ref="B101"/>
    <hyperlink r:id="rId192" ref="C101"/>
    <hyperlink r:id="rId193" ref="B102"/>
    <hyperlink r:id="rId194" ref="C102"/>
    <hyperlink r:id="rId195" ref="B103"/>
    <hyperlink r:id="rId196" ref="C103"/>
    <hyperlink r:id="rId197" ref="B105"/>
    <hyperlink r:id="rId198" ref="C105"/>
    <hyperlink r:id="rId199" ref="B106"/>
    <hyperlink r:id="rId200" ref="C106"/>
    <hyperlink r:id="rId201" ref="B107"/>
    <hyperlink r:id="rId202" ref="C107"/>
    <hyperlink r:id="rId203" ref="B108"/>
    <hyperlink r:id="rId204" ref="C108"/>
    <hyperlink r:id="rId205" ref="B109"/>
    <hyperlink r:id="rId206" ref="C109"/>
    <hyperlink r:id="rId207" ref="B110"/>
    <hyperlink r:id="rId208" ref="C110"/>
    <hyperlink r:id="rId209" ref="B111"/>
    <hyperlink r:id="rId210" ref="C111"/>
    <hyperlink r:id="rId211" ref="B112"/>
    <hyperlink r:id="rId212" ref="C112"/>
    <hyperlink r:id="rId213" ref="B113"/>
    <hyperlink r:id="rId214" ref="C113"/>
    <hyperlink r:id="rId215" ref="B114"/>
    <hyperlink r:id="rId216" ref="C114"/>
    <hyperlink r:id="rId217" ref="B115"/>
    <hyperlink r:id="rId218" ref="C115"/>
    <hyperlink r:id="rId219" ref="B116"/>
    <hyperlink r:id="rId220" ref="C116"/>
    <hyperlink r:id="rId221" ref="B117"/>
    <hyperlink r:id="rId222" ref="C117"/>
    <hyperlink r:id="rId223" ref="B118"/>
    <hyperlink r:id="rId224" ref="C118"/>
    <hyperlink r:id="rId225" ref="B119"/>
    <hyperlink r:id="rId226" ref="C119"/>
    <hyperlink r:id="rId227" ref="B120"/>
    <hyperlink r:id="rId228" ref="C120"/>
    <hyperlink r:id="rId229" ref="B121"/>
    <hyperlink r:id="rId230" ref="C121"/>
    <hyperlink r:id="rId231" ref="B122"/>
    <hyperlink r:id="rId232" ref="C122"/>
    <hyperlink r:id="rId233" ref="B123"/>
    <hyperlink r:id="rId234" ref="C123"/>
    <hyperlink r:id="rId235" ref="B124"/>
    <hyperlink r:id="rId236" ref="C124"/>
    <hyperlink r:id="rId237" ref="B125"/>
    <hyperlink r:id="rId238" ref="C125"/>
    <hyperlink r:id="rId239" ref="B126"/>
    <hyperlink r:id="rId240" ref="C126"/>
    <hyperlink r:id="rId241" ref="B127"/>
    <hyperlink r:id="rId242" ref="C127"/>
    <hyperlink r:id="rId243" ref="B128"/>
    <hyperlink r:id="rId244" ref="C128"/>
    <hyperlink r:id="rId245" ref="B129"/>
    <hyperlink r:id="rId246" ref="C129"/>
    <hyperlink r:id="rId247" ref="B130"/>
    <hyperlink r:id="rId248" ref="C130"/>
    <hyperlink r:id="rId249" ref="B131"/>
    <hyperlink r:id="rId250" ref="C131"/>
    <hyperlink r:id="rId251" ref="B132"/>
    <hyperlink r:id="rId252" ref="C132"/>
    <hyperlink r:id="rId253" ref="B133"/>
    <hyperlink r:id="rId254" ref="C133"/>
    <hyperlink r:id="rId255" ref="B134"/>
    <hyperlink r:id="rId256" ref="C134"/>
    <hyperlink r:id="rId257" ref="B135"/>
    <hyperlink r:id="rId258" ref="C135"/>
    <hyperlink r:id="rId259" ref="B136"/>
    <hyperlink r:id="rId260" ref="C136"/>
    <hyperlink r:id="rId261" ref="B137"/>
    <hyperlink r:id="rId262" ref="C137"/>
    <hyperlink r:id="rId263" ref="B138"/>
    <hyperlink r:id="rId264" ref="C138"/>
    <hyperlink r:id="rId265" ref="B139"/>
    <hyperlink r:id="rId266" ref="C139"/>
    <hyperlink r:id="rId267" ref="B140"/>
    <hyperlink r:id="rId268" ref="C140"/>
    <hyperlink r:id="rId269" ref="B141"/>
    <hyperlink r:id="rId270" ref="C141"/>
    <hyperlink r:id="rId271" ref="B142"/>
    <hyperlink r:id="rId272" ref="C142"/>
    <hyperlink r:id="rId273" ref="B143"/>
    <hyperlink r:id="rId274" ref="C143"/>
    <hyperlink r:id="rId275" ref="B144"/>
  </hyperlinks>
  <drawing r:id="rId276"/>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12.0"/>
    <col customWidth="1" min="2" max="2" width="9.0"/>
    <col customWidth="1" min="3" max="3" width="9.14"/>
    <col customWidth="1" min="4" max="4" width="15.86"/>
    <col customWidth="1" min="5" max="5" width="16.57"/>
    <col customWidth="1" min="6" max="6" width="9.43"/>
  </cols>
  <sheetData>
    <row r="1">
      <c r="A1" s="739" t="s">
        <v>0</v>
      </c>
      <c r="B1" s="740" t="s">
        <v>1</v>
      </c>
      <c r="C1" s="740" t="s">
        <v>2</v>
      </c>
      <c r="D1" s="740" t="s">
        <v>2</v>
      </c>
      <c r="E1" s="740"/>
      <c r="F1" s="741"/>
      <c r="G1" s="783" t="s">
        <v>1577</v>
      </c>
      <c r="H1" s="742" t="s">
        <v>4</v>
      </c>
      <c r="I1" s="742" t="s">
        <v>5</v>
      </c>
      <c r="J1" s="742" t="s">
        <v>6</v>
      </c>
      <c r="K1" s="742" t="s">
        <v>7</v>
      </c>
      <c r="L1" s="1" t="s">
        <v>8</v>
      </c>
      <c r="M1" s="743" t="s">
        <v>9</v>
      </c>
      <c r="O1" s="743" t="s">
        <v>14</v>
      </c>
      <c r="P1" s="751"/>
      <c r="Q1" s="741"/>
      <c r="R1" s="741"/>
      <c r="S1" s="742"/>
      <c r="T1" s="665"/>
      <c r="U1" s="665"/>
      <c r="V1" s="665"/>
      <c r="W1" s="665"/>
      <c r="X1" s="665"/>
      <c r="Y1" s="665"/>
      <c r="Z1" s="665"/>
      <c r="AA1" s="665"/>
      <c r="AB1" s="665"/>
      <c r="AC1" s="665"/>
      <c r="AD1" s="665"/>
      <c r="AE1" s="665"/>
    </row>
    <row r="2">
      <c r="A2" s="745"/>
      <c r="B2" s="746"/>
      <c r="C2" s="784"/>
      <c r="D2" s="746"/>
      <c r="E2" s="740"/>
      <c r="F2" s="741"/>
      <c r="G2" s="785"/>
      <c r="H2" s="745"/>
      <c r="I2" s="754"/>
      <c r="J2" s="749">
        <v>43479.0</v>
      </c>
      <c r="K2" s="749">
        <v>43583.0</v>
      </c>
      <c r="L2" s="23"/>
      <c r="M2" s="752">
        <f>CountIFS($F:$F,"=Dem",$A:$A,"=House")</f>
        <v>57</v>
      </c>
      <c r="N2" s="755">
        <f>CountIFS($F:$F,"=Rep",$A:$A,"=House")</f>
        <v>41</v>
      </c>
      <c r="O2" s="752">
        <f>CountIFS($F:$F,"=Dem",$A:$A,"=Senate")</f>
        <v>27</v>
      </c>
      <c r="P2" s="755">
        <f>CountIFS($F:$F,"=Rep",$A:$A,"=Senate")</f>
        <v>21</v>
      </c>
      <c r="Q2" s="741"/>
      <c r="R2" s="741"/>
      <c r="S2" s="742"/>
      <c r="T2" s="665"/>
      <c r="U2" s="665"/>
      <c r="V2" s="665"/>
      <c r="W2" s="665"/>
      <c r="X2" s="665"/>
      <c r="Y2" s="665"/>
      <c r="Z2" s="665"/>
      <c r="AA2" s="665"/>
      <c r="AB2" s="665"/>
      <c r="AC2" s="665"/>
      <c r="AD2" s="665"/>
      <c r="AE2" s="665"/>
    </row>
    <row r="3">
      <c r="A3" s="742" t="s">
        <v>29</v>
      </c>
      <c r="B3" s="740" t="s">
        <v>30</v>
      </c>
      <c r="C3" s="2" t="s">
        <v>13586</v>
      </c>
      <c r="D3" s="740" t="s">
        <v>31</v>
      </c>
      <c r="E3" s="786" t="s">
        <v>32</v>
      </c>
      <c r="F3" s="742" t="s">
        <v>33</v>
      </c>
      <c r="G3" s="783" t="s">
        <v>10</v>
      </c>
      <c r="H3" s="739" t="s">
        <v>34</v>
      </c>
      <c r="I3" s="739" t="s">
        <v>34</v>
      </c>
      <c r="J3" s="739" t="s">
        <v>34</v>
      </c>
      <c r="K3" s="739" t="s">
        <v>34</v>
      </c>
      <c r="L3" s="739" t="s">
        <v>35</v>
      </c>
      <c r="M3" s="759" t="s">
        <v>36</v>
      </c>
      <c r="N3" s="759" t="s">
        <v>37</v>
      </c>
      <c r="O3" s="759" t="s">
        <v>38</v>
      </c>
      <c r="P3" s="761" t="s">
        <v>39</v>
      </c>
      <c r="Q3" s="762" t="s">
        <v>40</v>
      </c>
      <c r="R3" s="762" t="s">
        <v>41</v>
      </c>
      <c r="S3" s="764" t="s">
        <v>42</v>
      </c>
      <c r="T3" s="665"/>
      <c r="U3" s="665"/>
      <c r="V3" s="665"/>
      <c r="W3" s="665"/>
      <c r="X3" s="665"/>
      <c r="Y3" s="665"/>
      <c r="Z3" s="665"/>
      <c r="AA3" s="665"/>
      <c r="AB3" s="665"/>
      <c r="AC3" s="665"/>
      <c r="AD3" s="665"/>
      <c r="AE3" s="665"/>
    </row>
    <row r="4">
      <c r="A4" s="14" t="s">
        <v>44</v>
      </c>
      <c r="B4" s="35">
        <v>1.0</v>
      </c>
      <c r="C4" s="74">
        <v>1.0</v>
      </c>
      <c r="D4" s="35" t="s">
        <v>2525</v>
      </c>
      <c r="E4" s="35" t="s">
        <v>13589</v>
      </c>
      <c r="F4" s="36" t="s">
        <v>49</v>
      </c>
      <c r="G4" s="237"/>
      <c r="H4" s="259" t="s">
        <v>13590</v>
      </c>
      <c r="I4" s="787" t="s">
        <v>626</v>
      </c>
      <c r="J4" s="787" t="s">
        <v>13592</v>
      </c>
      <c r="K4" s="172"/>
      <c r="L4" s="172"/>
      <c r="N4" t="str">
        <f t="shared" ref="N4:N101" si="1">concatenate(lower(D4),".",lower(E4),"@leg.wa.gov")</f>
        <v>derek.stanford@leg.wa.gov</v>
      </c>
    </row>
    <row r="5">
      <c r="A5" s="14" t="s">
        <v>44</v>
      </c>
      <c r="C5" s="74">
        <v>2.0</v>
      </c>
      <c r="D5" s="35" t="s">
        <v>311</v>
      </c>
      <c r="E5" s="35" t="s">
        <v>13595</v>
      </c>
      <c r="F5" s="36" t="s">
        <v>49</v>
      </c>
      <c r="G5" s="237"/>
      <c r="H5" s="259" t="s">
        <v>13596</v>
      </c>
      <c r="I5" s="787" t="s">
        <v>13597</v>
      </c>
      <c r="J5" s="787" t="s">
        <v>578</v>
      </c>
      <c r="K5" s="172"/>
      <c r="L5" s="172"/>
      <c r="N5" t="str">
        <f t="shared" si="1"/>
        <v>shelley.kloba@leg.wa.gov</v>
      </c>
    </row>
    <row r="6">
      <c r="A6" s="14" t="s">
        <v>44</v>
      </c>
      <c r="B6" s="35">
        <v>2.0</v>
      </c>
      <c r="C6" s="74">
        <v>1.0</v>
      </c>
      <c r="D6" s="35" t="s">
        <v>80</v>
      </c>
      <c r="E6" s="35" t="s">
        <v>13599</v>
      </c>
      <c r="F6" s="51" t="s">
        <v>53</v>
      </c>
      <c r="G6" s="237"/>
      <c r="H6" s="216"/>
      <c r="I6" s="216"/>
      <c r="J6" s="172"/>
      <c r="K6" s="172"/>
      <c r="L6" s="172"/>
      <c r="N6" t="str">
        <f t="shared" si="1"/>
        <v>andrew.barkis@leg.wa.gov</v>
      </c>
    </row>
    <row r="7">
      <c r="A7" s="14" t="s">
        <v>44</v>
      </c>
      <c r="C7" s="74">
        <v>2.0</v>
      </c>
      <c r="D7" s="35" t="s">
        <v>13600</v>
      </c>
      <c r="E7" s="35" t="s">
        <v>764</v>
      </c>
      <c r="F7" s="51" t="s">
        <v>53</v>
      </c>
      <c r="G7" s="245" t="s">
        <v>498</v>
      </c>
      <c r="H7" s="172"/>
      <c r="I7" s="216"/>
      <c r="J7" s="172"/>
      <c r="K7" s="172"/>
      <c r="L7" s="172"/>
      <c r="N7" t="str">
        <f t="shared" si="1"/>
        <v>j.t..wilcox@leg.wa.gov</v>
      </c>
    </row>
    <row r="8">
      <c r="A8" s="14" t="s">
        <v>44</v>
      </c>
      <c r="B8" s="35">
        <v>3.0</v>
      </c>
      <c r="C8" s="74">
        <v>1.0</v>
      </c>
      <c r="D8" s="35" t="s">
        <v>1161</v>
      </c>
      <c r="E8" s="35" t="s">
        <v>13605</v>
      </c>
      <c r="F8" s="36" t="s">
        <v>49</v>
      </c>
      <c r="G8" s="245" t="s">
        <v>1188</v>
      </c>
      <c r="H8" s="787" t="s">
        <v>13606</v>
      </c>
      <c r="I8" s="787" t="s">
        <v>13607</v>
      </c>
      <c r="J8" s="787" t="s">
        <v>780</v>
      </c>
      <c r="K8" s="787" t="s">
        <v>578</v>
      </c>
      <c r="L8" s="172"/>
      <c r="N8" t="str">
        <f t="shared" si="1"/>
        <v>marcus.riccelli@leg.wa.gov</v>
      </c>
    </row>
    <row r="9">
      <c r="A9" s="14" t="s">
        <v>44</v>
      </c>
      <c r="C9" s="74">
        <v>2.0</v>
      </c>
      <c r="D9" s="35" t="s">
        <v>13608</v>
      </c>
      <c r="E9" s="35" t="s">
        <v>13609</v>
      </c>
      <c r="F9" s="36" t="s">
        <v>49</v>
      </c>
      <c r="G9" s="237"/>
      <c r="H9" s="259" t="s">
        <v>662</v>
      </c>
      <c r="I9" s="787" t="s">
        <v>13610</v>
      </c>
      <c r="J9" s="172"/>
      <c r="K9" s="172"/>
      <c r="L9" s="172"/>
      <c r="N9" t="str">
        <f t="shared" si="1"/>
        <v>timm.ormsby@leg.wa.gov</v>
      </c>
    </row>
    <row r="10">
      <c r="A10" s="14" t="s">
        <v>44</v>
      </c>
      <c r="B10" s="35">
        <v>4.0</v>
      </c>
      <c r="C10" s="74">
        <v>1.0</v>
      </c>
      <c r="D10" s="35" t="s">
        <v>419</v>
      </c>
      <c r="E10" s="35" t="s">
        <v>13611</v>
      </c>
      <c r="F10" s="51" t="s">
        <v>53</v>
      </c>
      <c r="G10" s="237"/>
      <c r="H10" s="788"/>
      <c r="I10" s="216"/>
      <c r="J10" s="172"/>
      <c r="K10" s="172"/>
      <c r="L10" s="172"/>
      <c r="N10" t="str">
        <f t="shared" si="1"/>
        <v>bob.mccaslin@leg.wa.gov</v>
      </c>
    </row>
    <row r="11">
      <c r="A11" s="14" t="s">
        <v>44</v>
      </c>
      <c r="C11" s="74">
        <v>2.0</v>
      </c>
      <c r="D11" s="35" t="s">
        <v>163</v>
      </c>
      <c r="E11" s="35" t="s">
        <v>9599</v>
      </c>
      <c r="F11" s="51" t="s">
        <v>53</v>
      </c>
      <c r="G11" s="237"/>
      <c r="H11" s="789"/>
      <c r="I11" s="216"/>
      <c r="J11" s="172"/>
      <c r="K11" s="172"/>
      <c r="L11" s="172"/>
      <c r="N11" t="str">
        <f t="shared" si="1"/>
        <v>matt.shea@leg.wa.gov</v>
      </c>
    </row>
    <row r="12">
      <c r="A12" s="14" t="s">
        <v>44</v>
      </c>
      <c r="B12" s="35">
        <v>5.0</v>
      </c>
      <c r="C12" s="74">
        <v>1.0</v>
      </c>
      <c r="D12" s="35" t="s">
        <v>325</v>
      </c>
      <c r="E12" s="35" t="s">
        <v>1610</v>
      </c>
      <c r="F12" s="36" t="s">
        <v>49</v>
      </c>
      <c r="G12" s="237"/>
      <c r="H12" s="787" t="s">
        <v>13613</v>
      </c>
      <c r="I12" s="787" t="s">
        <v>13614</v>
      </c>
      <c r="J12" s="787" t="s">
        <v>578</v>
      </c>
      <c r="K12" s="172"/>
      <c r="L12" s="172"/>
      <c r="N12" t="str">
        <f t="shared" si="1"/>
        <v>bill.ramos@leg.wa.gov</v>
      </c>
    </row>
    <row r="13">
      <c r="A13" s="14" t="s">
        <v>44</v>
      </c>
      <c r="C13" s="74">
        <v>2.0</v>
      </c>
      <c r="D13" s="35" t="s">
        <v>432</v>
      </c>
      <c r="E13" s="35" t="s">
        <v>13615</v>
      </c>
      <c r="F13" s="36" t="s">
        <v>49</v>
      </c>
      <c r="G13" s="237"/>
      <c r="H13" s="259" t="s">
        <v>13616</v>
      </c>
      <c r="I13" s="787" t="s">
        <v>13606</v>
      </c>
      <c r="J13" s="787" t="s">
        <v>515</v>
      </c>
      <c r="K13" s="172"/>
      <c r="L13" s="172"/>
      <c r="N13" t="str">
        <f t="shared" si="1"/>
        <v>lisa.callan@leg.wa.gov</v>
      </c>
    </row>
    <row r="14">
      <c r="A14" s="14" t="s">
        <v>44</v>
      </c>
      <c r="B14" s="35">
        <v>6.0</v>
      </c>
      <c r="C14" s="74">
        <v>1.0</v>
      </c>
      <c r="D14" s="35" t="s">
        <v>157</v>
      </c>
      <c r="E14" s="35" t="s">
        <v>13618</v>
      </c>
      <c r="F14" s="51" t="s">
        <v>53</v>
      </c>
      <c r="G14" s="237"/>
      <c r="H14" s="789"/>
      <c r="I14" s="216"/>
      <c r="J14" s="172"/>
      <c r="K14" s="172"/>
      <c r="L14" s="172"/>
      <c r="N14" t="str">
        <f t="shared" si="1"/>
        <v>mike.volz@leg.wa.gov</v>
      </c>
    </row>
    <row r="15">
      <c r="A15" s="14" t="s">
        <v>44</v>
      </c>
      <c r="C15" s="74">
        <v>2.0</v>
      </c>
      <c r="D15" s="38" t="s">
        <v>13619</v>
      </c>
      <c r="E15" s="38" t="s">
        <v>5222</v>
      </c>
      <c r="F15" s="51" t="s">
        <v>53</v>
      </c>
      <c r="G15" s="237"/>
      <c r="H15" s="788"/>
      <c r="I15" s="216"/>
      <c r="J15" s="172"/>
      <c r="K15" s="172"/>
      <c r="L15" s="172"/>
      <c r="N15" t="str">
        <f t="shared" si="1"/>
        <v>jenny.graham@leg.wa.gov</v>
      </c>
    </row>
    <row r="16">
      <c r="A16" s="14" t="s">
        <v>44</v>
      </c>
      <c r="B16" s="35">
        <v>7.0</v>
      </c>
      <c r="C16" s="74">
        <v>1.0</v>
      </c>
      <c r="D16" s="35" t="s">
        <v>13620</v>
      </c>
      <c r="E16" s="35" t="s">
        <v>13621</v>
      </c>
      <c r="F16" s="51" t="s">
        <v>53</v>
      </c>
      <c r="G16" s="237"/>
      <c r="H16" s="172"/>
      <c r="I16" s="216"/>
      <c r="J16" s="172"/>
      <c r="K16" s="172"/>
      <c r="L16" s="172"/>
      <c r="N16" t="str">
        <f t="shared" si="1"/>
        <v>jacquelin.maycumber@leg.wa.gov</v>
      </c>
    </row>
    <row r="17">
      <c r="A17" s="14" t="s">
        <v>44</v>
      </c>
      <c r="C17" s="74">
        <v>2.0</v>
      </c>
      <c r="D17" s="35" t="s">
        <v>28</v>
      </c>
      <c r="E17" s="35" t="s">
        <v>13622</v>
      </c>
      <c r="F17" s="51" t="s">
        <v>53</v>
      </c>
      <c r="G17" s="237"/>
      <c r="H17" s="172"/>
      <c r="I17" s="216"/>
      <c r="J17" s="172"/>
      <c r="K17" s="172"/>
      <c r="L17" s="172"/>
      <c r="N17" t="str">
        <f t="shared" si="1"/>
        <v>joel.kretz@leg.wa.gov</v>
      </c>
    </row>
    <row r="18">
      <c r="A18" s="14" t="s">
        <v>44</v>
      </c>
      <c r="B18" s="35">
        <v>8.0</v>
      </c>
      <c r="C18" s="74">
        <v>1.0</v>
      </c>
      <c r="D18" s="35" t="s">
        <v>2323</v>
      </c>
      <c r="E18" s="35" t="s">
        <v>13627</v>
      </c>
      <c r="F18" s="51" t="s">
        <v>53</v>
      </c>
      <c r="G18" s="237"/>
      <c r="H18" s="789"/>
      <c r="I18" s="216"/>
      <c r="J18" s="172"/>
      <c r="K18" s="172"/>
      <c r="L18" s="172"/>
      <c r="N18" t="str">
        <f t="shared" si="1"/>
        <v>brad.klippert@leg.wa.gov</v>
      </c>
    </row>
    <row r="19">
      <c r="A19" s="14" t="s">
        <v>44</v>
      </c>
      <c r="C19" s="74">
        <v>2.0</v>
      </c>
      <c r="D19" s="35" t="s">
        <v>163</v>
      </c>
      <c r="E19" s="35" t="s">
        <v>13628</v>
      </c>
      <c r="F19" s="51" t="s">
        <v>53</v>
      </c>
      <c r="G19" s="237"/>
      <c r="H19" s="216"/>
      <c r="I19" s="216"/>
      <c r="J19" s="172"/>
      <c r="K19" s="172"/>
      <c r="L19" s="172"/>
      <c r="N19" t="str">
        <f t="shared" si="1"/>
        <v>matt.boehnke@leg.wa.gov</v>
      </c>
    </row>
    <row r="20">
      <c r="A20" s="14" t="s">
        <v>44</v>
      </c>
      <c r="B20" s="35">
        <v>9.0</v>
      </c>
      <c r="C20" s="74">
        <v>1.0</v>
      </c>
      <c r="D20" s="35" t="s">
        <v>514</v>
      </c>
      <c r="E20" s="35" t="s">
        <v>13633</v>
      </c>
      <c r="F20" s="51" t="s">
        <v>53</v>
      </c>
      <c r="G20" s="237"/>
      <c r="H20" s="789"/>
      <c r="I20" s="216"/>
      <c r="J20" s="172"/>
      <c r="K20" s="172"/>
      <c r="L20" s="172"/>
      <c r="N20" t="str">
        <f t="shared" si="1"/>
        <v>mary.dye@leg.wa.gov</v>
      </c>
    </row>
    <row r="21">
      <c r="A21" s="14" t="s">
        <v>44</v>
      </c>
      <c r="C21" s="74">
        <v>2.0</v>
      </c>
      <c r="D21" s="35" t="s">
        <v>622</v>
      </c>
      <c r="E21" s="35" t="s">
        <v>13637</v>
      </c>
      <c r="F21" s="51" t="s">
        <v>53</v>
      </c>
      <c r="G21" s="237"/>
      <c r="H21" s="789"/>
      <c r="I21" s="216"/>
      <c r="J21" s="172"/>
      <c r="K21" s="172"/>
      <c r="L21" s="172"/>
      <c r="N21" t="str">
        <f t="shared" si="1"/>
        <v>joe.schmick@leg.wa.gov</v>
      </c>
    </row>
    <row r="22">
      <c r="A22" s="14" t="s">
        <v>44</v>
      </c>
      <c r="B22" s="35">
        <v>10.0</v>
      </c>
      <c r="C22" s="74">
        <v>1.0</v>
      </c>
      <c r="D22" s="35" t="s">
        <v>2333</v>
      </c>
      <c r="E22" s="35" t="s">
        <v>1451</v>
      </c>
      <c r="F22" s="51" t="s">
        <v>53</v>
      </c>
      <c r="G22" s="237"/>
      <c r="H22" s="789"/>
      <c r="I22" s="216"/>
      <c r="J22" s="172"/>
      <c r="K22" s="172"/>
      <c r="L22" s="172"/>
      <c r="N22" t="str">
        <f t="shared" si="1"/>
        <v>norma.smith@leg.wa.gov</v>
      </c>
    </row>
    <row r="23">
      <c r="A23" s="14" t="s">
        <v>44</v>
      </c>
      <c r="C23" s="74">
        <v>2.0</v>
      </c>
      <c r="D23" s="35" t="s">
        <v>76</v>
      </c>
      <c r="E23" s="35" t="s">
        <v>679</v>
      </c>
      <c r="F23" s="36" t="s">
        <v>49</v>
      </c>
      <c r="G23" s="237"/>
      <c r="H23" s="787" t="s">
        <v>13645</v>
      </c>
      <c r="I23" s="787" t="s">
        <v>13613</v>
      </c>
      <c r="J23" s="787" t="s">
        <v>578</v>
      </c>
      <c r="K23" s="172"/>
      <c r="L23" s="172"/>
      <c r="N23" t="str">
        <f t="shared" si="1"/>
        <v>dave.paul@leg.wa.gov</v>
      </c>
    </row>
    <row r="24">
      <c r="A24" s="14" t="s">
        <v>44</v>
      </c>
      <c r="B24" s="35">
        <v>11.0</v>
      </c>
      <c r="C24" s="74">
        <v>1.0</v>
      </c>
      <c r="D24" s="35" t="s">
        <v>161</v>
      </c>
      <c r="E24" s="35" t="s">
        <v>13656</v>
      </c>
      <c r="F24" s="36" t="s">
        <v>49</v>
      </c>
      <c r="G24" s="237"/>
      <c r="H24" s="259" t="s">
        <v>13657</v>
      </c>
      <c r="I24" s="787" t="s">
        <v>626</v>
      </c>
      <c r="J24" s="787" t="s">
        <v>13659</v>
      </c>
      <c r="K24" s="172"/>
      <c r="L24" s="172"/>
      <c r="N24" t="str">
        <f t="shared" si="1"/>
        <v>zack.hudgins@leg.wa.gov</v>
      </c>
    </row>
    <row r="25">
      <c r="A25" s="14" t="s">
        <v>44</v>
      </c>
      <c r="C25" s="74">
        <v>2.0</v>
      </c>
      <c r="D25" s="35" t="s">
        <v>55</v>
      </c>
      <c r="E25" s="35" t="s">
        <v>5179</v>
      </c>
      <c r="F25" s="36" t="s">
        <v>49</v>
      </c>
      <c r="G25" s="237"/>
      <c r="H25" s="170" t="s">
        <v>1024</v>
      </c>
      <c r="I25" s="170" t="s">
        <v>13613</v>
      </c>
      <c r="J25" s="179" t="s">
        <v>515</v>
      </c>
      <c r="K25" s="179" t="s">
        <v>780</v>
      </c>
      <c r="L25" s="172"/>
      <c r="N25" t="str">
        <f t="shared" si="1"/>
        <v>steve.bergquist@leg.wa.gov</v>
      </c>
    </row>
    <row r="26">
      <c r="A26" s="14" t="s">
        <v>44</v>
      </c>
      <c r="B26" s="35">
        <v>12.0</v>
      </c>
      <c r="C26" s="74">
        <v>1.0</v>
      </c>
      <c r="D26" s="35" t="s">
        <v>1617</v>
      </c>
      <c r="E26" s="35" t="s">
        <v>13667</v>
      </c>
      <c r="F26" s="51" t="s">
        <v>53</v>
      </c>
      <c r="G26" s="237"/>
      <c r="H26" s="172"/>
      <c r="I26" s="216"/>
      <c r="J26" s="172"/>
      <c r="K26" s="172"/>
      <c r="L26" s="172"/>
      <c r="N26" t="str">
        <f t="shared" si="1"/>
        <v>keith.goehner@leg.wa.gov</v>
      </c>
    </row>
    <row r="27">
      <c r="A27" s="14" t="s">
        <v>44</v>
      </c>
      <c r="C27" s="74">
        <v>2.0</v>
      </c>
      <c r="D27" s="35" t="s">
        <v>157</v>
      </c>
      <c r="E27" s="35" t="s">
        <v>1216</v>
      </c>
      <c r="F27" s="51" t="s">
        <v>53</v>
      </c>
      <c r="G27" s="237"/>
      <c r="H27" s="789"/>
      <c r="I27" s="216"/>
      <c r="J27" s="172"/>
      <c r="K27" s="172"/>
      <c r="L27" s="172"/>
      <c r="N27" t="str">
        <f t="shared" si="1"/>
        <v>mike.steele@leg.wa.gov</v>
      </c>
    </row>
    <row r="28">
      <c r="A28" s="14" t="s">
        <v>44</v>
      </c>
      <c r="B28" s="35">
        <v>13.0</v>
      </c>
      <c r="C28" s="74">
        <v>1.0</v>
      </c>
      <c r="D28" s="35" t="s">
        <v>338</v>
      </c>
      <c r="E28" s="35" t="s">
        <v>13682</v>
      </c>
      <c r="F28" s="51" t="s">
        <v>53</v>
      </c>
      <c r="G28" s="237"/>
      <c r="H28" s="172"/>
      <c r="I28" s="216"/>
      <c r="J28" s="172"/>
      <c r="K28" s="172"/>
      <c r="L28" s="172"/>
      <c r="N28" t="str">
        <f t="shared" si="1"/>
        <v>tom.dent@leg.wa.gov</v>
      </c>
    </row>
    <row r="29">
      <c r="A29" s="14" t="s">
        <v>44</v>
      </c>
      <c r="C29" s="74">
        <v>2.0</v>
      </c>
      <c r="D29" s="35" t="s">
        <v>163</v>
      </c>
      <c r="E29" s="35" t="s">
        <v>13686</v>
      </c>
      <c r="F29" s="51" t="s">
        <v>53</v>
      </c>
      <c r="G29" s="237"/>
      <c r="H29" s="787" t="s">
        <v>13687</v>
      </c>
      <c r="I29" s="216"/>
      <c r="J29" s="172"/>
      <c r="K29" s="172"/>
      <c r="L29" s="172"/>
      <c r="N29" t="str">
        <f t="shared" si="1"/>
        <v>matt.manweller@leg.wa.gov</v>
      </c>
    </row>
    <row r="30">
      <c r="A30" s="14" t="s">
        <v>44</v>
      </c>
      <c r="B30" s="35">
        <v>14.0</v>
      </c>
      <c r="C30" s="74">
        <v>1.0</v>
      </c>
      <c r="D30" s="35" t="s">
        <v>173</v>
      </c>
      <c r="E30" s="35" t="s">
        <v>13690</v>
      </c>
      <c r="F30" s="51" t="s">
        <v>53</v>
      </c>
      <c r="G30" s="237"/>
      <c r="H30" s="788"/>
      <c r="I30" s="216"/>
      <c r="J30" s="172"/>
      <c r="K30" s="172"/>
      <c r="L30" s="172"/>
      <c r="N30" t="str">
        <f t="shared" si="1"/>
        <v>chris.corry@leg.wa.gov</v>
      </c>
    </row>
    <row r="31">
      <c r="A31" s="14" t="s">
        <v>44</v>
      </c>
      <c r="C31" s="74">
        <v>2.0</v>
      </c>
      <c r="D31" s="35" t="s">
        <v>6130</v>
      </c>
      <c r="E31" s="35" t="s">
        <v>13691</v>
      </c>
      <c r="F31" s="51" t="s">
        <v>53</v>
      </c>
      <c r="G31" s="237"/>
      <c r="H31" s="789"/>
      <c r="I31" s="216"/>
      <c r="J31" s="172"/>
      <c r="K31" s="172"/>
      <c r="L31" s="172"/>
      <c r="N31" t="str">
        <f t="shared" si="1"/>
        <v>gina.mosbrucker@leg.wa.gov</v>
      </c>
    </row>
    <row r="32">
      <c r="A32" s="14" t="s">
        <v>44</v>
      </c>
      <c r="B32" s="35">
        <v>15.0</v>
      </c>
      <c r="C32" s="74">
        <v>1.0</v>
      </c>
      <c r="D32" s="35" t="s">
        <v>1193</v>
      </c>
      <c r="E32" s="35" t="s">
        <v>914</v>
      </c>
      <c r="F32" s="51" t="s">
        <v>53</v>
      </c>
      <c r="G32" s="237"/>
      <c r="H32" s="172"/>
      <c r="I32" s="216"/>
      <c r="J32" s="172"/>
      <c r="K32" s="172"/>
      <c r="L32" s="172"/>
      <c r="N32" t="str">
        <f t="shared" si="1"/>
        <v>bruce.chandler@leg.wa.gov</v>
      </c>
    </row>
    <row r="33">
      <c r="A33" s="14" t="s">
        <v>44</v>
      </c>
      <c r="C33" s="74">
        <v>2.0</v>
      </c>
      <c r="D33" s="35" t="s">
        <v>108</v>
      </c>
      <c r="E33" s="35" t="s">
        <v>4255</v>
      </c>
      <c r="F33" s="51" t="s">
        <v>53</v>
      </c>
      <c r="G33" s="237"/>
      <c r="H33" s="789"/>
      <c r="I33" s="216"/>
      <c r="J33" s="172"/>
      <c r="K33" s="172"/>
      <c r="L33" s="172"/>
      <c r="N33" t="str">
        <f t="shared" si="1"/>
        <v>david.taylor@leg.wa.gov</v>
      </c>
    </row>
    <row r="34">
      <c r="A34" s="14" t="s">
        <v>44</v>
      </c>
      <c r="B34" s="35">
        <v>16.0</v>
      </c>
      <c r="C34" s="74">
        <v>1.0</v>
      </c>
      <c r="D34" s="35" t="s">
        <v>325</v>
      </c>
      <c r="E34" s="35" t="s">
        <v>13703</v>
      </c>
      <c r="F34" s="51" t="s">
        <v>53</v>
      </c>
      <c r="G34" s="237"/>
      <c r="H34" s="172"/>
      <c r="I34" s="216"/>
      <c r="J34" s="172"/>
      <c r="K34" s="172"/>
      <c r="L34" s="172"/>
      <c r="N34" t="str">
        <f t="shared" si="1"/>
        <v>bill.jenkin@leg.wa.gov</v>
      </c>
    </row>
    <row r="35">
      <c r="A35" s="14" t="s">
        <v>44</v>
      </c>
      <c r="C35" s="74">
        <v>2.0</v>
      </c>
      <c r="D35" s="35" t="s">
        <v>4821</v>
      </c>
      <c r="E35" s="35" t="s">
        <v>13704</v>
      </c>
      <c r="F35" s="51" t="s">
        <v>53</v>
      </c>
      <c r="G35" s="237"/>
      <c r="H35" s="789"/>
      <c r="I35" s="216"/>
      <c r="J35" s="172"/>
      <c r="K35" s="172"/>
      <c r="L35" s="172"/>
      <c r="N35" t="str">
        <f t="shared" si="1"/>
        <v>skyler.rude@leg.wa.gov</v>
      </c>
    </row>
    <row r="36">
      <c r="A36" s="14" t="s">
        <v>44</v>
      </c>
      <c r="B36" s="35">
        <v>17.0</v>
      </c>
      <c r="C36" s="74">
        <v>1.0</v>
      </c>
      <c r="D36" s="35" t="s">
        <v>2408</v>
      </c>
      <c r="E36" s="35" t="s">
        <v>13706</v>
      </c>
      <c r="F36" s="51" t="s">
        <v>53</v>
      </c>
      <c r="G36" s="237"/>
      <c r="H36" s="787" t="s">
        <v>13707</v>
      </c>
      <c r="I36" s="216" t="s">
        <v>13708</v>
      </c>
      <c r="J36" s="172"/>
      <c r="K36" s="172"/>
      <c r="L36" s="172"/>
      <c r="N36" t="str">
        <f t="shared" si="1"/>
        <v>vicki.kraft@leg.wa.gov</v>
      </c>
    </row>
    <row r="37">
      <c r="A37" s="14" t="s">
        <v>44</v>
      </c>
      <c r="C37" s="74">
        <v>2.0</v>
      </c>
      <c r="D37" s="35" t="s">
        <v>679</v>
      </c>
      <c r="E37" s="35" t="s">
        <v>2362</v>
      </c>
      <c r="F37" s="51" t="s">
        <v>53</v>
      </c>
      <c r="G37" s="237"/>
      <c r="H37" s="789"/>
      <c r="I37" s="216"/>
      <c r="J37" s="172"/>
      <c r="K37" s="172"/>
      <c r="L37" s="172"/>
      <c r="N37" t="str">
        <f t="shared" si="1"/>
        <v>paul.harris@leg.wa.gov</v>
      </c>
    </row>
    <row r="38">
      <c r="A38" s="14" t="s">
        <v>44</v>
      </c>
      <c r="B38" s="35">
        <v>18.0</v>
      </c>
      <c r="C38" s="74">
        <v>1.0</v>
      </c>
      <c r="D38" s="35" t="s">
        <v>2500</v>
      </c>
      <c r="E38" s="35" t="s">
        <v>4031</v>
      </c>
      <c r="F38" s="51" t="s">
        <v>53</v>
      </c>
      <c r="G38" s="237"/>
      <c r="H38" s="172"/>
      <c r="I38" s="216"/>
      <c r="J38" s="172"/>
      <c r="K38" s="172"/>
      <c r="L38" s="172"/>
      <c r="N38" t="str">
        <f t="shared" si="1"/>
        <v>brandon.vick@leg.wa.gov</v>
      </c>
    </row>
    <row r="39">
      <c r="A39" s="14" t="s">
        <v>44</v>
      </c>
      <c r="C39" s="74">
        <v>2.0</v>
      </c>
      <c r="D39" s="35" t="s">
        <v>839</v>
      </c>
      <c r="E39" s="35" t="s">
        <v>13716</v>
      </c>
      <c r="F39" s="51" t="s">
        <v>53</v>
      </c>
      <c r="G39" s="237"/>
      <c r="H39" s="172"/>
      <c r="I39" s="216"/>
      <c r="J39" s="172"/>
      <c r="K39" s="172"/>
      <c r="L39" s="172"/>
      <c r="N39" t="str">
        <f t="shared" si="1"/>
        <v>larry.hoff@leg.wa.gov</v>
      </c>
    </row>
    <row r="40">
      <c r="A40" s="14" t="s">
        <v>44</v>
      </c>
      <c r="B40" s="35">
        <v>19.0</v>
      </c>
      <c r="C40" s="74">
        <v>1.0</v>
      </c>
      <c r="D40" s="35" t="s">
        <v>476</v>
      </c>
      <c r="E40" s="35" t="s">
        <v>2877</v>
      </c>
      <c r="F40" s="51" t="s">
        <v>53</v>
      </c>
      <c r="G40" s="237"/>
      <c r="H40" s="788"/>
      <c r="I40" s="216"/>
      <c r="J40" s="172"/>
      <c r="K40" s="172"/>
      <c r="L40" s="172"/>
      <c r="N40" t="str">
        <f t="shared" si="1"/>
        <v>jim.walsh@leg.wa.gov</v>
      </c>
    </row>
    <row r="41">
      <c r="A41" s="14" t="s">
        <v>44</v>
      </c>
      <c r="C41" s="74">
        <v>2.0</v>
      </c>
      <c r="D41" s="35" t="s">
        <v>1331</v>
      </c>
      <c r="E41" s="35" t="s">
        <v>1288</v>
      </c>
      <c r="F41" s="36" t="s">
        <v>49</v>
      </c>
      <c r="G41" s="237"/>
      <c r="H41" s="170" t="s">
        <v>13720</v>
      </c>
      <c r="I41" s="170" t="s">
        <v>13597</v>
      </c>
      <c r="J41" s="179" t="s">
        <v>13592</v>
      </c>
      <c r="K41" s="172"/>
      <c r="L41" s="172"/>
      <c r="N41" t="str">
        <f t="shared" si="1"/>
        <v>brian.blake@leg.wa.gov</v>
      </c>
    </row>
    <row r="42">
      <c r="A42" s="14" t="s">
        <v>44</v>
      </c>
      <c r="B42" s="35">
        <v>20.0</v>
      </c>
      <c r="C42" s="74">
        <v>1.0</v>
      </c>
      <c r="D42" s="35" t="s">
        <v>1112</v>
      </c>
      <c r="E42" s="35" t="s">
        <v>13723</v>
      </c>
      <c r="F42" s="51" t="s">
        <v>53</v>
      </c>
      <c r="G42" s="237"/>
      <c r="H42" s="788"/>
      <c r="I42" s="216"/>
      <c r="J42" s="172"/>
      <c r="K42" s="172"/>
      <c r="L42" s="172"/>
      <c r="N42" t="str">
        <f t="shared" si="1"/>
        <v>richard.debolt@leg.wa.gov</v>
      </c>
    </row>
    <row r="43">
      <c r="A43" s="14" t="s">
        <v>44</v>
      </c>
      <c r="C43" s="74">
        <v>2.0</v>
      </c>
      <c r="D43" s="35" t="s">
        <v>636</v>
      </c>
      <c r="E43" s="35" t="s">
        <v>13727</v>
      </c>
      <c r="F43" s="51" t="s">
        <v>53</v>
      </c>
      <c r="G43" s="237"/>
      <c r="H43" s="172"/>
      <c r="I43" s="216"/>
      <c r="J43" s="172"/>
      <c r="K43" s="172"/>
      <c r="L43" s="172"/>
      <c r="N43" t="str">
        <f t="shared" si="1"/>
        <v>ed.orcutt@leg.wa.gov</v>
      </c>
    </row>
    <row r="44">
      <c r="A44" s="14" t="s">
        <v>44</v>
      </c>
      <c r="B44" s="35">
        <v>21.0</v>
      </c>
      <c r="C44" s="74">
        <v>1.0</v>
      </c>
      <c r="D44" s="35" t="s">
        <v>6729</v>
      </c>
      <c r="E44" s="35" t="s">
        <v>6554</v>
      </c>
      <c r="F44" s="36" t="s">
        <v>49</v>
      </c>
      <c r="G44" s="237"/>
      <c r="H44" s="787" t="s">
        <v>13731</v>
      </c>
      <c r="I44" s="787" t="s">
        <v>13732</v>
      </c>
      <c r="J44" s="787" t="s">
        <v>13733</v>
      </c>
      <c r="K44" s="172"/>
      <c r="L44" s="172"/>
      <c r="N44" t="str">
        <f t="shared" si="1"/>
        <v>strom.peterson@leg.wa.gov</v>
      </c>
    </row>
    <row r="45">
      <c r="A45" s="14" t="s">
        <v>44</v>
      </c>
      <c r="C45" s="74">
        <v>2.0</v>
      </c>
      <c r="D45" s="35" t="s">
        <v>13736</v>
      </c>
      <c r="E45" s="35" t="s">
        <v>13739</v>
      </c>
      <c r="F45" s="36" t="s">
        <v>49</v>
      </c>
      <c r="G45" s="237"/>
      <c r="H45" s="787" t="s">
        <v>13740</v>
      </c>
      <c r="I45" s="787" t="s">
        <v>13741</v>
      </c>
      <c r="J45" s="787" t="s">
        <v>780</v>
      </c>
      <c r="K45" s="787" t="s">
        <v>578</v>
      </c>
      <c r="L45" s="172"/>
      <c r="N45" t="str">
        <f t="shared" si="1"/>
        <v>lillian.ortiz-self@leg.wa.gov</v>
      </c>
    </row>
    <row r="46">
      <c r="A46" s="14" t="s">
        <v>44</v>
      </c>
      <c r="B46" s="35">
        <v>22.0</v>
      </c>
      <c r="C46" s="74">
        <v>1.0</v>
      </c>
      <c r="D46" s="35" t="s">
        <v>1213</v>
      </c>
      <c r="E46" s="35" t="s">
        <v>10784</v>
      </c>
      <c r="F46" s="36" t="s">
        <v>49</v>
      </c>
      <c r="G46" s="237"/>
      <c r="H46" s="259" t="s">
        <v>888</v>
      </c>
      <c r="I46" s="787" t="s">
        <v>626</v>
      </c>
      <c r="J46" s="787" t="s">
        <v>13659</v>
      </c>
      <c r="K46" s="172"/>
      <c r="L46" s="172"/>
      <c r="N46" t="str">
        <f t="shared" si="1"/>
        <v>laurie.dolan@leg.wa.gov</v>
      </c>
    </row>
    <row r="47">
      <c r="A47" s="14" t="s">
        <v>44</v>
      </c>
      <c r="C47" s="74">
        <v>2.0</v>
      </c>
      <c r="D47" s="35" t="s">
        <v>2842</v>
      </c>
      <c r="E47" s="35" t="s">
        <v>13749</v>
      </c>
      <c r="F47" s="36" t="s">
        <v>49</v>
      </c>
      <c r="G47" s="237"/>
      <c r="H47" s="259" t="s">
        <v>13707</v>
      </c>
      <c r="I47" s="787" t="s">
        <v>13733</v>
      </c>
      <c r="J47" s="787" t="s">
        <v>578</v>
      </c>
      <c r="K47" s="172"/>
      <c r="L47" s="172"/>
      <c r="N47" t="str">
        <f t="shared" si="1"/>
        <v>beth.doglio@leg.wa.gov</v>
      </c>
    </row>
    <row r="48">
      <c r="A48" s="14" t="s">
        <v>44</v>
      </c>
      <c r="B48" s="35">
        <v>23.0</v>
      </c>
      <c r="C48" s="74">
        <v>1.0</v>
      </c>
      <c r="D48" s="35" t="s">
        <v>2593</v>
      </c>
      <c r="E48" s="35" t="s">
        <v>13754</v>
      </c>
      <c r="F48" s="36" t="s">
        <v>49</v>
      </c>
      <c r="G48" s="237"/>
      <c r="H48" s="170" t="s">
        <v>13590</v>
      </c>
      <c r="I48" s="170" t="s">
        <v>732</v>
      </c>
      <c r="J48" s="179" t="s">
        <v>13659</v>
      </c>
      <c r="K48" s="172"/>
      <c r="L48" s="172"/>
      <c r="N48" t="str">
        <f t="shared" si="1"/>
        <v>sherry.appleton@leg.wa.gov</v>
      </c>
    </row>
    <row r="49">
      <c r="A49" s="14" t="s">
        <v>44</v>
      </c>
      <c r="C49" s="74">
        <v>2.0</v>
      </c>
      <c r="D49" s="35" t="s">
        <v>4759</v>
      </c>
      <c r="E49" s="35" t="s">
        <v>1653</v>
      </c>
      <c r="F49" s="36" t="s">
        <v>49</v>
      </c>
      <c r="G49" s="237"/>
      <c r="H49" s="259" t="s">
        <v>13756</v>
      </c>
      <c r="I49" s="787" t="s">
        <v>626</v>
      </c>
      <c r="J49" s="787" t="s">
        <v>13757</v>
      </c>
      <c r="K49" s="172"/>
      <c r="L49" s="172"/>
      <c r="N49" t="str">
        <f t="shared" si="1"/>
        <v>drew.hansen@leg.wa.gov</v>
      </c>
    </row>
    <row r="50">
      <c r="A50" s="14" t="s">
        <v>44</v>
      </c>
      <c r="B50" s="35">
        <v>24.0</v>
      </c>
      <c r="C50" s="74">
        <v>1.0</v>
      </c>
      <c r="D50" s="35" t="s">
        <v>157</v>
      </c>
      <c r="E50" s="35" t="s">
        <v>5564</v>
      </c>
      <c r="F50" s="36" t="s">
        <v>49</v>
      </c>
      <c r="G50" s="237"/>
      <c r="H50" s="259" t="s">
        <v>13759</v>
      </c>
      <c r="I50" s="787" t="s">
        <v>1264</v>
      </c>
      <c r="J50" s="787" t="s">
        <v>780</v>
      </c>
      <c r="K50" s="787" t="s">
        <v>13760</v>
      </c>
      <c r="L50" s="787" t="s">
        <v>578</v>
      </c>
      <c r="N50" t="str">
        <f t="shared" si="1"/>
        <v>mike.chapman@leg.wa.gov</v>
      </c>
    </row>
    <row r="51">
      <c r="A51" s="14" t="s">
        <v>44</v>
      </c>
      <c r="C51" s="74">
        <v>2.0</v>
      </c>
      <c r="D51" s="35" t="s">
        <v>55</v>
      </c>
      <c r="E51" s="35" t="s">
        <v>13763</v>
      </c>
      <c r="F51" s="36" t="s">
        <v>49</v>
      </c>
      <c r="G51" s="237"/>
      <c r="H51" s="259" t="s">
        <v>13764</v>
      </c>
      <c r="I51" s="787" t="s">
        <v>626</v>
      </c>
      <c r="J51" s="787" t="s">
        <v>13607</v>
      </c>
      <c r="K51" s="172"/>
      <c r="L51" s="172"/>
      <c r="N51" t="str">
        <f t="shared" si="1"/>
        <v>steve.tharinger@leg.wa.gov</v>
      </c>
    </row>
    <row r="52">
      <c r="A52" s="14" t="s">
        <v>44</v>
      </c>
      <c r="B52" s="35">
        <v>25.0</v>
      </c>
      <c r="C52" s="74">
        <v>1.0</v>
      </c>
      <c r="D52" s="35" t="s">
        <v>130</v>
      </c>
      <c r="E52" s="35" t="s">
        <v>9026</v>
      </c>
      <c r="F52" s="51" t="s">
        <v>53</v>
      </c>
      <c r="G52" s="237"/>
      <c r="H52" s="788"/>
      <c r="I52" s="216"/>
      <c r="J52" s="172"/>
      <c r="K52" s="172"/>
      <c r="L52" s="172"/>
      <c r="N52" t="str">
        <f t="shared" si="1"/>
        <v>kelly.chambers@leg.wa.gov</v>
      </c>
    </row>
    <row r="53">
      <c r="A53" s="14" t="s">
        <v>44</v>
      </c>
      <c r="C53" s="74">
        <v>2.0</v>
      </c>
      <c r="D53" s="35" t="s">
        <v>173</v>
      </c>
      <c r="E53" s="35" t="s">
        <v>13768</v>
      </c>
      <c r="F53" s="51" t="s">
        <v>53</v>
      </c>
      <c r="G53" s="237"/>
      <c r="H53" s="789"/>
      <c r="I53" s="216"/>
      <c r="J53" s="172"/>
      <c r="K53" s="172"/>
      <c r="L53" s="172"/>
      <c r="N53" t="str">
        <f t="shared" si="1"/>
        <v>chris.gildon@leg.wa.gov</v>
      </c>
    </row>
    <row r="54">
      <c r="A54" s="14" t="s">
        <v>44</v>
      </c>
      <c r="B54" s="35">
        <v>26.0</v>
      </c>
      <c r="C54" s="74">
        <v>1.0</v>
      </c>
      <c r="D54" s="35" t="s">
        <v>386</v>
      </c>
      <c r="E54" s="35" t="s">
        <v>429</v>
      </c>
      <c r="F54" s="51" t="s">
        <v>53</v>
      </c>
      <c r="G54" s="237"/>
      <c r="H54" s="788"/>
      <c r="I54" s="216"/>
      <c r="J54" s="172"/>
      <c r="K54" s="172"/>
      <c r="L54" s="172"/>
      <c r="N54" t="str">
        <f t="shared" si="1"/>
        <v>jesse.young@leg.wa.gov</v>
      </c>
    </row>
    <row r="55">
      <c r="A55" s="14" t="s">
        <v>44</v>
      </c>
      <c r="C55" s="74">
        <v>2.0</v>
      </c>
      <c r="D55" s="35" t="s">
        <v>22</v>
      </c>
      <c r="E55" s="35" t="s">
        <v>13775</v>
      </c>
      <c r="F55" s="51" t="s">
        <v>53</v>
      </c>
      <c r="G55" s="237"/>
      <c r="H55" s="216"/>
      <c r="I55" s="216"/>
      <c r="J55" s="172"/>
      <c r="K55" s="172"/>
      <c r="L55" s="172"/>
      <c r="N55" t="str">
        <f t="shared" si="1"/>
        <v>michelle.caldier@leg.wa.gov</v>
      </c>
    </row>
    <row r="56">
      <c r="A56" s="14" t="s">
        <v>44</v>
      </c>
      <c r="B56" s="35">
        <v>27.0</v>
      </c>
      <c r="C56" s="74">
        <v>1.0</v>
      </c>
      <c r="D56" s="35" t="s">
        <v>1213</v>
      </c>
      <c r="E56" s="35" t="s">
        <v>13778</v>
      </c>
      <c r="F56" s="36" t="s">
        <v>49</v>
      </c>
      <c r="G56" s="237"/>
      <c r="H56" s="259" t="s">
        <v>13779</v>
      </c>
      <c r="I56" s="787" t="s">
        <v>626</v>
      </c>
      <c r="J56" s="787" t="s">
        <v>13607</v>
      </c>
      <c r="K56" s="172"/>
      <c r="L56" s="172"/>
      <c r="N56" t="str">
        <f t="shared" si="1"/>
        <v>laurie.jinkins@leg.wa.gov</v>
      </c>
    </row>
    <row r="57">
      <c r="A57" s="14" t="s">
        <v>44</v>
      </c>
      <c r="C57" s="74">
        <v>2.0</v>
      </c>
      <c r="D57" s="35" t="s">
        <v>3828</v>
      </c>
      <c r="E57" s="35" t="s">
        <v>13780</v>
      </c>
      <c r="F57" s="36" t="s">
        <v>49</v>
      </c>
      <c r="G57" s="237"/>
      <c r="H57" s="259" t="s">
        <v>536</v>
      </c>
      <c r="I57" s="787" t="s">
        <v>13733</v>
      </c>
      <c r="J57" s="172"/>
      <c r="K57" s="172"/>
      <c r="L57" s="172"/>
      <c r="N57" t="str">
        <f t="shared" si="1"/>
        <v>jake.fey@leg.wa.gov</v>
      </c>
    </row>
    <row r="58">
      <c r="A58" s="14" t="s">
        <v>44</v>
      </c>
      <c r="B58" s="35">
        <v>28.0</v>
      </c>
      <c r="C58" s="74">
        <v>1.0</v>
      </c>
      <c r="D58" s="35" t="s">
        <v>7150</v>
      </c>
      <c r="E58" s="35" t="s">
        <v>9361</v>
      </c>
      <c r="F58" s="36" t="s">
        <v>49</v>
      </c>
      <c r="G58" s="237"/>
      <c r="H58" s="259" t="s">
        <v>13781</v>
      </c>
      <c r="I58" s="787" t="s">
        <v>13606</v>
      </c>
      <c r="J58" s="787" t="s">
        <v>13782</v>
      </c>
      <c r="K58" s="172"/>
      <c r="L58" s="172"/>
      <c r="N58" t="str">
        <f t="shared" si="1"/>
        <v>mari.leavitt@leg.wa.gov</v>
      </c>
    </row>
    <row r="59">
      <c r="A59" s="14" t="s">
        <v>44</v>
      </c>
      <c r="C59" s="74">
        <v>2.0</v>
      </c>
      <c r="D59" s="35" t="s">
        <v>2551</v>
      </c>
      <c r="E59" s="35" t="s">
        <v>13785</v>
      </c>
      <c r="F59" s="36" t="s">
        <v>49</v>
      </c>
      <c r="G59" s="237"/>
      <c r="H59" s="787" t="s">
        <v>13757</v>
      </c>
      <c r="I59" s="787" t="s">
        <v>515</v>
      </c>
      <c r="J59" s="787" t="s">
        <v>13741</v>
      </c>
      <c r="K59" s="787" t="s">
        <v>780</v>
      </c>
      <c r="L59" s="172"/>
      <c r="N59" t="str">
        <f t="shared" si="1"/>
        <v>christine.kilduff@leg.wa.gov</v>
      </c>
    </row>
    <row r="60">
      <c r="A60" s="14" t="s">
        <v>44</v>
      </c>
      <c r="B60" s="35">
        <v>29.0</v>
      </c>
      <c r="C60" s="74">
        <v>1.0</v>
      </c>
      <c r="D60" s="35" t="s">
        <v>4719</v>
      </c>
      <c r="E60" s="35" t="s">
        <v>141</v>
      </c>
      <c r="F60" s="36" t="s">
        <v>49</v>
      </c>
      <c r="G60" s="237"/>
      <c r="H60" s="787" t="s">
        <v>13788</v>
      </c>
      <c r="I60" s="787" t="s">
        <v>13606</v>
      </c>
      <c r="J60" s="787" t="s">
        <v>13597</v>
      </c>
      <c r="K60" s="172"/>
      <c r="L60" s="172"/>
      <c r="N60" t="str">
        <f t="shared" si="1"/>
        <v>melanie.morgan@leg.wa.gov</v>
      </c>
    </row>
    <row r="61">
      <c r="A61" s="14" t="s">
        <v>44</v>
      </c>
      <c r="C61" s="74">
        <v>2.0</v>
      </c>
      <c r="D61" s="35" t="s">
        <v>55</v>
      </c>
      <c r="E61" s="35" t="s">
        <v>3760</v>
      </c>
      <c r="F61" s="36" t="s">
        <v>49</v>
      </c>
      <c r="G61" s="237"/>
      <c r="H61" s="259" t="s">
        <v>13789</v>
      </c>
      <c r="I61" s="787" t="s">
        <v>13757</v>
      </c>
      <c r="J61" s="787" t="s">
        <v>13597</v>
      </c>
      <c r="K61" s="172"/>
      <c r="L61" s="172"/>
      <c r="N61" t="str">
        <f t="shared" si="1"/>
        <v>steve.kirby@leg.wa.gov</v>
      </c>
    </row>
    <row r="62">
      <c r="A62" s="14" t="s">
        <v>44</v>
      </c>
      <c r="B62" s="35">
        <v>30.0</v>
      </c>
      <c r="C62" s="74">
        <v>1.0</v>
      </c>
      <c r="D62" s="35" t="s">
        <v>157</v>
      </c>
      <c r="E62" s="35" t="s">
        <v>13793</v>
      </c>
      <c r="F62" s="36" t="s">
        <v>49</v>
      </c>
      <c r="G62" s="237"/>
      <c r="H62" s="787" t="s">
        <v>13794</v>
      </c>
      <c r="I62" s="787" t="s">
        <v>13795</v>
      </c>
      <c r="J62" s="787" t="s">
        <v>578</v>
      </c>
      <c r="K62" s="172"/>
      <c r="L62" s="172"/>
      <c r="N62" t="str">
        <f t="shared" si="1"/>
        <v>mike.pellicciotti@leg.wa.gov</v>
      </c>
    </row>
    <row r="63">
      <c r="A63" s="14" t="s">
        <v>44</v>
      </c>
      <c r="C63" s="74">
        <v>2.0</v>
      </c>
      <c r="D63" s="35" t="s">
        <v>11347</v>
      </c>
      <c r="E63" s="35" t="s">
        <v>3278</v>
      </c>
      <c r="F63" s="36" t="s">
        <v>49</v>
      </c>
      <c r="G63" s="237"/>
      <c r="H63" s="787" t="s">
        <v>13800</v>
      </c>
      <c r="I63" s="787" t="s">
        <v>13801</v>
      </c>
      <c r="J63" s="787" t="s">
        <v>13782</v>
      </c>
      <c r="K63" s="172"/>
      <c r="L63" s="172"/>
      <c r="N63" t="str">
        <f t="shared" si="1"/>
        <v>kristine.reeves@leg.wa.gov</v>
      </c>
    </row>
    <row r="64">
      <c r="A64" s="14" t="s">
        <v>44</v>
      </c>
      <c r="B64" s="35">
        <v>31.0</v>
      </c>
      <c r="C64" s="74">
        <v>1.0</v>
      </c>
      <c r="D64" s="35" t="s">
        <v>141</v>
      </c>
      <c r="E64" s="35" t="s">
        <v>1656</v>
      </c>
      <c r="F64" s="51" t="s">
        <v>53</v>
      </c>
      <c r="G64" s="237"/>
      <c r="H64" s="789"/>
      <c r="I64" s="216"/>
      <c r="J64" s="172"/>
      <c r="K64" s="172"/>
      <c r="L64" s="172"/>
      <c r="N64" t="str">
        <f t="shared" si="1"/>
        <v>morgan.irwin@leg.wa.gov</v>
      </c>
    </row>
    <row r="65">
      <c r="A65" s="14" t="s">
        <v>44</v>
      </c>
      <c r="C65" s="74">
        <v>2.0</v>
      </c>
      <c r="D65" s="35" t="s">
        <v>4759</v>
      </c>
      <c r="E65" s="35" t="s">
        <v>13809</v>
      </c>
      <c r="F65" s="51" t="s">
        <v>53</v>
      </c>
      <c r="G65" s="237"/>
      <c r="H65" s="172"/>
      <c r="I65" s="216"/>
      <c r="J65" s="172"/>
      <c r="K65" s="172"/>
      <c r="L65" s="172"/>
      <c r="N65" t="str">
        <f t="shared" si="1"/>
        <v>drew.stokesbary@leg.wa.gov</v>
      </c>
    </row>
    <row r="66">
      <c r="A66" s="14" t="s">
        <v>44</v>
      </c>
      <c r="B66" s="35">
        <v>32.0</v>
      </c>
      <c r="C66" s="74">
        <v>1.0</v>
      </c>
      <c r="D66" s="35" t="s">
        <v>1561</v>
      </c>
      <c r="E66" s="35" t="s">
        <v>13813</v>
      </c>
      <c r="F66" s="36" t="s">
        <v>49</v>
      </c>
      <c r="G66" s="237"/>
      <c r="H66" s="787" t="s">
        <v>13814</v>
      </c>
      <c r="I66" s="787" t="s">
        <v>626</v>
      </c>
      <c r="J66" s="787" t="s">
        <v>13592</v>
      </c>
      <c r="K66" s="172"/>
      <c r="L66" s="172"/>
      <c r="N66" t="str">
        <f t="shared" si="1"/>
        <v>cindy.ryu@leg.wa.gov</v>
      </c>
    </row>
    <row r="67">
      <c r="A67" s="14" t="s">
        <v>44</v>
      </c>
      <c r="C67" s="74">
        <v>2.0</v>
      </c>
      <c r="D67" s="35" t="s">
        <v>3317</v>
      </c>
      <c r="E67" s="35" t="s">
        <v>1254</v>
      </c>
      <c r="F67" s="36" t="s">
        <v>49</v>
      </c>
      <c r="G67" s="237"/>
      <c r="H67" s="259" t="s">
        <v>958</v>
      </c>
      <c r="I67" s="787" t="s">
        <v>13606</v>
      </c>
      <c r="J67" s="787" t="s">
        <v>13607</v>
      </c>
      <c r="K67" s="787" t="s">
        <v>780</v>
      </c>
      <c r="L67" s="172"/>
      <c r="N67" t="str">
        <f t="shared" si="1"/>
        <v>lauren.davis@leg.wa.gov</v>
      </c>
    </row>
    <row r="68">
      <c r="A68" s="14" t="s">
        <v>44</v>
      </c>
      <c r="B68" s="35">
        <v>33.0</v>
      </c>
      <c r="C68" s="74">
        <v>1.0</v>
      </c>
      <c r="D68" s="35" t="s">
        <v>3053</v>
      </c>
      <c r="E68" s="35" t="s">
        <v>13817</v>
      </c>
      <c r="F68" s="36" t="s">
        <v>49</v>
      </c>
      <c r="G68" s="237"/>
      <c r="H68" s="787" t="s">
        <v>13757</v>
      </c>
      <c r="I68" s="787" t="s">
        <v>13741</v>
      </c>
      <c r="J68" s="787" t="s">
        <v>732</v>
      </c>
      <c r="K68" s="787" t="s">
        <v>780</v>
      </c>
      <c r="L68" s="172"/>
      <c r="N68" t="str">
        <f t="shared" si="1"/>
        <v>tina.orwall@leg.wa.gov</v>
      </c>
    </row>
    <row r="69">
      <c r="A69" s="14" t="s">
        <v>44</v>
      </c>
      <c r="C69" s="74">
        <v>2.0</v>
      </c>
      <c r="D69" s="35" t="s">
        <v>344</v>
      </c>
      <c r="E69" s="35" t="s">
        <v>13819</v>
      </c>
      <c r="F69" s="36" t="s">
        <v>49</v>
      </c>
      <c r="G69" s="237"/>
      <c r="H69" s="259" t="s">
        <v>13820</v>
      </c>
      <c r="I69" s="787" t="s">
        <v>13610</v>
      </c>
      <c r="J69" s="787" t="s">
        <v>578</v>
      </c>
      <c r="K69" s="172"/>
      <c r="L69" s="172"/>
      <c r="N69" t="str">
        <f t="shared" si="1"/>
        <v>mia.gregerson@leg.wa.gov</v>
      </c>
    </row>
    <row r="70">
      <c r="A70" s="14" t="s">
        <v>44</v>
      </c>
      <c r="B70" s="35">
        <v>34.0</v>
      </c>
      <c r="C70" s="74">
        <v>1.0</v>
      </c>
      <c r="D70" s="35" t="s">
        <v>4894</v>
      </c>
      <c r="E70" s="35" t="s">
        <v>8551</v>
      </c>
      <c r="F70" s="36" t="s">
        <v>49</v>
      </c>
      <c r="G70" s="237"/>
      <c r="H70" s="787" t="s">
        <v>13822</v>
      </c>
      <c r="I70" s="787" t="s">
        <v>626</v>
      </c>
      <c r="J70" s="172"/>
      <c r="K70" s="172"/>
      <c r="L70" s="172"/>
      <c r="N70" t="str">
        <f t="shared" si="1"/>
        <v>eileen.cody@leg.wa.gov</v>
      </c>
    </row>
    <row r="71">
      <c r="A71" s="14" t="s">
        <v>44</v>
      </c>
      <c r="C71" s="74">
        <v>2.0</v>
      </c>
      <c r="D71" s="35" t="s">
        <v>622</v>
      </c>
      <c r="E71" s="35" t="s">
        <v>13823</v>
      </c>
      <c r="F71" s="36" t="s">
        <v>49</v>
      </c>
      <c r="G71" s="237"/>
      <c r="H71" s="259" t="s">
        <v>13824</v>
      </c>
      <c r="I71" s="787" t="s">
        <v>626</v>
      </c>
      <c r="J71" s="787" t="s">
        <v>13614</v>
      </c>
      <c r="K71" s="172"/>
      <c r="L71" s="172"/>
      <c r="N71" t="str">
        <f t="shared" si="1"/>
        <v>joe.fitzgibbon@leg.wa.gov</v>
      </c>
    </row>
    <row r="72">
      <c r="A72" s="14" t="s">
        <v>44</v>
      </c>
      <c r="B72" s="35">
        <v>35.0</v>
      </c>
      <c r="C72" s="74">
        <v>1.0</v>
      </c>
      <c r="D72" s="35" t="s">
        <v>239</v>
      </c>
      <c r="E72" s="35" t="s">
        <v>12724</v>
      </c>
      <c r="F72" s="51" t="s">
        <v>53</v>
      </c>
      <c r="G72" s="237"/>
      <c r="H72" s="789"/>
      <c r="I72" s="216"/>
      <c r="J72" s="172"/>
      <c r="K72" s="172"/>
      <c r="L72" s="172"/>
      <c r="N72" t="str">
        <f t="shared" si="1"/>
        <v>dan.griffey@leg.wa.gov</v>
      </c>
    </row>
    <row r="73">
      <c r="A73" s="14" t="s">
        <v>44</v>
      </c>
      <c r="C73" s="74">
        <v>2.0</v>
      </c>
      <c r="D73" s="35" t="s">
        <v>4759</v>
      </c>
      <c r="E73" s="35" t="s">
        <v>13827</v>
      </c>
      <c r="F73" s="51" t="s">
        <v>53</v>
      </c>
      <c r="G73" s="237"/>
      <c r="H73" s="789"/>
      <c r="I73" s="216"/>
      <c r="J73" s="172"/>
      <c r="K73" s="172"/>
      <c r="L73" s="172"/>
      <c r="N73" t="str">
        <f t="shared" si="1"/>
        <v>drew.macewen@leg.wa.gov</v>
      </c>
    </row>
    <row r="74">
      <c r="A74" s="14" t="s">
        <v>44</v>
      </c>
      <c r="B74" s="35">
        <v>36.0</v>
      </c>
      <c r="C74" s="74">
        <v>1.0</v>
      </c>
      <c r="D74" s="35" t="s">
        <v>529</v>
      </c>
      <c r="E74" s="35" t="s">
        <v>13830</v>
      </c>
      <c r="F74" s="36" t="s">
        <v>49</v>
      </c>
      <c r="G74" s="237"/>
      <c r="H74" s="259" t="s">
        <v>13616</v>
      </c>
      <c r="I74" s="787" t="s">
        <v>1264</v>
      </c>
      <c r="J74" s="787" t="s">
        <v>13782</v>
      </c>
      <c r="K74" s="787" t="s">
        <v>780</v>
      </c>
      <c r="L74" s="172"/>
      <c r="N74" t="str">
        <f t="shared" si="1"/>
        <v>noel.frame@leg.wa.gov</v>
      </c>
    </row>
    <row r="75">
      <c r="A75" s="14" t="s">
        <v>44</v>
      </c>
      <c r="C75" s="74">
        <v>2.0</v>
      </c>
      <c r="D75" s="35" t="s">
        <v>13831</v>
      </c>
      <c r="E75" s="35" t="s">
        <v>13833</v>
      </c>
      <c r="F75" s="36" t="s">
        <v>49</v>
      </c>
      <c r="G75" s="237"/>
      <c r="H75" s="787" t="s">
        <v>13834</v>
      </c>
      <c r="I75" s="787" t="s">
        <v>626</v>
      </c>
      <c r="J75" s="787" t="s">
        <v>13835</v>
      </c>
      <c r="K75" s="172"/>
      <c r="L75" s="172"/>
      <c r="N75" t="str">
        <f t="shared" si="1"/>
        <v>gael.tarleton@leg.wa.gov</v>
      </c>
    </row>
    <row r="76">
      <c r="A76" s="14" t="s">
        <v>44</v>
      </c>
      <c r="B76" s="35">
        <v>37.0</v>
      </c>
      <c r="C76" s="74">
        <v>1.0</v>
      </c>
      <c r="D76" s="35" t="s">
        <v>1863</v>
      </c>
      <c r="E76" s="35" t="s">
        <v>13838</v>
      </c>
      <c r="F76" s="36" t="s">
        <v>49</v>
      </c>
      <c r="G76" s="237"/>
      <c r="H76" s="787" t="s">
        <v>13839</v>
      </c>
      <c r="I76" s="787" t="s">
        <v>13606</v>
      </c>
      <c r="J76" s="787" t="s">
        <v>13592</v>
      </c>
      <c r="K76" s="172"/>
      <c r="L76" s="172"/>
      <c r="N76" t="str">
        <f t="shared" si="1"/>
        <v>sharon.santos@leg.wa.gov</v>
      </c>
    </row>
    <row r="77">
      <c r="A77" s="14" t="s">
        <v>44</v>
      </c>
      <c r="C77" s="74">
        <v>2.0</v>
      </c>
      <c r="D77" s="35" t="s">
        <v>2302</v>
      </c>
      <c r="E77" s="35" t="s">
        <v>13841</v>
      </c>
      <c r="F77" s="36" t="s">
        <v>49</v>
      </c>
      <c r="G77" s="245" t="s">
        <v>1684</v>
      </c>
      <c r="H77" s="787" t="s">
        <v>626</v>
      </c>
      <c r="I77" s="787" t="s">
        <v>732</v>
      </c>
      <c r="J77" s="787" t="s">
        <v>780</v>
      </c>
      <c r="K77" s="787" t="s">
        <v>13614</v>
      </c>
      <c r="L77" s="172"/>
      <c r="N77" t="str">
        <f t="shared" si="1"/>
        <v>eric.pettigrew@leg.wa.gov</v>
      </c>
    </row>
    <row r="78">
      <c r="A78" s="14" t="s">
        <v>44</v>
      </c>
      <c r="B78" s="35">
        <v>38.0</v>
      </c>
      <c r="C78" s="74">
        <v>1.0</v>
      </c>
      <c r="D78" s="35" t="s">
        <v>13844</v>
      </c>
      <c r="E78" s="35" t="s">
        <v>3039</v>
      </c>
      <c r="F78" s="36" t="s">
        <v>49</v>
      </c>
      <c r="G78" s="237"/>
      <c r="H78" s="259" t="s">
        <v>13845</v>
      </c>
      <c r="I78" s="787" t="s">
        <v>13607</v>
      </c>
      <c r="J78" s="172"/>
      <c r="K78" s="172"/>
      <c r="L78" s="172"/>
      <c r="N78" t="str">
        <f t="shared" si="1"/>
        <v>june.robinson@leg.wa.gov</v>
      </c>
    </row>
    <row r="79">
      <c r="A79" s="14" t="s">
        <v>44</v>
      </c>
      <c r="C79" s="74">
        <v>2.0</v>
      </c>
      <c r="D79" s="35" t="s">
        <v>157</v>
      </c>
      <c r="E79" s="35" t="s">
        <v>697</v>
      </c>
      <c r="F79" s="36" t="s">
        <v>49</v>
      </c>
      <c r="G79" s="237"/>
      <c r="H79" s="787" t="s">
        <v>1272</v>
      </c>
      <c r="I79" s="787" t="s">
        <v>13606</v>
      </c>
      <c r="J79" s="787" t="s">
        <v>13613</v>
      </c>
      <c r="K79" s="172"/>
      <c r="L79" s="172"/>
      <c r="N79" t="str">
        <f t="shared" si="1"/>
        <v>mike.sells@leg.wa.gov</v>
      </c>
    </row>
    <row r="80">
      <c r="A80" s="14" t="s">
        <v>44</v>
      </c>
      <c r="B80" s="35">
        <v>39.0</v>
      </c>
      <c r="C80" s="74">
        <v>1.0</v>
      </c>
      <c r="D80" s="35" t="s">
        <v>1134</v>
      </c>
      <c r="E80" s="35" t="s">
        <v>13849</v>
      </c>
      <c r="F80" s="51" t="s">
        <v>53</v>
      </c>
      <c r="G80" s="237"/>
      <c r="H80" s="787" t="s">
        <v>13850</v>
      </c>
      <c r="I80" s="216"/>
      <c r="J80" s="172"/>
      <c r="K80" s="172"/>
      <c r="L80" s="172"/>
      <c r="N80" t="str">
        <f t="shared" si="1"/>
        <v>robert.sutherland@leg.wa.gov</v>
      </c>
    </row>
    <row r="81">
      <c r="A81" s="14" t="s">
        <v>44</v>
      </c>
      <c r="C81" s="74">
        <v>2.0</v>
      </c>
      <c r="D81" s="35" t="s">
        <v>3902</v>
      </c>
      <c r="E81" s="35" t="s">
        <v>13852</v>
      </c>
      <c r="F81" s="51" t="s">
        <v>53</v>
      </c>
      <c r="G81" s="237"/>
      <c r="H81" s="789"/>
      <c r="I81" s="216"/>
      <c r="J81" s="172"/>
      <c r="K81" s="172"/>
      <c r="L81" s="172"/>
      <c r="N81" t="str">
        <f t="shared" si="1"/>
        <v>carolyn.eslick@leg.wa.gov</v>
      </c>
    </row>
    <row r="82">
      <c r="A82" s="14" t="s">
        <v>44</v>
      </c>
      <c r="B82" s="35">
        <v>40.0</v>
      </c>
      <c r="C82" s="74">
        <v>1.0</v>
      </c>
      <c r="D82" s="35" t="s">
        <v>2601</v>
      </c>
      <c r="E82" s="35" t="s">
        <v>13854</v>
      </c>
      <c r="F82" s="36" t="s">
        <v>49</v>
      </c>
      <c r="G82" s="237"/>
      <c r="H82" s="787" t="s">
        <v>13855</v>
      </c>
      <c r="I82" s="787" t="s">
        <v>13606</v>
      </c>
      <c r="J82" s="787" t="s">
        <v>13614</v>
      </c>
      <c r="K82" s="172"/>
      <c r="L82" s="172"/>
      <c r="N82" t="str">
        <f t="shared" si="1"/>
        <v>debra.lekanoff@leg.wa.gov</v>
      </c>
    </row>
    <row r="83">
      <c r="A83" s="14" t="s">
        <v>44</v>
      </c>
      <c r="C83" s="74">
        <v>2.0</v>
      </c>
      <c r="D83" s="35" t="s">
        <v>683</v>
      </c>
      <c r="E83" s="35" t="s">
        <v>617</v>
      </c>
      <c r="F83" s="36" t="s">
        <v>49</v>
      </c>
      <c r="G83" s="237"/>
      <c r="H83" s="787" t="s">
        <v>1264</v>
      </c>
      <c r="I83" s="787" t="s">
        <v>13835</v>
      </c>
      <c r="J83" s="172"/>
      <c r="K83" s="172"/>
      <c r="L83" s="172"/>
      <c r="N83" t="str">
        <f t="shared" si="1"/>
        <v>jeff.morris@leg.wa.gov</v>
      </c>
    </row>
    <row r="84">
      <c r="A84" s="14" t="s">
        <v>44</v>
      </c>
      <c r="B84" s="35">
        <v>41.0</v>
      </c>
      <c r="C84" s="74">
        <v>1.0</v>
      </c>
      <c r="D84" s="35" t="s">
        <v>13860</v>
      </c>
      <c r="E84" s="35" t="s">
        <v>12222</v>
      </c>
      <c r="F84" s="36" t="s">
        <v>49</v>
      </c>
      <c r="G84" s="237"/>
      <c r="H84" s="787" t="s">
        <v>1047</v>
      </c>
      <c r="I84" s="787" t="s">
        <v>626</v>
      </c>
      <c r="J84" s="787" t="s">
        <v>2239</v>
      </c>
      <c r="K84" s="172"/>
      <c r="L84" s="172"/>
      <c r="N84" t="str">
        <f t="shared" si="1"/>
        <v>tana.senn@leg.wa.gov</v>
      </c>
    </row>
    <row r="85">
      <c r="A85" s="14" t="s">
        <v>44</v>
      </c>
      <c r="C85" s="74">
        <v>2.0</v>
      </c>
      <c r="D85" s="35" t="s">
        <v>13861</v>
      </c>
      <c r="E85" s="35" t="s">
        <v>13862</v>
      </c>
      <c r="F85" s="36" t="s">
        <v>49</v>
      </c>
      <c r="G85" s="237"/>
      <c r="H85" s="787" t="s">
        <v>13863</v>
      </c>
      <c r="I85" s="787" t="s">
        <v>515</v>
      </c>
      <c r="J85" s="787" t="s">
        <v>13607</v>
      </c>
      <c r="K85" s="172"/>
      <c r="L85" s="172"/>
      <c r="N85" t="str">
        <f t="shared" si="1"/>
        <v>my-linh.thai@leg.wa.gov</v>
      </c>
    </row>
    <row r="86">
      <c r="A86" s="14" t="s">
        <v>44</v>
      </c>
      <c r="B86" s="35">
        <v>42.0</v>
      </c>
      <c r="C86" s="74">
        <v>1.0</v>
      </c>
      <c r="D86" s="35" t="s">
        <v>13866</v>
      </c>
      <c r="E86" s="35" t="s">
        <v>13868</v>
      </c>
      <c r="F86" s="51" t="s">
        <v>53</v>
      </c>
      <c r="G86" s="237"/>
      <c r="H86" s="789"/>
      <c r="I86" s="216"/>
      <c r="J86" s="172"/>
      <c r="K86" s="172"/>
      <c r="L86" s="172"/>
      <c r="N86" t="str">
        <f t="shared" si="1"/>
        <v>luanne.vanwerven@leg.wa.gov</v>
      </c>
    </row>
    <row r="87">
      <c r="A87" s="14" t="s">
        <v>44</v>
      </c>
      <c r="C87" s="74">
        <v>2.0</v>
      </c>
      <c r="D87" s="35" t="s">
        <v>1863</v>
      </c>
      <c r="E87" s="35" t="s">
        <v>13871</v>
      </c>
      <c r="F87" s="36" t="s">
        <v>49</v>
      </c>
      <c r="G87" s="237"/>
      <c r="H87" s="787" t="s">
        <v>13873</v>
      </c>
      <c r="I87" s="787" t="s">
        <v>13733</v>
      </c>
      <c r="J87" s="787" t="s">
        <v>578</v>
      </c>
      <c r="K87" s="172"/>
      <c r="L87" s="172"/>
      <c r="N87" t="str">
        <f t="shared" si="1"/>
        <v>sharon.shewmake@leg.wa.gov</v>
      </c>
    </row>
    <row r="88">
      <c r="A88" s="14" t="s">
        <v>44</v>
      </c>
      <c r="B88" s="35">
        <v>43.0</v>
      </c>
      <c r="C88" s="74">
        <v>1.0</v>
      </c>
      <c r="D88" s="35" t="s">
        <v>1648</v>
      </c>
      <c r="E88" s="35" t="s">
        <v>13876</v>
      </c>
      <c r="F88" s="36" t="s">
        <v>49</v>
      </c>
      <c r="G88" s="237"/>
      <c r="H88" s="787" t="s">
        <v>13877</v>
      </c>
      <c r="I88" s="787" t="s">
        <v>626</v>
      </c>
      <c r="J88" s="787" t="s">
        <v>1264</v>
      </c>
      <c r="K88" s="172"/>
      <c r="L88" s="172"/>
      <c r="N88" t="str">
        <f t="shared" si="1"/>
        <v>nicole.macri@leg.wa.gov</v>
      </c>
    </row>
    <row r="89">
      <c r="A89" s="14" t="s">
        <v>44</v>
      </c>
      <c r="C89" s="74">
        <v>2.0</v>
      </c>
      <c r="D89" s="35" t="s">
        <v>1000</v>
      </c>
      <c r="E89" s="35" t="s">
        <v>13878</v>
      </c>
      <c r="F89" s="36" t="s">
        <v>49</v>
      </c>
      <c r="G89" s="245" t="s">
        <v>1056</v>
      </c>
      <c r="H89" s="259" t="s">
        <v>957</v>
      </c>
      <c r="I89" s="216"/>
      <c r="J89" s="172"/>
      <c r="K89" s="172"/>
      <c r="L89" s="172"/>
      <c r="N89" t="str">
        <f t="shared" si="1"/>
        <v>frank.chopp@leg.wa.gov</v>
      </c>
    </row>
    <row r="90">
      <c r="A90" s="14" t="s">
        <v>44</v>
      </c>
      <c r="B90" s="35">
        <v>44.0</v>
      </c>
      <c r="C90" s="74">
        <v>1.0</v>
      </c>
      <c r="D90" s="35" t="s">
        <v>278</v>
      </c>
      <c r="E90" s="35" t="s">
        <v>13881</v>
      </c>
      <c r="F90" s="36" t="s">
        <v>49</v>
      </c>
      <c r="G90" s="237"/>
      <c r="H90" s="787" t="s">
        <v>13741</v>
      </c>
      <c r="I90" s="787" t="s">
        <v>732</v>
      </c>
      <c r="J90" s="787" t="s">
        <v>780</v>
      </c>
      <c r="K90" s="787" t="s">
        <v>578</v>
      </c>
      <c r="L90" s="172"/>
      <c r="N90" t="str">
        <f t="shared" si="1"/>
        <v>john.lovick@leg.wa.gov</v>
      </c>
    </row>
    <row r="91">
      <c r="A91" s="14" t="s">
        <v>44</v>
      </c>
      <c r="C91" s="74">
        <v>2.0</v>
      </c>
      <c r="D91" s="35" t="s">
        <v>2285</v>
      </c>
      <c r="E91" s="35" t="s">
        <v>13882</v>
      </c>
      <c r="F91" s="36" t="s">
        <v>49</v>
      </c>
      <c r="G91" s="237"/>
      <c r="H91" s="787" t="s">
        <v>13613</v>
      </c>
      <c r="I91" s="787" t="s">
        <v>13733</v>
      </c>
      <c r="J91" s="787" t="s">
        <v>578</v>
      </c>
      <c r="K91" s="172"/>
      <c r="L91" s="172"/>
      <c r="N91" t="str">
        <f t="shared" si="1"/>
        <v>jared.mead@leg.wa.gov</v>
      </c>
    </row>
    <row r="92">
      <c r="A92" s="14" t="s">
        <v>44</v>
      </c>
      <c r="B92" s="35">
        <v>45.0</v>
      </c>
      <c r="C92" s="74">
        <v>1.0</v>
      </c>
      <c r="D92" s="35" t="s">
        <v>1040</v>
      </c>
      <c r="E92" s="35" t="s">
        <v>9841</v>
      </c>
      <c r="F92" s="36" t="s">
        <v>49</v>
      </c>
      <c r="G92" s="237"/>
      <c r="H92" s="259" t="s">
        <v>974</v>
      </c>
      <c r="I92" s="787" t="s">
        <v>13757</v>
      </c>
      <c r="J92" s="787" t="s">
        <v>13741</v>
      </c>
      <c r="K92" s="172"/>
      <c r="L92" s="172"/>
      <c r="N92" t="str">
        <f t="shared" si="1"/>
        <v>roger.goodman@leg.wa.gov</v>
      </c>
    </row>
    <row r="93">
      <c r="A93" s="14" t="s">
        <v>44</v>
      </c>
      <c r="C93" s="74">
        <v>2.0</v>
      </c>
      <c r="D93" s="35" t="s">
        <v>839</v>
      </c>
      <c r="E93" s="35" t="s">
        <v>13885</v>
      </c>
      <c r="F93" s="36" t="s">
        <v>49</v>
      </c>
      <c r="G93" s="237"/>
      <c r="H93" s="787" t="s">
        <v>626</v>
      </c>
      <c r="I93" s="787" t="s">
        <v>1264</v>
      </c>
      <c r="J93" s="787" t="s">
        <v>780</v>
      </c>
      <c r="K93" s="787" t="s">
        <v>13614</v>
      </c>
      <c r="L93" s="172"/>
      <c r="N93" t="str">
        <f t="shared" si="1"/>
        <v>larry.springer@leg.wa.gov</v>
      </c>
    </row>
    <row r="94">
      <c r="A94" s="14" t="s">
        <v>44</v>
      </c>
      <c r="B94" s="35">
        <v>46.0</v>
      </c>
      <c r="C94" s="74">
        <v>1.0</v>
      </c>
      <c r="D94" s="35" t="s">
        <v>6971</v>
      </c>
      <c r="E94" s="35" t="s">
        <v>13888</v>
      </c>
      <c r="F94" s="36" t="s">
        <v>49</v>
      </c>
      <c r="G94" s="237"/>
      <c r="H94" s="787" t="s">
        <v>13889</v>
      </c>
      <c r="I94" s="787" t="s">
        <v>626</v>
      </c>
      <c r="J94" s="787" t="s">
        <v>13613</v>
      </c>
      <c r="K94" s="172"/>
      <c r="L94" s="172"/>
      <c r="N94" t="str">
        <f t="shared" si="1"/>
        <v>gerry.pollet@leg.wa.gov</v>
      </c>
    </row>
    <row r="95">
      <c r="A95" s="14" t="s">
        <v>44</v>
      </c>
      <c r="C95" s="74">
        <v>2.0</v>
      </c>
      <c r="D95" s="35" t="s">
        <v>3100</v>
      </c>
      <c r="E95" s="35" t="s">
        <v>1643</v>
      </c>
      <c r="F95" s="36" t="s">
        <v>49</v>
      </c>
      <c r="G95" s="237"/>
      <c r="H95" s="259" t="s">
        <v>654</v>
      </c>
      <c r="I95" s="787" t="s">
        <v>13757</v>
      </c>
      <c r="J95" s="787" t="s">
        <v>515</v>
      </c>
      <c r="K95" s="172"/>
      <c r="L95" s="172"/>
      <c r="N95" t="str">
        <f t="shared" si="1"/>
        <v>javier.valdez@leg.wa.gov</v>
      </c>
    </row>
    <row r="96">
      <c r="A96" s="14" t="s">
        <v>44</v>
      </c>
      <c r="B96" s="35">
        <v>47.0</v>
      </c>
      <c r="C96" s="74">
        <v>1.0</v>
      </c>
      <c r="D96" s="35" t="s">
        <v>2601</v>
      </c>
      <c r="E96" s="35" t="s">
        <v>13892</v>
      </c>
      <c r="F96" s="36" t="s">
        <v>49</v>
      </c>
      <c r="G96" s="237"/>
      <c r="H96" s="259" t="s">
        <v>888</v>
      </c>
      <c r="I96" s="787" t="s">
        <v>13782</v>
      </c>
      <c r="J96" s="787" t="s">
        <v>578</v>
      </c>
      <c r="K96" s="172"/>
      <c r="L96" s="172"/>
      <c r="N96" t="str">
        <f t="shared" si="1"/>
        <v>debra.entenman@leg.wa.gov</v>
      </c>
    </row>
    <row r="97">
      <c r="A97" s="14" t="s">
        <v>44</v>
      </c>
      <c r="C97" s="74">
        <v>2.0</v>
      </c>
      <c r="D97" s="35" t="s">
        <v>2570</v>
      </c>
      <c r="E97" s="35" t="s">
        <v>435</v>
      </c>
      <c r="F97" s="36" t="s">
        <v>49</v>
      </c>
      <c r="G97" s="245" t="s">
        <v>176</v>
      </c>
      <c r="H97" s="787" t="s">
        <v>626</v>
      </c>
      <c r="I97" s="787" t="s">
        <v>780</v>
      </c>
      <c r="J97" s="172"/>
      <c r="K97" s="172"/>
      <c r="L97" s="172"/>
      <c r="N97" t="str">
        <f t="shared" si="1"/>
        <v>pat.sullivan@leg.wa.gov</v>
      </c>
    </row>
    <row r="98">
      <c r="A98" s="14" t="s">
        <v>44</v>
      </c>
      <c r="B98" s="35">
        <v>48.0</v>
      </c>
      <c r="C98" s="74">
        <v>1.0</v>
      </c>
      <c r="D98" s="35" t="s">
        <v>13897</v>
      </c>
      <c r="E98" s="35" t="s">
        <v>13900</v>
      </c>
      <c r="F98" s="36" t="s">
        <v>49</v>
      </c>
      <c r="G98" s="237"/>
      <c r="H98" s="259" t="s">
        <v>654</v>
      </c>
      <c r="I98" s="787" t="s">
        <v>13613</v>
      </c>
      <c r="J98" s="787" t="s">
        <v>13835</v>
      </c>
      <c r="K98" s="172"/>
      <c r="L98" s="172"/>
      <c r="N98" t="str">
        <f t="shared" si="1"/>
        <v>vandana.slatter@leg.wa.gov</v>
      </c>
    </row>
    <row r="99">
      <c r="A99" s="14" t="s">
        <v>44</v>
      </c>
      <c r="C99" s="74">
        <v>2.0</v>
      </c>
      <c r="D99" s="35" t="s">
        <v>2969</v>
      </c>
      <c r="E99" s="35" t="s">
        <v>13901</v>
      </c>
      <c r="F99" s="36" t="s">
        <v>49</v>
      </c>
      <c r="G99" s="237"/>
      <c r="H99" s="259" t="s">
        <v>1300</v>
      </c>
      <c r="I99" s="787" t="s">
        <v>13757</v>
      </c>
      <c r="J99" s="787" t="s">
        <v>13592</v>
      </c>
      <c r="K99" s="172"/>
      <c r="L99" s="172"/>
      <c r="N99" t="str">
        <f t="shared" si="1"/>
        <v>amy.walen@leg.wa.gov</v>
      </c>
    </row>
    <row r="100">
      <c r="A100" s="14" t="s">
        <v>44</v>
      </c>
      <c r="B100" s="35">
        <v>49.0</v>
      </c>
      <c r="C100" s="74">
        <v>1.0</v>
      </c>
      <c r="D100" s="35" t="s">
        <v>1863</v>
      </c>
      <c r="E100" s="35" t="s">
        <v>8802</v>
      </c>
      <c r="F100" s="36" t="s">
        <v>49</v>
      </c>
      <c r="G100" s="237"/>
      <c r="H100" s="259" t="s">
        <v>654</v>
      </c>
      <c r="I100" s="259" t="s">
        <v>1264</v>
      </c>
      <c r="J100" s="90" t="s">
        <v>13835</v>
      </c>
      <c r="K100" s="787" t="s">
        <v>780</v>
      </c>
      <c r="L100" s="172"/>
      <c r="N100" t="str">
        <f t="shared" si="1"/>
        <v>sharon.wylie@leg.wa.gov</v>
      </c>
    </row>
    <row r="101">
      <c r="A101" s="14" t="s">
        <v>44</v>
      </c>
      <c r="C101" s="74">
        <v>2.0</v>
      </c>
      <c r="D101" s="35" t="s">
        <v>1798</v>
      </c>
      <c r="E101" s="35" t="s">
        <v>13906</v>
      </c>
      <c r="F101" s="36" t="s">
        <v>49</v>
      </c>
      <c r="G101" s="245" t="s">
        <v>3235</v>
      </c>
      <c r="H101" s="787" t="s">
        <v>13907</v>
      </c>
      <c r="I101" s="787" t="s">
        <v>515</v>
      </c>
      <c r="J101" s="787" t="s">
        <v>13607</v>
      </c>
      <c r="K101" s="787" t="s">
        <v>780</v>
      </c>
      <c r="L101" s="172"/>
      <c r="N101" t="str">
        <f t="shared" si="1"/>
        <v>monica.stonier@leg.wa.gov</v>
      </c>
    </row>
    <row r="102">
      <c r="A102" s="70"/>
      <c r="B102" s="71"/>
      <c r="C102" s="71"/>
      <c r="D102" s="71"/>
      <c r="E102" s="71"/>
      <c r="F102" s="70"/>
      <c r="G102" s="233"/>
      <c r="H102" s="70"/>
      <c r="I102" s="70"/>
      <c r="J102" s="70"/>
      <c r="K102" s="70"/>
      <c r="L102" s="70"/>
      <c r="M102" s="70"/>
      <c r="N102" s="70"/>
      <c r="O102" s="70"/>
      <c r="P102" s="70"/>
      <c r="Q102" s="70"/>
      <c r="R102" s="70"/>
      <c r="S102" s="70"/>
      <c r="T102" s="70"/>
      <c r="U102" s="70"/>
      <c r="V102" s="70"/>
      <c r="W102" s="70"/>
      <c r="X102" s="70"/>
      <c r="Y102" s="70"/>
      <c r="Z102" s="70"/>
      <c r="AA102" s="70"/>
      <c r="AB102" s="70"/>
      <c r="AC102" s="70"/>
      <c r="AD102" s="70"/>
      <c r="AE102" s="70"/>
      <c r="AF102" s="70"/>
      <c r="AG102" s="70"/>
      <c r="AH102" s="70"/>
      <c r="AI102" s="70"/>
    </row>
    <row r="103">
      <c r="A103" s="14" t="s">
        <v>286</v>
      </c>
      <c r="B103" s="767">
        <v>1.0</v>
      </c>
      <c r="D103" s="74" t="s">
        <v>6504</v>
      </c>
      <c r="E103" s="74" t="s">
        <v>5256</v>
      </c>
      <c r="F103" s="36" t="s">
        <v>49</v>
      </c>
      <c r="G103" s="173"/>
      <c r="H103" s="795"/>
      <c r="K103" s="200"/>
      <c r="L103" s="200"/>
      <c r="M103" s="31"/>
      <c r="N103" t="str">
        <f t="shared" ref="N103:N151" si="2">concatenate(lower(D103),".",lower(E103),"@leg.wa.gov")</f>
        <v>guy.palumbo@leg.wa.gov</v>
      </c>
    </row>
    <row r="104">
      <c r="A104" s="14" t="s">
        <v>286</v>
      </c>
      <c r="B104" s="767">
        <v>2.0</v>
      </c>
      <c r="D104" s="35" t="s">
        <v>10611</v>
      </c>
      <c r="E104" s="35" t="s">
        <v>1715</v>
      </c>
      <c r="F104" s="51" t="s">
        <v>53</v>
      </c>
      <c r="G104" s="175" t="s">
        <v>2029</v>
      </c>
      <c r="K104" s="200"/>
      <c r="L104" s="200"/>
      <c r="M104" s="31"/>
      <c r="N104" t="str">
        <f t="shared" si="2"/>
        <v>randi.becker@leg.wa.gov</v>
      </c>
    </row>
    <row r="105">
      <c r="A105" s="14" t="s">
        <v>286</v>
      </c>
      <c r="B105" s="767">
        <v>3.0</v>
      </c>
      <c r="D105" s="35" t="s">
        <v>109</v>
      </c>
      <c r="E105" s="35" t="s">
        <v>13919</v>
      </c>
      <c r="F105" s="36" t="s">
        <v>49</v>
      </c>
      <c r="G105" s="175" t="s">
        <v>176</v>
      </c>
      <c r="K105" s="200"/>
      <c r="L105" s="200"/>
      <c r="M105" s="31"/>
      <c r="N105" t="str">
        <f t="shared" si="2"/>
        <v>andy.billig@leg.wa.gov</v>
      </c>
    </row>
    <row r="106">
      <c r="A106" s="14" t="s">
        <v>286</v>
      </c>
      <c r="B106" s="767">
        <v>4.0</v>
      </c>
      <c r="D106" s="35" t="s">
        <v>157</v>
      </c>
      <c r="E106" s="35" t="s">
        <v>13924</v>
      </c>
      <c r="F106" s="51" t="s">
        <v>53</v>
      </c>
      <c r="G106" s="173"/>
      <c r="K106" s="200"/>
      <c r="L106" s="200"/>
      <c r="M106" s="31"/>
      <c r="N106" t="str">
        <f t="shared" si="2"/>
        <v>mike.padden@leg.wa.gov</v>
      </c>
    </row>
    <row r="107">
      <c r="A107" s="14" t="s">
        <v>286</v>
      </c>
      <c r="B107" s="767">
        <v>5.0</v>
      </c>
      <c r="D107" s="35" t="s">
        <v>91</v>
      </c>
      <c r="E107" s="35" t="s">
        <v>13927</v>
      </c>
      <c r="F107" s="36" t="s">
        <v>49</v>
      </c>
      <c r="G107" s="175" t="s">
        <v>1188</v>
      </c>
      <c r="K107" s="200"/>
      <c r="L107" s="200"/>
      <c r="M107" s="31"/>
      <c r="N107" t="str">
        <f t="shared" si="2"/>
        <v>mark.mullet@leg.wa.gov</v>
      </c>
    </row>
    <row r="108">
      <c r="A108" s="14" t="s">
        <v>286</v>
      </c>
      <c r="B108" s="767">
        <v>6.0</v>
      </c>
      <c r="D108" s="35" t="s">
        <v>683</v>
      </c>
      <c r="E108" s="35" t="s">
        <v>13932</v>
      </c>
      <c r="F108" s="51" t="s">
        <v>53</v>
      </c>
      <c r="G108" s="173"/>
      <c r="K108" s="200"/>
      <c r="L108" s="200"/>
      <c r="M108" s="31"/>
      <c r="N108" t="str">
        <f t="shared" si="2"/>
        <v>jeff.holy@leg.wa.gov</v>
      </c>
    </row>
    <row r="109">
      <c r="A109" s="14" t="s">
        <v>286</v>
      </c>
      <c r="B109" s="767">
        <v>7.0</v>
      </c>
      <c r="D109" s="35" t="s">
        <v>3698</v>
      </c>
      <c r="E109" s="35" t="s">
        <v>2787</v>
      </c>
      <c r="F109" s="51" t="s">
        <v>53</v>
      </c>
      <c r="G109" s="175" t="s">
        <v>3469</v>
      </c>
      <c r="K109" s="200"/>
      <c r="L109" s="200"/>
      <c r="M109" s="31"/>
      <c r="N109" t="str">
        <f t="shared" si="2"/>
        <v>shelly.short@leg.wa.gov</v>
      </c>
    </row>
    <row r="110">
      <c r="A110" s="14" t="s">
        <v>286</v>
      </c>
      <c r="B110" s="767">
        <v>8.0</v>
      </c>
      <c r="D110" s="35" t="s">
        <v>1863</v>
      </c>
      <c r="E110" s="35" t="s">
        <v>447</v>
      </c>
      <c r="F110" s="51" t="s">
        <v>53</v>
      </c>
      <c r="G110" s="175" t="s">
        <v>11422</v>
      </c>
      <c r="K110" s="200"/>
      <c r="L110" s="200"/>
      <c r="M110" s="31"/>
      <c r="N110" t="str">
        <f t="shared" si="2"/>
        <v>sharon.brown@leg.wa.gov</v>
      </c>
    </row>
    <row r="111">
      <c r="A111" s="14" t="s">
        <v>286</v>
      </c>
      <c r="B111" s="767">
        <v>9.0</v>
      </c>
      <c r="D111" s="35" t="s">
        <v>91</v>
      </c>
      <c r="E111" s="35" t="s">
        <v>13943</v>
      </c>
      <c r="F111" s="51" t="s">
        <v>53</v>
      </c>
      <c r="G111" s="175" t="s">
        <v>498</v>
      </c>
      <c r="K111" s="200"/>
      <c r="L111" s="200"/>
      <c r="M111" s="31"/>
      <c r="N111" t="str">
        <f t="shared" si="2"/>
        <v>mark.schoesler@leg.wa.gov</v>
      </c>
    </row>
    <row r="112">
      <c r="A112" s="14" t="s">
        <v>286</v>
      </c>
      <c r="B112" s="767">
        <v>10.0</v>
      </c>
      <c r="D112" s="35" t="s">
        <v>384</v>
      </c>
      <c r="E112" s="35" t="s">
        <v>4464</v>
      </c>
      <c r="F112" s="51" t="s">
        <v>53</v>
      </c>
      <c r="G112" s="175" t="s">
        <v>13945</v>
      </c>
      <c r="K112" s="200"/>
      <c r="L112" s="200"/>
      <c r="M112" s="31"/>
      <c r="N112" t="str">
        <f t="shared" si="2"/>
        <v>barbara.bailey@leg.wa.gov</v>
      </c>
    </row>
    <row r="113">
      <c r="A113" s="14" t="s">
        <v>286</v>
      </c>
      <c r="B113" s="767">
        <v>11.0</v>
      </c>
      <c r="D113" s="35" t="s">
        <v>419</v>
      </c>
      <c r="E113" s="35" t="s">
        <v>13947</v>
      </c>
      <c r="F113" s="36" t="s">
        <v>49</v>
      </c>
      <c r="G113" s="175" t="s">
        <v>13948</v>
      </c>
      <c r="K113" s="200"/>
      <c r="L113" s="200"/>
      <c r="M113" s="31"/>
      <c r="N113" t="str">
        <f t="shared" si="2"/>
        <v>bob.hasegawa@leg.wa.gov</v>
      </c>
    </row>
    <row r="114">
      <c r="A114" s="14" t="s">
        <v>286</v>
      </c>
      <c r="B114" s="767">
        <v>12.0</v>
      </c>
      <c r="D114" s="35" t="s">
        <v>2323</v>
      </c>
      <c r="E114" s="35" t="s">
        <v>3233</v>
      </c>
      <c r="F114" s="51" t="s">
        <v>53</v>
      </c>
      <c r="G114" s="175" t="s">
        <v>13950</v>
      </c>
      <c r="K114" s="200"/>
      <c r="L114" s="200"/>
      <c r="M114" s="31"/>
      <c r="N114" t="str">
        <f t="shared" si="2"/>
        <v>brad.hawkins@leg.wa.gov</v>
      </c>
    </row>
    <row r="115">
      <c r="A115" s="14" t="s">
        <v>286</v>
      </c>
      <c r="B115" s="767">
        <v>13.0</v>
      </c>
      <c r="D115" s="35" t="s">
        <v>2320</v>
      </c>
      <c r="E115" s="35" t="s">
        <v>13951</v>
      </c>
      <c r="F115" s="51" t="s">
        <v>53</v>
      </c>
      <c r="G115" s="175" t="s">
        <v>12826</v>
      </c>
      <c r="K115" s="200"/>
      <c r="L115" s="200"/>
      <c r="M115" s="31"/>
      <c r="N115" t="str">
        <f t="shared" si="2"/>
        <v>judy.warnick@leg.wa.gov</v>
      </c>
    </row>
    <row r="116">
      <c r="A116" s="14" t="s">
        <v>286</v>
      </c>
      <c r="B116" s="767">
        <v>14.0</v>
      </c>
      <c r="D116" s="35" t="s">
        <v>4099</v>
      </c>
      <c r="E116" s="35" t="s">
        <v>5219</v>
      </c>
      <c r="F116" s="51" t="s">
        <v>53</v>
      </c>
      <c r="G116" s="173"/>
      <c r="K116" s="200"/>
      <c r="L116" s="200"/>
      <c r="M116" s="31"/>
      <c r="N116" t="str">
        <f t="shared" si="2"/>
        <v>curtis.king@leg.wa.gov</v>
      </c>
    </row>
    <row r="117">
      <c r="A117" s="14" t="s">
        <v>286</v>
      </c>
      <c r="B117" s="767">
        <v>15.0</v>
      </c>
      <c r="D117" s="35" t="s">
        <v>476</v>
      </c>
      <c r="E117" s="35" t="s">
        <v>13956</v>
      </c>
      <c r="F117" s="51" t="s">
        <v>53</v>
      </c>
      <c r="G117" s="173"/>
      <c r="K117" s="200"/>
      <c r="L117" s="200"/>
      <c r="M117" s="31"/>
      <c r="N117" t="str">
        <f t="shared" si="2"/>
        <v>jim.honeyford@leg.wa.gov</v>
      </c>
    </row>
    <row r="118">
      <c r="A118" s="14" t="s">
        <v>286</v>
      </c>
      <c r="B118" s="767">
        <v>16.0</v>
      </c>
      <c r="D118" s="35" t="s">
        <v>5828</v>
      </c>
      <c r="E118" s="35" t="s">
        <v>2877</v>
      </c>
      <c r="F118" s="51" t="s">
        <v>53</v>
      </c>
      <c r="G118" s="173"/>
      <c r="K118" s="200"/>
      <c r="L118" s="200"/>
      <c r="M118" s="31"/>
      <c r="N118" t="str">
        <f t="shared" si="2"/>
        <v>maureen.walsh@leg.wa.gov</v>
      </c>
    </row>
    <row r="119">
      <c r="A119" s="14" t="s">
        <v>286</v>
      </c>
      <c r="B119" s="767">
        <v>17.0</v>
      </c>
      <c r="D119" s="35" t="s">
        <v>11170</v>
      </c>
      <c r="E119" s="35" t="s">
        <v>62</v>
      </c>
      <c r="F119" s="51" t="s">
        <v>53</v>
      </c>
      <c r="G119" s="173"/>
      <c r="K119" s="200"/>
      <c r="L119" s="200"/>
      <c r="M119" s="31"/>
      <c r="N119" t="str">
        <f t="shared" si="2"/>
        <v>lynda.wilson@leg.wa.gov</v>
      </c>
    </row>
    <row r="120">
      <c r="A120" s="14" t="s">
        <v>286</v>
      </c>
      <c r="B120" s="767">
        <v>18.0</v>
      </c>
      <c r="D120" s="35" t="s">
        <v>1375</v>
      </c>
      <c r="E120" s="35" t="s">
        <v>11831</v>
      </c>
      <c r="F120" s="51" t="s">
        <v>53</v>
      </c>
      <c r="G120" s="175" t="s">
        <v>2004</v>
      </c>
      <c r="K120" s="200"/>
      <c r="L120" s="200"/>
      <c r="M120" s="31"/>
      <c r="N120" t="str">
        <f t="shared" si="2"/>
        <v>ann.rivers@leg.wa.gov</v>
      </c>
    </row>
    <row r="121">
      <c r="A121" s="14" t="s">
        <v>286</v>
      </c>
      <c r="B121" s="767">
        <v>19.0</v>
      </c>
      <c r="D121" s="35" t="s">
        <v>4340</v>
      </c>
      <c r="E121" s="35" t="s">
        <v>13961</v>
      </c>
      <c r="F121" s="36" t="s">
        <v>49</v>
      </c>
      <c r="G121" s="173"/>
      <c r="K121" s="200"/>
      <c r="L121" s="200"/>
      <c r="M121" s="31"/>
      <c r="N121" t="str">
        <f t="shared" si="2"/>
        <v>dean.takko@leg.wa.gov</v>
      </c>
    </row>
    <row r="122">
      <c r="A122" s="14" t="s">
        <v>286</v>
      </c>
      <c r="B122" s="767">
        <v>20.0</v>
      </c>
      <c r="D122" s="35" t="s">
        <v>278</v>
      </c>
      <c r="E122" s="35" t="s">
        <v>4954</v>
      </c>
      <c r="F122" s="51" t="s">
        <v>53</v>
      </c>
      <c r="G122" s="173"/>
      <c r="K122" s="200"/>
      <c r="L122" s="200"/>
      <c r="M122" s="31"/>
      <c r="N122" t="str">
        <f t="shared" si="2"/>
        <v>john.braun@leg.wa.gov</v>
      </c>
    </row>
    <row r="123">
      <c r="A123" s="14" t="s">
        <v>286</v>
      </c>
      <c r="B123" s="767">
        <v>21.0</v>
      </c>
      <c r="D123" s="35" t="s">
        <v>13965</v>
      </c>
      <c r="E123" s="35" t="s">
        <v>13966</v>
      </c>
      <c r="F123" s="36" t="s">
        <v>49</v>
      </c>
      <c r="G123" s="175" t="s">
        <v>13967</v>
      </c>
      <c r="K123" s="200"/>
      <c r="L123" s="200"/>
      <c r="M123" s="31"/>
      <c r="N123" t="str">
        <f t="shared" si="2"/>
        <v>marko.liias@leg.wa.gov</v>
      </c>
    </row>
    <row r="124">
      <c r="A124" s="14" t="s">
        <v>286</v>
      </c>
      <c r="B124" s="767">
        <v>22.0</v>
      </c>
      <c r="D124" s="35" t="s">
        <v>224</v>
      </c>
      <c r="E124" s="35" t="s">
        <v>6693</v>
      </c>
      <c r="F124" s="36" t="s">
        <v>49</v>
      </c>
      <c r="G124" s="173"/>
      <c r="K124" s="200"/>
      <c r="L124" s="200"/>
      <c r="M124" s="31"/>
      <c r="N124" t="str">
        <f t="shared" si="2"/>
        <v>sam.hunt@leg.wa.gov</v>
      </c>
    </row>
    <row r="125">
      <c r="A125" s="14" t="s">
        <v>286</v>
      </c>
      <c r="B125" s="767">
        <v>23.0</v>
      </c>
      <c r="D125" s="35" t="s">
        <v>2551</v>
      </c>
      <c r="E125" s="35" t="s">
        <v>13970</v>
      </c>
      <c r="F125" s="36" t="s">
        <v>49</v>
      </c>
      <c r="G125" s="173"/>
      <c r="K125" s="200"/>
      <c r="L125" s="200"/>
      <c r="M125" s="31"/>
      <c r="N125" t="str">
        <f t="shared" si="2"/>
        <v>christine.rolfes@leg.wa.gov</v>
      </c>
    </row>
    <row r="126">
      <c r="A126" s="14" t="s">
        <v>286</v>
      </c>
      <c r="B126" s="767">
        <v>24.0</v>
      </c>
      <c r="D126" s="35" t="s">
        <v>971</v>
      </c>
      <c r="E126" s="38" t="s">
        <v>13973</v>
      </c>
      <c r="F126" s="36" t="s">
        <v>49</v>
      </c>
      <c r="G126" s="173"/>
      <c r="K126" s="200"/>
      <c r="L126" s="200"/>
      <c r="M126" s="31"/>
      <c r="N126" t="str">
        <f t="shared" si="2"/>
        <v>kevin.vandewege@leg.wa.gov</v>
      </c>
    </row>
    <row r="127">
      <c r="A127" s="14" t="s">
        <v>286</v>
      </c>
      <c r="B127" s="767">
        <v>25.0</v>
      </c>
      <c r="D127" s="35" t="s">
        <v>13976</v>
      </c>
      <c r="E127" s="35" t="s">
        <v>13977</v>
      </c>
      <c r="F127" s="51" t="s">
        <v>53</v>
      </c>
      <c r="G127" s="173"/>
      <c r="K127" s="200"/>
      <c r="L127" s="200"/>
      <c r="M127" s="31"/>
      <c r="N127" t="str">
        <f t="shared" si="2"/>
        <v>hans.zeiger@leg.wa.gov</v>
      </c>
    </row>
    <row r="128">
      <c r="A128" s="14" t="s">
        <v>286</v>
      </c>
      <c r="B128" s="767">
        <v>26.0</v>
      </c>
      <c r="D128" s="35" t="s">
        <v>1674</v>
      </c>
      <c r="E128" s="35" t="s">
        <v>179</v>
      </c>
      <c r="F128" s="36" t="s">
        <v>49</v>
      </c>
      <c r="G128" s="173"/>
      <c r="K128" s="200"/>
      <c r="L128" s="200"/>
      <c r="M128" s="31"/>
      <c r="N128" t="str">
        <f t="shared" si="2"/>
        <v>emily.randall@leg.wa.gov</v>
      </c>
    </row>
    <row r="129">
      <c r="A129" s="14" t="s">
        <v>286</v>
      </c>
      <c r="B129" s="767">
        <v>27.0</v>
      </c>
      <c r="D129" s="35" t="s">
        <v>13979</v>
      </c>
      <c r="E129" s="35" t="s">
        <v>13981</v>
      </c>
      <c r="F129" s="36" t="s">
        <v>49</v>
      </c>
      <c r="G129" s="173"/>
      <c r="K129" s="200"/>
      <c r="L129" s="200"/>
      <c r="M129" s="31"/>
      <c r="N129" t="str">
        <f t="shared" si="2"/>
        <v>jeannie.darneille@leg.wa.gov</v>
      </c>
    </row>
    <row r="130">
      <c r="A130" s="14" t="s">
        <v>286</v>
      </c>
      <c r="B130" s="767">
        <v>28.0</v>
      </c>
      <c r="D130" s="35" t="s">
        <v>55</v>
      </c>
      <c r="E130" s="35" t="s">
        <v>13982</v>
      </c>
      <c r="F130" s="51" t="s">
        <v>53</v>
      </c>
      <c r="G130" s="173"/>
      <c r="K130" s="200"/>
      <c r="L130" s="200"/>
      <c r="M130" s="31"/>
      <c r="N130" t="str">
        <f t="shared" si="2"/>
        <v>steve.o'ban@leg.wa.gov</v>
      </c>
    </row>
    <row r="131">
      <c r="A131" s="14" t="s">
        <v>286</v>
      </c>
      <c r="B131" s="767">
        <v>29.0</v>
      </c>
      <c r="D131" s="35" t="s">
        <v>55</v>
      </c>
      <c r="E131" s="35" t="s">
        <v>2458</v>
      </c>
      <c r="F131" s="36" t="s">
        <v>49</v>
      </c>
      <c r="G131" s="175" t="s">
        <v>13986</v>
      </c>
      <c r="K131" s="200"/>
      <c r="L131" s="200"/>
      <c r="M131" s="31"/>
      <c r="N131" t="str">
        <f t="shared" si="2"/>
        <v>steve.conway@leg.wa.gov</v>
      </c>
    </row>
    <row r="132">
      <c r="A132" s="14" t="s">
        <v>286</v>
      </c>
      <c r="B132" s="767">
        <v>30.0</v>
      </c>
      <c r="D132" s="35" t="s">
        <v>5601</v>
      </c>
      <c r="E132" s="35" t="s">
        <v>62</v>
      </c>
      <c r="F132" s="36" t="s">
        <v>49</v>
      </c>
      <c r="G132" s="175" t="s">
        <v>1693</v>
      </c>
      <c r="K132" s="200"/>
      <c r="L132" s="200"/>
      <c r="M132" s="31"/>
      <c r="N132" t="str">
        <f t="shared" si="2"/>
        <v>claire.wilson@leg.wa.gov</v>
      </c>
    </row>
    <row r="133">
      <c r="A133" s="14" t="s">
        <v>286</v>
      </c>
      <c r="B133" s="767">
        <v>31.0</v>
      </c>
      <c r="D133" s="35" t="s">
        <v>1483</v>
      </c>
      <c r="E133" s="35" t="s">
        <v>13989</v>
      </c>
      <c r="F133" s="51" t="s">
        <v>53</v>
      </c>
      <c r="G133" s="173"/>
      <c r="K133" s="200"/>
      <c r="L133" s="200"/>
      <c r="M133" s="31"/>
      <c r="N133" t="str">
        <f t="shared" si="2"/>
        <v>phil.fortunato@leg.wa.gov</v>
      </c>
    </row>
    <row r="134">
      <c r="A134" s="14" t="s">
        <v>286</v>
      </c>
      <c r="B134" s="767">
        <v>32.0</v>
      </c>
      <c r="D134" s="35" t="s">
        <v>386</v>
      </c>
      <c r="E134" s="35" t="s">
        <v>9003</v>
      </c>
      <c r="F134" s="36" t="s">
        <v>49</v>
      </c>
      <c r="G134" s="173"/>
      <c r="K134" s="200"/>
      <c r="L134" s="200"/>
      <c r="M134" s="31"/>
      <c r="N134" t="str">
        <f t="shared" si="2"/>
        <v>jesse.salomon@leg.wa.gov</v>
      </c>
    </row>
    <row r="135">
      <c r="A135" s="14" t="s">
        <v>286</v>
      </c>
      <c r="B135" s="767">
        <v>33.0</v>
      </c>
      <c r="D135" s="35" t="s">
        <v>1153</v>
      </c>
      <c r="E135" s="35" t="s">
        <v>10294</v>
      </c>
      <c r="F135" s="36" t="s">
        <v>49</v>
      </c>
      <c r="G135" s="175" t="s">
        <v>903</v>
      </c>
      <c r="K135" s="200"/>
      <c r="L135" s="200"/>
      <c r="M135" s="31"/>
      <c r="N135" t="str">
        <f t="shared" si="2"/>
        <v>karen.keiser@leg.wa.gov</v>
      </c>
    </row>
    <row r="136">
      <c r="A136" s="14" t="s">
        <v>286</v>
      </c>
      <c r="B136" s="767">
        <v>34.0</v>
      </c>
      <c r="D136" s="35" t="s">
        <v>622</v>
      </c>
      <c r="E136" s="35" t="s">
        <v>2236</v>
      </c>
      <c r="F136" s="36" t="s">
        <v>49</v>
      </c>
      <c r="G136" s="173"/>
      <c r="K136" s="200"/>
      <c r="L136" s="200"/>
      <c r="M136" s="31"/>
      <c r="N136" t="str">
        <f t="shared" si="2"/>
        <v>joe.nguyen@leg.wa.gov</v>
      </c>
    </row>
    <row r="137">
      <c r="A137" s="14" t="s">
        <v>286</v>
      </c>
      <c r="B137" s="767">
        <v>35.0</v>
      </c>
      <c r="D137" s="35" t="s">
        <v>225</v>
      </c>
      <c r="E137" s="35" t="s">
        <v>5152</v>
      </c>
      <c r="F137" s="800" t="s">
        <v>13994</v>
      </c>
      <c r="G137" s="173"/>
      <c r="K137" s="200"/>
      <c r="L137" s="200"/>
      <c r="M137" s="31"/>
      <c r="N137" t="str">
        <f t="shared" si="2"/>
        <v>tim.sheldon@leg.wa.gov</v>
      </c>
    </row>
    <row r="138">
      <c r="A138" s="14" t="s">
        <v>286</v>
      </c>
      <c r="B138" s="767">
        <v>36.0</v>
      </c>
      <c r="D138" s="35" t="s">
        <v>13998</v>
      </c>
      <c r="E138" s="35" t="s">
        <v>13999</v>
      </c>
      <c r="F138" s="36" t="s">
        <v>49</v>
      </c>
      <c r="G138" s="173"/>
      <c r="K138" s="200"/>
      <c r="L138" s="200"/>
      <c r="M138" s="31"/>
      <c r="N138" t="str">
        <f t="shared" si="2"/>
        <v>reuven.carlyle@leg.wa.gov</v>
      </c>
    </row>
    <row r="139">
      <c r="A139" s="14" t="s">
        <v>286</v>
      </c>
      <c r="B139" s="767">
        <v>37.0</v>
      </c>
      <c r="D139" s="35" t="s">
        <v>1340</v>
      </c>
      <c r="E139" s="38" t="s">
        <v>14004</v>
      </c>
      <c r="F139" s="36" t="s">
        <v>49</v>
      </c>
      <c r="G139" s="175" t="s">
        <v>14005</v>
      </c>
      <c r="K139" s="200"/>
      <c r="L139" s="200"/>
      <c r="M139" s="31"/>
      <c r="N139" t="str">
        <f t="shared" si="2"/>
        <v>rebecca.saldana@leg.wa.gov</v>
      </c>
    </row>
    <row r="140">
      <c r="A140" s="14" t="s">
        <v>286</v>
      </c>
      <c r="B140" s="767">
        <v>38.0</v>
      </c>
      <c r="D140" s="35" t="s">
        <v>278</v>
      </c>
      <c r="E140" s="35" t="s">
        <v>12067</v>
      </c>
      <c r="F140" s="36" t="s">
        <v>49</v>
      </c>
      <c r="G140" s="175" t="s">
        <v>13580</v>
      </c>
      <c r="K140" s="200"/>
      <c r="L140" s="200"/>
      <c r="M140" s="31"/>
      <c r="N140" t="str">
        <f t="shared" si="2"/>
        <v>john.mccoy@leg.wa.gov</v>
      </c>
    </row>
    <row r="141">
      <c r="A141" s="14" t="s">
        <v>286</v>
      </c>
      <c r="B141" s="767">
        <v>39.0</v>
      </c>
      <c r="D141" s="35" t="s">
        <v>1617</v>
      </c>
      <c r="E141" s="35" t="s">
        <v>3773</v>
      </c>
      <c r="F141" s="51" t="s">
        <v>53</v>
      </c>
      <c r="G141" s="173"/>
      <c r="K141" s="200"/>
      <c r="L141" s="200"/>
      <c r="M141" s="31"/>
      <c r="N141" t="str">
        <f t="shared" si="2"/>
        <v>keith.wagoner@leg.wa.gov</v>
      </c>
    </row>
    <row r="142">
      <c r="A142" s="14" t="s">
        <v>286</v>
      </c>
      <c r="B142" s="767">
        <v>40.0</v>
      </c>
      <c r="D142" s="35" t="s">
        <v>971</v>
      </c>
      <c r="E142" s="35" t="s">
        <v>14018</v>
      </c>
      <c r="F142" s="36" t="s">
        <v>49</v>
      </c>
      <c r="G142" s="173"/>
      <c r="K142" s="200"/>
      <c r="L142" s="200"/>
      <c r="M142" s="31"/>
      <c r="N142" t="str">
        <f t="shared" si="2"/>
        <v>kevin.ranker@leg.wa.gov</v>
      </c>
    </row>
    <row r="143">
      <c r="A143" s="14" t="s">
        <v>286</v>
      </c>
      <c r="B143" s="767">
        <v>41.0</v>
      </c>
      <c r="D143" s="74" t="s">
        <v>432</v>
      </c>
      <c r="E143" s="74" t="s">
        <v>14021</v>
      </c>
      <c r="F143" s="36" t="s">
        <v>49</v>
      </c>
      <c r="G143" s="173"/>
      <c r="K143" s="200"/>
      <c r="L143" s="200"/>
      <c r="M143" s="31"/>
      <c r="N143" t="str">
        <f t="shared" si="2"/>
        <v>lisa.wellman@leg.wa.gov</v>
      </c>
    </row>
    <row r="144">
      <c r="A144" s="14" t="s">
        <v>286</v>
      </c>
      <c r="B144" s="767">
        <v>42.0</v>
      </c>
      <c r="D144" s="35" t="s">
        <v>1146</v>
      </c>
      <c r="E144" s="35" t="s">
        <v>14025</v>
      </c>
      <c r="F144" s="51" t="s">
        <v>53</v>
      </c>
      <c r="G144" s="173"/>
      <c r="K144" s="200"/>
      <c r="L144" s="200"/>
      <c r="M144" s="31"/>
      <c r="N144" t="str">
        <f t="shared" si="2"/>
        <v>doug.ericksen@leg.wa.gov</v>
      </c>
    </row>
    <row r="145">
      <c r="A145" s="14" t="s">
        <v>286</v>
      </c>
      <c r="B145" s="767">
        <v>43.0</v>
      </c>
      <c r="D145" s="35" t="s">
        <v>283</v>
      </c>
      <c r="E145" s="35" t="s">
        <v>14034</v>
      </c>
      <c r="F145" s="36" t="s">
        <v>49</v>
      </c>
      <c r="G145" s="173"/>
      <c r="K145" s="200"/>
      <c r="L145" s="200"/>
      <c r="M145" s="31"/>
      <c r="N145" t="str">
        <f t="shared" si="2"/>
        <v>jamie.pedersen@leg.wa.gov</v>
      </c>
    </row>
    <row r="146">
      <c r="A146" s="14" t="s">
        <v>286</v>
      </c>
      <c r="B146" s="767">
        <v>44.0</v>
      </c>
      <c r="D146" s="35" t="s">
        <v>55</v>
      </c>
      <c r="E146" s="35" t="s">
        <v>5669</v>
      </c>
      <c r="F146" s="36" t="s">
        <v>49</v>
      </c>
      <c r="G146" s="173"/>
      <c r="K146" s="200"/>
      <c r="L146" s="200"/>
      <c r="M146" s="31"/>
      <c r="N146" t="str">
        <f t="shared" si="2"/>
        <v>steve.hobbs@leg.wa.gov</v>
      </c>
    </row>
    <row r="147">
      <c r="A147" s="14" t="s">
        <v>286</v>
      </c>
      <c r="B147" s="767">
        <v>45.0</v>
      </c>
      <c r="D147" s="35" t="s">
        <v>14042</v>
      </c>
      <c r="E147" s="35" t="s">
        <v>14044</v>
      </c>
      <c r="F147" s="36" t="s">
        <v>49</v>
      </c>
      <c r="G147" s="175" t="s">
        <v>14005</v>
      </c>
      <c r="K147" s="200"/>
      <c r="L147" s="200"/>
      <c r="M147" s="31"/>
      <c r="N147" t="str">
        <f t="shared" si="2"/>
        <v>manka.dhingra@leg.wa.gov</v>
      </c>
    </row>
    <row r="148">
      <c r="A148" s="14" t="s">
        <v>286</v>
      </c>
      <c r="B148" s="767">
        <v>46.0</v>
      </c>
      <c r="D148" s="35" t="s">
        <v>108</v>
      </c>
      <c r="E148" s="35" t="s">
        <v>14051</v>
      </c>
      <c r="F148" s="36" t="s">
        <v>49</v>
      </c>
      <c r="G148" s="173"/>
      <c r="K148" s="200"/>
      <c r="L148" s="200"/>
      <c r="M148" s="31"/>
      <c r="N148" t="str">
        <f t="shared" si="2"/>
        <v>david.frockt@leg.wa.gov</v>
      </c>
    </row>
    <row r="149">
      <c r="A149" s="14" t="s">
        <v>286</v>
      </c>
      <c r="B149" s="767">
        <v>47.0</v>
      </c>
      <c r="D149" s="35" t="s">
        <v>622</v>
      </c>
      <c r="E149" s="35" t="s">
        <v>14056</v>
      </c>
      <c r="F149" s="51" t="s">
        <v>53</v>
      </c>
      <c r="G149" s="173"/>
      <c r="K149" s="200"/>
      <c r="L149" s="200"/>
      <c r="M149" s="31"/>
      <c r="N149" t="str">
        <f t="shared" si="2"/>
        <v>joe.fain@leg.wa.gov</v>
      </c>
    </row>
    <row r="150">
      <c r="A150" s="14" t="s">
        <v>286</v>
      </c>
      <c r="B150" s="767">
        <v>48.0</v>
      </c>
      <c r="D150" s="35" t="s">
        <v>3923</v>
      </c>
      <c r="E150" s="35" t="s">
        <v>14065</v>
      </c>
      <c r="F150" s="36" t="s">
        <v>49</v>
      </c>
      <c r="G150" s="175" t="s">
        <v>10715</v>
      </c>
      <c r="K150" s="200"/>
      <c r="L150" s="200"/>
      <c r="M150" s="31"/>
      <c r="N150" t="str">
        <f t="shared" si="2"/>
        <v>patty.kuderer@leg.wa.gov</v>
      </c>
    </row>
    <row r="151">
      <c r="A151" s="14" t="s">
        <v>286</v>
      </c>
      <c r="B151" s="767">
        <v>49.0</v>
      </c>
      <c r="D151" s="35" t="s">
        <v>3358</v>
      </c>
      <c r="E151" s="35" t="s">
        <v>9754</v>
      </c>
      <c r="F151" s="36" t="s">
        <v>49</v>
      </c>
      <c r="G151" s="173"/>
      <c r="K151" s="200"/>
      <c r="L151" s="200"/>
      <c r="M151" s="31"/>
      <c r="N151" t="str">
        <f t="shared" si="2"/>
        <v>annette.cleveland@leg.wa.gov</v>
      </c>
    </row>
    <row r="152">
      <c r="A152" s="70"/>
      <c r="B152" s="775"/>
      <c r="D152" s="71"/>
      <c r="E152" s="71"/>
      <c r="F152" s="70"/>
      <c r="G152" s="233"/>
      <c r="H152" s="70"/>
      <c r="I152" s="70"/>
      <c r="J152" s="70"/>
      <c r="K152" s="70"/>
      <c r="L152" s="70"/>
      <c r="M152" s="70"/>
      <c r="N152" s="70"/>
      <c r="O152" s="70"/>
      <c r="P152" s="70"/>
      <c r="Q152" s="70"/>
      <c r="R152" s="70"/>
      <c r="S152" s="70"/>
      <c r="T152" s="70"/>
      <c r="U152" s="70"/>
      <c r="V152" s="70"/>
      <c r="W152" s="70"/>
      <c r="X152" s="70"/>
      <c r="Y152" s="70"/>
      <c r="Z152" s="70"/>
      <c r="AA152" s="70"/>
      <c r="AB152" s="70"/>
      <c r="AC152" s="70"/>
      <c r="AD152" s="70"/>
      <c r="AE152" s="70"/>
      <c r="AF152" s="70"/>
      <c r="AG152" s="70"/>
      <c r="AH152" s="70"/>
      <c r="AI152" s="70"/>
    </row>
    <row r="153">
      <c r="A153" s="14" t="s">
        <v>421</v>
      </c>
      <c r="B153" s="779"/>
      <c r="D153" s="77" t="s">
        <v>1013</v>
      </c>
      <c r="E153" s="77" t="s">
        <v>14071</v>
      </c>
      <c r="F153" s="36" t="s">
        <v>49</v>
      </c>
      <c r="G153" s="173"/>
    </row>
    <row r="154">
      <c r="A154" s="70"/>
      <c r="B154" s="775"/>
      <c r="D154" s="71"/>
      <c r="E154" s="71"/>
      <c r="F154" s="70"/>
      <c r="G154" s="233"/>
      <c r="H154" s="70"/>
      <c r="I154" s="70"/>
      <c r="J154" s="70"/>
      <c r="K154" s="70"/>
      <c r="L154" s="70"/>
      <c r="M154" s="70"/>
      <c r="N154" s="70"/>
      <c r="O154" s="70"/>
      <c r="P154" s="70"/>
      <c r="Q154" s="70"/>
      <c r="R154" s="70"/>
      <c r="S154" s="70"/>
      <c r="T154" s="70"/>
      <c r="U154" s="70"/>
      <c r="V154" s="70"/>
      <c r="W154" s="70"/>
      <c r="X154" s="70"/>
      <c r="Y154" s="70"/>
      <c r="Z154" s="70"/>
      <c r="AA154" s="70"/>
      <c r="AB154" s="70"/>
      <c r="AC154" s="70"/>
      <c r="AD154" s="70"/>
      <c r="AE154" s="70"/>
      <c r="AF154" s="70"/>
      <c r="AG154" s="70"/>
      <c r="AH154" s="70"/>
      <c r="AI154" s="70"/>
    </row>
    <row r="155">
      <c r="A155" s="14" t="s">
        <v>427</v>
      </c>
      <c r="B155" s="780">
        <v>1.0</v>
      </c>
      <c r="D155" s="77" t="s">
        <v>14075</v>
      </c>
      <c r="E155" s="77" t="s">
        <v>14076</v>
      </c>
      <c r="F155" s="36" t="s">
        <v>49</v>
      </c>
      <c r="G155" s="173"/>
    </row>
    <row r="156">
      <c r="A156" s="14" t="s">
        <v>427</v>
      </c>
      <c r="B156" s="780">
        <v>2.0</v>
      </c>
      <c r="D156" s="77" t="s">
        <v>1291</v>
      </c>
      <c r="E156" s="77" t="s">
        <v>10329</v>
      </c>
      <c r="F156" s="36" t="s">
        <v>49</v>
      </c>
      <c r="G156" s="173"/>
    </row>
    <row r="157">
      <c r="A157" s="14" t="s">
        <v>427</v>
      </c>
      <c r="B157" s="780">
        <v>3.0</v>
      </c>
      <c r="D157" s="77" t="s">
        <v>4175</v>
      </c>
      <c r="E157" s="77" t="s">
        <v>14079</v>
      </c>
      <c r="F157" s="51" t="s">
        <v>53</v>
      </c>
      <c r="G157" s="173"/>
    </row>
    <row r="158">
      <c r="A158" s="14" t="s">
        <v>427</v>
      </c>
      <c r="B158" s="780">
        <v>4.0</v>
      </c>
      <c r="D158" s="77" t="s">
        <v>239</v>
      </c>
      <c r="E158" s="77" t="s">
        <v>10804</v>
      </c>
      <c r="F158" s="51" t="s">
        <v>53</v>
      </c>
      <c r="G158" s="173"/>
    </row>
    <row r="159">
      <c r="A159" s="14" t="s">
        <v>427</v>
      </c>
      <c r="B159" s="780">
        <v>5.0</v>
      </c>
      <c r="D159" s="77" t="s">
        <v>120</v>
      </c>
      <c r="E159" s="77" t="s">
        <v>13405</v>
      </c>
      <c r="F159" s="51" t="s">
        <v>53</v>
      </c>
      <c r="G159" s="173"/>
    </row>
    <row r="160">
      <c r="A160" s="14" t="s">
        <v>427</v>
      </c>
      <c r="B160" s="780">
        <v>6.0</v>
      </c>
      <c r="D160" s="77" t="s">
        <v>2525</v>
      </c>
      <c r="E160" s="77" t="s">
        <v>14082</v>
      </c>
      <c r="F160" s="36" t="s">
        <v>49</v>
      </c>
      <c r="G160" s="173"/>
    </row>
    <row r="161">
      <c r="A161" s="14" t="s">
        <v>427</v>
      </c>
      <c r="B161" s="780">
        <v>7.0</v>
      </c>
      <c r="D161" s="77" t="s">
        <v>14083</v>
      </c>
      <c r="E161" s="77" t="s">
        <v>14084</v>
      </c>
      <c r="F161" s="36" t="s">
        <v>49</v>
      </c>
      <c r="G161" s="173"/>
    </row>
    <row r="162">
      <c r="A162" s="14" t="s">
        <v>427</v>
      </c>
      <c r="B162" s="780">
        <v>8.0</v>
      </c>
      <c r="D162" s="77" t="s">
        <v>1973</v>
      </c>
      <c r="E162" s="77" t="s">
        <v>14088</v>
      </c>
      <c r="F162" s="36" t="s">
        <v>49</v>
      </c>
      <c r="G162" s="173"/>
    </row>
    <row r="163">
      <c r="A163" s="14" t="s">
        <v>427</v>
      </c>
      <c r="B163" s="780">
        <v>9.0</v>
      </c>
      <c r="D163" s="77" t="s">
        <v>69</v>
      </c>
      <c r="E163" s="77" t="s">
        <v>1451</v>
      </c>
      <c r="F163" s="36" t="s">
        <v>49</v>
      </c>
      <c r="G163" s="173"/>
    </row>
    <row r="164">
      <c r="A164" s="14" t="s">
        <v>427</v>
      </c>
      <c r="B164" s="780">
        <v>10.0</v>
      </c>
      <c r="D164" s="77" t="s">
        <v>7853</v>
      </c>
      <c r="E164" s="77" t="s">
        <v>14091</v>
      </c>
      <c r="F164" s="36" t="s">
        <v>49</v>
      </c>
      <c r="G164" s="173"/>
    </row>
    <row r="165">
      <c r="A165" s="70"/>
      <c r="B165" s="71"/>
      <c r="C165" s="71"/>
      <c r="D165" s="71"/>
      <c r="E165" s="71"/>
      <c r="F165" s="70"/>
      <c r="G165" s="233"/>
      <c r="H165" s="70"/>
      <c r="I165" s="70"/>
      <c r="J165" s="70"/>
      <c r="K165" s="70"/>
      <c r="L165" s="70"/>
      <c r="M165" s="70"/>
      <c r="N165" s="70"/>
      <c r="O165" s="70"/>
      <c r="P165" s="70"/>
      <c r="Q165" s="70"/>
      <c r="R165" s="70"/>
      <c r="S165" s="70"/>
      <c r="T165" s="70"/>
      <c r="U165" s="70"/>
      <c r="V165" s="70"/>
      <c r="W165" s="70"/>
      <c r="X165" s="70"/>
      <c r="Y165" s="70"/>
      <c r="Z165" s="70"/>
      <c r="AA165" s="70"/>
      <c r="AB165" s="70"/>
      <c r="AC165" s="70"/>
      <c r="AD165" s="70"/>
      <c r="AE165" s="70"/>
      <c r="AF165" s="70"/>
      <c r="AG165" s="70"/>
      <c r="AH165" s="70"/>
      <c r="AI165" s="70"/>
    </row>
    <row r="166">
      <c r="A166" s="14" t="s">
        <v>430</v>
      </c>
      <c r="B166" s="139"/>
      <c r="C166" s="77" t="s">
        <v>431</v>
      </c>
      <c r="D166" s="77" t="s">
        <v>13216</v>
      </c>
      <c r="E166" s="77" t="s">
        <v>7063</v>
      </c>
      <c r="F166" s="36" t="s">
        <v>49</v>
      </c>
      <c r="G166" s="173"/>
    </row>
    <row r="167">
      <c r="A167" s="14" t="s">
        <v>430</v>
      </c>
      <c r="B167" s="139"/>
      <c r="C167" s="77" t="s">
        <v>434</v>
      </c>
      <c r="D167" s="77" t="s">
        <v>2174</v>
      </c>
      <c r="E167" s="77" t="s">
        <v>14092</v>
      </c>
      <c r="F167" s="36" t="s">
        <v>49</v>
      </c>
      <c r="G167" s="173"/>
    </row>
    <row r="168">
      <c r="A168" s="70"/>
      <c r="B168" s="71"/>
      <c r="C168" s="71"/>
      <c r="D168" s="71"/>
      <c r="E168" s="71"/>
      <c r="F168" s="70"/>
      <c r="G168" s="233"/>
      <c r="H168" s="70"/>
      <c r="I168" s="70"/>
      <c r="J168" s="70"/>
      <c r="K168" s="70"/>
      <c r="L168" s="70"/>
      <c r="M168" s="70"/>
      <c r="N168" s="70"/>
      <c r="O168" s="70"/>
      <c r="P168" s="70"/>
      <c r="Q168" s="70"/>
      <c r="R168" s="70"/>
      <c r="S168" s="70"/>
      <c r="T168" s="70"/>
      <c r="U168" s="70"/>
      <c r="V168" s="70"/>
      <c r="W168" s="70"/>
      <c r="X168" s="70"/>
      <c r="Y168" s="70"/>
      <c r="Z168" s="70"/>
      <c r="AA168" s="70"/>
      <c r="AB168" s="70"/>
      <c r="AC168" s="70"/>
      <c r="AD168" s="70"/>
      <c r="AE168" s="70"/>
      <c r="AF168" s="70"/>
      <c r="AG168" s="70"/>
      <c r="AH168" s="70"/>
      <c r="AI168" s="70"/>
    </row>
    <row r="169">
      <c r="A169" s="14" t="s">
        <v>438</v>
      </c>
      <c r="B169" s="139"/>
      <c r="C169" s="139"/>
      <c r="D169" s="77" t="s">
        <v>419</v>
      </c>
      <c r="E169" s="77" t="s">
        <v>1079</v>
      </c>
      <c r="F169" s="36" t="s">
        <v>49</v>
      </c>
      <c r="G169" s="173"/>
    </row>
    <row r="170">
      <c r="A170" s="70"/>
      <c r="B170" s="71"/>
      <c r="C170" s="71"/>
      <c r="D170" s="71"/>
      <c r="E170" s="71"/>
      <c r="F170" s="70"/>
      <c r="G170" s="233"/>
      <c r="H170" s="70"/>
      <c r="I170" s="70"/>
      <c r="J170" s="70"/>
      <c r="K170" s="70"/>
      <c r="L170" s="70"/>
      <c r="M170" s="70"/>
      <c r="N170" s="70"/>
      <c r="O170" s="70"/>
      <c r="P170" s="70"/>
      <c r="Q170" s="70"/>
      <c r="R170" s="70"/>
      <c r="S170" s="70"/>
      <c r="T170" s="70"/>
      <c r="U170" s="70"/>
      <c r="V170" s="70"/>
      <c r="W170" s="70"/>
      <c r="X170" s="70"/>
      <c r="Y170" s="70"/>
      <c r="Z170" s="70"/>
      <c r="AA170" s="70"/>
      <c r="AB170" s="70"/>
      <c r="AC170" s="70"/>
      <c r="AD170" s="70"/>
      <c r="AE170" s="70"/>
      <c r="AF170" s="70"/>
      <c r="AG170" s="70"/>
      <c r="AH170" s="70"/>
      <c r="AI170" s="70"/>
    </row>
    <row r="171">
      <c r="B171" s="139"/>
      <c r="C171" s="139"/>
      <c r="D171" s="139"/>
      <c r="E171" s="139"/>
      <c r="G171" s="173"/>
    </row>
    <row r="172">
      <c r="B172" s="139"/>
      <c r="C172" s="139"/>
      <c r="D172" s="139"/>
      <c r="E172" s="139"/>
      <c r="G172" s="173"/>
    </row>
    <row r="173">
      <c r="B173" s="139"/>
      <c r="C173" s="139"/>
      <c r="D173" s="139"/>
      <c r="E173" s="139"/>
      <c r="G173" s="173"/>
    </row>
    <row r="174">
      <c r="B174" s="139"/>
      <c r="C174" s="139"/>
      <c r="D174" s="139"/>
      <c r="E174" s="139"/>
      <c r="G174" s="173"/>
    </row>
    <row r="175">
      <c r="B175" s="139"/>
      <c r="C175" s="139"/>
      <c r="D175" s="139"/>
      <c r="E175" s="139"/>
      <c r="G175" s="173"/>
    </row>
    <row r="176">
      <c r="B176" s="139"/>
      <c r="C176" s="139"/>
      <c r="D176" s="139"/>
      <c r="E176" s="139"/>
      <c r="G176" s="173"/>
    </row>
    <row r="177">
      <c r="B177" s="139"/>
      <c r="C177" s="139"/>
      <c r="D177" s="139"/>
      <c r="E177" s="139"/>
      <c r="G177" s="173"/>
    </row>
    <row r="178">
      <c r="B178" s="139"/>
      <c r="C178" s="139"/>
      <c r="D178" s="139"/>
      <c r="E178" s="139"/>
      <c r="G178" s="173"/>
    </row>
    <row r="179">
      <c r="B179" s="139"/>
      <c r="C179" s="139"/>
      <c r="D179" s="139"/>
      <c r="E179" s="139"/>
      <c r="G179" s="173"/>
    </row>
    <row r="180">
      <c r="B180" s="139"/>
      <c r="C180" s="139"/>
      <c r="D180" s="139"/>
      <c r="E180" s="139"/>
      <c r="G180" s="173"/>
    </row>
    <row r="181">
      <c r="B181" s="139"/>
      <c r="C181" s="139"/>
      <c r="D181" s="139"/>
      <c r="E181" s="139"/>
      <c r="G181" s="173"/>
    </row>
    <row r="182">
      <c r="B182" s="139"/>
      <c r="C182" s="139"/>
      <c r="D182" s="139"/>
      <c r="E182" s="139"/>
      <c r="G182" s="173"/>
    </row>
    <row r="183">
      <c r="B183" s="139"/>
      <c r="C183" s="139"/>
      <c r="D183" s="139"/>
      <c r="E183" s="139"/>
      <c r="G183" s="173"/>
    </row>
    <row r="184">
      <c r="B184" s="139"/>
      <c r="C184" s="139"/>
      <c r="D184" s="139"/>
      <c r="E184" s="139"/>
      <c r="G184" s="173"/>
    </row>
    <row r="185">
      <c r="B185" s="139"/>
      <c r="C185" s="139"/>
      <c r="D185" s="139"/>
      <c r="E185" s="139"/>
      <c r="G185" s="173"/>
    </row>
    <row r="186">
      <c r="B186" s="139"/>
      <c r="C186" s="139"/>
      <c r="D186" s="139"/>
      <c r="E186" s="139"/>
      <c r="G186" s="173"/>
    </row>
    <row r="187">
      <c r="B187" s="139"/>
      <c r="C187" s="139"/>
      <c r="D187" s="139"/>
      <c r="E187" s="139"/>
      <c r="G187" s="173"/>
    </row>
    <row r="188">
      <c r="B188" s="139"/>
      <c r="C188" s="139"/>
      <c r="D188" s="139"/>
      <c r="E188" s="139"/>
      <c r="G188" s="173"/>
    </row>
    <row r="189">
      <c r="B189" s="139"/>
      <c r="C189" s="139"/>
      <c r="D189" s="139"/>
      <c r="E189" s="139"/>
      <c r="G189" s="173"/>
    </row>
    <row r="190">
      <c r="B190" s="139"/>
      <c r="C190" s="139"/>
      <c r="D190" s="139"/>
      <c r="E190" s="139"/>
      <c r="G190" s="173"/>
    </row>
    <row r="191">
      <c r="B191" s="139"/>
      <c r="C191" s="139"/>
      <c r="D191" s="139"/>
      <c r="E191" s="139"/>
      <c r="G191" s="173"/>
    </row>
    <row r="192">
      <c r="B192" s="139"/>
      <c r="C192" s="139"/>
      <c r="D192" s="139"/>
      <c r="E192" s="139"/>
      <c r="G192" s="173"/>
    </row>
    <row r="193">
      <c r="B193" s="139"/>
      <c r="C193" s="139"/>
      <c r="D193" s="139"/>
      <c r="E193" s="139"/>
      <c r="G193" s="173"/>
    </row>
    <row r="194">
      <c r="B194" s="139"/>
      <c r="C194" s="139"/>
      <c r="D194" s="139"/>
      <c r="E194" s="139"/>
      <c r="G194" s="173"/>
    </row>
    <row r="195">
      <c r="B195" s="139"/>
      <c r="C195" s="139"/>
      <c r="D195" s="139"/>
      <c r="E195" s="139"/>
      <c r="G195" s="173"/>
    </row>
    <row r="196">
      <c r="B196" s="139"/>
      <c r="C196" s="139"/>
      <c r="D196" s="139"/>
      <c r="E196" s="139"/>
      <c r="G196" s="173"/>
    </row>
    <row r="197">
      <c r="B197" s="139"/>
      <c r="C197" s="139"/>
      <c r="D197" s="139"/>
      <c r="E197" s="139"/>
      <c r="G197" s="173"/>
    </row>
    <row r="198">
      <c r="B198" s="139"/>
      <c r="C198" s="139"/>
      <c r="D198" s="139"/>
      <c r="E198" s="139"/>
      <c r="G198" s="173"/>
    </row>
    <row r="199">
      <c r="B199" s="139"/>
      <c r="C199" s="139"/>
      <c r="D199" s="139"/>
      <c r="E199" s="139"/>
      <c r="G199" s="173"/>
    </row>
    <row r="200">
      <c r="B200" s="139"/>
      <c r="C200" s="139"/>
      <c r="D200" s="139"/>
      <c r="E200" s="139"/>
      <c r="G200" s="173"/>
    </row>
    <row r="201">
      <c r="B201" s="139"/>
      <c r="C201" s="139"/>
      <c r="D201" s="139"/>
      <c r="E201" s="139"/>
      <c r="G201" s="173"/>
    </row>
    <row r="202">
      <c r="B202" s="139"/>
      <c r="C202" s="139"/>
      <c r="D202" s="139"/>
      <c r="E202" s="139"/>
      <c r="G202" s="173"/>
    </row>
    <row r="203">
      <c r="B203" s="139"/>
      <c r="C203" s="139"/>
      <c r="D203" s="139"/>
      <c r="E203" s="139"/>
      <c r="G203" s="173"/>
    </row>
    <row r="204">
      <c r="B204" s="139"/>
      <c r="C204" s="139"/>
      <c r="D204" s="139"/>
      <c r="E204" s="139"/>
      <c r="G204" s="173"/>
    </row>
    <row r="205">
      <c r="B205" s="139"/>
      <c r="C205" s="139"/>
      <c r="D205" s="139"/>
      <c r="E205" s="139"/>
      <c r="G205" s="173"/>
    </row>
    <row r="206">
      <c r="B206" s="139"/>
      <c r="C206" s="139"/>
      <c r="D206" s="139"/>
      <c r="E206" s="139"/>
      <c r="G206" s="173"/>
    </row>
    <row r="207">
      <c r="B207" s="139"/>
      <c r="C207" s="139"/>
      <c r="D207" s="139"/>
      <c r="E207" s="139"/>
      <c r="G207" s="173"/>
    </row>
    <row r="208">
      <c r="B208" s="139"/>
      <c r="C208" s="139"/>
      <c r="D208" s="139"/>
      <c r="E208" s="139"/>
      <c r="G208" s="173"/>
    </row>
    <row r="209">
      <c r="B209" s="139"/>
      <c r="C209" s="139"/>
      <c r="D209" s="139"/>
      <c r="E209" s="139"/>
      <c r="G209" s="173"/>
    </row>
    <row r="210">
      <c r="B210" s="139"/>
      <c r="C210" s="139"/>
      <c r="D210" s="139"/>
      <c r="E210" s="139"/>
      <c r="G210" s="173"/>
    </row>
    <row r="211">
      <c r="B211" s="139"/>
      <c r="C211" s="139"/>
      <c r="D211" s="139"/>
      <c r="E211" s="139"/>
      <c r="G211" s="173"/>
    </row>
    <row r="212">
      <c r="B212" s="139"/>
      <c r="C212" s="139"/>
      <c r="D212" s="139"/>
      <c r="E212" s="139"/>
      <c r="G212" s="173"/>
    </row>
    <row r="213">
      <c r="B213" s="139"/>
      <c r="C213" s="139"/>
      <c r="D213" s="139"/>
      <c r="E213" s="139"/>
      <c r="G213" s="173"/>
    </row>
    <row r="214">
      <c r="B214" s="139"/>
      <c r="C214" s="139"/>
      <c r="D214" s="139"/>
      <c r="E214" s="139"/>
      <c r="G214" s="173"/>
    </row>
    <row r="215">
      <c r="B215" s="139"/>
      <c r="C215" s="139"/>
      <c r="D215" s="139"/>
      <c r="E215" s="139"/>
      <c r="G215" s="173"/>
    </row>
    <row r="216">
      <c r="B216" s="139"/>
      <c r="C216" s="139"/>
      <c r="D216" s="139"/>
      <c r="E216" s="139"/>
      <c r="G216" s="173"/>
    </row>
    <row r="217">
      <c r="B217" s="139"/>
      <c r="C217" s="139"/>
      <c r="D217" s="139"/>
      <c r="E217" s="139"/>
      <c r="G217" s="173"/>
    </row>
    <row r="218">
      <c r="B218" s="139"/>
      <c r="C218" s="139"/>
      <c r="D218" s="139"/>
      <c r="E218" s="139"/>
      <c r="G218" s="173"/>
    </row>
    <row r="219">
      <c r="B219" s="139"/>
      <c r="C219" s="139"/>
      <c r="D219" s="139"/>
      <c r="E219" s="139"/>
      <c r="G219" s="173"/>
    </row>
    <row r="220">
      <c r="B220" s="139"/>
      <c r="C220" s="139"/>
      <c r="D220" s="139"/>
      <c r="E220" s="139"/>
      <c r="G220" s="173"/>
    </row>
    <row r="221">
      <c r="B221" s="139"/>
      <c r="C221" s="139"/>
      <c r="D221" s="139"/>
      <c r="E221" s="139"/>
      <c r="G221" s="173"/>
    </row>
    <row r="222">
      <c r="B222" s="139"/>
      <c r="C222" s="139"/>
      <c r="D222" s="139"/>
      <c r="E222" s="139"/>
      <c r="G222" s="173"/>
    </row>
    <row r="223">
      <c r="B223" s="139"/>
      <c r="C223" s="139"/>
      <c r="D223" s="139"/>
      <c r="E223" s="139"/>
      <c r="G223" s="173"/>
    </row>
    <row r="224">
      <c r="B224" s="139"/>
      <c r="C224" s="139"/>
      <c r="D224" s="139"/>
      <c r="E224" s="139"/>
      <c r="G224" s="173"/>
    </row>
    <row r="225">
      <c r="B225" s="139"/>
      <c r="C225" s="139"/>
      <c r="D225" s="139"/>
      <c r="E225" s="139"/>
      <c r="G225" s="173"/>
    </row>
    <row r="226">
      <c r="B226" s="139"/>
      <c r="C226" s="139"/>
      <c r="D226" s="139"/>
      <c r="E226" s="139"/>
      <c r="G226" s="173"/>
    </row>
    <row r="227">
      <c r="B227" s="139"/>
      <c r="C227" s="139"/>
      <c r="D227" s="139"/>
      <c r="E227" s="139"/>
      <c r="G227" s="173"/>
    </row>
    <row r="228">
      <c r="B228" s="139"/>
      <c r="C228" s="139"/>
      <c r="D228" s="139"/>
      <c r="E228" s="139"/>
      <c r="G228" s="173"/>
    </row>
    <row r="229">
      <c r="B229" s="139"/>
      <c r="C229" s="139"/>
      <c r="D229" s="139"/>
      <c r="E229" s="139"/>
      <c r="G229" s="173"/>
    </row>
    <row r="230">
      <c r="B230" s="139"/>
      <c r="C230" s="139"/>
      <c r="D230" s="139"/>
      <c r="E230" s="139"/>
      <c r="G230" s="173"/>
    </row>
    <row r="231">
      <c r="B231" s="139"/>
      <c r="C231" s="139"/>
      <c r="D231" s="139"/>
      <c r="E231" s="139"/>
      <c r="G231" s="173"/>
    </row>
    <row r="232">
      <c r="B232" s="139"/>
      <c r="C232" s="139"/>
      <c r="D232" s="139"/>
      <c r="E232" s="139"/>
      <c r="G232" s="173"/>
    </row>
    <row r="233">
      <c r="B233" s="139"/>
      <c r="C233" s="139"/>
      <c r="D233" s="139"/>
      <c r="E233" s="139"/>
      <c r="G233" s="173"/>
    </row>
    <row r="234">
      <c r="B234" s="139"/>
      <c r="C234" s="139"/>
      <c r="D234" s="139"/>
      <c r="E234" s="139"/>
      <c r="G234" s="173"/>
    </row>
    <row r="235">
      <c r="B235" s="139"/>
      <c r="C235" s="139"/>
      <c r="D235" s="139"/>
      <c r="E235" s="139"/>
      <c r="G235" s="173"/>
    </row>
    <row r="236">
      <c r="B236" s="139"/>
      <c r="C236" s="139"/>
      <c r="D236" s="139"/>
      <c r="E236" s="139"/>
      <c r="G236" s="173"/>
    </row>
    <row r="237">
      <c r="B237" s="139"/>
      <c r="C237" s="139"/>
      <c r="D237" s="139"/>
      <c r="E237" s="139"/>
      <c r="G237" s="173"/>
    </row>
    <row r="238">
      <c r="B238" s="139"/>
      <c r="C238" s="139"/>
      <c r="D238" s="139"/>
      <c r="E238" s="139"/>
      <c r="G238" s="173"/>
    </row>
    <row r="239">
      <c r="B239" s="139"/>
      <c r="C239" s="139"/>
      <c r="D239" s="139"/>
      <c r="E239" s="139"/>
      <c r="G239" s="173"/>
    </row>
    <row r="240">
      <c r="B240" s="139"/>
      <c r="C240" s="139"/>
      <c r="D240" s="139"/>
      <c r="E240" s="139"/>
      <c r="G240" s="173"/>
    </row>
    <row r="241">
      <c r="B241" s="139"/>
      <c r="C241" s="139"/>
      <c r="D241" s="139"/>
      <c r="E241" s="139"/>
      <c r="G241" s="173"/>
    </row>
    <row r="242">
      <c r="B242" s="139"/>
      <c r="C242" s="139"/>
      <c r="D242" s="139"/>
      <c r="E242" s="139"/>
      <c r="G242" s="173"/>
    </row>
    <row r="243">
      <c r="B243" s="139"/>
      <c r="C243" s="139"/>
      <c r="D243" s="139"/>
      <c r="E243" s="139"/>
      <c r="G243" s="173"/>
    </row>
    <row r="244">
      <c r="B244" s="139"/>
      <c r="C244" s="139"/>
      <c r="D244" s="139"/>
      <c r="E244" s="139"/>
      <c r="G244" s="173"/>
    </row>
    <row r="245">
      <c r="B245" s="139"/>
      <c r="C245" s="139"/>
      <c r="D245" s="139"/>
      <c r="E245" s="139"/>
      <c r="G245" s="173"/>
    </row>
    <row r="246">
      <c r="B246" s="139"/>
      <c r="C246" s="139"/>
      <c r="D246" s="139"/>
      <c r="E246" s="139"/>
      <c r="G246" s="173"/>
    </row>
    <row r="247">
      <c r="B247" s="139"/>
      <c r="C247" s="139"/>
      <c r="D247" s="139"/>
      <c r="E247" s="139"/>
      <c r="G247" s="173"/>
    </row>
    <row r="248">
      <c r="B248" s="139"/>
      <c r="C248" s="139"/>
      <c r="D248" s="139"/>
      <c r="E248" s="139"/>
      <c r="G248" s="173"/>
    </row>
    <row r="249">
      <c r="B249" s="139"/>
      <c r="C249" s="139"/>
      <c r="D249" s="139"/>
      <c r="E249" s="139"/>
      <c r="G249" s="173"/>
    </row>
    <row r="250">
      <c r="B250" s="139"/>
      <c r="C250" s="139"/>
      <c r="D250" s="139"/>
      <c r="E250" s="139"/>
      <c r="G250" s="173"/>
    </row>
    <row r="251">
      <c r="B251" s="139"/>
      <c r="C251" s="139"/>
      <c r="D251" s="139"/>
      <c r="E251" s="139"/>
      <c r="G251" s="173"/>
    </row>
    <row r="252">
      <c r="B252" s="139"/>
      <c r="C252" s="139"/>
      <c r="D252" s="139"/>
      <c r="E252" s="139"/>
      <c r="G252" s="173"/>
    </row>
    <row r="253">
      <c r="B253" s="139"/>
      <c r="C253" s="139"/>
      <c r="D253" s="139"/>
      <c r="E253" s="139"/>
      <c r="G253" s="173"/>
    </row>
    <row r="254">
      <c r="B254" s="139"/>
      <c r="C254" s="139"/>
      <c r="D254" s="139"/>
      <c r="E254" s="139"/>
      <c r="G254" s="173"/>
    </row>
    <row r="255">
      <c r="B255" s="139"/>
      <c r="C255" s="139"/>
      <c r="D255" s="139"/>
      <c r="E255" s="139"/>
      <c r="G255" s="173"/>
    </row>
    <row r="256">
      <c r="B256" s="139"/>
      <c r="C256" s="139"/>
      <c r="D256" s="139"/>
      <c r="E256" s="139"/>
      <c r="G256" s="173"/>
    </row>
    <row r="257">
      <c r="B257" s="139"/>
      <c r="C257" s="139"/>
      <c r="D257" s="139"/>
      <c r="E257" s="139"/>
      <c r="G257" s="173"/>
    </row>
    <row r="258">
      <c r="B258" s="139"/>
      <c r="C258" s="139"/>
      <c r="D258" s="139"/>
      <c r="E258" s="139"/>
      <c r="G258" s="173"/>
    </row>
    <row r="259">
      <c r="B259" s="139"/>
      <c r="C259" s="139"/>
      <c r="D259" s="139"/>
      <c r="E259" s="139"/>
      <c r="G259" s="173"/>
    </row>
    <row r="260">
      <c r="B260" s="139"/>
      <c r="C260" s="139"/>
      <c r="D260" s="139"/>
      <c r="E260" s="139"/>
      <c r="G260" s="173"/>
    </row>
    <row r="261">
      <c r="B261" s="139"/>
      <c r="C261" s="139"/>
      <c r="D261" s="139"/>
      <c r="E261" s="139"/>
      <c r="G261" s="173"/>
    </row>
    <row r="262">
      <c r="B262" s="139"/>
      <c r="C262" s="139"/>
      <c r="D262" s="139"/>
      <c r="E262" s="139"/>
      <c r="G262" s="173"/>
    </row>
    <row r="263">
      <c r="B263" s="139"/>
      <c r="C263" s="139"/>
      <c r="D263" s="139"/>
      <c r="E263" s="139"/>
      <c r="G263" s="173"/>
    </row>
    <row r="264">
      <c r="B264" s="139"/>
      <c r="C264" s="139"/>
      <c r="D264" s="139"/>
      <c r="E264" s="139"/>
      <c r="G264" s="173"/>
    </row>
    <row r="265">
      <c r="B265" s="139"/>
      <c r="C265" s="139"/>
      <c r="D265" s="139"/>
      <c r="E265" s="139"/>
      <c r="G265" s="173"/>
    </row>
    <row r="266">
      <c r="B266" s="139"/>
      <c r="C266" s="139"/>
      <c r="D266" s="139"/>
      <c r="E266" s="139"/>
      <c r="G266" s="173"/>
    </row>
    <row r="267">
      <c r="B267" s="139"/>
      <c r="C267" s="139"/>
      <c r="D267" s="139"/>
      <c r="E267" s="139"/>
      <c r="G267" s="173"/>
    </row>
    <row r="268">
      <c r="B268" s="139"/>
      <c r="C268" s="139"/>
      <c r="D268" s="139"/>
      <c r="E268" s="139"/>
      <c r="G268" s="173"/>
    </row>
    <row r="269">
      <c r="B269" s="139"/>
      <c r="C269" s="139"/>
      <c r="D269" s="139"/>
      <c r="E269" s="139"/>
      <c r="G269" s="173"/>
    </row>
    <row r="270">
      <c r="B270" s="139"/>
      <c r="C270" s="139"/>
      <c r="D270" s="139"/>
      <c r="E270" s="139"/>
      <c r="G270" s="173"/>
    </row>
    <row r="271">
      <c r="B271" s="139"/>
      <c r="C271" s="139"/>
      <c r="D271" s="139"/>
      <c r="E271" s="139"/>
      <c r="G271" s="173"/>
    </row>
    <row r="272">
      <c r="B272" s="139"/>
      <c r="C272" s="139"/>
      <c r="D272" s="139"/>
      <c r="E272" s="139"/>
      <c r="G272" s="173"/>
    </row>
    <row r="273">
      <c r="B273" s="139"/>
      <c r="C273" s="139"/>
      <c r="D273" s="139"/>
      <c r="E273" s="139"/>
      <c r="G273" s="173"/>
    </row>
    <row r="274">
      <c r="B274" s="139"/>
      <c r="C274" s="139"/>
      <c r="D274" s="139"/>
      <c r="E274" s="139"/>
      <c r="G274" s="173"/>
    </row>
    <row r="275">
      <c r="B275" s="139"/>
      <c r="C275" s="139"/>
      <c r="D275" s="139"/>
      <c r="E275" s="139"/>
      <c r="G275" s="173"/>
    </row>
    <row r="276">
      <c r="B276" s="139"/>
      <c r="C276" s="139"/>
      <c r="D276" s="139"/>
      <c r="E276" s="139"/>
      <c r="G276" s="173"/>
    </row>
    <row r="277">
      <c r="B277" s="139"/>
      <c r="C277" s="139"/>
      <c r="D277" s="139"/>
      <c r="E277" s="139"/>
      <c r="G277" s="173"/>
    </row>
    <row r="278">
      <c r="B278" s="139"/>
      <c r="C278" s="139"/>
      <c r="D278" s="139"/>
      <c r="E278" s="139"/>
      <c r="G278" s="173"/>
    </row>
    <row r="279">
      <c r="B279" s="139"/>
      <c r="C279" s="139"/>
      <c r="D279" s="139"/>
      <c r="E279" s="139"/>
      <c r="G279" s="173"/>
    </row>
    <row r="280">
      <c r="B280" s="139"/>
      <c r="C280" s="139"/>
      <c r="D280" s="139"/>
      <c r="E280" s="139"/>
      <c r="G280" s="173"/>
    </row>
    <row r="281">
      <c r="B281" s="139"/>
      <c r="C281" s="139"/>
      <c r="D281" s="139"/>
      <c r="E281" s="139"/>
      <c r="G281" s="173"/>
    </row>
    <row r="282">
      <c r="B282" s="139"/>
      <c r="C282" s="139"/>
      <c r="D282" s="139"/>
      <c r="E282" s="139"/>
      <c r="G282" s="173"/>
    </row>
    <row r="283">
      <c r="B283" s="139"/>
      <c r="C283" s="139"/>
      <c r="D283" s="139"/>
      <c r="E283" s="139"/>
      <c r="G283" s="173"/>
    </row>
    <row r="284">
      <c r="B284" s="139"/>
      <c r="C284" s="139"/>
      <c r="D284" s="139"/>
      <c r="E284" s="139"/>
      <c r="G284" s="173"/>
    </row>
    <row r="285">
      <c r="B285" s="139"/>
      <c r="C285" s="139"/>
      <c r="D285" s="139"/>
      <c r="E285" s="139"/>
      <c r="G285" s="173"/>
    </row>
    <row r="286">
      <c r="B286" s="139"/>
      <c r="C286" s="139"/>
      <c r="D286" s="139"/>
      <c r="E286" s="139"/>
      <c r="G286" s="173"/>
    </row>
    <row r="287">
      <c r="B287" s="139"/>
      <c r="C287" s="139"/>
      <c r="D287" s="139"/>
      <c r="E287" s="139"/>
      <c r="G287" s="173"/>
    </row>
    <row r="288">
      <c r="B288" s="139"/>
      <c r="C288" s="139"/>
      <c r="D288" s="139"/>
      <c r="E288" s="139"/>
      <c r="G288" s="173"/>
    </row>
    <row r="289">
      <c r="B289" s="139"/>
      <c r="C289" s="139"/>
      <c r="D289" s="139"/>
      <c r="E289" s="139"/>
      <c r="G289" s="173"/>
    </row>
    <row r="290">
      <c r="B290" s="139"/>
      <c r="C290" s="139"/>
      <c r="D290" s="139"/>
      <c r="E290" s="139"/>
      <c r="G290" s="173"/>
    </row>
    <row r="291">
      <c r="B291" s="139"/>
      <c r="C291" s="139"/>
      <c r="D291" s="139"/>
      <c r="E291" s="139"/>
      <c r="G291" s="173"/>
    </row>
    <row r="292">
      <c r="B292" s="139"/>
      <c r="C292" s="139"/>
      <c r="D292" s="139"/>
      <c r="E292" s="139"/>
      <c r="G292" s="173"/>
    </row>
    <row r="293">
      <c r="B293" s="139"/>
      <c r="C293" s="139"/>
      <c r="D293" s="139"/>
      <c r="E293" s="139"/>
      <c r="G293" s="173"/>
    </row>
    <row r="294">
      <c r="B294" s="139"/>
      <c r="C294" s="139"/>
      <c r="D294" s="139"/>
      <c r="E294" s="139"/>
      <c r="G294" s="173"/>
    </row>
    <row r="295">
      <c r="B295" s="139"/>
      <c r="C295" s="139"/>
      <c r="D295" s="139"/>
      <c r="E295" s="139"/>
      <c r="G295" s="173"/>
    </row>
    <row r="296">
      <c r="B296" s="139"/>
      <c r="C296" s="139"/>
      <c r="D296" s="139"/>
      <c r="E296" s="139"/>
      <c r="G296" s="173"/>
    </row>
    <row r="297">
      <c r="B297" s="139"/>
      <c r="C297" s="139"/>
      <c r="D297" s="139"/>
      <c r="E297" s="139"/>
      <c r="G297" s="173"/>
    </row>
    <row r="298">
      <c r="B298" s="139"/>
      <c r="C298" s="139"/>
      <c r="D298" s="139"/>
      <c r="E298" s="139"/>
      <c r="G298" s="173"/>
    </row>
    <row r="299">
      <c r="B299" s="139"/>
      <c r="C299" s="139"/>
      <c r="D299" s="139"/>
      <c r="E299" s="139"/>
      <c r="G299" s="173"/>
    </row>
    <row r="300">
      <c r="B300" s="139"/>
      <c r="C300" s="139"/>
      <c r="D300" s="139"/>
      <c r="E300" s="139"/>
      <c r="G300" s="173"/>
    </row>
    <row r="301">
      <c r="B301" s="139"/>
      <c r="C301" s="139"/>
      <c r="D301" s="139"/>
      <c r="E301" s="139"/>
      <c r="G301" s="173"/>
    </row>
    <row r="302">
      <c r="B302" s="139"/>
      <c r="C302" s="139"/>
      <c r="D302" s="139"/>
      <c r="E302" s="139"/>
      <c r="G302" s="173"/>
    </row>
    <row r="303">
      <c r="B303" s="139"/>
      <c r="C303" s="139"/>
      <c r="D303" s="139"/>
      <c r="E303" s="139"/>
      <c r="G303" s="173"/>
    </row>
    <row r="304">
      <c r="B304" s="139"/>
      <c r="C304" s="139"/>
      <c r="D304" s="139"/>
      <c r="E304" s="139"/>
      <c r="G304" s="173"/>
    </row>
    <row r="305">
      <c r="B305" s="139"/>
      <c r="C305" s="139"/>
      <c r="D305" s="139"/>
      <c r="E305" s="139"/>
      <c r="G305" s="173"/>
    </row>
    <row r="306">
      <c r="B306" s="139"/>
      <c r="C306" s="139"/>
      <c r="D306" s="139"/>
      <c r="E306" s="139"/>
      <c r="G306" s="173"/>
    </row>
    <row r="307">
      <c r="B307" s="139"/>
      <c r="C307" s="139"/>
      <c r="D307" s="139"/>
      <c r="E307" s="139"/>
      <c r="G307" s="173"/>
    </row>
    <row r="308">
      <c r="B308" s="139"/>
      <c r="C308" s="139"/>
      <c r="D308" s="139"/>
      <c r="E308" s="139"/>
      <c r="G308" s="173"/>
    </row>
    <row r="309">
      <c r="B309" s="139"/>
      <c r="C309" s="139"/>
      <c r="D309" s="139"/>
      <c r="E309" s="139"/>
      <c r="G309" s="173"/>
    </row>
    <row r="310">
      <c r="B310" s="139"/>
      <c r="C310" s="139"/>
      <c r="D310" s="139"/>
      <c r="E310" s="139"/>
      <c r="G310" s="173"/>
    </row>
    <row r="311">
      <c r="B311" s="139"/>
      <c r="C311" s="139"/>
      <c r="D311" s="139"/>
      <c r="E311" s="139"/>
      <c r="G311" s="173"/>
    </row>
    <row r="312">
      <c r="B312" s="139"/>
      <c r="C312" s="139"/>
      <c r="D312" s="139"/>
      <c r="E312" s="139"/>
      <c r="G312" s="173"/>
    </row>
    <row r="313">
      <c r="B313" s="139"/>
      <c r="C313" s="139"/>
      <c r="D313" s="139"/>
      <c r="E313" s="139"/>
      <c r="G313" s="173"/>
    </row>
    <row r="314">
      <c r="B314" s="139"/>
      <c r="C314" s="139"/>
      <c r="D314" s="139"/>
      <c r="E314" s="139"/>
      <c r="G314" s="173"/>
    </row>
    <row r="315">
      <c r="B315" s="139"/>
      <c r="C315" s="139"/>
      <c r="D315" s="139"/>
      <c r="E315" s="139"/>
      <c r="G315" s="173"/>
    </row>
    <row r="316">
      <c r="B316" s="139"/>
      <c r="C316" s="139"/>
      <c r="D316" s="139"/>
      <c r="E316" s="139"/>
      <c r="G316" s="173"/>
    </row>
    <row r="317">
      <c r="B317" s="139"/>
      <c r="C317" s="139"/>
      <c r="D317" s="139"/>
      <c r="E317" s="139"/>
      <c r="G317" s="173"/>
    </row>
    <row r="318">
      <c r="B318" s="139"/>
      <c r="C318" s="139"/>
      <c r="D318" s="139"/>
      <c r="E318" s="139"/>
      <c r="G318" s="173"/>
    </row>
    <row r="319">
      <c r="B319" s="139"/>
      <c r="C319" s="139"/>
      <c r="D319" s="139"/>
      <c r="E319" s="139"/>
      <c r="G319" s="173"/>
    </row>
    <row r="320">
      <c r="B320" s="139"/>
      <c r="C320" s="139"/>
      <c r="D320" s="139"/>
      <c r="E320" s="139"/>
      <c r="G320" s="173"/>
    </row>
    <row r="321">
      <c r="B321" s="139"/>
      <c r="C321" s="139"/>
      <c r="D321" s="139"/>
      <c r="E321" s="139"/>
      <c r="G321" s="173"/>
    </row>
    <row r="322">
      <c r="B322" s="139"/>
      <c r="C322" s="139"/>
      <c r="D322" s="139"/>
      <c r="E322" s="139"/>
      <c r="G322" s="173"/>
    </row>
    <row r="323">
      <c r="B323" s="139"/>
      <c r="C323" s="139"/>
      <c r="D323" s="139"/>
      <c r="E323" s="139"/>
      <c r="G323" s="173"/>
    </row>
    <row r="324">
      <c r="B324" s="139"/>
      <c r="C324" s="139"/>
      <c r="D324" s="139"/>
      <c r="E324" s="139"/>
      <c r="G324" s="173"/>
    </row>
    <row r="325">
      <c r="B325" s="139"/>
      <c r="C325" s="139"/>
      <c r="D325" s="139"/>
      <c r="E325" s="139"/>
      <c r="G325" s="173"/>
    </row>
    <row r="326">
      <c r="B326" s="139"/>
      <c r="C326" s="139"/>
      <c r="D326" s="139"/>
      <c r="E326" s="139"/>
      <c r="G326" s="173"/>
    </row>
    <row r="327">
      <c r="B327" s="139"/>
      <c r="C327" s="139"/>
      <c r="D327" s="139"/>
      <c r="E327" s="139"/>
      <c r="G327" s="173"/>
    </row>
    <row r="328">
      <c r="B328" s="139"/>
      <c r="C328" s="139"/>
      <c r="D328" s="139"/>
      <c r="E328" s="139"/>
      <c r="G328" s="173"/>
    </row>
    <row r="329">
      <c r="B329" s="139"/>
      <c r="C329" s="139"/>
      <c r="D329" s="139"/>
      <c r="E329" s="139"/>
      <c r="G329" s="173"/>
    </row>
    <row r="330">
      <c r="B330" s="139"/>
      <c r="C330" s="139"/>
      <c r="D330" s="139"/>
      <c r="E330" s="139"/>
      <c r="G330" s="173"/>
    </row>
    <row r="331">
      <c r="B331" s="139"/>
      <c r="C331" s="139"/>
      <c r="D331" s="139"/>
      <c r="E331" s="139"/>
      <c r="G331" s="173"/>
    </row>
    <row r="332">
      <c r="B332" s="139"/>
      <c r="C332" s="139"/>
      <c r="D332" s="139"/>
      <c r="E332" s="139"/>
      <c r="G332" s="173"/>
    </row>
    <row r="333">
      <c r="B333" s="139"/>
      <c r="C333" s="139"/>
      <c r="D333" s="139"/>
      <c r="E333" s="139"/>
      <c r="G333" s="173"/>
    </row>
    <row r="334">
      <c r="B334" s="139"/>
      <c r="C334" s="139"/>
      <c r="D334" s="139"/>
      <c r="E334" s="139"/>
      <c r="G334" s="173"/>
    </row>
    <row r="335">
      <c r="B335" s="139"/>
      <c r="C335" s="139"/>
      <c r="D335" s="139"/>
      <c r="E335" s="139"/>
      <c r="G335" s="173"/>
    </row>
    <row r="336">
      <c r="B336" s="139"/>
      <c r="C336" s="139"/>
      <c r="D336" s="139"/>
      <c r="E336" s="139"/>
      <c r="G336" s="173"/>
    </row>
    <row r="337">
      <c r="B337" s="139"/>
      <c r="C337" s="139"/>
      <c r="D337" s="139"/>
      <c r="E337" s="139"/>
      <c r="G337" s="173"/>
    </row>
    <row r="338">
      <c r="B338" s="139"/>
      <c r="C338" s="139"/>
      <c r="D338" s="139"/>
      <c r="E338" s="139"/>
      <c r="G338" s="173"/>
    </row>
    <row r="339">
      <c r="B339" s="139"/>
      <c r="C339" s="139"/>
      <c r="D339" s="139"/>
      <c r="E339" s="139"/>
      <c r="G339" s="173"/>
    </row>
    <row r="340">
      <c r="B340" s="139"/>
      <c r="C340" s="139"/>
      <c r="D340" s="139"/>
      <c r="E340" s="139"/>
      <c r="G340" s="173"/>
    </row>
    <row r="341">
      <c r="B341" s="139"/>
      <c r="C341" s="139"/>
      <c r="D341" s="139"/>
      <c r="E341" s="139"/>
      <c r="G341" s="173"/>
    </row>
    <row r="342">
      <c r="B342" s="139"/>
      <c r="C342" s="139"/>
      <c r="D342" s="139"/>
      <c r="E342" s="139"/>
      <c r="G342" s="173"/>
    </row>
    <row r="343">
      <c r="B343" s="139"/>
      <c r="C343" s="139"/>
      <c r="D343" s="139"/>
      <c r="E343" s="139"/>
      <c r="G343" s="173"/>
    </row>
    <row r="344">
      <c r="B344" s="139"/>
      <c r="C344" s="139"/>
      <c r="D344" s="139"/>
      <c r="E344" s="139"/>
      <c r="G344" s="173"/>
    </row>
    <row r="345">
      <c r="B345" s="139"/>
      <c r="C345" s="139"/>
      <c r="D345" s="139"/>
      <c r="E345" s="139"/>
      <c r="G345" s="173"/>
    </row>
    <row r="346">
      <c r="B346" s="139"/>
      <c r="C346" s="139"/>
      <c r="D346" s="139"/>
      <c r="E346" s="139"/>
      <c r="G346" s="173"/>
    </row>
    <row r="347">
      <c r="B347" s="139"/>
      <c r="C347" s="139"/>
      <c r="D347" s="139"/>
      <c r="E347" s="139"/>
      <c r="G347" s="173"/>
    </row>
    <row r="348">
      <c r="B348" s="139"/>
      <c r="C348" s="139"/>
      <c r="D348" s="139"/>
      <c r="E348" s="139"/>
      <c r="G348" s="173"/>
    </row>
    <row r="349">
      <c r="B349" s="139"/>
      <c r="C349" s="139"/>
      <c r="D349" s="139"/>
      <c r="E349" s="139"/>
      <c r="G349" s="173"/>
    </row>
    <row r="350">
      <c r="B350" s="139"/>
      <c r="C350" s="139"/>
      <c r="D350" s="139"/>
      <c r="E350" s="139"/>
      <c r="G350" s="173"/>
    </row>
    <row r="351">
      <c r="B351" s="139"/>
      <c r="C351" s="139"/>
      <c r="D351" s="139"/>
      <c r="E351" s="139"/>
      <c r="G351" s="173"/>
    </row>
    <row r="352">
      <c r="B352" s="139"/>
      <c r="C352" s="139"/>
      <c r="D352" s="139"/>
      <c r="E352" s="139"/>
      <c r="G352" s="173"/>
    </row>
    <row r="353">
      <c r="B353" s="139"/>
      <c r="C353" s="139"/>
      <c r="D353" s="139"/>
      <c r="E353" s="139"/>
      <c r="G353" s="173"/>
    </row>
    <row r="354">
      <c r="B354" s="139"/>
      <c r="C354" s="139"/>
      <c r="D354" s="139"/>
      <c r="E354" s="139"/>
      <c r="G354" s="173"/>
    </row>
    <row r="355">
      <c r="B355" s="139"/>
      <c r="C355" s="139"/>
      <c r="D355" s="139"/>
      <c r="E355" s="139"/>
      <c r="G355" s="173"/>
    </row>
    <row r="356">
      <c r="B356" s="139"/>
      <c r="C356" s="139"/>
      <c r="D356" s="139"/>
      <c r="E356" s="139"/>
      <c r="G356" s="173"/>
    </row>
    <row r="357">
      <c r="B357" s="139"/>
      <c r="C357" s="139"/>
      <c r="D357" s="139"/>
      <c r="E357" s="139"/>
      <c r="G357" s="173"/>
    </row>
    <row r="358">
      <c r="B358" s="139"/>
      <c r="C358" s="139"/>
      <c r="D358" s="139"/>
      <c r="E358" s="139"/>
      <c r="G358" s="173"/>
    </row>
    <row r="359">
      <c r="B359" s="139"/>
      <c r="C359" s="139"/>
      <c r="D359" s="139"/>
      <c r="E359" s="139"/>
      <c r="G359" s="173"/>
    </row>
    <row r="360">
      <c r="B360" s="139"/>
      <c r="C360" s="139"/>
      <c r="D360" s="139"/>
      <c r="E360" s="139"/>
      <c r="G360" s="173"/>
    </row>
    <row r="361">
      <c r="B361" s="139"/>
      <c r="C361" s="139"/>
      <c r="D361" s="139"/>
      <c r="E361" s="139"/>
      <c r="G361" s="173"/>
    </row>
    <row r="362">
      <c r="B362" s="139"/>
      <c r="C362" s="139"/>
      <c r="D362" s="139"/>
      <c r="E362" s="139"/>
      <c r="G362" s="173"/>
    </row>
    <row r="363">
      <c r="B363" s="139"/>
      <c r="C363" s="139"/>
      <c r="D363" s="139"/>
      <c r="E363" s="139"/>
      <c r="G363" s="173"/>
    </row>
    <row r="364">
      <c r="B364" s="139"/>
      <c r="C364" s="139"/>
      <c r="D364" s="139"/>
      <c r="E364" s="139"/>
      <c r="G364" s="173"/>
    </row>
    <row r="365">
      <c r="B365" s="139"/>
      <c r="C365" s="139"/>
      <c r="D365" s="139"/>
      <c r="E365" s="139"/>
      <c r="G365" s="173"/>
    </row>
    <row r="366">
      <c r="B366" s="139"/>
      <c r="C366" s="139"/>
      <c r="D366" s="139"/>
      <c r="E366" s="139"/>
      <c r="G366" s="173"/>
    </row>
    <row r="367">
      <c r="B367" s="139"/>
      <c r="C367" s="139"/>
      <c r="D367" s="139"/>
      <c r="E367" s="139"/>
      <c r="G367" s="173"/>
    </row>
    <row r="368">
      <c r="B368" s="139"/>
      <c r="C368" s="139"/>
      <c r="D368" s="139"/>
      <c r="E368" s="139"/>
      <c r="G368" s="173"/>
    </row>
    <row r="369">
      <c r="B369" s="139"/>
      <c r="C369" s="139"/>
      <c r="D369" s="139"/>
      <c r="E369" s="139"/>
      <c r="G369" s="173"/>
    </row>
    <row r="370">
      <c r="B370" s="139"/>
      <c r="C370" s="139"/>
      <c r="D370" s="139"/>
      <c r="E370" s="139"/>
      <c r="G370" s="173"/>
    </row>
    <row r="371">
      <c r="B371" s="139"/>
      <c r="C371" s="139"/>
      <c r="D371" s="139"/>
      <c r="E371" s="139"/>
      <c r="G371" s="173"/>
    </row>
    <row r="372">
      <c r="B372" s="139"/>
      <c r="C372" s="139"/>
      <c r="D372" s="139"/>
      <c r="E372" s="139"/>
      <c r="G372" s="173"/>
    </row>
    <row r="373">
      <c r="B373" s="139"/>
      <c r="C373" s="139"/>
      <c r="D373" s="139"/>
      <c r="E373" s="139"/>
      <c r="G373" s="173"/>
    </row>
    <row r="374">
      <c r="B374" s="139"/>
      <c r="C374" s="139"/>
      <c r="D374" s="139"/>
      <c r="E374" s="139"/>
      <c r="G374" s="173"/>
    </row>
    <row r="375">
      <c r="B375" s="139"/>
      <c r="C375" s="139"/>
      <c r="D375" s="139"/>
      <c r="E375" s="139"/>
      <c r="G375" s="173"/>
    </row>
    <row r="376">
      <c r="B376" s="139"/>
      <c r="C376" s="139"/>
      <c r="D376" s="139"/>
      <c r="E376" s="139"/>
      <c r="G376" s="173"/>
    </row>
    <row r="377">
      <c r="B377" s="139"/>
      <c r="C377" s="139"/>
      <c r="D377" s="139"/>
      <c r="E377" s="139"/>
      <c r="G377" s="173"/>
    </row>
    <row r="378">
      <c r="B378" s="139"/>
      <c r="C378" s="139"/>
      <c r="D378" s="139"/>
      <c r="E378" s="139"/>
      <c r="G378" s="173"/>
    </row>
    <row r="379">
      <c r="B379" s="139"/>
      <c r="C379" s="139"/>
      <c r="D379" s="139"/>
      <c r="E379" s="139"/>
      <c r="G379" s="173"/>
    </row>
    <row r="380">
      <c r="B380" s="139"/>
      <c r="C380" s="139"/>
      <c r="D380" s="139"/>
      <c r="E380" s="139"/>
      <c r="G380" s="173"/>
    </row>
    <row r="381">
      <c r="B381" s="139"/>
      <c r="C381" s="139"/>
      <c r="D381" s="139"/>
      <c r="E381" s="139"/>
      <c r="G381" s="173"/>
    </row>
    <row r="382">
      <c r="B382" s="139"/>
      <c r="C382" s="139"/>
      <c r="D382" s="139"/>
      <c r="E382" s="139"/>
      <c r="G382" s="173"/>
    </row>
    <row r="383">
      <c r="B383" s="139"/>
      <c r="C383" s="139"/>
      <c r="D383" s="139"/>
      <c r="E383" s="139"/>
      <c r="G383" s="173"/>
    </row>
    <row r="384">
      <c r="B384" s="139"/>
      <c r="C384" s="139"/>
      <c r="D384" s="139"/>
      <c r="E384" s="139"/>
      <c r="G384" s="173"/>
    </row>
    <row r="385">
      <c r="B385" s="139"/>
      <c r="C385" s="139"/>
      <c r="D385" s="139"/>
      <c r="E385" s="139"/>
      <c r="G385" s="173"/>
    </row>
    <row r="386">
      <c r="B386" s="139"/>
      <c r="C386" s="139"/>
      <c r="D386" s="139"/>
      <c r="E386" s="139"/>
      <c r="G386" s="173"/>
    </row>
    <row r="387">
      <c r="B387" s="139"/>
      <c r="C387" s="139"/>
      <c r="D387" s="139"/>
      <c r="E387" s="139"/>
      <c r="G387" s="173"/>
    </row>
    <row r="388">
      <c r="B388" s="139"/>
      <c r="C388" s="139"/>
      <c r="D388" s="139"/>
      <c r="E388" s="139"/>
      <c r="G388" s="173"/>
    </row>
    <row r="389">
      <c r="B389" s="139"/>
      <c r="C389" s="139"/>
      <c r="D389" s="139"/>
      <c r="E389" s="139"/>
      <c r="G389" s="173"/>
    </row>
    <row r="390">
      <c r="B390" s="139"/>
      <c r="C390" s="139"/>
      <c r="D390" s="139"/>
      <c r="E390" s="139"/>
      <c r="G390" s="173"/>
    </row>
    <row r="391">
      <c r="B391" s="139"/>
      <c r="C391" s="139"/>
      <c r="D391" s="139"/>
      <c r="E391" s="139"/>
      <c r="G391" s="173"/>
    </row>
    <row r="392">
      <c r="B392" s="139"/>
      <c r="C392" s="139"/>
      <c r="D392" s="139"/>
      <c r="E392" s="139"/>
      <c r="G392" s="173"/>
    </row>
    <row r="393">
      <c r="B393" s="139"/>
      <c r="C393" s="139"/>
      <c r="D393" s="139"/>
      <c r="E393" s="139"/>
      <c r="G393" s="173"/>
    </row>
    <row r="394">
      <c r="B394" s="139"/>
      <c r="C394" s="139"/>
      <c r="D394" s="139"/>
      <c r="E394" s="139"/>
      <c r="G394" s="173"/>
    </row>
    <row r="395">
      <c r="B395" s="139"/>
      <c r="C395" s="139"/>
      <c r="D395" s="139"/>
      <c r="E395" s="139"/>
      <c r="G395" s="173"/>
    </row>
    <row r="396">
      <c r="B396" s="139"/>
      <c r="C396" s="139"/>
      <c r="D396" s="139"/>
      <c r="E396" s="139"/>
      <c r="G396" s="173"/>
    </row>
    <row r="397">
      <c r="B397" s="139"/>
      <c r="C397" s="139"/>
      <c r="D397" s="139"/>
      <c r="E397" s="139"/>
      <c r="G397" s="173"/>
    </row>
    <row r="398">
      <c r="B398" s="139"/>
      <c r="C398" s="139"/>
      <c r="D398" s="139"/>
      <c r="E398" s="139"/>
      <c r="G398" s="173"/>
    </row>
    <row r="399">
      <c r="B399" s="139"/>
      <c r="C399" s="139"/>
      <c r="D399" s="139"/>
      <c r="E399" s="139"/>
      <c r="G399" s="173"/>
    </row>
    <row r="400">
      <c r="B400" s="139"/>
      <c r="C400" s="139"/>
      <c r="D400" s="139"/>
      <c r="E400" s="139"/>
      <c r="G400" s="173"/>
    </row>
    <row r="401">
      <c r="B401" s="139"/>
      <c r="C401" s="139"/>
      <c r="D401" s="139"/>
      <c r="E401" s="139"/>
      <c r="G401" s="173"/>
    </row>
    <row r="402">
      <c r="B402" s="139"/>
      <c r="C402" s="139"/>
      <c r="D402" s="139"/>
      <c r="E402" s="139"/>
      <c r="G402" s="173"/>
    </row>
    <row r="403">
      <c r="B403" s="139"/>
      <c r="C403" s="139"/>
      <c r="D403" s="139"/>
      <c r="E403" s="139"/>
      <c r="G403" s="173"/>
    </row>
    <row r="404">
      <c r="B404" s="139"/>
      <c r="C404" s="139"/>
      <c r="D404" s="139"/>
      <c r="E404" s="139"/>
      <c r="G404" s="173"/>
    </row>
    <row r="405">
      <c r="B405" s="139"/>
      <c r="C405" s="139"/>
      <c r="D405" s="139"/>
      <c r="E405" s="139"/>
      <c r="G405" s="173"/>
    </row>
    <row r="406">
      <c r="B406" s="139"/>
      <c r="C406" s="139"/>
      <c r="D406" s="139"/>
      <c r="E406" s="139"/>
      <c r="G406" s="173"/>
    </row>
    <row r="407">
      <c r="B407" s="139"/>
      <c r="C407" s="139"/>
      <c r="D407" s="139"/>
      <c r="E407" s="139"/>
      <c r="G407" s="173"/>
    </row>
    <row r="408">
      <c r="B408" s="139"/>
      <c r="C408" s="139"/>
      <c r="D408" s="139"/>
      <c r="E408" s="139"/>
      <c r="G408" s="173"/>
    </row>
    <row r="409">
      <c r="B409" s="139"/>
      <c r="C409" s="139"/>
      <c r="D409" s="139"/>
      <c r="E409" s="139"/>
      <c r="G409" s="173"/>
    </row>
    <row r="410">
      <c r="B410" s="139"/>
      <c r="C410" s="139"/>
      <c r="D410" s="139"/>
      <c r="E410" s="139"/>
      <c r="G410" s="173"/>
    </row>
    <row r="411">
      <c r="B411" s="139"/>
      <c r="C411" s="139"/>
      <c r="D411" s="139"/>
      <c r="E411" s="139"/>
      <c r="G411" s="173"/>
    </row>
    <row r="412">
      <c r="B412" s="139"/>
      <c r="C412" s="139"/>
      <c r="D412" s="139"/>
      <c r="E412" s="139"/>
      <c r="G412" s="173"/>
    </row>
    <row r="413">
      <c r="B413" s="139"/>
      <c r="C413" s="139"/>
      <c r="D413" s="139"/>
      <c r="E413" s="139"/>
      <c r="G413" s="173"/>
    </row>
    <row r="414">
      <c r="B414" s="139"/>
      <c r="C414" s="139"/>
      <c r="D414" s="139"/>
      <c r="E414" s="139"/>
      <c r="G414" s="173"/>
    </row>
    <row r="415">
      <c r="B415" s="139"/>
      <c r="C415" s="139"/>
      <c r="D415" s="139"/>
      <c r="E415" s="139"/>
      <c r="G415" s="173"/>
    </row>
    <row r="416">
      <c r="B416" s="139"/>
      <c r="C416" s="139"/>
      <c r="D416" s="139"/>
      <c r="E416" s="139"/>
      <c r="G416" s="173"/>
    </row>
    <row r="417">
      <c r="B417" s="139"/>
      <c r="C417" s="139"/>
      <c r="D417" s="139"/>
      <c r="E417" s="139"/>
      <c r="G417" s="173"/>
    </row>
    <row r="418">
      <c r="B418" s="139"/>
      <c r="C418" s="139"/>
      <c r="D418" s="139"/>
      <c r="E418" s="139"/>
      <c r="G418" s="173"/>
    </row>
    <row r="419">
      <c r="B419" s="139"/>
      <c r="C419" s="139"/>
      <c r="D419" s="139"/>
      <c r="E419" s="139"/>
      <c r="G419" s="173"/>
    </row>
    <row r="420">
      <c r="B420" s="139"/>
      <c r="C420" s="139"/>
      <c r="D420" s="139"/>
      <c r="E420" s="139"/>
      <c r="G420" s="173"/>
    </row>
    <row r="421">
      <c r="B421" s="139"/>
      <c r="C421" s="139"/>
      <c r="D421" s="139"/>
      <c r="E421" s="139"/>
      <c r="G421" s="173"/>
    </row>
    <row r="422">
      <c r="B422" s="139"/>
      <c r="C422" s="139"/>
      <c r="D422" s="139"/>
      <c r="E422" s="139"/>
      <c r="G422" s="173"/>
    </row>
    <row r="423">
      <c r="B423" s="139"/>
      <c r="C423" s="139"/>
      <c r="D423" s="139"/>
      <c r="E423" s="139"/>
      <c r="G423" s="173"/>
    </row>
    <row r="424">
      <c r="B424" s="139"/>
      <c r="C424" s="139"/>
      <c r="D424" s="139"/>
      <c r="E424" s="139"/>
      <c r="G424" s="173"/>
    </row>
    <row r="425">
      <c r="B425" s="139"/>
      <c r="C425" s="139"/>
      <c r="D425" s="139"/>
      <c r="E425" s="139"/>
      <c r="G425" s="173"/>
    </row>
    <row r="426">
      <c r="B426" s="139"/>
      <c r="C426" s="139"/>
      <c r="D426" s="139"/>
      <c r="E426" s="139"/>
      <c r="G426" s="173"/>
    </row>
    <row r="427">
      <c r="B427" s="139"/>
      <c r="C427" s="139"/>
      <c r="D427" s="139"/>
      <c r="E427" s="139"/>
      <c r="G427" s="173"/>
    </row>
    <row r="428">
      <c r="B428" s="139"/>
      <c r="C428" s="139"/>
      <c r="D428" s="139"/>
      <c r="E428" s="139"/>
      <c r="G428" s="173"/>
    </row>
    <row r="429">
      <c r="B429" s="139"/>
      <c r="C429" s="139"/>
      <c r="D429" s="139"/>
      <c r="E429" s="139"/>
      <c r="G429" s="173"/>
    </row>
    <row r="430">
      <c r="B430" s="139"/>
      <c r="C430" s="139"/>
      <c r="D430" s="139"/>
      <c r="E430" s="139"/>
      <c r="G430" s="173"/>
    </row>
    <row r="431">
      <c r="B431" s="139"/>
      <c r="C431" s="139"/>
      <c r="D431" s="139"/>
      <c r="E431" s="139"/>
      <c r="G431" s="173"/>
    </row>
    <row r="432">
      <c r="B432" s="139"/>
      <c r="C432" s="139"/>
      <c r="D432" s="139"/>
      <c r="E432" s="139"/>
      <c r="G432" s="173"/>
    </row>
    <row r="433">
      <c r="B433" s="139"/>
      <c r="C433" s="139"/>
      <c r="D433" s="139"/>
      <c r="E433" s="139"/>
      <c r="G433" s="173"/>
    </row>
    <row r="434">
      <c r="B434" s="139"/>
      <c r="C434" s="139"/>
      <c r="D434" s="139"/>
      <c r="E434" s="139"/>
      <c r="G434" s="173"/>
    </row>
    <row r="435">
      <c r="B435" s="139"/>
      <c r="C435" s="139"/>
      <c r="D435" s="139"/>
      <c r="E435" s="139"/>
      <c r="G435" s="173"/>
    </row>
    <row r="436">
      <c r="B436" s="139"/>
      <c r="C436" s="139"/>
      <c r="D436" s="139"/>
      <c r="E436" s="139"/>
      <c r="G436" s="173"/>
    </row>
    <row r="437">
      <c r="B437" s="139"/>
      <c r="C437" s="139"/>
      <c r="D437" s="139"/>
      <c r="E437" s="139"/>
      <c r="G437" s="173"/>
    </row>
    <row r="438">
      <c r="B438" s="139"/>
      <c r="C438" s="139"/>
      <c r="D438" s="139"/>
      <c r="E438" s="139"/>
      <c r="G438" s="173"/>
    </row>
    <row r="439">
      <c r="B439" s="139"/>
      <c r="C439" s="139"/>
      <c r="D439" s="139"/>
      <c r="E439" s="139"/>
      <c r="G439" s="173"/>
    </row>
    <row r="440">
      <c r="B440" s="139"/>
      <c r="C440" s="139"/>
      <c r="D440" s="139"/>
      <c r="E440" s="139"/>
      <c r="G440" s="173"/>
    </row>
    <row r="441">
      <c r="B441" s="139"/>
      <c r="C441" s="139"/>
      <c r="D441" s="139"/>
      <c r="E441" s="139"/>
      <c r="G441" s="173"/>
    </row>
    <row r="442">
      <c r="B442" s="139"/>
      <c r="C442" s="139"/>
      <c r="D442" s="139"/>
      <c r="E442" s="139"/>
      <c r="G442" s="173"/>
    </row>
    <row r="443">
      <c r="B443" s="139"/>
      <c r="C443" s="139"/>
      <c r="D443" s="139"/>
      <c r="E443" s="139"/>
      <c r="G443" s="173"/>
    </row>
    <row r="444">
      <c r="B444" s="139"/>
      <c r="C444" s="139"/>
      <c r="D444" s="139"/>
      <c r="E444" s="139"/>
      <c r="G444" s="173"/>
    </row>
    <row r="445">
      <c r="B445" s="139"/>
      <c r="C445" s="139"/>
      <c r="D445" s="139"/>
      <c r="E445" s="139"/>
      <c r="G445" s="173"/>
    </row>
    <row r="446">
      <c r="B446" s="139"/>
      <c r="C446" s="139"/>
      <c r="D446" s="139"/>
      <c r="E446" s="139"/>
      <c r="G446" s="173"/>
    </row>
    <row r="447">
      <c r="B447" s="139"/>
      <c r="C447" s="139"/>
      <c r="D447" s="139"/>
      <c r="E447" s="139"/>
      <c r="G447" s="173"/>
    </row>
    <row r="448">
      <c r="B448" s="139"/>
      <c r="C448" s="139"/>
      <c r="D448" s="139"/>
      <c r="E448" s="139"/>
      <c r="G448" s="173"/>
    </row>
    <row r="449">
      <c r="B449" s="139"/>
      <c r="C449" s="139"/>
      <c r="D449" s="139"/>
      <c r="E449" s="139"/>
      <c r="G449" s="173"/>
    </row>
    <row r="450">
      <c r="B450" s="139"/>
      <c r="C450" s="139"/>
      <c r="D450" s="139"/>
      <c r="E450" s="139"/>
      <c r="G450" s="173"/>
    </row>
    <row r="451">
      <c r="B451" s="139"/>
      <c r="C451" s="139"/>
      <c r="D451" s="139"/>
      <c r="E451" s="139"/>
      <c r="G451" s="173"/>
    </row>
    <row r="452">
      <c r="B452" s="139"/>
      <c r="C452" s="139"/>
      <c r="D452" s="139"/>
      <c r="E452" s="139"/>
      <c r="G452" s="173"/>
    </row>
    <row r="453">
      <c r="B453" s="139"/>
      <c r="C453" s="139"/>
      <c r="D453" s="139"/>
      <c r="E453" s="139"/>
      <c r="G453" s="173"/>
    </row>
    <row r="454">
      <c r="B454" s="139"/>
      <c r="C454" s="139"/>
      <c r="D454" s="139"/>
      <c r="E454" s="139"/>
      <c r="G454" s="173"/>
    </row>
    <row r="455">
      <c r="B455" s="139"/>
      <c r="C455" s="139"/>
      <c r="D455" s="139"/>
      <c r="E455" s="139"/>
      <c r="G455" s="173"/>
    </row>
    <row r="456">
      <c r="B456" s="139"/>
      <c r="C456" s="139"/>
      <c r="D456" s="139"/>
      <c r="E456" s="139"/>
      <c r="G456" s="173"/>
    </row>
    <row r="457">
      <c r="B457" s="139"/>
      <c r="C457" s="139"/>
      <c r="D457" s="139"/>
      <c r="E457" s="139"/>
      <c r="G457" s="173"/>
    </row>
    <row r="458">
      <c r="B458" s="139"/>
      <c r="C458" s="139"/>
      <c r="D458" s="139"/>
      <c r="E458" s="139"/>
      <c r="G458" s="173"/>
    </row>
    <row r="459">
      <c r="B459" s="139"/>
      <c r="C459" s="139"/>
      <c r="D459" s="139"/>
      <c r="E459" s="139"/>
      <c r="G459" s="173"/>
    </row>
    <row r="460">
      <c r="B460" s="139"/>
      <c r="C460" s="139"/>
      <c r="D460" s="139"/>
      <c r="E460" s="139"/>
      <c r="G460" s="173"/>
    </row>
    <row r="461">
      <c r="B461" s="139"/>
      <c r="C461" s="139"/>
      <c r="D461" s="139"/>
      <c r="E461" s="139"/>
      <c r="G461" s="173"/>
    </row>
    <row r="462">
      <c r="B462" s="139"/>
      <c r="C462" s="139"/>
      <c r="D462" s="139"/>
      <c r="E462" s="139"/>
      <c r="G462" s="173"/>
    </row>
    <row r="463">
      <c r="B463" s="139"/>
      <c r="C463" s="139"/>
      <c r="D463" s="139"/>
      <c r="E463" s="139"/>
      <c r="G463" s="173"/>
    </row>
    <row r="464">
      <c r="B464" s="139"/>
      <c r="C464" s="139"/>
      <c r="D464" s="139"/>
      <c r="E464" s="139"/>
      <c r="G464" s="173"/>
    </row>
    <row r="465">
      <c r="B465" s="139"/>
      <c r="C465" s="139"/>
      <c r="D465" s="139"/>
      <c r="E465" s="139"/>
      <c r="G465" s="173"/>
    </row>
    <row r="466">
      <c r="B466" s="139"/>
      <c r="C466" s="139"/>
      <c r="D466" s="139"/>
      <c r="E466" s="139"/>
      <c r="G466" s="173"/>
    </row>
    <row r="467">
      <c r="B467" s="139"/>
      <c r="C467" s="139"/>
      <c r="D467" s="139"/>
      <c r="E467" s="139"/>
      <c r="G467" s="173"/>
    </row>
    <row r="468">
      <c r="B468" s="139"/>
      <c r="C468" s="139"/>
      <c r="D468" s="139"/>
      <c r="E468" s="139"/>
      <c r="G468" s="173"/>
    </row>
    <row r="469">
      <c r="B469" s="139"/>
      <c r="C469" s="139"/>
      <c r="D469" s="139"/>
      <c r="E469" s="139"/>
      <c r="G469" s="173"/>
    </row>
    <row r="470">
      <c r="B470" s="139"/>
      <c r="C470" s="139"/>
      <c r="D470" s="139"/>
      <c r="E470" s="139"/>
      <c r="G470" s="173"/>
    </row>
    <row r="471">
      <c r="B471" s="139"/>
      <c r="C471" s="139"/>
      <c r="D471" s="139"/>
      <c r="E471" s="139"/>
      <c r="G471" s="173"/>
    </row>
    <row r="472">
      <c r="B472" s="139"/>
      <c r="C472" s="139"/>
      <c r="D472" s="139"/>
      <c r="E472" s="139"/>
      <c r="G472" s="173"/>
    </row>
    <row r="473">
      <c r="B473" s="139"/>
      <c r="C473" s="139"/>
      <c r="D473" s="139"/>
      <c r="E473" s="139"/>
      <c r="G473" s="173"/>
    </row>
    <row r="474">
      <c r="B474" s="139"/>
      <c r="C474" s="139"/>
      <c r="D474" s="139"/>
      <c r="E474" s="139"/>
      <c r="G474" s="173"/>
    </row>
    <row r="475">
      <c r="B475" s="139"/>
      <c r="C475" s="139"/>
      <c r="D475" s="139"/>
      <c r="E475" s="139"/>
      <c r="G475" s="173"/>
    </row>
    <row r="476">
      <c r="B476" s="139"/>
      <c r="C476" s="139"/>
      <c r="D476" s="139"/>
      <c r="E476" s="139"/>
      <c r="G476" s="173"/>
    </row>
    <row r="477">
      <c r="B477" s="139"/>
      <c r="C477" s="139"/>
      <c r="D477" s="139"/>
      <c r="E477" s="139"/>
      <c r="G477" s="173"/>
    </row>
    <row r="478">
      <c r="B478" s="139"/>
      <c r="C478" s="139"/>
      <c r="D478" s="139"/>
      <c r="E478" s="139"/>
      <c r="G478" s="173"/>
    </row>
    <row r="479">
      <c r="B479" s="139"/>
      <c r="C479" s="139"/>
      <c r="D479" s="139"/>
      <c r="E479" s="139"/>
      <c r="G479" s="173"/>
    </row>
    <row r="480">
      <c r="B480" s="139"/>
      <c r="C480" s="139"/>
      <c r="D480" s="139"/>
      <c r="E480" s="139"/>
      <c r="G480" s="173"/>
    </row>
    <row r="481">
      <c r="B481" s="139"/>
      <c r="C481" s="139"/>
      <c r="D481" s="139"/>
      <c r="E481" s="139"/>
      <c r="G481" s="173"/>
    </row>
    <row r="482">
      <c r="B482" s="139"/>
      <c r="C482" s="139"/>
      <c r="D482" s="139"/>
      <c r="E482" s="139"/>
      <c r="G482" s="173"/>
    </row>
    <row r="483">
      <c r="B483" s="139"/>
      <c r="C483" s="139"/>
      <c r="D483" s="139"/>
      <c r="E483" s="139"/>
      <c r="G483" s="173"/>
    </row>
    <row r="484">
      <c r="B484" s="139"/>
      <c r="C484" s="139"/>
      <c r="D484" s="139"/>
      <c r="E484" s="139"/>
      <c r="G484" s="173"/>
    </row>
    <row r="485">
      <c r="B485" s="139"/>
      <c r="C485" s="139"/>
      <c r="D485" s="139"/>
      <c r="E485" s="139"/>
      <c r="G485" s="173"/>
    </row>
    <row r="486">
      <c r="B486" s="139"/>
      <c r="C486" s="139"/>
      <c r="D486" s="139"/>
      <c r="E486" s="139"/>
      <c r="G486" s="173"/>
    </row>
    <row r="487">
      <c r="B487" s="139"/>
      <c r="C487" s="139"/>
      <c r="D487" s="139"/>
      <c r="E487" s="139"/>
      <c r="G487" s="173"/>
    </row>
    <row r="488">
      <c r="B488" s="139"/>
      <c r="C488" s="139"/>
      <c r="D488" s="139"/>
      <c r="E488" s="139"/>
      <c r="G488" s="173"/>
    </row>
    <row r="489">
      <c r="B489" s="139"/>
      <c r="C489" s="139"/>
      <c r="D489" s="139"/>
      <c r="E489" s="139"/>
      <c r="G489" s="173"/>
    </row>
    <row r="490">
      <c r="B490" s="139"/>
      <c r="C490" s="139"/>
      <c r="D490" s="139"/>
      <c r="E490" s="139"/>
      <c r="G490" s="173"/>
    </row>
    <row r="491">
      <c r="B491" s="139"/>
      <c r="C491" s="139"/>
      <c r="D491" s="139"/>
      <c r="E491" s="139"/>
      <c r="G491" s="173"/>
    </row>
    <row r="492">
      <c r="B492" s="139"/>
      <c r="C492" s="139"/>
      <c r="D492" s="139"/>
      <c r="E492" s="139"/>
      <c r="G492" s="173"/>
    </row>
    <row r="493">
      <c r="B493" s="139"/>
      <c r="C493" s="139"/>
      <c r="D493" s="139"/>
      <c r="E493" s="139"/>
      <c r="G493" s="173"/>
    </row>
    <row r="494">
      <c r="B494" s="139"/>
      <c r="C494" s="139"/>
      <c r="D494" s="139"/>
      <c r="E494" s="139"/>
      <c r="G494" s="173"/>
    </row>
    <row r="495">
      <c r="B495" s="139"/>
      <c r="C495" s="139"/>
      <c r="D495" s="139"/>
      <c r="E495" s="139"/>
      <c r="G495" s="173"/>
    </row>
    <row r="496">
      <c r="B496" s="139"/>
      <c r="C496" s="139"/>
      <c r="D496" s="139"/>
      <c r="E496" s="139"/>
      <c r="G496" s="173"/>
    </row>
    <row r="497">
      <c r="B497" s="139"/>
      <c r="C497" s="139"/>
      <c r="D497" s="139"/>
      <c r="E497" s="139"/>
      <c r="G497" s="173"/>
    </row>
    <row r="498">
      <c r="B498" s="139"/>
      <c r="C498" s="139"/>
      <c r="D498" s="139"/>
      <c r="E498" s="139"/>
      <c r="G498" s="173"/>
    </row>
    <row r="499">
      <c r="B499" s="139"/>
      <c r="C499" s="139"/>
      <c r="D499" s="139"/>
      <c r="E499" s="139"/>
      <c r="G499" s="173"/>
    </row>
    <row r="500">
      <c r="B500" s="139"/>
      <c r="C500" s="139"/>
      <c r="D500" s="139"/>
      <c r="E500" s="139"/>
      <c r="G500" s="173"/>
    </row>
    <row r="501">
      <c r="B501" s="139"/>
      <c r="C501" s="139"/>
      <c r="D501" s="139"/>
      <c r="E501" s="139"/>
      <c r="G501" s="173"/>
    </row>
    <row r="502">
      <c r="B502" s="139"/>
      <c r="C502" s="139"/>
      <c r="D502" s="139"/>
      <c r="E502" s="139"/>
      <c r="G502" s="173"/>
    </row>
    <row r="503">
      <c r="B503" s="139"/>
      <c r="C503" s="139"/>
      <c r="D503" s="139"/>
      <c r="E503" s="139"/>
      <c r="G503" s="173"/>
    </row>
    <row r="504">
      <c r="B504" s="139"/>
      <c r="C504" s="139"/>
      <c r="D504" s="139"/>
      <c r="E504" s="139"/>
      <c r="G504" s="173"/>
    </row>
    <row r="505">
      <c r="B505" s="139"/>
      <c r="C505" s="139"/>
      <c r="D505" s="139"/>
      <c r="E505" s="139"/>
      <c r="G505" s="173"/>
    </row>
    <row r="506">
      <c r="B506" s="139"/>
      <c r="C506" s="139"/>
      <c r="D506" s="139"/>
      <c r="E506" s="139"/>
      <c r="G506" s="173"/>
    </row>
    <row r="507">
      <c r="B507" s="139"/>
      <c r="C507" s="139"/>
      <c r="D507" s="139"/>
      <c r="E507" s="139"/>
      <c r="G507" s="173"/>
    </row>
    <row r="508">
      <c r="B508" s="139"/>
      <c r="C508" s="139"/>
      <c r="D508" s="139"/>
      <c r="E508" s="139"/>
      <c r="G508" s="173"/>
    </row>
    <row r="509">
      <c r="B509" s="139"/>
      <c r="C509" s="139"/>
      <c r="D509" s="139"/>
      <c r="E509" s="139"/>
      <c r="G509" s="173"/>
    </row>
    <row r="510">
      <c r="B510" s="139"/>
      <c r="C510" s="139"/>
      <c r="D510" s="139"/>
      <c r="E510" s="139"/>
      <c r="G510" s="173"/>
    </row>
    <row r="511">
      <c r="B511" s="139"/>
      <c r="C511" s="139"/>
      <c r="D511" s="139"/>
      <c r="E511" s="139"/>
      <c r="G511" s="173"/>
    </row>
    <row r="512">
      <c r="B512" s="139"/>
      <c r="C512" s="139"/>
      <c r="D512" s="139"/>
      <c r="E512" s="139"/>
      <c r="G512" s="173"/>
    </row>
    <row r="513">
      <c r="B513" s="139"/>
      <c r="C513" s="139"/>
      <c r="D513" s="139"/>
      <c r="E513" s="139"/>
      <c r="G513" s="173"/>
    </row>
    <row r="514">
      <c r="B514" s="139"/>
      <c r="C514" s="139"/>
      <c r="D514" s="139"/>
      <c r="E514" s="139"/>
      <c r="G514" s="173"/>
    </row>
    <row r="515">
      <c r="B515" s="139"/>
      <c r="C515" s="139"/>
      <c r="D515" s="139"/>
      <c r="E515" s="139"/>
      <c r="G515" s="173"/>
    </row>
    <row r="516">
      <c r="B516" s="139"/>
      <c r="C516" s="139"/>
      <c r="D516" s="139"/>
      <c r="E516" s="139"/>
      <c r="G516" s="173"/>
    </row>
    <row r="517">
      <c r="B517" s="139"/>
      <c r="C517" s="139"/>
      <c r="D517" s="139"/>
      <c r="E517" s="139"/>
      <c r="G517" s="173"/>
    </row>
    <row r="518">
      <c r="B518" s="139"/>
      <c r="C518" s="139"/>
      <c r="D518" s="139"/>
      <c r="E518" s="139"/>
      <c r="G518" s="173"/>
    </row>
    <row r="519">
      <c r="B519" s="139"/>
      <c r="C519" s="139"/>
      <c r="D519" s="139"/>
      <c r="E519" s="139"/>
      <c r="G519" s="173"/>
    </row>
    <row r="520">
      <c r="B520" s="139"/>
      <c r="C520" s="139"/>
      <c r="D520" s="139"/>
      <c r="E520" s="139"/>
      <c r="G520" s="173"/>
    </row>
    <row r="521">
      <c r="B521" s="139"/>
      <c r="C521" s="139"/>
      <c r="D521" s="139"/>
      <c r="E521" s="139"/>
      <c r="G521" s="173"/>
    </row>
    <row r="522">
      <c r="B522" s="139"/>
      <c r="C522" s="139"/>
      <c r="D522" s="139"/>
      <c r="E522" s="139"/>
      <c r="G522" s="173"/>
    </row>
    <row r="523">
      <c r="B523" s="139"/>
      <c r="C523" s="139"/>
      <c r="D523" s="139"/>
      <c r="E523" s="139"/>
      <c r="G523" s="173"/>
    </row>
    <row r="524">
      <c r="B524" s="139"/>
      <c r="C524" s="139"/>
      <c r="D524" s="139"/>
      <c r="E524" s="139"/>
      <c r="G524" s="173"/>
    </row>
    <row r="525">
      <c r="B525" s="139"/>
      <c r="C525" s="139"/>
      <c r="D525" s="139"/>
      <c r="E525" s="139"/>
      <c r="G525" s="173"/>
    </row>
    <row r="526">
      <c r="B526" s="139"/>
      <c r="C526" s="139"/>
      <c r="D526" s="139"/>
      <c r="E526" s="139"/>
      <c r="G526" s="173"/>
    </row>
    <row r="527">
      <c r="B527" s="139"/>
      <c r="C527" s="139"/>
      <c r="D527" s="139"/>
      <c r="E527" s="139"/>
      <c r="G527" s="173"/>
    </row>
    <row r="528">
      <c r="B528" s="139"/>
      <c r="C528" s="139"/>
      <c r="D528" s="139"/>
      <c r="E528" s="139"/>
      <c r="G528" s="173"/>
    </row>
    <row r="529">
      <c r="B529" s="139"/>
      <c r="C529" s="139"/>
      <c r="D529" s="139"/>
      <c r="E529" s="139"/>
      <c r="G529" s="173"/>
    </row>
    <row r="530">
      <c r="B530" s="139"/>
      <c r="C530" s="139"/>
      <c r="D530" s="139"/>
      <c r="E530" s="139"/>
      <c r="G530" s="173"/>
    </row>
    <row r="531">
      <c r="B531" s="139"/>
      <c r="C531" s="139"/>
      <c r="D531" s="139"/>
      <c r="E531" s="139"/>
      <c r="G531" s="173"/>
    </row>
    <row r="532">
      <c r="B532" s="139"/>
      <c r="C532" s="139"/>
      <c r="D532" s="139"/>
      <c r="E532" s="139"/>
      <c r="G532" s="173"/>
    </row>
    <row r="533">
      <c r="B533" s="139"/>
      <c r="C533" s="139"/>
      <c r="D533" s="139"/>
      <c r="E533" s="139"/>
      <c r="G533" s="173"/>
    </row>
    <row r="534">
      <c r="B534" s="139"/>
      <c r="C534" s="139"/>
      <c r="D534" s="139"/>
      <c r="E534" s="139"/>
      <c r="G534" s="173"/>
    </row>
    <row r="535">
      <c r="B535" s="139"/>
      <c r="C535" s="139"/>
      <c r="D535" s="139"/>
      <c r="E535" s="139"/>
      <c r="G535" s="173"/>
    </row>
    <row r="536">
      <c r="B536" s="139"/>
      <c r="C536" s="139"/>
      <c r="D536" s="139"/>
      <c r="E536" s="139"/>
      <c r="G536" s="173"/>
    </row>
    <row r="537">
      <c r="B537" s="139"/>
      <c r="C537" s="139"/>
      <c r="D537" s="139"/>
      <c r="E537" s="139"/>
      <c r="G537" s="173"/>
    </row>
    <row r="538">
      <c r="B538" s="139"/>
      <c r="C538" s="139"/>
      <c r="D538" s="139"/>
      <c r="E538" s="139"/>
      <c r="G538" s="173"/>
    </row>
    <row r="539">
      <c r="B539" s="139"/>
      <c r="C539" s="139"/>
      <c r="D539" s="139"/>
      <c r="E539" s="139"/>
      <c r="G539" s="173"/>
    </row>
    <row r="540">
      <c r="B540" s="139"/>
      <c r="C540" s="139"/>
      <c r="D540" s="139"/>
      <c r="E540" s="139"/>
      <c r="G540" s="173"/>
    </row>
    <row r="541">
      <c r="B541" s="139"/>
      <c r="C541" s="139"/>
      <c r="D541" s="139"/>
      <c r="E541" s="139"/>
      <c r="G541" s="173"/>
    </row>
    <row r="542">
      <c r="B542" s="139"/>
      <c r="C542" s="139"/>
      <c r="D542" s="139"/>
      <c r="E542" s="139"/>
      <c r="G542" s="173"/>
    </row>
    <row r="543">
      <c r="B543" s="139"/>
      <c r="C543" s="139"/>
      <c r="D543" s="139"/>
      <c r="E543" s="139"/>
      <c r="G543" s="173"/>
    </row>
    <row r="544">
      <c r="B544" s="139"/>
      <c r="C544" s="139"/>
      <c r="D544" s="139"/>
      <c r="E544" s="139"/>
      <c r="G544" s="173"/>
    </row>
    <row r="545">
      <c r="B545" s="139"/>
      <c r="C545" s="139"/>
      <c r="D545" s="139"/>
      <c r="E545" s="139"/>
      <c r="G545" s="173"/>
    </row>
    <row r="546">
      <c r="B546" s="139"/>
      <c r="C546" s="139"/>
      <c r="D546" s="139"/>
      <c r="E546" s="139"/>
      <c r="G546" s="173"/>
    </row>
    <row r="547">
      <c r="B547" s="139"/>
      <c r="C547" s="139"/>
      <c r="D547" s="139"/>
      <c r="E547" s="139"/>
      <c r="G547" s="173"/>
    </row>
    <row r="548">
      <c r="B548" s="139"/>
      <c r="C548" s="139"/>
      <c r="D548" s="139"/>
      <c r="E548" s="139"/>
      <c r="G548" s="173"/>
    </row>
    <row r="549">
      <c r="B549" s="139"/>
      <c r="C549" s="139"/>
      <c r="D549" s="139"/>
      <c r="E549" s="139"/>
      <c r="G549" s="173"/>
    </row>
    <row r="550">
      <c r="B550" s="139"/>
      <c r="C550" s="139"/>
      <c r="D550" s="139"/>
      <c r="E550" s="139"/>
      <c r="G550" s="173"/>
    </row>
    <row r="551">
      <c r="B551" s="139"/>
      <c r="C551" s="139"/>
      <c r="D551" s="139"/>
      <c r="E551" s="139"/>
      <c r="G551" s="173"/>
    </row>
    <row r="552">
      <c r="B552" s="139"/>
      <c r="C552" s="139"/>
      <c r="D552" s="139"/>
      <c r="E552" s="139"/>
      <c r="G552" s="173"/>
    </row>
    <row r="553">
      <c r="B553" s="139"/>
      <c r="C553" s="139"/>
      <c r="D553" s="139"/>
      <c r="E553" s="139"/>
      <c r="G553" s="173"/>
    </row>
    <row r="554">
      <c r="B554" s="139"/>
      <c r="C554" s="139"/>
      <c r="D554" s="139"/>
      <c r="E554" s="139"/>
      <c r="G554" s="173"/>
    </row>
    <row r="555">
      <c r="B555" s="139"/>
      <c r="C555" s="139"/>
      <c r="D555" s="139"/>
      <c r="E555" s="139"/>
      <c r="G555" s="173"/>
    </row>
    <row r="556">
      <c r="B556" s="139"/>
      <c r="C556" s="139"/>
      <c r="D556" s="139"/>
      <c r="E556" s="139"/>
      <c r="G556" s="173"/>
    </row>
    <row r="557">
      <c r="B557" s="139"/>
      <c r="C557" s="139"/>
      <c r="D557" s="139"/>
      <c r="E557" s="139"/>
      <c r="G557" s="173"/>
    </row>
    <row r="558">
      <c r="B558" s="139"/>
      <c r="C558" s="139"/>
      <c r="D558" s="139"/>
      <c r="E558" s="139"/>
      <c r="G558" s="173"/>
    </row>
    <row r="559">
      <c r="B559" s="139"/>
      <c r="C559" s="139"/>
      <c r="D559" s="139"/>
      <c r="E559" s="139"/>
      <c r="G559" s="173"/>
    </row>
    <row r="560">
      <c r="B560" s="139"/>
      <c r="C560" s="139"/>
      <c r="D560" s="139"/>
      <c r="E560" s="139"/>
      <c r="G560" s="173"/>
    </row>
    <row r="561">
      <c r="B561" s="139"/>
      <c r="C561" s="139"/>
      <c r="D561" s="139"/>
      <c r="E561" s="139"/>
      <c r="G561" s="173"/>
    </row>
    <row r="562">
      <c r="B562" s="139"/>
      <c r="C562" s="139"/>
      <c r="D562" s="139"/>
      <c r="E562" s="139"/>
      <c r="G562" s="173"/>
    </row>
    <row r="563">
      <c r="B563" s="139"/>
      <c r="C563" s="139"/>
      <c r="D563" s="139"/>
      <c r="E563" s="139"/>
      <c r="G563" s="173"/>
    </row>
    <row r="564">
      <c r="B564" s="139"/>
      <c r="C564" s="139"/>
      <c r="D564" s="139"/>
      <c r="E564" s="139"/>
      <c r="G564" s="173"/>
    </row>
    <row r="565">
      <c r="B565" s="139"/>
      <c r="C565" s="139"/>
      <c r="D565" s="139"/>
      <c r="E565" s="139"/>
      <c r="G565" s="173"/>
    </row>
    <row r="566">
      <c r="B566" s="139"/>
      <c r="C566" s="139"/>
      <c r="D566" s="139"/>
      <c r="E566" s="139"/>
      <c r="G566" s="173"/>
    </row>
    <row r="567">
      <c r="B567" s="139"/>
      <c r="C567" s="139"/>
      <c r="D567" s="139"/>
      <c r="E567" s="139"/>
      <c r="G567" s="173"/>
    </row>
    <row r="568">
      <c r="B568" s="139"/>
      <c r="C568" s="139"/>
      <c r="D568" s="139"/>
      <c r="E568" s="139"/>
      <c r="G568" s="173"/>
    </row>
    <row r="569">
      <c r="B569" s="139"/>
      <c r="C569" s="139"/>
      <c r="D569" s="139"/>
      <c r="E569" s="139"/>
      <c r="G569" s="173"/>
    </row>
    <row r="570">
      <c r="B570" s="139"/>
      <c r="C570" s="139"/>
      <c r="D570" s="139"/>
      <c r="E570" s="139"/>
      <c r="G570" s="173"/>
    </row>
    <row r="571">
      <c r="B571" s="139"/>
      <c r="C571" s="139"/>
      <c r="D571" s="139"/>
      <c r="E571" s="139"/>
      <c r="G571" s="173"/>
    </row>
    <row r="572">
      <c r="B572" s="139"/>
      <c r="C572" s="139"/>
      <c r="D572" s="139"/>
      <c r="E572" s="139"/>
      <c r="G572" s="173"/>
    </row>
    <row r="573">
      <c r="B573" s="139"/>
      <c r="C573" s="139"/>
      <c r="D573" s="139"/>
      <c r="E573" s="139"/>
      <c r="G573" s="173"/>
    </row>
    <row r="574">
      <c r="B574" s="139"/>
      <c r="C574" s="139"/>
      <c r="D574" s="139"/>
      <c r="E574" s="139"/>
      <c r="G574" s="173"/>
    </row>
    <row r="575">
      <c r="B575" s="139"/>
      <c r="C575" s="139"/>
      <c r="D575" s="139"/>
      <c r="E575" s="139"/>
      <c r="G575" s="173"/>
    </row>
    <row r="576">
      <c r="B576" s="139"/>
      <c r="C576" s="139"/>
      <c r="D576" s="139"/>
      <c r="E576" s="139"/>
      <c r="G576" s="173"/>
    </row>
    <row r="577">
      <c r="B577" s="139"/>
      <c r="C577" s="139"/>
      <c r="D577" s="139"/>
      <c r="E577" s="139"/>
      <c r="G577" s="173"/>
    </row>
    <row r="578">
      <c r="B578" s="139"/>
      <c r="C578" s="139"/>
      <c r="D578" s="139"/>
      <c r="E578" s="139"/>
      <c r="G578" s="173"/>
    </row>
    <row r="579">
      <c r="B579" s="139"/>
      <c r="C579" s="139"/>
      <c r="D579" s="139"/>
      <c r="E579" s="139"/>
      <c r="G579" s="173"/>
    </row>
    <row r="580">
      <c r="B580" s="139"/>
      <c r="C580" s="139"/>
      <c r="D580" s="139"/>
      <c r="E580" s="139"/>
      <c r="G580" s="173"/>
    </row>
    <row r="581">
      <c r="B581" s="139"/>
      <c r="C581" s="139"/>
      <c r="D581" s="139"/>
      <c r="E581" s="139"/>
      <c r="G581" s="173"/>
    </row>
    <row r="582">
      <c r="B582" s="139"/>
      <c r="C582" s="139"/>
      <c r="D582" s="139"/>
      <c r="E582" s="139"/>
      <c r="G582" s="173"/>
    </row>
    <row r="583">
      <c r="B583" s="139"/>
      <c r="C583" s="139"/>
      <c r="D583" s="139"/>
      <c r="E583" s="139"/>
      <c r="G583" s="173"/>
    </row>
    <row r="584">
      <c r="B584" s="139"/>
      <c r="C584" s="139"/>
      <c r="D584" s="139"/>
      <c r="E584" s="139"/>
      <c r="G584" s="173"/>
    </row>
    <row r="585">
      <c r="B585" s="139"/>
      <c r="C585" s="139"/>
      <c r="D585" s="139"/>
      <c r="E585" s="139"/>
      <c r="G585" s="173"/>
    </row>
    <row r="586">
      <c r="B586" s="139"/>
      <c r="C586" s="139"/>
      <c r="D586" s="139"/>
      <c r="E586" s="139"/>
      <c r="G586" s="173"/>
    </row>
    <row r="587">
      <c r="B587" s="139"/>
      <c r="C587" s="139"/>
      <c r="D587" s="139"/>
      <c r="E587" s="139"/>
      <c r="G587" s="173"/>
    </row>
    <row r="588">
      <c r="B588" s="139"/>
      <c r="C588" s="139"/>
      <c r="D588" s="139"/>
      <c r="E588" s="139"/>
      <c r="G588" s="173"/>
    </row>
    <row r="589">
      <c r="B589" s="139"/>
      <c r="C589" s="139"/>
      <c r="D589" s="139"/>
      <c r="E589" s="139"/>
      <c r="G589" s="173"/>
    </row>
    <row r="590">
      <c r="B590" s="139"/>
      <c r="C590" s="139"/>
      <c r="D590" s="139"/>
      <c r="E590" s="139"/>
      <c r="G590" s="173"/>
    </row>
    <row r="591">
      <c r="B591" s="139"/>
      <c r="C591" s="139"/>
      <c r="D591" s="139"/>
      <c r="E591" s="139"/>
      <c r="G591" s="173"/>
    </row>
    <row r="592">
      <c r="B592" s="139"/>
      <c r="C592" s="139"/>
      <c r="D592" s="139"/>
      <c r="E592" s="139"/>
      <c r="G592" s="173"/>
    </row>
    <row r="593">
      <c r="B593" s="139"/>
      <c r="C593" s="139"/>
      <c r="D593" s="139"/>
      <c r="E593" s="139"/>
      <c r="G593" s="173"/>
    </row>
    <row r="594">
      <c r="B594" s="139"/>
      <c r="C594" s="139"/>
      <c r="D594" s="139"/>
      <c r="E594" s="139"/>
      <c r="G594" s="173"/>
    </row>
    <row r="595">
      <c r="B595" s="139"/>
      <c r="C595" s="139"/>
      <c r="D595" s="139"/>
      <c r="E595" s="139"/>
      <c r="G595" s="173"/>
    </row>
    <row r="596">
      <c r="B596" s="139"/>
      <c r="C596" s="139"/>
      <c r="D596" s="139"/>
      <c r="E596" s="139"/>
      <c r="G596" s="173"/>
    </row>
    <row r="597">
      <c r="B597" s="139"/>
      <c r="C597" s="139"/>
      <c r="D597" s="139"/>
      <c r="E597" s="139"/>
      <c r="G597" s="173"/>
    </row>
    <row r="598">
      <c r="B598" s="139"/>
      <c r="C598" s="139"/>
      <c r="D598" s="139"/>
      <c r="E598" s="139"/>
      <c r="G598" s="173"/>
    </row>
    <row r="599">
      <c r="B599" s="139"/>
      <c r="C599" s="139"/>
      <c r="D599" s="139"/>
      <c r="E599" s="139"/>
      <c r="G599" s="173"/>
    </row>
    <row r="600">
      <c r="B600" s="139"/>
      <c r="C600" s="139"/>
      <c r="D600" s="139"/>
      <c r="E600" s="139"/>
      <c r="G600" s="173"/>
    </row>
    <row r="601">
      <c r="B601" s="139"/>
      <c r="C601" s="139"/>
      <c r="D601" s="139"/>
      <c r="E601" s="139"/>
      <c r="G601" s="173"/>
    </row>
    <row r="602">
      <c r="B602" s="139"/>
      <c r="C602" s="139"/>
      <c r="D602" s="139"/>
      <c r="E602" s="139"/>
      <c r="G602" s="173"/>
    </row>
    <row r="603">
      <c r="B603" s="139"/>
      <c r="C603" s="139"/>
      <c r="D603" s="139"/>
      <c r="E603" s="139"/>
      <c r="G603" s="173"/>
    </row>
    <row r="604">
      <c r="B604" s="139"/>
      <c r="C604" s="139"/>
      <c r="D604" s="139"/>
      <c r="E604" s="139"/>
      <c r="G604" s="173"/>
    </row>
    <row r="605">
      <c r="B605" s="139"/>
      <c r="C605" s="139"/>
      <c r="D605" s="139"/>
      <c r="E605" s="139"/>
      <c r="G605" s="173"/>
    </row>
    <row r="606">
      <c r="B606" s="139"/>
      <c r="C606" s="139"/>
      <c r="D606" s="139"/>
      <c r="E606" s="139"/>
      <c r="G606" s="173"/>
    </row>
    <row r="607">
      <c r="B607" s="139"/>
      <c r="C607" s="139"/>
      <c r="D607" s="139"/>
      <c r="E607" s="139"/>
      <c r="G607" s="173"/>
    </row>
    <row r="608">
      <c r="B608" s="139"/>
      <c r="C608" s="139"/>
      <c r="D608" s="139"/>
      <c r="E608" s="139"/>
      <c r="G608" s="173"/>
    </row>
    <row r="609">
      <c r="B609" s="139"/>
      <c r="C609" s="139"/>
      <c r="D609" s="139"/>
      <c r="E609" s="139"/>
      <c r="G609" s="173"/>
    </row>
    <row r="610">
      <c r="B610" s="139"/>
      <c r="C610" s="139"/>
      <c r="D610" s="139"/>
      <c r="E610" s="139"/>
      <c r="G610" s="173"/>
    </row>
    <row r="611">
      <c r="B611" s="139"/>
      <c r="C611" s="139"/>
      <c r="D611" s="139"/>
      <c r="E611" s="139"/>
      <c r="G611" s="173"/>
    </row>
    <row r="612">
      <c r="B612" s="139"/>
      <c r="C612" s="139"/>
      <c r="D612" s="139"/>
      <c r="E612" s="139"/>
      <c r="G612" s="173"/>
    </row>
    <row r="613">
      <c r="B613" s="139"/>
      <c r="C613" s="139"/>
      <c r="D613" s="139"/>
      <c r="E613" s="139"/>
      <c r="G613" s="173"/>
    </row>
    <row r="614">
      <c r="B614" s="139"/>
      <c r="C614" s="139"/>
      <c r="D614" s="139"/>
      <c r="E614" s="139"/>
      <c r="G614" s="173"/>
    </row>
    <row r="615">
      <c r="B615" s="139"/>
      <c r="C615" s="139"/>
      <c r="D615" s="139"/>
      <c r="E615" s="139"/>
      <c r="G615" s="173"/>
    </row>
    <row r="616">
      <c r="B616" s="139"/>
      <c r="C616" s="139"/>
      <c r="D616" s="139"/>
      <c r="E616" s="139"/>
      <c r="G616" s="173"/>
    </row>
    <row r="617">
      <c r="B617" s="139"/>
      <c r="C617" s="139"/>
      <c r="D617" s="139"/>
      <c r="E617" s="139"/>
      <c r="G617" s="173"/>
    </row>
    <row r="618">
      <c r="B618" s="139"/>
      <c r="C618" s="139"/>
      <c r="D618" s="139"/>
      <c r="E618" s="139"/>
      <c r="G618" s="173"/>
    </row>
    <row r="619">
      <c r="B619" s="139"/>
      <c r="C619" s="139"/>
      <c r="D619" s="139"/>
      <c r="E619" s="139"/>
      <c r="G619" s="173"/>
    </row>
    <row r="620">
      <c r="B620" s="139"/>
      <c r="C620" s="139"/>
      <c r="D620" s="139"/>
      <c r="E620" s="139"/>
      <c r="G620" s="173"/>
    </row>
    <row r="621">
      <c r="B621" s="139"/>
      <c r="C621" s="139"/>
      <c r="D621" s="139"/>
      <c r="E621" s="139"/>
      <c r="G621" s="173"/>
    </row>
    <row r="622">
      <c r="B622" s="139"/>
      <c r="C622" s="139"/>
      <c r="D622" s="139"/>
      <c r="E622" s="139"/>
      <c r="G622" s="173"/>
    </row>
    <row r="623">
      <c r="B623" s="139"/>
      <c r="C623" s="139"/>
      <c r="D623" s="139"/>
      <c r="E623" s="139"/>
      <c r="G623" s="173"/>
    </row>
    <row r="624">
      <c r="B624" s="139"/>
      <c r="C624" s="139"/>
      <c r="D624" s="139"/>
      <c r="E624" s="139"/>
      <c r="G624" s="173"/>
    </row>
    <row r="625">
      <c r="B625" s="139"/>
      <c r="C625" s="139"/>
      <c r="D625" s="139"/>
      <c r="E625" s="139"/>
      <c r="G625" s="173"/>
    </row>
    <row r="626">
      <c r="B626" s="139"/>
      <c r="C626" s="139"/>
      <c r="D626" s="139"/>
      <c r="E626" s="139"/>
      <c r="G626" s="173"/>
    </row>
    <row r="627">
      <c r="B627" s="139"/>
      <c r="C627" s="139"/>
      <c r="D627" s="139"/>
      <c r="E627" s="139"/>
      <c r="G627" s="173"/>
    </row>
    <row r="628">
      <c r="B628" s="139"/>
      <c r="C628" s="139"/>
      <c r="D628" s="139"/>
      <c r="E628" s="139"/>
      <c r="G628" s="173"/>
    </row>
    <row r="629">
      <c r="B629" s="139"/>
      <c r="C629" s="139"/>
      <c r="D629" s="139"/>
      <c r="E629" s="139"/>
      <c r="G629" s="173"/>
    </row>
    <row r="630">
      <c r="B630" s="139"/>
      <c r="C630" s="139"/>
      <c r="D630" s="139"/>
      <c r="E630" s="139"/>
      <c r="G630" s="173"/>
    </row>
    <row r="631">
      <c r="B631" s="139"/>
      <c r="C631" s="139"/>
      <c r="D631" s="139"/>
      <c r="E631" s="139"/>
      <c r="G631" s="173"/>
    </row>
    <row r="632">
      <c r="B632" s="139"/>
      <c r="C632" s="139"/>
      <c r="D632" s="139"/>
      <c r="E632" s="139"/>
      <c r="G632" s="173"/>
    </row>
    <row r="633">
      <c r="B633" s="139"/>
      <c r="C633" s="139"/>
      <c r="D633" s="139"/>
      <c r="E633" s="139"/>
      <c r="G633" s="173"/>
    </row>
    <row r="634">
      <c r="B634" s="139"/>
      <c r="C634" s="139"/>
      <c r="D634" s="139"/>
      <c r="E634" s="139"/>
      <c r="G634" s="173"/>
    </row>
    <row r="635">
      <c r="B635" s="139"/>
      <c r="C635" s="139"/>
      <c r="D635" s="139"/>
      <c r="E635" s="139"/>
      <c r="G635" s="173"/>
    </row>
    <row r="636">
      <c r="B636" s="139"/>
      <c r="C636" s="139"/>
      <c r="D636" s="139"/>
      <c r="E636" s="139"/>
      <c r="G636" s="173"/>
    </row>
    <row r="637">
      <c r="B637" s="139"/>
      <c r="C637" s="139"/>
      <c r="D637" s="139"/>
      <c r="E637" s="139"/>
      <c r="G637" s="173"/>
    </row>
    <row r="638">
      <c r="B638" s="139"/>
      <c r="C638" s="139"/>
      <c r="D638" s="139"/>
      <c r="E638" s="139"/>
      <c r="G638" s="173"/>
    </row>
    <row r="639">
      <c r="B639" s="139"/>
      <c r="C639" s="139"/>
      <c r="D639" s="139"/>
      <c r="E639" s="139"/>
      <c r="G639" s="173"/>
    </row>
    <row r="640">
      <c r="B640" s="139"/>
      <c r="C640" s="139"/>
      <c r="D640" s="139"/>
      <c r="E640" s="139"/>
      <c r="G640" s="173"/>
    </row>
    <row r="641">
      <c r="B641" s="139"/>
      <c r="C641" s="139"/>
      <c r="D641" s="139"/>
      <c r="E641" s="139"/>
      <c r="G641" s="173"/>
    </row>
    <row r="642">
      <c r="B642" s="139"/>
      <c r="C642" s="139"/>
      <c r="D642" s="139"/>
      <c r="E642" s="139"/>
      <c r="G642" s="173"/>
    </row>
    <row r="643">
      <c r="B643" s="139"/>
      <c r="C643" s="139"/>
      <c r="D643" s="139"/>
      <c r="E643" s="139"/>
      <c r="G643" s="173"/>
    </row>
    <row r="644">
      <c r="B644" s="139"/>
      <c r="C644" s="139"/>
      <c r="D644" s="139"/>
      <c r="E644" s="139"/>
      <c r="G644" s="173"/>
    </row>
    <row r="645">
      <c r="B645" s="139"/>
      <c r="C645" s="139"/>
      <c r="D645" s="139"/>
      <c r="E645" s="139"/>
      <c r="G645" s="173"/>
    </row>
    <row r="646">
      <c r="B646" s="139"/>
      <c r="C646" s="139"/>
      <c r="D646" s="139"/>
      <c r="E646" s="139"/>
      <c r="G646" s="173"/>
    </row>
    <row r="647">
      <c r="B647" s="139"/>
      <c r="C647" s="139"/>
      <c r="D647" s="139"/>
      <c r="E647" s="139"/>
      <c r="G647" s="173"/>
    </row>
    <row r="648">
      <c r="B648" s="139"/>
      <c r="C648" s="139"/>
      <c r="D648" s="139"/>
      <c r="E648" s="139"/>
      <c r="G648" s="173"/>
    </row>
    <row r="649">
      <c r="B649" s="139"/>
      <c r="C649" s="139"/>
      <c r="D649" s="139"/>
      <c r="E649" s="139"/>
      <c r="G649" s="173"/>
    </row>
    <row r="650">
      <c r="B650" s="139"/>
      <c r="C650" s="139"/>
      <c r="D650" s="139"/>
      <c r="E650" s="139"/>
      <c r="G650" s="173"/>
    </row>
    <row r="651">
      <c r="B651" s="139"/>
      <c r="C651" s="139"/>
      <c r="D651" s="139"/>
      <c r="E651" s="139"/>
      <c r="G651" s="173"/>
    </row>
    <row r="652">
      <c r="B652" s="139"/>
      <c r="C652" s="139"/>
      <c r="D652" s="139"/>
      <c r="E652" s="139"/>
      <c r="G652" s="173"/>
    </row>
    <row r="653">
      <c r="B653" s="139"/>
      <c r="C653" s="139"/>
      <c r="D653" s="139"/>
      <c r="E653" s="139"/>
      <c r="G653" s="173"/>
    </row>
    <row r="654">
      <c r="B654" s="139"/>
      <c r="C654" s="139"/>
      <c r="D654" s="139"/>
      <c r="E654" s="139"/>
      <c r="G654" s="173"/>
    </row>
    <row r="655">
      <c r="B655" s="139"/>
      <c r="C655" s="139"/>
      <c r="D655" s="139"/>
      <c r="E655" s="139"/>
      <c r="G655" s="173"/>
    </row>
    <row r="656">
      <c r="B656" s="139"/>
      <c r="C656" s="139"/>
      <c r="D656" s="139"/>
      <c r="E656" s="139"/>
      <c r="G656" s="173"/>
    </row>
    <row r="657">
      <c r="B657" s="139"/>
      <c r="C657" s="139"/>
      <c r="D657" s="139"/>
      <c r="E657" s="139"/>
      <c r="G657" s="173"/>
    </row>
    <row r="658">
      <c r="B658" s="139"/>
      <c r="C658" s="139"/>
      <c r="D658" s="139"/>
      <c r="E658" s="139"/>
      <c r="G658" s="173"/>
    </row>
    <row r="659">
      <c r="B659" s="139"/>
      <c r="C659" s="139"/>
      <c r="D659" s="139"/>
      <c r="E659" s="139"/>
      <c r="G659" s="173"/>
    </row>
    <row r="660">
      <c r="B660" s="139"/>
      <c r="C660" s="139"/>
      <c r="D660" s="139"/>
      <c r="E660" s="139"/>
      <c r="G660" s="173"/>
    </row>
    <row r="661">
      <c r="B661" s="139"/>
      <c r="C661" s="139"/>
      <c r="D661" s="139"/>
      <c r="E661" s="139"/>
      <c r="G661" s="173"/>
    </row>
    <row r="662">
      <c r="B662" s="139"/>
      <c r="C662" s="139"/>
      <c r="D662" s="139"/>
      <c r="E662" s="139"/>
      <c r="G662" s="173"/>
    </row>
    <row r="663">
      <c r="B663" s="139"/>
      <c r="C663" s="139"/>
      <c r="D663" s="139"/>
      <c r="E663" s="139"/>
      <c r="G663" s="173"/>
    </row>
    <row r="664">
      <c r="B664" s="139"/>
      <c r="C664" s="139"/>
      <c r="D664" s="139"/>
      <c r="E664" s="139"/>
      <c r="G664" s="173"/>
    </row>
    <row r="665">
      <c r="B665" s="139"/>
      <c r="C665" s="139"/>
      <c r="D665" s="139"/>
      <c r="E665" s="139"/>
      <c r="G665" s="173"/>
    </row>
    <row r="666">
      <c r="B666" s="139"/>
      <c r="C666" s="139"/>
      <c r="D666" s="139"/>
      <c r="E666" s="139"/>
      <c r="G666" s="173"/>
    </row>
    <row r="667">
      <c r="B667" s="139"/>
      <c r="C667" s="139"/>
      <c r="D667" s="139"/>
      <c r="E667" s="139"/>
      <c r="G667" s="173"/>
    </row>
    <row r="668">
      <c r="B668" s="139"/>
      <c r="C668" s="139"/>
      <c r="D668" s="139"/>
      <c r="E668" s="139"/>
      <c r="G668" s="173"/>
    </row>
    <row r="669">
      <c r="B669" s="139"/>
      <c r="C669" s="139"/>
      <c r="D669" s="139"/>
      <c r="E669" s="139"/>
      <c r="G669" s="173"/>
    </row>
    <row r="670">
      <c r="B670" s="139"/>
      <c r="C670" s="139"/>
      <c r="D670" s="139"/>
      <c r="E670" s="139"/>
      <c r="G670" s="173"/>
    </row>
    <row r="671">
      <c r="B671" s="139"/>
      <c r="C671" s="139"/>
      <c r="D671" s="139"/>
      <c r="E671" s="139"/>
      <c r="G671" s="173"/>
    </row>
    <row r="672">
      <c r="B672" s="139"/>
      <c r="C672" s="139"/>
      <c r="D672" s="139"/>
      <c r="E672" s="139"/>
      <c r="G672" s="173"/>
    </row>
    <row r="673">
      <c r="B673" s="139"/>
      <c r="C673" s="139"/>
      <c r="D673" s="139"/>
      <c r="E673" s="139"/>
      <c r="G673" s="173"/>
    </row>
    <row r="674">
      <c r="B674" s="139"/>
      <c r="C674" s="139"/>
      <c r="D674" s="139"/>
      <c r="E674" s="139"/>
      <c r="G674" s="173"/>
    </row>
    <row r="675">
      <c r="B675" s="139"/>
      <c r="C675" s="139"/>
      <c r="D675" s="139"/>
      <c r="E675" s="139"/>
      <c r="G675" s="173"/>
    </row>
    <row r="676">
      <c r="B676" s="139"/>
      <c r="C676" s="139"/>
      <c r="D676" s="139"/>
      <c r="E676" s="139"/>
      <c r="G676" s="173"/>
    </row>
    <row r="677">
      <c r="B677" s="139"/>
      <c r="C677" s="139"/>
      <c r="D677" s="139"/>
      <c r="E677" s="139"/>
      <c r="G677" s="173"/>
    </row>
    <row r="678">
      <c r="B678" s="139"/>
      <c r="C678" s="139"/>
      <c r="D678" s="139"/>
      <c r="E678" s="139"/>
      <c r="G678" s="173"/>
    </row>
    <row r="679">
      <c r="B679" s="139"/>
      <c r="C679" s="139"/>
      <c r="D679" s="139"/>
      <c r="E679" s="139"/>
      <c r="G679" s="173"/>
    </row>
    <row r="680">
      <c r="B680" s="139"/>
      <c r="C680" s="139"/>
      <c r="D680" s="139"/>
      <c r="E680" s="139"/>
      <c r="G680" s="173"/>
    </row>
    <row r="681">
      <c r="B681" s="139"/>
      <c r="C681" s="139"/>
      <c r="D681" s="139"/>
      <c r="E681" s="139"/>
      <c r="G681" s="173"/>
    </row>
    <row r="682">
      <c r="B682" s="139"/>
      <c r="C682" s="139"/>
      <c r="D682" s="139"/>
      <c r="E682" s="139"/>
      <c r="G682" s="173"/>
    </row>
    <row r="683">
      <c r="B683" s="139"/>
      <c r="C683" s="139"/>
      <c r="D683" s="139"/>
      <c r="E683" s="139"/>
      <c r="G683" s="173"/>
    </row>
    <row r="684">
      <c r="B684" s="139"/>
      <c r="C684" s="139"/>
      <c r="D684" s="139"/>
      <c r="E684" s="139"/>
      <c r="G684" s="173"/>
    </row>
    <row r="685">
      <c r="B685" s="139"/>
      <c r="C685" s="139"/>
      <c r="D685" s="139"/>
      <c r="E685" s="139"/>
      <c r="G685" s="173"/>
    </row>
    <row r="686">
      <c r="B686" s="139"/>
      <c r="C686" s="139"/>
      <c r="D686" s="139"/>
      <c r="E686" s="139"/>
      <c r="G686" s="173"/>
    </row>
    <row r="687">
      <c r="B687" s="139"/>
      <c r="C687" s="139"/>
      <c r="D687" s="139"/>
      <c r="E687" s="139"/>
      <c r="G687" s="173"/>
    </row>
    <row r="688">
      <c r="B688" s="139"/>
      <c r="C688" s="139"/>
      <c r="D688" s="139"/>
      <c r="E688" s="139"/>
      <c r="G688" s="173"/>
    </row>
    <row r="689">
      <c r="B689" s="139"/>
      <c r="C689" s="139"/>
      <c r="D689" s="139"/>
      <c r="E689" s="139"/>
      <c r="G689" s="173"/>
    </row>
    <row r="690">
      <c r="B690" s="139"/>
      <c r="C690" s="139"/>
      <c r="D690" s="139"/>
      <c r="E690" s="139"/>
      <c r="G690" s="173"/>
    </row>
    <row r="691">
      <c r="B691" s="139"/>
      <c r="C691" s="139"/>
      <c r="D691" s="139"/>
      <c r="E691" s="139"/>
      <c r="G691" s="173"/>
    </row>
    <row r="692">
      <c r="B692" s="139"/>
      <c r="C692" s="139"/>
      <c r="D692" s="139"/>
      <c r="E692" s="139"/>
      <c r="G692" s="173"/>
    </row>
    <row r="693">
      <c r="B693" s="139"/>
      <c r="C693" s="139"/>
      <c r="D693" s="139"/>
      <c r="E693" s="139"/>
      <c r="G693" s="173"/>
    </row>
    <row r="694">
      <c r="B694" s="139"/>
      <c r="C694" s="139"/>
      <c r="D694" s="139"/>
      <c r="E694" s="139"/>
      <c r="G694" s="173"/>
    </row>
    <row r="695">
      <c r="B695" s="139"/>
      <c r="C695" s="139"/>
      <c r="D695" s="139"/>
      <c r="E695" s="139"/>
      <c r="G695" s="173"/>
    </row>
    <row r="696">
      <c r="B696" s="139"/>
      <c r="C696" s="139"/>
      <c r="D696" s="139"/>
      <c r="E696" s="139"/>
      <c r="G696" s="173"/>
    </row>
    <row r="697">
      <c r="B697" s="139"/>
      <c r="C697" s="139"/>
      <c r="D697" s="139"/>
      <c r="E697" s="139"/>
      <c r="G697" s="173"/>
    </row>
    <row r="698">
      <c r="B698" s="139"/>
      <c r="C698" s="139"/>
      <c r="D698" s="139"/>
      <c r="E698" s="139"/>
      <c r="G698" s="173"/>
    </row>
    <row r="699">
      <c r="B699" s="139"/>
      <c r="C699" s="139"/>
      <c r="D699" s="139"/>
      <c r="E699" s="139"/>
      <c r="G699" s="173"/>
    </row>
    <row r="700">
      <c r="B700" s="139"/>
      <c r="C700" s="139"/>
      <c r="D700" s="139"/>
      <c r="E700" s="139"/>
      <c r="G700" s="173"/>
    </row>
    <row r="701">
      <c r="B701" s="139"/>
      <c r="C701" s="139"/>
      <c r="D701" s="139"/>
      <c r="E701" s="139"/>
      <c r="G701" s="173"/>
    </row>
    <row r="702">
      <c r="B702" s="139"/>
      <c r="C702" s="139"/>
      <c r="D702" s="139"/>
      <c r="E702" s="139"/>
      <c r="G702" s="173"/>
    </row>
    <row r="703">
      <c r="B703" s="139"/>
      <c r="C703" s="139"/>
      <c r="D703" s="139"/>
      <c r="E703" s="139"/>
      <c r="G703" s="173"/>
    </row>
    <row r="704">
      <c r="B704" s="139"/>
      <c r="C704" s="139"/>
      <c r="D704" s="139"/>
      <c r="E704" s="139"/>
      <c r="G704" s="173"/>
    </row>
    <row r="705">
      <c r="B705" s="139"/>
      <c r="C705" s="139"/>
      <c r="D705" s="139"/>
      <c r="E705" s="139"/>
      <c r="G705" s="173"/>
    </row>
    <row r="706">
      <c r="B706" s="139"/>
      <c r="C706" s="139"/>
      <c r="D706" s="139"/>
      <c r="E706" s="139"/>
      <c r="G706" s="173"/>
    </row>
    <row r="707">
      <c r="B707" s="139"/>
      <c r="C707" s="139"/>
      <c r="D707" s="139"/>
      <c r="E707" s="139"/>
      <c r="G707" s="173"/>
    </row>
    <row r="708">
      <c r="B708" s="139"/>
      <c r="C708" s="139"/>
      <c r="D708" s="139"/>
      <c r="E708" s="139"/>
      <c r="G708" s="173"/>
    </row>
    <row r="709">
      <c r="B709" s="139"/>
      <c r="C709" s="139"/>
      <c r="D709" s="139"/>
      <c r="E709" s="139"/>
      <c r="G709" s="173"/>
    </row>
    <row r="710">
      <c r="B710" s="139"/>
      <c r="C710" s="139"/>
      <c r="D710" s="139"/>
      <c r="E710" s="139"/>
      <c r="G710" s="173"/>
    </row>
    <row r="711">
      <c r="B711" s="139"/>
      <c r="C711" s="139"/>
      <c r="D711" s="139"/>
      <c r="E711" s="139"/>
      <c r="G711" s="173"/>
    </row>
    <row r="712">
      <c r="B712" s="139"/>
      <c r="C712" s="139"/>
      <c r="D712" s="139"/>
      <c r="E712" s="139"/>
      <c r="G712" s="173"/>
    </row>
    <row r="713">
      <c r="B713" s="139"/>
      <c r="C713" s="139"/>
      <c r="D713" s="139"/>
      <c r="E713" s="139"/>
      <c r="G713" s="173"/>
    </row>
    <row r="714">
      <c r="B714" s="139"/>
      <c r="C714" s="139"/>
      <c r="D714" s="139"/>
      <c r="E714" s="139"/>
      <c r="G714" s="173"/>
    </row>
    <row r="715">
      <c r="B715" s="139"/>
      <c r="C715" s="139"/>
      <c r="D715" s="139"/>
      <c r="E715" s="139"/>
      <c r="G715" s="173"/>
    </row>
    <row r="716">
      <c r="B716" s="139"/>
      <c r="C716" s="139"/>
      <c r="D716" s="139"/>
      <c r="E716" s="139"/>
      <c r="G716" s="173"/>
    </row>
    <row r="717">
      <c r="B717" s="139"/>
      <c r="C717" s="139"/>
      <c r="D717" s="139"/>
      <c r="E717" s="139"/>
      <c r="G717" s="173"/>
    </row>
    <row r="718">
      <c r="B718" s="139"/>
      <c r="C718" s="139"/>
      <c r="D718" s="139"/>
      <c r="E718" s="139"/>
      <c r="G718" s="173"/>
    </row>
    <row r="719">
      <c r="B719" s="139"/>
      <c r="C719" s="139"/>
      <c r="D719" s="139"/>
      <c r="E719" s="139"/>
      <c r="G719" s="173"/>
    </row>
    <row r="720">
      <c r="B720" s="139"/>
      <c r="C720" s="139"/>
      <c r="D720" s="139"/>
      <c r="E720" s="139"/>
      <c r="G720" s="173"/>
    </row>
    <row r="721">
      <c r="B721" s="139"/>
      <c r="C721" s="139"/>
      <c r="D721" s="139"/>
      <c r="E721" s="139"/>
      <c r="G721" s="173"/>
    </row>
    <row r="722">
      <c r="B722" s="139"/>
      <c r="C722" s="139"/>
      <c r="D722" s="139"/>
      <c r="E722" s="139"/>
      <c r="G722" s="173"/>
    </row>
    <row r="723">
      <c r="B723" s="139"/>
      <c r="C723" s="139"/>
      <c r="D723" s="139"/>
      <c r="E723" s="139"/>
      <c r="G723" s="173"/>
    </row>
    <row r="724">
      <c r="B724" s="139"/>
      <c r="C724" s="139"/>
      <c r="D724" s="139"/>
      <c r="E724" s="139"/>
      <c r="G724" s="173"/>
    </row>
    <row r="725">
      <c r="B725" s="139"/>
      <c r="C725" s="139"/>
      <c r="D725" s="139"/>
      <c r="E725" s="139"/>
      <c r="G725" s="173"/>
    </row>
    <row r="726">
      <c r="B726" s="139"/>
      <c r="C726" s="139"/>
      <c r="D726" s="139"/>
      <c r="E726" s="139"/>
      <c r="G726" s="173"/>
    </row>
    <row r="727">
      <c r="B727" s="139"/>
      <c r="C727" s="139"/>
      <c r="D727" s="139"/>
      <c r="E727" s="139"/>
      <c r="G727" s="173"/>
    </row>
    <row r="728">
      <c r="B728" s="139"/>
      <c r="C728" s="139"/>
      <c r="D728" s="139"/>
      <c r="E728" s="139"/>
      <c r="G728" s="173"/>
    </row>
    <row r="729">
      <c r="B729" s="139"/>
      <c r="C729" s="139"/>
      <c r="D729" s="139"/>
      <c r="E729" s="139"/>
      <c r="G729" s="173"/>
    </row>
    <row r="730">
      <c r="B730" s="139"/>
      <c r="C730" s="139"/>
      <c r="D730" s="139"/>
      <c r="E730" s="139"/>
      <c r="G730" s="173"/>
    </row>
    <row r="731">
      <c r="B731" s="139"/>
      <c r="C731" s="139"/>
      <c r="D731" s="139"/>
      <c r="E731" s="139"/>
      <c r="G731" s="173"/>
    </row>
    <row r="732">
      <c r="B732" s="139"/>
      <c r="C732" s="139"/>
      <c r="D732" s="139"/>
      <c r="E732" s="139"/>
      <c r="G732" s="173"/>
    </row>
    <row r="733">
      <c r="B733" s="139"/>
      <c r="C733" s="139"/>
      <c r="D733" s="139"/>
      <c r="E733" s="139"/>
      <c r="G733" s="173"/>
    </row>
    <row r="734">
      <c r="B734" s="139"/>
      <c r="C734" s="139"/>
      <c r="D734" s="139"/>
      <c r="E734" s="139"/>
      <c r="G734" s="173"/>
    </row>
    <row r="735">
      <c r="B735" s="139"/>
      <c r="C735" s="139"/>
      <c r="D735" s="139"/>
      <c r="E735" s="139"/>
      <c r="G735" s="173"/>
    </row>
    <row r="736">
      <c r="B736" s="139"/>
      <c r="C736" s="139"/>
      <c r="D736" s="139"/>
      <c r="E736" s="139"/>
      <c r="G736" s="173"/>
    </row>
    <row r="737">
      <c r="B737" s="139"/>
      <c r="C737" s="139"/>
      <c r="D737" s="139"/>
      <c r="E737" s="139"/>
      <c r="G737" s="173"/>
    </row>
    <row r="738">
      <c r="B738" s="139"/>
      <c r="C738" s="139"/>
      <c r="D738" s="139"/>
      <c r="E738" s="139"/>
      <c r="G738" s="173"/>
    </row>
    <row r="739">
      <c r="B739" s="139"/>
      <c r="C739" s="139"/>
      <c r="D739" s="139"/>
      <c r="E739" s="139"/>
      <c r="G739" s="173"/>
    </row>
    <row r="740">
      <c r="B740" s="139"/>
      <c r="C740" s="139"/>
      <c r="D740" s="139"/>
      <c r="E740" s="139"/>
      <c r="G740" s="173"/>
    </row>
    <row r="741">
      <c r="B741" s="139"/>
      <c r="C741" s="139"/>
      <c r="D741" s="139"/>
      <c r="E741" s="139"/>
      <c r="G741" s="173"/>
    </row>
    <row r="742">
      <c r="B742" s="139"/>
      <c r="C742" s="139"/>
      <c r="D742" s="139"/>
      <c r="E742" s="139"/>
      <c r="G742" s="173"/>
    </row>
    <row r="743">
      <c r="B743" s="139"/>
      <c r="C743" s="139"/>
      <c r="D743" s="139"/>
      <c r="E743" s="139"/>
      <c r="G743" s="173"/>
    </row>
    <row r="744">
      <c r="B744" s="139"/>
      <c r="C744" s="139"/>
      <c r="D744" s="139"/>
      <c r="E744" s="139"/>
      <c r="G744" s="173"/>
    </row>
    <row r="745">
      <c r="B745" s="139"/>
      <c r="C745" s="139"/>
      <c r="D745" s="139"/>
      <c r="E745" s="139"/>
      <c r="G745" s="173"/>
    </row>
    <row r="746">
      <c r="B746" s="139"/>
      <c r="C746" s="139"/>
      <c r="D746" s="139"/>
      <c r="E746" s="139"/>
      <c r="G746" s="173"/>
    </row>
    <row r="747">
      <c r="B747" s="139"/>
      <c r="C747" s="139"/>
      <c r="D747" s="139"/>
      <c r="E747" s="139"/>
      <c r="G747" s="173"/>
    </row>
    <row r="748">
      <c r="B748" s="139"/>
      <c r="C748" s="139"/>
      <c r="D748" s="139"/>
      <c r="E748" s="139"/>
      <c r="G748" s="173"/>
    </row>
    <row r="749">
      <c r="B749" s="139"/>
      <c r="C749" s="139"/>
      <c r="D749" s="139"/>
      <c r="E749" s="139"/>
      <c r="G749" s="173"/>
    </row>
    <row r="750">
      <c r="B750" s="139"/>
      <c r="C750" s="139"/>
      <c r="D750" s="139"/>
      <c r="E750" s="139"/>
      <c r="G750" s="173"/>
    </row>
    <row r="751">
      <c r="B751" s="139"/>
      <c r="C751" s="139"/>
      <c r="D751" s="139"/>
      <c r="E751" s="139"/>
      <c r="G751" s="173"/>
    </row>
    <row r="752">
      <c r="B752" s="139"/>
      <c r="C752" s="139"/>
      <c r="D752" s="139"/>
      <c r="E752" s="139"/>
      <c r="G752" s="173"/>
    </row>
    <row r="753">
      <c r="B753" s="139"/>
      <c r="C753" s="139"/>
      <c r="D753" s="139"/>
      <c r="E753" s="139"/>
      <c r="G753" s="173"/>
    </row>
    <row r="754">
      <c r="B754" s="139"/>
      <c r="C754" s="139"/>
      <c r="D754" s="139"/>
      <c r="E754" s="139"/>
      <c r="G754" s="173"/>
    </row>
    <row r="755">
      <c r="B755" s="139"/>
      <c r="C755" s="139"/>
      <c r="D755" s="139"/>
      <c r="E755" s="139"/>
      <c r="G755" s="173"/>
    </row>
    <row r="756">
      <c r="B756" s="139"/>
      <c r="C756" s="139"/>
      <c r="D756" s="139"/>
      <c r="E756" s="139"/>
      <c r="G756" s="173"/>
    </row>
    <row r="757">
      <c r="B757" s="139"/>
      <c r="C757" s="139"/>
      <c r="D757" s="139"/>
      <c r="E757" s="139"/>
      <c r="G757" s="173"/>
    </row>
    <row r="758">
      <c r="B758" s="139"/>
      <c r="C758" s="139"/>
      <c r="D758" s="139"/>
      <c r="E758" s="139"/>
      <c r="G758" s="173"/>
    </row>
    <row r="759">
      <c r="B759" s="139"/>
      <c r="C759" s="139"/>
      <c r="D759" s="139"/>
      <c r="E759" s="139"/>
      <c r="G759" s="173"/>
    </row>
    <row r="760">
      <c r="B760" s="139"/>
      <c r="C760" s="139"/>
      <c r="D760" s="139"/>
      <c r="E760" s="139"/>
      <c r="G760" s="173"/>
    </row>
    <row r="761">
      <c r="B761" s="139"/>
      <c r="C761" s="139"/>
      <c r="D761" s="139"/>
      <c r="E761" s="139"/>
      <c r="G761" s="173"/>
    </row>
    <row r="762">
      <c r="B762" s="139"/>
      <c r="C762" s="139"/>
      <c r="D762" s="139"/>
      <c r="E762" s="139"/>
      <c r="G762" s="173"/>
    </row>
    <row r="763">
      <c r="B763" s="139"/>
      <c r="C763" s="139"/>
      <c r="D763" s="139"/>
      <c r="E763" s="139"/>
      <c r="G763" s="173"/>
    </row>
    <row r="764">
      <c r="B764" s="139"/>
      <c r="C764" s="139"/>
      <c r="D764" s="139"/>
      <c r="E764" s="139"/>
      <c r="G764" s="173"/>
    </row>
    <row r="765">
      <c r="B765" s="139"/>
      <c r="C765" s="139"/>
      <c r="D765" s="139"/>
      <c r="E765" s="139"/>
      <c r="G765" s="173"/>
    </row>
    <row r="766">
      <c r="B766" s="139"/>
      <c r="C766" s="139"/>
      <c r="D766" s="139"/>
      <c r="E766" s="139"/>
      <c r="G766" s="173"/>
    </row>
    <row r="767">
      <c r="B767" s="139"/>
      <c r="C767" s="139"/>
      <c r="D767" s="139"/>
      <c r="E767" s="139"/>
      <c r="G767" s="173"/>
    </row>
    <row r="768">
      <c r="B768" s="139"/>
      <c r="C768" s="139"/>
      <c r="D768" s="139"/>
      <c r="E768" s="139"/>
      <c r="G768" s="173"/>
    </row>
    <row r="769">
      <c r="B769" s="139"/>
      <c r="C769" s="139"/>
      <c r="D769" s="139"/>
      <c r="E769" s="139"/>
      <c r="G769" s="173"/>
    </row>
    <row r="770">
      <c r="B770" s="139"/>
      <c r="C770" s="139"/>
      <c r="D770" s="139"/>
      <c r="E770" s="139"/>
      <c r="G770" s="173"/>
    </row>
    <row r="771">
      <c r="B771" s="139"/>
      <c r="C771" s="139"/>
      <c r="D771" s="139"/>
      <c r="E771" s="139"/>
      <c r="G771" s="173"/>
    </row>
    <row r="772">
      <c r="B772" s="139"/>
      <c r="C772" s="139"/>
      <c r="D772" s="139"/>
      <c r="E772" s="139"/>
      <c r="G772" s="173"/>
    </row>
    <row r="773">
      <c r="B773" s="139"/>
      <c r="C773" s="139"/>
      <c r="D773" s="139"/>
      <c r="E773" s="139"/>
      <c r="G773" s="173"/>
    </row>
    <row r="774">
      <c r="B774" s="139"/>
      <c r="C774" s="139"/>
      <c r="D774" s="139"/>
      <c r="E774" s="139"/>
      <c r="G774" s="173"/>
    </row>
    <row r="775">
      <c r="B775" s="139"/>
      <c r="C775" s="139"/>
      <c r="D775" s="139"/>
      <c r="E775" s="139"/>
      <c r="G775" s="173"/>
    </row>
    <row r="776">
      <c r="B776" s="139"/>
      <c r="C776" s="139"/>
      <c r="D776" s="139"/>
      <c r="E776" s="139"/>
      <c r="G776" s="173"/>
    </row>
    <row r="777">
      <c r="B777" s="139"/>
      <c r="C777" s="139"/>
      <c r="D777" s="139"/>
      <c r="E777" s="139"/>
      <c r="G777" s="173"/>
    </row>
    <row r="778">
      <c r="B778" s="139"/>
      <c r="C778" s="139"/>
      <c r="D778" s="139"/>
      <c r="E778" s="139"/>
      <c r="G778" s="173"/>
    </row>
    <row r="779">
      <c r="B779" s="139"/>
      <c r="C779" s="139"/>
      <c r="D779" s="139"/>
      <c r="E779" s="139"/>
      <c r="G779" s="173"/>
    </row>
    <row r="780">
      <c r="B780" s="139"/>
      <c r="C780" s="139"/>
      <c r="D780" s="139"/>
      <c r="E780" s="139"/>
      <c r="G780" s="173"/>
    </row>
    <row r="781">
      <c r="B781" s="139"/>
      <c r="C781" s="139"/>
      <c r="D781" s="139"/>
      <c r="E781" s="139"/>
      <c r="G781" s="173"/>
    </row>
    <row r="782">
      <c r="B782" s="139"/>
      <c r="C782" s="139"/>
      <c r="D782" s="139"/>
      <c r="E782" s="139"/>
      <c r="G782" s="173"/>
    </row>
    <row r="783">
      <c r="B783" s="139"/>
      <c r="C783" s="139"/>
      <c r="D783" s="139"/>
      <c r="E783" s="139"/>
      <c r="G783" s="173"/>
    </row>
    <row r="784">
      <c r="B784" s="139"/>
      <c r="C784" s="139"/>
      <c r="D784" s="139"/>
      <c r="E784" s="139"/>
      <c r="G784" s="173"/>
    </row>
    <row r="785">
      <c r="B785" s="139"/>
      <c r="C785" s="139"/>
      <c r="D785" s="139"/>
      <c r="E785" s="139"/>
      <c r="G785" s="173"/>
    </row>
    <row r="786">
      <c r="B786" s="139"/>
      <c r="C786" s="139"/>
      <c r="D786" s="139"/>
      <c r="E786" s="139"/>
      <c r="G786" s="173"/>
    </row>
    <row r="787">
      <c r="B787" s="139"/>
      <c r="C787" s="139"/>
      <c r="D787" s="139"/>
      <c r="E787" s="139"/>
      <c r="G787" s="173"/>
    </row>
    <row r="788">
      <c r="B788" s="139"/>
      <c r="C788" s="139"/>
      <c r="D788" s="139"/>
      <c r="E788" s="139"/>
      <c r="G788" s="173"/>
    </row>
    <row r="789">
      <c r="B789" s="139"/>
      <c r="C789" s="139"/>
      <c r="D789" s="139"/>
      <c r="E789" s="139"/>
      <c r="G789" s="173"/>
    </row>
    <row r="790">
      <c r="B790" s="139"/>
      <c r="C790" s="139"/>
      <c r="D790" s="139"/>
      <c r="E790" s="139"/>
      <c r="G790" s="173"/>
    </row>
    <row r="791">
      <c r="B791" s="139"/>
      <c r="C791" s="139"/>
      <c r="D791" s="139"/>
      <c r="E791" s="139"/>
      <c r="G791" s="173"/>
    </row>
    <row r="792">
      <c r="B792" s="139"/>
      <c r="C792" s="139"/>
      <c r="D792" s="139"/>
      <c r="E792" s="139"/>
      <c r="G792" s="173"/>
    </row>
    <row r="793">
      <c r="B793" s="139"/>
      <c r="C793" s="139"/>
      <c r="D793" s="139"/>
      <c r="E793" s="139"/>
      <c r="G793" s="173"/>
    </row>
    <row r="794">
      <c r="B794" s="139"/>
      <c r="C794" s="139"/>
      <c r="D794" s="139"/>
      <c r="E794" s="139"/>
      <c r="G794" s="173"/>
    </row>
    <row r="795">
      <c r="B795" s="139"/>
      <c r="C795" s="139"/>
      <c r="D795" s="139"/>
      <c r="E795" s="139"/>
      <c r="G795" s="173"/>
    </row>
    <row r="796">
      <c r="B796" s="139"/>
      <c r="C796" s="139"/>
      <c r="D796" s="139"/>
      <c r="E796" s="139"/>
      <c r="G796" s="173"/>
    </row>
    <row r="797">
      <c r="B797" s="139"/>
      <c r="C797" s="139"/>
      <c r="D797" s="139"/>
      <c r="E797" s="139"/>
      <c r="G797" s="173"/>
    </row>
    <row r="798">
      <c r="B798" s="139"/>
      <c r="C798" s="139"/>
      <c r="D798" s="139"/>
      <c r="E798" s="139"/>
      <c r="G798" s="173"/>
    </row>
    <row r="799">
      <c r="B799" s="139"/>
      <c r="C799" s="139"/>
      <c r="D799" s="139"/>
      <c r="E799" s="139"/>
      <c r="G799" s="173"/>
    </row>
    <row r="800">
      <c r="B800" s="139"/>
      <c r="C800" s="139"/>
      <c r="D800" s="139"/>
      <c r="E800" s="139"/>
      <c r="G800" s="173"/>
    </row>
    <row r="801">
      <c r="B801" s="139"/>
      <c r="C801" s="139"/>
      <c r="D801" s="139"/>
      <c r="E801" s="139"/>
      <c r="G801" s="173"/>
    </row>
    <row r="802">
      <c r="B802" s="139"/>
      <c r="C802" s="139"/>
      <c r="D802" s="139"/>
      <c r="E802" s="139"/>
      <c r="G802" s="173"/>
    </row>
    <row r="803">
      <c r="B803" s="139"/>
      <c r="C803" s="139"/>
      <c r="D803" s="139"/>
      <c r="E803" s="139"/>
      <c r="G803" s="173"/>
    </row>
    <row r="804">
      <c r="B804" s="139"/>
      <c r="C804" s="139"/>
      <c r="D804" s="139"/>
      <c r="E804" s="139"/>
      <c r="G804" s="173"/>
    </row>
    <row r="805">
      <c r="B805" s="139"/>
      <c r="C805" s="139"/>
      <c r="D805" s="139"/>
      <c r="E805" s="139"/>
      <c r="G805" s="173"/>
    </row>
    <row r="806">
      <c r="B806" s="139"/>
      <c r="C806" s="139"/>
      <c r="D806" s="139"/>
      <c r="E806" s="139"/>
      <c r="G806" s="173"/>
    </row>
    <row r="807">
      <c r="B807" s="139"/>
      <c r="C807" s="139"/>
      <c r="D807" s="139"/>
      <c r="E807" s="139"/>
      <c r="G807" s="173"/>
    </row>
    <row r="808">
      <c r="B808" s="139"/>
      <c r="C808" s="139"/>
      <c r="D808" s="139"/>
      <c r="E808" s="139"/>
      <c r="G808" s="173"/>
    </row>
    <row r="809">
      <c r="B809" s="139"/>
      <c r="C809" s="139"/>
      <c r="D809" s="139"/>
      <c r="E809" s="139"/>
      <c r="G809" s="173"/>
    </row>
    <row r="810">
      <c r="B810" s="139"/>
      <c r="C810" s="139"/>
      <c r="D810" s="139"/>
      <c r="E810" s="139"/>
      <c r="G810" s="173"/>
    </row>
    <row r="811">
      <c r="B811" s="139"/>
      <c r="C811" s="139"/>
      <c r="D811" s="139"/>
      <c r="E811" s="139"/>
      <c r="G811" s="173"/>
    </row>
    <row r="812">
      <c r="B812" s="139"/>
      <c r="C812" s="139"/>
      <c r="D812" s="139"/>
      <c r="E812" s="139"/>
      <c r="G812" s="173"/>
    </row>
    <row r="813">
      <c r="B813" s="139"/>
      <c r="C813" s="139"/>
      <c r="D813" s="139"/>
      <c r="E813" s="139"/>
      <c r="G813" s="173"/>
    </row>
    <row r="814">
      <c r="B814" s="139"/>
      <c r="C814" s="139"/>
      <c r="D814" s="139"/>
      <c r="E814" s="139"/>
      <c r="G814" s="173"/>
    </row>
    <row r="815">
      <c r="B815" s="139"/>
      <c r="C815" s="139"/>
      <c r="D815" s="139"/>
      <c r="E815" s="139"/>
      <c r="G815" s="173"/>
    </row>
    <row r="816">
      <c r="B816" s="139"/>
      <c r="C816" s="139"/>
      <c r="D816" s="139"/>
      <c r="E816" s="139"/>
      <c r="G816" s="173"/>
    </row>
    <row r="817">
      <c r="B817" s="139"/>
      <c r="C817" s="139"/>
      <c r="D817" s="139"/>
      <c r="E817" s="139"/>
      <c r="G817" s="173"/>
    </row>
    <row r="818">
      <c r="B818" s="139"/>
      <c r="C818" s="139"/>
      <c r="D818" s="139"/>
      <c r="E818" s="139"/>
      <c r="G818" s="173"/>
    </row>
    <row r="819">
      <c r="B819" s="139"/>
      <c r="C819" s="139"/>
      <c r="D819" s="139"/>
      <c r="E819" s="139"/>
      <c r="G819" s="173"/>
    </row>
    <row r="820">
      <c r="B820" s="139"/>
      <c r="C820" s="139"/>
      <c r="D820" s="139"/>
      <c r="E820" s="139"/>
      <c r="G820" s="173"/>
    </row>
    <row r="821">
      <c r="B821" s="139"/>
      <c r="C821" s="139"/>
      <c r="D821" s="139"/>
      <c r="E821" s="139"/>
      <c r="G821" s="173"/>
    </row>
    <row r="822">
      <c r="B822" s="139"/>
      <c r="C822" s="139"/>
      <c r="D822" s="139"/>
      <c r="E822" s="139"/>
      <c r="G822" s="173"/>
    </row>
    <row r="823">
      <c r="B823" s="139"/>
      <c r="C823" s="139"/>
      <c r="D823" s="139"/>
      <c r="E823" s="139"/>
      <c r="G823" s="173"/>
    </row>
    <row r="824">
      <c r="B824" s="139"/>
      <c r="C824" s="139"/>
      <c r="D824" s="139"/>
      <c r="E824" s="139"/>
      <c r="G824" s="173"/>
    </row>
    <row r="825">
      <c r="B825" s="139"/>
      <c r="C825" s="139"/>
      <c r="D825" s="139"/>
      <c r="E825" s="139"/>
      <c r="G825" s="173"/>
    </row>
    <row r="826">
      <c r="B826" s="139"/>
      <c r="C826" s="139"/>
      <c r="D826" s="139"/>
      <c r="E826" s="139"/>
      <c r="G826" s="173"/>
    </row>
    <row r="827">
      <c r="B827" s="139"/>
      <c r="C827" s="139"/>
      <c r="D827" s="139"/>
      <c r="E827" s="139"/>
      <c r="G827" s="173"/>
    </row>
    <row r="828">
      <c r="B828" s="139"/>
      <c r="C828" s="139"/>
      <c r="D828" s="139"/>
      <c r="E828" s="139"/>
      <c r="G828" s="173"/>
    </row>
    <row r="829">
      <c r="B829" s="139"/>
      <c r="C829" s="139"/>
      <c r="D829" s="139"/>
      <c r="E829" s="139"/>
      <c r="G829" s="173"/>
    </row>
    <row r="830">
      <c r="B830" s="139"/>
      <c r="C830" s="139"/>
      <c r="D830" s="139"/>
      <c r="E830" s="139"/>
      <c r="G830" s="173"/>
    </row>
    <row r="831">
      <c r="B831" s="139"/>
      <c r="C831" s="139"/>
      <c r="D831" s="139"/>
      <c r="E831" s="139"/>
      <c r="G831" s="173"/>
    </row>
    <row r="832">
      <c r="B832" s="139"/>
      <c r="C832" s="139"/>
      <c r="D832" s="139"/>
      <c r="E832" s="139"/>
      <c r="G832" s="173"/>
    </row>
    <row r="833">
      <c r="B833" s="139"/>
      <c r="C833" s="139"/>
      <c r="D833" s="139"/>
      <c r="E833" s="139"/>
      <c r="G833" s="173"/>
    </row>
    <row r="834">
      <c r="B834" s="139"/>
      <c r="C834" s="139"/>
      <c r="D834" s="139"/>
      <c r="E834" s="139"/>
      <c r="G834" s="173"/>
    </row>
    <row r="835">
      <c r="B835" s="139"/>
      <c r="C835" s="139"/>
      <c r="D835" s="139"/>
      <c r="E835" s="139"/>
      <c r="G835" s="173"/>
    </row>
    <row r="836">
      <c r="B836" s="139"/>
      <c r="C836" s="139"/>
      <c r="D836" s="139"/>
      <c r="E836" s="139"/>
      <c r="G836" s="173"/>
    </row>
    <row r="837">
      <c r="B837" s="139"/>
      <c r="C837" s="139"/>
      <c r="D837" s="139"/>
      <c r="E837" s="139"/>
      <c r="G837" s="173"/>
    </row>
    <row r="838">
      <c r="B838" s="139"/>
      <c r="C838" s="139"/>
      <c r="D838" s="139"/>
      <c r="E838" s="139"/>
      <c r="G838" s="173"/>
    </row>
    <row r="839">
      <c r="B839" s="139"/>
      <c r="C839" s="139"/>
      <c r="D839" s="139"/>
      <c r="E839" s="139"/>
      <c r="G839" s="173"/>
    </row>
    <row r="840">
      <c r="B840" s="139"/>
      <c r="C840" s="139"/>
      <c r="D840" s="139"/>
      <c r="E840" s="139"/>
      <c r="G840" s="173"/>
    </row>
    <row r="841">
      <c r="B841" s="139"/>
      <c r="C841" s="139"/>
      <c r="D841" s="139"/>
      <c r="E841" s="139"/>
      <c r="G841" s="173"/>
    </row>
    <row r="842">
      <c r="B842" s="139"/>
      <c r="C842" s="139"/>
      <c r="D842" s="139"/>
      <c r="E842" s="139"/>
      <c r="G842" s="173"/>
    </row>
    <row r="843">
      <c r="B843" s="139"/>
      <c r="C843" s="139"/>
      <c r="D843" s="139"/>
      <c r="E843" s="139"/>
      <c r="G843" s="173"/>
    </row>
    <row r="844">
      <c r="B844" s="139"/>
      <c r="C844" s="139"/>
      <c r="D844" s="139"/>
      <c r="E844" s="139"/>
      <c r="G844" s="173"/>
    </row>
    <row r="845">
      <c r="B845" s="139"/>
      <c r="C845" s="139"/>
      <c r="D845" s="139"/>
      <c r="E845" s="139"/>
      <c r="G845" s="173"/>
    </row>
    <row r="846">
      <c r="B846" s="139"/>
      <c r="C846" s="139"/>
      <c r="D846" s="139"/>
      <c r="E846" s="139"/>
      <c r="G846" s="173"/>
    </row>
    <row r="847">
      <c r="B847" s="139"/>
      <c r="C847" s="139"/>
      <c r="D847" s="139"/>
      <c r="E847" s="139"/>
      <c r="G847" s="173"/>
    </row>
    <row r="848">
      <c r="B848" s="139"/>
      <c r="C848" s="139"/>
      <c r="D848" s="139"/>
      <c r="E848" s="139"/>
      <c r="G848" s="173"/>
    </row>
    <row r="849">
      <c r="B849" s="139"/>
      <c r="C849" s="139"/>
      <c r="D849" s="139"/>
      <c r="E849" s="139"/>
      <c r="G849" s="173"/>
    </row>
    <row r="850">
      <c r="B850" s="139"/>
      <c r="C850" s="139"/>
      <c r="D850" s="139"/>
      <c r="E850" s="139"/>
      <c r="G850" s="173"/>
    </row>
    <row r="851">
      <c r="B851" s="139"/>
      <c r="C851" s="139"/>
      <c r="D851" s="139"/>
      <c r="E851" s="139"/>
      <c r="G851" s="173"/>
    </row>
    <row r="852">
      <c r="B852" s="139"/>
      <c r="C852" s="139"/>
      <c r="D852" s="139"/>
      <c r="E852" s="139"/>
      <c r="G852" s="173"/>
    </row>
    <row r="853">
      <c r="B853" s="139"/>
      <c r="C853" s="139"/>
      <c r="D853" s="139"/>
      <c r="E853" s="139"/>
      <c r="G853" s="173"/>
    </row>
    <row r="854">
      <c r="B854" s="139"/>
      <c r="C854" s="139"/>
      <c r="D854" s="139"/>
      <c r="E854" s="139"/>
      <c r="G854" s="173"/>
    </row>
    <row r="855">
      <c r="B855" s="139"/>
      <c r="C855" s="139"/>
      <c r="D855" s="139"/>
      <c r="E855" s="139"/>
      <c r="G855" s="173"/>
    </row>
    <row r="856">
      <c r="B856" s="139"/>
      <c r="C856" s="139"/>
      <c r="D856" s="139"/>
      <c r="E856" s="139"/>
      <c r="G856" s="173"/>
    </row>
    <row r="857">
      <c r="B857" s="139"/>
      <c r="C857" s="139"/>
      <c r="D857" s="139"/>
      <c r="E857" s="139"/>
      <c r="G857" s="173"/>
    </row>
    <row r="858">
      <c r="B858" s="139"/>
      <c r="C858" s="139"/>
      <c r="D858" s="139"/>
      <c r="E858" s="139"/>
      <c r="G858" s="173"/>
    </row>
    <row r="859">
      <c r="B859" s="139"/>
      <c r="C859" s="139"/>
      <c r="D859" s="139"/>
      <c r="E859" s="139"/>
      <c r="G859" s="173"/>
    </row>
    <row r="860">
      <c r="B860" s="139"/>
      <c r="C860" s="139"/>
      <c r="D860" s="139"/>
      <c r="E860" s="139"/>
      <c r="G860" s="173"/>
    </row>
    <row r="861">
      <c r="B861" s="139"/>
      <c r="C861" s="139"/>
      <c r="D861" s="139"/>
      <c r="E861" s="139"/>
      <c r="G861" s="173"/>
    </row>
    <row r="862">
      <c r="B862" s="139"/>
      <c r="C862" s="139"/>
      <c r="D862" s="139"/>
      <c r="E862" s="139"/>
      <c r="G862" s="173"/>
    </row>
    <row r="863">
      <c r="B863" s="139"/>
      <c r="C863" s="139"/>
      <c r="D863" s="139"/>
      <c r="E863" s="139"/>
      <c r="G863" s="173"/>
    </row>
    <row r="864">
      <c r="B864" s="139"/>
      <c r="C864" s="139"/>
      <c r="D864" s="139"/>
      <c r="E864" s="139"/>
      <c r="G864" s="173"/>
    </row>
    <row r="865">
      <c r="B865" s="139"/>
      <c r="C865" s="139"/>
      <c r="D865" s="139"/>
      <c r="E865" s="139"/>
      <c r="G865" s="173"/>
    </row>
    <row r="866">
      <c r="B866" s="139"/>
      <c r="C866" s="139"/>
      <c r="D866" s="139"/>
      <c r="E866" s="139"/>
      <c r="G866" s="173"/>
    </row>
    <row r="867">
      <c r="B867" s="139"/>
      <c r="C867" s="139"/>
      <c r="D867" s="139"/>
      <c r="E867" s="139"/>
      <c r="G867" s="173"/>
    </row>
    <row r="868">
      <c r="B868" s="139"/>
      <c r="C868" s="139"/>
      <c r="D868" s="139"/>
      <c r="E868" s="139"/>
      <c r="G868" s="173"/>
    </row>
    <row r="869">
      <c r="B869" s="139"/>
      <c r="C869" s="139"/>
      <c r="D869" s="139"/>
      <c r="E869" s="139"/>
      <c r="G869" s="173"/>
    </row>
    <row r="870">
      <c r="B870" s="139"/>
      <c r="C870" s="139"/>
      <c r="D870" s="139"/>
      <c r="E870" s="139"/>
      <c r="G870" s="173"/>
    </row>
    <row r="871">
      <c r="B871" s="139"/>
      <c r="C871" s="139"/>
      <c r="D871" s="139"/>
      <c r="E871" s="139"/>
      <c r="G871" s="173"/>
    </row>
    <row r="872">
      <c r="B872" s="139"/>
      <c r="C872" s="139"/>
      <c r="D872" s="139"/>
      <c r="E872" s="139"/>
      <c r="G872" s="173"/>
    </row>
    <row r="873">
      <c r="B873" s="139"/>
      <c r="C873" s="139"/>
      <c r="D873" s="139"/>
      <c r="E873" s="139"/>
      <c r="G873" s="173"/>
    </row>
    <row r="874">
      <c r="B874" s="139"/>
      <c r="C874" s="139"/>
      <c r="D874" s="139"/>
      <c r="E874" s="139"/>
      <c r="G874" s="173"/>
    </row>
    <row r="875">
      <c r="B875" s="139"/>
      <c r="C875" s="139"/>
      <c r="D875" s="139"/>
      <c r="E875" s="139"/>
      <c r="G875" s="173"/>
    </row>
    <row r="876">
      <c r="B876" s="139"/>
      <c r="C876" s="139"/>
      <c r="D876" s="139"/>
      <c r="E876" s="139"/>
      <c r="G876" s="173"/>
    </row>
    <row r="877">
      <c r="B877" s="139"/>
      <c r="C877" s="139"/>
      <c r="D877" s="139"/>
      <c r="E877" s="139"/>
      <c r="G877" s="173"/>
    </row>
    <row r="878">
      <c r="B878" s="139"/>
      <c r="C878" s="139"/>
      <c r="D878" s="139"/>
      <c r="E878" s="139"/>
      <c r="G878" s="173"/>
    </row>
    <row r="879">
      <c r="B879" s="139"/>
      <c r="C879" s="139"/>
      <c r="D879" s="139"/>
      <c r="E879" s="139"/>
      <c r="G879" s="173"/>
    </row>
    <row r="880">
      <c r="B880" s="139"/>
      <c r="C880" s="139"/>
      <c r="D880" s="139"/>
      <c r="E880" s="139"/>
      <c r="G880" s="173"/>
    </row>
    <row r="881">
      <c r="B881" s="139"/>
      <c r="C881" s="139"/>
      <c r="D881" s="139"/>
      <c r="E881" s="139"/>
      <c r="G881" s="173"/>
    </row>
    <row r="882">
      <c r="B882" s="139"/>
      <c r="C882" s="139"/>
      <c r="D882" s="139"/>
      <c r="E882" s="139"/>
      <c r="G882" s="173"/>
    </row>
    <row r="883">
      <c r="B883" s="139"/>
      <c r="C883" s="139"/>
      <c r="D883" s="139"/>
      <c r="E883" s="139"/>
      <c r="G883" s="173"/>
    </row>
    <row r="884">
      <c r="B884" s="139"/>
      <c r="C884" s="139"/>
      <c r="D884" s="139"/>
      <c r="E884" s="139"/>
      <c r="G884" s="173"/>
    </row>
    <row r="885">
      <c r="B885" s="139"/>
      <c r="C885" s="139"/>
      <c r="D885" s="139"/>
      <c r="E885" s="139"/>
      <c r="G885" s="173"/>
    </row>
    <row r="886">
      <c r="B886" s="139"/>
      <c r="C886" s="139"/>
      <c r="D886" s="139"/>
      <c r="E886" s="139"/>
      <c r="G886" s="173"/>
    </row>
    <row r="887">
      <c r="B887" s="139"/>
      <c r="C887" s="139"/>
      <c r="D887" s="139"/>
      <c r="E887" s="139"/>
      <c r="G887" s="173"/>
    </row>
    <row r="888">
      <c r="B888" s="139"/>
      <c r="C888" s="139"/>
      <c r="D888" s="139"/>
      <c r="E888" s="139"/>
      <c r="G888" s="173"/>
    </row>
    <row r="889">
      <c r="B889" s="139"/>
      <c r="C889" s="139"/>
      <c r="D889" s="139"/>
      <c r="E889" s="139"/>
      <c r="G889" s="173"/>
    </row>
    <row r="890">
      <c r="B890" s="139"/>
      <c r="C890" s="139"/>
      <c r="D890" s="139"/>
      <c r="E890" s="139"/>
      <c r="G890" s="173"/>
    </row>
    <row r="891">
      <c r="B891" s="139"/>
      <c r="C891" s="139"/>
      <c r="D891" s="139"/>
      <c r="E891" s="139"/>
      <c r="G891" s="173"/>
    </row>
    <row r="892">
      <c r="B892" s="139"/>
      <c r="C892" s="139"/>
      <c r="D892" s="139"/>
      <c r="E892" s="139"/>
      <c r="G892" s="173"/>
    </row>
    <row r="893">
      <c r="B893" s="139"/>
      <c r="C893" s="139"/>
      <c r="D893" s="139"/>
      <c r="E893" s="139"/>
      <c r="G893" s="173"/>
    </row>
    <row r="894">
      <c r="B894" s="139"/>
      <c r="C894" s="139"/>
      <c r="D894" s="139"/>
      <c r="E894" s="139"/>
      <c r="G894" s="173"/>
    </row>
    <row r="895">
      <c r="B895" s="139"/>
      <c r="C895" s="139"/>
      <c r="D895" s="139"/>
      <c r="E895" s="139"/>
      <c r="G895" s="173"/>
    </row>
    <row r="896">
      <c r="B896" s="139"/>
      <c r="C896" s="139"/>
      <c r="D896" s="139"/>
      <c r="E896" s="139"/>
      <c r="G896" s="173"/>
    </row>
    <row r="897">
      <c r="B897" s="139"/>
      <c r="C897" s="139"/>
      <c r="D897" s="139"/>
      <c r="E897" s="139"/>
      <c r="G897" s="173"/>
    </row>
    <row r="898">
      <c r="B898" s="139"/>
      <c r="C898" s="139"/>
      <c r="D898" s="139"/>
      <c r="E898" s="139"/>
      <c r="G898" s="173"/>
    </row>
    <row r="899">
      <c r="B899" s="139"/>
      <c r="C899" s="139"/>
      <c r="D899" s="139"/>
      <c r="E899" s="139"/>
      <c r="G899" s="173"/>
    </row>
    <row r="900">
      <c r="B900" s="139"/>
      <c r="C900" s="139"/>
      <c r="D900" s="139"/>
      <c r="E900" s="139"/>
      <c r="G900" s="173"/>
    </row>
    <row r="901">
      <c r="B901" s="139"/>
      <c r="C901" s="139"/>
      <c r="D901" s="139"/>
      <c r="E901" s="139"/>
      <c r="G901" s="173"/>
    </row>
    <row r="902">
      <c r="B902" s="139"/>
      <c r="C902" s="139"/>
      <c r="D902" s="139"/>
      <c r="E902" s="139"/>
      <c r="G902" s="173"/>
    </row>
    <row r="903">
      <c r="B903" s="139"/>
      <c r="C903" s="139"/>
      <c r="D903" s="139"/>
      <c r="E903" s="139"/>
      <c r="G903" s="173"/>
    </row>
    <row r="904">
      <c r="B904" s="139"/>
      <c r="C904" s="139"/>
      <c r="D904" s="139"/>
      <c r="E904" s="139"/>
      <c r="G904" s="173"/>
    </row>
    <row r="905">
      <c r="B905" s="139"/>
      <c r="C905" s="139"/>
      <c r="D905" s="139"/>
      <c r="E905" s="139"/>
      <c r="G905" s="173"/>
    </row>
    <row r="906">
      <c r="B906" s="139"/>
      <c r="C906" s="139"/>
      <c r="D906" s="139"/>
      <c r="E906" s="139"/>
      <c r="G906" s="173"/>
    </row>
    <row r="907">
      <c r="B907" s="139"/>
      <c r="C907" s="139"/>
      <c r="D907" s="139"/>
      <c r="E907" s="139"/>
      <c r="G907" s="173"/>
    </row>
    <row r="908">
      <c r="B908" s="139"/>
      <c r="C908" s="139"/>
      <c r="D908" s="139"/>
      <c r="E908" s="139"/>
      <c r="G908" s="173"/>
    </row>
    <row r="909">
      <c r="B909" s="139"/>
      <c r="C909" s="139"/>
      <c r="D909" s="139"/>
      <c r="E909" s="139"/>
      <c r="G909" s="173"/>
    </row>
    <row r="910">
      <c r="B910" s="139"/>
      <c r="C910" s="139"/>
      <c r="D910" s="139"/>
      <c r="E910" s="139"/>
      <c r="G910" s="173"/>
    </row>
    <row r="911">
      <c r="B911" s="139"/>
      <c r="C911" s="139"/>
      <c r="D911" s="139"/>
      <c r="E911" s="139"/>
      <c r="G911" s="173"/>
    </row>
    <row r="912">
      <c r="B912" s="139"/>
      <c r="C912" s="139"/>
      <c r="D912" s="139"/>
      <c r="E912" s="139"/>
      <c r="G912" s="173"/>
    </row>
    <row r="913">
      <c r="B913" s="139"/>
      <c r="C913" s="139"/>
      <c r="D913" s="139"/>
      <c r="E913" s="139"/>
      <c r="G913" s="173"/>
    </row>
    <row r="914">
      <c r="B914" s="139"/>
      <c r="C914" s="139"/>
      <c r="D914" s="139"/>
      <c r="E914" s="139"/>
      <c r="G914" s="173"/>
    </row>
    <row r="915">
      <c r="B915" s="139"/>
      <c r="C915" s="139"/>
      <c r="D915" s="139"/>
      <c r="E915" s="139"/>
      <c r="G915" s="173"/>
    </row>
    <row r="916">
      <c r="B916" s="139"/>
      <c r="C916" s="139"/>
      <c r="D916" s="139"/>
      <c r="E916" s="139"/>
      <c r="G916" s="173"/>
    </row>
    <row r="917">
      <c r="B917" s="139"/>
      <c r="C917" s="139"/>
      <c r="D917" s="139"/>
      <c r="E917" s="139"/>
      <c r="G917" s="173"/>
    </row>
    <row r="918">
      <c r="B918" s="139"/>
      <c r="C918" s="139"/>
      <c r="D918" s="139"/>
      <c r="E918" s="139"/>
      <c r="G918" s="173"/>
    </row>
    <row r="919">
      <c r="B919" s="139"/>
      <c r="C919" s="139"/>
      <c r="D919" s="139"/>
      <c r="E919" s="139"/>
      <c r="G919" s="173"/>
    </row>
    <row r="920">
      <c r="B920" s="139"/>
      <c r="C920" s="139"/>
      <c r="D920" s="139"/>
      <c r="E920" s="139"/>
      <c r="G920" s="173"/>
    </row>
    <row r="921">
      <c r="B921" s="139"/>
      <c r="C921" s="139"/>
      <c r="D921" s="139"/>
      <c r="E921" s="139"/>
      <c r="G921" s="173"/>
    </row>
    <row r="922">
      <c r="B922" s="139"/>
      <c r="C922" s="139"/>
      <c r="D922" s="139"/>
      <c r="E922" s="139"/>
      <c r="G922" s="173"/>
    </row>
    <row r="923">
      <c r="B923" s="139"/>
      <c r="C923" s="139"/>
      <c r="D923" s="139"/>
      <c r="E923" s="139"/>
      <c r="G923" s="173"/>
    </row>
    <row r="924">
      <c r="B924" s="139"/>
      <c r="C924" s="139"/>
      <c r="D924" s="139"/>
      <c r="E924" s="139"/>
      <c r="G924" s="173"/>
    </row>
    <row r="925">
      <c r="B925" s="139"/>
      <c r="C925" s="139"/>
      <c r="D925" s="139"/>
      <c r="E925" s="139"/>
      <c r="G925" s="173"/>
    </row>
    <row r="926">
      <c r="B926" s="139"/>
      <c r="C926" s="139"/>
      <c r="D926" s="139"/>
      <c r="E926" s="139"/>
      <c r="G926" s="173"/>
    </row>
    <row r="927">
      <c r="B927" s="139"/>
      <c r="C927" s="139"/>
      <c r="D927" s="139"/>
      <c r="E927" s="139"/>
      <c r="G927" s="173"/>
    </row>
    <row r="928">
      <c r="B928" s="139"/>
      <c r="C928" s="139"/>
      <c r="D928" s="139"/>
      <c r="E928" s="139"/>
      <c r="G928" s="173"/>
    </row>
    <row r="929">
      <c r="B929" s="139"/>
      <c r="C929" s="139"/>
      <c r="D929" s="139"/>
      <c r="E929" s="139"/>
      <c r="G929" s="173"/>
    </row>
    <row r="930">
      <c r="B930" s="139"/>
      <c r="C930" s="139"/>
      <c r="D930" s="139"/>
      <c r="E930" s="139"/>
      <c r="G930" s="173"/>
    </row>
    <row r="931">
      <c r="B931" s="139"/>
      <c r="C931" s="139"/>
      <c r="D931" s="139"/>
      <c r="E931" s="139"/>
      <c r="G931" s="173"/>
    </row>
    <row r="932">
      <c r="B932" s="139"/>
      <c r="C932" s="139"/>
      <c r="D932" s="139"/>
      <c r="E932" s="139"/>
      <c r="G932" s="173"/>
    </row>
    <row r="933">
      <c r="B933" s="139"/>
      <c r="C933" s="139"/>
      <c r="D933" s="139"/>
      <c r="E933" s="139"/>
      <c r="G933" s="173"/>
    </row>
    <row r="934">
      <c r="B934" s="139"/>
      <c r="C934" s="139"/>
      <c r="D934" s="139"/>
      <c r="E934" s="139"/>
      <c r="G934" s="173"/>
    </row>
    <row r="935">
      <c r="B935" s="139"/>
      <c r="C935" s="139"/>
      <c r="D935" s="139"/>
      <c r="E935" s="139"/>
      <c r="G935" s="173"/>
    </row>
    <row r="936">
      <c r="B936" s="139"/>
      <c r="C936" s="139"/>
      <c r="D936" s="139"/>
      <c r="E936" s="139"/>
      <c r="G936" s="173"/>
    </row>
    <row r="937">
      <c r="B937" s="139"/>
      <c r="C937" s="139"/>
      <c r="D937" s="139"/>
      <c r="E937" s="139"/>
      <c r="G937" s="173"/>
    </row>
    <row r="938">
      <c r="B938" s="139"/>
      <c r="C938" s="139"/>
      <c r="D938" s="139"/>
      <c r="E938" s="139"/>
      <c r="G938" s="173"/>
    </row>
    <row r="939">
      <c r="B939" s="139"/>
      <c r="C939" s="139"/>
      <c r="D939" s="139"/>
      <c r="E939" s="139"/>
      <c r="G939" s="173"/>
    </row>
    <row r="940">
      <c r="B940" s="139"/>
      <c r="C940" s="139"/>
      <c r="D940" s="139"/>
      <c r="E940" s="139"/>
      <c r="G940" s="173"/>
    </row>
    <row r="941">
      <c r="B941" s="139"/>
      <c r="C941" s="139"/>
      <c r="D941" s="139"/>
      <c r="E941" s="139"/>
      <c r="G941" s="173"/>
    </row>
    <row r="942">
      <c r="B942" s="139"/>
      <c r="C942" s="139"/>
      <c r="D942" s="139"/>
      <c r="E942" s="139"/>
      <c r="G942" s="173"/>
    </row>
    <row r="943">
      <c r="B943" s="139"/>
      <c r="C943" s="139"/>
      <c r="D943" s="139"/>
      <c r="E943" s="139"/>
      <c r="G943" s="173"/>
    </row>
    <row r="944">
      <c r="B944" s="139"/>
      <c r="C944" s="139"/>
      <c r="D944" s="139"/>
      <c r="E944" s="139"/>
      <c r="G944" s="173"/>
    </row>
    <row r="945">
      <c r="B945" s="139"/>
      <c r="C945" s="139"/>
      <c r="D945" s="139"/>
      <c r="E945" s="139"/>
      <c r="G945" s="173"/>
    </row>
    <row r="946">
      <c r="B946" s="139"/>
      <c r="C946" s="139"/>
      <c r="D946" s="139"/>
      <c r="E946" s="139"/>
      <c r="G946" s="173"/>
    </row>
    <row r="947">
      <c r="B947" s="139"/>
      <c r="C947" s="139"/>
      <c r="D947" s="139"/>
      <c r="E947" s="139"/>
      <c r="G947" s="173"/>
    </row>
    <row r="948">
      <c r="B948" s="139"/>
      <c r="C948" s="139"/>
      <c r="D948" s="139"/>
      <c r="E948" s="139"/>
      <c r="G948" s="173"/>
    </row>
    <row r="949">
      <c r="B949" s="139"/>
      <c r="C949" s="139"/>
      <c r="D949" s="139"/>
      <c r="E949" s="139"/>
      <c r="G949" s="173"/>
    </row>
    <row r="950">
      <c r="B950" s="139"/>
      <c r="C950" s="139"/>
      <c r="D950" s="139"/>
      <c r="E950" s="139"/>
      <c r="G950" s="173"/>
    </row>
    <row r="951">
      <c r="B951" s="139"/>
      <c r="C951" s="139"/>
      <c r="D951" s="139"/>
      <c r="E951" s="139"/>
      <c r="G951" s="173"/>
    </row>
    <row r="952">
      <c r="B952" s="139"/>
      <c r="C952" s="139"/>
      <c r="D952" s="139"/>
      <c r="E952" s="139"/>
      <c r="G952" s="173"/>
    </row>
    <row r="953">
      <c r="B953" s="139"/>
      <c r="C953" s="139"/>
      <c r="D953" s="139"/>
      <c r="E953" s="139"/>
      <c r="G953" s="173"/>
    </row>
    <row r="954">
      <c r="B954" s="139"/>
      <c r="C954" s="139"/>
      <c r="D954" s="139"/>
      <c r="E954" s="139"/>
      <c r="G954" s="173"/>
    </row>
    <row r="955">
      <c r="B955" s="139"/>
      <c r="C955" s="139"/>
      <c r="D955" s="139"/>
      <c r="E955" s="139"/>
      <c r="G955" s="173"/>
    </row>
    <row r="956">
      <c r="B956" s="139"/>
      <c r="C956" s="139"/>
      <c r="D956" s="139"/>
      <c r="E956" s="139"/>
      <c r="G956" s="173"/>
    </row>
    <row r="957">
      <c r="B957" s="139"/>
      <c r="C957" s="139"/>
      <c r="D957" s="139"/>
      <c r="E957" s="139"/>
      <c r="G957" s="173"/>
    </row>
    <row r="958">
      <c r="B958" s="139"/>
      <c r="C958" s="139"/>
      <c r="D958" s="139"/>
      <c r="E958" s="139"/>
      <c r="G958" s="173"/>
    </row>
    <row r="959">
      <c r="B959" s="139"/>
      <c r="C959" s="139"/>
      <c r="D959" s="139"/>
      <c r="E959" s="139"/>
      <c r="G959" s="173"/>
    </row>
    <row r="960">
      <c r="B960" s="139"/>
      <c r="C960" s="139"/>
      <c r="D960" s="139"/>
      <c r="E960" s="139"/>
      <c r="G960" s="173"/>
    </row>
    <row r="961">
      <c r="B961" s="139"/>
      <c r="C961" s="139"/>
      <c r="D961" s="139"/>
      <c r="E961" s="139"/>
      <c r="G961" s="173"/>
    </row>
    <row r="962">
      <c r="B962" s="139"/>
      <c r="C962" s="139"/>
      <c r="D962" s="139"/>
      <c r="E962" s="139"/>
      <c r="G962" s="173"/>
    </row>
    <row r="963">
      <c r="B963" s="139"/>
      <c r="C963" s="139"/>
      <c r="D963" s="139"/>
      <c r="E963" s="139"/>
      <c r="G963" s="173"/>
    </row>
    <row r="964">
      <c r="B964" s="139"/>
      <c r="C964" s="139"/>
      <c r="D964" s="139"/>
      <c r="E964" s="139"/>
      <c r="G964" s="173"/>
    </row>
    <row r="965">
      <c r="B965" s="139"/>
      <c r="C965" s="139"/>
      <c r="D965" s="139"/>
      <c r="E965" s="139"/>
      <c r="G965" s="173"/>
    </row>
    <row r="966">
      <c r="B966" s="139"/>
      <c r="C966" s="139"/>
      <c r="D966" s="139"/>
      <c r="E966" s="139"/>
      <c r="G966" s="173"/>
    </row>
    <row r="967">
      <c r="B967" s="139"/>
      <c r="C967" s="139"/>
      <c r="D967" s="139"/>
      <c r="E967" s="139"/>
      <c r="G967" s="173"/>
    </row>
    <row r="968">
      <c r="B968" s="139"/>
      <c r="C968" s="139"/>
      <c r="D968" s="139"/>
      <c r="E968" s="139"/>
      <c r="G968" s="173"/>
    </row>
    <row r="969">
      <c r="B969" s="139"/>
      <c r="C969" s="139"/>
      <c r="D969" s="139"/>
      <c r="E969" s="139"/>
      <c r="G969" s="173"/>
    </row>
    <row r="970">
      <c r="B970" s="139"/>
      <c r="C970" s="139"/>
      <c r="D970" s="139"/>
      <c r="E970" s="139"/>
      <c r="G970" s="173"/>
    </row>
    <row r="971">
      <c r="B971" s="139"/>
      <c r="C971" s="139"/>
      <c r="D971" s="139"/>
      <c r="E971" s="139"/>
      <c r="G971" s="173"/>
    </row>
    <row r="972">
      <c r="B972" s="139"/>
      <c r="C972" s="139"/>
      <c r="D972" s="139"/>
      <c r="E972" s="139"/>
      <c r="G972" s="173"/>
    </row>
    <row r="973">
      <c r="B973" s="139"/>
      <c r="C973" s="139"/>
      <c r="D973" s="139"/>
      <c r="E973" s="139"/>
      <c r="G973" s="173"/>
    </row>
    <row r="974">
      <c r="B974" s="139"/>
      <c r="C974" s="139"/>
      <c r="D974" s="139"/>
      <c r="E974" s="139"/>
      <c r="G974" s="173"/>
    </row>
    <row r="975">
      <c r="B975" s="139"/>
      <c r="C975" s="139"/>
      <c r="D975" s="139"/>
      <c r="E975" s="139"/>
      <c r="G975" s="173"/>
    </row>
    <row r="976">
      <c r="B976" s="139"/>
      <c r="C976" s="139"/>
      <c r="D976" s="139"/>
      <c r="E976" s="139"/>
      <c r="G976" s="173"/>
    </row>
    <row r="977">
      <c r="B977" s="139"/>
      <c r="C977" s="139"/>
      <c r="D977" s="139"/>
      <c r="E977" s="139"/>
      <c r="G977" s="173"/>
    </row>
    <row r="978">
      <c r="B978" s="139"/>
      <c r="C978" s="139"/>
      <c r="D978" s="139"/>
      <c r="E978" s="139"/>
      <c r="G978" s="173"/>
    </row>
    <row r="979">
      <c r="B979" s="139"/>
      <c r="C979" s="139"/>
      <c r="D979" s="139"/>
      <c r="E979" s="139"/>
      <c r="G979" s="173"/>
    </row>
    <row r="980">
      <c r="B980" s="139"/>
      <c r="C980" s="139"/>
      <c r="D980" s="139"/>
      <c r="E980" s="139"/>
      <c r="G980" s="173"/>
    </row>
    <row r="981">
      <c r="B981" s="139"/>
      <c r="C981" s="139"/>
      <c r="D981" s="139"/>
      <c r="E981" s="139"/>
      <c r="G981" s="173"/>
    </row>
    <row r="982">
      <c r="B982" s="139"/>
      <c r="C982" s="139"/>
      <c r="D982" s="139"/>
      <c r="E982" s="139"/>
      <c r="G982" s="173"/>
    </row>
    <row r="983">
      <c r="B983" s="139"/>
      <c r="C983" s="139"/>
      <c r="D983" s="139"/>
      <c r="E983" s="139"/>
      <c r="G983" s="173"/>
    </row>
    <row r="984">
      <c r="B984" s="139"/>
      <c r="C984" s="139"/>
      <c r="D984" s="139"/>
      <c r="E984" s="139"/>
      <c r="G984" s="173"/>
    </row>
    <row r="985">
      <c r="B985" s="139"/>
      <c r="C985" s="139"/>
      <c r="D985" s="139"/>
      <c r="E985" s="139"/>
      <c r="G985" s="173"/>
    </row>
    <row r="986">
      <c r="B986" s="139"/>
      <c r="C986" s="139"/>
      <c r="D986" s="139"/>
      <c r="E986" s="139"/>
      <c r="G986" s="173"/>
    </row>
    <row r="987">
      <c r="B987" s="139"/>
      <c r="C987" s="139"/>
      <c r="D987" s="139"/>
      <c r="E987" s="139"/>
      <c r="G987" s="173"/>
    </row>
    <row r="988">
      <c r="B988" s="139"/>
      <c r="C988" s="139"/>
      <c r="D988" s="139"/>
      <c r="E988" s="139"/>
      <c r="G988" s="173"/>
    </row>
    <row r="989">
      <c r="B989" s="139"/>
      <c r="C989" s="139"/>
      <c r="D989" s="139"/>
      <c r="E989" s="139"/>
      <c r="G989" s="173"/>
    </row>
    <row r="990">
      <c r="B990" s="139"/>
      <c r="C990" s="139"/>
      <c r="D990" s="139"/>
      <c r="E990" s="139"/>
      <c r="G990" s="173"/>
    </row>
    <row r="991">
      <c r="B991" s="139"/>
      <c r="C991" s="139"/>
      <c r="D991" s="139"/>
      <c r="E991" s="139"/>
      <c r="G991" s="173"/>
    </row>
    <row r="992">
      <c r="B992" s="139"/>
      <c r="C992" s="139"/>
      <c r="D992" s="139"/>
      <c r="E992" s="139"/>
      <c r="G992" s="173"/>
    </row>
    <row r="993">
      <c r="B993" s="139"/>
      <c r="C993" s="139"/>
      <c r="D993" s="139"/>
      <c r="E993" s="139"/>
      <c r="G993" s="173"/>
    </row>
    <row r="994">
      <c r="B994" s="139"/>
      <c r="C994" s="139"/>
      <c r="D994" s="139"/>
      <c r="E994" s="139"/>
      <c r="G994" s="173"/>
    </row>
    <row r="995">
      <c r="B995" s="139"/>
      <c r="C995" s="139"/>
      <c r="D995" s="139"/>
      <c r="E995" s="139"/>
      <c r="G995" s="173"/>
    </row>
    <row r="996">
      <c r="B996" s="139"/>
      <c r="C996" s="139"/>
      <c r="D996" s="139"/>
      <c r="E996" s="139"/>
      <c r="G996" s="173"/>
    </row>
    <row r="997">
      <c r="B997" s="139"/>
      <c r="C997" s="139"/>
      <c r="D997" s="139"/>
      <c r="E997" s="139"/>
      <c r="G997" s="173"/>
    </row>
    <row r="998">
      <c r="B998" s="139"/>
      <c r="C998" s="139"/>
      <c r="D998" s="139"/>
      <c r="E998" s="139"/>
      <c r="G998" s="173"/>
    </row>
    <row r="999">
      <c r="B999" s="139"/>
      <c r="C999" s="139"/>
      <c r="D999" s="139"/>
      <c r="E999" s="139"/>
      <c r="G999" s="173"/>
    </row>
    <row r="1000">
      <c r="B1000" s="139"/>
      <c r="C1000" s="139"/>
      <c r="D1000" s="139"/>
      <c r="E1000" s="139"/>
      <c r="G1000" s="173"/>
    </row>
    <row r="1001">
      <c r="B1001" s="139"/>
      <c r="C1001" s="139"/>
      <c r="D1001" s="139"/>
      <c r="E1001" s="139"/>
      <c r="G1001" s="173"/>
    </row>
    <row r="1002">
      <c r="B1002" s="139"/>
      <c r="C1002" s="139"/>
      <c r="D1002" s="139"/>
      <c r="E1002" s="139"/>
      <c r="G1002" s="173"/>
    </row>
  </sheetData>
  <customSheetViews>
    <customSheetView guid="{49BBE4A5-0011-433F-BBC8-12CC1FF24F76}" filter="1" showAutoFilter="1">
      <autoFilter ref="$E$3:$L$101">
        <sortState ref="E3:L101">
          <sortCondition ref="E3:E101"/>
        </sortState>
      </autoFilter>
    </customSheetView>
    <customSheetView guid="{282C632F-E700-446B-B969-104509514639}" filter="1" showAutoFilter="1">
      <autoFilter ref="$E$3:$E$101">
        <sortState ref="E3:E101">
          <sortCondition ref="E3:E101"/>
        </sortState>
      </autoFilter>
    </customSheetView>
    <customSheetView guid="{13B69836-F742-47CC-9B75-0D185E1E193E}" filter="1" showAutoFilter="1">
      <autoFilter ref="$E$4:$E$101">
        <sortState ref="E4:E101">
          <sortCondition ref="E4:E101"/>
        </sortState>
      </autoFilter>
    </customSheetView>
    <customSheetView guid="{6B942B64-79AD-4D0C-9F22-0F8AB405CAAC}" filter="1" showAutoFilter="1">
      <autoFilter ref="$E$1:$E$1002"/>
    </customSheetView>
  </customSheetViews>
  <mergeCells count="113">
    <mergeCell ref="B44:B45"/>
    <mergeCell ref="B64:B65"/>
    <mergeCell ref="B54:B55"/>
    <mergeCell ref="B52:B53"/>
    <mergeCell ref="B46:B47"/>
    <mergeCell ref="B48:B49"/>
    <mergeCell ref="B50:B51"/>
    <mergeCell ref="B124:C124"/>
    <mergeCell ref="B122:C122"/>
    <mergeCell ref="B121:C121"/>
    <mergeCell ref="B107:C107"/>
    <mergeCell ref="B108:C108"/>
    <mergeCell ref="B106:C106"/>
    <mergeCell ref="B103:C103"/>
    <mergeCell ref="B26:B27"/>
    <mergeCell ref="B40:B41"/>
    <mergeCell ref="B42:B43"/>
    <mergeCell ref="B38:B39"/>
    <mergeCell ref="B32:B33"/>
    <mergeCell ref="B82:B83"/>
    <mergeCell ref="B88:B89"/>
    <mergeCell ref="B94:B95"/>
    <mergeCell ref="B84:B85"/>
    <mergeCell ref="B86:B87"/>
    <mergeCell ref="B78:B79"/>
    <mergeCell ref="B80:B81"/>
    <mergeCell ref="B96:B97"/>
    <mergeCell ref="B100:B101"/>
    <mergeCell ref="B90:B91"/>
    <mergeCell ref="B92:B93"/>
    <mergeCell ref="B98:B99"/>
    <mergeCell ref="B130:C130"/>
    <mergeCell ref="B135:C135"/>
    <mergeCell ref="B131:C131"/>
    <mergeCell ref="B132:C132"/>
    <mergeCell ref="B148:C148"/>
    <mergeCell ref="B147:C147"/>
    <mergeCell ref="B146:C146"/>
    <mergeCell ref="B149:C149"/>
    <mergeCell ref="B142:C142"/>
    <mergeCell ref="B143:C143"/>
    <mergeCell ref="B144:C144"/>
    <mergeCell ref="B141:C141"/>
    <mergeCell ref="B140:C140"/>
    <mergeCell ref="B138:C138"/>
    <mergeCell ref="B139:C139"/>
    <mergeCell ref="B154:C154"/>
    <mergeCell ref="B153:C153"/>
    <mergeCell ref="B152:C152"/>
    <mergeCell ref="B128:C128"/>
    <mergeCell ref="B129:C129"/>
    <mergeCell ref="B136:C136"/>
    <mergeCell ref="B145:C145"/>
    <mergeCell ref="B137:C137"/>
    <mergeCell ref="B133:C133"/>
    <mergeCell ref="B134:C134"/>
    <mergeCell ref="B36:B37"/>
    <mergeCell ref="B34:B35"/>
    <mergeCell ref="B76:B77"/>
    <mergeCell ref="B74:B75"/>
    <mergeCell ref="B56:B57"/>
    <mergeCell ref="B66:B67"/>
    <mergeCell ref="B68:B69"/>
    <mergeCell ref="B72:B73"/>
    <mergeCell ref="B70:B71"/>
    <mergeCell ref="B62:B63"/>
    <mergeCell ref="B127:C127"/>
    <mergeCell ref="B110:C110"/>
    <mergeCell ref="B109:C109"/>
    <mergeCell ref="B125:C125"/>
    <mergeCell ref="B126:C126"/>
    <mergeCell ref="B162:C162"/>
    <mergeCell ref="B164:C164"/>
    <mergeCell ref="B163:C163"/>
    <mergeCell ref="B155:C155"/>
    <mergeCell ref="B156:C156"/>
    <mergeCell ref="B157:C157"/>
    <mergeCell ref="B161:C161"/>
    <mergeCell ref="B158:C158"/>
    <mergeCell ref="B159:C159"/>
    <mergeCell ref="B160:C160"/>
    <mergeCell ref="B151:C151"/>
    <mergeCell ref="B150:C150"/>
    <mergeCell ref="B14:B15"/>
    <mergeCell ref="B12:B13"/>
    <mergeCell ref="B8:B9"/>
    <mergeCell ref="B10:B11"/>
    <mergeCell ref="B24:B25"/>
    <mergeCell ref="B22:B23"/>
    <mergeCell ref="M1:N1"/>
    <mergeCell ref="O1:P1"/>
    <mergeCell ref="B4:B5"/>
    <mergeCell ref="B6:B7"/>
    <mergeCell ref="B20:B21"/>
    <mergeCell ref="B105:C105"/>
    <mergeCell ref="B104:C104"/>
    <mergeCell ref="B112:C112"/>
    <mergeCell ref="B111:C111"/>
    <mergeCell ref="B119:C119"/>
    <mergeCell ref="B120:C120"/>
    <mergeCell ref="B123:C123"/>
    <mergeCell ref="B113:C113"/>
    <mergeCell ref="B117:C117"/>
    <mergeCell ref="B116:C116"/>
    <mergeCell ref="B115:C115"/>
    <mergeCell ref="B114:C114"/>
    <mergeCell ref="B118:C118"/>
    <mergeCell ref="B30:B31"/>
    <mergeCell ref="B28:B29"/>
    <mergeCell ref="B60:B61"/>
    <mergeCell ref="B58:B59"/>
    <mergeCell ref="B18:B19"/>
    <mergeCell ref="B16:B17"/>
  </mergeCells>
  <conditionalFormatting sqref="F1:F3">
    <cfRule type="containsText" dxfId="0" priority="1" operator="containsText" text="Dem">
      <formula>NOT(ISERROR(SEARCH(("Dem"),(F1))))</formula>
    </cfRule>
  </conditionalFormatting>
  <conditionalFormatting sqref="F1:F3">
    <cfRule type="containsText" dxfId="1" priority="2" operator="containsText" text="Rep">
      <formula>NOT(ISERROR(SEARCH(("Rep"),(F1))))</formula>
    </cfRule>
  </conditionalFormatting>
  <hyperlinks>
    <hyperlink r:id="rId1" ref="B4"/>
    <hyperlink r:id="rId2" ref="D4"/>
    <hyperlink r:id="rId3" ref="D5"/>
    <hyperlink r:id="rId4" ref="B6"/>
    <hyperlink r:id="rId5" ref="D6"/>
    <hyperlink r:id="rId6" ref="D7"/>
    <hyperlink r:id="rId7" ref="B8"/>
    <hyperlink r:id="rId8" ref="D8"/>
    <hyperlink r:id="rId9" ref="D9"/>
    <hyperlink r:id="rId10" ref="B10"/>
    <hyperlink r:id="rId11" ref="D10"/>
    <hyperlink r:id="rId12" ref="D11"/>
    <hyperlink r:id="rId13" ref="B12"/>
    <hyperlink r:id="rId14" ref="B14"/>
    <hyperlink r:id="rId15" ref="D14"/>
    <hyperlink r:id="rId16" ref="B16"/>
    <hyperlink r:id="rId17" ref="D16"/>
    <hyperlink r:id="rId18" ref="D17"/>
    <hyperlink r:id="rId19" ref="B18"/>
    <hyperlink r:id="rId20" ref="D18"/>
    <hyperlink r:id="rId21" ref="B20"/>
    <hyperlink r:id="rId22" ref="D20"/>
    <hyperlink r:id="rId23" ref="D21"/>
    <hyperlink r:id="rId24" ref="B22"/>
    <hyperlink r:id="rId25" ref="D22"/>
    <hyperlink r:id="rId26" ref="B24"/>
    <hyperlink r:id="rId27" ref="D24"/>
    <hyperlink r:id="rId28" ref="D25"/>
    <hyperlink r:id="rId29" ref="B26"/>
    <hyperlink r:id="rId30" ref="D27"/>
    <hyperlink r:id="rId31" ref="B28"/>
    <hyperlink r:id="rId32" ref="D28"/>
    <hyperlink r:id="rId33" ref="D29"/>
    <hyperlink r:id="rId34" ref="B30"/>
    <hyperlink r:id="rId35" ref="B32"/>
    <hyperlink r:id="rId36" ref="D32"/>
    <hyperlink r:id="rId37" ref="D33"/>
    <hyperlink r:id="rId38" ref="B34"/>
    <hyperlink r:id="rId39" ref="D34"/>
    <hyperlink r:id="rId40" ref="B36"/>
    <hyperlink r:id="rId41" ref="D36"/>
    <hyperlink r:id="rId42" ref="D37"/>
    <hyperlink r:id="rId43" ref="B38"/>
    <hyperlink r:id="rId44" ref="D38"/>
    <hyperlink r:id="rId45" ref="B40"/>
    <hyperlink r:id="rId46" ref="D40"/>
    <hyperlink r:id="rId47" ref="D41"/>
    <hyperlink r:id="rId48" ref="B42"/>
    <hyperlink r:id="rId49" ref="D42"/>
    <hyperlink r:id="rId50" ref="D43"/>
    <hyperlink r:id="rId51" ref="B44"/>
    <hyperlink r:id="rId52" ref="D44"/>
    <hyperlink r:id="rId53" ref="D45"/>
    <hyperlink r:id="rId54" ref="B46"/>
    <hyperlink r:id="rId55" ref="D46"/>
    <hyperlink r:id="rId56" ref="D47"/>
    <hyperlink r:id="rId57" ref="B48"/>
    <hyperlink r:id="rId58" ref="D48"/>
    <hyperlink r:id="rId59" ref="D49"/>
    <hyperlink r:id="rId60" ref="B50"/>
    <hyperlink r:id="rId61" ref="D50"/>
    <hyperlink r:id="rId62" ref="D51"/>
    <hyperlink r:id="rId63" ref="B52"/>
    <hyperlink r:id="rId64" ref="B54"/>
    <hyperlink r:id="rId65" ref="D54"/>
    <hyperlink r:id="rId66" ref="D55"/>
    <hyperlink r:id="rId67" ref="B56"/>
    <hyperlink r:id="rId68" ref="D56"/>
    <hyperlink r:id="rId69" ref="D57"/>
    <hyperlink r:id="rId70" ref="B58"/>
    <hyperlink r:id="rId71" ref="D59"/>
    <hyperlink r:id="rId72" ref="B60"/>
    <hyperlink r:id="rId73" ref="D61"/>
    <hyperlink r:id="rId74" ref="B62"/>
    <hyperlink r:id="rId75" ref="D62"/>
    <hyperlink r:id="rId76" ref="D63"/>
    <hyperlink r:id="rId77" ref="B64"/>
    <hyperlink r:id="rId78" ref="D64"/>
    <hyperlink r:id="rId79" ref="D65"/>
    <hyperlink r:id="rId80" ref="B66"/>
    <hyperlink r:id="rId81" ref="D66"/>
    <hyperlink r:id="rId82" ref="B68"/>
    <hyperlink r:id="rId83" ref="D68"/>
    <hyperlink r:id="rId84" ref="D69"/>
    <hyperlink r:id="rId85" ref="B70"/>
    <hyperlink r:id="rId86" ref="D70"/>
    <hyperlink r:id="rId87" ref="D71"/>
    <hyperlink r:id="rId88" ref="B72"/>
    <hyperlink r:id="rId89" ref="D72"/>
    <hyperlink r:id="rId90" ref="D73"/>
    <hyperlink r:id="rId91" ref="B74"/>
    <hyperlink r:id="rId92" ref="D74"/>
    <hyperlink r:id="rId93" ref="D75"/>
    <hyperlink r:id="rId94" ref="B76"/>
    <hyperlink r:id="rId95" ref="D76"/>
    <hyperlink r:id="rId96" ref="D77"/>
    <hyperlink r:id="rId97" ref="B78"/>
    <hyperlink r:id="rId98" ref="D78"/>
    <hyperlink r:id="rId99" ref="D79"/>
    <hyperlink r:id="rId100" ref="B80"/>
    <hyperlink r:id="rId101" ref="D81"/>
    <hyperlink r:id="rId102" ref="B82"/>
    <hyperlink r:id="rId103" ref="D83"/>
    <hyperlink r:id="rId104" ref="B84"/>
    <hyperlink r:id="rId105" ref="D84"/>
    <hyperlink r:id="rId106" ref="B86"/>
    <hyperlink r:id="rId107" ref="D86"/>
    <hyperlink r:id="rId108" ref="B88"/>
    <hyperlink r:id="rId109" ref="D88"/>
    <hyperlink r:id="rId110" ref="D89"/>
    <hyperlink r:id="rId111" ref="B90"/>
    <hyperlink r:id="rId112" ref="D90"/>
    <hyperlink r:id="rId113" ref="B92"/>
    <hyperlink r:id="rId114" ref="D92"/>
    <hyperlink r:id="rId115" ref="D93"/>
    <hyperlink r:id="rId116" ref="B94"/>
    <hyperlink r:id="rId117" ref="D94"/>
    <hyperlink r:id="rId118" ref="D95"/>
    <hyperlink r:id="rId119" ref="B96"/>
    <hyperlink r:id="rId120" ref="D97"/>
    <hyperlink r:id="rId121" ref="B98"/>
    <hyperlink r:id="rId122" ref="D98"/>
    <hyperlink r:id="rId123" ref="B100"/>
    <hyperlink r:id="rId124" ref="D100"/>
    <hyperlink r:id="rId125" ref="D101"/>
    <hyperlink r:id="rId126" ref="B103"/>
    <hyperlink r:id="rId127" ref="B104"/>
    <hyperlink r:id="rId128" ref="D104"/>
    <hyperlink r:id="rId129" ref="B105"/>
    <hyperlink r:id="rId130" ref="D105"/>
    <hyperlink r:id="rId131" ref="B106"/>
    <hyperlink r:id="rId132" ref="D106"/>
    <hyperlink r:id="rId133" ref="B107"/>
    <hyperlink r:id="rId134" ref="D107"/>
    <hyperlink r:id="rId135" ref="B108"/>
    <hyperlink r:id="rId136" ref="B109"/>
    <hyperlink r:id="rId137" ref="D109"/>
    <hyperlink r:id="rId138" ref="B110"/>
    <hyperlink r:id="rId139" ref="D110"/>
    <hyperlink r:id="rId140" ref="B111"/>
    <hyperlink r:id="rId141" ref="D111"/>
    <hyperlink r:id="rId142" ref="B112"/>
    <hyperlink r:id="rId143" ref="D112"/>
    <hyperlink r:id="rId144" ref="B113"/>
    <hyperlink r:id="rId145" ref="D113"/>
    <hyperlink r:id="rId146" ref="B114"/>
    <hyperlink r:id="rId147" ref="D114"/>
    <hyperlink r:id="rId148" ref="B115"/>
    <hyperlink r:id="rId149" ref="D115"/>
    <hyperlink r:id="rId150" ref="B116"/>
    <hyperlink r:id="rId151" ref="D116"/>
    <hyperlink r:id="rId152" ref="B117"/>
    <hyperlink r:id="rId153" ref="D117"/>
    <hyperlink r:id="rId154" ref="B118"/>
    <hyperlink r:id="rId155" ref="D118"/>
    <hyperlink r:id="rId156" ref="B119"/>
    <hyperlink r:id="rId157" ref="D119"/>
    <hyperlink r:id="rId158" ref="B120"/>
    <hyperlink r:id="rId159" ref="D120"/>
    <hyperlink r:id="rId160" ref="B121"/>
    <hyperlink r:id="rId161" ref="D121"/>
    <hyperlink r:id="rId162" ref="B122"/>
    <hyperlink r:id="rId163" ref="D122"/>
    <hyperlink r:id="rId164" ref="B123"/>
    <hyperlink r:id="rId165" ref="D123"/>
    <hyperlink r:id="rId166" ref="B124"/>
    <hyperlink r:id="rId167" ref="D124"/>
    <hyperlink r:id="rId168" ref="B125"/>
    <hyperlink r:id="rId169" ref="D125"/>
    <hyperlink r:id="rId170" ref="B126"/>
    <hyperlink r:id="rId171" ref="D126"/>
    <hyperlink r:id="rId172" ref="B127"/>
    <hyperlink r:id="rId173" ref="D127"/>
    <hyperlink r:id="rId174" ref="B128"/>
    <hyperlink r:id="rId175" ref="B129"/>
    <hyperlink r:id="rId176" ref="D129"/>
    <hyperlink r:id="rId177" ref="B130"/>
    <hyperlink r:id="rId178" ref="D130"/>
    <hyperlink r:id="rId179" ref="B131"/>
    <hyperlink r:id="rId180" ref="D131"/>
    <hyperlink r:id="rId181" ref="B132"/>
    <hyperlink r:id="rId182" ref="B133"/>
    <hyperlink r:id="rId183" ref="B134"/>
    <hyperlink r:id="rId184" ref="B135"/>
    <hyperlink r:id="rId185" ref="D135"/>
    <hyperlink r:id="rId186" ref="B136"/>
    <hyperlink r:id="rId187" ref="B137"/>
    <hyperlink r:id="rId188" ref="D137"/>
    <hyperlink r:id="rId189" ref="B138"/>
    <hyperlink r:id="rId190" ref="D138"/>
    <hyperlink r:id="rId191" ref="B139"/>
    <hyperlink r:id="rId192" ref="D139"/>
    <hyperlink r:id="rId193" ref="B140"/>
    <hyperlink r:id="rId194" ref="D140"/>
    <hyperlink r:id="rId195" ref="B141"/>
    <hyperlink r:id="rId196" ref="B142"/>
    <hyperlink r:id="rId197" ref="D142"/>
    <hyperlink r:id="rId198" ref="B143"/>
    <hyperlink r:id="rId199" ref="B144"/>
    <hyperlink r:id="rId200" ref="D144"/>
    <hyperlink r:id="rId201" ref="B145"/>
    <hyperlink r:id="rId202" ref="D145"/>
    <hyperlink r:id="rId203" ref="B146"/>
    <hyperlink r:id="rId204" ref="D146"/>
    <hyperlink r:id="rId205" ref="B147"/>
    <hyperlink r:id="rId206" ref="D147"/>
    <hyperlink r:id="rId207" ref="B148"/>
    <hyperlink r:id="rId208" ref="D148"/>
    <hyperlink r:id="rId209" ref="B149"/>
    <hyperlink r:id="rId210" ref="D149"/>
    <hyperlink r:id="rId211" ref="B150"/>
    <hyperlink r:id="rId212" ref="D150"/>
    <hyperlink r:id="rId213" ref="B151"/>
    <hyperlink r:id="rId214" ref="D151"/>
  </hyperlinks>
  <drawing r:id="rId215"/>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2" max="2" width="8.29"/>
    <col customWidth="1" min="5" max="5" width="9.43"/>
    <col customWidth="1" min="6" max="6" width="17.0"/>
    <col customWidth="1" min="7" max="7" width="36.29"/>
    <col customWidth="1" min="8" max="8" width="15.43"/>
    <col customWidth="1" min="9" max="9" width="29.57"/>
    <col customWidth="1" min="10" max="10" width="14.71"/>
  </cols>
  <sheetData>
    <row r="1">
      <c r="A1" s="739" t="s">
        <v>0</v>
      </c>
      <c r="B1" s="739" t="s">
        <v>1</v>
      </c>
      <c r="C1" s="739" t="s">
        <v>2</v>
      </c>
      <c r="D1" s="739" t="s">
        <v>2</v>
      </c>
      <c r="E1" s="741"/>
      <c r="F1" s="742" t="s">
        <v>1577</v>
      </c>
      <c r="G1" s="742" t="s">
        <v>4</v>
      </c>
      <c r="H1" s="742" t="s">
        <v>5</v>
      </c>
      <c r="I1" s="742" t="s">
        <v>6</v>
      </c>
      <c r="J1" s="742" t="s">
        <v>7</v>
      </c>
      <c r="K1" s="1" t="s">
        <v>8</v>
      </c>
      <c r="L1" s="743" t="s">
        <v>9</v>
      </c>
      <c r="N1" s="743" t="s">
        <v>14</v>
      </c>
      <c r="O1" s="751"/>
      <c r="P1" s="741"/>
      <c r="Q1" s="741"/>
      <c r="R1" s="742"/>
      <c r="S1" s="665"/>
      <c r="T1" s="665"/>
      <c r="U1" s="665"/>
      <c r="V1" s="665"/>
      <c r="W1" s="665"/>
      <c r="X1" s="665"/>
      <c r="Y1" s="665"/>
      <c r="Z1" s="665"/>
      <c r="AA1" s="665"/>
      <c r="AB1" s="665"/>
      <c r="AC1" s="665"/>
      <c r="AD1" s="665"/>
    </row>
    <row r="2">
      <c r="A2" s="745"/>
      <c r="B2" s="745"/>
      <c r="C2" s="754"/>
      <c r="D2" s="745"/>
      <c r="E2" s="741"/>
      <c r="F2" s="749">
        <v>43474.0</v>
      </c>
      <c r="G2" s="749">
        <v>43508.0</v>
      </c>
      <c r="H2" s="21">
        <f>G2-TODAY()</f>
        <v>-227</v>
      </c>
      <c r="I2" s="749">
        <v>43474.0</v>
      </c>
      <c r="J2" s="655">
        <v>43533.0</v>
      </c>
      <c r="K2" s="23"/>
      <c r="L2" s="752">
        <f>CountIFS($E:$E,"=Dem",$A:$A,"=House")</f>
        <v>43</v>
      </c>
      <c r="M2" s="755">
        <f>CountIFS($E:$E,"=Rep",$A:$A,"=House")</f>
        <v>57</v>
      </c>
      <c r="N2" s="752">
        <f>CountIFS($E:$E,"=Dem",$A:$A,"=Senate")</f>
        <v>14</v>
      </c>
      <c r="O2" s="755">
        <f>CountIFS($E:$E,"=Rep",$A:$A,"=Senate")</f>
        <v>20</v>
      </c>
      <c r="P2" s="741"/>
      <c r="Q2" s="741"/>
      <c r="R2" s="742"/>
      <c r="S2" s="665"/>
      <c r="T2" s="3"/>
      <c r="X2" s="665"/>
      <c r="Y2" s="665"/>
      <c r="Z2" s="665"/>
      <c r="AA2" s="665"/>
      <c r="AB2" s="665"/>
      <c r="AC2" s="665"/>
      <c r="AD2" s="665"/>
    </row>
    <row r="3">
      <c r="A3" s="742" t="s">
        <v>29</v>
      </c>
      <c r="B3" s="742" t="s">
        <v>30</v>
      </c>
      <c r="C3" s="739" t="s">
        <v>31</v>
      </c>
      <c r="D3" s="739" t="s">
        <v>32</v>
      </c>
      <c r="E3" s="741" t="s">
        <v>33</v>
      </c>
      <c r="F3" s="739" t="s">
        <v>10</v>
      </c>
      <c r="G3" s="739" t="s">
        <v>34</v>
      </c>
      <c r="H3" s="739" t="s">
        <v>34</v>
      </c>
      <c r="I3" s="739" t="s">
        <v>34</v>
      </c>
      <c r="J3" s="739" t="s">
        <v>34</v>
      </c>
      <c r="K3" s="739" t="s">
        <v>35</v>
      </c>
      <c r="L3" s="759" t="s">
        <v>36</v>
      </c>
      <c r="M3" s="759" t="s">
        <v>37</v>
      </c>
      <c r="N3" s="759" t="s">
        <v>38</v>
      </c>
      <c r="O3" s="761" t="s">
        <v>39</v>
      </c>
      <c r="P3" s="762" t="s">
        <v>40</v>
      </c>
      <c r="Q3" s="762" t="s">
        <v>41</v>
      </c>
      <c r="R3" s="764" t="s">
        <v>42</v>
      </c>
      <c r="S3" s="665"/>
      <c r="T3" s="30"/>
      <c r="U3" s="30" t="s">
        <v>1590</v>
      </c>
      <c r="V3" s="2" t="s">
        <v>1591</v>
      </c>
      <c r="W3" s="30" t="s">
        <v>1592</v>
      </c>
      <c r="X3" s="30" t="s">
        <v>37</v>
      </c>
      <c r="Y3" s="30" t="s">
        <v>1593</v>
      </c>
      <c r="Z3" s="665"/>
      <c r="AA3" s="665"/>
      <c r="AB3" s="665"/>
      <c r="AC3" s="665"/>
      <c r="AD3" s="665"/>
    </row>
    <row r="4">
      <c r="A4" s="14" t="s">
        <v>44</v>
      </c>
      <c r="B4" s="77">
        <v>1.0</v>
      </c>
      <c r="C4" s="77" t="s">
        <v>2570</v>
      </c>
      <c r="D4" s="77" t="s">
        <v>13601</v>
      </c>
      <c r="E4" s="678" t="s">
        <v>53</v>
      </c>
      <c r="F4" s="15"/>
      <c r="G4" s="14" t="s">
        <v>13602</v>
      </c>
      <c r="L4" s="89"/>
      <c r="M4" s="89" t="str">
        <f t="shared" ref="M4:M103" si="1">Concatenate(Lower(C4),".",Lower(D4),"@wvhouse.gov")</f>
        <v>pat.mcgeehan@wvhouse.gov</v>
      </c>
      <c r="N4" s="89"/>
      <c r="O4" s="89"/>
      <c r="P4" s="89"/>
      <c r="Q4" s="89"/>
      <c r="R4" s="89"/>
      <c r="U4" t="str">
        <f t="shared" ref="U4:U103" si="2">if(V4="","",if(A4="House","Representative","Senator"))</f>
        <v/>
      </c>
      <c r="V4" s="139" t="str">
        <f t="shared" ref="V4:V103" si="3">if(AND(not(isblank($F4)),not(isnumber(search("minority",$F4)))),$C4,if(or(isnumber(search("Judiciary (Chair)",$G4)),isnumber(search("Judiciary (Vice Chair)",$G4))),$C4,""))</f>
        <v/>
      </c>
      <c r="W4" t="str">
        <f t="shared" ref="W4:W103" si="4">if(V4="","",D4)</f>
        <v/>
      </c>
      <c r="X4" t="str">
        <f t="shared" ref="X4:X103" si="5">if(W4="","",M4)</f>
        <v/>
      </c>
      <c r="Y4" t="str">
        <f t="shared" ref="Y4:Y103" si="6">if(X4="","",if(isblank($F4),$G4,$F4))</f>
        <v/>
      </c>
    </row>
    <row r="5">
      <c r="A5" s="14" t="s">
        <v>44</v>
      </c>
      <c r="C5" s="77" t="s">
        <v>412</v>
      </c>
      <c r="D5" s="77" t="s">
        <v>13623</v>
      </c>
      <c r="E5" s="678" t="s">
        <v>49</v>
      </c>
      <c r="F5" s="15"/>
      <c r="L5" s="89"/>
      <c r="M5" s="89" t="str">
        <f t="shared" si="1"/>
        <v>randy.swartzmiller@wvhouse.gov</v>
      </c>
      <c r="N5" s="89"/>
      <c r="O5" s="89"/>
      <c r="P5" s="89"/>
      <c r="Q5" s="89"/>
      <c r="R5" s="89"/>
      <c r="U5" t="str">
        <f t="shared" si="2"/>
        <v/>
      </c>
      <c r="V5" s="139" t="str">
        <f t="shared" si="3"/>
        <v/>
      </c>
      <c r="W5" t="str">
        <f t="shared" si="4"/>
        <v/>
      </c>
      <c r="X5" t="str">
        <f t="shared" si="5"/>
        <v/>
      </c>
      <c r="Y5" t="str">
        <f t="shared" si="6"/>
        <v/>
      </c>
    </row>
    <row r="6">
      <c r="A6" s="14" t="s">
        <v>44</v>
      </c>
      <c r="B6" s="77">
        <v>2.0</v>
      </c>
      <c r="C6" s="77" t="s">
        <v>50</v>
      </c>
      <c r="D6" s="77" t="s">
        <v>13624</v>
      </c>
      <c r="E6" s="678" t="s">
        <v>49</v>
      </c>
      <c r="F6" s="15"/>
      <c r="L6" s="89"/>
      <c r="M6" s="89" t="str">
        <f t="shared" si="1"/>
        <v>phillip.dierio@wvhouse.gov</v>
      </c>
      <c r="N6" s="89"/>
      <c r="O6" s="89"/>
      <c r="P6" s="89"/>
      <c r="Q6" s="89"/>
      <c r="R6" s="89"/>
      <c r="U6" t="str">
        <f t="shared" si="2"/>
        <v/>
      </c>
      <c r="V6" s="139" t="str">
        <f t="shared" si="3"/>
        <v/>
      </c>
      <c r="W6" t="str">
        <f t="shared" si="4"/>
        <v/>
      </c>
      <c r="X6" t="str">
        <f t="shared" si="5"/>
        <v/>
      </c>
      <c r="Y6" t="str">
        <f t="shared" si="6"/>
        <v/>
      </c>
    </row>
    <row r="7">
      <c r="A7" s="14" t="s">
        <v>44</v>
      </c>
      <c r="B7" s="77">
        <v>3.0</v>
      </c>
      <c r="C7" s="77" t="s">
        <v>13629</v>
      </c>
      <c r="D7" s="77" t="s">
        <v>13630</v>
      </c>
      <c r="E7" s="678" t="s">
        <v>53</v>
      </c>
      <c r="F7" s="15"/>
      <c r="G7" s="14" t="s">
        <v>12217</v>
      </c>
      <c r="H7" s="14" t="s">
        <v>10344</v>
      </c>
      <c r="L7" s="89"/>
      <c r="M7" s="89" t="str">
        <f t="shared" si="1"/>
        <v>erikka.storch@wvhouse.gov</v>
      </c>
      <c r="N7" s="89"/>
      <c r="O7" s="89"/>
      <c r="P7" s="89"/>
      <c r="Q7" s="89"/>
      <c r="R7" s="89"/>
      <c r="U7" t="str">
        <f t="shared" si="2"/>
        <v/>
      </c>
      <c r="V7" s="139" t="str">
        <f t="shared" si="3"/>
        <v/>
      </c>
      <c r="W7" t="str">
        <f t="shared" si="4"/>
        <v/>
      </c>
      <c r="X7" t="str">
        <f t="shared" si="5"/>
        <v/>
      </c>
      <c r="Y7" t="str">
        <f t="shared" si="6"/>
        <v/>
      </c>
    </row>
    <row r="8">
      <c r="A8" s="14" t="s">
        <v>44</v>
      </c>
      <c r="C8" s="77" t="s">
        <v>5855</v>
      </c>
      <c r="D8" s="77" t="s">
        <v>13631</v>
      </c>
      <c r="E8" s="678" t="s">
        <v>49</v>
      </c>
      <c r="F8" s="15"/>
      <c r="L8" s="89"/>
      <c r="M8" s="89" t="str">
        <f t="shared" si="1"/>
        <v>shawn.fluhart@wvhouse.gov</v>
      </c>
      <c r="N8" s="89"/>
      <c r="O8" s="89"/>
      <c r="P8" s="89"/>
      <c r="Q8" s="89"/>
      <c r="R8" s="89"/>
      <c r="U8" t="str">
        <f t="shared" si="2"/>
        <v/>
      </c>
      <c r="V8" s="139" t="str">
        <f t="shared" si="3"/>
        <v/>
      </c>
      <c r="W8" t="str">
        <f t="shared" si="4"/>
        <v/>
      </c>
      <c r="X8" t="str">
        <f t="shared" si="5"/>
        <v/>
      </c>
      <c r="Y8" t="str">
        <f t="shared" si="6"/>
        <v/>
      </c>
    </row>
    <row r="9">
      <c r="A9" s="14" t="s">
        <v>44</v>
      </c>
      <c r="B9" s="77">
        <v>4.0</v>
      </c>
      <c r="C9" s="77" t="s">
        <v>432</v>
      </c>
      <c r="D9" s="77" t="s">
        <v>13632</v>
      </c>
      <c r="E9" s="678" t="s">
        <v>49</v>
      </c>
      <c r="F9" s="15"/>
      <c r="L9" s="89"/>
      <c r="M9" s="89" t="str">
        <f t="shared" si="1"/>
        <v>lisa.sukoff@wvhouse.gov</v>
      </c>
      <c r="N9" s="89"/>
      <c r="O9" s="89"/>
      <c r="P9" s="89"/>
      <c r="Q9" s="89"/>
      <c r="R9" s="89"/>
      <c r="U9" t="str">
        <f t="shared" si="2"/>
        <v/>
      </c>
      <c r="V9" s="139" t="str">
        <f t="shared" si="3"/>
        <v/>
      </c>
      <c r="W9" t="str">
        <f t="shared" si="4"/>
        <v/>
      </c>
      <c r="X9" t="str">
        <f t="shared" si="5"/>
        <v/>
      </c>
      <c r="Y9" t="str">
        <f t="shared" si="6"/>
        <v/>
      </c>
    </row>
    <row r="10">
      <c r="A10" s="14" t="s">
        <v>44</v>
      </c>
      <c r="C10" s="77" t="s">
        <v>622</v>
      </c>
      <c r="D10" s="77" t="s">
        <v>13634</v>
      </c>
      <c r="E10" s="678" t="s">
        <v>49</v>
      </c>
      <c r="F10" s="15"/>
      <c r="L10" s="89"/>
      <c r="M10" s="89" t="str">
        <f t="shared" si="1"/>
        <v>joe.canestraro@wvhouse.gov</v>
      </c>
      <c r="N10" s="89"/>
      <c r="O10" s="89"/>
      <c r="P10" s="89"/>
      <c r="Q10" s="89"/>
      <c r="R10" s="89"/>
      <c r="U10" t="str">
        <f t="shared" si="2"/>
        <v/>
      </c>
      <c r="V10" s="139" t="str">
        <f t="shared" si="3"/>
        <v/>
      </c>
      <c r="W10" t="str">
        <f t="shared" si="4"/>
        <v/>
      </c>
      <c r="X10" t="str">
        <f t="shared" si="5"/>
        <v/>
      </c>
      <c r="Y10" t="str">
        <f t="shared" si="6"/>
        <v/>
      </c>
    </row>
    <row r="11">
      <c r="A11" s="14" t="s">
        <v>44</v>
      </c>
      <c r="B11" s="77">
        <v>5.0</v>
      </c>
      <c r="C11" s="77" t="s">
        <v>76</v>
      </c>
      <c r="D11" s="77" t="s">
        <v>13636</v>
      </c>
      <c r="E11" s="678" t="s">
        <v>49</v>
      </c>
      <c r="F11" s="15"/>
      <c r="L11" s="89"/>
      <c r="M11" s="89" t="str">
        <f t="shared" si="1"/>
        <v>dave.pethtel@wvhouse.gov</v>
      </c>
      <c r="N11" s="89"/>
      <c r="O11" s="89"/>
      <c r="P11" s="89"/>
      <c r="Q11" s="89"/>
      <c r="R11" s="89"/>
      <c r="U11" t="str">
        <f t="shared" si="2"/>
        <v/>
      </c>
      <c r="V11" s="139" t="str">
        <f t="shared" si="3"/>
        <v/>
      </c>
      <c r="W11" t="str">
        <f t="shared" si="4"/>
        <v/>
      </c>
      <c r="X11" t="str">
        <f t="shared" si="5"/>
        <v/>
      </c>
      <c r="Y11" t="str">
        <f t="shared" si="6"/>
        <v/>
      </c>
    </row>
    <row r="12">
      <c r="A12" s="14" t="s">
        <v>44</v>
      </c>
      <c r="B12" s="77">
        <v>6.0</v>
      </c>
      <c r="C12" s="77" t="s">
        <v>108</v>
      </c>
      <c r="D12" s="77" t="s">
        <v>130</v>
      </c>
      <c r="E12" s="678" t="s">
        <v>53</v>
      </c>
      <c r="F12" s="15"/>
      <c r="L12" s="89"/>
      <c r="M12" s="89" t="str">
        <f t="shared" si="1"/>
        <v>david.kelly@wvhouse.gov</v>
      </c>
      <c r="N12" s="89"/>
      <c r="O12" s="89"/>
      <c r="P12" s="89"/>
      <c r="Q12" s="89"/>
      <c r="R12" s="89"/>
      <c r="U12" t="str">
        <f t="shared" si="2"/>
        <v/>
      </c>
      <c r="V12" s="139" t="str">
        <f t="shared" si="3"/>
        <v/>
      </c>
      <c r="W12" t="str">
        <f t="shared" si="4"/>
        <v/>
      </c>
      <c r="X12" t="str">
        <f t="shared" si="5"/>
        <v/>
      </c>
      <c r="Y12" t="str">
        <f t="shared" si="6"/>
        <v/>
      </c>
    </row>
    <row r="13">
      <c r="A13" s="14" t="s">
        <v>44</v>
      </c>
      <c r="B13" s="77">
        <v>7.0</v>
      </c>
      <c r="C13" s="77" t="s">
        <v>1231</v>
      </c>
      <c r="D13" s="77" t="s">
        <v>13638</v>
      </c>
      <c r="E13" s="678" t="s">
        <v>53</v>
      </c>
      <c r="F13" s="15"/>
      <c r="G13" s="14" t="s">
        <v>9650</v>
      </c>
      <c r="L13" s="89"/>
      <c r="M13" s="89" t="str">
        <f t="shared" si="1"/>
        <v>jason.harshbarger@wvhouse.gov</v>
      </c>
      <c r="N13" s="89"/>
      <c r="O13" s="89"/>
      <c r="P13" s="89"/>
      <c r="Q13" s="89"/>
      <c r="R13" s="89"/>
      <c r="U13" t="str">
        <f t="shared" si="2"/>
        <v/>
      </c>
      <c r="V13" s="139" t="str">
        <f t="shared" si="3"/>
        <v/>
      </c>
      <c r="W13" t="str">
        <f t="shared" si="4"/>
        <v/>
      </c>
      <c r="X13" t="str">
        <f t="shared" si="5"/>
        <v/>
      </c>
      <c r="Y13" t="str">
        <f t="shared" si="6"/>
        <v/>
      </c>
    </row>
    <row r="14">
      <c r="A14" s="14" t="s">
        <v>44</v>
      </c>
      <c r="B14" s="77">
        <v>8.0</v>
      </c>
      <c r="C14" s="77" t="s">
        <v>325</v>
      </c>
      <c r="D14" s="77" t="s">
        <v>3961</v>
      </c>
      <c r="E14" s="678" t="s">
        <v>53</v>
      </c>
      <c r="F14" s="15"/>
      <c r="G14" s="14" t="s">
        <v>13641</v>
      </c>
      <c r="L14" s="89"/>
      <c r="M14" s="89" t="str">
        <f t="shared" si="1"/>
        <v>bill.anderson@wvhouse.gov</v>
      </c>
      <c r="N14" s="89"/>
      <c r="O14" s="89"/>
      <c r="P14" s="89"/>
      <c r="Q14" s="89"/>
      <c r="R14" s="89"/>
      <c r="U14" t="str">
        <f t="shared" si="2"/>
        <v/>
      </c>
      <c r="V14" s="139" t="str">
        <f t="shared" si="3"/>
        <v/>
      </c>
      <c r="W14" t="str">
        <f t="shared" si="4"/>
        <v/>
      </c>
      <c r="X14" t="str">
        <f t="shared" si="5"/>
        <v/>
      </c>
      <c r="Y14" t="str">
        <f t="shared" si="6"/>
        <v/>
      </c>
    </row>
    <row r="15">
      <c r="A15" s="14" t="s">
        <v>44</v>
      </c>
      <c r="B15" s="77">
        <v>9.0</v>
      </c>
      <c r="C15" s="77" t="s">
        <v>2250</v>
      </c>
      <c r="D15" s="77" t="s">
        <v>13642</v>
      </c>
      <c r="E15" s="678" t="s">
        <v>53</v>
      </c>
      <c r="F15" s="15"/>
      <c r="G15" s="14" t="s">
        <v>13643</v>
      </c>
      <c r="H15" s="14" t="s">
        <v>13644</v>
      </c>
      <c r="L15" s="89"/>
      <c r="M15" s="89" t="str">
        <f t="shared" si="1"/>
        <v>ray.hollen@wvhouse.gov</v>
      </c>
      <c r="N15" s="89"/>
      <c r="O15" s="89"/>
      <c r="P15" s="89"/>
      <c r="Q15" s="89"/>
      <c r="R15" s="89"/>
      <c r="U15" t="str">
        <f t="shared" si="2"/>
        <v/>
      </c>
      <c r="V15" s="139" t="str">
        <f t="shared" si="3"/>
        <v/>
      </c>
      <c r="W15" t="str">
        <f t="shared" si="4"/>
        <v/>
      </c>
      <c r="X15" t="str">
        <f t="shared" si="5"/>
        <v/>
      </c>
      <c r="Y15" t="str">
        <f t="shared" si="6"/>
        <v/>
      </c>
    </row>
    <row r="16">
      <c r="A16" s="14" t="s">
        <v>44</v>
      </c>
      <c r="B16" s="77">
        <v>10.0</v>
      </c>
      <c r="C16" s="77" t="s">
        <v>278</v>
      </c>
      <c r="D16" s="77" t="s">
        <v>130</v>
      </c>
      <c r="E16" s="678" t="s">
        <v>53</v>
      </c>
      <c r="F16" s="15"/>
      <c r="G16" s="14" t="s">
        <v>13646</v>
      </c>
      <c r="L16" s="89"/>
      <c r="M16" s="89" t="str">
        <f t="shared" si="1"/>
        <v>john.kelly@wvhouse.gov</v>
      </c>
      <c r="N16" s="89"/>
      <c r="O16" s="89"/>
      <c r="P16" s="89"/>
      <c r="Q16" s="89"/>
      <c r="R16" s="89"/>
      <c r="U16" t="str">
        <f t="shared" si="2"/>
        <v/>
      </c>
      <c r="V16" s="139" t="str">
        <f t="shared" si="3"/>
        <v/>
      </c>
      <c r="W16" t="str">
        <f t="shared" si="4"/>
        <v/>
      </c>
      <c r="X16" t="str">
        <f t="shared" si="5"/>
        <v/>
      </c>
      <c r="Y16" t="str">
        <f t="shared" si="6"/>
        <v/>
      </c>
    </row>
    <row r="17">
      <c r="A17" s="14" t="s">
        <v>44</v>
      </c>
      <c r="C17" s="77" t="s">
        <v>338</v>
      </c>
      <c r="D17" s="77" t="s">
        <v>13649</v>
      </c>
      <c r="E17" s="678" t="s">
        <v>53</v>
      </c>
      <c r="F17" s="15"/>
      <c r="G17" s="14" t="s">
        <v>13650</v>
      </c>
      <c r="L17" s="89"/>
      <c r="M17" s="89" t="str">
        <f t="shared" si="1"/>
        <v>tom.azinger@wvhouse.gov</v>
      </c>
      <c r="N17" s="89"/>
      <c r="O17" s="89"/>
      <c r="P17" s="89"/>
      <c r="Q17" s="89"/>
      <c r="R17" s="89"/>
      <c r="U17" t="str">
        <f t="shared" si="2"/>
        <v/>
      </c>
      <c r="V17" s="139" t="str">
        <f t="shared" si="3"/>
        <v/>
      </c>
      <c r="W17" t="str">
        <f t="shared" si="4"/>
        <v/>
      </c>
      <c r="X17" t="str">
        <f t="shared" si="5"/>
        <v/>
      </c>
      <c r="Y17" t="str">
        <f t="shared" si="6"/>
        <v/>
      </c>
    </row>
    <row r="18">
      <c r="A18" s="14" t="s">
        <v>44</v>
      </c>
      <c r="C18" s="77" t="s">
        <v>3659</v>
      </c>
      <c r="D18" s="77" t="s">
        <v>13651</v>
      </c>
      <c r="E18" s="678" t="s">
        <v>53</v>
      </c>
      <c r="F18" s="15"/>
      <c r="G18" s="14" t="s">
        <v>1300</v>
      </c>
      <c r="H18" s="14" t="s">
        <v>13652</v>
      </c>
      <c r="L18" s="89"/>
      <c r="M18" s="89" t="str">
        <f t="shared" si="1"/>
        <v>vernon.criss@wvhouse.gov</v>
      </c>
      <c r="N18" s="89"/>
      <c r="O18" s="89"/>
      <c r="P18" s="89"/>
      <c r="Q18" s="89"/>
      <c r="R18" s="89"/>
      <c r="U18" t="str">
        <f t="shared" si="2"/>
        <v/>
      </c>
      <c r="V18" s="139" t="str">
        <f t="shared" si="3"/>
        <v/>
      </c>
      <c r="W18" t="str">
        <f t="shared" si="4"/>
        <v/>
      </c>
      <c r="X18" t="str">
        <f t="shared" si="5"/>
        <v/>
      </c>
      <c r="Y18" t="str">
        <f t="shared" si="6"/>
        <v/>
      </c>
    </row>
    <row r="19">
      <c r="A19" s="14" t="s">
        <v>44</v>
      </c>
      <c r="B19" s="77">
        <v>11.0</v>
      </c>
      <c r="C19" s="77" t="s">
        <v>456</v>
      </c>
      <c r="D19" s="77" t="s">
        <v>9626</v>
      </c>
      <c r="E19" s="678" t="s">
        <v>53</v>
      </c>
      <c r="F19" s="15"/>
      <c r="G19" s="14" t="s">
        <v>9622</v>
      </c>
      <c r="H19" s="14" t="s">
        <v>13653</v>
      </c>
      <c r="L19" s="89"/>
      <c r="M19" s="89" t="str">
        <f t="shared" si="1"/>
        <v>martin.atkinson@wvhouse.gov</v>
      </c>
      <c r="N19" s="89"/>
      <c r="O19" s="89"/>
      <c r="P19" s="89"/>
      <c r="Q19" s="89"/>
      <c r="R19" s="89"/>
      <c r="U19" t="str">
        <f t="shared" si="2"/>
        <v/>
      </c>
      <c r="V19" s="139" t="str">
        <f t="shared" si="3"/>
        <v/>
      </c>
      <c r="W19" t="str">
        <f t="shared" si="4"/>
        <v/>
      </c>
      <c r="X19" t="str">
        <f t="shared" si="5"/>
        <v/>
      </c>
      <c r="Y19" t="str">
        <f t="shared" si="6"/>
        <v/>
      </c>
    </row>
    <row r="20">
      <c r="A20" s="14" t="s">
        <v>44</v>
      </c>
      <c r="B20" s="77">
        <v>12.0</v>
      </c>
      <c r="C20" s="77" t="s">
        <v>55</v>
      </c>
      <c r="D20" s="77" t="s">
        <v>13655</v>
      </c>
      <c r="E20" s="678" t="s">
        <v>53</v>
      </c>
      <c r="F20" s="15"/>
      <c r="G20" s="14" t="s">
        <v>13658</v>
      </c>
      <c r="L20" s="89"/>
      <c r="M20" s="89" t="str">
        <f t="shared" si="1"/>
        <v>steve.westfall@wvhouse.gov</v>
      </c>
      <c r="N20" s="89"/>
      <c r="O20" s="89"/>
      <c r="P20" s="89"/>
      <c r="Q20" s="89"/>
      <c r="R20" s="89"/>
      <c r="U20" t="str">
        <f t="shared" si="2"/>
        <v/>
      </c>
      <c r="V20" s="139" t="str">
        <f t="shared" si="3"/>
        <v/>
      </c>
      <c r="W20" t="str">
        <f t="shared" si="4"/>
        <v/>
      </c>
      <c r="X20" t="str">
        <f t="shared" si="5"/>
        <v/>
      </c>
      <c r="Y20" t="str">
        <f t="shared" si="6"/>
        <v/>
      </c>
    </row>
    <row r="21">
      <c r="A21" s="14" t="s">
        <v>44</v>
      </c>
      <c r="B21" s="77">
        <v>13.0</v>
      </c>
      <c r="C21" s="77" t="s">
        <v>2506</v>
      </c>
      <c r="D21" s="77" t="s">
        <v>13660</v>
      </c>
      <c r="E21" s="678" t="s">
        <v>53</v>
      </c>
      <c r="F21" s="15"/>
      <c r="G21" s="14" t="s">
        <v>13661</v>
      </c>
      <c r="L21" s="89"/>
      <c r="M21" s="89" t="str">
        <f t="shared" si="1"/>
        <v>joshua.higginbotham@wvhouse.gov</v>
      </c>
      <c r="N21" s="89"/>
      <c r="O21" s="89"/>
      <c r="P21" s="89"/>
      <c r="Q21" s="89"/>
      <c r="R21" s="89"/>
      <c r="U21" t="str">
        <f t="shared" si="2"/>
        <v/>
      </c>
      <c r="V21" s="139" t="str">
        <f t="shared" si="3"/>
        <v/>
      </c>
      <c r="W21" t="str">
        <f t="shared" si="4"/>
        <v/>
      </c>
      <c r="X21" t="str">
        <f t="shared" si="5"/>
        <v/>
      </c>
      <c r="Y21" t="str">
        <f t="shared" si="6"/>
        <v/>
      </c>
    </row>
    <row r="22">
      <c r="A22" s="14" t="s">
        <v>44</v>
      </c>
      <c r="C22" s="77" t="s">
        <v>45</v>
      </c>
      <c r="D22" s="77" t="s">
        <v>13662</v>
      </c>
      <c r="E22" s="678" t="s">
        <v>53</v>
      </c>
      <c r="F22" s="15"/>
      <c r="G22" s="14" t="s">
        <v>2392</v>
      </c>
      <c r="L22" s="89"/>
      <c r="M22" s="89" t="str">
        <f t="shared" si="1"/>
        <v>scott.cadle@wvhouse.gov</v>
      </c>
      <c r="N22" s="89"/>
      <c r="O22" s="89"/>
      <c r="P22" s="89"/>
      <c r="Q22" s="89"/>
      <c r="R22" s="89"/>
      <c r="U22" t="str">
        <f t="shared" si="2"/>
        <v/>
      </c>
      <c r="V22" s="139" t="str">
        <f t="shared" si="3"/>
        <v/>
      </c>
      <c r="W22" t="str">
        <f t="shared" si="4"/>
        <v/>
      </c>
      <c r="X22" t="str">
        <f t="shared" si="5"/>
        <v/>
      </c>
      <c r="Y22" t="str">
        <f t="shared" si="6"/>
        <v/>
      </c>
    </row>
    <row r="23">
      <c r="A23" s="14" t="s">
        <v>44</v>
      </c>
      <c r="B23" s="77">
        <v>14.0</v>
      </c>
      <c r="C23" s="77" t="s">
        <v>476</v>
      </c>
      <c r="D23" s="77" t="s">
        <v>1102</v>
      </c>
      <c r="E23" s="678" t="s">
        <v>53</v>
      </c>
      <c r="F23" s="15"/>
      <c r="G23" s="14" t="s">
        <v>13663</v>
      </c>
      <c r="H23" s="14" t="s">
        <v>13664</v>
      </c>
      <c r="I23" s="14" t="s">
        <v>13665</v>
      </c>
      <c r="L23" s="89"/>
      <c r="M23" s="89" t="str">
        <f t="shared" si="1"/>
        <v>jim.butler@wvhouse.gov</v>
      </c>
      <c r="N23" s="89"/>
      <c r="O23" s="89"/>
      <c r="P23" s="89"/>
      <c r="Q23" s="89"/>
      <c r="R23" s="89"/>
      <c r="U23" t="str">
        <f t="shared" si="2"/>
        <v/>
      </c>
      <c r="V23" s="139" t="str">
        <f t="shared" si="3"/>
        <v/>
      </c>
      <c r="W23" t="str">
        <f t="shared" si="4"/>
        <v/>
      </c>
      <c r="X23" t="str">
        <f t="shared" si="5"/>
        <v/>
      </c>
      <c r="Y23" t="str">
        <f t="shared" si="6"/>
        <v/>
      </c>
    </row>
    <row r="24">
      <c r="A24" s="14" t="s">
        <v>44</v>
      </c>
      <c r="B24" s="77">
        <v>15.0</v>
      </c>
      <c r="C24" s="77" t="s">
        <v>2515</v>
      </c>
      <c r="D24" s="77" t="s">
        <v>271</v>
      </c>
      <c r="E24" s="678" t="s">
        <v>53</v>
      </c>
      <c r="F24" s="15"/>
      <c r="G24" s="14" t="s">
        <v>13666</v>
      </c>
      <c r="L24" s="89"/>
      <c r="M24" s="89" t="str">
        <f t="shared" si="1"/>
        <v>geoff.foster@wvhouse.gov</v>
      </c>
      <c r="N24" s="89"/>
      <c r="O24" s="89"/>
      <c r="P24" s="89"/>
      <c r="Q24" s="89"/>
      <c r="R24" s="89"/>
      <c r="U24" t="str">
        <f t="shared" si="2"/>
        <v/>
      </c>
      <c r="V24" s="139" t="str">
        <f t="shared" si="3"/>
        <v/>
      </c>
      <c r="W24" t="str">
        <f t="shared" si="4"/>
        <v/>
      </c>
      <c r="X24" t="str">
        <f t="shared" si="5"/>
        <v/>
      </c>
      <c r="Y24" t="str">
        <f t="shared" si="6"/>
        <v/>
      </c>
    </row>
    <row r="25">
      <c r="A25" s="14" t="s">
        <v>44</v>
      </c>
      <c r="B25" s="77">
        <v>16.0</v>
      </c>
      <c r="C25" s="77" t="s">
        <v>1276</v>
      </c>
      <c r="D25" s="77" t="s">
        <v>13669</v>
      </c>
      <c r="E25" s="678" t="s">
        <v>49</v>
      </c>
      <c r="F25" s="15"/>
      <c r="L25" s="89"/>
      <c r="M25" s="89" t="str">
        <f t="shared" si="1"/>
        <v>sean.hornbuckle@wvhouse.gov</v>
      </c>
      <c r="N25" s="89"/>
      <c r="O25" s="89"/>
      <c r="P25" s="89"/>
      <c r="Q25" s="89"/>
      <c r="R25" s="89"/>
      <c r="U25" t="str">
        <f t="shared" si="2"/>
        <v/>
      </c>
      <c r="V25" s="139" t="str">
        <f t="shared" si="3"/>
        <v/>
      </c>
      <c r="W25" t="str">
        <f t="shared" si="4"/>
        <v/>
      </c>
      <c r="X25" t="str">
        <f t="shared" si="5"/>
        <v/>
      </c>
      <c r="Y25" t="str">
        <f t="shared" si="6"/>
        <v/>
      </c>
    </row>
    <row r="26">
      <c r="A26" s="14" t="s">
        <v>44</v>
      </c>
      <c r="C26" s="77" t="s">
        <v>278</v>
      </c>
      <c r="D26" s="77" t="s">
        <v>13670</v>
      </c>
      <c r="E26" s="678" t="s">
        <v>53</v>
      </c>
      <c r="F26" s="15"/>
      <c r="L26" s="89"/>
      <c r="M26" s="89" t="str">
        <f t="shared" si="1"/>
        <v>john.mandt@wvhouse.gov</v>
      </c>
      <c r="N26" s="89"/>
      <c r="O26" s="89"/>
      <c r="P26" s="89"/>
      <c r="Q26" s="89"/>
      <c r="R26" s="89"/>
      <c r="U26" t="str">
        <f t="shared" si="2"/>
        <v/>
      </c>
      <c r="V26" s="139" t="str">
        <f t="shared" si="3"/>
        <v/>
      </c>
      <c r="W26" t="str">
        <f t="shared" si="4"/>
        <v/>
      </c>
      <c r="X26" t="str">
        <f t="shared" si="5"/>
        <v/>
      </c>
      <c r="Y26" t="str">
        <f t="shared" si="6"/>
        <v/>
      </c>
    </row>
    <row r="27">
      <c r="A27" s="14" t="s">
        <v>44</v>
      </c>
      <c r="C27" s="77" t="s">
        <v>552</v>
      </c>
      <c r="D27" s="77" t="s">
        <v>13671</v>
      </c>
      <c r="E27" s="678" t="s">
        <v>53</v>
      </c>
      <c r="F27" s="15"/>
      <c r="G27" s="14" t="s">
        <v>13672</v>
      </c>
      <c r="L27" s="89"/>
      <c r="M27" s="89" t="str">
        <f t="shared" si="1"/>
        <v>daniel.linville@wvhouse.gov</v>
      </c>
      <c r="N27" s="89"/>
      <c r="O27" s="89"/>
      <c r="P27" s="89"/>
      <c r="Q27" s="89"/>
      <c r="R27" s="89"/>
      <c r="U27" t="str">
        <f t="shared" si="2"/>
        <v/>
      </c>
      <c r="V27" s="139" t="str">
        <f t="shared" si="3"/>
        <v/>
      </c>
      <c r="W27" t="str">
        <f t="shared" si="4"/>
        <v/>
      </c>
      <c r="X27" t="str">
        <f t="shared" si="5"/>
        <v/>
      </c>
      <c r="Y27" t="str">
        <f t="shared" si="6"/>
        <v/>
      </c>
    </row>
    <row r="28">
      <c r="A28" s="14" t="s">
        <v>44</v>
      </c>
      <c r="B28" s="77">
        <v>17.0</v>
      </c>
      <c r="C28" s="77" t="s">
        <v>1626</v>
      </c>
      <c r="D28" s="77" t="s">
        <v>13674</v>
      </c>
      <c r="E28" s="678" t="s">
        <v>49</v>
      </c>
      <c r="F28" s="15"/>
      <c r="L28" s="89"/>
      <c r="M28" s="89" t="str">
        <f t="shared" si="1"/>
        <v>chad.lovejoy@wvhouse.gov</v>
      </c>
      <c r="N28" s="89"/>
      <c r="O28" s="89"/>
      <c r="P28" s="89"/>
      <c r="Q28" s="89"/>
      <c r="R28" s="89"/>
      <c r="U28" t="str">
        <f t="shared" si="2"/>
        <v/>
      </c>
      <c r="V28" s="139" t="str">
        <f t="shared" si="3"/>
        <v/>
      </c>
      <c r="W28" t="str">
        <f t="shared" si="4"/>
        <v/>
      </c>
      <c r="X28" t="str">
        <f t="shared" si="5"/>
        <v/>
      </c>
      <c r="Y28" t="str">
        <f t="shared" si="6"/>
        <v/>
      </c>
    </row>
    <row r="29">
      <c r="A29" s="14" t="s">
        <v>44</v>
      </c>
      <c r="C29" s="77" t="s">
        <v>13677</v>
      </c>
      <c r="D29" s="77" t="s">
        <v>13678</v>
      </c>
      <c r="E29" s="678" t="s">
        <v>53</v>
      </c>
      <c r="F29" s="15"/>
      <c r="G29" s="14" t="s">
        <v>13679</v>
      </c>
      <c r="H29" s="14" t="s">
        <v>13680</v>
      </c>
      <c r="L29" s="89"/>
      <c r="M29" s="89" t="str">
        <f t="shared" si="1"/>
        <v>mathhew.rohrbach@wvhouse.gov</v>
      </c>
      <c r="N29" s="89"/>
      <c r="O29" s="89"/>
      <c r="P29" s="89"/>
      <c r="Q29" s="89"/>
      <c r="R29" s="89"/>
      <c r="U29" t="str">
        <f t="shared" si="2"/>
        <v/>
      </c>
      <c r="V29" s="139" t="str">
        <f t="shared" si="3"/>
        <v/>
      </c>
      <c r="W29" t="str">
        <f t="shared" si="4"/>
        <v/>
      </c>
      <c r="X29" t="str">
        <f t="shared" si="5"/>
        <v/>
      </c>
      <c r="Y29" t="str">
        <f t="shared" si="6"/>
        <v/>
      </c>
    </row>
    <row r="30">
      <c r="A30" s="14" t="s">
        <v>44</v>
      </c>
      <c r="B30" s="77">
        <v>18.0</v>
      </c>
      <c r="C30" s="77" t="s">
        <v>1541</v>
      </c>
      <c r="D30" s="77" t="s">
        <v>13681</v>
      </c>
      <c r="E30" s="678" t="s">
        <v>53</v>
      </c>
      <c r="F30" s="15"/>
      <c r="L30" s="89"/>
      <c r="M30" s="89" t="str">
        <f t="shared" si="1"/>
        <v>evan.worrell@wvhouse.gov</v>
      </c>
      <c r="N30" s="89"/>
      <c r="O30" s="89"/>
      <c r="P30" s="89"/>
      <c r="Q30" s="89"/>
      <c r="R30" s="89"/>
      <c r="U30" t="str">
        <f t="shared" si="2"/>
        <v/>
      </c>
      <c r="V30" s="139" t="str">
        <f t="shared" si="3"/>
        <v/>
      </c>
      <c r="W30" t="str">
        <f t="shared" si="4"/>
        <v/>
      </c>
      <c r="X30" t="str">
        <f t="shared" si="5"/>
        <v/>
      </c>
      <c r="Y30" t="str">
        <f t="shared" si="6"/>
        <v/>
      </c>
    </row>
    <row r="31">
      <c r="A31" s="14" t="s">
        <v>44</v>
      </c>
      <c r="B31" s="77">
        <v>19.0</v>
      </c>
      <c r="C31" s="77" t="s">
        <v>1134</v>
      </c>
      <c r="D31" s="77" t="s">
        <v>59</v>
      </c>
      <c r="E31" s="678" t="s">
        <v>49</v>
      </c>
      <c r="F31" s="15"/>
      <c r="L31" s="89"/>
      <c r="M31" s="89" t="str">
        <f t="shared" si="1"/>
        <v>robert.thompson@wvhouse.gov</v>
      </c>
      <c r="N31" s="89"/>
      <c r="O31" s="89"/>
      <c r="P31" s="89"/>
      <c r="Q31" s="89"/>
      <c r="R31" s="89"/>
      <c r="U31" t="str">
        <f t="shared" si="2"/>
        <v/>
      </c>
      <c r="V31" s="139" t="str">
        <f t="shared" si="3"/>
        <v/>
      </c>
      <c r="W31" t="str">
        <f t="shared" si="4"/>
        <v/>
      </c>
      <c r="X31" t="str">
        <f t="shared" si="5"/>
        <v/>
      </c>
      <c r="Y31" t="str">
        <f t="shared" si="6"/>
        <v/>
      </c>
    </row>
    <row r="32">
      <c r="A32" s="14" t="s">
        <v>44</v>
      </c>
      <c r="C32" s="77" t="s">
        <v>1049</v>
      </c>
      <c r="D32" s="77" t="s">
        <v>13683</v>
      </c>
      <c r="E32" s="678" t="s">
        <v>49</v>
      </c>
      <c r="F32" s="15"/>
      <c r="L32" s="89"/>
      <c r="M32" s="89" t="str">
        <f t="shared" si="1"/>
        <v>ken.hicks@wvhouse.gov</v>
      </c>
      <c r="N32" s="89"/>
      <c r="O32" s="89"/>
      <c r="P32" s="89"/>
      <c r="Q32" s="89"/>
      <c r="R32" s="89"/>
      <c r="U32" t="str">
        <f t="shared" si="2"/>
        <v/>
      </c>
      <c r="V32" s="139" t="str">
        <f t="shared" si="3"/>
        <v/>
      </c>
      <c r="W32" t="str">
        <f t="shared" si="4"/>
        <v/>
      </c>
      <c r="X32" t="str">
        <f t="shared" si="5"/>
        <v/>
      </c>
      <c r="Y32" t="str">
        <f t="shared" si="6"/>
        <v/>
      </c>
    </row>
    <row r="33">
      <c r="A33" s="14" t="s">
        <v>44</v>
      </c>
      <c r="B33" s="77">
        <v>20.0</v>
      </c>
      <c r="C33" s="77" t="s">
        <v>6305</v>
      </c>
      <c r="D33" s="77" t="s">
        <v>13685</v>
      </c>
      <c r="E33" s="678" t="s">
        <v>49</v>
      </c>
      <c r="F33" s="15"/>
      <c r="L33" s="89"/>
      <c r="M33" s="89" t="str">
        <f t="shared" si="1"/>
        <v>nathan.browon@wvhouse.gov</v>
      </c>
      <c r="N33" s="89"/>
      <c r="O33" s="89"/>
      <c r="P33" s="89"/>
      <c r="Q33" s="89"/>
      <c r="R33" s="89"/>
      <c r="U33" t="str">
        <f t="shared" si="2"/>
        <v/>
      </c>
      <c r="V33" s="139" t="str">
        <f t="shared" si="3"/>
        <v/>
      </c>
      <c r="W33" t="str">
        <f t="shared" si="4"/>
        <v/>
      </c>
      <c r="X33" t="str">
        <f t="shared" si="5"/>
        <v/>
      </c>
      <c r="Y33" t="str">
        <f t="shared" si="6"/>
        <v/>
      </c>
    </row>
    <row r="34">
      <c r="A34" s="14" t="s">
        <v>44</v>
      </c>
      <c r="B34" s="77">
        <v>21.0</v>
      </c>
      <c r="C34" s="77" t="s">
        <v>91</v>
      </c>
      <c r="D34" s="77" t="s">
        <v>4340</v>
      </c>
      <c r="E34" s="678" t="s">
        <v>53</v>
      </c>
      <c r="F34" s="15"/>
      <c r="G34" s="14" t="s">
        <v>888</v>
      </c>
      <c r="L34" s="89"/>
      <c r="M34" s="89" t="str">
        <f t="shared" si="1"/>
        <v>mark.dean@wvhouse.gov</v>
      </c>
      <c r="N34" s="89"/>
      <c r="O34" s="89"/>
      <c r="P34" s="89"/>
      <c r="Q34" s="89"/>
      <c r="R34" s="89"/>
      <c r="U34" t="str">
        <f t="shared" si="2"/>
        <v/>
      </c>
      <c r="V34" s="139" t="str">
        <f t="shared" si="3"/>
        <v/>
      </c>
      <c r="W34" t="str">
        <f t="shared" si="4"/>
        <v/>
      </c>
      <c r="X34" t="str">
        <f t="shared" si="5"/>
        <v/>
      </c>
      <c r="Y34" t="str">
        <f t="shared" si="6"/>
        <v/>
      </c>
    </row>
    <row r="35">
      <c r="A35" s="14" t="s">
        <v>44</v>
      </c>
      <c r="B35" s="77">
        <v>22.0</v>
      </c>
      <c r="C35" s="77" t="s">
        <v>161</v>
      </c>
      <c r="D35" s="77" t="s">
        <v>13688</v>
      </c>
      <c r="E35" s="678" t="s">
        <v>53</v>
      </c>
      <c r="F35" s="15"/>
      <c r="G35" s="14" t="s">
        <v>13689</v>
      </c>
      <c r="L35" s="89"/>
      <c r="M35" s="89" t="str">
        <f t="shared" si="1"/>
        <v>zack.maynard@wvhouse.gov</v>
      </c>
      <c r="N35" s="89"/>
      <c r="O35" s="89"/>
      <c r="P35" s="89"/>
      <c r="Q35" s="89"/>
      <c r="R35" s="89"/>
      <c r="U35" t="str">
        <f t="shared" si="2"/>
        <v/>
      </c>
      <c r="V35" s="139" t="str">
        <f t="shared" si="3"/>
        <v/>
      </c>
      <c r="W35" t="str">
        <f t="shared" si="4"/>
        <v/>
      </c>
      <c r="X35" t="str">
        <f t="shared" si="5"/>
        <v/>
      </c>
      <c r="Y35" t="str">
        <f t="shared" si="6"/>
        <v/>
      </c>
    </row>
    <row r="36">
      <c r="A36" s="14" t="s">
        <v>44</v>
      </c>
      <c r="C36" s="77" t="s">
        <v>2527</v>
      </c>
      <c r="D36" s="77" t="s">
        <v>10645</v>
      </c>
      <c r="E36" s="678" t="s">
        <v>53</v>
      </c>
      <c r="F36" s="15"/>
      <c r="L36" s="89"/>
      <c r="M36" s="89" t="str">
        <f t="shared" si="1"/>
        <v>joseph.jeffries@wvhouse.gov</v>
      </c>
      <c r="N36" s="89"/>
      <c r="O36" s="89"/>
      <c r="P36" s="89"/>
      <c r="Q36" s="89"/>
      <c r="R36" s="89"/>
      <c r="U36" t="str">
        <f t="shared" si="2"/>
        <v/>
      </c>
      <c r="V36" s="139" t="str">
        <f t="shared" si="3"/>
        <v/>
      </c>
      <c r="W36" t="str">
        <f t="shared" si="4"/>
        <v/>
      </c>
      <c r="X36" t="str">
        <f t="shared" si="5"/>
        <v/>
      </c>
      <c r="Y36" t="str">
        <f t="shared" si="6"/>
        <v/>
      </c>
    </row>
    <row r="37">
      <c r="A37" s="14" t="s">
        <v>44</v>
      </c>
      <c r="B37" s="77">
        <v>23.0</v>
      </c>
      <c r="C37" s="77" t="s">
        <v>13693</v>
      </c>
      <c r="D37" s="77" t="s">
        <v>1501</v>
      </c>
      <c r="E37" s="678" t="s">
        <v>49</v>
      </c>
      <c r="F37" s="15"/>
      <c r="L37" s="89"/>
      <c r="M37" s="89" t="str">
        <f t="shared" si="1"/>
        <v>roddney.miller@wvhouse.gov</v>
      </c>
      <c r="N37" s="89"/>
      <c r="O37" s="89"/>
      <c r="P37" s="89"/>
      <c r="Q37" s="89"/>
      <c r="R37" s="89"/>
      <c r="U37" t="str">
        <f t="shared" si="2"/>
        <v/>
      </c>
      <c r="V37" s="139" t="str">
        <f t="shared" si="3"/>
        <v/>
      </c>
      <c r="W37" t="str">
        <f t="shared" si="4"/>
        <v/>
      </c>
      <c r="X37" t="str">
        <f t="shared" si="5"/>
        <v/>
      </c>
      <c r="Y37" t="str">
        <f t="shared" si="6"/>
        <v/>
      </c>
    </row>
    <row r="38">
      <c r="A38" s="14" t="s">
        <v>44</v>
      </c>
      <c r="B38" s="77">
        <v>24.0</v>
      </c>
      <c r="C38" s="77" t="s">
        <v>588</v>
      </c>
      <c r="D38" s="77" t="s">
        <v>13695</v>
      </c>
      <c r="E38" s="678" t="s">
        <v>49</v>
      </c>
      <c r="F38" s="15"/>
      <c r="L38" s="89"/>
      <c r="M38" s="89" t="str">
        <f t="shared" si="1"/>
        <v>ralph.rodighiero@wvhouse.gov</v>
      </c>
      <c r="N38" s="89"/>
      <c r="O38" s="89"/>
      <c r="P38" s="89"/>
      <c r="Q38" s="89"/>
      <c r="R38" s="89"/>
      <c r="U38" t="str">
        <f t="shared" si="2"/>
        <v/>
      </c>
      <c r="V38" s="139" t="str">
        <f t="shared" si="3"/>
        <v/>
      </c>
      <c r="W38" t="str">
        <f t="shared" si="4"/>
        <v/>
      </c>
      <c r="X38" t="str">
        <f t="shared" si="5"/>
        <v/>
      </c>
      <c r="Y38" t="str">
        <f t="shared" si="6"/>
        <v/>
      </c>
    </row>
    <row r="39">
      <c r="A39" s="14" t="s">
        <v>44</v>
      </c>
      <c r="C39" s="77" t="s">
        <v>225</v>
      </c>
      <c r="D39" s="77" t="s">
        <v>13697</v>
      </c>
      <c r="E39" s="678" t="s">
        <v>49</v>
      </c>
      <c r="F39" s="15"/>
      <c r="L39" s="89"/>
      <c r="M39" s="89" t="str">
        <f t="shared" si="1"/>
        <v>tim.tomblin@wvhouse.gov</v>
      </c>
      <c r="N39" s="89"/>
      <c r="O39" s="89"/>
      <c r="P39" s="89"/>
      <c r="Q39" s="89"/>
      <c r="R39" s="89"/>
      <c r="U39" t="str">
        <f t="shared" si="2"/>
        <v/>
      </c>
      <c r="V39" s="139" t="str">
        <f t="shared" si="3"/>
        <v/>
      </c>
      <c r="W39" t="str">
        <f t="shared" si="4"/>
        <v/>
      </c>
      <c r="X39" t="str">
        <f t="shared" si="5"/>
        <v/>
      </c>
      <c r="Y39" t="str">
        <f t="shared" si="6"/>
        <v/>
      </c>
    </row>
    <row r="40">
      <c r="A40" s="14" t="s">
        <v>44</v>
      </c>
      <c r="B40" s="77">
        <v>25.0</v>
      </c>
      <c r="C40" s="77" t="s">
        <v>980</v>
      </c>
      <c r="D40" s="77" t="s">
        <v>13700</v>
      </c>
      <c r="E40" s="678" t="s">
        <v>53</v>
      </c>
      <c r="F40" s="15"/>
      <c r="G40" s="14" t="s">
        <v>13701</v>
      </c>
      <c r="L40" s="89"/>
      <c r="M40" s="89" t="str">
        <f t="shared" si="1"/>
        <v>tony.paynter@wvhouse.gov</v>
      </c>
      <c r="N40" s="89"/>
      <c r="O40" s="89"/>
      <c r="P40" s="89"/>
      <c r="Q40" s="89"/>
      <c r="R40" s="89"/>
      <c r="U40" t="str">
        <f t="shared" si="2"/>
        <v/>
      </c>
      <c r="V40" s="139" t="str">
        <f t="shared" si="3"/>
        <v/>
      </c>
      <c r="W40" t="str">
        <f t="shared" si="4"/>
        <v/>
      </c>
      <c r="X40" t="str">
        <f t="shared" si="5"/>
        <v/>
      </c>
      <c r="Y40" t="str">
        <f t="shared" si="6"/>
        <v/>
      </c>
    </row>
    <row r="41">
      <c r="A41" s="14" t="s">
        <v>44</v>
      </c>
      <c r="B41" s="77">
        <v>26.0</v>
      </c>
      <c r="C41" s="77" t="s">
        <v>636</v>
      </c>
      <c r="D41" s="77" t="s">
        <v>1332</v>
      </c>
      <c r="E41" s="678" t="s">
        <v>49</v>
      </c>
      <c r="F41" s="15"/>
      <c r="L41" s="89"/>
      <c r="M41" s="89" t="str">
        <f t="shared" si="1"/>
        <v>ed.evans@wvhouse.gov</v>
      </c>
      <c r="N41" s="89"/>
      <c r="O41" s="89"/>
      <c r="P41" s="89"/>
      <c r="Q41" s="89"/>
      <c r="R41" s="89"/>
      <c r="U41" t="str">
        <f t="shared" si="2"/>
        <v/>
      </c>
      <c r="V41" s="139" t="str">
        <f t="shared" si="3"/>
        <v/>
      </c>
      <c r="W41" t="str">
        <f t="shared" si="4"/>
        <v/>
      </c>
      <c r="X41" t="str">
        <f t="shared" si="5"/>
        <v/>
      </c>
      <c r="Y41" t="str">
        <f t="shared" si="6"/>
        <v/>
      </c>
    </row>
    <row r="42">
      <c r="A42" s="14" t="s">
        <v>44</v>
      </c>
      <c r="B42" s="77">
        <v>27.0</v>
      </c>
      <c r="C42" s="77" t="s">
        <v>278</v>
      </c>
      <c r="D42" s="77" t="s">
        <v>13702</v>
      </c>
      <c r="E42" s="678" t="s">
        <v>53</v>
      </c>
      <c r="F42" s="15"/>
      <c r="G42" s="14" t="s">
        <v>877</v>
      </c>
      <c r="L42" s="89"/>
      <c r="M42" s="89" t="str">
        <f t="shared" si="1"/>
        <v>john.shott@wvhouse.gov</v>
      </c>
      <c r="N42" s="640" t="str">
        <f>HYPERLINK("https://docs.google.com/document/d/1By4nTv3BFW_b-7opSPHYSI0F2a6gH7VpwhayrI-MeeA/edit?usp=drive_web&amp;ouid=111300232804728282603","Zero")</f>
        <v>Zero</v>
      </c>
      <c r="O42" s="89"/>
      <c r="P42" s="89"/>
      <c r="Q42" s="89"/>
      <c r="R42" s="89"/>
      <c r="U42" t="str">
        <f t="shared" si="2"/>
        <v>Representative</v>
      </c>
      <c r="V42" s="139" t="str">
        <f t="shared" si="3"/>
        <v>John</v>
      </c>
      <c r="W42" t="str">
        <f t="shared" si="4"/>
        <v>Shott</v>
      </c>
      <c r="X42" t="str">
        <f t="shared" si="5"/>
        <v>john.shott@wvhouse.gov</v>
      </c>
      <c r="Y42" t="str">
        <f t="shared" si="6"/>
        <v>Judiciary (Chair)</v>
      </c>
    </row>
    <row r="43">
      <c r="A43" s="14" t="s">
        <v>44</v>
      </c>
      <c r="C43" s="77" t="s">
        <v>2302</v>
      </c>
      <c r="D43" s="77" t="s">
        <v>13710</v>
      </c>
      <c r="E43" s="678" t="s">
        <v>53</v>
      </c>
      <c r="F43" s="15"/>
      <c r="L43" s="89"/>
      <c r="M43" s="89" t="str">
        <f t="shared" si="1"/>
        <v>eric.porterfield@wvhouse.gov</v>
      </c>
      <c r="N43" s="89"/>
      <c r="O43" s="89"/>
      <c r="P43" s="89"/>
      <c r="Q43" s="89"/>
      <c r="R43" s="89"/>
      <c r="U43" t="str">
        <f t="shared" si="2"/>
        <v/>
      </c>
      <c r="V43" s="139" t="str">
        <f t="shared" si="3"/>
        <v/>
      </c>
      <c r="W43" t="str">
        <f t="shared" si="4"/>
        <v/>
      </c>
      <c r="X43" t="str">
        <f t="shared" si="5"/>
        <v/>
      </c>
      <c r="Y43" t="str">
        <f t="shared" si="6"/>
        <v/>
      </c>
    </row>
    <row r="44">
      <c r="A44" s="14" t="s">
        <v>44</v>
      </c>
      <c r="C44" s="77" t="s">
        <v>622</v>
      </c>
      <c r="D44" s="77" t="s">
        <v>4753</v>
      </c>
      <c r="E44" s="678" t="s">
        <v>53</v>
      </c>
      <c r="F44" s="15"/>
      <c r="G44" s="14" t="s">
        <v>13711</v>
      </c>
      <c r="L44" s="89"/>
      <c r="M44" s="89" t="str">
        <f t="shared" si="1"/>
        <v>joe.ellington@wvhouse.gov</v>
      </c>
      <c r="N44" s="89"/>
      <c r="O44" s="89"/>
      <c r="P44" s="89"/>
      <c r="Q44" s="89"/>
      <c r="R44" s="89"/>
      <c r="U44" t="str">
        <f t="shared" si="2"/>
        <v/>
      </c>
      <c r="V44" s="139" t="str">
        <f t="shared" si="3"/>
        <v/>
      </c>
      <c r="W44" t="str">
        <f t="shared" si="4"/>
        <v/>
      </c>
      <c r="X44" t="str">
        <f t="shared" si="5"/>
        <v/>
      </c>
      <c r="Y44" t="str">
        <f t="shared" si="6"/>
        <v/>
      </c>
    </row>
    <row r="45">
      <c r="A45" s="14" t="s">
        <v>44</v>
      </c>
      <c r="B45" s="77">
        <v>28.0</v>
      </c>
      <c r="C45" s="77" t="s">
        <v>2512</v>
      </c>
      <c r="D45" s="77" t="s">
        <v>13712</v>
      </c>
      <c r="E45" s="678" t="s">
        <v>53</v>
      </c>
      <c r="F45" s="15"/>
      <c r="G45" s="14" t="s">
        <v>13714</v>
      </c>
      <c r="L45" s="89"/>
      <c r="M45" s="89" t="str">
        <f t="shared" si="1"/>
        <v>jeffrey.pack@wvhouse.gov</v>
      </c>
      <c r="N45" s="89"/>
      <c r="O45" s="89"/>
      <c r="P45" s="89"/>
      <c r="Q45" s="89"/>
      <c r="R45" s="89"/>
      <c r="U45" t="str">
        <f t="shared" si="2"/>
        <v/>
      </c>
      <c r="V45" s="139" t="str">
        <f t="shared" si="3"/>
        <v/>
      </c>
      <c r="W45" t="str">
        <f t="shared" si="4"/>
        <v/>
      </c>
      <c r="X45" t="str">
        <f t="shared" si="5"/>
        <v/>
      </c>
      <c r="Y45" t="str">
        <f t="shared" si="6"/>
        <v/>
      </c>
    </row>
    <row r="46">
      <c r="A46" s="14" t="s">
        <v>44</v>
      </c>
      <c r="C46" s="77" t="s">
        <v>3411</v>
      </c>
      <c r="D46" s="77" t="s">
        <v>1336</v>
      </c>
      <c r="E46" s="678" t="s">
        <v>53</v>
      </c>
      <c r="F46" s="15"/>
      <c r="G46" s="14" t="s">
        <v>2226</v>
      </c>
      <c r="L46" s="89"/>
      <c r="M46" s="89" t="str">
        <f t="shared" si="1"/>
        <v>roy.cooper@wvhouse.gov</v>
      </c>
      <c r="N46" s="89"/>
      <c r="O46" s="89"/>
      <c r="P46" s="89"/>
      <c r="Q46" s="89"/>
      <c r="R46" s="89"/>
      <c r="U46" t="str">
        <f t="shared" si="2"/>
        <v/>
      </c>
      <c r="V46" s="139" t="str">
        <f t="shared" si="3"/>
        <v/>
      </c>
      <c r="W46" t="str">
        <f t="shared" si="4"/>
        <v/>
      </c>
      <c r="X46" t="str">
        <f t="shared" si="5"/>
        <v/>
      </c>
      <c r="Y46" t="str">
        <f t="shared" si="6"/>
        <v/>
      </c>
    </row>
    <row r="47">
      <c r="A47" s="14" t="s">
        <v>44</v>
      </c>
      <c r="B47" s="77">
        <v>29.0</v>
      </c>
      <c r="C47" s="77" t="s">
        <v>2500</v>
      </c>
      <c r="D47" s="77" t="s">
        <v>1216</v>
      </c>
      <c r="E47" s="678" t="s">
        <v>53</v>
      </c>
      <c r="F47" s="15"/>
      <c r="L47" s="89"/>
      <c r="M47" s="89" t="str">
        <f t="shared" si="1"/>
        <v>brandon.steele@wvhouse.gov</v>
      </c>
      <c r="N47" s="89"/>
      <c r="O47" s="89"/>
      <c r="P47" s="89"/>
      <c r="Q47" s="89"/>
      <c r="R47" s="89"/>
      <c r="U47" t="str">
        <f t="shared" si="2"/>
        <v/>
      </c>
      <c r="V47" s="139" t="str">
        <f t="shared" si="3"/>
        <v/>
      </c>
      <c r="W47" t="str">
        <f t="shared" si="4"/>
        <v/>
      </c>
      <c r="X47" t="str">
        <f t="shared" si="5"/>
        <v/>
      </c>
      <c r="Y47" t="str">
        <f t="shared" si="6"/>
        <v/>
      </c>
    </row>
    <row r="48">
      <c r="A48" s="14" t="s">
        <v>44</v>
      </c>
      <c r="B48" s="77">
        <v>30.0</v>
      </c>
      <c r="C48" s="77" t="s">
        <v>157</v>
      </c>
      <c r="D48" s="77" t="s">
        <v>2251</v>
      </c>
      <c r="E48" s="678" t="s">
        <v>49</v>
      </c>
      <c r="F48" s="15"/>
      <c r="L48" s="89"/>
      <c r="M48" s="89" t="str">
        <f t="shared" si="1"/>
        <v>mike.bates@wvhouse.gov</v>
      </c>
      <c r="N48" s="89"/>
      <c r="O48" s="89"/>
      <c r="P48" s="89"/>
      <c r="Q48" s="89"/>
      <c r="R48" s="89"/>
      <c r="U48" t="str">
        <f t="shared" si="2"/>
        <v/>
      </c>
      <c r="V48" s="139" t="str">
        <f t="shared" si="3"/>
        <v/>
      </c>
      <c r="W48" t="str">
        <f t="shared" si="4"/>
        <v/>
      </c>
      <c r="X48" t="str">
        <f t="shared" si="5"/>
        <v/>
      </c>
      <c r="Y48" t="str">
        <f t="shared" si="6"/>
        <v/>
      </c>
    </row>
    <row r="49">
      <c r="A49" s="14" t="s">
        <v>44</v>
      </c>
      <c r="B49" s="77">
        <v>31.0</v>
      </c>
      <c r="C49" s="77" t="s">
        <v>13717</v>
      </c>
      <c r="D49" s="77" t="s">
        <v>13718</v>
      </c>
      <c r="E49" s="678" t="s">
        <v>53</v>
      </c>
      <c r="F49" s="15"/>
      <c r="L49" s="89"/>
      <c r="M49" s="89" t="str">
        <f t="shared" si="1"/>
        <v>chritopher.toney@wvhouse.gov</v>
      </c>
      <c r="N49" s="89"/>
      <c r="O49" s="89"/>
      <c r="P49" s="89"/>
      <c r="Q49" s="89"/>
      <c r="R49" s="89"/>
      <c r="U49" t="str">
        <f t="shared" si="2"/>
        <v/>
      </c>
      <c r="V49" s="139" t="str">
        <f t="shared" si="3"/>
        <v/>
      </c>
      <c r="W49" t="str">
        <f t="shared" si="4"/>
        <v/>
      </c>
      <c r="X49" t="str">
        <f t="shared" si="5"/>
        <v/>
      </c>
      <c r="Y49" t="str">
        <f t="shared" si="6"/>
        <v/>
      </c>
    </row>
    <row r="50">
      <c r="A50" s="14" t="s">
        <v>44</v>
      </c>
      <c r="B50" s="77">
        <v>32.0</v>
      </c>
      <c r="C50" s="77" t="s">
        <v>13721</v>
      </c>
      <c r="D50" s="77" t="s">
        <v>4937</v>
      </c>
      <c r="E50" s="678" t="s">
        <v>53</v>
      </c>
      <c r="F50" s="12" t="s">
        <v>1479</v>
      </c>
      <c r="L50" s="89"/>
      <c r="M50" s="89" t="str">
        <f t="shared" si="1"/>
        <v>kayla.kessinger@wvhouse.gov</v>
      </c>
      <c r="N50" s="640" t="str">
        <f>HYPERLINK("https://docs.google.com/document/d/1heIIIVr4tO2w_z1IdBPha1EpSNU_jZ9yvVzCZuJ54P8/edit","Zero")</f>
        <v>Zero</v>
      </c>
      <c r="O50" s="89"/>
      <c r="P50" s="89"/>
      <c r="Q50" s="89"/>
      <c r="R50" s="89"/>
      <c r="U50" t="str">
        <f t="shared" si="2"/>
        <v>Representative</v>
      </c>
      <c r="V50" s="139" t="str">
        <f t="shared" si="3"/>
        <v>Kayla</v>
      </c>
      <c r="W50" t="str">
        <f t="shared" si="4"/>
        <v>Kessinger</v>
      </c>
      <c r="X50" t="str">
        <f t="shared" si="5"/>
        <v>kayla.kessinger@wvhouse.gov</v>
      </c>
      <c r="Y50" t="str">
        <f t="shared" si="6"/>
        <v>Assistant Majority Leader</v>
      </c>
    </row>
    <row r="51">
      <c r="A51" s="14" t="s">
        <v>44</v>
      </c>
      <c r="C51" s="77" t="s">
        <v>338</v>
      </c>
      <c r="D51" s="77" t="s">
        <v>13724</v>
      </c>
      <c r="E51" s="678" t="s">
        <v>53</v>
      </c>
      <c r="F51" s="15"/>
      <c r="G51" s="14" t="s">
        <v>13725</v>
      </c>
      <c r="L51" s="89"/>
      <c r="M51" s="89" t="str">
        <f t="shared" si="1"/>
        <v>tom.fast@wvhouse.gov</v>
      </c>
      <c r="N51" s="89"/>
      <c r="O51" s="89"/>
      <c r="P51" s="89"/>
      <c r="Q51" s="89"/>
      <c r="R51" s="89"/>
      <c r="U51" t="str">
        <f t="shared" si="2"/>
        <v/>
      </c>
      <c r="V51" s="139" t="str">
        <f t="shared" si="3"/>
        <v/>
      </c>
      <c r="W51" t="str">
        <f t="shared" si="4"/>
        <v/>
      </c>
      <c r="X51" t="str">
        <f t="shared" si="5"/>
        <v/>
      </c>
      <c r="Y51" t="str">
        <f t="shared" si="6"/>
        <v/>
      </c>
    </row>
    <row r="52">
      <c r="A52" s="14" t="s">
        <v>44</v>
      </c>
      <c r="C52" s="77" t="s">
        <v>3040</v>
      </c>
      <c r="D52" s="77" t="s">
        <v>13726</v>
      </c>
      <c r="E52" s="678" t="s">
        <v>49</v>
      </c>
      <c r="F52" s="15"/>
      <c r="L52" s="89"/>
      <c r="M52" s="89" t="str">
        <f t="shared" si="1"/>
        <v>margaret.staggers@wvhouse.gov</v>
      </c>
      <c r="N52" s="89"/>
      <c r="O52" s="89"/>
      <c r="P52" s="89"/>
      <c r="Q52" s="89"/>
      <c r="R52" s="89"/>
      <c r="U52" t="str">
        <f t="shared" si="2"/>
        <v/>
      </c>
      <c r="V52" s="139" t="str">
        <f t="shared" si="3"/>
        <v/>
      </c>
      <c r="W52" t="str">
        <f t="shared" si="4"/>
        <v/>
      </c>
      <c r="X52" t="str">
        <f t="shared" si="5"/>
        <v/>
      </c>
      <c r="Y52" t="str">
        <f t="shared" si="6"/>
        <v/>
      </c>
    </row>
    <row r="53">
      <c r="A53" s="14" t="s">
        <v>44</v>
      </c>
      <c r="B53" s="77">
        <v>33.0</v>
      </c>
      <c r="C53" s="77" t="s">
        <v>1040</v>
      </c>
      <c r="D53" s="77" t="s">
        <v>13728</v>
      </c>
      <c r="E53" s="678" t="s">
        <v>53</v>
      </c>
      <c r="F53" s="12" t="s">
        <v>1056</v>
      </c>
      <c r="L53" s="89"/>
      <c r="M53" s="89" t="str">
        <f t="shared" si="1"/>
        <v>roger.hanshaw@wvhouse.gov</v>
      </c>
      <c r="N53" s="640" t="str">
        <f>HYPERLINK("https://docs.google.com/document/d/1Px4MWjHLRICzClxpk1GbSWFzLD8u_ETxaO-1ULTUZ3g/edit","Zero")</f>
        <v>Zero</v>
      </c>
      <c r="O53" s="89"/>
      <c r="P53" s="89"/>
      <c r="Q53" s="89"/>
      <c r="R53" s="89"/>
      <c r="U53" t="str">
        <f t="shared" si="2"/>
        <v>Representative</v>
      </c>
      <c r="V53" s="139" t="str">
        <f t="shared" si="3"/>
        <v>Roger</v>
      </c>
      <c r="W53" t="str">
        <f t="shared" si="4"/>
        <v>Hanshaw</v>
      </c>
      <c r="X53" t="str">
        <f t="shared" si="5"/>
        <v>roger.hanshaw@wvhouse.gov</v>
      </c>
      <c r="Y53" t="str">
        <f t="shared" si="6"/>
        <v>Speaker</v>
      </c>
    </row>
    <row r="54">
      <c r="A54" s="14" t="s">
        <v>44</v>
      </c>
      <c r="B54" s="77">
        <v>34.0</v>
      </c>
      <c r="C54" s="77" t="s">
        <v>3805</v>
      </c>
      <c r="D54" s="77" t="s">
        <v>10364</v>
      </c>
      <c r="E54" s="678" t="s">
        <v>49</v>
      </c>
      <c r="F54" s="15"/>
      <c r="L54" s="89"/>
      <c r="M54" s="89" t="str">
        <f t="shared" si="1"/>
        <v>brent.boggs@wvhouse.gov</v>
      </c>
      <c r="N54" s="89"/>
      <c r="O54" s="89"/>
      <c r="P54" s="89"/>
      <c r="Q54" s="89"/>
      <c r="R54" s="89"/>
      <c r="U54" t="str">
        <f t="shared" si="2"/>
        <v/>
      </c>
      <c r="V54" s="139" t="str">
        <f t="shared" si="3"/>
        <v/>
      </c>
      <c r="W54" t="str">
        <f t="shared" si="4"/>
        <v/>
      </c>
      <c r="X54" t="str">
        <f t="shared" si="5"/>
        <v/>
      </c>
      <c r="Y54" t="str">
        <f t="shared" si="6"/>
        <v/>
      </c>
    </row>
    <row r="55">
      <c r="A55" s="14" t="s">
        <v>44</v>
      </c>
      <c r="B55" s="77">
        <v>35.0</v>
      </c>
      <c r="C55" s="77" t="s">
        <v>13734</v>
      </c>
      <c r="D55" s="77" t="s">
        <v>13735</v>
      </c>
      <c r="E55" s="678" t="s">
        <v>49</v>
      </c>
      <c r="F55" s="15"/>
      <c r="L55" s="89"/>
      <c r="M55" s="89" t="str">
        <f t="shared" si="1"/>
        <v>douf.skaff@wvhouse.gov</v>
      </c>
      <c r="N55" s="89"/>
      <c r="O55" s="89"/>
      <c r="P55" s="89"/>
      <c r="Q55" s="89"/>
      <c r="R55" s="89"/>
      <c r="U55" t="str">
        <f t="shared" si="2"/>
        <v/>
      </c>
      <c r="V55" s="139" t="str">
        <f t="shared" si="3"/>
        <v/>
      </c>
      <c r="W55" t="str">
        <f t="shared" si="4"/>
        <v/>
      </c>
      <c r="X55" t="str">
        <f t="shared" si="5"/>
        <v/>
      </c>
      <c r="Y55" t="str">
        <f t="shared" si="6"/>
        <v/>
      </c>
    </row>
    <row r="56">
      <c r="A56" s="14" t="s">
        <v>44</v>
      </c>
      <c r="C56" s="77" t="s">
        <v>80</v>
      </c>
      <c r="D56" s="77" t="s">
        <v>2840</v>
      </c>
      <c r="E56" s="678" t="s">
        <v>49</v>
      </c>
      <c r="F56" s="15"/>
      <c r="L56" s="89"/>
      <c r="M56" s="89" t="str">
        <f t="shared" si="1"/>
        <v>andrew.byrd@wvhouse.gov</v>
      </c>
      <c r="N56" s="89"/>
      <c r="O56" s="89"/>
      <c r="P56" s="89"/>
      <c r="Q56" s="89"/>
      <c r="R56" s="89"/>
      <c r="U56" t="str">
        <f t="shared" si="2"/>
        <v/>
      </c>
      <c r="V56" s="139" t="str">
        <f t="shared" si="3"/>
        <v/>
      </c>
      <c r="W56" t="str">
        <f t="shared" si="4"/>
        <v/>
      </c>
      <c r="X56" t="str">
        <f t="shared" si="5"/>
        <v/>
      </c>
      <c r="Y56" t="str">
        <f t="shared" si="6"/>
        <v/>
      </c>
    </row>
    <row r="57">
      <c r="A57" s="14" t="s">
        <v>44</v>
      </c>
      <c r="C57" s="77" t="s">
        <v>89</v>
      </c>
      <c r="D57" s="77" t="s">
        <v>13742</v>
      </c>
      <c r="E57" s="678" t="s">
        <v>53</v>
      </c>
      <c r="F57" s="15"/>
      <c r="G57" s="14" t="s">
        <v>517</v>
      </c>
      <c r="H57" s="14" t="s">
        <v>13743</v>
      </c>
      <c r="L57" s="89"/>
      <c r="M57" s="89" t="str">
        <f t="shared" si="1"/>
        <v>moore.capito@wvhouse.gov</v>
      </c>
      <c r="N57" s="89"/>
      <c r="O57" s="89"/>
      <c r="P57" s="89"/>
      <c r="Q57" s="89"/>
      <c r="R57" s="89"/>
      <c r="U57" t="str">
        <f t="shared" si="2"/>
        <v>Representative</v>
      </c>
      <c r="V57" s="139" t="str">
        <f t="shared" si="3"/>
        <v>Moore</v>
      </c>
      <c r="W57" t="str">
        <f t="shared" si="4"/>
        <v>Capito</v>
      </c>
      <c r="X57" t="str">
        <f t="shared" si="5"/>
        <v>moore.capito@wvhouse.gov</v>
      </c>
      <c r="Y57" t="str">
        <f t="shared" si="6"/>
        <v>Judiciary (Vice Chair)</v>
      </c>
    </row>
    <row r="58">
      <c r="A58" s="14" t="s">
        <v>44</v>
      </c>
      <c r="C58" s="77" t="s">
        <v>2302</v>
      </c>
      <c r="D58" s="77" t="s">
        <v>3823</v>
      </c>
      <c r="E58" s="678" t="s">
        <v>53</v>
      </c>
      <c r="F58" s="15"/>
      <c r="G58" s="14" t="s">
        <v>13744</v>
      </c>
      <c r="L58" s="89"/>
      <c r="M58" s="89" t="str">
        <f t="shared" si="1"/>
        <v>eric.nelson@wvhouse.gov</v>
      </c>
      <c r="N58" s="89"/>
      <c r="O58" s="89"/>
      <c r="P58" s="89"/>
      <c r="Q58" s="89"/>
      <c r="R58" s="89"/>
      <c r="U58" t="str">
        <f t="shared" si="2"/>
        <v/>
      </c>
      <c r="V58" s="139" t="str">
        <f t="shared" si="3"/>
        <v/>
      </c>
      <c r="W58" t="str">
        <f t="shared" si="4"/>
        <v/>
      </c>
      <c r="X58" t="str">
        <f t="shared" si="5"/>
        <v/>
      </c>
      <c r="Y58" t="str">
        <f t="shared" si="6"/>
        <v/>
      </c>
    </row>
    <row r="59">
      <c r="A59" s="14" t="s">
        <v>44</v>
      </c>
      <c r="B59" s="77">
        <v>36.0</v>
      </c>
      <c r="C59" s="77" t="s">
        <v>839</v>
      </c>
      <c r="D59" s="77" t="s">
        <v>214</v>
      </c>
      <c r="E59" s="678" t="s">
        <v>49</v>
      </c>
      <c r="F59" s="15"/>
      <c r="L59" s="89"/>
      <c r="M59" s="89" t="str">
        <f t="shared" si="1"/>
        <v>larry.rowe@wvhouse.gov</v>
      </c>
      <c r="N59" s="89"/>
      <c r="O59" s="89"/>
      <c r="P59" s="89"/>
      <c r="Q59" s="89"/>
      <c r="R59" s="89"/>
      <c r="U59" t="str">
        <f t="shared" si="2"/>
        <v/>
      </c>
      <c r="V59" s="139" t="str">
        <f t="shared" si="3"/>
        <v/>
      </c>
      <c r="W59" t="str">
        <f t="shared" si="4"/>
        <v/>
      </c>
      <c r="X59" t="str">
        <f t="shared" si="5"/>
        <v/>
      </c>
      <c r="Y59" t="str">
        <f t="shared" si="6"/>
        <v/>
      </c>
    </row>
    <row r="60">
      <c r="A60" s="14" t="s">
        <v>44</v>
      </c>
      <c r="C60" s="77" t="s">
        <v>80</v>
      </c>
      <c r="D60" s="77" t="s">
        <v>3039</v>
      </c>
      <c r="E60" s="678" t="s">
        <v>49</v>
      </c>
      <c r="F60" s="15"/>
      <c r="L60" s="89"/>
      <c r="M60" s="89" t="str">
        <f t="shared" si="1"/>
        <v>andrew.robinson@wvhouse.gov</v>
      </c>
      <c r="N60" s="89"/>
      <c r="O60" s="89"/>
      <c r="P60" s="89"/>
      <c r="Q60" s="89"/>
      <c r="R60" s="89"/>
      <c r="U60" t="str">
        <f t="shared" si="2"/>
        <v/>
      </c>
      <c r="V60" s="139" t="str">
        <f t="shared" si="3"/>
        <v/>
      </c>
      <c r="W60" t="str">
        <f t="shared" si="4"/>
        <v/>
      </c>
      <c r="X60" t="str">
        <f t="shared" si="5"/>
        <v/>
      </c>
      <c r="Y60" t="str">
        <f t="shared" si="6"/>
        <v/>
      </c>
    </row>
    <row r="61">
      <c r="A61" s="14" t="s">
        <v>44</v>
      </c>
      <c r="C61" s="77" t="s">
        <v>5684</v>
      </c>
      <c r="D61" s="77" t="s">
        <v>13745</v>
      </c>
      <c r="E61" s="678" t="s">
        <v>49</v>
      </c>
      <c r="F61" s="15"/>
      <c r="L61" s="89"/>
      <c r="M61" s="89" t="str">
        <f t="shared" si="1"/>
        <v>amanda.estep-burton@wvhouse.gov</v>
      </c>
      <c r="N61" s="89"/>
      <c r="O61" s="89"/>
      <c r="P61" s="89"/>
      <c r="Q61" s="89"/>
      <c r="R61" s="89"/>
      <c r="U61" t="str">
        <f t="shared" si="2"/>
        <v/>
      </c>
      <c r="V61" s="139" t="str">
        <f t="shared" si="3"/>
        <v/>
      </c>
      <c r="W61" t="str">
        <f t="shared" si="4"/>
        <v/>
      </c>
      <c r="X61" t="str">
        <f t="shared" si="5"/>
        <v/>
      </c>
      <c r="Y61" t="str">
        <f t="shared" si="6"/>
        <v/>
      </c>
    </row>
    <row r="62">
      <c r="A62" s="14" t="s">
        <v>44</v>
      </c>
      <c r="B62" s="77">
        <v>37.0</v>
      </c>
      <c r="C62" s="77" t="s">
        <v>157</v>
      </c>
      <c r="D62" s="77" t="s">
        <v>13748</v>
      </c>
      <c r="E62" s="678" t="s">
        <v>49</v>
      </c>
      <c r="F62" s="15"/>
      <c r="L62" s="89"/>
      <c r="M62" s="89" t="str">
        <f t="shared" si="1"/>
        <v>mike.pushkin@wvhouse.gov</v>
      </c>
      <c r="N62" s="89"/>
      <c r="O62" s="89"/>
      <c r="P62" s="89"/>
      <c r="Q62" s="89"/>
      <c r="R62" s="89"/>
      <c r="U62" t="str">
        <f t="shared" si="2"/>
        <v/>
      </c>
      <c r="V62" s="139" t="str">
        <f t="shared" si="3"/>
        <v/>
      </c>
      <c r="W62" t="str">
        <f t="shared" si="4"/>
        <v/>
      </c>
      <c r="X62" t="str">
        <f t="shared" si="5"/>
        <v/>
      </c>
      <c r="Y62" t="str">
        <f t="shared" si="6"/>
        <v/>
      </c>
    </row>
    <row r="63">
      <c r="A63" s="14" t="s">
        <v>44</v>
      </c>
      <c r="B63" s="77">
        <v>38.0</v>
      </c>
      <c r="C63" s="77" t="s">
        <v>13750</v>
      </c>
      <c r="D63" s="77" t="s">
        <v>4769</v>
      </c>
      <c r="E63" s="678" t="s">
        <v>53</v>
      </c>
      <c r="F63" s="15"/>
      <c r="G63" s="14" t="s">
        <v>13751</v>
      </c>
      <c r="L63" s="89"/>
      <c r="M63" s="89" t="str">
        <f t="shared" si="1"/>
        <v>dianna.graves@wvhouse.gov</v>
      </c>
      <c r="N63" s="89"/>
      <c r="O63" s="89"/>
      <c r="P63" s="89"/>
      <c r="Q63" s="89"/>
      <c r="R63" s="89"/>
      <c r="U63" t="str">
        <f t="shared" si="2"/>
        <v/>
      </c>
      <c r="V63" s="139" t="str">
        <f t="shared" si="3"/>
        <v/>
      </c>
      <c r="W63" t="str">
        <f t="shared" si="4"/>
        <v/>
      </c>
      <c r="X63" t="str">
        <f t="shared" si="5"/>
        <v/>
      </c>
      <c r="Y63" t="str">
        <f t="shared" si="6"/>
        <v/>
      </c>
    </row>
    <row r="64">
      <c r="A64" s="14" t="s">
        <v>44</v>
      </c>
      <c r="B64" s="77">
        <v>39.0</v>
      </c>
      <c r="C64" s="77" t="s">
        <v>1863</v>
      </c>
      <c r="D64" s="77" t="s">
        <v>13753</v>
      </c>
      <c r="E64" s="678" t="s">
        <v>53</v>
      </c>
      <c r="F64" s="15"/>
      <c r="L64" s="89"/>
      <c r="M64" s="89" t="str">
        <f t="shared" si="1"/>
        <v>sharon.malcom@wvhouse.gov</v>
      </c>
      <c r="N64" s="89"/>
      <c r="O64" s="89"/>
      <c r="P64" s="89"/>
      <c r="Q64" s="89"/>
      <c r="R64" s="89"/>
      <c r="U64" t="str">
        <f t="shared" si="2"/>
        <v/>
      </c>
      <c r="V64" s="139" t="str">
        <f t="shared" si="3"/>
        <v/>
      </c>
      <c r="W64" t="str">
        <f t="shared" si="4"/>
        <v/>
      </c>
      <c r="X64" t="str">
        <f t="shared" si="5"/>
        <v/>
      </c>
      <c r="Y64" t="str">
        <f t="shared" si="6"/>
        <v/>
      </c>
    </row>
    <row r="65">
      <c r="A65" s="14" t="s">
        <v>44</v>
      </c>
      <c r="B65" s="77">
        <v>40.0</v>
      </c>
      <c r="C65" s="77" t="s">
        <v>4340</v>
      </c>
      <c r="D65" s="77" t="s">
        <v>10645</v>
      </c>
      <c r="E65" s="678" t="s">
        <v>53</v>
      </c>
      <c r="F65" s="15"/>
      <c r="L65" s="89"/>
      <c r="M65" s="89" t="str">
        <f t="shared" si="1"/>
        <v>dean.jeffries@wvhouse.gov</v>
      </c>
      <c r="N65" s="89"/>
      <c r="O65" s="89"/>
      <c r="P65" s="89"/>
      <c r="Q65" s="89"/>
      <c r="R65" s="89"/>
      <c r="U65" t="str">
        <f t="shared" si="2"/>
        <v/>
      </c>
      <c r="V65" s="139" t="str">
        <f t="shared" si="3"/>
        <v/>
      </c>
      <c r="W65" t="str">
        <f t="shared" si="4"/>
        <v/>
      </c>
      <c r="X65" t="str">
        <f t="shared" si="5"/>
        <v/>
      </c>
      <c r="Y65" t="str">
        <f t="shared" si="6"/>
        <v/>
      </c>
    </row>
    <row r="66">
      <c r="A66" s="14" t="s">
        <v>44</v>
      </c>
      <c r="B66" s="77">
        <v>41.0</v>
      </c>
      <c r="C66" s="77" t="s">
        <v>1581</v>
      </c>
      <c r="D66" s="77" t="s">
        <v>485</v>
      </c>
      <c r="E66" s="678" t="s">
        <v>53</v>
      </c>
      <c r="F66" s="15"/>
      <c r="G66" s="14" t="s">
        <v>3002</v>
      </c>
      <c r="L66" s="89"/>
      <c r="M66" s="89" t="str">
        <f t="shared" si="1"/>
        <v>jordan.hill@wvhouse.gov</v>
      </c>
      <c r="N66" s="89"/>
      <c r="O66" s="89"/>
      <c r="P66" s="89"/>
      <c r="Q66" s="89"/>
      <c r="R66" s="89"/>
      <c r="U66" t="str">
        <f t="shared" si="2"/>
        <v/>
      </c>
      <c r="V66" s="139" t="str">
        <f t="shared" si="3"/>
        <v/>
      </c>
      <c r="W66" t="str">
        <f t="shared" si="4"/>
        <v/>
      </c>
      <c r="X66" t="str">
        <f t="shared" si="5"/>
        <v/>
      </c>
      <c r="Y66" t="str">
        <f t="shared" si="6"/>
        <v/>
      </c>
    </row>
    <row r="67">
      <c r="A67" s="14" t="s">
        <v>44</v>
      </c>
      <c r="B67" s="77">
        <v>42.0</v>
      </c>
      <c r="C67" s="77" t="s">
        <v>683</v>
      </c>
      <c r="D67" s="77" t="s">
        <v>530</v>
      </c>
      <c r="E67" s="678" t="s">
        <v>49</v>
      </c>
      <c r="F67" s="15"/>
      <c r="L67" s="89"/>
      <c r="M67" s="89" t="str">
        <f t="shared" si="1"/>
        <v>jeff.campbell@wvhouse.gov</v>
      </c>
      <c r="N67" s="89"/>
      <c r="O67" s="89"/>
      <c r="P67" s="89"/>
      <c r="Q67" s="89"/>
      <c r="R67" s="89"/>
      <c r="U67" t="str">
        <f t="shared" si="2"/>
        <v/>
      </c>
      <c r="V67" s="139" t="str">
        <f t="shared" si="3"/>
        <v/>
      </c>
      <c r="W67" t="str">
        <f t="shared" si="4"/>
        <v/>
      </c>
      <c r="X67" t="str">
        <f t="shared" si="5"/>
        <v/>
      </c>
      <c r="Y67" t="str">
        <f t="shared" si="6"/>
        <v/>
      </c>
    </row>
    <row r="68">
      <c r="A68" s="14" t="s">
        <v>44</v>
      </c>
      <c r="C68" s="77" t="s">
        <v>1561</v>
      </c>
      <c r="D68" s="77" t="s">
        <v>13758</v>
      </c>
      <c r="E68" s="678" t="s">
        <v>49</v>
      </c>
      <c r="F68" s="15"/>
      <c r="L68" s="89"/>
      <c r="M68" s="89" t="str">
        <f t="shared" si="1"/>
        <v>cindy.lavender-bowe@wvhouse.gov</v>
      </c>
      <c r="N68" s="89"/>
      <c r="O68" s="89"/>
      <c r="P68" s="89"/>
      <c r="Q68" s="89"/>
      <c r="R68" s="89"/>
      <c r="U68" t="str">
        <f t="shared" si="2"/>
        <v/>
      </c>
      <c r="V68" s="139" t="str">
        <f t="shared" si="3"/>
        <v/>
      </c>
      <c r="W68" t="str">
        <f t="shared" si="4"/>
        <v/>
      </c>
      <c r="X68" t="str">
        <f t="shared" si="5"/>
        <v/>
      </c>
      <c r="Y68" t="str">
        <f t="shared" si="6"/>
        <v/>
      </c>
    </row>
    <row r="69">
      <c r="A69" s="14" t="s">
        <v>44</v>
      </c>
      <c r="B69" s="77">
        <v>43.0</v>
      </c>
      <c r="C69" s="77" t="s">
        <v>8551</v>
      </c>
      <c r="D69" s="77" t="s">
        <v>59</v>
      </c>
      <c r="E69" s="678" t="s">
        <v>49</v>
      </c>
      <c r="F69" s="15"/>
      <c r="L69" s="89"/>
      <c r="M69" s="89" t="str">
        <f t="shared" si="1"/>
        <v>cody.thompson@wvhouse.gov</v>
      </c>
      <c r="N69" s="89"/>
      <c r="O69" s="89"/>
      <c r="P69" s="89"/>
      <c r="Q69" s="89"/>
      <c r="R69" s="89"/>
      <c r="U69" t="str">
        <f t="shared" si="2"/>
        <v/>
      </c>
      <c r="V69" s="139" t="str">
        <f t="shared" si="3"/>
        <v/>
      </c>
      <c r="W69" t="str">
        <f t="shared" si="4"/>
        <v/>
      </c>
      <c r="X69" t="str">
        <f t="shared" si="5"/>
        <v/>
      </c>
      <c r="Y69" t="str">
        <f t="shared" si="6"/>
        <v/>
      </c>
    </row>
    <row r="70">
      <c r="A70" s="14" t="s">
        <v>44</v>
      </c>
      <c r="C70" s="77" t="s">
        <v>325</v>
      </c>
      <c r="D70" s="77" t="s">
        <v>6419</v>
      </c>
      <c r="E70" s="678" t="s">
        <v>49</v>
      </c>
      <c r="F70" s="15"/>
      <c r="L70" s="89"/>
      <c r="M70" s="89" t="str">
        <f t="shared" si="1"/>
        <v>bill.hartman@wvhouse.gov</v>
      </c>
      <c r="N70" s="89"/>
      <c r="O70" s="89"/>
      <c r="P70" s="89"/>
      <c r="Q70" s="89"/>
      <c r="R70" s="89"/>
      <c r="U70" t="str">
        <f t="shared" si="2"/>
        <v/>
      </c>
      <c r="V70" s="139" t="str">
        <f t="shared" si="3"/>
        <v/>
      </c>
      <c r="W70" t="str">
        <f t="shared" si="4"/>
        <v/>
      </c>
      <c r="X70" t="str">
        <f t="shared" si="5"/>
        <v/>
      </c>
      <c r="Y70" t="str">
        <f t="shared" si="6"/>
        <v/>
      </c>
    </row>
    <row r="71">
      <c r="A71" s="14" t="s">
        <v>44</v>
      </c>
      <c r="B71" s="77">
        <v>44.0</v>
      </c>
      <c r="C71" s="77" t="s">
        <v>8680</v>
      </c>
      <c r="D71" s="77" t="s">
        <v>11938</v>
      </c>
      <c r="E71" s="678" t="s">
        <v>49</v>
      </c>
      <c r="F71" s="15"/>
      <c r="L71" s="89"/>
      <c r="M71" s="89" t="str">
        <f t="shared" si="1"/>
        <v>caleb.hanna@wvhouse.gov</v>
      </c>
      <c r="N71" s="89"/>
      <c r="O71" s="89"/>
      <c r="P71" s="89"/>
      <c r="Q71" s="89"/>
      <c r="R71" s="89"/>
      <c r="U71" t="str">
        <f t="shared" si="2"/>
        <v/>
      </c>
      <c r="V71" s="139" t="str">
        <f t="shared" si="3"/>
        <v/>
      </c>
      <c r="W71" t="str">
        <f t="shared" si="4"/>
        <v/>
      </c>
      <c r="X71" t="str">
        <f t="shared" si="5"/>
        <v/>
      </c>
      <c r="Y71" t="str">
        <f t="shared" si="6"/>
        <v/>
      </c>
    </row>
    <row r="72">
      <c r="A72" s="14" t="s">
        <v>44</v>
      </c>
      <c r="B72" s="77">
        <v>45.0</v>
      </c>
      <c r="C72" s="77" t="s">
        <v>4087</v>
      </c>
      <c r="D72" s="77" t="s">
        <v>456</v>
      </c>
      <c r="E72" s="678" t="s">
        <v>53</v>
      </c>
      <c r="F72" s="15"/>
      <c r="L72" s="89"/>
      <c r="M72" s="89" t="str">
        <f t="shared" si="1"/>
        <v>carl.martin@wvhouse.gov</v>
      </c>
      <c r="N72" s="89"/>
      <c r="O72" s="89"/>
      <c r="P72" s="89"/>
      <c r="Q72" s="89"/>
      <c r="R72" s="89"/>
      <c r="U72" t="str">
        <f t="shared" si="2"/>
        <v/>
      </c>
      <c r="V72" s="139" t="str">
        <f t="shared" si="3"/>
        <v/>
      </c>
      <c r="W72" t="str">
        <f t="shared" si="4"/>
        <v/>
      </c>
      <c r="X72" t="str">
        <f t="shared" si="5"/>
        <v/>
      </c>
      <c r="Y72" t="str">
        <f t="shared" si="6"/>
        <v/>
      </c>
    </row>
    <row r="73">
      <c r="A73" s="14" t="s">
        <v>44</v>
      </c>
      <c r="B73" s="77">
        <v>46.0</v>
      </c>
      <c r="C73" s="77" t="s">
        <v>1914</v>
      </c>
      <c r="D73" s="77" t="s">
        <v>456</v>
      </c>
      <c r="E73" s="678" t="s">
        <v>53</v>
      </c>
      <c r="F73" s="15"/>
      <c r="G73" s="59" t="s">
        <v>13762</v>
      </c>
      <c r="L73" s="89"/>
      <c r="M73" s="89" t="str">
        <f t="shared" si="1"/>
        <v>patrick.martin@wvhouse.gov</v>
      </c>
      <c r="N73" s="89"/>
      <c r="O73" s="89"/>
      <c r="P73" s="89"/>
      <c r="Q73" s="89"/>
      <c r="R73" s="89"/>
      <c r="U73" t="str">
        <f t="shared" si="2"/>
        <v/>
      </c>
      <c r="V73" s="139" t="str">
        <f t="shared" si="3"/>
        <v/>
      </c>
      <c r="W73" t="str">
        <f t="shared" si="4"/>
        <v/>
      </c>
      <c r="X73" t="str">
        <f t="shared" si="5"/>
        <v/>
      </c>
      <c r="Y73" t="str">
        <f t="shared" si="6"/>
        <v/>
      </c>
    </row>
    <row r="74">
      <c r="A74" s="14" t="s">
        <v>44</v>
      </c>
      <c r="B74" s="77">
        <v>47.0</v>
      </c>
      <c r="C74" s="77" t="s">
        <v>173</v>
      </c>
      <c r="D74" s="77" t="s">
        <v>5085</v>
      </c>
      <c r="E74" s="678" t="s">
        <v>53</v>
      </c>
      <c r="F74" s="15"/>
      <c r="L74" s="89"/>
      <c r="M74" s="89" t="str">
        <f t="shared" si="1"/>
        <v>chris.phillips@wvhouse.gov</v>
      </c>
      <c r="N74" s="89"/>
      <c r="O74" s="89"/>
      <c r="P74" s="89"/>
      <c r="Q74" s="89"/>
      <c r="R74" s="89"/>
      <c r="U74" t="str">
        <f t="shared" si="2"/>
        <v/>
      </c>
      <c r="V74" s="139" t="str">
        <f t="shared" si="3"/>
        <v/>
      </c>
      <c r="W74" t="str">
        <f t="shared" si="4"/>
        <v/>
      </c>
      <c r="X74" t="str">
        <f t="shared" si="5"/>
        <v/>
      </c>
      <c r="Y74" t="str">
        <f t="shared" si="6"/>
        <v/>
      </c>
    </row>
    <row r="75">
      <c r="A75" s="14" t="s">
        <v>44</v>
      </c>
      <c r="B75" s="77">
        <v>48.0</v>
      </c>
      <c r="C75" s="77" t="s">
        <v>225</v>
      </c>
      <c r="D75" s="77" t="s">
        <v>13765</v>
      </c>
      <c r="E75" s="678" t="s">
        <v>49</v>
      </c>
      <c r="F75" s="12" t="s">
        <v>498</v>
      </c>
      <c r="L75" s="89"/>
      <c r="M75" s="89" t="str">
        <f t="shared" si="1"/>
        <v>tim.miley@wvhouse.gov</v>
      </c>
      <c r="N75" s="640" t="str">
        <f>HYPERLINK("https://docs.google.com/document/d/1wpjZNGIIxOoyjzl0pWMbBRQwzsR9ZIUjnmUB9nlnNg8/edit?usp=drive_web&amp;ouid=111300232804728282603","Zero")</f>
        <v>Zero</v>
      </c>
      <c r="O75" s="89"/>
      <c r="P75" s="89"/>
      <c r="Q75" s="89"/>
      <c r="R75" s="89"/>
      <c r="U75" t="str">
        <f t="shared" si="2"/>
        <v/>
      </c>
      <c r="V75" s="139" t="str">
        <f t="shared" si="3"/>
        <v/>
      </c>
      <c r="W75" t="str">
        <f t="shared" si="4"/>
        <v/>
      </c>
      <c r="X75" t="str">
        <f t="shared" si="5"/>
        <v/>
      </c>
      <c r="Y75" t="str">
        <f t="shared" si="6"/>
        <v/>
      </c>
    </row>
    <row r="76">
      <c r="A76" s="14" t="s">
        <v>44</v>
      </c>
      <c r="C76" s="77" t="s">
        <v>195</v>
      </c>
      <c r="D76" s="77" t="s">
        <v>6262</v>
      </c>
      <c r="E76" s="678" t="s">
        <v>53</v>
      </c>
      <c r="F76" s="15"/>
      <c r="G76" s="14" t="s">
        <v>13769</v>
      </c>
      <c r="L76" s="89"/>
      <c r="M76" s="89" t="str">
        <f t="shared" si="1"/>
        <v>ben.queen@wvhouse.gov</v>
      </c>
      <c r="N76" s="89"/>
      <c r="O76" s="89"/>
      <c r="P76" s="89"/>
      <c r="Q76" s="89"/>
      <c r="R76" s="89"/>
      <c r="U76" t="str">
        <f t="shared" si="2"/>
        <v/>
      </c>
      <c r="V76" s="139" t="str">
        <f t="shared" si="3"/>
        <v/>
      </c>
      <c r="W76" t="str">
        <f t="shared" si="4"/>
        <v/>
      </c>
      <c r="X76" t="str">
        <f t="shared" si="5"/>
        <v/>
      </c>
      <c r="Y76" t="str">
        <f t="shared" si="6"/>
        <v/>
      </c>
    </row>
    <row r="77">
      <c r="A77" s="14" t="s">
        <v>44</v>
      </c>
      <c r="C77" s="77" t="s">
        <v>100</v>
      </c>
      <c r="D77" s="77" t="s">
        <v>13770</v>
      </c>
      <c r="E77" s="678" t="s">
        <v>53</v>
      </c>
      <c r="F77" s="15"/>
      <c r="G77" s="14" t="s">
        <v>1047</v>
      </c>
      <c r="L77" s="89"/>
      <c r="M77" s="89" t="str">
        <f t="shared" si="1"/>
        <v>danny.hamrick@wvhouse.gov</v>
      </c>
      <c r="N77" s="89"/>
      <c r="O77" s="89"/>
      <c r="P77" s="89"/>
      <c r="Q77" s="89"/>
      <c r="R77" s="89"/>
      <c r="U77" t="str">
        <f t="shared" si="2"/>
        <v/>
      </c>
      <c r="V77" s="139" t="str">
        <f t="shared" si="3"/>
        <v/>
      </c>
      <c r="W77" t="str">
        <f t="shared" si="4"/>
        <v/>
      </c>
      <c r="X77" t="str">
        <f t="shared" si="5"/>
        <v/>
      </c>
      <c r="Y77" t="str">
        <f t="shared" si="6"/>
        <v/>
      </c>
    </row>
    <row r="78">
      <c r="A78" s="14" t="s">
        <v>44</v>
      </c>
      <c r="C78" s="77" t="s">
        <v>1990</v>
      </c>
      <c r="D78" s="77" t="s">
        <v>13773</v>
      </c>
      <c r="E78" s="678" t="s">
        <v>53</v>
      </c>
      <c r="F78" s="15"/>
      <c r="G78" s="14" t="s">
        <v>13774</v>
      </c>
      <c r="L78" s="89"/>
      <c r="M78" s="89" t="str">
        <f t="shared" si="1"/>
        <v>terry.waxman@wvhouse.gov</v>
      </c>
      <c r="N78" s="89"/>
      <c r="O78" s="89"/>
      <c r="P78" s="89"/>
      <c r="Q78" s="89"/>
      <c r="R78" s="89"/>
      <c r="U78" t="str">
        <f t="shared" si="2"/>
        <v/>
      </c>
      <c r="V78" s="139" t="str">
        <f t="shared" si="3"/>
        <v/>
      </c>
      <c r="W78" t="str">
        <f t="shared" si="4"/>
        <v/>
      </c>
      <c r="X78" t="str">
        <f t="shared" si="5"/>
        <v/>
      </c>
      <c r="Y78" t="str">
        <f t="shared" si="6"/>
        <v/>
      </c>
    </row>
    <row r="79">
      <c r="A79" s="14" t="s">
        <v>44</v>
      </c>
      <c r="B79" s="77">
        <v>49.0</v>
      </c>
      <c r="C79" s="77" t="s">
        <v>2969</v>
      </c>
      <c r="D79" s="77" t="s">
        <v>4805</v>
      </c>
      <c r="E79" s="678" t="s">
        <v>53</v>
      </c>
      <c r="F79" s="12" t="s">
        <v>176</v>
      </c>
      <c r="L79" s="89"/>
      <c r="M79" s="89" t="str">
        <f t="shared" si="1"/>
        <v>amy.summers@wvhouse.gov</v>
      </c>
      <c r="N79" s="640" t="str">
        <f>HYPERLINK("https://docs.google.com/document/d/1-xFGLfKC0nd7bArZ4jIV1PLWEjcDwNdBN64UAg7ny7I/edit","Zero")</f>
        <v>Zero</v>
      </c>
      <c r="O79" s="89"/>
      <c r="P79" s="89"/>
      <c r="Q79" s="89"/>
      <c r="R79" s="89"/>
      <c r="U79" t="str">
        <f t="shared" si="2"/>
        <v>Representative</v>
      </c>
      <c r="V79" s="139" t="str">
        <f t="shared" si="3"/>
        <v>Amy</v>
      </c>
      <c r="W79" t="str">
        <f t="shared" si="4"/>
        <v>Summers</v>
      </c>
      <c r="X79" t="str">
        <f t="shared" si="5"/>
        <v>amy.summers@wvhouse.gov</v>
      </c>
      <c r="Y79" t="str">
        <f t="shared" si="6"/>
        <v>Majority Leader</v>
      </c>
    </row>
    <row r="80">
      <c r="A80" s="14" t="s">
        <v>44</v>
      </c>
      <c r="B80" s="77">
        <v>50.0</v>
      </c>
      <c r="C80" s="77" t="s">
        <v>157</v>
      </c>
      <c r="D80" s="77" t="s">
        <v>9459</v>
      </c>
      <c r="E80" s="678" t="s">
        <v>49</v>
      </c>
      <c r="F80" s="12" t="s">
        <v>2004</v>
      </c>
      <c r="L80" s="89"/>
      <c r="M80" s="89" t="str">
        <f t="shared" si="1"/>
        <v>mike.caputo@wvhouse.gov</v>
      </c>
      <c r="N80" s="640" t="str">
        <f>HYPERLINK("https://docs.google.com/document/d/14ukkQLNEvk3m6OS6PJ4YBHZOid0qSIWhV2IUhfep9ew/edit","Zero")</f>
        <v>Zero</v>
      </c>
      <c r="O80" s="89"/>
      <c r="P80" s="89"/>
      <c r="Q80" s="89"/>
      <c r="R80" s="89"/>
      <c r="U80" t="str">
        <f t="shared" si="2"/>
        <v/>
      </c>
      <c r="V80" s="139" t="str">
        <f t="shared" si="3"/>
        <v/>
      </c>
      <c r="W80" t="str">
        <f t="shared" si="4"/>
        <v/>
      </c>
      <c r="X80" t="str">
        <f t="shared" si="5"/>
        <v/>
      </c>
      <c r="Y80" t="str">
        <f t="shared" si="6"/>
        <v/>
      </c>
    </row>
    <row r="81">
      <c r="A81" s="14" t="s">
        <v>44</v>
      </c>
      <c r="C81" s="77" t="s">
        <v>978</v>
      </c>
      <c r="D81" s="77" t="s">
        <v>13783</v>
      </c>
      <c r="E81" s="678" t="s">
        <v>49</v>
      </c>
      <c r="F81" s="15"/>
      <c r="L81" s="89"/>
      <c r="M81" s="89" t="str">
        <f t="shared" si="1"/>
        <v>linda.longstreth@wvhouse.gov</v>
      </c>
      <c r="N81" s="89"/>
      <c r="O81" s="89"/>
      <c r="P81" s="89"/>
      <c r="Q81" s="89"/>
      <c r="R81" s="89"/>
      <c r="U81" t="str">
        <f t="shared" si="2"/>
        <v/>
      </c>
      <c r="V81" s="139" t="str">
        <f t="shared" si="3"/>
        <v/>
      </c>
      <c r="W81" t="str">
        <f t="shared" si="4"/>
        <v/>
      </c>
      <c r="X81" t="str">
        <f t="shared" si="5"/>
        <v/>
      </c>
      <c r="Y81" t="str">
        <f t="shared" si="6"/>
        <v/>
      </c>
    </row>
    <row r="82">
      <c r="A82" s="14" t="s">
        <v>44</v>
      </c>
      <c r="C82" s="77" t="s">
        <v>2490</v>
      </c>
      <c r="D82" s="77" t="s">
        <v>13786</v>
      </c>
      <c r="E82" s="678" t="s">
        <v>49</v>
      </c>
      <c r="F82" s="15"/>
      <c r="L82" s="89"/>
      <c r="M82" s="89" t="str">
        <f t="shared" si="1"/>
        <v>michael.angelucci@wvhouse.gov</v>
      </c>
      <c r="N82" s="89"/>
      <c r="O82" s="89"/>
      <c r="P82" s="89"/>
      <c r="Q82" s="89"/>
      <c r="R82" s="89"/>
      <c r="U82" t="str">
        <f t="shared" si="2"/>
        <v/>
      </c>
      <c r="V82" s="139" t="str">
        <f t="shared" si="3"/>
        <v/>
      </c>
      <c r="W82" t="str">
        <f t="shared" si="4"/>
        <v/>
      </c>
      <c r="X82" t="str">
        <f t="shared" si="5"/>
        <v/>
      </c>
      <c r="Y82" t="str">
        <f t="shared" si="6"/>
        <v/>
      </c>
    </row>
    <row r="83">
      <c r="A83" s="14" t="s">
        <v>44</v>
      </c>
      <c r="B83" s="77">
        <v>51.0</v>
      </c>
      <c r="C83" s="77" t="s">
        <v>384</v>
      </c>
      <c r="D83" s="77" t="s">
        <v>13787</v>
      </c>
      <c r="E83" s="678" t="s">
        <v>49</v>
      </c>
      <c r="F83" s="15"/>
      <c r="L83" s="89"/>
      <c r="M83" s="89" t="str">
        <f t="shared" si="1"/>
        <v>barbara.fleichaur@wvhouse.gov</v>
      </c>
      <c r="N83" s="89"/>
      <c r="O83" s="89"/>
      <c r="P83" s="89"/>
      <c r="Q83" s="89"/>
      <c r="R83" s="89"/>
      <c r="U83" t="str">
        <f t="shared" si="2"/>
        <v/>
      </c>
      <c r="V83" s="139" t="str">
        <f t="shared" si="3"/>
        <v/>
      </c>
      <c r="W83" t="str">
        <f t="shared" si="4"/>
        <v/>
      </c>
      <c r="X83" t="str">
        <f t="shared" si="5"/>
        <v/>
      </c>
      <c r="Y83" t="str">
        <f t="shared" si="6"/>
        <v/>
      </c>
    </row>
    <row r="84">
      <c r="A84" s="14" t="s">
        <v>44</v>
      </c>
      <c r="C84" s="77" t="s">
        <v>1541</v>
      </c>
      <c r="D84" s="77" t="s">
        <v>1653</v>
      </c>
      <c r="E84" s="678" t="s">
        <v>49</v>
      </c>
      <c r="F84" s="15"/>
      <c r="L84" s="89"/>
      <c r="M84" s="89" t="str">
        <f t="shared" si="1"/>
        <v>evan.hansen@wvhouse.gov</v>
      </c>
      <c r="N84" s="89"/>
      <c r="O84" s="89"/>
      <c r="P84" s="89"/>
      <c r="Q84" s="89"/>
      <c r="R84" s="89"/>
      <c r="U84" t="str">
        <f t="shared" si="2"/>
        <v/>
      </c>
      <c r="V84" s="139" t="str">
        <f t="shared" si="3"/>
        <v/>
      </c>
      <c r="W84" t="str">
        <f t="shared" si="4"/>
        <v/>
      </c>
      <c r="X84" t="str">
        <f t="shared" si="5"/>
        <v/>
      </c>
      <c r="Y84" t="str">
        <f t="shared" si="6"/>
        <v/>
      </c>
    </row>
    <row r="85">
      <c r="A85" s="14" t="s">
        <v>44</v>
      </c>
      <c r="C85" s="77" t="s">
        <v>278</v>
      </c>
      <c r="D85" s="77" t="s">
        <v>793</v>
      </c>
      <c r="E85" s="678" t="s">
        <v>49</v>
      </c>
      <c r="F85" s="15"/>
      <c r="L85" s="89"/>
      <c r="M85" s="89" t="str">
        <f t="shared" si="1"/>
        <v>john.williams@wvhouse.gov</v>
      </c>
      <c r="N85" s="89"/>
      <c r="O85" s="89"/>
      <c r="P85" s="89"/>
      <c r="Q85" s="89"/>
      <c r="R85" s="89"/>
      <c r="U85" t="str">
        <f t="shared" si="2"/>
        <v/>
      </c>
      <c r="V85" s="139" t="str">
        <f t="shared" si="3"/>
        <v/>
      </c>
      <c r="W85" t="str">
        <f t="shared" si="4"/>
        <v/>
      </c>
      <c r="X85" t="str">
        <f t="shared" si="5"/>
        <v/>
      </c>
      <c r="Y85" t="str">
        <f t="shared" si="6"/>
        <v/>
      </c>
    </row>
    <row r="86">
      <c r="A86" s="14" t="s">
        <v>44</v>
      </c>
      <c r="C86" s="77" t="s">
        <v>552</v>
      </c>
      <c r="D86" s="77" t="s">
        <v>1275</v>
      </c>
      <c r="E86" s="678" t="s">
        <v>49</v>
      </c>
      <c r="F86" s="15"/>
      <c r="L86" s="89"/>
      <c r="M86" s="89" t="str">
        <f t="shared" si="1"/>
        <v>daniel.walker@wvhouse.gov</v>
      </c>
      <c r="N86" s="89"/>
      <c r="O86" s="89"/>
      <c r="P86" s="89"/>
      <c r="Q86" s="89"/>
      <c r="R86" s="89"/>
      <c r="U86" t="str">
        <f t="shared" si="2"/>
        <v/>
      </c>
      <c r="V86" s="139" t="str">
        <f t="shared" si="3"/>
        <v/>
      </c>
      <c r="W86" t="str">
        <f t="shared" si="4"/>
        <v/>
      </c>
      <c r="X86" t="str">
        <f t="shared" si="5"/>
        <v/>
      </c>
      <c r="Y86" t="str">
        <f t="shared" si="6"/>
        <v/>
      </c>
    </row>
    <row r="87">
      <c r="A87" s="14" t="s">
        <v>44</v>
      </c>
      <c r="C87" s="77" t="s">
        <v>526</v>
      </c>
      <c r="D87" s="77" t="s">
        <v>13790</v>
      </c>
      <c r="E87" s="678" t="s">
        <v>49</v>
      </c>
      <c r="F87" s="15"/>
      <c r="L87" s="89"/>
      <c r="M87" s="89" t="str">
        <f t="shared" si="1"/>
        <v>rodney.pyles@wvhouse.gov</v>
      </c>
      <c r="N87" s="89"/>
      <c r="O87" s="89"/>
      <c r="P87" s="89"/>
      <c r="Q87" s="89"/>
      <c r="R87" s="89"/>
      <c r="U87" t="str">
        <f t="shared" si="2"/>
        <v/>
      </c>
      <c r="V87" s="139" t="str">
        <f t="shared" si="3"/>
        <v/>
      </c>
      <c r="W87" t="str">
        <f t="shared" si="4"/>
        <v/>
      </c>
      <c r="X87" t="str">
        <f t="shared" si="5"/>
        <v/>
      </c>
      <c r="Y87" t="str">
        <f t="shared" si="6"/>
        <v/>
      </c>
    </row>
    <row r="88">
      <c r="A88" s="14" t="s">
        <v>44</v>
      </c>
      <c r="B88" s="77">
        <v>52.0</v>
      </c>
      <c r="C88" s="77" t="s">
        <v>134</v>
      </c>
      <c r="D88" s="77" t="s">
        <v>13792</v>
      </c>
      <c r="E88" s="678" t="s">
        <v>53</v>
      </c>
      <c r="F88" s="15"/>
      <c r="L88" s="89"/>
      <c r="M88" s="89" t="str">
        <f t="shared" si="1"/>
        <v>terri.sypolt@wvhouse.gov</v>
      </c>
      <c r="N88" s="89"/>
      <c r="O88" s="89"/>
      <c r="P88" s="89"/>
      <c r="Q88" s="89"/>
      <c r="R88" s="89"/>
      <c r="U88" t="str">
        <f t="shared" si="2"/>
        <v/>
      </c>
      <c r="V88" s="139" t="str">
        <f t="shared" si="3"/>
        <v/>
      </c>
      <c r="W88" t="str">
        <f t="shared" si="4"/>
        <v/>
      </c>
      <c r="X88" t="str">
        <f t="shared" si="5"/>
        <v/>
      </c>
      <c r="Y88" t="str">
        <f t="shared" si="6"/>
        <v/>
      </c>
    </row>
    <row r="89">
      <c r="A89" s="14" t="s">
        <v>44</v>
      </c>
      <c r="B89" s="77">
        <v>53.0</v>
      </c>
      <c r="C89" s="77" t="s">
        <v>2031</v>
      </c>
      <c r="D89" s="77" t="s">
        <v>2987</v>
      </c>
      <c r="E89" s="678" t="s">
        <v>53</v>
      </c>
      <c r="F89" s="15"/>
      <c r="G89" s="14" t="s">
        <v>13796</v>
      </c>
      <c r="H89" s="14" t="s">
        <v>13797</v>
      </c>
      <c r="L89" s="89"/>
      <c r="M89" s="89" t="str">
        <f t="shared" si="1"/>
        <v>buck.jennings@wvhouse.gov</v>
      </c>
      <c r="N89" s="89"/>
      <c r="O89" s="89"/>
      <c r="P89" s="89"/>
      <c r="Q89" s="89"/>
      <c r="R89" s="89"/>
      <c r="U89" t="str">
        <f t="shared" si="2"/>
        <v/>
      </c>
      <c r="V89" s="139" t="str">
        <f t="shared" si="3"/>
        <v/>
      </c>
      <c r="W89" t="str">
        <f t="shared" si="4"/>
        <v/>
      </c>
      <c r="X89" t="str">
        <f t="shared" si="5"/>
        <v/>
      </c>
      <c r="Y89" t="str">
        <f t="shared" si="6"/>
        <v/>
      </c>
    </row>
    <row r="90">
      <c r="A90" s="14" t="s">
        <v>44</v>
      </c>
      <c r="B90" s="77">
        <v>54.0</v>
      </c>
      <c r="C90" s="77" t="s">
        <v>278</v>
      </c>
      <c r="D90" s="77" t="s">
        <v>13798</v>
      </c>
      <c r="E90" s="678" t="s">
        <v>53</v>
      </c>
      <c r="F90" s="15"/>
      <c r="L90" s="89"/>
      <c r="M90" s="89" t="str">
        <f t="shared" si="1"/>
        <v>john.hott@wvhouse.gov</v>
      </c>
      <c r="N90" s="89"/>
      <c r="O90" s="89"/>
      <c r="P90" s="89"/>
      <c r="Q90" s="89"/>
      <c r="R90" s="89"/>
      <c r="U90" t="str">
        <f t="shared" si="2"/>
        <v/>
      </c>
      <c r="V90" s="139" t="str">
        <f t="shared" si="3"/>
        <v/>
      </c>
      <c r="W90" t="str">
        <f t="shared" si="4"/>
        <v/>
      </c>
      <c r="X90" t="str">
        <f t="shared" si="5"/>
        <v/>
      </c>
      <c r="Y90" t="str">
        <f t="shared" si="6"/>
        <v/>
      </c>
    </row>
    <row r="91">
      <c r="A91" s="14" t="s">
        <v>44</v>
      </c>
      <c r="B91" s="77">
        <v>55.0</v>
      </c>
      <c r="C91" s="77" t="s">
        <v>7050</v>
      </c>
      <c r="D91" s="77" t="s">
        <v>13799</v>
      </c>
      <c r="E91" s="678" t="s">
        <v>49</v>
      </c>
      <c r="F91" s="15"/>
      <c r="L91" s="89"/>
      <c r="M91" s="89" t="str">
        <f t="shared" si="1"/>
        <v>isaac.sponaugle@wvhouse.gov</v>
      </c>
      <c r="N91" s="89"/>
      <c r="O91" s="89"/>
      <c r="P91" s="89"/>
      <c r="Q91" s="89"/>
      <c r="R91" s="89"/>
      <c r="U91" t="str">
        <f t="shared" si="2"/>
        <v/>
      </c>
      <c r="V91" s="139" t="str">
        <f t="shared" si="3"/>
        <v/>
      </c>
      <c r="W91" t="str">
        <f t="shared" si="4"/>
        <v/>
      </c>
      <c r="X91" t="str">
        <f t="shared" si="5"/>
        <v/>
      </c>
      <c r="Y91" t="str">
        <f t="shared" si="6"/>
        <v/>
      </c>
    </row>
    <row r="92">
      <c r="A92" s="14" t="s">
        <v>44</v>
      </c>
      <c r="B92" s="77">
        <v>56.0</v>
      </c>
      <c r="C92" s="77" t="s">
        <v>199</v>
      </c>
      <c r="D92" s="77" t="s">
        <v>7245</v>
      </c>
      <c r="E92" s="678" t="s">
        <v>49</v>
      </c>
      <c r="F92" s="15"/>
      <c r="G92" s="14" t="s">
        <v>13802</v>
      </c>
      <c r="L92" s="89"/>
      <c r="M92" s="89" t="str">
        <f t="shared" si="1"/>
        <v>gary.howell@wvhouse.gov</v>
      </c>
      <c r="N92" s="89"/>
      <c r="O92" s="89"/>
      <c r="P92" s="89"/>
      <c r="Q92" s="89"/>
      <c r="R92" s="89"/>
      <c r="U92" t="str">
        <f t="shared" si="2"/>
        <v/>
      </c>
      <c r="V92" s="139" t="str">
        <f t="shared" si="3"/>
        <v/>
      </c>
      <c r="W92" t="str">
        <f t="shared" si="4"/>
        <v/>
      </c>
      <c r="X92" t="str">
        <f t="shared" si="5"/>
        <v/>
      </c>
      <c r="Y92" t="str">
        <f t="shared" si="6"/>
        <v/>
      </c>
    </row>
    <row r="93">
      <c r="A93" s="14" t="s">
        <v>44</v>
      </c>
      <c r="B93" s="77">
        <v>57.0</v>
      </c>
      <c r="C93" s="77" t="s">
        <v>2779</v>
      </c>
      <c r="D93" s="77" t="s">
        <v>13803</v>
      </c>
      <c r="E93" s="678" t="s">
        <v>53</v>
      </c>
      <c r="F93" s="15"/>
      <c r="G93" s="14" t="s">
        <v>13804</v>
      </c>
      <c r="L93" s="89"/>
      <c r="M93" s="89" t="str">
        <f t="shared" si="1"/>
        <v>ruth.rowan@wvhouse.gov</v>
      </c>
      <c r="N93" s="89"/>
      <c r="O93" s="89"/>
      <c r="P93" s="89"/>
      <c r="Q93" s="89"/>
      <c r="R93" s="89"/>
      <c r="U93" t="str">
        <f t="shared" si="2"/>
        <v/>
      </c>
      <c r="V93" s="139" t="str">
        <f t="shared" si="3"/>
        <v/>
      </c>
      <c r="W93" t="str">
        <f t="shared" si="4"/>
        <v/>
      </c>
      <c r="X93" t="str">
        <f t="shared" si="5"/>
        <v/>
      </c>
      <c r="Y93" t="str">
        <f t="shared" si="6"/>
        <v/>
      </c>
    </row>
    <row r="94">
      <c r="A94" s="14" t="s">
        <v>44</v>
      </c>
      <c r="B94" s="77">
        <v>58.0</v>
      </c>
      <c r="C94" s="77" t="s">
        <v>10905</v>
      </c>
      <c r="D94" s="77" t="s">
        <v>13807</v>
      </c>
      <c r="E94" s="678" t="s">
        <v>53</v>
      </c>
      <c r="F94" s="15"/>
      <c r="G94" s="14" t="s">
        <v>12697</v>
      </c>
      <c r="L94" s="89"/>
      <c r="M94" s="89" t="str">
        <f t="shared" si="1"/>
        <v>daryl.cowles@wvhouse.gov</v>
      </c>
      <c r="N94" s="89"/>
      <c r="O94" s="89"/>
      <c r="P94" s="89"/>
      <c r="Q94" s="89"/>
      <c r="R94" s="89"/>
      <c r="U94" t="str">
        <f t="shared" si="2"/>
        <v/>
      </c>
      <c r="V94" s="139" t="str">
        <f t="shared" si="3"/>
        <v/>
      </c>
      <c r="W94" t="str">
        <f t="shared" si="4"/>
        <v/>
      </c>
      <c r="X94" t="str">
        <f t="shared" si="5"/>
        <v/>
      </c>
      <c r="Y94" t="str">
        <f t="shared" si="6"/>
        <v/>
      </c>
    </row>
    <row r="95">
      <c r="A95" s="14" t="s">
        <v>44</v>
      </c>
      <c r="B95" s="77">
        <v>59.0</v>
      </c>
      <c r="C95" s="77" t="s">
        <v>839</v>
      </c>
      <c r="D95" s="77" t="s">
        <v>13808</v>
      </c>
      <c r="E95" s="678" t="s">
        <v>53</v>
      </c>
      <c r="F95" s="15"/>
      <c r="L95" s="89"/>
      <c r="M95" s="89" t="str">
        <f t="shared" si="1"/>
        <v>larry.kump@wvhouse.gov</v>
      </c>
      <c r="N95" s="89"/>
      <c r="O95" s="89"/>
      <c r="P95" s="89"/>
      <c r="Q95" s="89"/>
      <c r="R95" s="89"/>
      <c r="U95" t="str">
        <f t="shared" si="2"/>
        <v/>
      </c>
      <c r="V95" s="139" t="str">
        <f t="shared" si="3"/>
        <v/>
      </c>
      <c r="W95" t="str">
        <f t="shared" si="4"/>
        <v/>
      </c>
      <c r="X95" t="str">
        <f t="shared" si="5"/>
        <v/>
      </c>
      <c r="Y95" t="str">
        <f t="shared" si="6"/>
        <v/>
      </c>
    </row>
    <row r="96">
      <c r="A96" s="14" t="s">
        <v>44</v>
      </c>
      <c r="B96" s="77">
        <v>60.0</v>
      </c>
      <c r="C96" s="77" t="s">
        <v>1150</v>
      </c>
      <c r="D96" s="77" t="s">
        <v>62</v>
      </c>
      <c r="E96" s="678" t="s">
        <v>53</v>
      </c>
      <c r="F96" s="15"/>
      <c r="L96" s="89"/>
      <c r="M96" s="89" t="str">
        <f t="shared" si="1"/>
        <v>marshall.wilson@wvhouse.gov</v>
      </c>
      <c r="N96" s="89"/>
      <c r="O96" s="89"/>
      <c r="P96" s="89"/>
      <c r="Q96" s="89"/>
      <c r="R96" s="89"/>
      <c r="U96" t="str">
        <f t="shared" si="2"/>
        <v/>
      </c>
      <c r="V96" s="139" t="str">
        <f t="shared" si="3"/>
        <v/>
      </c>
      <c r="W96" t="str">
        <f t="shared" si="4"/>
        <v/>
      </c>
      <c r="X96" t="str">
        <f t="shared" si="5"/>
        <v/>
      </c>
      <c r="Y96" t="str">
        <f t="shared" si="6"/>
        <v/>
      </c>
    </row>
    <row r="97">
      <c r="A97" s="14" t="s">
        <v>44</v>
      </c>
      <c r="B97" s="77">
        <v>61.0</v>
      </c>
      <c r="C97" s="77" t="s">
        <v>1231</v>
      </c>
      <c r="D97" s="77" t="s">
        <v>4745</v>
      </c>
      <c r="E97" s="678" t="s">
        <v>49</v>
      </c>
      <c r="F97" s="15"/>
      <c r="L97" s="89"/>
      <c r="M97" s="89" t="str">
        <f t="shared" si="1"/>
        <v>jason.barrett@wvhouse.gov</v>
      </c>
      <c r="N97" s="89"/>
      <c r="O97" s="89"/>
      <c r="P97" s="89"/>
      <c r="Q97" s="89"/>
      <c r="R97" s="89"/>
      <c r="U97" t="str">
        <f t="shared" si="2"/>
        <v/>
      </c>
      <c r="V97" s="139" t="str">
        <f t="shared" si="3"/>
        <v/>
      </c>
      <c r="W97" t="str">
        <f t="shared" si="4"/>
        <v/>
      </c>
      <c r="X97" t="str">
        <f t="shared" si="5"/>
        <v/>
      </c>
      <c r="Y97" t="str">
        <f t="shared" si="6"/>
        <v/>
      </c>
    </row>
    <row r="98">
      <c r="A98" s="14" t="s">
        <v>44</v>
      </c>
      <c r="B98" s="77">
        <v>62.0</v>
      </c>
      <c r="C98" s="77" t="s">
        <v>338</v>
      </c>
      <c r="D98" s="77" t="s">
        <v>13810</v>
      </c>
      <c r="E98" s="678" t="s">
        <v>53</v>
      </c>
      <c r="F98" s="15"/>
      <c r="L98" s="89"/>
      <c r="M98" s="89" t="str">
        <f t="shared" si="1"/>
        <v>tom.bibby@wvhouse.gov</v>
      </c>
      <c r="N98" s="89"/>
      <c r="O98" s="89"/>
      <c r="P98" s="89"/>
      <c r="Q98" s="89"/>
      <c r="R98" s="89"/>
      <c r="U98" t="str">
        <f t="shared" si="2"/>
        <v/>
      </c>
      <c r="V98" s="139" t="str">
        <f t="shared" si="3"/>
        <v/>
      </c>
      <c r="W98" t="str">
        <f t="shared" si="4"/>
        <v/>
      </c>
      <c r="X98" t="str">
        <f t="shared" si="5"/>
        <v/>
      </c>
      <c r="Y98" t="str">
        <f t="shared" si="6"/>
        <v/>
      </c>
    </row>
    <row r="99">
      <c r="A99" s="14" t="s">
        <v>44</v>
      </c>
      <c r="B99" s="77">
        <v>63.0</v>
      </c>
      <c r="C99" s="77" t="s">
        <v>278</v>
      </c>
      <c r="D99" s="77" t="s">
        <v>5470</v>
      </c>
      <c r="E99" s="678" t="s">
        <v>53</v>
      </c>
      <c r="F99" s="15"/>
      <c r="L99" s="89"/>
      <c r="M99" s="89" t="str">
        <f t="shared" si="1"/>
        <v>john.hardy@wvhouse.gov</v>
      </c>
      <c r="N99" s="89"/>
      <c r="O99" s="89"/>
      <c r="P99" s="89"/>
      <c r="Q99" s="89"/>
      <c r="R99" s="89"/>
      <c r="U99" t="str">
        <f t="shared" si="2"/>
        <v/>
      </c>
      <c r="V99" s="139" t="str">
        <f t="shared" si="3"/>
        <v/>
      </c>
      <c r="W99" t="str">
        <f t="shared" si="4"/>
        <v/>
      </c>
      <c r="X99" t="str">
        <f t="shared" si="5"/>
        <v/>
      </c>
      <c r="Y99" t="str">
        <f t="shared" si="6"/>
        <v/>
      </c>
    </row>
    <row r="100">
      <c r="A100" s="14" t="s">
        <v>44</v>
      </c>
      <c r="B100" s="77">
        <v>64.0</v>
      </c>
      <c r="C100" s="77" t="s">
        <v>2302</v>
      </c>
      <c r="D100" s="77" t="s">
        <v>10605</v>
      </c>
      <c r="E100" s="678" t="s">
        <v>53</v>
      </c>
      <c r="F100" s="15"/>
      <c r="G100" s="14" t="s">
        <v>1272</v>
      </c>
      <c r="L100" s="89"/>
      <c r="M100" s="89" t="str">
        <f t="shared" si="1"/>
        <v>eric.householder@wvhouse.gov</v>
      </c>
      <c r="N100" s="89"/>
      <c r="O100" s="89"/>
      <c r="P100" s="89"/>
      <c r="Q100" s="89"/>
      <c r="R100" s="89"/>
      <c r="U100" t="str">
        <f t="shared" si="2"/>
        <v/>
      </c>
      <c r="V100" s="139" t="str">
        <f t="shared" si="3"/>
        <v/>
      </c>
      <c r="W100" t="str">
        <f t="shared" si="4"/>
        <v/>
      </c>
      <c r="X100" t="str">
        <f t="shared" si="5"/>
        <v/>
      </c>
      <c r="Y100" t="str">
        <f t="shared" si="6"/>
        <v/>
      </c>
    </row>
    <row r="101">
      <c r="A101" s="14" t="s">
        <v>44</v>
      </c>
      <c r="B101" s="77">
        <v>65.0</v>
      </c>
      <c r="C101" s="77" t="s">
        <v>13815</v>
      </c>
      <c r="D101" s="77" t="s">
        <v>447</v>
      </c>
      <c r="E101" s="678" t="s">
        <v>49</v>
      </c>
      <c r="F101" s="15"/>
      <c r="L101" s="89"/>
      <c r="M101" s="89" t="str">
        <f t="shared" si="1"/>
        <v>sammi.brown@wvhouse.gov</v>
      </c>
      <c r="N101" s="89"/>
      <c r="O101" s="89"/>
      <c r="P101" s="89"/>
      <c r="Q101" s="89"/>
      <c r="R101" s="89"/>
      <c r="U101" t="str">
        <f t="shared" si="2"/>
        <v/>
      </c>
      <c r="V101" s="139" t="str">
        <f t="shared" si="3"/>
        <v/>
      </c>
      <c r="W101" t="str">
        <f t="shared" si="4"/>
        <v/>
      </c>
      <c r="X101" t="str">
        <f t="shared" si="5"/>
        <v/>
      </c>
      <c r="Y101" t="str">
        <f t="shared" si="6"/>
        <v/>
      </c>
    </row>
    <row r="102">
      <c r="A102" s="14" t="s">
        <v>44</v>
      </c>
      <c r="B102" s="77">
        <v>66.0</v>
      </c>
      <c r="C102" s="77" t="s">
        <v>679</v>
      </c>
      <c r="D102" s="77" t="s">
        <v>13816</v>
      </c>
      <c r="E102" s="678" t="s">
        <v>53</v>
      </c>
      <c r="F102" s="12" t="s">
        <v>1188</v>
      </c>
      <c r="L102" s="89"/>
      <c r="M102" s="89" t="str">
        <f t="shared" si="1"/>
        <v>paul.espinosa@wvhouse.gov</v>
      </c>
      <c r="N102" s="640" t="str">
        <f>HYPERLINK("https://docs.google.com/document/d/1VQCvEeNySzVWnOgbh6gBmZnghCh0w9d0fjzqZJFP-F4/edit#heading=h.ukawe30im1h","Zero")</f>
        <v>Zero</v>
      </c>
      <c r="O102" s="89"/>
      <c r="P102" s="89"/>
      <c r="Q102" s="89"/>
      <c r="R102" s="89"/>
      <c r="U102" t="str">
        <f t="shared" si="2"/>
        <v>Representative</v>
      </c>
      <c r="V102" s="139" t="str">
        <f t="shared" si="3"/>
        <v>Paul</v>
      </c>
      <c r="W102" t="str">
        <f t="shared" si="4"/>
        <v>Espinosa</v>
      </c>
      <c r="X102" t="str">
        <f t="shared" si="5"/>
        <v>paul.espinosa@wvhouse.gov</v>
      </c>
      <c r="Y102" t="str">
        <f t="shared" si="6"/>
        <v>Majority Whip</v>
      </c>
    </row>
    <row r="103">
      <c r="A103" s="14" t="s">
        <v>44</v>
      </c>
      <c r="B103" s="77">
        <v>67.0</v>
      </c>
      <c r="C103" s="77" t="s">
        <v>278</v>
      </c>
      <c r="D103" s="77" t="s">
        <v>11216</v>
      </c>
      <c r="E103" s="678" t="s">
        <v>49</v>
      </c>
      <c r="F103" s="15"/>
      <c r="L103" s="89"/>
      <c r="M103" s="89" t="str">
        <f t="shared" si="1"/>
        <v>john.doyle@wvhouse.gov</v>
      </c>
      <c r="N103" s="89"/>
      <c r="O103" s="89"/>
      <c r="P103" s="89"/>
      <c r="Q103" s="89"/>
      <c r="R103" s="89"/>
      <c r="U103" t="str">
        <f t="shared" si="2"/>
        <v/>
      </c>
      <c r="V103" s="139" t="str">
        <f t="shared" si="3"/>
        <v/>
      </c>
      <c r="W103" t="str">
        <f t="shared" si="4"/>
        <v/>
      </c>
      <c r="X103" t="str">
        <f t="shared" si="5"/>
        <v/>
      </c>
      <c r="Y103" t="str">
        <f t="shared" si="6"/>
        <v/>
      </c>
    </row>
    <row r="104">
      <c r="A104" s="70"/>
      <c r="B104" s="71"/>
      <c r="C104" s="71"/>
      <c r="D104" s="71"/>
      <c r="E104" s="653"/>
      <c r="F104" s="184"/>
      <c r="G104" s="70"/>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row>
    <row r="105">
      <c r="A105" s="14" t="s">
        <v>286</v>
      </c>
      <c r="B105" s="74">
        <v>1.0</v>
      </c>
      <c r="C105" s="213" t="s">
        <v>1058</v>
      </c>
      <c r="D105" s="213" t="s">
        <v>13821</v>
      </c>
      <c r="E105" s="790" t="s">
        <v>49</v>
      </c>
      <c r="F105" s="791"/>
      <c r="L105" s="89"/>
      <c r="M105" s="89" t="str">
        <f t="shared" ref="M105:M138" si="7">Concatenate(Lower(C105),".",Lower(D105),"@wvsenate.gov")</f>
        <v>william.ihlenfeld@wvsenate.gov</v>
      </c>
      <c r="N105" s="89"/>
      <c r="O105" s="89"/>
      <c r="P105" s="89"/>
      <c r="Q105" s="89"/>
      <c r="R105" s="89"/>
      <c r="U105" t="str">
        <f t="shared" ref="U105:U138" si="8">if(V105="","",if(A105="House","Representative","Senator"))</f>
        <v/>
      </c>
      <c r="V105" s="139" t="str">
        <f t="shared" ref="V105:V138" si="9">if(AND(not(isblank($F105)),not(isnumber(search("minority",$F105)))),$C105,if(or(isnumber(search("Judiciary (Chair)",$G105)),isnumber(search("Judiciary (Vice Chair)",$G105))),$C105,""))</f>
        <v/>
      </c>
      <c r="W105" t="str">
        <f t="shared" ref="W105:W138" si="10">if(V105="","",D105)</f>
        <v/>
      </c>
      <c r="X105" t="str">
        <f t="shared" ref="X105:X138" si="11">if(W105="","",M105)</f>
        <v/>
      </c>
      <c r="Y105" t="str">
        <f t="shared" ref="Y105:Y138" si="12">if(X105="","",if(isblank($F105),$G105,$F105))</f>
        <v/>
      </c>
    </row>
    <row r="106">
      <c r="A106" s="14" t="s">
        <v>286</v>
      </c>
      <c r="C106" s="35" t="s">
        <v>2780</v>
      </c>
      <c r="D106" s="35" t="s">
        <v>6762</v>
      </c>
      <c r="E106" s="639" t="s">
        <v>53</v>
      </c>
      <c r="F106" s="791"/>
      <c r="G106" s="14" t="s">
        <v>517</v>
      </c>
      <c r="H106" s="14" t="s">
        <v>13832</v>
      </c>
      <c r="L106" s="89"/>
      <c r="M106" s="89" t="str">
        <f t="shared" si="7"/>
        <v>ryan.weld@wvsenate.gov</v>
      </c>
      <c r="N106" s="640" t="str">
        <f>HYPERLINK("https://docs.google.com/document/d/1_8waUlES5D4dzfyOCZyB7WO4zjUKQRWWdYI2ltDPIjA/edit","Zero")</f>
        <v>Zero</v>
      </c>
      <c r="O106" s="89"/>
      <c r="P106" s="89"/>
      <c r="Q106" s="89"/>
      <c r="R106" s="89"/>
      <c r="U106" t="str">
        <f t="shared" si="8"/>
        <v>Senator</v>
      </c>
      <c r="V106" s="139" t="str">
        <f t="shared" si="9"/>
        <v>Ryan</v>
      </c>
      <c r="W106" t="str">
        <f t="shared" si="10"/>
        <v>Weld</v>
      </c>
      <c r="X106" t="str">
        <f t="shared" si="11"/>
        <v>ryan.weld@wvsenate.gov</v>
      </c>
      <c r="Y106" t="str">
        <f t="shared" si="12"/>
        <v>Judiciary (Vice Chair)</v>
      </c>
    </row>
    <row r="107">
      <c r="A107" s="14" t="s">
        <v>286</v>
      </c>
      <c r="B107" s="74">
        <v>2.0</v>
      </c>
      <c r="C107" s="204" t="s">
        <v>1287</v>
      </c>
      <c r="D107" s="213" t="s">
        <v>9013</v>
      </c>
      <c r="E107" s="639" t="s">
        <v>53</v>
      </c>
      <c r="F107" s="791"/>
      <c r="G107" s="792" t="s">
        <v>3251</v>
      </c>
      <c r="H107" s="792" t="s">
        <v>13837</v>
      </c>
      <c r="L107" s="89"/>
      <c r="M107" s="89" t="str">
        <f t="shared" si="7"/>
        <v>charles.clements@wvsenate.gov</v>
      </c>
      <c r="N107" s="89"/>
      <c r="O107" s="89"/>
      <c r="P107" s="89"/>
      <c r="Q107" s="89"/>
      <c r="R107" s="89"/>
      <c r="U107" t="str">
        <f t="shared" si="8"/>
        <v/>
      </c>
      <c r="V107" s="139" t="str">
        <f t="shared" si="9"/>
        <v/>
      </c>
      <c r="W107" t="str">
        <f t="shared" si="10"/>
        <v/>
      </c>
      <c r="X107" t="str">
        <f t="shared" si="11"/>
        <v/>
      </c>
      <c r="Y107" t="str">
        <f t="shared" si="12"/>
        <v/>
      </c>
    </row>
    <row r="108">
      <c r="A108" s="14" t="s">
        <v>286</v>
      </c>
      <c r="C108" s="35" t="s">
        <v>157</v>
      </c>
      <c r="D108" s="35" t="s">
        <v>2881</v>
      </c>
      <c r="E108" s="639" t="s">
        <v>53</v>
      </c>
      <c r="F108" s="791"/>
      <c r="G108" s="792" t="s">
        <v>13711</v>
      </c>
      <c r="H108" s="14" t="s">
        <v>13840</v>
      </c>
      <c r="L108" s="89"/>
      <c r="M108" s="89" t="str">
        <f t="shared" si="7"/>
        <v>mike.maroney@wvsenate.gov</v>
      </c>
      <c r="N108" s="89"/>
      <c r="O108" s="89"/>
      <c r="P108" s="89"/>
      <c r="Q108" s="89"/>
      <c r="R108" s="89"/>
      <c r="U108" t="str">
        <f t="shared" si="8"/>
        <v/>
      </c>
      <c r="V108" s="139" t="str">
        <f t="shared" si="9"/>
        <v/>
      </c>
      <c r="W108" t="str">
        <f t="shared" si="10"/>
        <v/>
      </c>
      <c r="X108" t="str">
        <f t="shared" si="11"/>
        <v/>
      </c>
      <c r="Y108" t="str">
        <f t="shared" si="12"/>
        <v/>
      </c>
    </row>
    <row r="109">
      <c r="A109" s="14" t="s">
        <v>286</v>
      </c>
      <c r="B109" s="74">
        <v>3.0</v>
      </c>
      <c r="C109" s="204" t="s">
        <v>157</v>
      </c>
      <c r="D109" s="204" t="s">
        <v>13649</v>
      </c>
      <c r="E109" s="639" t="s">
        <v>53</v>
      </c>
      <c r="F109" s="791"/>
      <c r="G109" s="792" t="s">
        <v>3120</v>
      </c>
      <c r="H109" s="14" t="s">
        <v>13843</v>
      </c>
      <c r="L109" s="89"/>
      <c r="M109" s="89" t="str">
        <f t="shared" si="7"/>
        <v>mike.azinger@wvsenate.gov</v>
      </c>
      <c r="N109" s="89"/>
      <c r="O109" s="89"/>
      <c r="P109" s="89"/>
      <c r="Q109" s="89"/>
      <c r="R109" s="89"/>
      <c r="U109" t="str">
        <f t="shared" si="8"/>
        <v/>
      </c>
      <c r="V109" s="139" t="str">
        <f t="shared" si="9"/>
        <v/>
      </c>
      <c r="W109" t="str">
        <f t="shared" si="10"/>
        <v/>
      </c>
      <c r="X109" t="str">
        <f t="shared" si="11"/>
        <v/>
      </c>
      <c r="Y109" t="str">
        <f t="shared" si="12"/>
        <v/>
      </c>
    </row>
    <row r="110">
      <c r="A110" s="14" t="s">
        <v>286</v>
      </c>
      <c r="C110" s="35" t="s">
        <v>3404</v>
      </c>
      <c r="D110" s="35" t="s">
        <v>13846</v>
      </c>
      <c r="E110" s="639" t="s">
        <v>53</v>
      </c>
      <c r="F110" s="793" t="s">
        <v>2875</v>
      </c>
      <c r="G110" s="14" t="s">
        <v>13848</v>
      </c>
      <c r="L110" s="89"/>
      <c r="M110" s="89" t="str">
        <f t="shared" si="7"/>
        <v>donna.boley@wvsenate.gov</v>
      </c>
      <c r="N110" s="640" t="str">
        <f>HYPERLINK("https://docs.google.com/document/d/1gGyLOuCg2hKqBX92xocMhadH_4ZJaPH9hcCHgWrwi1k/edit?usp=drive_web&amp;ouid=111300232804728282603","Zero")</f>
        <v>Zero</v>
      </c>
      <c r="O110" s="89"/>
      <c r="P110" s="89"/>
      <c r="Q110" s="89"/>
      <c r="R110" s="89"/>
      <c r="U110" t="str">
        <f t="shared" si="8"/>
        <v>Senator</v>
      </c>
      <c r="V110" s="139" t="str">
        <f t="shared" si="9"/>
        <v>Donna</v>
      </c>
      <c r="W110" t="str">
        <f t="shared" si="10"/>
        <v>Boley</v>
      </c>
      <c r="X110" t="str">
        <f t="shared" si="11"/>
        <v>donna.boley@wvsenate.gov</v>
      </c>
      <c r="Y110" t="str">
        <f t="shared" si="12"/>
        <v>President Pro Temp</v>
      </c>
    </row>
    <row r="111">
      <c r="A111" s="14" t="s">
        <v>286</v>
      </c>
      <c r="B111" s="74">
        <v>4.0</v>
      </c>
      <c r="C111" s="213" t="s">
        <v>2302</v>
      </c>
      <c r="D111" s="213" t="s">
        <v>160</v>
      </c>
      <c r="E111" s="639" t="s">
        <v>53</v>
      </c>
      <c r="F111" s="791"/>
      <c r="G111" s="792" t="s">
        <v>13851</v>
      </c>
      <c r="L111" s="89"/>
      <c r="M111" s="89" t="str">
        <f t="shared" si="7"/>
        <v>eric.tarr@wvsenate.gov</v>
      </c>
      <c r="N111" s="89"/>
      <c r="O111" s="89"/>
      <c r="P111" s="89"/>
      <c r="Q111" s="89"/>
      <c r="R111" s="89"/>
      <c r="U111" t="str">
        <f t="shared" si="8"/>
        <v/>
      </c>
      <c r="V111" s="139" t="str">
        <f t="shared" si="9"/>
        <v/>
      </c>
      <c r="W111" t="str">
        <f t="shared" si="10"/>
        <v/>
      </c>
      <c r="X111" t="str">
        <f t="shared" si="11"/>
        <v/>
      </c>
      <c r="Y111" t="str">
        <f t="shared" si="12"/>
        <v/>
      </c>
    </row>
    <row r="112">
      <c r="A112" s="14" t="s">
        <v>286</v>
      </c>
      <c r="C112" s="35" t="s">
        <v>492</v>
      </c>
      <c r="D112" s="35" t="s">
        <v>5186</v>
      </c>
      <c r="E112" s="639" t="s">
        <v>53</v>
      </c>
      <c r="F112" s="793" t="s">
        <v>291</v>
      </c>
      <c r="G112" s="14" t="s">
        <v>957</v>
      </c>
      <c r="L112" s="89"/>
      <c r="M112" s="89" t="str">
        <f t="shared" si="7"/>
        <v>mitch.carmichael@wvsenate.gov</v>
      </c>
      <c r="N112" s="640" t="str">
        <f>HYPERLINK("https://docs.google.com/document/d/1RhS56s12ZGZp6FN3VdRG3n7R1xJ-JWgcgKdlPjT3D1U/edit","Zero")</f>
        <v>Zero</v>
      </c>
      <c r="O112" s="89"/>
      <c r="P112" s="89"/>
      <c r="Q112" s="89"/>
      <c r="R112" s="89"/>
      <c r="U112" t="str">
        <f t="shared" si="8"/>
        <v>Senator</v>
      </c>
      <c r="V112" s="139" t="str">
        <f t="shared" si="9"/>
        <v>Mitch</v>
      </c>
      <c r="W112" t="str">
        <f t="shared" si="10"/>
        <v>Carmichael</v>
      </c>
      <c r="X112" t="str">
        <f t="shared" si="11"/>
        <v>mitch.carmichael@wvsenate.gov</v>
      </c>
      <c r="Y112" t="str">
        <f t="shared" si="12"/>
        <v>Senate President</v>
      </c>
    </row>
    <row r="113">
      <c r="A113" s="14" t="s">
        <v>286</v>
      </c>
      <c r="B113" s="74">
        <v>5.0</v>
      </c>
      <c r="C113" s="213" t="s">
        <v>157</v>
      </c>
      <c r="D113" s="213" t="s">
        <v>13856</v>
      </c>
      <c r="E113" s="644" t="s">
        <v>49</v>
      </c>
      <c r="F113" s="791"/>
      <c r="L113" s="89"/>
      <c r="M113" s="89" t="str">
        <f t="shared" si="7"/>
        <v>mike.woelfel@wvsenate.gov</v>
      </c>
      <c r="N113" s="89"/>
      <c r="O113" s="89"/>
      <c r="P113" s="89"/>
      <c r="Q113" s="89"/>
      <c r="R113" s="89"/>
      <c r="U113" t="str">
        <f t="shared" si="8"/>
        <v/>
      </c>
      <c r="V113" s="139" t="str">
        <f t="shared" si="9"/>
        <v/>
      </c>
      <c r="W113" t="str">
        <f t="shared" si="10"/>
        <v/>
      </c>
      <c r="X113" t="str">
        <f t="shared" si="11"/>
        <v/>
      </c>
      <c r="Y113" t="str">
        <f t="shared" si="12"/>
        <v/>
      </c>
    </row>
    <row r="114">
      <c r="A114" s="14" t="s">
        <v>286</v>
      </c>
      <c r="C114" s="35" t="s">
        <v>1134</v>
      </c>
      <c r="D114" s="35" t="s">
        <v>13858</v>
      </c>
      <c r="E114" s="644" t="s">
        <v>49</v>
      </c>
      <c r="F114" s="791"/>
      <c r="L114" s="89"/>
      <c r="M114" s="89" t="str">
        <f t="shared" si="7"/>
        <v>robert.plymale@wvsenate.gov</v>
      </c>
      <c r="N114" s="89"/>
      <c r="O114" s="89"/>
      <c r="P114" s="89"/>
      <c r="Q114" s="89"/>
      <c r="R114" s="89"/>
      <c r="U114" t="str">
        <f t="shared" si="8"/>
        <v/>
      </c>
      <c r="V114" s="139" t="str">
        <f t="shared" si="9"/>
        <v/>
      </c>
      <c r="W114" t="str">
        <f t="shared" si="10"/>
        <v/>
      </c>
      <c r="X114" t="str">
        <f t="shared" si="11"/>
        <v/>
      </c>
      <c r="Y114" t="str">
        <f t="shared" si="12"/>
        <v/>
      </c>
    </row>
    <row r="115">
      <c r="A115" s="14" t="s">
        <v>286</v>
      </c>
      <c r="B115" s="74">
        <v>6.0</v>
      </c>
      <c r="C115" s="204" t="s">
        <v>91</v>
      </c>
      <c r="D115" s="204" t="s">
        <v>13688</v>
      </c>
      <c r="E115" s="639" t="s">
        <v>53</v>
      </c>
      <c r="F115" s="791"/>
      <c r="G115" s="792" t="s">
        <v>13865</v>
      </c>
      <c r="H115" s="14" t="s">
        <v>13743</v>
      </c>
      <c r="I115" s="792" t="s">
        <v>13774</v>
      </c>
      <c r="J115" s="14" t="s">
        <v>9650</v>
      </c>
      <c r="L115" s="89"/>
      <c r="M115" s="89" t="str">
        <f t="shared" si="7"/>
        <v>mark.maynard@wvsenate.gov</v>
      </c>
      <c r="N115" s="89"/>
      <c r="O115" s="89"/>
      <c r="P115" s="89"/>
      <c r="Q115" s="89"/>
      <c r="R115" s="89"/>
      <c r="U115" t="str">
        <f t="shared" si="8"/>
        <v/>
      </c>
      <c r="V115" s="139" t="str">
        <f t="shared" si="9"/>
        <v/>
      </c>
      <c r="W115" t="str">
        <f t="shared" si="10"/>
        <v/>
      </c>
      <c r="X115" t="str">
        <f t="shared" si="11"/>
        <v/>
      </c>
      <c r="Y115" t="str">
        <f t="shared" si="12"/>
        <v/>
      </c>
    </row>
    <row r="116">
      <c r="A116" s="14" t="s">
        <v>286</v>
      </c>
      <c r="C116" s="35" t="s">
        <v>914</v>
      </c>
      <c r="D116" s="35" t="s">
        <v>13869</v>
      </c>
      <c r="E116" s="639" t="s">
        <v>53</v>
      </c>
      <c r="F116" s="791"/>
      <c r="G116" s="792" t="s">
        <v>13870</v>
      </c>
      <c r="H116" s="792" t="s">
        <v>13714</v>
      </c>
      <c r="I116" s="792" t="s">
        <v>13872</v>
      </c>
      <c r="L116" s="89"/>
      <c r="M116" s="89" t="str">
        <f t="shared" si="7"/>
        <v>chandler.swope@wvsenate.gov</v>
      </c>
      <c r="N116" s="89"/>
      <c r="O116" s="89"/>
      <c r="P116" s="89"/>
      <c r="Q116" s="89"/>
      <c r="R116" s="89"/>
      <c r="U116" t="str">
        <f t="shared" si="8"/>
        <v/>
      </c>
      <c r="V116" s="139" t="str">
        <f t="shared" si="9"/>
        <v/>
      </c>
      <c r="W116" t="str">
        <f t="shared" si="10"/>
        <v/>
      </c>
      <c r="X116" t="str">
        <f t="shared" si="11"/>
        <v/>
      </c>
      <c r="Y116" t="str">
        <f t="shared" si="12"/>
        <v/>
      </c>
    </row>
    <row r="117">
      <c r="A117" s="14" t="s">
        <v>286</v>
      </c>
      <c r="B117" s="74">
        <v>7.0</v>
      </c>
      <c r="C117" s="204" t="s">
        <v>1813</v>
      </c>
      <c r="D117" s="204" t="s">
        <v>13874</v>
      </c>
      <c r="E117" s="644" t="s">
        <v>49</v>
      </c>
      <c r="F117" s="791"/>
      <c r="L117" s="89"/>
      <c r="M117" s="89" t="str">
        <f t="shared" si="7"/>
        <v>ron.stollings@wvsenate.gov</v>
      </c>
      <c r="N117" s="89"/>
      <c r="O117" s="89"/>
      <c r="P117" s="89"/>
      <c r="Q117" s="89"/>
      <c r="R117" s="89"/>
      <c r="U117" t="str">
        <f t="shared" si="8"/>
        <v/>
      </c>
      <c r="V117" s="139" t="str">
        <f t="shared" si="9"/>
        <v/>
      </c>
      <c r="W117" t="str">
        <f t="shared" si="10"/>
        <v/>
      </c>
      <c r="X117" t="str">
        <f t="shared" si="11"/>
        <v/>
      </c>
      <c r="Y117" t="str">
        <f t="shared" si="12"/>
        <v/>
      </c>
    </row>
    <row r="118">
      <c r="A118" s="14" t="s">
        <v>286</v>
      </c>
      <c r="C118" s="35" t="s">
        <v>1112</v>
      </c>
      <c r="D118" s="35" t="s">
        <v>13879</v>
      </c>
      <c r="E118" s="644" t="s">
        <v>49</v>
      </c>
      <c r="F118" s="791"/>
      <c r="L118" s="89"/>
      <c r="M118" s="89" t="str">
        <f t="shared" si="7"/>
        <v>richard.ojeda@wvsenate.gov</v>
      </c>
      <c r="N118" s="89"/>
      <c r="O118" s="89"/>
      <c r="P118" s="89"/>
      <c r="Q118" s="89"/>
      <c r="R118" s="89"/>
      <c r="U118" t="str">
        <f t="shared" si="8"/>
        <v/>
      </c>
      <c r="V118" s="139" t="str">
        <f t="shared" si="9"/>
        <v/>
      </c>
      <c r="W118" t="str">
        <f t="shared" si="10"/>
        <v/>
      </c>
      <c r="X118" t="str">
        <f t="shared" si="11"/>
        <v/>
      </c>
      <c r="Y118" t="str">
        <f t="shared" si="12"/>
        <v/>
      </c>
    </row>
    <row r="119">
      <c r="A119" s="14" t="s">
        <v>286</v>
      </c>
      <c r="B119" s="74">
        <v>8.0</v>
      </c>
      <c r="C119" s="794" t="s">
        <v>1112</v>
      </c>
      <c r="D119" s="794" t="s">
        <v>4339</v>
      </c>
      <c r="E119" s="644" t="s">
        <v>49</v>
      </c>
      <c r="F119" s="791"/>
      <c r="L119" s="89"/>
      <c r="M119" s="89" t="str">
        <f t="shared" si="7"/>
        <v>richard.lindsay@wvsenate.gov</v>
      </c>
      <c r="N119" s="89"/>
      <c r="O119" s="89"/>
      <c r="P119" s="89"/>
      <c r="Q119" s="89"/>
      <c r="R119" s="89"/>
      <c r="U119" t="str">
        <f t="shared" si="8"/>
        <v/>
      </c>
      <c r="V119" s="139" t="str">
        <f t="shared" si="9"/>
        <v/>
      </c>
      <c r="W119" t="str">
        <f t="shared" si="10"/>
        <v/>
      </c>
      <c r="X119" t="str">
        <f t="shared" si="11"/>
        <v/>
      </c>
      <c r="Y119" t="str">
        <f t="shared" si="12"/>
        <v/>
      </c>
    </row>
    <row r="120">
      <c r="A120" s="14" t="s">
        <v>286</v>
      </c>
      <c r="C120" s="35" t="s">
        <v>3589</v>
      </c>
      <c r="D120" s="35" t="s">
        <v>10645</v>
      </c>
      <c r="E120" s="644" t="s">
        <v>49</v>
      </c>
      <c r="F120" s="791"/>
      <c r="L120" s="89"/>
      <c r="M120" s="89" t="str">
        <f t="shared" si="7"/>
        <v>glenn.jeffries@wvsenate.gov</v>
      </c>
      <c r="N120" s="89"/>
      <c r="O120" s="89"/>
      <c r="P120" s="89"/>
      <c r="Q120" s="89"/>
      <c r="R120" s="89"/>
      <c r="U120" t="str">
        <f t="shared" si="8"/>
        <v/>
      </c>
      <c r="V120" s="139" t="str">
        <f t="shared" si="9"/>
        <v/>
      </c>
      <c r="W120" t="str">
        <f t="shared" si="10"/>
        <v/>
      </c>
      <c r="X120" t="str">
        <f t="shared" si="11"/>
        <v/>
      </c>
      <c r="Y120" t="str">
        <f t="shared" si="12"/>
        <v/>
      </c>
    </row>
    <row r="121">
      <c r="A121" s="14" t="s">
        <v>286</v>
      </c>
      <c r="B121" s="74">
        <v>9.0</v>
      </c>
      <c r="C121" s="213" t="s">
        <v>13884</v>
      </c>
      <c r="D121" s="213" t="s">
        <v>788</v>
      </c>
      <c r="E121" s="639" t="s">
        <v>53</v>
      </c>
      <c r="F121" s="791"/>
      <c r="G121" s="14" t="s">
        <v>13653</v>
      </c>
      <c r="L121" s="89"/>
      <c r="M121" s="89" t="str">
        <f t="shared" si="7"/>
        <v>rollan.roberts@wvsenate.gov</v>
      </c>
      <c r="N121" s="89"/>
      <c r="O121" s="89"/>
      <c r="P121" s="89"/>
      <c r="Q121" s="89"/>
      <c r="R121" s="89"/>
      <c r="U121" t="str">
        <f t="shared" si="8"/>
        <v/>
      </c>
      <c r="V121" s="139" t="str">
        <f t="shared" si="9"/>
        <v/>
      </c>
      <c r="W121" t="str">
        <f t="shared" si="10"/>
        <v/>
      </c>
      <c r="X121" t="str">
        <f t="shared" si="11"/>
        <v/>
      </c>
      <c r="Y121" t="str">
        <f t="shared" si="12"/>
        <v/>
      </c>
    </row>
    <row r="122">
      <c r="A122" s="14" t="s">
        <v>286</v>
      </c>
      <c r="C122" s="35" t="s">
        <v>4426</v>
      </c>
      <c r="D122" s="35" t="s">
        <v>13444</v>
      </c>
      <c r="E122" s="639" t="s">
        <v>53</v>
      </c>
      <c r="F122" s="791"/>
      <c r="G122" s="792" t="s">
        <v>12217</v>
      </c>
      <c r="L122" s="89"/>
      <c r="M122" s="89" t="str">
        <f t="shared" si="7"/>
        <v>sue.cline@wvsenate.gov</v>
      </c>
      <c r="N122" s="89"/>
      <c r="O122" s="89"/>
      <c r="P122" s="89"/>
      <c r="Q122" s="89"/>
      <c r="R122" s="89"/>
      <c r="U122" t="str">
        <f t="shared" si="8"/>
        <v/>
      </c>
      <c r="V122" s="139" t="str">
        <f t="shared" si="9"/>
        <v/>
      </c>
      <c r="W122" t="str">
        <f t="shared" si="10"/>
        <v/>
      </c>
      <c r="X122" t="str">
        <f t="shared" si="11"/>
        <v/>
      </c>
      <c r="Y122" t="str">
        <f t="shared" si="12"/>
        <v/>
      </c>
    </row>
    <row r="123">
      <c r="A123" s="14" t="s">
        <v>286</v>
      </c>
      <c r="B123" s="74">
        <v>10.0</v>
      </c>
      <c r="C123" s="204" t="s">
        <v>1505</v>
      </c>
      <c r="D123" s="213" t="s">
        <v>725</v>
      </c>
      <c r="E123" s="644" t="s">
        <v>49</v>
      </c>
      <c r="F123" s="791"/>
      <c r="L123" s="89"/>
      <c r="M123" s="89" t="str">
        <f t="shared" si="7"/>
        <v>stephen.baldwin@wvsenate.gov</v>
      </c>
      <c r="N123" s="89"/>
      <c r="O123" s="89"/>
      <c r="P123" s="89"/>
      <c r="Q123" s="89"/>
      <c r="R123" s="89"/>
      <c r="U123" t="str">
        <f t="shared" si="8"/>
        <v/>
      </c>
      <c r="V123" s="139" t="str">
        <f t="shared" si="9"/>
        <v/>
      </c>
      <c r="W123" t="str">
        <f t="shared" si="10"/>
        <v/>
      </c>
      <c r="X123" t="str">
        <f t="shared" si="11"/>
        <v/>
      </c>
      <c r="Y123" t="str">
        <f t="shared" si="12"/>
        <v/>
      </c>
    </row>
    <row r="124">
      <c r="A124" s="14" t="s">
        <v>286</v>
      </c>
      <c r="C124" s="35" t="s">
        <v>5745</v>
      </c>
      <c r="D124" s="35" t="s">
        <v>8032</v>
      </c>
      <c r="E124" s="639" t="s">
        <v>53</v>
      </c>
      <c r="F124" s="791"/>
      <c r="G124" s="792" t="s">
        <v>13890</v>
      </c>
      <c r="H124" s="14" t="s">
        <v>1300</v>
      </c>
      <c r="I124" s="14" t="s">
        <v>9622</v>
      </c>
      <c r="L124" s="89"/>
      <c r="M124" s="89" t="str">
        <f t="shared" si="7"/>
        <v>kenny.mann@wvsenate.gov</v>
      </c>
      <c r="N124" s="89"/>
      <c r="O124" s="89"/>
      <c r="P124" s="89"/>
      <c r="Q124" s="89"/>
      <c r="R124" s="89"/>
      <c r="U124" t="str">
        <f t="shared" si="8"/>
        <v/>
      </c>
      <c r="V124" s="139" t="str">
        <f t="shared" si="9"/>
        <v/>
      </c>
      <c r="W124" t="str">
        <f t="shared" si="10"/>
        <v/>
      </c>
      <c r="X124" t="str">
        <f t="shared" si="11"/>
        <v/>
      </c>
      <c r="Y124" t="str">
        <f t="shared" si="12"/>
        <v/>
      </c>
    </row>
    <row r="125">
      <c r="A125" s="14" t="s">
        <v>286</v>
      </c>
      <c r="B125" s="74">
        <v>11.0</v>
      </c>
      <c r="C125" s="213" t="s">
        <v>325</v>
      </c>
      <c r="D125" s="213" t="s">
        <v>4789</v>
      </c>
      <c r="E125" s="639" t="s">
        <v>53</v>
      </c>
      <c r="F125" s="791"/>
      <c r="G125" s="14" t="s">
        <v>13891</v>
      </c>
      <c r="L125" s="89"/>
      <c r="M125" s="89" t="str">
        <f t="shared" si="7"/>
        <v>bill.hamilton@wvsenate.gov</v>
      </c>
      <c r="N125" s="89"/>
      <c r="O125" s="89"/>
      <c r="P125" s="89"/>
      <c r="Q125" s="89"/>
      <c r="R125" s="89"/>
      <c r="U125" t="str">
        <f t="shared" si="8"/>
        <v/>
      </c>
      <c r="V125" s="139" t="str">
        <f t="shared" si="9"/>
        <v/>
      </c>
      <c r="W125" t="str">
        <f t="shared" si="10"/>
        <v/>
      </c>
      <c r="X125" t="str">
        <f t="shared" si="11"/>
        <v/>
      </c>
      <c r="Y125" t="str">
        <f t="shared" si="12"/>
        <v/>
      </c>
    </row>
    <row r="126">
      <c r="A126" s="14" t="s">
        <v>286</v>
      </c>
      <c r="C126" s="35" t="s">
        <v>997</v>
      </c>
      <c r="D126" s="35" t="s">
        <v>13894</v>
      </c>
      <c r="E126" s="639" t="s">
        <v>53</v>
      </c>
      <c r="F126" s="791"/>
      <c r="G126" s="792" t="s">
        <v>13802</v>
      </c>
      <c r="L126" s="89"/>
      <c r="M126" s="89" t="str">
        <f t="shared" si="7"/>
        <v>greg.boso@wvsenate.gov</v>
      </c>
      <c r="N126" s="89"/>
      <c r="O126" s="89"/>
      <c r="P126" s="89"/>
      <c r="Q126" s="89"/>
      <c r="R126" s="89"/>
      <c r="U126" t="str">
        <f t="shared" si="8"/>
        <v/>
      </c>
      <c r="V126" s="139" t="str">
        <f t="shared" si="9"/>
        <v/>
      </c>
      <c r="W126" t="str">
        <f t="shared" si="10"/>
        <v/>
      </c>
      <c r="X126" t="str">
        <f t="shared" si="11"/>
        <v/>
      </c>
      <c r="Y126" t="str">
        <f t="shared" si="12"/>
        <v/>
      </c>
    </row>
    <row r="127">
      <c r="A127" s="14" t="s">
        <v>286</v>
      </c>
      <c r="B127" s="74">
        <v>12.0</v>
      </c>
      <c r="C127" s="204" t="s">
        <v>157</v>
      </c>
      <c r="D127" s="204" t="s">
        <v>13896</v>
      </c>
      <c r="E127" s="644" t="s">
        <v>49</v>
      </c>
      <c r="F127" s="791"/>
      <c r="L127" s="89"/>
      <c r="M127" s="89" t="str">
        <f t="shared" si="7"/>
        <v>mike.romano@wvsenate.gov</v>
      </c>
      <c r="N127" s="89"/>
      <c r="O127" s="89"/>
      <c r="P127" s="89"/>
      <c r="Q127" s="89"/>
      <c r="R127" s="89"/>
      <c r="U127" t="str">
        <f t="shared" si="8"/>
        <v/>
      </c>
      <c r="V127" s="139" t="str">
        <f t="shared" si="9"/>
        <v/>
      </c>
      <c r="W127" t="str">
        <f t="shared" si="10"/>
        <v/>
      </c>
      <c r="X127" t="str">
        <f t="shared" si="11"/>
        <v/>
      </c>
      <c r="Y127" t="str">
        <f t="shared" si="12"/>
        <v/>
      </c>
    </row>
    <row r="128">
      <c r="A128" s="14" t="s">
        <v>286</v>
      </c>
      <c r="C128" s="35" t="s">
        <v>1146</v>
      </c>
      <c r="D128" s="35" t="s">
        <v>13899</v>
      </c>
      <c r="E128" s="644" t="s">
        <v>49</v>
      </c>
      <c r="F128" s="791"/>
      <c r="L128" s="89"/>
      <c r="M128" s="89" t="str">
        <f t="shared" si="7"/>
        <v>doug.facemire@wvsenate.gov</v>
      </c>
      <c r="N128" s="89"/>
      <c r="O128" s="89"/>
      <c r="P128" s="89"/>
      <c r="Q128" s="89"/>
      <c r="R128" s="89"/>
      <c r="U128" t="str">
        <f t="shared" si="8"/>
        <v/>
      </c>
      <c r="V128" s="139" t="str">
        <f t="shared" si="9"/>
        <v/>
      </c>
      <c r="W128" t="str">
        <f t="shared" si="10"/>
        <v/>
      </c>
      <c r="X128" t="str">
        <f t="shared" si="11"/>
        <v/>
      </c>
      <c r="Y128" t="str">
        <f t="shared" si="12"/>
        <v/>
      </c>
    </row>
    <row r="129">
      <c r="A129" s="14" t="s">
        <v>286</v>
      </c>
      <c r="B129" s="74">
        <v>13.0</v>
      </c>
      <c r="C129" s="204" t="s">
        <v>419</v>
      </c>
      <c r="D129" s="204" t="s">
        <v>4509</v>
      </c>
      <c r="E129" s="644" t="s">
        <v>49</v>
      </c>
      <c r="F129" s="791"/>
      <c r="L129" s="89"/>
      <c r="M129" s="89" t="str">
        <f t="shared" si="7"/>
        <v>bob.beach@wvsenate.gov</v>
      </c>
      <c r="N129" s="89"/>
      <c r="O129" s="89"/>
      <c r="P129" s="89"/>
      <c r="Q129" s="89"/>
      <c r="R129" s="89"/>
      <c r="U129" t="str">
        <f t="shared" si="8"/>
        <v/>
      </c>
      <c r="V129" s="139" t="str">
        <f t="shared" si="9"/>
        <v/>
      </c>
      <c r="W129" t="str">
        <f t="shared" si="10"/>
        <v/>
      </c>
      <c r="X129" t="str">
        <f t="shared" si="11"/>
        <v/>
      </c>
      <c r="Y129" t="str">
        <f t="shared" si="12"/>
        <v/>
      </c>
    </row>
    <row r="130">
      <c r="A130" s="14" t="s">
        <v>286</v>
      </c>
      <c r="C130" s="35" t="s">
        <v>13902</v>
      </c>
      <c r="D130" s="35" t="s">
        <v>13905</v>
      </c>
      <c r="E130" s="644" t="s">
        <v>49</v>
      </c>
      <c r="F130" s="793" t="s">
        <v>498</v>
      </c>
      <c r="L130" s="89"/>
      <c r="M130" s="89" t="str">
        <f t="shared" si="7"/>
        <v>roman.prezioso@wvsenate.gov</v>
      </c>
      <c r="N130" s="640" t="str">
        <f>HYPERLINK("https://docs.google.com/document/d/1CRYf35lNdzzode4HnEL28fmLJ31A8T_XLGVeMkSr_Us/edit#heading=h.ukawe30im1h","Zero")</f>
        <v>Zero</v>
      </c>
      <c r="O130" s="89"/>
      <c r="P130" s="89"/>
      <c r="Q130" s="89"/>
      <c r="R130" s="89"/>
      <c r="U130" t="str">
        <f t="shared" si="8"/>
        <v/>
      </c>
      <c r="V130" s="139" t="str">
        <f t="shared" si="9"/>
        <v/>
      </c>
      <c r="W130" t="str">
        <f t="shared" si="10"/>
        <v/>
      </c>
      <c r="X130" t="str">
        <f t="shared" si="11"/>
        <v/>
      </c>
      <c r="Y130" t="str">
        <f t="shared" si="12"/>
        <v/>
      </c>
    </row>
    <row r="131">
      <c r="A131" s="14" t="s">
        <v>286</v>
      </c>
      <c r="B131" s="74">
        <v>14.0</v>
      </c>
      <c r="C131" s="204" t="s">
        <v>108</v>
      </c>
      <c r="D131" s="204" t="s">
        <v>13792</v>
      </c>
      <c r="E131" s="639" t="s">
        <v>53</v>
      </c>
      <c r="F131" s="791"/>
      <c r="G131" s="792" t="s">
        <v>13910</v>
      </c>
      <c r="H131" s="792" t="s">
        <v>13911</v>
      </c>
      <c r="L131" s="89"/>
      <c r="M131" s="89" t="str">
        <f t="shared" si="7"/>
        <v>david.sypolt@wvsenate.gov</v>
      </c>
      <c r="N131" s="89"/>
      <c r="O131" s="89"/>
      <c r="P131" s="89"/>
      <c r="Q131" s="89"/>
      <c r="R131" s="89"/>
      <c r="U131" t="str">
        <f t="shared" si="8"/>
        <v/>
      </c>
      <c r="V131" s="139" t="str">
        <f t="shared" si="9"/>
        <v/>
      </c>
      <c r="W131" t="str">
        <f t="shared" si="10"/>
        <v/>
      </c>
      <c r="X131" t="str">
        <f t="shared" si="11"/>
        <v/>
      </c>
      <c r="Y131" t="str">
        <f t="shared" si="12"/>
        <v/>
      </c>
    </row>
    <row r="132">
      <c r="A132" s="14" t="s">
        <v>286</v>
      </c>
      <c r="C132" s="35" t="s">
        <v>412</v>
      </c>
      <c r="D132" s="35" t="s">
        <v>1451</v>
      </c>
      <c r="E132" s="639" t="s">
        <v>53</v>
      </c>
      <c r="F132" s="791"/>
      <c r="G132" s="792" t="s">
        <v>13913</v>
      </c>
      <c r="L132" s="89"/>
      <c r="M132" s="89" t="str">
        <f t="shared" si="7"/>
        <v>randy.smith@wvsenate.gov</v>
      </c>
      <c r="N132" s="89"/>
      <c r="O132" s="89"/>
      <c r="P132" s="89"/>
      <c r="Q132" s="89"/>
      <c r="R132" s="89"/>
      <c r="U132" t="str">
        <f t="shared" si="8"/>
        <v/>
      </c>
      <c r="V132" s="139" t="str">
        <f t="shared" si="9"/>
        <v/>
      </c>
      <c r="W132" t="str">
        <f t="shared" si="10"/>
        <v/>
      </c>
      <c r="X132" t="str">
        <f t="shared" si="11"/>
        <v/>
      </c>
      <c r="Y132" t="str">
        <f t="shared" si="12"/>
        <v/>
      </c>
    </row>
    <row r="133">
      <c r="A133" s="14" t="s">
        <v>286</v>
      </c>
      <c r="B133" s="74">
        <v>15.0</v>
      </c>
      <c r="C133" s="204" t="s">
        <v>1287</v>
      </c>
      <c r="D133" s="204" t="s">
        <v>13918</v>
      </c>
      <c r="E133" s="639" t="s">
        <v>53</v>
      </c>
      <c r="F133" s="791"/>
      <c r="G133" s="14" t="s">
        <v>877</v>
      </c>
      <c r="L133" s="89"/>
      <c r="M133" s="89" t="str">
        <f t="shared" si="7"/>
        <v>charles.trump@wvsenate.gov</v>
      </c>
      <c r="N133" s="640" t="str">
        <f>HYPERLINK("https://docs.google.com/document/d/1iRNDhyFvLBcWMz9Z99hBX1wQtlAkuNuk9yak4Y6NeiI/edit#heading=h.ukawe30im1h","Zero")</f>
        <v>Zero</v>
      </c>
      <c r="O133" s="89"/>
      <c r="P133" s="89"/>
      <c r="Q133" s="89"/>
      <c r="R133" s="89"/>
      <c r="U133" t="str">
        <f t="shared" si="8"/>
        <v>Senator</v>
      </c>
      <c r="V133" s="139" t="str">
        <f t="shared" si="9"/>
        <v>Charles</v>
      </c>
      <c r="W133" t="str">
        <f t="shared" si="10"/>
        <v>Trump</v>
      </c>
      <c r="X133" t="str">
        <f t="shared" si="11"/>
        <v>charles.trump@wvsenate.gov</v>
      </c>
      <c r="Y133" t="str">
        <f t="shared" si="12"/>
        <v>Judiciary (Chair)</v>
      </c>
    </row>
    <row r="134">
      <c r="A134" s="14" t="s">
        <v>286</v>
      </c>
      <c r="C134" s="35" t="s">
        <v>373</v>
      </c>
      <c r="D134" s="35" t="s">
        <v>13920</v>
      </c>
      <c r="E134" s="639" t="s">
        <v>53</v>
      </c>
      <c r="F134" s="791"/>
      <c r="G134" s="14" t="s">
        <v>888</v>
      </c>
      <c r="H134" s="14" t="s">
        <v>1272</v>
      </c>
      <c r="L134" s="89"/>
      <c r="M134" s="89" t="str">
        <f t="shared" si="7"/>
        <v>craig.blair@wvsenate.gov</v>
      </c>
      <c r="N134" s="89"/>
      <c r="O134" s="89"/>
      <c r="P134" s="89"/>
      <c r="Q134" s="89"/>
      <c r="R134" s="89"/>
      <c r="U134" t="str">
        <f t="shared" si="8"/>
        <v/>
      </c>
      <c r="V134" s="139" t="str">
        <f t="shared" si="9"/>
        <v/>
      </c>
      <c r="W134" t="str">
        <f t="shared" si="10"/>
        <v/>
      </c>
      <c r="X134" t="str">
        <f t="shared" si="11"/>
        <v/>
      </c>
      <c r="Y134" t="str">
        <f t="shared" si="12"/>
        <v/>
      </c>
    </row>
    <row r="135">
      <c r="A135" s="14" t="s">
        <v>286</v>
      </c>
      <c r="B135" s="74">
        <v>16.0</v>
      </c>
      <c r="C135" s="204" t="s">
        <v>278</v>
      </c>
      <c r="D135" s="204" t="s">
        <v>13922</v>
      </c>
      <c r="E135" s="644" t="s">
        <v>49</v>
      </c>
      <c r="F135" s="791"/>
      <c r="L135" s="89"/>
      <c r="M135" s="89" t="str">
        <f t="shared" si="7"/>
        <v>john.unger@wvsenate.gov</v>
      </c>
      <c r="N135" s="89"/>
      <c r="O135" s="89"/>
      <c r="P135" s="89"/>
      <c r="Q135" s="89"/>
      <c r="R135" s="89"/>
      <c r="U135" t="str">
        <f t="shared" si="8"/>
        <v/>
      </c>
      <c r="V135" s="139" t="str">
        <f t="shared" si="9"/>
        <v/>
      </c>
      <c r="W135" t="str">
        <f t="shared" si="10"/>
        <v/>
      </c>
      <c r="X135" t="str">
        <f t="shared" si="11"/>
        <v/>
      </c>
      <c r="Y135" t="str">
        <f t="shared" si="12"/>
        <v/>
      </c>
    </row>
    <row r="136">
      <c r="A136" s="14" t="s">
        <v>286</v>
      </c>
      <c r="C136" s="35" t="s">
        <v>2249</v>
      </c>
      <c r="D136" s="35" t="s">
        <v>5454</v>
      </c>
      <c r="E136" s="639" t="s">
        <v>53</v>
      </c>
      <c r="F136" s="791"/>
      <c r="G136" s="14" t="s">
        <v>1047</v>
      </c>
      <c r="L136" s="89"/>
      <c r="M136" s="89" t="str">
        <f t="shared" si="7"/>
        <v>patricia.rucker@wvsenate.gov</v>
      </c>
      <c r="N136" s="89"/>
      <c r="O136" s="89"/>
      <c r="P136" s="89"/>
      <c r="Q136" s="89"/>
      <c r="R136" s="89"/>
      <c r="U136" t="str">
        <f t="shared" si="8"/>
        <v/>
      </c>
      <c r="V136" s="139" t="str">
        <f t="shared" si="9"/>
        <v/>
      </c>
      <c r="W136" t="str">
        <f t="shared" si="10"/>
        <v/>
      </c>
      <c r="X136" t="str">
        <f t="shared" si="11"/>
        <v/>
      </c>
      <c r="Y136" t="str">
        <f t="shared" si="12"/>
        <v/>
      </c>
    </row>
    <row r="137">
      <c r="A137" s="14" t="s">
        <v>286</v>
      </c>
      <c r="B137" s="74">
        <v>17.0</v>
      </c>
      <c r="C137" s="204" t="s">
        <v>338</v>
      </c>
      <c r="D137" s="204" t="s">
        <v>13928</v>
      </c>
      <c r="E137" s="639" t="s">
        <v>53</v>
      </c>
      <c r="F137" s="793" t="s">
        <v>4576</v>
      </c>
      <c r="G137" s="14" t="s">
        <v>13929</v>
      </c>
      <c r="L137" s="89"/>
      <c r="M137" s="89" t="str">
        <f t="shared" si="7"/>
        <v>tom.takubo@wvsenate.gov</v>
      </c>
      <c r="N137" s="640" t="str">
        <f>HYPERLINK("https://docs.google.com/document/d/1MahemtxSuSPWcxj44MrMDK_l1NttfSje_SvODHjiAOQ/edit","Zero")</f>
        <v>Zero</v>
      </c>
      <c r="O137" s="89"/>
      <c r="P137" s="89"/>
      <c r="Q137" s="89"/>
      <c r="R137" s="89"/>
      <c r="U137" t="str">
        <f t="shared" si="8"/>
        <v>Senator</v>
      </c>
      <c r="V137" s="139" t="str">
        <f t="shared" si="9"/>
        <v>Tom</v>
      </c>
      <c r="W137" t="str">
        <f t="shared" si="10"/>
        <v>Takubo</v>
      </c>
      <c r="X137" t="str">
        <f t="shared" si="11"/>
        <v>tom.takubo@wvsenate.gov</v>
      </c>
      <c r="Y137" t="str">
        <f t="shared" si="12"/>
        <v>Senate Majority Leader</v>
      </c>
    </row>
    <row r="138">
      <c r="A138" s="14" t="s">
        <v>286</v>
      </c>
      <c r="C138" s="35" t="s">
        <v>200</v>
      </c>
      <c r="D138" s="35" t="s">
        <v>5256</v>
      </c>
      <c r="E138" s="644" t="s">
        <v>49</v>
      </c>
      <c r="F138" s="793" t="s">
        <v>13933</v>
      </c>
      <c r="L138" s="89"/>
      <c r="M138" s="89" t="str">
        <f t="shared" si="7"/>
        <v>corey.palumbo@wvsenate.gov</v>
      </c>
      <c r="N138" s="640" t="str">
        <f>HYPERLINK("https://docs.google.com/document/d/17caanPfSEzoce0mbJVtDclwEjOa3zl5sCMu_in_32kg/edit#heading=h.ukawe30im1h","Zero")</f>
        <v>Zero</v>
      </c>
      <c r="O138" s="89"/>
      <c r="P138" s="89"/>
      <c r="Q138" s="89"/>
      <c r="R138" s="89"/>
      <c r="U138" t="str">
        <f t="shared" si="8"/>
        <v/>
      </c>
      <c r="V138" s="139" t="str">
        <f t="shared" si="9"/>
        <v/>
      </c>
      <c r="W138" t="str">
        <f t="shared" si="10"/>
        <v/>
      </c>
      <c r="X138" t="str">
        <f t="shared" si="11"/>
        <v/>
      </c>
      <c r="Y138" t="str">
        <f t="shared" si="12"/>
        <v/>
      </c>
    </row>
    <row r="139">
      <c r="A139" s="70"/>
      <c r="B139" s="796"/>
      <c r="C139" s="71"/>
      <c r="D139" s="71"/>
      <c r="E139" s="653"/>
      <c r="F139" s="184"/>
      <c r="G139" s="70"/>
      <c r="H139" s="70"/>
      <c r="I139" s="70"/>
      <c r="J139" s="70"/>
      <c r="K139" s="70"/>
      <c r="L139" s="70"/>
      <c r="M139" s="70"/>
      <c r="N139" s="70"/>
      <c r="O139" s="70"/>
      <c r="P139" s="70"/>
      <c r="Q139" s="70"/>
      <c r="R139" s="70"/>
      <c r="S139" s="70"/>
      <c r="T139" s="70"/>
      <c r="U139" s="70"/>
      <c r="V139" s="70"/>
      <c r="W139" s="70"/>
      <c r="X139" s="70"/>
      <c r="Y139" s="70"/>
      <c r="Z139" s="70"/>
      <c r="AA139" s="70"/>
      <c r="AB139" s="70"/>
      <c r="AC139" s="70"/>
      <c r="AD139" s="70"/>
      <c r="AE139" s="70"/>
      <c r="AF139" s="70"/>
      <c r="AG139" s="70"/>
      <c r="AH139" s="70"/>
    </row>
    <row r="140">
      <c r="A140" s="14" t="s">
        <v>421</v>
      </c>
      <c r="B140" s="797"/>
      <c r="C140" s="77" t="s">
        <v>476</v>
      </c>
      <c r="D140" s="77" t="s">
        <v>13936</v>
      </c>
      <c r="E140" s="694" t="s">
        <v>53</v>
      </c>
      <c r="F140" s="15"/>
    </row>
    <row r="141">
      <c r="A141" s="70"/>
      <c r="B141" s="71"/>
      <c r="C141" s="71"/>
      <c r="D141" s="71"/>
      <c r="E141" s="653"/>
      <c r="F141" s="184"/>
      <c r="G141" s="70"/>
      <c r="H141" s="70"/>
      <c r="I141" s="70"/>
      <c r="J141" s="70"/>
      <c r="K141" s="70"/>
      <c r="L141" s="70"/>
      <c r="M141" s="70"/>
      <c r="N141" s="70"/>
      <c r="O141" s="70"/>
      <c r="P141" s="70"/>
      <c r="Q141" s="70"/>
      <c r="R141" s="70"/>
      <c r="S141" s="70"/>
      <c r="T141" s="70"/>
      <c r="U141" s="70"/>
      <c r="V141" s="70"/>
      <c r="W141" s="70"/>
      <c r="X141" s="70"/>
      <c r="Y141" s="70"/>
      <c r="Z141" s="70"/>
      <c r="AA141" s="70"/>
      <c r="AB141" s="70"/>
      <c r="AC141" s="70"/>
      <c r="AD141" s="70"/>
      <c r="AE141" s="70"/>
      <c r="AF141" s="70"/>
      <c r="AG141" s="70"/>
      <c r="AH141" s="70"/>
    </row>
    <row r="142">
      <c r="A142" s="14" t="s">
        <v>427</v>
      </c>
      <c r="B142" s="77">
        <v>1.0</v>
      </c>
      <c r="C142" s="77" t="s">
        <v>108</v>
      </c>
      <c r="D142" s="77" t="s">
        <v>13937</v>
      </c>
      <c r="E142" s="694" t="s">
        <v>53</v>
      </c>
      <c r="F142" s="15"/>
    </row>
    <row r="143">
      <c r="A143" s="14" t="s">
        <v>427</v>
      </c>
      <c r="B143" s="77">
        <v>2.0</v>
      </c>
      <c r="C143" s="77" t="s">
        <v>1642</v>
      </c>
      <c r="D143" s="77" t="s">
        <v>461</v>
      </c>
      <c r="E143" s="694" t="s">
        <v>53</v>
      </c>
      <c r="F143" s="15"/>
    </row>
    <row r="144">
      <c r="A144" s="14" t="s">
        <v>427</v>
      </c>
      <c r="B144" s="77">
        <v>3.0</v>
      </c>
      <c r="C144" s="77" t="s">
        <v>801</v>
      </c>
      <c r="D144" s="77" t="s">
        <v>1501</v>
      </c>
      <c r="E144" s="694" t="s">
        <v>53</v>
      </c>
      <c r="F144" s="15"/>
    </row>
    <row r="145">
      <c r="A145" s="70"/>
      <c r="B145" s="71"/>
      <c r="C145" s="71"/>
      <c r="D145" s="71"/>
      <c r="E145" s="653"/>
      <c r="F145" s="184"/>
      <c r="G145" s="70"/>
      <c r="H145" s="70"/>
      <c r="I145" s="70"/>
      <c r="J145" s="70"/>
      <c r="K145" s="70"/>
      <c r="L145" s="70"/>
      <c r="M145" s="70"/>
      <c r="N145" s="70"/>
      <c r="O145" s="70"/>
      <c r="P145" s="70"/>
      <c r="Q145" s="70"/>
      <c r="R145" s="70"/>
      <c r="S145" s="70"/>
      <c r="T145" s="70"/>
      <c r="U145" s="70"/>
      <c r="V145" s="70"/>
      <c r="W145" s="70"/>
      <c r="X145" s="70"/>
      <c r="Y145" s="70"/>
      <c r="Z145" s="70"/>
      <c r="AA145" s="70"/>
      <c r="AB145" s="70"/>
      <c r="AC145" s="70"/>
      <c r="AD145" s="70"/>
      <c r="AE145" s="70"/>
      <c r="AF145" s="70"/>
      <c r="AG145" s="70"/>
      <c r="AH145" s="70"/>
    </row>
    <row r="146">
      <c r="A146" s="14" t="s">
        <v>430</v>
      </c>
      <c r="B146" s="77" t="s">
        <v>431</v>
      </c>
      <c r="C146" s="77" t="s">
        <v>3698</v>
      </c>
      <c r="D146" s="77" t="s">
        <v>13742</v>
      </c>
      <c r="E146" s="694" t="s">
        <v>53</v>
      </c>
      <c r="F146" s="15"/>
    </row>
    <row r="147">
      <c r="A147" s="14" t="s">
        <v>430</v>
      </c>
      <c r="B147" s="77" t="s">
        <v>434</v>
      </c>
      <c r="C147" s="77" t="s">
        <v>622</v>
      </c>
      <c r="D147" s="77" t="s">
        <v>13939</v>
      </c>
      <c r="E147" s="681" t="s">
        <v>49</v>
      </c>
      <c r="F147" s="15"/>
    </row>
    <row r="148">
      <c r="A148" s="70"/>
      <c r="B148" s="71"/>
      <c r="C148" s="71"/>
      <c r="D148" s="71"/>
      <c r="E148" s="653"/>
      <c r="F148" s="184"/>
      <c r="G148" s="70"/>
      <c r="H148" s="70"/>
      <c r="I148" s="70"/>
      <c r="J148" s="70"/>
      <c r="K148" s="70"/>
      <c r="L148" s="70"/>
      <c r="M148" s="70"/>
      <c r="N148" s="70"/>
      <c r="O148" s="70"/>
      <c r="P148" s="70"/>
      <c r="Q148" s="70"/>
      <c r="R148" s="70"/>
      <c r="S148" s="70"/>
      <c r="T148" s="70"/>
      <c r="U148" s="70"/>
      <c r="V148" s="70"/>
      <c r="W148" s="70"/>
      <c r="X148" s="70"/>
      <c r="Y148" s="70"/>
      <c r="Z148" s="70"/>
      <c r="AA148" s="70"/>
      <c r="AB148" s="70"/>
      <c r="AC148" s="70"/>
      <c r="AD148" s="70"/>
      <c r="AE148" s="70"/>
      <c r="AF148" s="70"/>
      <c r="AG148" s="70"/>
      <c r="AH148" s="70"/>
    </row>
    <row r="149">
      <c r="A149" s="14" t="s">
        <v>438</v>
      </c>
      <c r="B149" s="139"/>
      <c r="C149" s="77" t="s">
        <v>1914</v>
      </c>
      <c r="D149" s="77" t="s">
        <v>13940</v>
      </c>
      <c r="E149" s="678" t="s">
        <v>53</v>
      </c>
      <c r="F149" s="15"/>
    </row>
    <row r="150">
      <c r="A150" s="70"/>
      <c r="B150" s="71"/>
      <c r="C150" s="71"/>
      <c r="D150" s="71"/>
      <c r="E150" s="653"/>
      <c r="F150" s="184"/>
      <c r="G150" s="70"/>
      <c r="H150" s="70"/>
      <c r="I150" s="70"/>
      <c r="J150" s="70"/>
      <c r="K150" s="70"/>
      <c r="L150" s="70"/>
      <c r="M150" s="70"/>
      <c r="N150" s="70"/>
      <c r="O150" s="70"/>
      <c r="P150" s="70"/>
      <c r="Q150" s="70"/>
      <c r="R150" s="70"/>
      <c r="S150" s="70"/>
      <c r="T150" s="70"/>
      <c r="U150" s="70"/>
      <c r="V150" s="70"/>
      <c r="W150" s="70"/>
      <c r="X150" s="70"/>
      <c r="Y150" s="70"/>
      <c r="Z150" s="70"/>
      <c r="AA150" s="70"/>
      <c r="AB150" s="70"/>
      <c r="AC150" s="70"/>
      <c r="AD150" s="70"/>
      <c r="AE150" s="70"/>
      <c r="AF150" s="70"/>
      <c r="AG150" s="70"/>
      <c r="AH150" s="70"/>
    </row>
    <row r="151">
      <c r="B151" s="139"/>
      <c r="C151" s="139"/>
      <c r="D151" s="139"/>
      <c r="F151" s="15"/>
    </row>
    <row r="152">
      <c r="B152" s="139"/>
      <c r="C152" s="139"/>
      <c r="D152" s="139"/>
      <c r="F152" s="15"/>
    </row>
    <row r="153">
      <c r="B153" s="139"/>
      <c r="C153" s="139"/>
      <c r="D153" s="139"/>
      <c r="F153" s="15"/>
    </row>
    <row r="154">
      <c r="B154" s="139"/>
      <c r="C154" s="139"/>
      <c r="D154" s="139"/>
      <c r="F154" s="15"/>
    </row>
    <row r="155">
      <c r="B155" s="139"/>
      <c r="C155" s="139"/>
      <c r="D155" s="139"/>
      <c r="F155" s="15"/>
    </row>
    <row r="156">
      <c r="B156" s="139"/>
      <c r="C156" s="139"/>
      <c r="D156" s="139"/>
      <c r="F156" s="15"/>
    </row>
    <row r="157">
      <c r="B157" s="139"/>
      <c r="C157" s="139"/>
      <c r="D157" s="139"/>
      <c r="F157" s="15"/>
    </row>
    <row r="158">
      <c r="B158" s="139"/>
      <c r="C158" s="139"/>
      <c r="D158" s="139"/>
      <c r="F158" s="15"/>
    </row>
    <row r="159">
      <c r="B159" s="139"/>
      <c r="C159" s="139"/>
      <c r="D159" s="139"/>
      <c r="F159" s="15"/>
    </row>
    <row r="160">
      <c r="B160" s="139"/>
      <c r="C160" s="139"/>
      <c r="D160" s="139"/>
      <c r="F160" s="15"/>
    </row>
    <row r="161">
      <c r="B161" s="139"/>
      <c r="C161" s="139"/>
      <c r="D161" s="139"/>
      <c r="F161" s="15"/>
    </row>
    <row r="162">
      <c r="B162" s="139"/>
      <c r="C162" s="139"/>
      <c r="D162" s="139"/>
      <c r="F162" s="15"/>
    </row>
    <row r="163">
      <c r="B163" s="139"/>
      <c r="C163" s="139"/>
      <c r="D163" s="139"/>
      <c r="F163" s="15"/>
    </row>
    <row r="164">
      <c r="B164" s="139"/>
      <c r="C164" s="139"/>
      <c r="D164" s="139"/>
      <c r="F164" s="15"/>
    </row>
    <row r="165">
      <c r="B165" s="139"/>
      <c r="C165" s="139"/>
      <c r="D165" s="139"/>
      <c r="F165" s="15"/>
    </row>
    <row r="166">
      <c r="B166" s="139"/>
      <c r="C166" s="139"/>
      <c r="D166" s="139"/>
      <c r="F166" s="15"/>
    </row>
    <row r="167">
      <c r="B167" s="139"/>
      <c r="C167" s="139"/>
      <c r="D167" s="139"/>
      <c r="F167" s="15"/>
    </row>
    <row r="168">
      <c r="B168" s="139"/>
      <c r="C168" s="139"/>
      <c r="D168" s="139"/>
      <c r="F168" s="15"/>
    </row>
    <row r="169">
      <c r="B169" s="139"/>
      <c r="C169" s="139"/>
      <c r="D169" s="139"/>
      <c r="F169" s="15"/>
    </row>
    <row r="170">
      <c r="B170" s="139"/>
      <c r="C170" s="139"/>
      <c r="D170" s="139"/>
      <c r="F170" s="15"/>
    </row>
    <row r="171">
      <c r="B171" s="139"/>
      <c r="C171" s="139"/>
      <c r="D171" s="139"/>
      <c r="F171" s="15"/>
    </row>
    <row r="172">
      <c r="B172" s="139"/>
      <c r="C172" s="139"/>
      <c r="D172" s="139"/>
      <c r="F172" s="15"/>
    </row>
    <row r="173">
      <c r="B173" s="139"/>
      <c r="C173" s="139"/>
      <c r="D173" s="139"/>
      <c r="F173" s="15"/>
    </row>
    <row r="174">
      <c r="B174" s="139"/>
      <c r="C174" s="139"/>
      <c r="D174" s="139"/>
      <c r="F174" s="15"/>
    </row>
    <row r="175">
      <c r="B175" s="139"/>
      <c r="C175" s="139"/>
      <c r="D175" s="139"/>
      <c r="F175" s="15"/>
    </row>
    <row r="176">
      <c r="B176" s="139"/>
      <c r="C176" s="139"/>
      <c r="D176" s="139"/>
      <c r="F176" s="15"/>
    </row>
    <row r="177">
      <c r="B177" s="139"/>
      <c r="C177" s="139"/>
      <c r="D177" s="139"/>
      <c r="F177" s="15"/>
    </row>
    <row r="178">
      <c r="B178" s="139"/>
      <c r="C178" s="139"/>
      <c r="D178" s="139"/>
      <c r="F178" s="15"/>
    </row>
    <row r="179">
      <c r="B179" s="139"/>
      <c r="C179" s="139"/>
      <c r="D179" s="139"/>
      <c r="F179" s="15"/>
    </row>
    <row r="180">
      <c r="B180" s="139"/>
      <c r="C180" s="139"/>
      <c r="D180" s="139"/>
      <c r="F180" s="15"/>
    </row>
    <row r="181">
      <c r="B181" s="139"/>
      <c r="C181" s="139"/>
      <c r="D181" s="139"/>
      <c r="F181" s="15"/>
    </row>
    <row r="182">
      <c r="B182" s="139"/>
      <c r="C182" s="139"/>
      <c r="D182" s="139"/>
      <c r="F182" s="15"/>
    </row>
    <row r="183">
      <c r="B183" s="139"/>
      <c r="C183" s="139"/>
      <c r="D183" s="139"/>
      <c r="F183" s="15"/>
    </row>
    <row r="184">
      <c r="B184" s="139"/>
      <c r="C184" s="139"/>
      <c r="D184" s="139"/>
      <c r="F184" s="15"/>
    </row>
    <row r="185">
      <c r="B185" s="139"/>
      <c r="C185" s="139"/>
      <c r="D185" s="139"/>
      <c r="F185" s="15"/>
    </row>
    <row r="186">
      <c r="B186" s="139"/>
      <c r="C186" s="139"/>
      <c r="D186" s="139"/>
      <c r="F186" s="15"/>
    </row>
    <row r="187">
      <c r="B187" s="139"/>
      <c r="C187" s="139"/>
      <c r="D187" s="139"/>
      <c r="F187" s="15"/>
    </row>
    <row r="188">
      <c r="B188" s="139"/>
      <c r="C188" s="139"/>
      <c r="D188" s="139"/>
      <c r="F188" s="15"/>
    </row>
    <row r="189">
      <c r="B189" s="139"/>
      <c r="C189" s="139"/>
      <c r="D189" s="139"/>
      <c r="F189" s="15"/>
    </row>
    <row r="190">
      <c r="B190" s="139"/>
      <c r="C190" s="139"/>
      <c r="D190" s="139"/>
      <c r="F190" s="15"/>
    </row>
    <row r="191">
      <c r="B191" s="139"/>
      <c r="C191" s="139"/>
      <c r="D191" s="139"/>
      <c r="F191" s="15"/>
    </row>
    <row r="192">
      <c r="B192" s="139"/>
      <c r="C192" s="139"/>
      <c r="D192" s="139"/>
      <c r="F192" s="15"/>
    </row>
    <row r="193">
      <c r="B193" s="139"/>
      <c r="C193" s="139"/>
      <c r="D193" s="139"/>
      <c r="F193" s="15"/>
    </row>
    <row r="194">
      <c r="B194" s="139"/>
      <c r="C194" s="139"/>
      <c r="D194" s="139"/>
      <c r="F194" s="15"/>
    </row>
    <row r="195">
      <c r="B195" s="139"/>
      <c r="C195" s="139"/>
      <c r="D195" s="139"/>
      <c r="F195" s="15"/>
    </row>
    <row r="196">
      <c r="B196" s="139"/>
      <c r="C196" s="139"/>
      <c r="D196" s="139"/>
      <c r="F196" s="15"/>
    </row>
    <row r="197">
      <c r="B197" s="139"/>
      <c r="C197" s="139"/>
      <c r="D197" s="139"/>
      <c r="F197" s="15"/>
    </row>
    <row r="198">
      <c r="B198" s="139"/>
      <c r="C198" s="139"/>
      <c r="D198" s="139"/>
      <c r="F198" s="15"/>
    </row>
    <row r="199">
      <c r="B199" s="139"/>
      <c r="C199" s="139"/>
      <c r="D199" s="139"/>
      <c r="F199" s="15"/>
    </row>
    <row r="200">
      <c r="B200" s="139"/>
      <c r="C200" s="139"/>
      <c r="D200" s="139"/>
      <c r="F200" s="15"/>
    </row>
    <row r="201">
      <c r="B201" s="139"/>
      <c r="C201" s="139"/>
      <c r="D201" s="139"/>
      <c r="F201" s="15"/>
    </row>
    <row r="202">
      <c r="B202" s="139"/>
      <c r="C202" s="139"/>
      <c r="D202" s="139"/>
      <c r="F202" s="15"/>
    </row>
    <row r="203">
      <c r="B203" s="139"/>
      <c r="C203" s="139"/>
      <c r="D203" s="139"/>
      <c r="F203" s="15"/>
    </row>
    <row r="204">
      <c r="B204" s="139"/>
      <c r="C204" s="139"/>
      <c r="D204" s="139"/>
      <c r="F204" s="15"/>
    </row>
    <row r="205">
      <c r="B205" s="139"/>
      <c r="C205" s="139"/>
      <c r="D205" s="139"/>
      <c r="F205" s="15"/>
    </row>
    <row r="206">
      <c r="B206" s="139"/>
      <c r="C206" s="139"/>
      <c r="D206" s="139"/>
      <c r="F206" s="15"/>
    </row>
    <row r="207">
      <c r="B207" s="139"/>
      <c r="C207" s="139"/>
      <c r="D207" s="139"/>
      <c r="F207" s="15"/>
    </row>
    <row r="208">
      <c r="B208" s="139"/>
      <c r="C208" s="139"/>
      <c r="D208" s="139"/>
      <c r="F208" s="15"/>
    </row>
    <row r="209">
      <c r="B209" s="139"/>
      <c r="C209" s="139"/>
      <c r="D209" s="139"/>
      <c r="F209" s="15"/>
    </row>
    <row r="210">
      <c r="B210" s="139"/>
      <c r="C210" s="139"/>
      <c r="D210" s="139"/>
      <c r="F210" s="15"/>
    </row>
    <row r="211">
      <c r="B211" s="139"/>
      <c r="C211" s="139"/>
      <c r="D211" s="139"/>
      <c r="F211" s="15"/>
    </row>
    <row r="212">
      <c r="B212" s="139"/>
      <c r="C212" s="139"/>
      <c r="D212" s="139"/>
      <c r="F212" s="15"/>
    </row>
    <row r="213">
      <c r="B213" s="139"/>
      <c r="C213" s="139"/>
      <c r="D213" s="139"/>
      <c r="F213" s="15"/>
    </row>
    <row r="214">
      <c r="B214" s="139"/>
      <c r="C214" s="139"/>
      <c r="D214" s="139"/>
      <c r="F214" s="15"/>
    </row>
    <row r="215">
      <c r="B215" s="139"/>
      <c r="C215" s="139"/>
      <c r="D215" s="139"/>
      <c r="F215" s="15"/>
    </row>
    <row r="216">
      <c r="B216" s="139"/>
      <c r="C216" s="139"/>
      <c r="D216" s="139"/>
      <c r="F216" s="15"/>
    </row>
    <row r="217">
      <c r="B217" s="139"/>
      <c r="C217" s="139"/>
      <c r="D217" s="139"/>
      <c r="F217" s="15"/>
    </row>
    <row r="218">
      <c r="B218" s="139"/>
      <c r="C218" s="139"/>
      <c r="D218" s="139"/>
      <c r="F218" s="15"/>
    </row>
    <row r="219">
      <c r="B219" s="139"/>
      <c r="C219" s="139"/>
      <c r="D219" s="139"/>
      <c r="F219" s="15"/>
    </row>
    <row r="220">
      <c r="B220" s="139"/>
      <c r="C220" s="139"/>
      <c r="D220" s="139"/>
      <c r="F220" s="15"/>
    </row>
    <row r="221">
      <c r="B221" s="139"/>
      <c r="C221" s="139"/>
      <c r="D221" s="139"/>
      <c r="F221" s="15"/>
    </row>
    <row r="222">
      <c r="B222" s="139"/>
      <c r="C222" s="139"/>
      <c r="D222" s="139"/>
      <c r="F222" s="15"/>
    </row>
    <row r="223">
      <c r="B223" s="139"/>
      <c r="C223" s="139"/>
      <c r="D223" s="139"/>
      <c r="F223" s="15"/>
    </row>
    <row r="224">
      <c r="B224" s="139"/>
      <c r="C224" s="139"/>
      <c r="D224" s="139"/>
      <c r="F224" s="15"/>
    </row>
    <row r="225">
      <c r="B225" s="139"/>
      <c r="C225" s="139"/>
      <c r="D225" s="139"/>
      <c r="F225" s="15"/>
    </row>
    <row r="226">
      <c r="B226" s="139"/>
      <c r="C226" s="139"/>
      <c r="D226" s="139"/>
      <c r="F226" s="15"/>
    </row>
    <row r="227">
      <c r="B227" s="139"/>
      <c r="C227" s="139"/>
      <c r="D227" s="139"/>
      <c r="F227" s="15"/>
    </row>
    <row r="228">
      <c r="B228" s="139"/>
      <c r="C228" s="139"/>
      <c r="D228" s="139"/>
      <c r="F228" s="15"/>
    </row>
    <row r="229">
      <c r="B229" s="139"/>
      <c r="C229" s="139"/>
      <c r="D229" s="139"/>
      <c r="F229" s="15"/>
    </row>
    <row r="230">
      <c r="B230" s="139"/>
      <c r="C230" s="139"/>
      <c r="D230" s="139"/>
      <c r="F230" s="15"/>
    </row>
    <row r="231">
      <c r="B231" s="139"/>
      <c r="C231" s="139"/>
      <c r="D231" s="139"/>
      <c r="F231" s="15"/>
    </row>
    <row r="232">
      <c r="B232" s="139"/>
      <c r="C232" s="139"/>
      <c r="D232" s="139"/>
      <c r="F232" s="15"/>
    </row>
    <row r="233">
      <c r="B233" s="139"/>
      <c r="C233" s="139"/>
      <c r="D233" s="139"/>
      <c r="F233" s="15"/>
    </row>
    <row r="234">
      <c r="B234" s="139"/>
      <c r="C234" s="139"/>
      <c r="D234" s="139"/>
      <c r="F234" s="15"/>
    </row>
    <row r="235">
      <c r="B235" s="139"/>
      <c r="C235" s="139"/>
      <c r="D235" s="139"/>
      <c r="F235" s="15"/>
    </row>
    <row r="236">
      <c r="B236" s="139"/>
      <c r="C236" s="139"/>
      <c r="D236" s="139"/>
      <c r="F236" s="15"/>
    </row>
    <row r="237">
      <c r="B237" s="139"/>
      <c r="C237" s="139"/>
      <c r="D237" s="139"/>
      <c r="F237" s="15"/>
    </row>
    <row r="238">
      <c r="B238" s="139"/>
      <c r="C238" s="139"/>
      <c r="D238" s="139"/>
      <c r="F238" s="15"/>
    </row>
    <row r="239">
      <c r="B239" s="139"/>
      <c r="C239" s="139"/>
      <c r="D239" s="139"/>
      <c r="F239" s="15"/>
    </row>
    <row r="240">
      <c r="B240" s="139"/>
      <c r="C240" s="139"/>
      <c r="D240" s="139"/>
      <c r="F240" s="15"/>
    </row>
    <row r="241">
      <c r="B241" s="139"/>
      <c r="C241" s="139"/>
      <c r="D241" s="139"/>
      <c r="F241" s="15"/>
    </row>
    <row r="242">
      <c r="B242" s="139"/>
      <c r="C242" s="139"/>
      <c r="D242" s="139"/>
      <c r="F242" s="15"/>
    </row>
    <row r="243">
      <c r="B243" s="139"/>
      <c r="C243" s="139"/>
      <c r="D243" s="139"/>
      <c r="F243" s="15"/>
    </row>
    <row r="244">
      <c r="B244" s="139"/>
      <c r="C244" s="139"/>
      <c r="D244" s="139"/>
      <c r="F244" s="15"/>
    </row>
    <row r="245">
      <c r="B245" s="139"/>
      <c r="C245" s="139"/>
      <c r="D245" s="139"/>
      <c r="F245" s="15"/>
    </row>
    <row r="246">
      <c r="B246" s="139"/>
      <c r="C246" s="139"/>
      <c r="D246" s="139"/>
      <c r="F246" s="15"/>
    </row>
    <row r="247">
      <c r="B247" s="139"/>
      <c r="C247" s="139"/>
      <c r="D247" s="139"/>
      <c r="F247" s="15"/>
    </row>
    <row r="248">
      <c r="B248" s="139"/>
      <c r="C248" s="139"/>
      <c r="D248" s="139"/>
      <c r="F248" s="15"/>
    </row>
    <row r="249">
      <c r="B249" s="139"/>
      <c r="C249" s="139"/>
      <c r="D249" s="139"/>
      <c r="F249" s="15"/>
    </row>
    <row r="250">
      <c r="B250" s="139"/>
      <c r="C250" s="139"/>
      <c r="D250" s="139"/>
      <c r="F250" s="15"/>
    </row>
    <row r="251">
      <c r="B251" s="139"/>
      <c r="C251" s="139"/>
      <c r="D251" s="139"/>
      <c r="F251" s="15"/>
    </row>
    <row r="252">
      <c r="B252" s="139"/>
      <c r="C252" s="139"/>
      <c r="D252" s="139"/>
      <c r="F252" s="15"/>
    </row>
    <row r="253">
      <c r="B253" s="139"/>
      <c r="C253" s="139"/>
      <c r="D253" s="139"/>
      <c r="F253" s="15"/>
    </row>
    <row r="254">
      <c r="B254" s="139"/>
      <c r="C254" s="139"/>
      <c r="D254" s="139"/>
      <c r="F254" s="15"/>
    </row>
    <row r="255">
      <c r="B255" s="139"/>
      <c r="C255" s="139"/>
      <c r="D255" s="139"/>
      <c r="F255" s="15"/>
    </row>
    <row r="256">
      <c r="B256" s="139"/>
      <c r="C256" s="139"/>
      <c r="D256" s="139"/>
      <c r="F256" s="15"/>
    </row>
    <row r="257">
      <c r="B257" s="139"/>
      <c r="C257" s="139"/>
      <c r="D257" s="139"/>
      <c r="F257" s="15"/>
    </row>
    <row r="258">
      <c r="B258" s="139"/>
      <c r="C258" s="139"/>
      <c r="D258" s="139"/>
      <c r="F258" s="15"/>
    </row>
    <row r="259">
      <c r="B259" s="139"/>
      <c r="C259" s="139"/>
      <c r="D259" s="139"/>
      <c r="F259" s="15"/>
    </row>
    <row r="260">
      <c r="B260" s="139"/>
      <c r="C260" s="139"/>
      <c r="D260" s="139"/>
      <c r="F260" s="15"/>
    </row>
    <row r="261">
      <c r="B261" s="139"/>
      <c r="C261" s="139"/>
      <c r="D261" s="139"/>
      <c r="F261" s="15"/>
    </row>
    <row r="262">
      <c r="B262" s="139"/>
      <c r="C262" s="139"/>
      <c r="D262" s="139"/>
      <c r="F262" s="15"/>
    </row>
    <row r="263">
      <c r="B263" s="139"/>
      <c r="C263" s="139"/>
      <c r="D263" s="139"/>
      <c r="F263" s="15"/>
    </row>
    <row r="264">
      <c r="B264" s="139"/>
      <c r="C264" s="139"/>
      <c r="D264" s="139"/>
      <c r="F264" s="15"/>
    </row>
    <row r="265">
      <c r="B265" s="139"/>
      <c r="C265" s="139"/>
      <c r="D265" s="139"/>
      <c r="F265" s="15"/>
    </row>
    <row r="266">
      <c r="B266" s="139"/>
      <c r="C266" s="139"/>
      <c r="D266" s="139"/>
      <c r="F266" s="15"/>
    </row>
    <row r="267">
      <c r="B267" s="139"/>
      <c r="C267" s="139"/>
      <c r="D267" s="139"/>
      <c r="F267" s="15"/>
    </row>
    <row r="268">
      <c r="B268" s="139"/>
      <c r="C268" s="139"/>
      <c r="D268" s="139"/>
      <c r="F268" s="15"/>
    </row>
    <row r="269">
      <c r="B269" s="139"/>
      <c r="C269" s="139"/>
      <c r="D269" s="139"/>
      <c r="F269" s="15"/>
    </row>
    <row r="270">
      <c r="B270" s="139"/>
      <c r="C270" s="139"/>
      <c r="D270" s="139"/>
      <c r="F270" s="15"/>
    </row>
    <row r="271">
      <c r="B271" s="139"/>
      <c r="C271" s="139"/>
      <c r="D271" s="139"/>
      <c r="F271" s="15"/>
    </row>
    <row r="272">
      <c r="B272" s="139"/>
      <c r="C272" s="139"/>
      <c r="D272" s="139"/>
      <c r="F272" s="15"/>
    </row>
    <row r="273">
      <c r="B273" s="139"/>
      <c r="C273" s="139"/>
      <c r="D273" s="139"/>
      <c r="F273" s="15"/>
    </row>
    <row r="274">
      <c r="B274" s="139"/>
      <c r="C274" s="139"/>
      <c r="D274" s="139"/>
      <c r="F274" s="15"/>
    </row>
    <row r="275">
      <c r="B275" s="139"/>
      <c r="C275" s="139"/>
      <c r="D275" s="139"/>
      <c r="F275" s="15"/>
    </row>
    <row r="276">
      <c r="B276" s="139"/>
      <c r="C276" s="139"/>
      <c r="D276" s="139"/>
      <c r="F276" s="15"/>
    </row>
    <row r="277">
      <c r="B277" s="139"/>
      <c r="C277" s="139"/>
      <c r="D277" s="139"/>
      <c r="F277" s="15"/>
    </row>
    <row r="278">
      <c r="B278" s="139"/>
      <c r="C278" s="139"/>
      <c r="D278" s="139"/>
      <c r="F278" s="15"/>
    </row>
    <row r="279">
      <c r="B279" s="139"/>
      <c r="C279" s="139"/>
      <c r="D279" s="139"/>
      <c r="F279" s="15"/>
    </row>
    <row r="280">
      <c r="B280" s="139"/>
      <c r="C280" s="139"/>
      <c r="D280" s="139"/>
      <c r="F280" s="15"/>
    </row>
    <row r="281">
      <c r="B281" s="139"/>
      <c r="C281" s="139"/>
      <c r="D281" s="139"/>
      <c r="F281" s="15"/>
    </row>
    <row r="282">
      <c r="B282" s="139"/>
      <c r="C282" s="139"/>
      <c r="D282" s="139"/>
      <c r="F282" s="15"/>
    </row>
    <row r="283">
      <c r="B283" s="139"/>
      <c r="C283" s="139"/>
      <c r="D283" s="139"/>
      <c r="F283" s="15"/>
    </row>
    <row r="284">
      <c r="B284" s="139"/>
      <c r="C284" s="139"/>
      <c r="D284" s="139"/>
      <c r="F284" s="15"/>
    </row>
    <row r="285">
      <c r="B285" s="139"/>
      <c r="C285" s="139"/>
      <c r="D285" s="139"/>
      <c r="F285" s="15"/>
    </row>
    <row r="286">
      <c r="B286" s="139"/>
      <c r="C286" s="139"/>
      <c r="D286" s="139"/>
      <c r="F286" s="15"/>
    </row>
    <row r="287">
      <c r="B287" s="139"/>
      <c r="C287" s="139"/>
      <c r="D287" s="139"/>
      <c r="F287" s="15"/>
    </row>
    <row r="288">
      <c r="B288" s="139"/>
      <c r="C288" s="139"/>
      <c r="D288" s="139"/>
      <c r="F288" s="15"/>
    </row>
    <row r="289">
      <c r="B289" s="139"/>
      <c r="C289" s="139"/>
      <c r="D289" s="139"/>
      <c r="F289" s="15"/>
    </row>
    <row r="290">
      <c r="B290" s="139"/>
      <c r="C290" s="139"/>
      <c r="D290" s="139"/>
      <c r="F290" s="15"/>
    </row>
    <row r="291">
      <c r="B291" s="139"/>
      <c r="C291" s="139"/>
      <c r="D291" s="139"/>
      <c r="F291" s="15"/>
    </row>
    <row r="292">
      <c r="B292" s="139"/>
      <c r="C292" s="139"/>
      <c r="D292" s="139"/>
      <c r="F292" s="15"/>
    </row>
    <row r="293">
      <c r="B293" s="139"/>
      <c r="C293" s="139"/>
      <c r="D293" s="139"/>
      <c r="F293" s="15"/>
    </row>
    <row r="294">
      <c r="B294" s="139"/>
      <c r="C294" s="139"/>
      <c r="D294" s="139"/>
      <c r="F294" s="15"/>
    </row>
    <row r="295">
      <c r="B295" s="139"/>
      <c r="C295" s="139"/>
      <c r="D295" s="139"/>
      <c r="F295" s="15"/>
    </row>
    <row r="296">
      <c r="B296" s="139"/>
      <c r="C296" s="139"/>
      <c r="D296" s="139"/>
      <c r="F296" s="15"/>
    </row>
    <row r="297">
      <c r="B297" s="139"/>
      <c r="C297" s="139"/>
      <c r="D297" s="139"/>
      <c r="F297" s="15"/>
    </row>
    <row r="298">
      <c r="B298" s="139"/>
      <c r="C298" s="139"/>
      <c r="D298" s="139"/>
      <c r="F298" s="15"/>
    </row>
    <row r="299">
      <c r="B299" s="139"/>
      <c r="C299" s="139"/>
      <c r="D299" s="139"/>
      <c r="F299" s="15"/>
    </row>
    <row r="300">
      <c r="B300" s="139"/>
      <c r="C300" s="139"/>
      <c r="D300" s="139"/>
      <c r="F300" s="15"/>
    </row>
    <row r="301">
      <c r="B301" s="139"/>
      <c r="C301" s="139"/>
      <c r="D301" s="139"/>
      <c r="F301" s="15"/>
    </row>
    <row r="302">
      <c r="B302" s="139"/>
      <c r="C302" s="139"/>
      <c r="D302" s="139"/>
      <c r="F302" s="15"/>
    </row>
    <row r="303">
      <c r="B303" s="139"/>
      <c r="C303" s="139"/>
      <c r="D303" s="139"/>
      <c r="F303" s="15"/>
    </row>
    <row r="304">
      <c r="B304" s="139"/>
      <c r="C304" s="139"/>
      <c r="D304" s="139"/>
      <c r="F304" s="15"/>
    </row>
    <row r="305">
      <c r="B305" s="139"/>
      <c r="C305" s="139"/>
      <c r="D305" s="139"/>
      <c r="F305" s="15"/>
    </row>
    <row r="306">
      <c r="B306" s="139"/>
      <c r="C306" s="139"/>
      <c r="D306" s="139"/>
      <c r="F306" s="15"/>
    </row>
    <row r="307">
      <c r="B307" s="139"/>
      <c r="C307" s="139"/>
      <c r="D307" s="139"/>
      <c r="F307" s="15"/>
    </row>
    <row r="308">
      <c r="B308" s="139"/>
      <c r="C308" s="139"/>
      <c r="D308" s="139"/>
      <c r="F308" s="15"/>
    </row>
    <row r="309">
      <c r="B309" s="139"/>
      <c r="C309" s="139"/>
      <c r="D309" s="139"/>
      <c r="F309" s="15"/>
    </row>
    <row r="310">
      <c r="B310" s="139"/>
      <c r="C310" s="139"/>
      <c r="D310" s="139"/>
      <c r="F310" s="15"/>
    </row>
    <row r="311">
      <c r="B311" s="139"/>
      <c r="C311" s="139"/>
      <c r="D311" s="139"/>
      <c r="F311" s="15"/>
    </row>
    <row r="312">
      <c r="B312" s="139"/>
      <c r="C312" s="139"/>
      <c r="D312" s="139"/>
      <c r="F312" s="15"/>
    </row>
    <row r="313">
      <c r="B313" s="139"/>
      <c r="C313" s="139"/>
      <c r="D313" s="139"/>
      <c r="F313" s="15"/>
    </row>
    <row r="314">
      <c r="B314" s="139"/>
      <c r="C314" s="139"/>
      <c r="D314" s="139"/>
      <c r="F314" s="15"/>
    </row>
    <row r="315">
      <c r="B315" s="139"/>
      <c r="C315" s="139"/>
      <c r="D315" s="139"/>
      <c r="F315" s="15"/>
    </row>
    <row r="316">
      <c r="B316" s="139"/>
      <c r="C316" s="139"/>
      <c r="D316" s="139"/>
      <c r="F316" s="15"/>
    </row>
    <row r="317">
      <c r="B317" s="139"/>
      <c r="C317" s="139"/>
      <c r="D317" s="139"/>
      <c r="F317" s="15"/>
    </row>
    <row r="318">
      <c r="B318" s="139"/>
      <c r="C318" s="139"/>
      <c r="D318" s="139"/>
      <c r="F318" s="15"/>
    </row>
    <row r="319">
      <c r="B319" s="139"/>
      <c r="C319" s="139"/>
      <c r="D319" s="139"/>
      <c r="F319" s="15"/>
    </row>
    <row r="320">
      <c r="B320" s="139"/>
      <c r="C320" s="139"/>
      <c r="D320" s="139"/>
      <c r="F320" s="15"/>
    </row>
    <row r="321">
      <c r="B321" s="139"/>
      <c r="C321" s="139"/>
      <c r="D321" s="139"/>
      <c r="F321" s="15"/>
    </row>
    <row r="322">
      <c r="B322" s="139"/>
      <c r="C322" s="139"/>
      <c r="D322" s="139"/>
      <c r="F322" s="15"/>
    </row>
    <row r="323">
      <c r="B323" s="139"/>
      <c r="C323" s="139"/>
      <c r="D323" s="139"/>
      <c r="F323" s="15"/>
    </row>
    <row r="324">
      <c r="B324" s="139"/>
      <c r="C324" s="139"/>
      <c r="D324" s="139"/>
      <c r="F324" s="15"/>
    </row>
    <row r="325">
      <c r="B325" s="139"/>
      <c r="C325" s="139"/>
      <c r="D325" s="139"/>
      <c r="F325" s="15"/>
    </row>
    <row r="326">
      <c r="B326" s="139"/>
      <c r="C326" s="139"/>
      <c r="D326" s="139"/>
      <c r="F326" s="15"/>
    </row>
    <row r="327">
      <c r="B327" s="139"/>
      <c r="C327" s="139"/>
      <c r="D327" s="139"/>
      <c r="F327" s="15"/>
    </row>
    <row r="328">
      <c r="B328" s="139"/>
      <c r="C328" s="139"/>
      <c r="D328" s="139"/>
      <c r="F328" s="15"/>
    </row>
    <row r="329">
      <c r="B329" s="139"/>
      <c r="C329" s="139"/>
      <c r="D329" s="139"/>
      <c r="F329" s="15"/>
    </row>
    <row r="330">
      <c r="B330" s="139"/>
      <c r="C330" s="139"/>
      <c r="D330" s="139"/>
      <c r="F330" s="15"/>
    </row>
    <row r="331">
      <c r="B331" s="139"/>
      <c r="C331" s="139"/>
      <c r="D331" s="139"/>
      <c r="F331" s="15"/>
    </row>
    <row r="332">
      <c r="B332" s="139"/>
      <c r="C332" s="139"/>
      <c r="D332" s="139"/>
      <c r="F332" s="15"/>
    </row>
    <row r="333">
      <c r="B333" s="139"/>
      <c r="C333" s="139"/>
      <c r="D333" s="139"/>
      <c r="F333" s="15"/>
    </row>
    <row r="334">
      <c r="B334" s="139"/>
      <c r="C334" s="139"/>
      <c r="D334" s="139"/>
      <c r="F334" s="15"/>
    </row>
    <row r="335">
      <c r="B335" s="139"/>
      <c r="C335" s="139"/>
      <c r="D335" s="139"/>
      <c r="F335" s="15"/>
    </row>
    <row r="336">
      <c r="B336" s="139"/>
      <c r="C336" s="139"/>
      <c r="D336" s="139"/>
      <c r="F336" s="15"/>
    </row>
    <row r="337">
      <c r="B337" s="139"/>
      <c r="C337" s="139"/>
      <c r="D337" s="139"/>
      <c r="F337" s="15"/>
    </row>
    <row r="338">
      <c r="B338" s="139"/>
      <c r="C338" s="139"/>
      <c r="D338" s="139"/>
      <c r="F338" s="15"/>
    </row>
    <row r="339">
      <c r="B339" s="139"/>
      <c r="C339" s="139"/>
      <c r="D339" s="139"/>
      <c r="F339" s="15"/>
    </row>
    <row r="340">
      <c r="B340" s="139"/>
      <c r="C340" s="139"/>
      <c r="D340" s="139"/>
      <c r="F340" s="15"/>
    </row>
    <row r="341">
      <c r="B341" s="139"/>
      <c r="C341" s="139"/>
      <c r="D341" s="139"/>
      <c r="F341" s="15"/>
    </row>
    <row r="342">
      <c r="B342" s="139"/>
      <c r="C342" s="139"/>
      <c r="D342" s="139"/>
      <c r="F342" s="15"/>
    </row>
    <row r="343">
      <c r="B343" s="139"/>
      <c r="C343" s="139"/>
      <c r="D343" s="139"/>
      <c r="F343" s="15"/>
    </row>
    <row r="344">
      <c r="B344" s="139"/>
      <c r="C344" s="139"/>
      <c r="D344" s="139"/>
      <c r="F344" s="15"/>
    </row>
    <row r="345">
      <c r="B345" s="139"/>
      <c r="C345" s="139"/>
      <c r="D345" s="139"/>
      <c r="F345" s="15"/>
    </row>
    <row r="346">
      <c r="B346" s="139"/>
      <c r="C346" s="139"/>
      <c r="D346" s="139"/>
      <c r="F346" s="15"/>
    </row>
    <row r="347">
      <c r="B347" s="139"/>
      <c r="C347" s="139"/>
      <c r="D347" s="139"/>
      <c r="F347" s="15"/>
    </row>
    <row r="348">
      <c r="B348" s="139"/>
      <c r="C348" s="139"/>
      <c r="D348" s="139"/>
      <c r="F348" s="15"/>
    </row>
    <row r="349">
      <c r="B349" s="139"/>
      <c r="C349" s="139"/>
      <c r="D349" s="139"/>
      <c r="F349" s="15"/>
    </row>
    <row r="350">
      <c r="B350" s="139"/>
      <c r="C350" s="139"/>
      <c r="D350" s="139"/>
      <c r="F350" s="15"/>
    </row>
    <row r="351">
      <c r="B351" s="139"/>
      <c r="C351" s="139"/>
      <c r="D351" s="139"/>
      <c r="F351" s="15"/>
    </row>
    <row r="352">
      <c r="B352" s="139"/>
      <c r="C352" s="139"/>
      <c r="D352" s="139"/>
      <c r="F352" s="15"/>
    </row>
    <row r="353">
      <c r="B353" s="139"/>
      <c r="C353" s="139"/>
      <c r="D353" s="139"/>
      <c r="F353" s="15"/>
    </row>
    <row r="354">
      <c r="B354" s="139"/>
      <c r="C354" s="139"/>
      <c r="D354" s="139"/>
      <c r="F354" s="15"/>
    </row>
    <row r="355">
      <c r="B355" s="139"/>
      <c r="C355" s="139"/>
      <c r="D355" s="139"/>
      <c r="F355" s="15"/>
    </row>
    <row r="356">
      <c r="B356" s="139"/>
      <c r="C356" s="139"/>
      <c r="D356" s="139"/>
      <c r="F356" s="15"/>
    </row>
    <row r="357">
      <c r="B357" s="139"/>
      <c r="C357" s="139"/>
      <c r="D357" s="139"/>
      <c r="F357" s="15"/>
    </row>
    <row r="358">
      <c r="B358" s="139"/>
      <c r="C358" s="139"/>
      <c r="D358" s="139"/>
      <c r="F358" s="15"/>
    </row>
    <row r="359">
      <c r="B359" s="139"/>
      <c r="C359" s="139"/>
      <c r="D359" s="139"/>
      <c r="F359" s="15"/>
    </row>
    <row r="360">
      <c r="B360" s="139"/>
      <c r="C360" s="139"/>
      <c r="D360" s="139"/>
      <c r="F360" s="15"/>
    </row>
    <row r="361">
      <c r="B361" s="139"/>
      <c r="C361" s="139"/>
      <c r="D361" s="139"/>
      <c r="F361" s="15"/>
    </row>
    <row r="362">
      <c r="B362" s="139"/>
      <c r="C362" s="139"/>
      <c r="D362" s="139"/>
      <c r="F362" s="15"/>
    </row>
    <row r="363">
      <c r="B363" s="139"/>
      <c r="C363" s="139"/>
      <c r="D363" s="139"/>
      <c r="F363" s="15"/>
    </row>
    <row r="364">
      <c r="B364" s="139"/>
      <c r="C364" s="139"/>
      <c r="D364" s="139"/>
      <c r="F364" s="15"/>
    </row>
    <row r="365">
      <c r="B365" s="139"/>
      <c r="C365" s="139"/>
      <c r="D365" s="139"/>
      <c r="F365" s="15"/>
    </row>
    <row r="366">
      <c r="B366" s="139"/>
      <c r="C366" s="139"/>
      <c r="D366" s="139"/>
      <c r="F366" s="15"/>
    </row>
    <row r="367">
      <c r="B367" s="139"/>
      <c r="C367" s="139"/>
      <c r="D367" s="139"/>
      <c r="F367" s="15"/>
    </row>
    <row r="368">
      <c r="B368" s="139"/>
      <c r="C368" s="139"/>
      <c r="D368" s="139"/>
      <c r="F368" s="15"/>
    </row>
    <row r="369">
      <c r="B369" s="139"/>
      <c r="C369" s="139"/>
      <c r="D369" s="139"/>
      <c r="F369" s="15"/>
    </row>
    <row r="370">
      <c r="B370" s="139"/>
      <c r="C370" s="139"/>
      <c r="D370" s="139"/>
      <c r="F370" s="15"/>
    </row>
    <row r="371">
      <c r="B371" s="139"/>
      <c r="C371" s="139"/>
      <c r="D371" s="139"/>
      <c r="F371" s="15"/>
    </row>
    <row r="372">
      <c r="B372" s="139"/>
      <c r="C372" s="139"/>
      <c r="D372" s="139"/>
      <c r="F372" s="15"/>
    </row>
    <row r="373">
      <c r="B373" s="139"/>
      <c r="C373" s="139"/>
      <c r="D373" s="139"/>
      <c r="F373" s="15"/>
    </row>
    <row r="374">
      <c r="B374" s="139"/>
      <c r="C374" s="139"/>
      <c r="D374" s="139"/>
      <c r="F374" s="15"/>
    </row>
    <row r="375">
      <c r="B375" s="139"/>
      <c r="C375" s="139"/>
      <c r="D375" s="139"/>
      <c r="F375" s="15"/>
    </row>
    <row r="376">
      <c r="B376" s="139"/>
      <c r="C376" s="139"/>
      <c r="D376" s="139"/>
      <c r="F376" s="15"/>
    </row>
    <row r="377">
      <c r="B377" s="139"/>
      <c r="C377" s="139"/>
      <c r="D377" s="139"/>
      <c r="F377" s="15"/>
    </row>
    <row r="378">
      <c r="B378" s="139"/>
      <c r="C378" s="139"/>
      <c r="D378" s="139"/>
      <c r="F378" s="15"/>
    </row>
    <row r="379">
      <c r="B379" s="139"/>
      <c r="C379" s="139"/>
      <c r="D379" s="139"/>
      <c r="F379" s="15"/>
    </row>
    <row r="380">
      <c r="B380" s="139"/>
      <c r="C380" s="139"/>
      <c r="D380" s="139"/>
      <c r="F380" s="15"/>
    </row>
    <row r="381">
      <c r="B381" s="139"/>
      <c r="C381" s="139"/>
      <c r="D381" s="139"/>
      <c r="F381" s="15"/>
    </row>
    <row r="382">
      <c r="B382" s="139"/>
      <c r="C382" s="139"/>
      <c r="D382" s="139"/>
      <c r="F382" s="15"/>
    </row>
    <row r="383">
      <c r="B383" s="139"/>
      <c r="C383" s="139"/>
      <c r="D383" s="139"/>
      <c r="F383" s="15"/>
    </row>
    <row r="384">
      <c r="B384" s="139"/>
      <c r="C384" s="139"/>
      <c r="D384" s="139"/>
      <c r="F384" s="15"/>
    </row>
    <row r="385">
      <c r="B385" s="139"/>
      <c r="C385" s="139"/>
      <c r="D385" s="139"/>
      <c r="F385" s="15"/>
    </row>
    <row r="386">
      <c r="B386" s="139"/>
      <c r="C386" s="139"/>
      <c r="D386" s="139"/>
      <c r="F386" s="15"/>
    </row>
    <row r="387">
      <c r="B387" s="139"/>
      <c r="C387" s="139"/>
      <c r="D387" s="139"/>
      <c r="F387" s="15"/>
    </row>
    <row r="388">
      <c r="B388" s="139"/>
      <c r="C388" s="139"/>
      <c r="D388" s="139"/>
      <c r="F388" s="15"/>
    </row>
    <row r="389">
      <c r="B389" s="139"/>
      <c r="C389" s="139"/>
      <c r="D389" s="139"/>
      <c r="F389" s="15"/>
    </row>
    <row r="390">
      <c r="B390" s="139"/>
      <c r="C390" s="139"/>
      <c r="D390" s="139"/>
      <c r="F390" s="15"/>
    </row>
    <row r="391">
      <c r="B391" s="139"/>
      <c r="C391" s="139"/>
      <c r="D391" s="139"/>
      <c r="F391" s="15"/>
    </row>
    <row r="392">
      <c r="B392" s="139"/>
      <c r="C392" s="139"/>
      <c r="D392" s="139"/>
      <c r="F392" s="15"/>
    </row>
    <row r="393">
      <c r="B393" s="139"/>
      <c r="C393" s="139"/>
      <c r="D393" s="139"/>
      <c r="F393" s="15"/>
    </row>
    <row r="394">
      <c r="B394" s="139"/>
      <c r="C394" s="139"/>
      <c r="D394" s="139"/>
      <c r="F394" s="15"/>
    </row>
    <row r="395">
      <c r="B395" s="139"/>
      <c r="C395" s="139"/>
      <c r="D395" s="139"/>
      <c r="F395" s="15"/>
    </row>
    <row r="396">
      <c r="B396" s="139"/>
      <c r="C396" s="139"/>
      <c r="D396" s="139"/>
      <c r="F396" s="15"/>
    </row>
    <row r="397">
      <c r="B397" s="139"/>
      <c r="C397" s="139"/>
      <c r="D397" s="139"/>
      <c r="F397" s="15"/>
    </row>
    <row r="398">
      <c r="B398" s="139"/>
      <c r="C398" s="139"/>
      <c r="D398" s="139"/>
      <c r="F398" s="15"/>
    </row>
    <row r="399">
      <c r="B399" s="139"/>
      <c r="C399" s="139"/>
      <c r="D399" s="139"/>
      <c r="F399" s="15"/>
    </row>
    <row r="400">
      <c r="B400" s="139"/>
      <c r="C400" s="139"/>
      <c r="D400" s="139"/>
      <c r="F400" s="15"/>
    </row>
    <row r="401">
      <c r="B401" s="139"/>
      <c r="C401" s="139"/>
      <c r="D401" s="139"/>
      <c r="F401" s="15"/>
    </row>
    <row r="402">
      <c r="B402" s="139"/>
      <c r="C402" s="139"/>
      <c r="D402" s="139"/>
      <c r="F402" s="15"/>
    </row>
    <row r="403">
      <c r="B403" s="139"/>
      <c r="C403" s="139"/>
      <c r="D403" s="139"/>
      <c r="F403" s="15"/>
    </row>
    <row r="404">
      <c r="B404" s="139"/>
      <c r="C404" s="139"/>
      <c r="D404" s="139"/>
      <c r="F404" s="15"/>
    </row>
    <row r="405">
      <c r="B405" s="139"/>
      <c r="C405" s="139"/>
      <c r="D405" s="139"/>
      <c r="F405" s="15"/>
    </row>
    <row r="406">
      <c r="B406" s="139"/>
      <c r="C406" s="139"/>
      <c r="D406" s="139"/>
      <c r="F406" s="15"/>
    </row>
    <row r="407">
      <c r="B407" s="139"/>
      <c r="C407" s="139"/>
      <c r="D407" s="139"/>
      <c r="F407" s="15"/>
    </row>
    <row r="408">
      <c r="B408" s="139"/>
      <c r="C408" s="139"/>
      <c r="D408" s="139"/>
      <c r="F408" s="15"/>
    </row>
    <row r="409">
      <c r="B409" s="139"/>
      <c r="C409" s="139"/>
      <c r="D409" s="139"/>
      <c r="F409" s="15"/>
    </row>
    <row r="410">
      <c r="B410" s="139"/>
      <c r="C410" s="139"/>
      <c r="D410" s="139"/>
      <c r="F410" s="15"/>
    </row>
    <row r="411">
      <c r="B411" s="139"/>
      <c r="C411" s="139"/>
      <c r="D411" s="139"/>
      <c r="F411" s="15"/>
    </row>
    <row r="412">
      <c r="B412" s="139"/>
      <c r="C412" s="139"/>
      <c r="D412" s="139"/>
      <c r="F412" s="15"/>
    </row>
    <row r="413">
      <c r="B413" s="139"/>
      <c r="C413" s="139"/>
      <c r="D413" s="139"/>
      <c r="F413" s="15"/>
    </row>
    <row r="414">
      <c r="B414" s="139"/>
      <c r="C414" s="139"/>
      <c r="D414" s="139"/>
      <c r="F414" s="15"/>
    </row>
    <row r="415">
      <c r="B415" s="139"/>
      <c r="C415" s="139"/>
      <c r="D415" s="139"/>
      <c r="F415" s="15"/>
    </row>
    <row r="416">
      <c r="B416" s="139"/>
      <c r="C416" s="139"/>
      <c r="D416" s="139"/>
      <c r="F416" s="15"/>
    </row>
    <row r="417">
      <c r="B417" s="139"/>
      <c r="C417" s="139"/>
      <c r="D417" s="139"/>
      <c r="F417" s="15"/>
    </row>
    <row r="418">
      <c r="B418" s="139"/>
      <c r="C418" s="139"/>
      <c r="D418" s="139"/>
      <c r="F418" s="15"/>
    </row>
    <row r="419">
      <c r="B419" s="139"/>
      <c r="C419" s="139"/>
      <c r="D419" s="139"/>
      <c r="F419" s="15"/>
    </row>
    <row r="420">
      <c r="B420" s="139"/>
      <c r="C420" s="139"/>
      <c r="D420" s="139"/>
      <c r="F420" s="15"/>
    </row>
    <row r="421">
      <c r="B421" s="139"/>
      <c r="C421" s="139"/>
      <c r="D421" s="139"/>
      <c r="F421" s="15"/>
    </row>
    <row r="422">
      <c r="B422" s="139"/>
      <c r="C422" s="139"/>
      <c r="D422" s="139"/>
      <c r="F422" s="15"/>
    </row>
    <row r="423">
      <c r="B423" s="139"/>
      <c r="C423" s="139"/>
      <c r="D423" s="139"/>
      <c r="F423" s="15"/>
    </row>
    <row r="424">
      <c r="B424" s="139"/>
      <c r="C424" s="139"/>
      <c r="D424" s="139"/>
      <c r="F424" s="15"/>
    </row>
    <row r="425">
      <c r="B425" s="139"/>
      <c r="C425" s="139"/>
      <c r="D425" s="139"/>
      <c r="F425" s="15"/>
    </row>
    <row r="426">
      <c r="B426" s="139"/>
      <c r="C426" s="139"/>
      <c r="D426" s="139"/>
      <c r="F426" s="15"/>
    </row>
    <row r="427">
      <c r="B427" s="139"/>
      <c r="C427" s="139"/>
      <c r="D427" s="139"/>
      <c r="F427" s="15"/>
    </row>
    <row r="428">
      <c r="B428" s="139"/>
      <c r="C428" s="139"/>
      <c r="D428" s="139"/>
      <c r="F428" s="15"/>
    </row>
    <row r="429">
      <c r="B429" s="139"/>
      <c r="C429" s="139"/>
      <c r="D429" s="139"/>
      <c r="F429" s="15"/>
    </row>
    <row r="430">
      <c r="B430" s="139"/>
      <c r="C430" s="139"/>
      <c r="D430" s="139"/>
      <c r="F430" s="15"/>
    </row>
    <row r="431">
      <c r="B431" s="139"/>
      <c r="C431" s="139"/>
      <c r="D431" s="139"/>
      <c r="F431" s="15"/>
    </row>
    <row r="432">
      <c r="B432" s="139"/>
      <c r="C432" s="139"/>
      <c r="D432" s="139"/>
      <c r="F432" s="15"/>
    </row>
    <row r="433">
      <c r="B433" s="139"/>
      <c r="C433" s="139"/>
      <c r="D433" s="139"/>
      <c r="F433" s="15"/>
    </row>
    <row r="434">
      <c r="B434" s="139"/>
      <c r="C434" s="139"/>
      <c r="D434" s="139"/>
      <c r="F434" s="15"/>
    </row>
    <row r="435">
      <c r="B435" s="139"/>
      <c r="C435" s="139"/>
      <c r="D435" s="139"/>
      <c r="F435" s="15"/>
    </row>
    <row r="436">
      <c r="B436" s="139"/>
      <c r="C436" s="139"/>
      <c r="D436" s="139"/>
      <c r="F436" s="15"/>
    </row>
    <row r="437">
      <c r="B437" s="139"/>
      <c r="C437" s="139"/>
      <c r="D437" s="139"/>
      <c r="F437" s="15"/>
    </row>
    <row r="438">
      <c r="B438" s="139"/>
      <c r="C438" s="139"/>
      <c r="D438" s="139"/>
      <c r="F438" s="15"/>
    </row>
    <row r="439">
      <c r="B439" s="139"/>
      <c r="C439" s="139"/>
      <c r="D439" s="139"/>
      <c r="F439" s="15"/>
    </row>
    <row r="440">
      <c r="B440" s="139"/>
      <c r="C440" s="139"/>
      <c r="D440" s="139"/>
      <c r="F440" s="15"/>
    </row>
    <row r="441">
      <c r="B441" s="139"/>
      <c r="C441" s="139"/>
      <c r="D441" s="139"/>
      <c r="F441" s="15"/>
    </row>
    <row r="442">
      <c r="B442" s="139"/>
      <c r="C442" s="139"/>
      <c r="D442" s="139"/>
      <c r="F442" s="15"/>
    </row>
    <row r="443">
      <c r="B443" s="139"/>
      <c r="C443" s="139"/>
      <c r="D443" s="139"/>
      <c r="F443" s="15"/>
    </row>
    <row r="444">
      <c r="B444" s="139"/>
      <c r="C444" s="139"/>
      <c r="D444" s="139"/>
      <c r="F444" s="15"/>
    </row>
    <row r="445">
      <c r="B445" s="139"/>
      <c r="C445" s="139"/>
      <c r="D445" s="139"/>
      <c r="F445" s="15"/>
    </row>
    <row r="446">
      <c r="B446" s="139"/>
      <c r="C446" s="139"/>
      <c r="D446" s="139"/>
      <c r="F446" s="15"/>
    </row>
    <row r="447">
      <c r="B447" s="139"/>
      <c r="C447" s="139"/>
      <c r="D447" s="139"/>
      <c r="F447" s="15"/>
    </row>
    <row r="448">
      <c r="B448" s="139"/>
      <c r="C448" s="139"/>
      <c r="D448" s="139"/>
      <c r="F448" s="15"/>
    </row>
    <row r="449">
      <c r="B449" s="139"/>
      <c r="C449" s="139"/>
      <c r="D449" s="139"/>
      <c r="F449" s="15"/>
    </row>
    <row r="450">
      <c r="B450" s="139"/>
      <c r="C450" s="139"/>
      <c r="D450" s="139"/>
      <c r="F450" s="15"/>
    </row>
    <row r="451">
      <c r="B451" s="139"/>
      <c r="C451" s="139"/>
      <c r="D451" s="139"/>
      <c r="F451" s="15"/>
    </row>
    <row r="452">
      <c r="B452" s="139"/>
      <c r="C452" s="139"/>
      <c r="D452" s="139"/>
      <c r="F452" s="15"/>
    </row>
    <row r="453">
      <c r="B453" s="139"/>
      <c r="C453" s="139"/>
      <c r="D453" s="139"/>
      <c r="F453" s="15"/>
    </row>
    <row r="454">
      <c r="B454" s="139"/>
      <c r="C454" s="139"/>
      <c r="D454" s="139"/>
      <c r="F454" s="15"/>
    </row>
    <row r="455">
      <c r="B455" s="139"/>
      <c r="C455" s="139"/>
      <c r="D455" s="139"/>
      <c r="F455" s="15"/>
    </row>
    <row r="456">
      <c r="B456" s="139"/>
      <c r="C456" s="139"/>
      <c r="D456" s="139"/>
      <c r="F456" s="15"/>
    </row>
    <row r="457">
      <c r="B457" s="139"/>
      <c r="C457" s="139"/>
      <c r="D457" s="139"/>
      <c r="F457" s="15"/>
    </row>
    <row r="458">
      <c r="B458" s="139"/>
      <c r="C458" s="139"/>
      <c r="D458" s="139"/>
      <c r="F458" s="15"/>
    </row>
    <row r="459">
      <c r="B459" s="139"/>
      <c r="C459" s="139"/>
      <c r="D459" s="139"/>
      <c r="F459" s="15"/>
    </row>
    <row r="460">
      <c r="B460" s="139"/>
      <c r="C460" s="139"/>
      <c r="D460" s="139"/>
      <c r="F460" s="15"/>
    </row>
    <row r="461">
      <c r="B461" s="139"/>
      <c r="C461" s="139"/>
      <c r="D461" s="139"/>
      <c r="F461" s="15"/>
    </row>
    <row r="462">
      <c r="B462" s="139"/>
      <c r="C462" s="139"/>
      <c r="D462" s="139"/>
      <c r="F462" s="15"/>
    </row>
    <row r="463">
      <c r="B463" s="139"/>
      <c r="C463" s="139"/>
      <c r="D463" s="139"/>
      <c r="F463" s="15"/>
    </row>
    <row r="464">
      <c r="B464" s="139"/>
      <c r="C464" s="139"/>
      <c r="D464" s="139"/>
      <c r="F464" s="15"/>
    </row>
    <row r="465">
      <c r="B465" s="139"/>
      <c r="C465" s="139"/>
      <c r="D465" s="139"/>
      <c r="F465" s="15"/>
    </row>
    <row r="466">
      <c r="B466" s="139"/>
      <c r="C466" s="139"/>
      <c r="D466" s="139"/>
      <c r="F466" s="15"/>
    </row>
    <row r="467">
      <c r="B467" s="139"/>
      <c r="C467" s="139"/>
      <c r="D467" s="139"/>
      <c r="F467" s="15"/>
    </row>
    <row r="468">
      <c r="B468" s="139"/>
      <c r="C468" s="139"/>
      <c r="D468" s="139"/>
      <c r="F468" s="15"/>
    </row>
    <row r="469">
      <c r="B469" s="139"/>
      <c r="C469" s="139"/>
      <c r="D469" s="139"/>
      <c r="F469" s="15"/>
    </row>
    <row r="470">
      <c r="B470" s="139"/>
      <c r="C470" s="139"/>
      <c r="D470" s="139"/>
      <c r="F470" s="15"/>
    </row>
    <row r="471">
      <c r="B471" s="139"/>
      <c r="C471" s="139"/>
      <c r="D471" s="139"/>
      <c r="F471" s="15"/>
    </row>
    <row r="472">
      <c r="B472" s="139"/>
      <c r="C472" s="139"/>
      <c r="D472" s="139"/>
      <c r="F472" s="15"/>
    </row>
    <row r="473">
      <c r="B473" s="139"/>
      <c r="C473" s="139"/>
      <c r="D473" s="139"/>
      <c r="F473" s="15"/>
    </row>
    <row r="474">
      <c r="B474" s="139"/>
      <c r="C474" s="139"/>
      <c r="D474" s="139"/>
      <c r="F474" s="15"/>
    </row>
    <row r="475">
      <c r="B475" s="139"/>
      <c r="C475" s="139"/>
      <c r="D475" s="139"/>
      <c r="F475" s="15"/>
    </row>
    <row r="476">
      <c r="B476" s="139"/>
      <c r="C476" s="139"/>
      <c r="D476" s="139"/>
      <c r="F476" s="15"/>
    </row>
    <row r="477">
      <c r="B477" s="139"/>
      <c r="C477" s="139"/>
      <c r="D477" s="139"/>
      <c r="F477" s="15"/>
    </row>
    <row r="478">
      <c r="B478" s="139"/>
      <c r="C478" s="139"/>
      <c r="D478" s="139"/>
      <c r="F478" s="15"/>
    </row>
    <row r="479">
      <c r="B479" s="139"/>
      <c r="C479" s="139"/>
      <c r="D479" s="139"/>
      <c r="F479" s="15"/>
    </row>
    <row r="480">
      <c r="B480" s="139"/>
      <c r="C480" s="139"/>
      <c r="D480" s="139"/>
      <c r="F480" s="15"/>
    </row>
    <row r="481">
      <c r="B481" s="139"/>
      <c r="C481" s="139"/>
      <c r="D481" s="139"/>
      <c r="F481" s="15"/>
    </row>
    <row r="482">
      <c r="B482" s="139"/>
      <c r="C482" s="139"/>
      <c r="D482" s="139"/>
      <c r="F482" s="15"/>
    </row>
    <row r="483">
      <c r="B483" s="139"/>
      <c r="C483" s="139"/>
      <c r="D483" s="139"/>
      <c r="F483" s="15"/>
    </row>
    <row r="484">
      <c r="B484" s="139"/>
      <c r="C484" s="139"/>
      <c r="D484" s="139"/>
      <c r="F484" s="15"/>
    </row>
    <row r="485">
      <c r="B485" s="139"/>
      <c r="C485" s="139"/>
      <c r="D485" s="139"/>
      <c r="F485" s="15"/>
    </row>
    <row r="486">
      <c r="B486" s="139"/>
      <c r="C486" s="139"/>
      <c r="D486" s="139"/>
      <c r="F486" s="15"/>
    </row>
    <row r="487">
      <c r="B487" s="139"/>
      <c r="C487" s="139"/>
      <c r="D487" s="139"/>
      <c r="F487" s="15"/>
    </row>
    <row r="488">
      <c r="B488" s="139"/>
      <c r="C488" s="139"/>
      <c r="D488" s="139"/>
      <c r="F488" s="15"/>
    </row>
    <row r="489">
      <c r="B489" s="139"/>
      <c r="C489" s="139"/>
      <c r="D489" s="139"/>
      <c r="F489" s="15"/>
    </row>
    <row r="490">
      <c r="B490" s="139"/>
      <c r="C490" s="139"/>
      <c r="D490" s="139"/>
      <c r="F490" s="15"/>
    </row>
    <row r="491">
      <c r="B491" s="139"/>
      <c r="C491" s="139"/>
      <c r="D491" s="139"/>
      <c r="F491" s="15"/>
    </row>
    <row r="492">
      <c r="B492" s="139"/>
      <c r="C492" s="139"/>
      <c r="D492" s="139"/>
      <c r="F492" s="15"/>
    </row>
    <row r="493">
      <c r="B493" s="139"/>
      <c r="C493" s="139"/>
      <c r="D493" s="139"/>
      <c r="F493" s="15"/>
    </row>
    <row r="494">
      <c r="B494" s="139"/>
      <c r="C494" s="139"/>
      <c r="D494" s="139"/>
      <c r="F494" s="15"/>
    </row>
    <row r="495">
      <c r="B495" s="139"/>
      <c r="C495" s="139"/>
      <c r="D495" s="139"/>
      <c r="F495" s="15"/>
    </row>
    <row r="496">
      <c r="B496" s="139"/>
      <c r="C496" s="139"/>
      <c r="D496" s="139"/>
      <c r="F496" s="15"/>
    </row>
    <row r="497">
      <c r="B497" s="139"/>
      <c r="C497" s="139"/>
      <c r="D497" s="139"/>
      <c r="F497" s="15"/>
    </row>
    <row r="498">
      <c r="B498" s="139"/>
      <c r="C498" s="139"/>
      <c r="D498" s="139"/>
      <c r="F498" s="15"/>
    </row>
    <row r="499">
      <c r="B499" s="139"/>
      <c r="C499" s="139"/>
      <c r="D499" s="139"/>
      <c r="F499" s="15"/>
    </row>
    <row r="500">
      <c r="B500" s="139"/>
      <c r="C500" s="139"/>
      <c r="D500" s="139"/>
      <c r="F500" s="15"/>
    </row>
    <row r="501">
      <c r="B501" s="139"/>
      <c r="C501" s="139"/>
      <c r="D501" s="139"/>
      <c r="F501" s="15"/>
    </row>
    <row r="502">
      <c r="B502" s="139"/>
      <c r="C502" s="139"/>
      <c r="D502" s="139"/>
      <c r="F502" s="15"/>
    </row>
    <row r="503">
      <c r="B503" s="139"/>
      <c r="C503" s="139"/>
      <c r="D503" s="139"/>
      <c r="F503" s="15"/>
    </row>
    <row r="504">
      <c r="B504" s="139"/>
      <c r="C504" s="139"/>
      <c r="D504" s="139"/>
      <c r="F504" s="15"/>
    </row>
    <row r="505">
      <c r="B505" s="139"/>
      <c r="C505" s="139"/>
      <c r="D505" s="139"/>
      <c r="F505" s="15"/>
    </row>
    <row r="506">
      <c r="B506" s="139"/>
      <c r="C506" s="139"/>
      <c r="D506" s="139"/>
      <c r="F506" s="15"/>
    </row>
    <row r="507">
      <c r="B507" s="139"/>
      <c r="C507" s="139"/>
      <c r="D507" s="139"/>
      <c r="F507" s="15"/>
    </row>
    <row r="508">
      <c r="B508" s="139"/>
      <c r="C508" s="139"/>
      <c r="D508" s="139"/>
      <c r="F508" s="15"/>
    </row>
    <row r="509">
      <c r="B509" s="139"/>
      <c r="C509" s="139"/>
      <c r="D509" s="139"/>
      <c r="F509" s="15"/>
    </row>
    <row r="510">
      <c r="B510" s="139"/>
      <c r="C510" s="139"/>
      <c r="D510" s="139"/>
      <c r="F510" s="15"/>
    </row>
    <row r="511">
      <c r="B511" s="139"/>
      <c r="C511" s="139"/>
      <c r="D511" s="139"/>
      <c r="F511" s="15"/>
    </row>
    <row r="512">
      <c r="B512" s="139"/>
      <c r="C512" s="139"/>
      <c r="D512" s="139"/>
      <c r="F512" s="15"/>
    </row>
    <row r="513">
      <c r="B513" s="139"/>
      <c r="C513" s="139"/>
      <c r="D513" s="139"/>
      <c r="F513" s="15"/>
    </row>
    <row r="514">
      <c r="B514" s="139"/>
      <c r="C514" s="139"/>
      <c r="D514" s="139"/>
      <c r="F514" s="15"/>
    </row>
    <row r="515">
      <c r="B515" s="139"/>
      <c r="C515" s="139"/>
      <c r="D515" s="139"/>
      <c r="F515" s="15"/>
    </row>
    <row r="516">
      <c r="B516" s="139"/>
      <c r="C516" s="139"/>
      <c r="D516" s="139"/>
      <c r="F516" s="15"/>
    </row>
    <row r="517">
      <c r="B517" s="139"/>
      <c r="C517" s="139"/>
      <c r="D517" s="139"/>
      <c r="F517" s="15"/>
    </row>
    <row r="518">
      <c r="B518" s="139"/>
      <c r="C518" s="139"/>
      <c r="D518" s="139"/>
      <c r="F518" s="15"/>
    </row>
    <row r="519">
      <c r="B519" s="139"/>
      <c r="C519" s="139"/>
      <c r="D519" s="139"/>
      <c r="F519" s="15"/>
    </row>
    <row r="520">
      <c r="B520" s="139"/>
      <c r="C520" s="139"/>
      <c r="D520" s="139"/>
      <c r="F520" s="15"/>
    </row>
    <row r="521">
      <c r="B521" s="139"/>
      <c r="C521" s="139"/>
      <c r="D521" s="139"/>
      <c r="F521" s="15"/>
    </row>
    <row r="522">
      <c r="B522" s="139"/>
      <c r="C522" s="139"/>
      <c r="D522" s="139"/>
      <c r="F522" s="15"/>
    </row>
    <row r="523">
      <c r="B523" s="139"/>
      <c r="C523" s="139"/>
      <c r="D523" s="139"/>
      <c r="F523" s="15"/>
    </row>
    <row r="524">
      <c r="B524" s="139"/>
      <c r="C524" s="139"/>
      <c r="D524" s="139"/>
      <c r="F524" s="15"/>
    </row>
    <row r="525">
      <c r="B525" s="139"/>
      <c r="C525" s="139"/>
      <c r="D525" s="139"/>
      <c r="F525" s="15"/>
    </row>
    <row r="526">
      <c r="B526" s="139"/>
      <c r="C526" s="139"/>
      <c r="D526" s="139"/>
      <c r="F526" s="15"/>
    </row>
    <row r="527">
      <c r="B527" s="139"/>
      <c r="C527" s="139"/>
      <c r="D527" s="139"/>
      <c r="F527" s="15"/>
    </row>
    <row r="528">
      <c r="B528" s="139"/>
      <c r="C528" s="139"/>
      <c r="D528" s="139"/>
      <c r="F528" s="15"/>
    </row>
    <row r="529">
      <c r="B529" s="139"/>
      <c r="C529" s="139"/>
      <c r="D529" s="139"/>
      <c r="F529" s="15"/>
    </row>
    <row r="530">
      <c r="B530" s="139"/>
      <c r="C530" s="139"/>
      <c r="D530" s="139"/>
      <c r="F530" s="15"/>
    </row>
    <row r="531">
      <c r="B531" s="139"/>
      <c r="C531" s="139"/>
      <c r="D531" s="139"/>
      <c r="F531" s="15"/>
    </row>
    <row r="532">
      <c r="B532" s="139"/>
      <c r="C532" s="139"/>
      <c r="D532" s="139"/>
      <c r="F532" s="15"/>
    </row>
    <row r="533">
      <c r="B533" s="139"/>
      <c r="C533" s="139"/>
      <c r="D533" s="139"/>
      <c r="F533" s="15"/>
    </row>
    <row r="534">
      <c r="B534" s="139"/>
      <c r="C534" s="139"/>
      <c r="D534" s="139"/>
      <c r="F534" s="15"/>
    </row>
    <row r="535">
      <c r="B535" s="139"/>
      <c r="C535" s="139"/>
      <c r="D535" s="139"/>
      <c r="F535" s="15"/>
    </row>
    <row r="536">
      <c r="B536" s="139"/>
      <c r="C536" s="139"/>
      <c r="D536" s="139"/>
      <c r="F536" s="15"/>
    </row>
    <row r="537">
      <c r="B537" s="139"/>
      <c r="C537" s="139"/>
      <c r="D537" s="139"/>
      <c r="F537" s="15"/>
    </row>
    <row r="538">
      <c r="B538" s="139"/>
      <c r="C538" s="139"/>
      <c r="D538" s="139"/>
      <c r="F538" s="15"/>
    </row>
    <row r="539">
      <c r="B539" s="139"/>
      <c r="C539" s="139"/>
      <c r="D539" s="139"/>
      <c r="F539" s="15"/>
    </row>
    <row r="540">
      <c r="B540" s="139"/>
      <c r="C540" s="139"/>
      <c r="D540" s="139"/>
      <c r="F540" s="15"/>
    </row>
    <row r="541">
      <c r="B541" s="139"/>
      <c r="C541" s="139"/>
      <c r="D541" s="139"/>
      <c r="F541" s="15"/>
    </row>
    <row r="542">
      <c r="B542" s="139"/>
      <c r="C542" s="139"/>
      <c r="D542" s="139"/>
      <c r="F542" s="15"/>
    </row>
    <row r="543">
      <c r="B543" s="139"/>
      <c r="C543" s="139"/>
      <c r="D543" s="139"/>
      <c r="F543" s="15"/>
    </row>
    <row r="544">
      <c r="B544" s="139"/>
      <c r="C544" s="139"/>
      <c r="D544" s="139"/>
      <c r="F544" s="15"/>
    </row>
    <row r="545">
      <c r="B545" s="139"/>
      <c r="C545" s="139"/>
      <c r="D545" s="139"/>
      <c r="F545" s="15"/>
    </row>
    <row r="546">
      <c r="B546" s="139"/>
      <c r="C546" s="139"/>
      <c r="D546" s="139"/>
      <c r="F546" s="15"/>
    </row>
    <row r="547">
      <c r="B547" s="139"/>
      <c r="C547" s="139"/>
      <c r="D547" s="139"/>
      <c r="F547" s="15"/>
    </row>
    <row r="548">
      <c r="B548" s="139"/>
      <c r="C548" s="139"/>
      <c r="D548" s="139"/>
      <c r="F548" s="15"/>
    </row>
    <row r="549">
      <c r="B549" s="139"/>
      <c r="C549" s="139"/>
      <c r="D549" s="139"/>
      <c r="F549" s="15"/>
    </row>
    <row r="550">
      <c r="B550" s="139"/>
      <c r="C550" s="139"/>
      <c r="D550" s="139"/>
      <c r="F550" s="15"/>
    </row>
    <row r="551">
      <c r="B551" s="139"/>
      <c r="C551" s="139"/>
      <c r="D551" s="139"/>
      <c r="F551" s="15"/>
    </row>
    <row r="552">
      <c r="B552" s="139"/>
      <c r="C552" s="139"/>
      <c r="D552" s="139"/>
      <c r="F552" s="15"/>
    </row>
    <row r="553">
      <c r="B553" s="139"/>
      <c r="C553" s="139"/>
      <c r="D553" s="139"/>
      <c r="F553" s="15"/>
    </row>
    <row r="554">
      <c r="B554" s="139"/>
      <c r="C554" s="139"/>
      <c r="D554" s="139"/>
      <c r="F554" s="15"/>
    </row>
    <row r="555">
      <c r="B555" s="139"/>
      <c r="C555" s="139"/>
      <c r="D555" s="139"/>
      <c r="F555" s="15"/>
    </row>
    <row r="556">
      <c r="B556" s="139"/>
      <c r="C556" s="139"/>
      <c r="D556" s="139"/>
      <c r="F556" s="15"/>
    </row>
    <row r="557">
      <c r="B557" s="139"/>
      <c r="C557" s="139"/>
      <c r="D557" s="139"/>
      <c r="F557" s="15"/>
    </row>
    <row r="558">
      <c r="B558" s="139"/>
      <c r="C558" s="139"/>
      <c r="D558" s="139"/>
      <c r="F558" s="15"/>
    </row>
    <row r="559">
      <c r="B559" s="139"/>
      <c r="C559" s="139"/>
      <c r="D559" s="139"/>
      <c r="F559" s="15"/>
    </row>
    <row r="560">
      <c r="B560" s="139"/>
      <c r="C560" s="139"/>
      <c r="D560" s="139"/>
      <c r="F560" s="15"/>
    </row>
    <row r="561">
      <c r="B561" s="139"/>
      <c r="C561" s="139"/>
      <c r="D561" s="139"/>
      <c r="F561" s="15"/>
    </row>
    <row r="562">
      <c r="B562" s="139"/>
      <c r="C562" s="139"/>
      <c r="D562" s="139"/>
      <c r="F562" s="15"/>
    </row>
    <row r="563">
      <c r="B563" s="139"/>
      <c r="C563" s="139"/>
      <c r="D563" s="139"/>
      <c r="F563" s="15"/>
    </row>
    <row r="564">
      <c r="B564" s="139"/>
      <c r="C564" s="139"/>
      <c r="D564" s="139"/>
      <c r="F564" s="15"/>
    </row>
    <row r="565">
      <c r="B565" s="139"/>
      <c r="C565" s="139"/>
      <c r="D565" s="139"/>
      <c r="F565" s="15"/>
    </row>
    <row r="566">
      <c r="B566" s="139"/>
      <c r="C566" s="139"/>
      <c r="D566" s="139"/>
      <c r="F566" s="15"/>
    </row>
    <row r="567">
      <c r="B567" s="139"/>
      <c r="C567" s="139"/>
      <c r="D567" s="139"/>
      <c r="F567" s="15"/>
    </row>
    <row r="568">
      <c r="B568" s="139"/>
      <c r="C568" s="139"/>
      <c r="D568" s="139"/>
      <c r="F568" s="15"/>
    </row>
    <row r="569">
      <c r="B569" s="139"/>
      <c r="C569" s="139"/>
      <c r="D569" s="139"/>
      <c r="F569" s="15"/>
    </row>
    <row r="570">
      <c r="B570" s="139"/>
      <c r="C570" s="139"/>
      <c r="D570" s="139"/>
      <c r="F570" s="15"/>
    </row>
    <row r="571">
      <c r="B571" s="139"/>
      <c r="C571" s="139"/>
      <c r="D571" s="139"/>
      <c r="F571" s="15"/>
    </row>
    <row r="572">
      <c r="B572" s="139"/>
      <c r="C572" s="139"/>
      <c r="D572" s="139"/>
      <c r="F572" s="15"/>
    </row>
    <row r="573">
      <c r="B573" s="139"/>
      <c r="C573" s="139"/>
      <c r="D573" s="139"/>
      <c r="F573" s="15"/>
    </row>
    <row r="574">
      <c r="B574" s="139"/>
      <c r="C574" s="139"/>
      <c r="D574" s="139"/>
      <c r="F574" s="15"/>
    </row>
    <row r="575">
      <c r="B575" s="139"/>
      <c r="C575" s="139"/>
      <c r="D575" s="139"/>
      <c r="F575" s="15"/>
    </row>
    <row r="576">
      <c r="B576" s="139"/>
      <c r="C576" s="139"/>
      <c r="D576" s="139"/>
      <c r="F576" s="15"/>
    </row>
    <row r="577">
      <c r="B577" s="139"/>
      <c r="C577" s="139"/>
      <c r="D577" s="139"/>
      <c r="F577" s="15"/>
    </row>
    <row r="578">
      <c r="B578" s="139"/>
      <c r="C578" s="139"/>
      <c r="D578" s="139"/>
      <c r="F578" s="15"/>
    </row>
    <row r="579">
      <c r="B579" s="139"/>
      <c r="C579" s="139"/>
      <c r="D579" s="139"/>
      <c r="F579" s="15"/>
    </row>
    <row r="580">
      <c r="B580" s="139"/>
      <c r="C580" s="139"/>
      <c r="D580" s="139"/>
      <c r="F580" s="15"/>
    </row>
    <row r="581">
      <c r="B581" s="139"/>
      <c r="C581" s="139"/>
      <c r="D581" s="139"/>
      <c r="F581" s="15"/>
    </row>
    <row r="582">
      <c r="B582" s="139"/>
      <c r="C582" s="139"/>
      <c r="D582" s="139"/>
      <c r="F582" s="15"/>
    </row>
    <row r="583">
      <c r="B583" s="139"/>
      <c r="C583" s="139"/>
      <c r="D583" s="139"/>
      <c r="F583" s="15"/>
    </row>
    <row r="584">
      <c r="B584" s="139"/>
      <c r="C584" s="139"/>
      <c r="D584" s="139"/>
      <c r="F584" s="15"/>
    </row>
    <row r="585">
      <c r="B585" s="139"/>
      <c r="C585" s="139"/>
      <c r="D585" s="139"/>
      <c r="F585" s="15"/>
    </row>
    <row r="586">
      <c r="B586" s="139"/>
      <c r="C586" s="139"/>
      <c r="D586" s="139"/>
      <c r="F586" s="15"/>
    </row>
    <row r="587">
      <c r="B587" s="139"/>
      <c r="C587" s="139"/>
      <c r="D587" s="139"/>
      <c r="F587" s="15"/>
    </row>
    <row r="588">
      <c r="B588" s="139"/>
      <c r="C588" s="139"/>
      <c r="D588" s="139"/>
      <c r="F588" s="15"/>
    </row>
    <row r="589">
      <c r="B589" s="139"/>
      <c r="C589" s="139"/>
      <c r="D589" s="139"/>
      <c r="F589" s="15"/>
    </row>
    <row r="590">
      <c r="B590" s="139"/>
      <c r="C590" s="139"/>
      <c r="D590" s="139"/>
      <c r="F590" s="15"/>
    </row>
    <row r="591">
      <c r="B591" s="139"/>
      <c r="C591" s="139"/>
      <c r="D591" s="139"/>
      <c r="F591" s="15"/>
    </row>
    <row r="592">
      <c r="B592" s="139"/>
      <c r="C592" s="139"/>
      <c r="D592" s="139"/>
      <c r="F592" s="15"/>
    </row>
    <row r="593">
      <c r="B593" s="139"/>
      <c r="C593" s="139"/>
      <c r="D593" s="139"/>
      <c r="F593" s="15"/>
    </row>
    <row r="594">
      <c r="B594" s="139"/>
      <c r="C594" s="139"/>
      <c r="D594" s="139"/>
      <c r="F594" s="15"/>
    </row>
    <row r="595">
      <c r="B595" s="139"/>
      <c r="C595" s="139"/>
      <c r="D595" s="139"/>
      <c r="F595" s="15"/>
    </row>
    <row r="596">
      <c r="B596" s="139"/>
      <c r="C596" s="139"/>
      <c r="D596" s="139"/>
      <c r="F596" s="15"/>
    </row>
    <row r="597">
      <c r="B597" s="139"/>
      <c r="C597" s="139"/>
      <c r="D597" s="139"/>
      <c r="F597" s="15"/>
    </row>
    <row r="598">
      <c r="B598" s="139"/>
      <c r="C598" s="139"/>
      <c r="D598" s="139"/>
      <c r="F598" s="15"/>
    </row>
    <row r="599">
      <c r="B599" s="139"/>
      <c r="C599" s="139"/>
      <c r="D599" s="139"/>
      <c r="F599" s="15"/>
    </row>
    <row r="600">
      <c r="B600" s="139"/>
      <c r="C600" s="139"/>
      <c r="D600" s="139"/>
      <c r="F600" s="15"/>
    </row>
    <row r="601">
      <c r="B601" s="139"/>
      <c r="C601" s="139"/>
      <c r="D601" s="139"/>
      <c r="F601" s="15"/>
    </row>
    <row r="602">
      <c r="B602" s="139"/>
      <c r="C602" s="139"/>
      <c r="D602" s="139"/>
      <c r="F602" s="15"/>
    </row>
    <row r="603">
      <c r="B603" s="139"/>
      <c r="C603" s="139"/>
      <c r="D603" s="139"/>
      <c r="F603" s="15"/>
    </row>
    <row r="604">
      <c r="B604" s="139"/>
      <c r="C604" s="139"/>
      <c r="D604" s="139"/>
      <c r="F604" s="15"/>
    </row>
    <row r="605">
      <c r="B605" s="139"/>
      <c r="C605" s="139"/>
      <c r="D605" s="139"/>
      <c r="F605" s="15"/>
    </row>
    <row r="606">
      <c r="B606" s="139"/>
      <c r="C606" s="139"/>
      <c r="D606" s="139"/>
      <c r="F606" s="15"/>
    </row>
    <row r="607">
      <c r="B607" s="139"/>
      <c r="C607" s="139"/>
      <c r="D607" s="139"/>
      <c r="F607" s="15"/>
    </row>
    <row r="608">
      <c r="B608" s="139"/>
      <c r="C608" s="139"/>
      <c r="D608" s="139"/>
      <c r="F608" s="15"/>
    </row>
    <row r="609">
      <c r="B609" s="139"/>
      <c r="C609" s="139"/>
      <c r="D609" s="139"/>
      <c r="F609" s="15"/>
    </row>
    <row r="610">
      <c r="B610" s="139"/>
      <c r="C610" s="139"/>
      <c r="D610" s="139"/>
      <c r="F610" s="15"/>
    </row>
    <row r="611">
      <c r="B611" s="139"/>
      <c r="C611" s="139"/>
      <c r="D611" s="139"/>
      <c r="F611" s="15"/>
    </row>
    <row r="612">
      <c r="B612" s="139"/>
      <c r="C612" s="139"/>
      <c r="D612" s="139"/>
      <c r="F612" s="15"/>
    </row>
    <row r="613">
      <c r="B613" s="139"/>
      <c r="C613" s="139"/>
      <c r="D613" s="139"/>
      <c r="F613" s="15"/>
    </row>
    <row r="614">
      <c r="B614" s="139"/>
      <c r="C614" s="139"/>
      <c r="D614" s="139"/>
      <c r="F614" s="15"/>
    </row>
    <row r="615">
      <c r="B615" s="139"/>
      <c r="C615" s="139"/>
      <c r="D615" s="139"/>
      <c r="F615" s="15"/>
    </row>
    <row r="616">
      <c r="B616" s="139"/>
      <c r="C616" s="139"/>
      <c r="D616" s="139"/>
      <c r="F616" s="15"/>
    </row>
    <row r="617">
      <c r="B617" s="139"/>
      <c r="C617" s="139"/>
      <c r="D617" s="139"/>
      <c r="F617" s="15"/>
    </row>
    <row r="618">
      <c r="B618" s="139"/>
      <c r="C618" s="139"/>
      <c r="D618" s="139"/>
      <c r="F618" s="15"/>
    </row>
    <row r="619">
      <c r="B619" s="139"/>
      <c r="C619" s="139"/>
      <c r="D619" s="139"/>
      <c r="F619" s="15"/>
    </row>
    <row r="620">
      <c r="B620" s="139"/>
      <c r="C620" s="139"/>
      <c r="D620" s="139"/>
      <c r="F620" s="15"/>
    </row>
    <row r="621">
      <c r="B621" s="139"/>
      <c r="C621" s="139"/>
      <c r="D621" s="139"/>
      <c r="F621" s="15"/>
    </row>
    <row r="622">
      <c r="B622" s="139"/>
      <c r="C622" s="139"/>
      <c r="D622" s="139"/>
      <c r="F622" s="15"/>
    </row>
    <row r="623">
      <c r="B623" s="139"/>
      <c r="C623" s="139"/>
      <c r="D623" s="139"/>
      <c r="F623" s="15"/>
    </row>
    <row r="624">
      <c r="B624" s="139"/>
      <c r="C624" s="139"/>
      <c r="D624" s="139"/>
      <c r="F624" s="15"/>
    </row>
    <row r="625">
      <c r="B625" s="139"/>
      <c r="C625" s="139"/>
      <c r="D625" s="139"/>
      <c r="F625" s="15"/>
    </row>
    <row r="626">
      <c r="B626" s="139"/>
      <c r="C626" s="139"/>
      <c r="D626" s="139"/>
      <c r="F626" s="15"/>
    </row>
    <row r="627">
      <c r="B627" s="139"/>
      <c r="C627" s="139"/>
      <c r="D627" s="139"/>
      <c r="F627" s="15"/>
    </row>
    <row r="628">
      <c r="B628" s="139"/>
      <c r="C628" s="139"/>
      <c r="D628" s="139"/>
      <c r="F628" s="15"/>
    </row>
    <row r="629">
      <c r="B629" s="139"/>
      <c r="C629" s="139"/>
      <c r="D629" s="139"/>
      <c r="F629" s="15"/>
    </row>
    <row r="630">
      <c r="B630" s="139"/>
      <c r="C630" s="139"/>
      <c r="D630" s="139"/>
      <c r="F630" s="15"/>
    </row>
    <row r="631">
      <c r="B631" s="139"/>
      <c r="C631" s="139"/>
      <c r="D631" s="139"/>
      <c r="F631" s="15"/>
    </row>
    <row r="632">
      <c r="B632" s="139"/>
      <c r="C632" s="139"/>
      <c r="D632" s="139"/>
      <c r="F632" s="15"/>
    </row>
    <row r="633">
      <c r="B633" s="139"/>
      <c r="C633" s="139"/>
      <c r="D633" s="139"/>
      <c r="F633" s="15"/>
    </row>
    <row r="634">
      <c r="B634" s="139"/>
      <c r="C634" s="139"/>
      <c r="D634" s="139"/>
      <c r="F634" s="15"/>
    </row>
    <row r="635">
      <c r="B635" s="139"/>
      <c r="C635" s="139"/>
      <c r="D635" s="139"/>
      <c r="F635" s="15"/>
    </row>
    <row r="636">
      <c r="B636" s="139"/>
      <c r="C636" s="139"/>
      <c r="D636" s="139"/>
      <c r="F636" s="15"/>
    </row>
    <row r="637">
      <c r="B637" s="139"/>
      <c r="C637" s="139"/>
      <c r="D637" s="139"/>
      <c r="F637" s="15"/>
    </row>
    <row r="638">
      <c r="B638" s="139"/>
      <c r="C638" s="139"/>
      <c r="D638" s="139"/>
      <c r="F638" s="15"/>
    </row>
    <row r="639">
      <c r="B639" s="139"/>
      <c r="C639" s="139"/>
      <c r="D639" s="139"/>
      <c r="F639" s="15"/>
    </row>
    <row r="640">
      <c r="B640" s="139"/>
      <c r="C640" s="139"/>
      <c r="D640" s="139"/>
      <c r="F640" s="15"/>
    </row>
    <row r="641">
      <c r="B641" s="139"/>
      <c r="C641" s="139"/>
      <c r="D641" s="139"/>
      <c r="F641" s="15"/>
    </row>
    <row r="642">
      <c r="B642" s="139"/>
      <c r="C642" s="139"/>
      <c r="D642" s="139"/>
      <c r="F642" s="15"/>
    </row>
    <row r="643">
      <c r="B643" s="139"/>
      <c r="C643" s="139"/>
      <c r="D643" s="139"/>
      <c r="F643" s="15"/>
    </row>
    <row r="644">
      <c r="B644" s="139"/>
      <c r="C644" s="139"/>
      <c r="D644" s="139"/>
      <c r="F644" s="15"/>
    </row>
    <row r="645">
      <c r="B645" s="139"/>
      <c r="C645" s="139"/>
      <c r="D645" s="139"/>
      <c r="F645" s="15"/>
    </row>
    <row r="646">
      <c r="B646" s="139"/>
      <c r="C646" s="139"/>
      <c r="D646" s="139"/>
      <c r="F646" s="15"/>
    </row>
    <row r="647">
      <c r="B647" s="139"/>
      <c r="C647" s="139"/>
      <c r="D647" s="139"/>
      <c r="F647" s="15"/>
    </row>
    <row r="648">
      <c r="B648" s="139"/>
      <c r="C648" s="139"/>
      <c r="D648" s="139"/>
      <c r="F648" s="15"/>
    </row>
    <row r="649">
      <c r="B649" s="139"/>
      <c r="C649" s="139"/>
      <c r="D649" s="139"/>
      <c r="F649" s="15"/>
    </row>
    <row r="650">
      <c r="B650" s="139"/>
      <c r="C650" s="139"/>
      <c r="D650" s="139"/>
      <c r="F650" s="15"/>
    </row>
    <row r="651">
      <c r="B651" s="139"/>
      <c r="C651" s="139"/>
      <c r="D651" s="139"/>
      <c r="F651" s="15"/>
    </row>
    <row r="652">
      <c r="B652" s="139"/>
      <c r="C652" s="139"/>
      <c r="D652" s="139"/>
      <c r="F652" s="15"/>
    </row>
    <row r="653">
      <c r="B653" s="139"/>
      <c r="C653" s="139"/>
      <c r="D653" s="139"/>
      <c r="F653" s="15"/>
    </row>
    <row r="654">
      <c r="B654" s="139"/>
      <c r="C654" s="139"/>
      <c r="D654" s="139"/>
      <c r="F654" s="15"/>
    </row>
    <row r="655">
      <c r="B655" s="139"/>
      <c r="C655" s="139"/>
      <c r="D655" s="139"/>
      <c r="F655" s="15"/>
    </row>
    <row r="656">
      <c r="B656" s="139"/>
      <c r="C656" s="139"/>
      <c r="D656" s="139"/>
      <c r="F656" s="15"/>
    </row>
    <row r="657">
      <c r="B657" s="139"/>
      <c r="C657" s="139"/>
      <c r="D657" s="139"/>
      <c r="F657" s="15"/>
    </row>
    <row r="658">
      <c r="B658" s="139"/>
      <c r="C658" s="139"/>
      <c r="D658" s="139"/>
      <c r="F658" s="15"/>
    </row>
    <row r="659">
      <c r="B659" s="139"/>
      <c r="C659" s="139"/>
      <c r="D659" s="139"/>
      <c r="F659" s="15"/>
    </row>
    <row r="660">
      <c r="B660" s="139"/>
      <c r="C660" s="139"/>
      <c r="D660" s="139"/>
      <c r="F660" s="15"/>
    </row>
    <row r="661">
      <c r="B661" s="139"/>
      <c r="C661" s="139"/>
      <c r="D661" s="139"/>
      <c r="F661" s="15"/>
    </row>
    <row r="662">
      <c r="B662" s="139"/>
      <c r="C662" s="139"/>
      <c r="D662" s="139"/>
      <c r="F662" s="15"/>
    </row>
    <row r="663">
      <c r="B663" s="139"/>
      <c r="C663" s="139"/>
      <c r="D663" s="139"/>
      <c r="F663" s="15"/>
    </row>
    <row r="664">
      <c r="B664" s="139"/>
      <c r="C664" s="139"/>
      <c r="D664" s="139"/>
      <c r="F664" s="15"/>
    </row>
    <row r="665">
      <c r="B665" s="139"/>
      <c r="C665" s="139"/>
      <c r="D665" s="139"/>
      <c r="F665" s="15"/>
    </row>
    <row r="666">
      <c r="B666" s="139"/>
      <c r="C666" s="139"/>
      <c r="D666" s="139"/>
      <c r="F666" s="15"/>
    </row>
    <row r="667">
      <c r="B667" s="139"/>
      <c r="C667" s="139"/>
      <c r="D667" s="139"/>
      <c r="F667" s="15"/>
    </row>
    <row r="668">
      <c r="B668" s="139"/>
      <c r="C668" s="139"/>
      <c r="D668" s="139"/>
      <c r="F668" s="15"/>
    </row>
    <row r="669">
      <c r="B669" s="139"/>
      <c r="C669" s="139"/>
      <c r="D669" s="139"/>
      <c r="F669" s="15"/>
    </row>
    <row r="670">
      <c r="B670" s="139"/>
      <c r="C670" s="139"/>
      <c r="D670" s="139"/>
      <c r="F670" s="15"/>
    </row>
    <row r="671">
      <c r="B671" s="139"/>
      <c r="C671" s="139"/>
      <c r="D671" s="139"/>
      <c r="F671" s="15"/>
    </row>
    <row r="672">
      <c r="B672" s="139"/>
      <c r="C672" s="139"/>
      <c r="D672" s="139"/>
      <c r="F672" s="15"/>
    </row>
    <row r="673">
      <c r="B673" s="139"/>
      <c r="C673" s="139"/>
      <c r="D673" s="139"/>
      <c r="F673" s="15"/>
    </row>
    <row r="674">
      <c r="B674" s="139"/>
      <c r="C674" s="139"/>
      <c r="D674" s="139"/>
      <c r="F674" s="15"/>
    </row>
    <row r="675">
      <c r="B675" s="139"/>
      <c r="C675" s="139"/>
      <c r="D675" s="139"/>
      <c r="F675" s="15"/>
    </row>
    <row r="676">
      <c r="B676" s="139"/>
      <c r="C676" s="139"/>
      <c r="D676" s="139"/>
      <c r="F676" s="15"/>
    </row>
    <row r="677">
      <c r="B677" s="139"/>
      <c r="C677" s="139"/>
      <c r="D677" s="139"/>
      <c r="F677" s="15"/>
    </row>
    <row r="678">
      <c r="B678" s="139"/>
      <c r="C678" s="139"/>
      <c r="D678" s="139"/>
      <c r="F678" s="15"/>
    </row>
    <row r="679">
      <c r="B679" s="139"/>
      <c r="C679" s="139"/>
      <c r="D679" s="139"/>
      <c r="F679" s="15"/>
    </row>
    <row r="680">
      <c r="B680" s="139"/>
      <c r="C680" s="139"/>
      <c r="D680" s="139"/>
      <c r="F680" s="15"/>
    </row>
    <row r="681">
      <c r="B681" s="139"/>
      <c r="C681" s="139"/>
      <c r="D681" s="139"/>
      <c r="F681" s="15"/>
    </row>
    <row r="682">
      <c r="B682" s="139"/>
      <c r="C682" s="139"/>
      <c r="D682" s="139"/>
      <c r="F682" s="15"/>
    </row>
    <row r="683">
      <c r="B683" s="139"/>
      <c r="C683" s="139"/>
      <c r="D683" s="139"/>
      <c r="F683" s="15"/>
    </row>
    <row r="684">
      <c r="B684" s="139"/>
      <c r="C684" s="139"/>
      <c r="D684" s="139"/>
      <c r="F684" s="15"/>
    </row>
    <row r="685">
      <c r="B685" s="139"/>
      <c r="C685" s="139"/>
      <c r="D685" s="139"/>
      <c r="F685" s="15"/>
    </row>
    <row r="686">
      <c r="B686" s="139"/>
      <c r="C686" s="139"/>
      <c r="D686" s="139"/>
      <c r="F686" s="15"/>
    </row>
    <row r="687">
      <c r="B687" s="139"/>
      <c r="C687" s="139"/>
      <c r="D687" s="139"/>
      <c r="F687" s="15"/>
    </row>
    <row r="688">
      <c r="B688" s="139"/>
      <c r="C688" s="139"/>
      <c r="D688" s="139"/>
      <c r="F688" s="15"/>
    </row>
    <row r="689">
      <c r="B689" s="139"/>
      <c r="C689" s="139"/>
      <c r="D689" s="139"/>
      <c r="F689" s="15"/>
    </row>
    <row r="690">
      <c r="B690" s="139"/>
      <c r="C690" s="139"/>
      <c r="D690" s="139"/>
      <c r="F690" s="15"/>
    </row>
    <row r="691">
      <c r="B691" s="139"/>
      <c r="C691" s="139"/>
      <c r="D691" s="139"/>
      <c r="F691" s="15"/>
    </row>
    <row r="692">
      <c r="B692" s="139"/>
      <c r="C692" s="139"/>
      <c r="D692" s="139"/>
      <c r="F692" s="15"/>
    </row>
    <row r="693">
      <c r="B693" s="139"/>
      <c r="C693" s="139"/>
      <c r="D693" s="139"/>
      <c r="F693" s="15"/>
    </row>
    <row r="694">
      <c r="B694" s="139"/>
      <c r="C694" s="139"/>
      <c r="D694" s="139"/>
      <c r="F694" s="15"/>
    </row>
    <row r="695">
      <c r="B695" s="139"/>
      <c r="C695" s="139"/>
      <c r="D695" s="139"/>
      <c r="F695" s="15"/>
    </row>
    <row r="696">
      <c r="B696" s="139"/>
      <c r="C696" s="139"/>
      <c r="D696" s="139"/>
      <c r="F696" s="15"/>
    </row>
    <row r="697">
      <c r="B697" s="139"/>
      <c r="C697" s="139"/>
      <c r="D697" s="139"/>
      <c r="F697" s="15"/>
    </row>
    <row r="698">
      <c r="B698" s="139"/>
      <c r="C698" s="139"/>
      <c r="D698" s="139"/>
      <c r="F698" s="15"/>
    </row>
    <row r="699">
      <c r="B699" s="139"/>
      <c r="C699" s="139"/>
      <c r="D699" s="139"/>
      <c r="F699" s="15"/>
    </row>
    <row r="700">
      <c r="B700" s="139"/>
      <c r="C700" s="139"/>
      <c r="D700" s="139"/>
      <c r="F700" s="15"/>
    </row>
    <row r="701">
      <c r="B701" s="139"/>
      <c r="C701" s="139"/>
      <c r="D701" s="139"/>
      <c r="F701" s="15"/>
    </row>
    <row r="702">
      <c r="B702" s="139"/>
      <c r="C702" s="139"/>
      <c r="D702" s="139"/>
      <c r="F702" s="15"/>
    </row>
    <row r="703">
      <c r="B703" s="139"/>
      <c r="C703" s="139"/>
      <c r="D703" s="139"/>
      <c r="F703" s="15"/>
    </row>
    <row r="704">
      <c r="B704" s="139"/>
      <c r="C704" s="139"/>
      <c r="D704" s="139"/>
      <c r="F704" s="15"/>
    </row>
    <row r="705">
      <c r="B705" s="139"/>
      <c r="C705" s="139"/>
      <c r="D705" s="139"/>
      <c r="F705" s="15"/>
    </row>
    <row r="706">
      <c r="B706" s="139"/>
      <c r="C706" s="139"/>
      <c r="D706" s="139"/>
      <c r="F706" s="15"/>
    </row>
    <row r="707">
      <c r="B707" s="139"/>
      <c r="C707" s="139"/>
      <c r="D707" s="139"/>
      <c r="F707" s="15"/>
    </row>
    <row r="708">
      <c r="B708" s="139"/>
      <c r="C708" s="139"/>
      <c r="D708" s="139"/>
      <c r="F708" s="15"/>
    </row>
    <row r="709">
      <c r="B709" s="139"/>
      <c r="C709" s="139"/>
      <c r="D709" s="139"/>
      <c r="F709" s="15"/>
    </row>
    <row r="710">
      <c r="B710" s="139"/>
      <c r="C710" s="139"/>
      <c r="D710" s="139"/>
      <c r="F710" s="15"/>
    </row>
    <row r="711">
      <c r="B711" s="139"/>
      <c r="C711" s="139"/>
      <c r="D711" s="139"/>
      <c r="F711" s="15"/>
    </row>
    <row r="712">
      <c r="B712" s="139"/>
      <c r="C712" s="139"/>
      <c r="D712" s="139"/>
      <c r="F712" s="15"/>
    </row>
    <row r="713">
      <c r="B713" s="139"/>
      <c r="C713" s="139"/>
      <c r="D713" s="139"/>
      <c r="F713" s="15"/>
    </row>
    <row r="714">
      <c r="B714" s="139"/>
      <c r="C714" s="139"/>
      <c r="D714" s="139"/>
      <c r="F714" s="15"/>
    </row>
    <row r="715">
      <c r="B715" s="139"/>
      <c r="C715" s="139"/>
      <c r="D715" s="139"/>
      <c r="F715" s="15"/>
    </row>
    <row r="716">
      <c r="B716" s="139"/>
      <c r="C716" s="139"/>
      <c r="D716" s="139"/>
      <c r="F716" s="15"/>
    </row>
    <row r="717">
      <c r="B717" s="139"/>
      <c r="C717" s="139"/>
      <c r="D717" s="139"/>
      <c r="F717" s="15"/>
    </row>
    <row r="718">
      <c r="B718" s="139"/>
      <c r="C718" s="139"/>
      <c r="D718" s="139"/>
      <c r="F718" s="15"/>
    </row>
    <row r="719">
      <c r="B719" s="139"/>
      <c r="C719" s="139"/>
      <c r="D719" s="139"/>
      <c r="F719" s="15"/>
    </row>
    <row r="720">
      <c r="B720" s="139"/>
      <c r="C720" s="139"/>
      <c r="D720" s="139"/>
      <c r="F720" s="15"/>
    </row>
    <row r="721">
      <c r="B721" s="139"/>
      <c r="C721" s="139"/>
      <c r="D721" s="139"/>
      <c r="F721" s="15"/>
    </row>
    <row r="722">
      <c r="B722" s="139"/>
      <c r="C722" s="139"/>
      <c r="D722" s="139"/>
      <c r="F722" s="15"/>
    </row>
    <row r="723">
      <c r="B723" s="139"/>
      <c r="C723" s="139"/>
      <c r="D723" s="139"/>
      <c r="F723" s="15"/>
    </row>
    <row r="724">
      <c r="B724" s="139"/>
      <c r="C724" s="139"/>
      <c r="D724" s="139"/>
      <c r="F724" s="15"/>
    </row>
    <row r="725">
      <c r="B725" s="139"/>
      <c r="C725" s="139"/>
      <c r="D725" s="139"/>
      <c r="F725" s="15"/>
    </row>
    <row r="726">
      <c r="B726" s="139"/>
      <c r="C726" s="139"/>
      <c r="D726" s="139"/>
      <c r="F726" s="15"/>
    </row>
    <row r="727">
      <c r="B727" s="139"/>
      <c r="C727" s="139"/>
      <c r="D727" s="139"/>
      <c r="F727" s="15"/>
    </row>
    <row r="728">
      <c r="B728" s="139"/>
      <c r="C728" s="139"/>
      <c r="D728" s="139"/>
      <c r="F728" s="15"/>
    </row>
    <row r="729">
      <c r="B729" s="139"/>
      <c r="C729" s="139"/>
      <c r="D729" s="139"/>
      <c r="F729" s="15"/>
    </row>
    <row r="730">
      <c r="B730" s="139"/>
      <c r="C730" s="139"/>
      <c r="D730" s="139"/>
      <c r="F730" s="15"/>
    </row>
    <row r="731">
      <c r="B731" s="139"/>
      <c r="C731" s="139"/>
      <c r="D731" s="139"/>
      <c r="F731" s="15"/>
    </row>
    <row r="732">
      <c r="B732" s="139"/>
      <c r="C732" s="139"/>
      <c r="D732" s="139"/>
      <c r="F732" s="15"/>
    </row>
    <row r="733">
      <c r="B733" s="139"/>
      <c r="C733" s="139"/>
      <c r="D733" s="139"/>
      <c r="F733" s="15"/>
    </row>
    <row r="734">
      <c r="B734" s="139"/>
      <c r="C734" s="139"/>
      <c r="D734" s="139"/>
      <c r="F734" s="15"/>
    </row>
    <row r="735">
      <c r="B735" s="139"/>
      <c r="C735" s="139"/>
      <c r="D735" s="139"/>
      <c r="F735" s="15"/>
    </row>
    <row r="736">
      <c r="B736" s="139"/>
      <c r="C736" s="139"/>
      <c r="D736" s="139"/>
      <c r="F736" s="15"/>
    </row>
    <row r="737">
      <c r="B737" s="139"/>
      <c r="C737" s="139"/>
      <c r="D737" s="139"/>
      <c r="F737" s="15"/>
    </row>
    <row r="738">
      <c r="B738" s="139"/>
      <c r="C738" s="139"/>
      <c r="D738" s="139"/>
      <c r="F738" s="15"/>
    </row>
    <row r="739">
      <c r="B739" s="139"/>
      <c r="C739" s="139"/>
      <c r="D739" s="139"/>
      <c r="F739" s="15"/>
    </row>
    <row r="740">
      <c r="B740" s="139"/>
      <c r="C740" s="139"/>
      <c r="D740" s="139"/>
      <c r="F740" s="15"/>
    </row>
    <row r="741">
      <c r="B741" s="139"/>
      <c r="C741" s="139"/>
      <c r="D741" s="139"/>
      <c r="F741" s="15"/>
    </row>
    <row r="742">
      <c r="B742" s="139"/>
      <c r="C742" s="139"/>
      <c r="D742" s="139"/>
      <c r="F742" s="15"/>
    </row>
    <row r="743">
      <c r="B743" s="139"/>
      <c r="C743" s="139"/>
      <c r="D743" s="139"/>
      <c r="F743" s="15"/>
    </row>
    <row r="744">
      <c r="B744" s="139"/>
      <c r="C744" s="139"/>
      <c r="D744" s="139"/>
      <c r="F744" s="15"/>
    </row>
    <row r="745">
      <c r="B745" s="139"/>
      <c r="C745" s="139"/>
      <c r="D745" s="139"/>
      <c r="F745" s="15"/>
    </row>
    <row r="746">
      <c r="B746" s="139"/>
      <c r="C746" s="139"/>
      <c r="D746" s="139"/>
      <c r="F746" s="15"/>
    </row>
    <row r="747">
      <c r="B747" s="139"/>
      <c r="C747" s="139"/>
      <c r="D747" s="139"/>
      <c r="F747" s="15"/>
    </row>
    <row r="748">
      <c r="B748" s="139"/>
      <c r="C748" s="139"/>
      <c r="D748" s="139"/>
      <c r="F748" s="15"/>
    </row>
    <row r="749">
      <c r="B749" s="139"/>
      <c r="C749" s="139"/>
      <c r="D749" s="139"/>
      <c r="F749" s="15"/>
    </row>
    <row r="750">
      <c r="B750" s="139"/>
      <c r="C750" s="139"/>
      <c r="D750" s="139"/>
      <c r="F750" s="15"/>
    </row>
    <row r="751">
      <c r="B751" s="139"/>
      <c r="C751" s="139"/>
      <c r="D751" s="139"/>
      <c r="F751" s="15"/>
    </row>
    <row r="752">
      <c r="B752" s="139"/>
      <c r="C752" s="139"/>
      <c r="D752" s="139"/>
      <c r="F752" s="15"/>
    </row>
    <row r="753">
      <c r="B753" s="139"/>
      <c r="C753" s="139"/>
      <c r="D753" s="139"/>
      <c r="F753" s="15"/>
    </row>
    <row r="754">
      <c r="B754" s="139"/>
      <c r="C754" s="139"/>
      <c r="D754" s="139"/>
      <c r="F754" s="15"/>
    </row>
    <row r="755">
      <c r="B755" s="139"/>
      <c r="C755" s="139"/>
      <c r="D755" s="139"/>
      <c r="F755" s="15"/>
    </row>
    <row r="756">
      <c r="B756" s="139"/>
      <c r="C756" s="139"/>
      <c r="D756" s="139"/>
      <c r="F756" s="15"/>
    </row>
    <row r="757">
      <c r="B757" s="139"/>
      <c r="C757" s="139"/>
      <c r="D757" s="139"/>
      <c r="F757" s="15"/>
    </row>
    <row r="758">
      <c r="B758" s="139"/>
      <c r="C758" s="139"/>
      <c r="D758" s="139"/>
      <c r="F758" s="15"/>
    </row>
    <row r="759">
      <c r="B759" s="139"/>
      <c r="C759" s="139"/>
      <c r="D759" s="139"/>
      <c r="F759" s="15"/>
    </row>
    <row r="760">
      <c r="B760" s="139"/>
      <c r="C760" s="139"/>
      <c r="D760" s="139"/>
      <c r="F760" s="15"/>
    </row>
    <row r="761">
      <c r="B761" s="139"/>
      <c r="C761" s="139"/>
      <c r="D761" s="139"/>
      <c r="F761" s="15"/>
    </row>
    <row r="762">
      <c r="B762" s="139"/>
      <c r="C762" s="139"/>
      <c r="D762" s="139"/>
      <c r="F762" s="15"/>
    </row>
    <row r="763">
      <c r="B763" s="139"/>
      <c r="C763" s="139"/>
      <c r="D763" s="139"/>
      <c r="F763" s="15"/>
    </row>
    <row r="764">
      <c r="B764" s="139"/>
      <c r="C764" s="139"/>
      <c r="D764" s="139"/>
      <c r="F764" s="15"/>
    </row>
    <row r="765">
      <c r="B765" s="139"/>
      <c r="C765" s="139"/>
      <c r="D765" s="139"/>
      <c r="F765" s="15"/>
    </row>
    <row r="766">
      <c r="B766" s="139"/>
      <c r="C766" s="139"/>
      <c r="D766" s="139"/>
      <c r="F766" s="15"/>
    </row>
    <row r="767">
      <c r="B767" s="139"/>
      <c r="C767" s="139"/>
      <c r="D767" s="139"/>
      <c r="F767" s="15"/>
    </row>
    <row r="768">
      <c r="B768" s="139"/>
      <c r="C768" s="139"/>
      <c r="D768" s="139"/>
      <c r="F768" s="15"/>
    </row>
    <row r="769">
      <c r="B769" s="139"/>
      <c r="C769" s="139"/>
      <c r="D769" s="139"/>
      <c r="F769" s="15"/>
    </row>
    <row r="770">
      <c r="B770" s="139"/>
      <c r="C770" s="139"/>
      <c r="D770" s="139"/>
      <c r="F770" s="15"/>
    </row>
    <row r="771">
      <c r="B771" s="139"/>
      <c r="C771" s="139"/>
      <c r="D771" s="139"/>
      <c r="F771" s="15"/>
    </row>
    <row r="772">
      <c r="B772" s="139"/>
      <c r="C772" s="139"/>
      <c r="D772" s="139"/>
      <c r="F772" s="15"/>
    </row>
    <row r="773">
      <c r="B773" s="139"/>
      <c r="C773" s="139"/>
      <c r="D773" s="139"/>
      <c r="F773" s="15"/>
    </row>
    <row r="774">
      <c r="B774" s="139"/>
      <c r="C774" s="139"/>
      <c r="D774" s="139"/>
      <c r="F774" s="15"/>
    </row>
    <row r="775">
      <c r="B775" s="139"/>
      <c r="C775" s="139"/>
      <c r="D775" s="139"/>
      <c r="F775" s="15"/>
    </row>
    <row r="776">
      <c r="B776" s="139"/>
      <c r="C776" s="139"/>
      <c r="D776" s="139"/>
      <c r="F776" s="15"/>
    </row>
    <row r="777">
      <c r="B777" s="139"/>
      <c r="C777" s="139"/>
      <c r="D777" s="139"/>
      <c r="F777" s="15"/>
    </row>
    <row r="778">
      <c r="B778" s="139"/>
      <c r="C778" s="139"/>
      <c r="D778" s="139"/>
      <c r="F778" s="15"/>
    </row>
    <row r="779">
      <c r="B779" s="139"/>
      <c r="C779" s="139"/>
      <c r="D779" s="139"/>
      <c r="F779" s="15"/>
    </row>
    <row r="780">
      <c r="B780" s="139"/>
      <c r="C780" s="139"/>
      <c r="D780" s="139"/>
      <c r="F780" s="15"/>
    </row>
    <row r="781">
      <c r="B781" s="139"/>
      <c r="C781" s="139"/>
      <c r="D781" s="139"/>
      <c r="F781" s="15"/>
    </row>
    <row r="782">
      <c r="B782" s="139"/>
      <c r="C782" s="139"/>
      <c r="D782" s="139"/>
      <c r="F782" s="15"/>
    </row>
    <row r="783">
      <c r="B783" s="139"/>
      <c r="C783" s="139"/>
      <c r="D783" s="139"/>
      <c r="F783" s="15"/>
    </row>
    <row r="784">
      <c r="B784" s="139"/>
      <c r="C784" s="139"/>
      <c r="D784" s="139"/>
      <c r="F784" s="15"/>
    </row>
    <row r="785">
      <c r="B785" s="139"/>
      <c r="C785" s="139"/>
      <c r="D785" s="139"/>
      <c r="F785" s="15"/>
    </row>
    <row r="786">
      <c r="B786" s="139"/>
      <c r="C786" s="139"/>
      <c r="D786" s="139"/>
      <c r="F786" s="15"/>
    </row>
    <row r="787">
      <c r="B787" s="139"/>
      <c r="C787" s="139"/>
      <c r="D787" s="139"/>
      <c r="F787" s="15"/>
    </row>
    <row r="788">
      <c r="B788" s="139"/>
      <c r="C788" s="139"/>
      <c r="D788" s="139"/>
      <c r="F788" s="15"/>
    </row>
    <row r="789">
      <c r="B789" s="139"/>
      <c r="C789" s="139"/>
      <c r="D789" s="139"/>
      <c r="F789" s="15"/>
    </row>
    <row r="790">
      <c r="B790" s="139"/>
      <c r="C790" s="139"/>
      <c r="D790" s="139"/>
      <c r="F790" s="15"/>
    </row>
    <row r="791">
      <c r="B791" s="139"/>
      <c r="C791" s="139"/>
      <c r="D791" s="139"/>
      <c r="F791" s="15"/>
    </row>
    <row r="792">
      <c r="B792" s="139"/>
      <c r="C792" s="139"/>
      <c r="D792" s="139"/>
      <c r="F792" s="15"/>
    </row>
    <row r="793">
      <c r="B793" s="139"/>
      <c r="C793" s="139"/>
      <c r="D793" s="139"/>
      <c r="F793" s="15"/>
    </row>
    <row r="794">
      <c r="B794" s="139"/>
      <c r="C794" s="139"/>
      <c r="D794" s="139"/>
      <c r="F794" s="15"/>
    </row>
    <row r="795">
      <c r="B795" s="139"/>
      <c r="C795" s="139"/>
      <c r="D795" s="139"/>
      <c r="F795" s="15"/>
    </row>
    <row r="796">
      <c r="B796" s="139"/>
      <c r="C796" s="139"/>
      <c r="D796" s="139"/>
      <c r="F796" s="15"/>
    </row>
    <row r="797">
      <c r="B797" s="139"/>
      <c r="C797" s="139"/>
      <c r="D797" s="139"/>
      <c r="F797" s="15"/>
    </row>
    <row r="798">
      <c r="B798" s="139"/>
      <c r="C798" s="139"/>
      <c r="D798" s="139"/>
      <c r="F798" s="15"/>
    </row>
    <row r="799">
      <c r="B799" s="139"/>
      <c r="C799" s="139"/>
      <c r="D799" s="139"/>
      <c r="F799" s="15"/>
    </row>
    <row r="800">
      <c r="B800" s="139"/>
      <c r="C800" s="139"/>
      <c r="D800" s="139"/>
      <c r="F800" s="15"/>
    </row>
    <row r="801">
      <c r="B801" s="139"/>
      <c r="C801" s="139"/>
      <c r="D801" s="139"/>
      <c r="F801" s="15"/>
    </row>
    <row r="802">
      <c r="B802" s="139"/>
      <c r="C802" s="139"/>
      <c r="D802" s="139"/>
      <c r="F802" s="15"/>
    </row>
    <row r="803">
      <c r="B803" s="139"/>
      <c r="C803" s="139"/>
      <c r="D803" s="139"/>
      <c r="F803" s="15"/>
    </row>
    <row r="804">
      <c r="B804" s="139"/>
      <c r="C804" s="139"/>
      <c r="D804" s="139"/>
      <c r="F804" s="15"/>
    </row>
    <row r="805">
      <c r="B805" s="139"/>
      <c r="C805" s="139"/>
      <c r="D805" s="139"/>
      <c r="F805" s="15"/>
    </row>
    <row r="806">
      <c r="B806" s="139"/>
      <c r="C806" s="139"/>
      <c r="D806" s="139"/>
      <c r="F806" s="15"/>
    </row>
    <row r="807">
      <c r="B807" s="139"/>
      <c r="C807" s="139"/>
      <c r="D807" s="139"/>
      <c r="F807" s="15"/>
    </row>
    <row r="808">
      <c r="B808" s="139"/>
      <c r="C808" s="139"/>
      <c r="D808" s="139"/>
      <c r="F808" s="15"/>
    </row>
    <row r="809">
      <c r="B809" s="139"/>
      <c r="C809" s="139"/>
      <c r="D809" s="139"/>
      <c r="F809" s="15"/>
    </row>
    <row r="810">
      <c r="B810" s="139"/>
      <c r="C810" s="139"/>
      <c r="D810" s="139"/>
      <c r="F810" s="15"/>
    </row>
    <row r="811">
      <c r="B811" s="139"/>
      <c r="C811" s="139"/>
      <c r="D811" s="139"/>
      <c r="F811" s="15"/>
    </row>
    <row r="812">
      <c r="B812" s="139"/>
      <c r="C812" s="139"/>
      <c r="D812" s="139"/>
      <c r="F812" s="15"/>
    </row>
    <row r="813">
      <c r="B813" s="139"/>
      <c r="C813" s="139"/>
      <c r="D813" s="139"/>
      <c r="F813" s="15"/>
    </row>
    <row r="814">
      <c r="B814" s="139"/>
      <c r="C814" s="139"/>
      <c r="D814" s="139"/>
      <c r="F814" s="15"/>
    </row>
    <row r="815">
      <c r="B815" s="139"/>
      <c r="C815" s="139"/>
      <c r="D815" s="139"/>
      <c r="F815" s="15"/>
    </row>
    <row r="816">
      <c r="B816" s="139"/>
      <c r="C816" s="139"/>
      <c r="D816" s="139"/>
      <c r="F816" s="15"/>
    </row>
    <row r="817">
      <c r="B817" s="139"/>
      <c r="C817" s="139"/>
      <c r="D817" s="139"/>
      <c r="F817" s="15"/>
    </row>
    <row r="818">
      <c r="B818" s="139"/>
      <c r="C818" s="139"/>
      <c r="D818" s="139"/>
      <c r="F818" s="15"/>
    </row>
    <row r="819">
      <c r="B819" s="139"/>
      <c r="C819" s="139"/>
      <c r="D819" s="139"/>
      <c r="F819" s="15"/>
    </row>
    <row r="820">
      <c r="B820" s="139"/>
      <c r="C820" s="139"/>
      <c r="D820" s="139"/>
      <c r="F820" s="15"/>
    </row>
    <row r="821">
      <c r="B821" s="139"/>
      <c r="C821" s="139"/>
      <c r="D821" s="139"/>
      <c r="F821" s="15"/>
    </row>
    <row r="822">
      <c r="B822" s="139"/>
      <c r="C822" s="139"/>
      <c r="D822" s="139"/>
      <c r="F822" s="15"/>
    </row>
    <row r="823">
      <c r="B823" s="139"/>
      <c r="C823" s="139"/>
      <c r="D823" s="139"/>
      <c r="F823" s="15"/>
    </row>
    <row r="824">
      <c r="B824" s="139"/>
      <c r="C824" s="139"/>
      <c r="D824" s="139"/>
      <c r="F824" s="15"/>
    </row>
    <row r="825">
      <c r="B825" s="139"/>
      <c r="C825" s="139"/>
      <c r="D825" s="139"/>
      <c r="F825" s="15"/>
    </row>
    <row r="826">
      <c r="B826" s="139"/>
      <c r="C826" s="139"/>
      <c r="D826" s="139"/>
      <c r="F826" s="15"/>
    </row>
    <row r="827">
      <c r="B827" s="139"/>
      <c r="C827" s="139"/>
      <c r="D827" s="139"/>
      <c r="F827" s="15"/>
    </row>
    <row r="828">
      <c r="B828" s="139"/>
      <c r="C828" s="139"/>
      <c r="D828" s="139"/>
      <c r="F828" s="15"/>
    </row>
    <row r="829">
      <c r="B829" s="139"/>
      <c r="C829" s="139"/>
      <c r="D829" s="139"/>
      <c r="F829" s="15"/>
    </row>
    <row r="830">
      <c r="B830" s="139"/>
      <c r="C830" s="139"/>
      <c r="D830" s="139"/>
      <c r="F830" s="15"/>
    </row>
    <row r="831">
      <c r="B831" s="139"/>
      <c r="C831" s="139"/>
      <c r="D831" s="139"/>
      <c r="F831" s="15"/>
    </row>
    <row r="832">
      <c r="B832" s="139"/>
      <c r="C832" s="139"/>
      <c r="D832" s="139"/>
      <c r="F832" s="15"/>
    </row>
    <row r="833">
      <c r="B833" s="139"/>
      <c r="C833" s="139"/>
      <c r="D833" s="139"/>
      <c r="F833" s="15"/>
    </row>
    <row r="834">
      <c r="B834" s="139"/>
      <c r="C834" s="139"/>
      <c r="D834" s="139"/>
      <c r="F834" s="15"/>
    </row>
    <row r="835">
      <c r="B835" s="139"/>
      <c r="C835" s="139"/>
      <c r="D835" s="139"/>
      <c r="F835" s="15"/>
    </row>
    <row r="836">
      <c r="B836" s="139"/>
      <c r="C836" s="139"/>
      <c r="D836" s="139"/>
      <c r="F836" s="15"/>
    </row>
    <row r="837">
      <c r="B837" s="139"/>
      <c r="C837" s="139"/>
      <c r="D837" s="139"/>
      <c r="F837" s="15"/>
    </row>
    <row r="838">
      <c r="B838" s="139"/>
      <c r="C838" s="139"/>
      <c r="D838" s="139"/>
      <c r="F838" s="15"/>
    </row>
    <row r="839">
      <c r="B839" s="139"/>
      <c r="C839" s="139"/>
      <c r="D839" s="139"/>
      <c r="F839" s="15"/>
    </row>
    <row r="840">
      <c r="B840" s="139"/>
      <c r="C840" s="139"/>
      <c r="D840" s="139"/>
      <c r="F840" s="15"/>
    </row>
    <row r="841">
      <c r="B841" s="139"/>
      <c r="C841" s="139"/>
      <c r="D841" s="139"/>
      <c r="F841" s="15"/>
    </row>
    <row r="842">
      <c r="B842" s="139"/>
      <c r="C842" s="139"/>
      <c r="D842" s="139"/>
      <c r="F842" s="15"/>
    </row>
    <row r="843">
      <c r="B843" s="139"/>
      <c r="C843" s="139"/>
      <c r="D843" s="139"/>
      <c r="F843" s="15"/>
    </row>
    <row r="844">
      <c r="B844" s="139"/>
      <c r="C844" s="139"/>
      <c r="D844" s="139"/>
      <c r="F844" s="15"/>
    </row>
    <row r="845">
      <c r="B845" s="139"/>
      <c r="C845" s="139"/>
      <c r="D845" s="139"/>
      <c r="F845" s="15"/>
    </row>
    <row r="846">
      <c r="B846" s="139"/>
      <c r="C846" s="139"/>
      <c r="D846" s="139"/>
      <c r="F846" s="15"/>
    </row>
    <row r="847">
      <c r="B847" s="139"/>
      <c r="C847" s="139"/>
      <c r="D847" s="139"/>
      <c r="F847" s="15"/>
    </row>
    <row r="848">
      <c r="B848" s="139"/>
      <c r="C848" s="139"/>
      <c r="D848" s="139"/>
      <c r="F848" s="15"/>
    </row>
    <row r="849">
      <c r="B849" s="139"/>
      <c r="C849" s="139"/>
      <c r="D849" s="139"/>
      <c r="F849" s="15"/>
    </row>
    <row r="850">
      <c r="B850" s="139"/>
      <c r="C850" s="139"/>
      <c r="D850" s="139"/>
      <c r="F850" s="15"/>
    </row>
    <row r="851">
      <c r="B851" s="139"/>
      <c r="C851" s="139"/>
      <c r="D851" s="139"/>
      <c r="F851" s="15"/>
    </row>
    <row r="852">
      <c r="B852" s="139"/>
      <c r="C852" s="139"/>
      <c r="D852" s="139"/>
      <c r="F852" s="15"/>
    </row>
    <row r="853">
      <c r="B853" s="139"/>
      <c r="C853" s="139"/>
      <c r="D853" s="139"/>
      <c r="F853" s="15"/>
    </row>
    <row r="854">
      <c r="B854" s="139"/>
      <c r="C854" s="139"/>
      <c r="D854" s="139"/>
      <c r="F854" s="15"/>
    </row>
    <row r="855">
      <c r="B855" s="139"/>
      <c r="C855" s="139"/>
      <c r="D855" s="139"/>
      <c r="F855" s="15"/>
    </row>
    <row r="856">
      <c r="B856" s="139"/>
      <c r="C856" s="139"/>
      <c r="D856" s="139"/>
      <c r="F856" s="15"/>
    </row>
    <row r="857">
      <c r="B857" s="139"/>
      <c r="C857" s="139"/>
      <c r="D857" s="139"/>
      <c r="F857" s="15"/>
    </row>
    <row r="858">
      <c r="B858" s="139"/>
      <c r="C858" s="139"/>
      <c r="D858" s="139"/>
      <c r="F858" s="15"/>
    </row>
    <row r="859">
      <c r="B859" s="139"/>
      <c r="C859" s="139"/>
      <c r="D859" s="139"/>
      <c r="F859" s="15"/>
    </row>
    <row r="860">
      <c r="B860" s="139"/>
      <c r="C860" s="139"/>
      <c r="D860" s="139"/>
      <c r="F860" s="15"/>
    </row>
    <row r="861">
      <c r="B861" s="139"/>
      <c r="C861" s="139"/>
      <c r="D861" s="139"/>
      <c r="F861" s="15"/>
    </row>
    <row r="862">
      <c r="B862" s="139"/>
      <c r="C862" s="139"/>
      <c r="D862" s="139"/>
      <c r="F862" s="15"/>
    </row>
    <row r="863">
      <c r="B863" s="139"/>
      <c r="C863" s="139"/>
      <c r="D863" s="139"/>
      <c r="F863" s="15"/>
    </row>
    <row r="864">
      <c r="B864" s="139"/>
      <c r="C864" s="139"/>
      <c r="D864" s="139"/>
      <c r="F864" s="15"/>
    </row>
    <row r="865">
      <c r="B865" s="139"/>
      <c r="C865" s="139"/>
      <c r="D865" s="139"/>
      <c r="F865" s="15"/>
    </row>
    <row r="866">
      <c r="B866" s="139"/>
      <c r="C866" s="139"/>
      <c r="D866" s="139"/>
      <c r="F866" s="15"/>
    </row>
    <row r="867">
      <c r="B867" s="139"/>
      <c r="C867" s="139"/>
      <c r="D867" s="139"/>
      <c r="F867" s="15"/>
    </row>
    <row r="868">
      <c r="B868" s="139"/>
      <c r="C868" s="139"/>
      <c r="D868" s="139"/>
      <c r="F868" s="15"/>
    </row>
    <row r="869">
      <c r="B869" s="139"/>
      <c r="C869" s="139"/>
      <c r="D869" s="139"/>
      <c r="F869" s="15"/>
    </row>
    <row r="870">
      <c r="B870" s="139"/>
      <c r="C870" s="139"/>
      <c r="D870" s="139"/>
      <c r="F870" s="15"/>
    </row>
    <row r="871">
      <c r="B871" s="139"/>
      <c r="C871" s="139"/>
      <c r="D871" s="139"/>
      <c r="F871" s="15"/>
    </row>
    <row r="872">
      <c r="B872" s="139"/>
      <c r="C872" s="139"/>
      <c r="D872" s="139"/>
      <c r="F872" s="15"/>
    </row>
    <row r="873">
      <c r="B873" s="139"/>
      <c r="C873" s="139"/>
      <c r="D873" s="139"/>
      <c r="F873" s="15"/>
    </row>
    <row r="874">
      <c r="B874" s="139"/>
      <c r="C874" s="139"/>
      <c r="D874" s="139"/>
      <c r="F874" s="15"/>
    </row>
    <row r="875">
      <c r="B875" s="139"/>
      <c r="C875" s="139"/>
      <c r="D875" s="139"/>
      <c r="F875" s="15"/>
    </row>
    <row r="876">
      <c r="B876" s="139"/>
      <c r="C876" s="139"/>
      <c r="D876" s="139"/>
      <c r="F876" s="15"/>
    </row>
    <row r="877">
      <c r="B877" s="139"/>
      <c r="C877" s="139"/>
      <c r="D877" s="139"/>
      <c r="F877" s="15"/>
    </row>
    <row r="878">
      <c r="B878" s="139"/>
      <c r="C878" s="139"/>
      <c r="D878" s="139"/>
      <c r="F878" s="15"/>
    </row>
    <row r="879">
      <c r="B879" s="139"/>
      <c r="C879" s="139"/>
      <c r="D879" s="139"/>
      <c r="F879" s="15"/>
    </row>
    <row r="880">
      <c r="B880" s="139"/>
      <c r="C880" s="139"/>
      <c r="D880" s="139"/>
      <c r="F880" s="15"/>
    </row>
    <row r="881">
      <c r="B881" s="139"/>
      <c r="C881" s="139"/>
      <c r="D881" s="139"/>
      <c r="F881" s="15"/>
    </row>
    <row r="882">
      <c r="B882" s="139"/>
      <c r="C882" s="139"/>
      <c r="D882" s="139"/>
      <c r="F882" s="15"/>
    </row>
    <row r="883">
      <c r="B883" s="139"/>
      <c r="C883" s="139"/>
      <c r="D883" s="139"/>
      <c r="F883" s="15"/>
    </row>
    <row r="884">
      <c r="B884" s="139"/>
      <c r="C884" s="139"/>
      <c r="D884" s="139"/>
      <c r="F884" s="15"/>
    </row>
    <row r="885">
      <c r="B885" s="139"/>
      <c r="C885" s="139"/>
      <c r="D885" s="139"/>
      <c r="F885" s="15"/>
    </row>
    <row r="886">
      <c r="B886" s="139"/>
      <c r="C886" s="139"/>
      <c r="D886" s="139"/>
      <c r="F886" s="15"/>
    </row>
    <row r="887">
      <c r="B887" s="139"/>
      <c r="C887" s="139"/>
      <c r="D887" s="139"/>
      <c r="F887" s="15"/>
    </row>
    <row r="888">
      <c r="B888" s="139"/>
      <c r="C888" s="139"/>
      <c r="D888" s="139"/>
      <c r="F888" s="15"/>
    </row>
    <row r="889">
      <c r="B889" s="139"/>
      <c r="C889" s="139"/>
      <c r="D889" s="139"/>
      <c r="F889" s="15"/>
    </row>
    <row r="890">
      <c r="B890" s="139"/>
      <c r="C890" s="139"/>
      <c r="D890" s="139"/>
      <c r="F890" s="15"/>
    </row>
    <row r="891">
      <c r="B891" s="139"/>
      <c r="C891" s="139"/>
      <c r="D891" s="139"/>
      <c r="F891" s="15"/>
    </row>
    <row r="892">
      <c r="B892" s="139"/>
      <c r="C892" s="139"/>
      <c r="D892" s="139"/>
      <c r="F892" s="15"/>
    </row>
    <row r="893">
      <c r="B893" s="139"/>
      <c r="C893" s="139"/>
      <c r="D893" s="139"/>
      <c r="F893" s="15"/>
    </row>
    <row r="894">
      <c r="B894" s="139"/>
      <c r="C894" s="139"/>
      <c r="D894" s="139"/>
      <c r="F894" s="15"/>
    </row>
    <row r="895">
      <c r="B895" s="139"/>
      <c r="C895" s="139"/>
      <c r="D895" s="139"/>
      <c r="F895" s="15"/>
    </row>
    <row r="896">
      <c r="B896" s="139"/>
      <c r="C896" s="139"/>
      <c r="D896" s="139"/>
      <c r="F896" s="15"/>
    </row>
    <row r="897">
      <c r="B897" s="139"/>
      <c r="C897" s="139"/>
      <c r="D897" s="139"/>
      <c r="F897" s="15"/>
    </row>
    <row r="898">
      <c r="B898" s="139"/>
      <c r="C898" s="139"/>
      <c r="D898" s="139"/>
      <c r="F898" s="15"/>
    </row>
    <row r="899">
      <c r="B899" s="139"/>
      <c r="C899" s="139"/>
      <c r="D899" s="139"/>
      <c r="F899" s="15"/>
    </row>
    <row r="900">
      <c r="B900" s="139"/>
      <c r="C900" s="139"/>
      <c r="D900" s="139"/>
      <c r="F900" s="15"/>
    </row>
    <row r="901">
      <c r="B901" s="139"/>
      <c r="C901" s="139"/>
      <c r="D901" s="139"/>
      <c r="F901" s="15"/>
    </row>
    <row r="902">
      <c r="B902" s="139"/>
      <c r="C902" s="139"/>
      <c r="D902" s="139"/>
      <c r="F902" s="15"/>
    </row>
    <row r="903">
      <c r="B903" s="139"/>
      <c r="C903" s="139"/>
      <c r="D903" s="139"/>
      <c r="F903" s="15"/>
    </row>
    <row r="904">
      <c r="B904" s="139"/>
      <c r="C904" s="139"/>
      <c r="D904" s="139"/>
      <c r="F904" s="15"/>
    </row>
    <row r="905">
      <c r="B905" s="139"/>
      <c r="C905" s="139"/>
      <c r="D905" s="139"/>
      <c r="F905" s="15"/>
    </row>
    <row r="906">
      <c r="B906" s="139"/>
      <c r="C906" s="139"/>
      <c r="D906" s="139"/>
      <c r="F906" s="15"/>
    </row>
    <row r="907">
      <c r="B907" s="139"/>
      <c r="C907" s="139"/>
      <c r="D907" s="139"/>
      <c r="F907" s="15"/>
    </row>
    <row r="908">
      <c r="B908" s="139"/>
      <c r="C908" s="139"/>
      <c r="D908" s="139"/>
      <c r="F908" s="15"/>
    </row>
    <row r="909">
      <c r="B909" s="139"/>
      <c r="C909" s="139"/>
      <c r="D909" s="139"/>
      <c r="F909" s="15"/>
    </row>
    <row r="910">
      <c r="B910" s="139"/>
      <c r="C910" s="139"/>
      <c r="D910" s="139"/>
      <c r="F910" s="15"/>
    </row>
    <row r="911">
      <c r="B911" s="139"/>
      <c r="C911" s="139"/>
      <c r="D911" s="139"/>
      <c r="F911" s="15"/>
    </row>
    <row r="912">
      <c r="B912" s="139"/>
      <c r="C912" s="139"/>
      <c r="D912" s="139"/>
      <c r="F912" s="15"/>
    </row>
    <row r="913">
      <c r="B913" s="139"/>
      <c r="C913" s="139"/>
      <c r="D913" s="139"/>
      <c r="F913" s="15"/>
    </row>
    <row r="914">
      <c r="B914" s="139"/>
      <c r="C914" s="139"/>
      <c r="D914" s="139"/>
      <c r="F914" s="15"/>
    </row>
    <row r="915">
      <c r="B915" s="139"/>
      <c r="C915" s="139"/>
      <c r="D915" s="139"/>
      <c r="F915" s="15"/>
    </row>
    <row r="916">
      <c r="B916" s="139"/>
      <c r="C916" s="139"/>
      <c r="D916" s="139"/>
      <c r="F916" s="15"/>
    </row>
    <row r="917">
      <c r="B917" s="139"/>
      <c r="C917" s="139"/>
      <c r="D917" s="139"/>
      <c r="F917" s="15"/>
    </row>
    <row r="918">
      <c r="B918" s="139"/>
      <c r="C918" s="139"/>
      <c r="D918" s="139"/>
      <c r="F918" s="15"/>
    </row>
    <row r="919">
      <c r="B919" s="139"/>
      <c r="C919" s="139"/>
      <c r="D919" s="139"/>
      <c r="F919" s="15"/>
    </row>
    <row r="920">
      <c r="B920" s="139"/>
      <c r="C920" s="139"/>
      <c r="D920" s="139"/>
      <c r="F920" s="15"/>
    </row>
    <row r="921">
      <c r="B921" s="139"/>
      <c r="C921" s="139"/>
      <c r="D921" s="139"/>
      <c r="F921" s="15"/>
    </row>
    <row r="922">
      <c r="B922" s="139"/>
      <c r="C922" s="139"/>
      <c r="D922" s="139"/>
      <c r="F922" s="15"/>
    </row>
    <row r="923">
      <c r="B923" s="139"/>
      <c r="C923" s="139"/>
      <c r="D923" s="139"/>
      <c r="F923" s="15"/>
    </row>
    <row r="924">
      <c r="B924" s="139"/>
      <c r="C924" s="139"/>
      <c r="D924" s="139"/>
      <c r="F924" s="15"/>
    </row>
    <row r="925">
      <c r="B925" s="139"/>
      <c r="C925" s="139"/>
      <c r="D925" s="139"/>
      <c r="F925" s="15"/>
    </row>
    <row r="926">
      <c r="B926" s="139"/>
      <c r="C926" s="139"/>
      <c r="D926" s="139"/>
      <c r="F926" s="15"/>
    </row>
    <row r="927">
      <c r="B927" s="139"/>
      <c r="C927" s="139"/>
      <c r="D927" s="139"/>
      <c r="F927" s="15"/>
    </row>
    <row r="928">
      <c r="B928" s="139"/>
      <c r="C928" s="139"/>
      <c r="D928" s="139"/>
      <c r="F928" s="15"/>
    </row>
    <row r="929">
      <c r="B929" s="139"/>
      <c r="C929" s="139"/>
      <c r="D929" s="139"/>
      <c r="F929" s="15"/>
    </row>
    <row r="930">
      <c r="B930" s="139"/>
      <c r="C930" s="139"/>
      <c r="D930" s="139"/>
      <c r="F930" s="15"/>
    </row>
    <row r="931">
      <c r="B931" s="139"/>
      <c r="C931" s="139"/>
      <c r="D931" s="139"/>
      <c r="F931" s="15"/>
    </row>
    <row r="932">
      <c r="B932" s="139"/>
      <c r="C932" s="139"/>
      <c r="D932" s="139"/>
      <c r="F932" s="15"/>
    </row>
    <row r="933">
      <c r="B933" s="139"/>
      <c r="C933" s="139"/>
      <c r="D933" s="139"/>
      <c r="F933" s="15"/>
    </row>
    <row r="934">
      <c r="B934" s="139"/>
      <c r="C934" s="139"/>
      <c r="D934" s="139"/>
      <c r="F934" s="15"/>
    </row>
    <row r="935">
      <c r="B935" s="139"/>
      <c r="C935" s="139"/>
      <c r="D935" s="139"/>
      <c r="F935" s="15"/>
    </row>
    <row r="936">
      <c r="B936" s="139"/>
      <c r="C936" s="139"/>
      <c r="D936" s="139"/>
      <c r="F936" s="15"/>
    </row>
    <row r="937">
      <c r="B937" s="139"/>
      <c r="C937" s="139"/>
      <c r="D937" s="139"/>
      <c r="F937" s="15"/>
    </row>
    <row r="938">
      <c r="B938" s="139"/>
      <c r="C938" s="139"/>
      <c r="D938" s="139"/>
      <c r="F938" s="15"/>
    </row>
    <row r="939">
      <c r="B939" s="139"/>
      <c r="C939" s="139"/>
      <c r="D939" s="139"/>
      <c r="F939" s="15"/>
    </row>
    <row r="940">
      <c r="B940" s="139"/>
      <c r="C940" s="139"/>
      <c r="D940" s="139"/>
      <c r="F940" s="15"/>
    </row>
    <row r="941">
      <c r="B941" s="139"/>
      <c r="C941" s="139"/>
      <c r="D941" s="139"/>
      <c r="F941" s="15"/>
    </row>
    <row r="942">
      <c r="B942" s="139"/>
      <c r="C942" s="139"/>
      <c r="D942" s="139"/>
      <c r="F942" s="15"/>
    </row>
    <row r="943">
      <c r="B943" s="139"/>
      <c r="C943" s="139"/>
      <c r="D943" s="139"/>
      <c r="F943" s="15"/>
    </row>
    <row r="944">
      <c r="B944" s="139"/>
      <c r="C944" s="139"/>
      <c r="D944" s="139"/>
      <c r="F944" s="15"/>
    </row>
    <row r="945">
      <c r="B945" s="139"/>
      <c r="C945" s="139"/>
      <c r="D945" s="139"/>
      <c r="F945" s="15"/>
    </row>
    <row r="946">
      <c r="B946" s="139"/>
      <c r="C946" s="139"/>
      <c r="D946" s="139"/>
      <c r="F946" s="15"/>
    </row>
    <row r="947">
      <c r="B947" s="139"/>
      <c r="C947" s="139"/>
      <c r="D947" s="139"/>
      <c r="F947" s="15"/>
    </row>
    <row r="948">
      <c r="B948" s="139"/>
      <c r="C948" s="139"/>
      <c r="D948" s="139"/>
      <c r="F948" s="15"/>
    </row>
    <row r="949">
      <c r="B949" s="139"/>
      <c r="C949" s="139"/>
      <c r="D949" s="139"/>
      <c r="F949" s="15"/>
    </row>
    <row r="950">
      <c r="B950" s="139"/>
      <c r="C950" s="139"/>
      <c r="D950" s="139"/>
      <c r="F950" s="15"/>
    </row>
    <row r="951">
      <c r="B951" s="139"/>
      <c r="C951" s="139"/>
      <c r="D951" s="139"/>
      <c r="F951" s="15"/>
    </row>
    <row r="952">
      <c r="B952" s="139"/>
      <c r="C952" s="139"/>
      <c r="D952" s="139"/>
      <c r="F952" s="15"/>
    </row>
    <row r="953">
      <c r="B953" s="139"/>
      <c r="C953" s="139"/>
      <c r="D953" s="139"/>
      <c r="F953" s="15"/>
    </row>
    <row r="954">
      <c r="B954" s="139"/>
      <c r="C954" s="139"/>
      <c r="D954" s="139"/>
      <c r="F954" s="15"/>
    </row>
    <row r="955">
      <c r="B955" s="139"/>
      <c r="C955" s="139"/>
      <c r="D955" s="139"/>
      <c r="F955" s="15"/>
    </row>
    <row r="956">
      <c r="B956" s="139"/>
      <c r="C956" s="139"/>
      <c r="D956" s="139"/>
      <c r="F956" s="15"/>
    </row>
    <row r="957">
      <c r="B957" s="139"/>
      <c r="C957" s="139"/>
      <c r="D957" s="139"/>
      <c r="F957" s="15"/>
    </row>
    <row r="958">
      <c r="B958" s="139"/>
      <c r="C958" s="139"/>
      <c r="D958" s="139"/>
      <c r="F958" s="15"/>
    </row>
    <row r="959">
      <c r="B959" s="139"/>
      <c r="C959" s="139"/>
      <c r="D959" s="139"/>
      <c r="F959" s="15"/>
    </row>
    <row r="960">
      <c r="B960" s="139"/>
      <c r="C960" s="139"/>
      <c r="D960" s="139"/>
      <c r="F960" s="15"/>
    </row>
    <row r="961">
      <c r="B961" s="139"/>
      <c r="C961" s="139"/>
      <c r="D961" s="139"/>
      <c r="F961" s="15"/>
    </row>
    <row r="962">
      <c r="B962" s="139"/>
      <c r="C962" s="139"/>
      <c r="D962" s="139"/>
      <c r="F962" s="15"/>
    </row>
    <row r="963">
      <c r="B963" s="139"/>
      <c r="C963" s="139"/>
      <c r="D963" s="139"/>
      <c r="F963" s="15"/>
    </row>
    <row r="964">
      <c r="B964" s="139"/>
      <c r="C964" s="139"/>
      <c r="D964" s="139"/>
      <c r="F964" s="15"/>
    </row>
    <row r="965">
      <c r="B965" s="139"/>
      <c r="C965" s="139"/>
      <c r="D965" s="139"/>
      <c r="F965" s="15"/>
    </row>
    <row r="966">
      <c r="B966" s="139"/>
      <c r="C966" s="139"/>
      <c r="D966" s="139"/>
      <c r="F966" s="15"/>
    </row>
    <row r="967">
      <c r="B967" s="139"/>
      <c r="C967" s="139"/>
      <c r="D967" s="139"/>
      <c r="F967" s="15"/>
    </row>
    <row r="968">
      <c r="B968" s="139"/>
      <c r="C968" s="139"/>
      <c r="D968" s="139"/>
      <c r="F968" s="15"/>
    </row>
    <row r="969">
      <c r="B969" s="139"/>
      <c r="C969" s="139"/>
      <c r="D969" s="139"/>
      <c r="F969" s="15"/>
    </row>
    <row r="970">
      <c r="B970" s="139"/>
      <c r="C970" s="139"/>
      <c r="D970" s="139"/>
      <c r="F970" s="15"/>
    </row>
    <row r="971">
      <c r="B971" s="139"/>
      <c r="C971" s="139"/>
      <c r="D971" s="139"/>
      <c r="F971" s="15"/>
    </row>
    <row r="972">
      <c r="B972" s="139"/>
      <c r="C972" s="139"/>
      <c r="D972" s="139"/>
      <c r="F972" s="15"/>
    </row>
    <row r="973">
      <c r="B973" s="139"/>
      <c r="C973" s="139"/>
      <c r="D973" s="139"/>
      <c r="F973" s="15"/>
    </row>
    <row r="974">
      <c r="B974" s="139"/>
      <c r="C974" s="139"/>
      <c r="D974" s="139"/>
      <c r="F974" s="15"/>
    </row>
    <row r="975">
      <c r="B975" s="139"/>
      <c r="C975" s="139"/>
      <c r="D975" s="139"/>
      <c r="F975" s="15"/>
    </row>
    <row r="976">
      <c r="B976" s="139"/>
      <c r="C976" s="139"/>
      <c r="D976" s="139"/>
      <c r="F976" s="15"/>
    </row>
    <row r="977">
      <c r="B977" s="139"/>
      <c r="C977" s="139"/>
      <c r="D977" s="139"/>
      <c r="F977" s="15"/>
    </row>
    <row r="978">
      <c r="B978" s="139"/>
      <c r="C978" s="139"/>
      <c r="D978" s="139"/>
      <c r="F978" s="15"/>
    </row>
    <row r="979">
      <c r="B979" s="139"/>
      <c r="C979" s="139"/>
      <c r="D979" s="139"/>
      <c r="F979" s="15"/>
    </row>
    <row r="980">
      <c r="B980" s="139"/>
      <c r="C980" s="139"/>
      <c r="D980" s="139"/>
      <c r="F980" s="15"/>
    </row>
    <row r="981">
      <c r="B981" s="139"/>
      <c r="C981" s="139"/>
      <c r="D981" s="139"/>
      <c r="F981" s="15"/>
    </row>
    <row r="982">
      <c r="B982" s="139"/>
      <c r="C982" s="139"/>
      <c r="D982" s="139"/>
      <c r="F982" s="15"/>
    </row>
    <row r="983">
      <c r="B983" s="139"/>
      <c r="C983" s="139"/>
      <c r="D983" s="139"/>
      <c r="F983" s="15"/>
    </row>
    <row r="984">
      <c r="B984" s="139"/>
      <c r="C984" s="139"/>
      <c r="D984" s="139"/>
      <c r="F984" s="15"/>
    </row>
    <row r="985">
      <c r="B985" s="139"/>
      <c r="C985" s="139"/>
      <c r="D985" s="139"/>
      <c r="F985" s="15"/>
    </row>
    <row r="986">
      <c r="B986" s="139"/>
      <c r="C986" s="139"/>
      <c r="D986" s="139"/>
      <c r="F986" s="15"/>
    </row>
    <row r="987">
      <c r="B987" s="139"/>
      <c r="C987" s="139"/>
      <c r="D987" s="139"/>
      <c r="F987" s="15"/>
    </row>
    <row r="988">
      <c r="B988" s="139"/>
      <c r="C988" s="139"/>
      <c r="D988" s="139"/>
      <c r="F988" s="15"/>
    </row>
    <row r="989">
      <c r="B989" s="139"/>
      <c r="C989" s="139"/>
      <c r="D989" s="139"/>
      <c r="F989" s="15"/>
    </row>
    <row r="990">
      <c r="B990" s="139"/>
      <c r="C990" s="139"/>
      <c r="D990" s="139"/>
      <c r="F990" s="15"/>
    </row>
    <row r="991">
      <c r="B991" s="139"/>
      <c r="C991" s="139"/>
      <c r="D991" s="139"/>
      <c r="F991" s="15"/>
    </row>
    <row r="992">
      <c r="B992" s="139"/>
      <c r="C992" s="139"/>
      <c r="D992" s="139"/>
      <c r="F992" s="15"/>
    </row>
    <row r="993">
      <c r="B993" s="139"/>
      <c r="C993" s="139"/>
      <c r="D993" s="139"/>
      <c r="F993" s="15"/>
    </row>
    <row r="994">
      <c r="B994" s="139"/>
      <c r="C994" s="139"/>
      <c r="D994" s="139"/>
      <c r="F994" s="15"/>
    </row>
    <row r="995">
      <c r="B995" s="139"/>
      <c r="C995" s="139"/>
      <c r="D995" s="139"/>
      <c r="F995" s="15"/>
    </row>
    <row r="996">
      <c r="B996" s="139"/>
      <c r="C996" s="139"/>
      <c r="D996" s="139"/>
      <c r="F996" s="15"/>
    </row>
    <row r="997">
      <c r="B997" s="139"/>
      <c r="C997" s="139"/>
      <c r="D997" s="139"/>
      <c r="F997" s="15"/>
    </row>
    <row r="998">
      <c r="B998" s="139"/>
      <c r="C998" s="139"/>
      <c r="D998" s="139"/>
      <c r="F998" s="15"/>
    </row>
    <row r="999">
      <c r="B999" s="139"/>
      <c r="C999" s="139"/>
      <c r="D999" s="139"/>
      <c r="F999" s="15"/>
    </row>
    <row r="1000">
      <c r="B1000" s="139"/>
      <c r="C1000" s="139"/>
      <c r="D1000" s="139"/>
      <c r="F1000" s="15"/>
    </row>
    <row r="1001">
      <c r="B1001" s="139"/>
      <c r="C1001" s="139"/>
      <c r="D1001" s="139"/>
      <c r="F1001" s="15"/>
    </row>
    <row r="1002">
      <c r="B1002" s="139"/>
      <c r="C1002" s="139"/>
      <c r="D1002" s="139"/>
      <c r="F1002" s="15"/>
    </row>
  </sheetData>
  <mergeCells count="40">
    <mergeCell ref="B16:B18"/>
    <mergeCell ref="B4:B5"/>
    <mergeCell ref="B45:B46"/>
    <mergeCell ref="B42:B44"/>
    <mergeCell ref="B50:B52"/>
    <mergeCell ref="B80:B82"/>
    <mergeCell ref="B67:B68"/>
    <mergeCell ref="B121:B122"/>
    <mergeCell ref="B119:B120"/>
    <mergeCell ref="B115:B116"/>
    <mergeCell ref="B113:B114"/>
    <mergeCell ref="B111:B112"/>
    <mergeCell ref="B109:B110"/>
    <mergeCell ref="B123:B124"/>
    <mergeCell ref="T2:W2"/>
    <mergeCell ref="N1:O1"/>
    <mergeCell ref="L1:M1"/>
    <mergeCell ref="B31:B32"/>
    <mergeCell ref="B21:B22"/>
    <mergeCell ref="B83:B87"/>
    <mergeCell ref="B117:B118"/>
    <mergeCell ref="B125:B126"/>
    <mergeCell ref="B135:B136"/>
    <mergeCell ref="B137:B138"/>
    <mergeCell ref="B129:B130"/>
    <mergeCell ref="B127:B128"/>
    <mergeCell ref="B133:B134"/>
    <mergeCell ref="B131:B132"/>
    <mergeCell ref="B25:B27"/>
    <mergeCell ref="B28:B29"/>
    <mergeCell ref="B7:B8"/>
    <mergeCell ref="B9:B10"/>
    <mergeCell ref="B105:B106"/>
    <mergeCell ref="B107:B108"/>
    <mergeCell ref="B75:B78"/>
    <mergeCell ref="B69:B70"/>
    <mergeCell ref="B55:B58"/>
    <mergeCell ref="B59:B61"/>
    <mergeCell ref="B35:B36"/>
    <mergeCell ref="B38:B39"/>
  </mergeCells>
  <conditionalFormatting sqref="E1:E300">
    <cfRule type="containsText" dxfId="0" priority="1" operator="containsText" text="Dem">
      <formula>NOT(ISERROR(SEARCH(("Dem"),(E1))))</formula>
    </cfRule>
  </conditionalFormatting>
  <conditionalFormatting sqref="E1:E300">
    <cfRule type="containsText" dxfId="1" priority="2" operator="containsText" text="Rep">
      <formula>NOT(ISERROR(SEARCH(("Rep"),(E1))))</formula>
    </cfRule>
  </conditionalFormatting>
  <hyperlinks>
    <hyperlink r:id="rId1" ref="C106"/>
    <hyperlink r:id="rId2" ref="C108"/>
    <hyperlink r:id="rId3" ref="C109"/>
    <hyperlink r:id="rId4" ref="C110"/>
    <hyperlink r:id="rId5" ref="C112"/>
    <hyperlink r:id="rId6" ref="C114"/>
    <hyperlink r:id="rId7" ref="C115"/>
    <hyperlink r:id="rId8" ref="C116"/>
    <hyperlink r:id="rId9" ref="C117"/>
    <hyperlink r:id="rId10" ref="C118"/>
    <hyperlink r:id="rId11" ref="C120"/>
    <hyperlink r:id="rId12" ref="C122"/>
    <hyperlink r:id="rId13" ref="C124"/>
    <hyperlink r:id="rId14" ref="C126"/>
    <hyperlink r:id="rId15" ref="C127"/>
    <hyperlink r:id="rId16" ref="C128"/>
    <hyperlink r:id="rId17" ref="C129"/>
    <hyperlink r:id="rId18" ref="C130"/>
    <hyperlink r:id="rId19" ref="C131"/>
    <hyperlink r:id="rId20" ref="C132"/>
    <hyperlink r:id="rId21" ref="C133"/>
    <hyperlink r:id="rId22" ref="C134"/>
    <hyperlink r:id="rId23" ref="C135"/>
    <hyperlink r:id="rId24" ref="C136"/>
    <hyperlink r:id="rId25" ref="C137"/>
    <hyperlink r:id="rId26" ref="C138"/>
  </hyperlinks>
  <drawing r:id="rId27"/>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xSplit="5.0" ySplit="3.0" topLeftCell="F4" activePane="bottomRight" state="frozen"/>
      <selection activeCell="F1" sqref="F1" pane="topRight"/>
      <selection activeCell="A4" sqref="A4" pane="bottomLeft"/>
      <selection activeCell="F4" sqref="F4" pane="bottomRight"/>
    </sheetView>
  </sheetViews>
  <sheetFormatPr customHeight="1" defaultColWidth="14.43" defaultRowHeight="15.75"/>
  <cols>
    <col customWidth="1" min="2" max="2" width="9.0"/>
    <col customWidth="1" min="5" max="5" width="10.43"/>
    <col customWidth="1" min="6" max="6" width="17.71"/>
    <col customWidth="1" min="11" max="11" width="25.71"/>
  </cols>
  <sheetData>
    <row r="1">
      <c r="A1" s="739" t="s">
        <v>0</v>
      </c>
      <c r="B1" s="739" t="s">
        <v>1</v>
      </c>
      <c r="C1" s="739" t="s">
        <v>2</v>
      </c>
      <c r="D1" s="739" t="s">
        <v>2</v>
      </c>
      <c r="E1" s="741"/>
      <c r="F1" s="742" t="s">
        <v>1577</v>
      </c>
      <c r="G1" s="742" t="s">
        <v>4</v>
      </c>
      <c r="H1" s="742" t="s">
        <v>5</v>
      </c>
      <c r="I1" s="742" t="s">
        <v>6</v>
      </c>
      <c r="J1" s="742" t="s">
        <v>7</v>
      </c>
      <c r="K1" s="1" t="s">
        <v>8</v>
      </c>
      <c r="L1" s="743" t="s">
        <v>9</v>
      </c>
      <c r="N1" s="743" t="s">
        <v>14</v>
      </c>
      <c r="O1" s="751"/>
      <c r="P1" s="741"/>
      <c r="Q1" s="741"/>
      <c r="R1" s="742"/>
      <c r="S1" s="665"/>
      <c r="T1" s="665"/>
      <c r="U1" s="665"/>
      <c r="V1" s="665"/>
      <c r="W1" s="665"/>
      <c r="X1" s="665"/>
      <c r="Y1" s="665"/>
      <c r="Z1" s="665"/>
      <c r="AA1" s="665"/>
      <c r="AB1" s="665"/>
      <c r="AC1" s="665"/>
    </row>
    <row r="2">
      <c r="A2" s="798" t="s">
        <v>492</v>
      </c>
      <c r="B2" s="798" t="s">
        <v>4807</v>
      </c>
      <c r="C2" s="798" t="s">
        <v>84</v>
      </c>
      <c r="D2" s="745"/>
      <c r="E2" s="741"/>
      <c r="F2" s="799">
        <v>43472.0</v>
      </c>
      <c r="G2" s="799">
        <v>43830.0</v>
      </c>
      <c r="H2" s="21">
        <f>G2-TODAY()</f>
        <v>95</v>
      </c>
      <c r="I2" s="799">
        <v>43472.0</v>
      </c>
      <c r="J2" s="799">
        <v>43830.0</v>
      </c>
      <c r="L2" s="745"/>
      <c r="M2" s="755">
        <f>CountIFS($E:$E,"=Rep",$A:$A,"=House")</f>
        <v>63</v>
      </c>
      <c r="N2" s="752">
        <f>CountIFS($E:$E,"=Dem",$A:$A,"=Senate")</f>
        <v>14</v>
      </c>
      <c r="O2" s="755">
        <f>CountIFS($E:$E,"=Rep",$A:$A,"=Senate")</f>
        <v>19</v>
      </c>
      <c r="P2" s="741"/>
      <c r="Q2" s="741"/>
      <c r="R2" s="742"/>
      <c r="S2" s="665"/>
      <c r="T2" s="665"/>
      <c r="U2" s="665"/>
      <c r="V2" s="665"/>
      <c r="W2" s="665"/>
      <c r="X2" s="665"/>
      <c r="Y2" s="665"/>
      <c r="Z2" s="665"/>
      <c r="AA2" s="665"/>
      <c r="AB2" s="665"/>
      <c r="AC2" s="665"/>
    </row>
    <row r="3">
      <c r="A3" s="742" t="s">
        <v>29</v>
      </c>
      <c r="B3" s="742" t="s">
        <v>30</v>
      </c>
      <c r="C3" s="739" t="s">
        <v>31</v>
      </c>
      <c r="D3" s="739" t="s">
        <v>32</v>
      </c>
      <c r="E3" s="741" t="s">
        <v>33</v>
      </c>
      <c r="F3" s="739" t="s">
        <v>10</v>
      </c>
      <c r="G3" s="739" t="s">
        <v>34</v>
      </c>
      <c r="H3" s="739" t="s">
        <v>34</v>
      </c>
      <c r="I3" s="739" t="s">
        <v>34</v>
      </c>
      <c r="J3" s="739" t="s">
        <v>34</v>
      </c>
      <c r="K3" s="739" t="s">
        <v>35</v>
      </c>
      <c r="L3" s="759" t="s">
        <v>36</v>
      </c>
      <c r="M3" s="759" t="s">
        <v>37</v>
      </c>
      <c r="N3" s="759" t="s">
        <v>38</v>
      </c>
      <c r="O3" s="761" t="s">
        <v>39</v>
      </c>
      <c r="P3" s="762" t="s">
        <v>40</v>
      </c>
      <c r="Q3" s="762" t="s">
        <v>41</v>
      </c>
      <c r="R3" s="764" t="s">
        <v>42</v>
      </c>
      <c r="S3" s="665"/>
      <c r="T3" s="665"/>
      <c r="U3" s="30" t="s">
        <v>1590</v>
      </c>
      <c r="V3" s="30" t="s">
        <v>1592</v>
      </c>
      <c r="W3" s="30" t="s">
        <v>37</v>
      </c>
      <c r="X3" s="30" t="s">
        <v>1593</v>
      </c>
      <c r="Y3" s="665"/>
      <c r="Z3" s="665"/>
      <c r="AA3" s="665"/>
      <c r="AB3" s="665"/>
      <c r="AC3" s="665"/>
    </row>
    <row r="4">
      <c r="A4" s="164" t="s">
        <v>44</v>
      </c>
      <c r="B4" s="31">
        <v>1.0</v>
      </c>
      <c r="C4" s="35" t="s">
        <v>28</v>
      </c>
      <c r="D4" s="35" t="s">
        <v>350</v>
      </c>
      <c r="E4" s="51" t="s">
        <v>53</v>
      </c>
      <c r="F4" s="791"/>
      <c r="G4" s="200"/>
      <c r="H4" s="31"/>
      <c r="K4" s="395" t="s">
        <v>14000</v>
      </c>
      <c r="L4" s="14" t="s">
        <v>14003</v>
      </c>
      <c r="M4" s="587" t="str">
        <f t="shared" ref="M4:M102" si="1">Concatenate("rep.",lower(D4),"@legis.wisconsin.gov")</f>
        <v>rep.kitchens@legis.wisconsin.gov</v>
      </c>
      <c r="U4" t="str">
        <f t="shared" ref="U4:U7" si="2">if($E4="Rep","Representative","")</f>
        <v>Representative</v>
      </c>
      <c r="V4" t="str">
        <f t="shared" ref="V4:V7" si="3">if(E4="Rep",D4,"")</f>
        <v>Kitchens</v>
      </c>
      <c r="W4" t="str">
        <f t="shared" ref="W4:W7" si="4">if($E4="Rep",M4,"")</f>
        <v>rep.kitchens@legis.wisconsin.gov</v>
      </c>
    </row>
    <row r="5">
      <c r="A5" s="164" t="s">
        <v>44</v>
      </c>
      <c r="B5" s="31">
        <v>2.0</v>
      </c>
      <c r="C5" s="38" t="s">
        <v>14007</v>
      </c>
      <c r="D5" s="38" t="s">
        <v>14008</v>
      </c>
      <c r="E5" s="51" t="s">
        <v>53</v>
      </c>
      <c r="F5" s="791"/>
      <c r="G5" s="399"/>
      <c r="H5" s="31"/>
      <c r="M5" s="587" t="str">
        <f t="shared" si="1"/>
        <v>rep.sortwell@legis.wisconsin.gov</v>
      </c>
      <c r="U5" t="str">
        <f t="shared" si="2"/>
        <v>Representative</v>
      </c>
      <c r="V5" t="str">
        <f t="shared" si="3"/>
        <v>Sortwell</v>
      </c>
      <c r="W5" t="str">
        <f t="shared" si="4"/>
        <v>rep.sortwell@legis.wisconsin.gov</v>
      </c>
    </row>
    <row r="6">
      <c r="A6" s="164" t="s">
        <v>44</v>
      </c>
      <c r="B6" s="31">
        <v>3.0</v>
      </c>
      <c r="C6" s="35" t="s">
        <v>1813</v>
      </c>
      <c r="D6" s="35" t="s">
        <v>14009</v>
      </c>
      <c r="E6" s="51" t="s">
        <v>53</v>
      </c>
      <c r="F6" s="791"/>
      <c r="G6" s="200"/>
      <c r="H6" s="31"/>
      <c r="L6" s="14" t="s">
        <v>14010</v>
      </c>
      <c r="M6" s="587" t="str">
        <f t="shared" si="1"/>
        <v>rep.tusler@legis.wisconsin.gov</v>
      </c>
      <c r="U6" t="str">
        <f t="shared" si="2"/>
        <v>Representative</v>
      </c>
      <c r="V6" t="str">
        <f t="shared" si="3"/>
        <v>Tusler</v>
      </c>
      <c r="W6" t="str">
        <f t="shared" si="4"/>
        <v>rep.tusler@legis.wisconsin.gov</v>
      </c>
    </row>
    <row r="7">
      <c r="A7" s="164" t="s">
        <v>44</v>
      </c>
      <c r="B7" s="31">
        <v>4.0</v>
      </c>
      <c r="C7" s="35" t="s">
        <v>108</v>
      </c>
      <c r="D7" s="35" t="s">
        <v>14012</v>
      </c>
      <c r="E7" s="51" t="s">
        <v>53</v>
      </c>
      <c r="F7" s="791"/>
      <c r="G7" s="200"/>
      <c r="H7" s="31"/>
      <c r="L7" s="14" t="s">
        <v>14013</v>
      </c>
      <c r="M7" s="587" t="str">
        <f t="shared" si="1"/>
        <v>rep.steffen@legis.wisconsin.gov</v>
      </c>
      <c r="U7" t="str">
        <f t="shared" si="2"/>
        <v>Representative</v>
      </c>
      <c r="V7" t="str">
        <f t="shared" si="3"/>
        <v>Steffen</v>
      </c>
      <c r="W7" t="str">
        <f t="shared" si="4"/>
        <v>rep.steffen@legis.wisconsin.gov</v>
      </c>
    </row>
    <row r="8">
      <c r="A8" s="164" t="s">
        <v>44</v>
      </c>
      <c r="B8" s="31">
        <v>5.0</v>
      </c>
      <c r="C8" s="35" t="s">
        <v>476</v>
      </c>
      <c r="D8" s="35" t="s">
        <v>14016</v>
      </c>
      <c r="E8" s="51" t="s">
        <v>53</v>
      </c>
      <c r="F8" s="793" t="s">
        <v>176</v>
      </c>
      <c r="G8" s="200"/>
      <c r="H8" s="31"/>
      <c r="L8" s="14" t="s">
        <v>14017</v>
      </c>
      <c r="M8" s="587" t="str">
        <f t="shared" si="1"/>
        <v>rep.steineke@legis.wisconsin.gov</v>
      </c>
    </row>
    <row r="9">
      <c r="A9" s="164" t="s">
        <v>44</v>
      </c>
      <c r="B9" s="31">
        <v>6.0</v>
      </c>
      <c r="C9" s="35" t="s">
        <v>199</v>
      </c>
      <c r="D9" s="35" t="s">
        <v>14019</v>
      </c>
      <c r="E9" s="51" t="s">
        <v>53</v>
      </c>
      <c r="F9" s="791"/>
      <c r="G9" s="200"/>
      <c r="H9" s="31"/>
      <c r="L9" s="14" t="s">
        <v>14020</v>
      </c>
      <c r="M9" s="587" t="str">
        <f t="shared" si="1"/>
        <v>rep.tauchen@legis.wisconsin.gov</v>
      </c>
      <c r="U9" t="str">
        <f t="shared" ref="U9:U25" si="5">if($E9="Rep","Representative","")</f>
        <v>Representative</v>
      </c>
      <c r="V9" t="str">
        <f t="shared" ref="V9:V25" si="6">if(E9="Rep",D9,"")</f>
        <v>Tauchen</v>
      </c>
      <c r="W9" t="str">
        <f t="shared" ref="W9:W25" si="7">if($E9="Rep",M9,"")</f>
        <v>rep.tauchen@legis.wisconsin.gov</v>
      </c>
    </row>
    <row r="10">
      <c r="A10" s="164" t="s">
        <v>44</v>
      </c>
      <c r="B10" s="31">
        <v>7.0</v>
      </c>
      <c r="C10" s="35" t="s">
        <v>552</v>
      </c>
      <c r="D10" s="35" t="s">
        <v>14024</v>
      </c>
      <c r="E10" s="36" t="s">
        <v>49</v>
      </c>
      <c r="F10" s="791"/>
      <c r="G10" s="200"/>
      <c r="H10" s="31"/>
      <c r="L10" s="14" t="s">
        <v>14026</v>
      </c>
      <c r="M10" s="587" t="str">
        <f t="shared" si="1"/>
        <v>rep.riemer@legis.wisconsin.gov</v>
      </c>
      <c r="U10" t="str">
        <f t="shared" si="5"/>
        <v/>
      </c>
      <c r="V10" t="str">
        <f t="shared" si="6"/>
        <v/>
      </c>
      <c r="W10" t="str">
        <f t="shared" si="7"/>
        <v/>
      </c>
    </row>
    <row r="11">
      <c r="A11" s="164" t="s">
        <v>44</v>
      </c>
      <c r="B11" s="31">
        <v>8.0</v>
      </c>
      <c r="C11" s="35" t="s">
        <v>14027</v>
      </c>
      <c r="D11" s="35" t="s">
        <v>14030</v>
      </c>
      <c r="E11" s="36" t="s">
        <v>49</v>
      </c>
      <c r="F11" s="791"/>
      <c r="G11" s="200"/>
      <c r="H11" s="31"/>
      <c r="L11" s="14" t="s">
        <v>14031</v>
      </c>
      <c r="M11" s="587" t="str">
        <f t="shared" si="1"/>
        <v>rep.zamarripa@legis.wisconsin.gov</v>
      </c>
      <c r="U11" t="str">
        <f t="shared" si="5"/>
        <v/>
      </c>
      <c r="V11" t="str">
        <f t="shared" si="6"/>
        <v/>
      </c>
      <c r="W11" t="str">
        <f t="shared" si="7"/>
        <v/>
      </c>
    </row>
    <row r="12">
      <c r="A12" s="164" t="s">
        <v>44</v>
      </c>
      <c r="B12" s="31">
        <v>9.0</v>
      </c>
      <c r="C12" s="38" t="s">
        <v>14032</v>
      </c>
      <c r="D12" s="658" t="s">
        <v>14033</v>
      </c>
      <c r="E12" s="36" t="s">
        <v>49</v>
      </c>
      <c r="F12" s="791"/>
      <c r="G12" s="200"/>
      <c r="H12" s="31"/>
      <c r="M12" s="587" t="str">
        <f t="shared" si="1"/>
        <v>rep.cabrera@legis.wisconsin.gov</v>
      </c>
      <c r="U12" t="str">
        <f t="shared" si="5"/>
        <v/>
      </c>
      <c r="V12" t="str">
        <f t="shared" si="6"/>
        <v/>
      </c>
      <c r="W12" t="str">
        <f t="shared" si="7"/>
        <v/>
      </c>
    </row>
    <row r="13">
      <c r="A13" s="164" t="s">
        <v>44</v>
      </c>
      <c r="B13" s="31">
        <v>10.0</v>
      </c>
      <c r="C13" s="35" t="s">
        <v>108</v>
      </c>
      <c r="D13" s="35" t="s">
        <v>14036</v>
      </c>
      <c r="E13" s="36" t="s">
        <v>49</v>
      </c>
      <c r="F13" s="791"/>
      <c r="G13" s="200"/>
      <c r="H13" s="31"/>
      <c r="L13" s="14" t="s">
        <v>14037</v>
      </c>
      <c r="M13" s="587" t="str">
        <f t="shared" si="1"/>
        <v>rep.bowen@legis.wisconsin.gov</v>
      </c>
      <c r="U13" t="str">
        <f t="shared" si="5"/>
        <v/>
      </c>
      <c r="V13" t="str">
        <f t="shared" si="6"/>
        <v/>
      </c>
      <c r="W13" t="str">
        <f t="shared" si="7"/>
        <v/>
      </c>
    </row>
    <row r="14">
      <c r="A14" s="164" t="s">
        <v>44</v>
      </c>
      <c r="B14" s="31">
        <v>11.0</v>
      </c>
      <c r="C14" s="35" t="s">
        <v>1231</v>
      </c>
      <c r="D14" s="35" t="s">
        <v>162</v>
      </c>
      <c r="E14" s="36" t="s">
        <v>49</v>
      </c>
      <c r="F14" s="791"/>
      <c r="G14" s="200"/>
      <c r="H14" s="31"/>
      <c r="L14" s="14" t="s">
        <v>14038</v>
      </c>
      <c r="M14" s="587" t="str">
        <f t="shared" si="1"/>
        <v>rep.fields@legis.wisconsin.gov</v>
      </c>
      <c r="U14" t="str">
        <f t="shared" si="5"/>
        <v/>
      </c>
      <c r="V14" t="str">
        <f t="shared" si="6"/>
        <v/>
      </c>
      <c r="W14" t="str">
        <f t="shared" si="7"/>
        <v/>
      </c>
    </row>
    <row r="15">
      <c r="A15" s="164" t="s">
        <v>44</v>
      </c>
      <c r="B15" s="31">
        <v>12.0</v>
      </c>
      <c r="C15" s="38" t="s">
        <v>14040</v>
      </c>
      <c r="D15" s="38" t="s">
        <v>8132</v>
      </c>
      <c r="E15" s="36" t="s">
        <v>49</v>
      </c>
      <c r="F15" s="791"/>
      <c r="G15" s="200"/>
      <c r="H15" s="31"/>
      <c r="M15" s="587" t="str">
        <f t="shared" si="1"/>
        <v>rep.myers@legis.wisconsin.gov</v>
      </c>
      <c r="U15" t="str">
        <f t="shared" si="5"/>
        <v/>
      </c>
      <c r="V15" t="str">
        <f t="shared" si="6"/>
        <v/>
      </c>
      <c r="W15" t="str">
        <f t="shared" si="7"/>
        <v/>
      </c>
    </row>
    <row r="16">
      <c r="A16" s="164" t="s">
        <v>44</v>
      </c>
      <c r="B16" s="31">
        <v>13.0</v>
      </c>
      <c r="C16" s="35" t="s">
        <v>1476</v>
      </c>
      <c r="D16" s="35" t="s">
        <v>14045</v>
      </c>
      <c r="E16" s="51" t="s">
        <v>53</v>
      </c>
      <c r="F16" s="791"/>
      <c r="G16" s="200"/>
      <c r="H16" s="31"/>
      <c r="L16" s="14" t="s">
        <v>14046</v>
      </c>
      <c r="M16" s="587" t="str">
        <f t="shared" si="1"/>
        <v>rep.hutton@legis.wisconsin.gov</v>
      </c>
      <c r="U16" t="str">
        <f t="shared" si="5"/>
        <v>Representative</v>
      </c>
      <c r="V16" t="str">
        <f t="shared" si="6"/>
        <v>Hutton</v>
      </c>
      <c r="W16" t="str">
        <f t="shared" si="7"/>
        <v>rep.hutton@legis.wisconsin.gov</v>
      </c>
    </row>
    <row r="17">
      <c r="A17" s="164" t="s">
        <v>44</v>
      </c>
      <c r="B17" s="31">
        <v>14.0</v>
      </c>
      <c r="C17" s="38" t="s">
        <v>2652</v>
      </c>
      <c r="D17" s="38" t="s">
        <v>14047</v>
      </c>
      <c r="E17" s="36" t="s">
        <v>49</v>
      </c>
      <c r="F17" s="791"/>
      <c r="G17" s="200"/>
      <c r="H17" s="31"/>
      <c r="M17" s="587" t="str">
        <f t="shared" si="1"/>
        <v>rep.vining@legis.wisconsin.gov</v>
      </c>
      <c r="U17" t="str">
        <f t="shared" si="5"/>
        <v/>
      </c>
      <c r="V17" t="str">
        <f t="shared" si="6"/>
        <v/>
      </c>
      <c r="W17" t="str">
        <f t="shared" si="7"/>
        <v/>
      </c>
    </row>
    <row r="18">
      <c r="A18" s="164" t="s">
        <v>44</v>
      </c>
      <c r="B18" s="31">
        <v>15.0</v>
      </c>
      <c r="C18" s="35" t="s">
        <v>622</v>
      </c>
      <c r="D18" s="35" t="s">
        <v>14049</v>
      </c>
      <c r="E18" s="51" t="s">
        <v>53</v>
      </c>
      <c r="F18" s="791"/>
      <c r="G18" s="200"/>
      <c r="H18" s="31"/>
      <c r="L18" s="14" t="s">
        <v>14050</v>
      </c>
      <c r="M18" s="587" t="str">
        <f t="shared" si="1"/>
        <v>rep.sanfelippo@legis.wisconsin.gov</v>
      </c>
      <c r="U18" t="str">
        <f t="shared" si="5"/>
        <v>Representative</v>
      </c>
      <c r="V18" t="str">
        <f t="shared" si="6"/>
        <v>Sanfelippo</v>
      </c>
      <c r="W18" t="str">
        <f t="shared" si="7"/>
        <v>rep.sanfelippo@legis.wisconsin.gov</v>
      </c>
    </row>
    <row r="19">
      <c r="A19" s="164" t="s">
        <v>44</v>
      </c>
      <c r="B19" s="31">
        <v>16.0</v>
      </c>
      <c r="C19" s="38" t="s">
        <v>14053</v>
      </c>
      <c r="D19" s="38" t="s">
        <v>11478</v>
      </c>
      <c r="E19" s="36" t="s">
        <v>49</v>
      </c>
      <c r="F19" s="791"/>
      <c r="G19" s="200"/>
      <c r="H19" s="31"/>
      <c r="M19" s="587" t="str">
        <f t="shared" si="1"/>
        <v>rep.haywood@legis.wisconsin.gov</v>
      </c>
      <c r="U19" t="str">
        <f t="shared" si="5"/>
        <v/>
      </c>
      <c r="V19" t="str">
        <f t="shared" si="6"/>
        <v/>
      </c>
      <c r="W19" t="str">
        <f t="shared" si="7"/>
        <v/>
      </c>
    </row>
    <row r="20">
      <c r="A20" s="164" t="s">
        <v>44</v>
      </c>
      <c r="B20" s="31">
        <v>17.0</v>
      </c>
      <c r="C20" s="35" t="s">
        <v>108</v>
      </c>
      <c r="D20" s="35" t="s">
        <v>11906</v>
      </c>
      <c r="E20" s="36" t="s">
        <v>49</v>
      </c>
      <c r="F20" s="791"/>
      <c r="G20" s="200"/>
      <c r="H20" s="31"/>
      <c r="L20" s="14" t="s">
        <v>14055</v>
      </c>
      <c r="M20" s="587" t="str">
        <f t="shared" si="1"/>
        <v>rep.crowley@legis.wisconsin.gov</v>
      </c>
      <c r="U20" t="str">
        <f t="shared" si="5"/>
        <v/>
      </c>
      <c r="V20" t="str">
        <f t="shared" si="6"/>
        <v/>
      </c>
      <c r="W20" t="str">
        <f t="shared" si="7"/>
        <v/>
      </c>
    </row>
    <row r="21">
      <c r="A21" s="164" t="s">
        <v>44</v>
      </c>
      <c r="B21" s="31">
        <v>18.0</v>
      </c>
      <c r="C21" s="35" t="s">
        <v>1541</v>
      </c>
      <c r="D21" s="35" t="s">
        <v>14059</v>
      </c>
      <c r="E21" s="36" t="s">
        <v>49</v>
      </c>
      <c r="F21" s="791"/>
      <c r="G21" s="200"/>
      <c r="H21" s="31"/>
      <c r="L21" s="14" t="s">
        <v>14060</v>
      </c>
      <c r="M21" s="587" t="str">
        <f t="shared" si="1"/>
        <v>rep.goyke@legis.wisconsin.gov</v>
      </c>
      <c r="U21" t="str">
        <f t="shared" si="5"/>
        <v/>
      </c>
      <c r="V21" t="str">
        <f t="shared" si="6"/>
        <v/>
      </c>
      <c r="W21" t="str">
        <f t="shared" si="7"/>
        <v/>
      </c>
    </row>
    <row r="22">
      <c r="A22" s="164" t="s">
        <v>44</v>
      </c>
      <c r="B22" s="31">
        <v>19.0</v>
      </c>
      <c r="C22" s="35" t="s">
        <v>235</v>
      </c>
      <c r="D22" s="35" t="s">
        <v>14063</v>
      </c>
      <c r="E22" s="36" t="s">
        <v>49</v>
      </c>
      <c r="F22" s="791"/>
      <c r="G22" s="200"/>
      <c r="H22" s="31"/>
      <c r="L22" s="14" t="s">
        <v>14064</v>
      </c>
      <c r="M22" s="587" t="str">
        <f t="shared" si="1"/>
        <v>rep.brostoff@legis.wisconsin.gov</v>
      </c>
      <c r="U22" t="str">
        <f t="shared" si="5"/>
        <v/>
      </c>
      <c r="V22" t="str">
        <f t="shared" si="6"/>
        <v/>
      </c>
      <c r="W22" t="str">
        <f t="shared" si="7"/>
        <v/>
      </c>
    </row>
    <row r="23">
      <c r="A23" s="164" t="s">
        <v>44</v>
      </c>
      <c r="B23" s="31">
        <v>20.0</v>
      </c>
      <c r="C23" s="35" t="s">
        <v>2551</v>
      </c>
      <c r="D23" s="35" t="s">
        <v>14068</v>
      </c>
      <c r="E23" s="36" t="s">
        <v>49</v>
      </c>
      <c r="F23" s="791"/>
      <c r="G23" s="200"/>
      <c r="H23" s="31"/>
      <c r="L23" s="14" t="s">
        <v>14069</v>
      </c>
      <c r="M23" s="587" t="str">
        <f t="shared" si="1"/>
        <v>rep.sinicki@legis.wisconsin.gov</v>
      </c>
      <c r="U23" t="str">
        <f t="shared" si="5"/>
        <v/>
      </c>
      <c r="V23" t="str">
        <f t="shared" si="6"/>
        <v/>
      </c>
      <c r="W23" t="str">
        <f t="shared" si="7"/>
        <v/>
      </c>
    </row>
    <row r="24">
      <c r="A24" s="164" t="s">
        <v>44</v>
      </c>
      <c r="B24" s="31">
        <v>21.0</v>
      </c>
      <c r="C24" s="35" t="s">
        <v>2390</v>
      </c>
      <c r="D24" s="35" t="s">
        <v>1094</v>
      </c>
      <c r="E24" s="51" t="s">
        <v>53</v>
      </c>
      <c r="F24" s="791"/>
      <c r="G24" s="200"/>
      <c r="H24" s="31"/>
      <c r="L24" s="14" t="s">
        <v>14074</v>
      </c>
      <c r="M24" s="587" t="str">
        <f t="shared" si="1"/>
        <v>rep.rodriguez@legis.wisconsin.gov</v>
      </c>
      <c r="U24" t="str">
        <f t="shared" si="5"/>
        <v>Representative</v>
      </c>
      <c r="V24" t="str">
        <f t="shared" si="6"/>
        <v>Rodriguez</v>
      </c>
      <c r="W24" t="str">
        <f t="shared" si="7"/>
        <v>rep.rodriguez@legis.wisconsin.gov</v>
      </c>
    </row>
    <row r="25">
      <c r="A25" s="164" t="s">
        <v>44</v>
      </c>
      <c r="B25" s="31">
        <v>22.0</v>
      </c>
      <c r="C25" s="35" t="s">
        <v>14078</v>
      </c>
      <c r="D25" s="35" t="s">
        <v>14087</v>
      </c>
      <c r="E25" s="51" t="s">
        <v>53</v>
      </c>
      <c r="F25" s="791"/>
      <c r="G25" s="200"/>
      <c r="H25" s="31"/>
      <c r="L25" s="14" t="s">
        <v>14089</v>
      </c>
      <c r="M25" s="587" t="str">
        <f t="shared" si="1"/>
        <v>rep.brandtjen@legis.wisconsin.gov</v>
      </c>
      <c r="U25" t="str">
        <f t="shared" si="5"/>
        <v>Representative</v>
      </c>
      <c r="V25" t="str">
        <f t="shared" si="6"/>
        <v>Brandtjen</v>
      </c>
      <c r="W25" t="str">
        <f t="shared" si="7"/>
        <v>rep.brandtjen@legis.wisconsin.gov</v>
      </c>
    </row>
    <row r="26">
      <c r="A26" s="164" t="s">
        <v>44</v>
      </c>
      <c r="B26" s="31">
        <v>23.0</v>
      </c>
      <c r="C26" s="35" t="s">
        <v>476</v>
      </c>
      <c r="D26" s="35" t="s">
        <v>11970</v>
      </c>
      <c r="E26" s="51" t="s">
        <v>53</v>
      </c>
      <c r="F26" s="791"/>
      <c r="G26" s="200"/>
      <c r="H26" s="31"/>
      <c r="L26" s="14" t="s">
        <v>14093</v>
      </c>
      <c r="M26" s="587" t="str">
        <f t="shared" si="1"/>
        <v>rep.ott@legis.wisconsin.gov</v>
      </c>
    </row>
    <row r="27">
      <c r="A27" s="164" t="s">
        <v>44</v>
      </c>
      <c r="B27" s="31">
        <v>24.0</v>
      </c>
      <c r="C27" s="35" t="s">
        <v>239</v>
      </c>
      <c r="D27" s="35" t="s">
        <v>14094</v>
      </c>
      <c r="E27" s="51" t="s">
        <v>53</v>
      </c>
      <c r="F27" s="793" t="s">
        <v>1684</v>
      </c>
      <c r="G27" s="200"/>
      <c r="H27" s="31"/>
      <c r="L27" s="14" t="s">
        <v>14095</v>
      </c>
      <c r="M27" s="587" t="str">
        <f t="shared" si="1"/>
        <v>rep.knodl@legis.wisconsin.gov</v>
      </c>
      <c r="U27" t="str">
        <f t="shared" ref="U27:U37" si="8">if($E27="Rep","Representative","")</f>
        <v>Representative</v>
      </c>
      <c r="V27" t="str">
        <f t="shared" ref="V27:V37" si="9">if(E27="Rep",D27,"")</f>
        <v>Knodl</v>
      </c>
      <c r="W27" t="str">
        <f t="shared" ref="W27:W37" si="10">if($E27="Rep",M27,"")</f>
        <v>rep.knodl@legis.wisconsin.gov</v>
      </c>
    </row>
    <row r="28">
      <c r="A28" s="164" t="s">
        <v>44</v>
      </c>
      <c r="B28" s="31">
        <v>25.0</v>
      </c>
      <c r="C28" s="35" t="s">
        <v>679</v>
      </c>
      <c r="D28" s="35" t="s">
        <v>14096</v>
      </c>
      <c r="E28" s="51" t="s">
        <v>53</v>
      </c>
      <c r="F28" s="791"/>
      <c r="G28" s="200"/>
      <c r="H28" s="31"/>
      <c r="L28" s="14" t="s">
        <v>14097</v>
      </c>
      <c r="M28" s="587" t="str">
        <f t="shared" si="1"/>
        <v>rep.tittl@legis.wisconsin.gov</v>
      </c>
      <c r="U28" t="str">
        <f t="shared" si="8"/>
        <v>Representative</v>
      </c>
      <c r="V28" t="str">
        <f t="shared" si="9"/>
        <v>Tittl</v>
      </c>
      <c r="W28" t="str">
        <f t="shared" si="10"/>
        <v>rep.tittl@legis.wisconsin.gov</v>
      </c>
    </row>
    <row r="29">
      <c r="A29" s="164" t="s">
        <v>44</v>
      </c>
      <c r="B29" s="31">
        <v>26.0</v>
      </c>
      <c r="C29" s="35" t="s">
        <v>1990</v>
      </c>
      <c r="D29" s="35" t="s">
        <v>14098</v>
      </c>
      <c r="E29" s="51" t="s">
        <v>53</v>
      </c>
      <c r="F29" s="791"/>
      <c r="G29" s="200"/>
      <c r="H29" s="31"/>
      <c r="L29" s="14" t="s">
        <v>14099</v>
      </c>
      <c r="M29" s="587" t="str">
        <f t="shared" si="1"/>
        <v>rep.katsma@legis.wisconsin.gov</v>
      </c>
      <c r="U29" t="str">
        <f t="shared" si="8"/>
        <v>Representative</v>
      </c>
      <c r="V29" t="str">
        <f t="shared" si="9"/>
        <v>Katsma</v>
      </c>
      <c r="W29" t="str">
        <f t="shared" si="10"/>
        <v>rep.katsma@legis.wisconsin.gov</v>
      </c>
    </row>
    <row r="30">
      <c r="A30" s="164" t="s">
        <v>44</v>
      </c>
      <c r="B30" s="31">
        <v>27.0</v>
      </c>
      <c r="C30" s="35" t="s">
        <v>1323</v>
      </c>
      <c r="D30" s="35" t="s">
        <v>14100</v>
      </c>
      <c r="E30" s="51" t="s">
        <v>53</v>
      </c>
      <c r="F30" s="791"/>
      <c r="G30" s="200"/>
      <c r="H30" s="31"/>
      <c r="L30" s="14" t="s">
        <v>14101</v>
      </c>
      <c r="M30" s="587" t="str">
        <f t="shared" si="1"/>
        <v>rep.vorpagel@legis.wisconsin.gov</v>
      </c>
      <c r="U30" t="str">
        <f t="shared" si="8"/>
        <v>Representative</v>
      </c>
      <c r="V30" t="str">
        <f t="shared" si="9"/>
        <v>Vorpagel</v>
      </c>
      <c r="W30" t="str">
        <f t="shared" si="10"/>
        <v>rep.vorpagel@legis.wisconsin.gov</v>
      </c>
    </row>
    <row r="31">
      <c r="A31" s="164" t="s">
        <v>44</v>
      </c>
      <c r="B31" s="31">
        <v>28.0</v>
      </c>
      <c r="C31" s="38" t="s">
        <v>14102</v>
      </c>
      <c r="D31" s="38" t="s">
        <v>14103</v>
      </c>
      <c r="E31" s="51" t="s">
        <v>53</v>
      </c>
      <c r="F31" s="791"/>
      <c r="G31" s="200"/>
      <c r="H31" s="31"/>
      <c r="M31" s="587" t="str">
        <f t="shared" si="1"/>
        <v>rep.magnafici@legis.wisconsin.gov</v>
      </c>
      <c r="U31" t="str">
        <f t="shared" si="8"/>
        <v>Representative</v>
      </c>
      <c r="V31" t="str">
        <f t="shared" si="9"/>
        <v>Magnafici</v>
      </c>
      <c r="W31" t="str">
        <f t="shared" si="10"/>
        <v>rep.magnafici@legis.wisconsin.gov</v>
      </c>
    </row>
    <row r="32">
      <c r="A32" s="164" t="s">
        <v>44</v>
      </c>
      <c r="B32" s="31">
        <v>29.0</v>
      </c>
      <c r="C32" s="35" t="s">
        <v>1476</v>
      </c>
      <c r="D32" s="35" t="s">
        <v>14104</v>
      </c>
      <c r="E32" s="51" t="s">
        <v>53</v>
      </c>
      <c r="F32" s="791"/>
      <c r="G32" s="200"/>
      <c r="H32" s="31"/>
      <c r="L32" s="14" t="s">
        <v>14105</v>
      </c>
      <c r="M32" s="587" t="str">
        <f t="shared" si="1"/>
        <v>rep.stafsholt@legis.wisconsin.gov</v>
      </c>
      <c r="U32" t="str">
        <f t="shared" si="8"/>
        <v>Representative</v>
      </c>
      <c r="V32" t="str">
        <f t="shared" si="9"/>
        <v>Stafsholt</v>
      </c>
      <c r="W32" t="str">
        <f t="shared" si="10"/>
        <v>rep.stafsholt@legis.wisconsin.gov</v>
      </c>
    </row>
    <row r="33">
      <c r="A33" s="164" t="s">
        <v>44</v>
      </c>
      <c r="B33" s="31">
        <v>30.0</v>
      </c>
      <c r="C33" s="35" t="s">
        <v>1891</v>
      </c>
      <c r="D33" s="35" t="s">
        <v>11148</v>
      </c>
      <c r="E33" s="51" t="s">
        <v>53</v>
      </c>
      <c r="F33" s="791"/>
      <c r="G33" s="200"/>
      <c r="H33" s="31"/>
      <c r="L33" s="14" t="s">
        <v>14106</v>
      </c>
      <c r="M33" s="587" t="str">
        <f t="shared" si="1"/>
        <v>rep.zimmerman@legis.wisconsin.gov</v>
      </c>
      <c r="U33" t="str">
        <f t="shared" si="8"/>
        <v>Representative</v>
      </c>
      <c r="V33" t="str">
        <f t="shared" si="9"/>
        <v>Zimmerman</v>
      </c>
      <c r="W33" t="str">
        <f t="shared" si="10"/>
        <v>rep.zimmerman@legis.wisconsin.gov</v>
      </c>
    </row>
    <row r="34">
      <c r="A34" s="164" t="s">
        <v>44</v>
      </c>
      <c r="B34" s="31">
        <v>31.0</v>
      </c>
      <c r="C34" s="35" t="s">
        <v>2969</v>
      </c>
      <c r="D34" s="35" t="s">
        <v>14107</v>
      </c>
      <c r="E34" s="51" t="s">
        <v>53</v>
      </c>
      <c r="F34" s="791"/>
      <c r="G34" s="200"/>
      <c r="H34" s="31"/>
      <c r="L34" s="14" t="s">
        <v>14108</v>
      </c>
      <c r="M34" s="587" t="str">
        <f t="shared" si="1"/>
        <v>rep.loudenbeck@legis.wisconsin.gov</v>
      </c>
      <c r="U34" t="str">
        <f t="shared" si="8"/>
        <v>Representative</v>
      </c>
      <c r="V34" t="str">
        <f t="shared" si="9"/>
        <v>Loudenbeck</v>
      </c>
      <c r="W34" t="str">
        <f t="shared" si="10"/>
        <v>rep.loudenbeck@legis.wisconsin.gov</v>
      </c>
    </row>
    <row r="35">
      <c r="A35" s="164" t="s">
        <v>44</v>
      </c>
      <c r="B35" s="31">
        <v>32.0</v>
      </c>
      <c r="C35" s="35" t="s">
        <v>1323</v>
      </c>
      <c r="D35" s="35" t="s">
        <v>14109</v>
      </c>
      <c r="E35" s="51" t="s">
        <v>53</v>
      </c>
      <c r="F35" s="793" t="s">
        <v>751</v>
      </c>
      <c r="G35" s="200"/>
      <c r="H35" s="31"/>
      <c r="L35" s="14" t="s">
        <v>14110</v>
      </c>
      <c r="M35" s="587" t="str">
        <f t="shared" si="1"/>
        <v>rep.august@legis.wisconsin.gov</v>
      </c>
      <c r="N35" s="802"/>
      <c r="U35" t="str">
        <f t="shared" si="8"/>
        <v>Representative</v>
      </c>
      <c r="V35" t="str">
        <f t="shared" si="9"/>
        <v>August</v>
      </c>
      <c r="W35" t="str">
        <f t="shared" si="10"/>
        <v>rep.august@legis.wisconsin.gov</v>
      </c>
    </row>
    <row r="36">
      <c r="A36" s="164" t="s">
        <v>44</v>
      </c>
      <c r="B36" s="31">
        <v>33.0</v>
      </c>
      <c r="C36" s="35" t="s">
        <v>8551</v>
      </c>
      <c r="D36" s="35" t="s">
        <v>14111</v>
      </c>
      <c r="E36" s="51" t="s">
        <v>53</v>
      </c>
      <c r="F36" s="791"/>
      <c r="G36" s="200"/>
      <c r="H36" s="31"/>
      <c r="L36" s="14" t="s">
        <v>14112</v>
      </c>
      <c r="M36" s="587" t="str">
        <f t="shared" si="1"/>
        <v>rep.horlacher@legis.wisconsin.gov</v>
      </c>
      <c r="U36" t="str">
        <f t="shared" si="8"/>
        <v>Representative</v>
      </c>
      <c r="V36" t="str">
        <f t="shared" si="9"/>
        <v>Horlacher</v>
      </c>
      <c r="W36" t="str">
        <f t="shared" si="10"/>
        <v>rep.horlacher@legis.wisconsin.gov</v>
      </c>
    </row>
    <row r="37">
      <c r="A37" s="164" t="s">
        <v>44</v>
      </c>
      <c r="B37" s="31">
        <v>34.0</v>
      </c>
      <c r="C37" s="35" t="s">
        <v>1476</v>
      </c>
      <c r="D37" s="35" t="s">
        <v>14113</v>
      </c>
      <c r="E37" s="51" t="s">
        <v>53</v>
      </c>
      <c r="F37" s="791"/>
      <c r="G37" s="200"/>
      <c r="H37" s="31"/>
      <c r="L37" s="14" t="s">
        <v>14114</v>
      </c>
      <c r="M37" s="587" t="str">
        <f t="shared" si="1"/>
        <v>rep.swearingen@legis.wisconsin.gov</v>
      </c>
      <c r="U37" t="str">
        <f t="shared" si="8"/>
        <v>Representative</v>
      </c>
      <c r="V37" t="str">
        <f t="shared" si="9"/>
        <v>Swearingen</v>
      </c>
      <c r="W37" t="str">
        <f t="shared" si="10"/>
        <v>rep.swearingen@legis.wisconsin.gov</v>
      </c>
    </row>
    <row r="38">
      <c r="A38" s="164" t="s">
        <v>44</v>
      </c>
      <c r="B38" s="31">
        <v>35.0</v>
      </c>
      <c r="C38" s="35" t="s">
        <v>514</v>
      </c>
      <c r="D38" s="35" t="s">
        <v>14115</v>
      </c>
      <c r="E38" s="51" t="s">
        <v>53</v>
      </c>
      <c r="F38" s="793" t="s">
        <v>1479</v>
      </c>
      <c r="G38" s="200"/>
      <c r="H38" s="31"/>
      <c r="L38" s="14" t="s">
        <v>14116</v>
      </c>
      <c r="M38" s="587" t="str">
        <f t="shared" si="1"/>
        <v>rep.felzkowski@legis.wisconsin.gov</v>
      </c>
    </row>
    <row r="39">
      <c r="A39" s="164" t="s">
        <v>44</v>
      </c>
      <c r="B39" s="31">
        <v>36.0</v>
      </c>
      <c r="C39" s="35" t="s">
        <v>2512</v>
      </c>
      <c r="D39" s="35" t="s">
        <v>14117</v>
      </c>
      <c r="E39" s="51" t="s">
        <v>53</v>
      </c>
      <c r="F39" s="791"/>
      <c r="G39" s="200"/>
      <c r="H39" s="31"/>
      <c r="L39" s="14" t="s">
        <v>14118</v>
      </c>
      <c r="M39" s="587" t="str">
        <f t="shared" si="1"/>
        <v>rep.mursau@legis.wisconsin.gov</v>
      </c>
      <c r="U39" t="str">
        <f t="shared" ref="U39:U53" si="11">if($E39="Rep","Representative","")</f>
        <v>Representative</v>
      </c>
      <c r="V39" t="str">
        <f t="shared" ref="V39:V53" si="12">if(E39="Rep",D39,"")</f>
        <v>Mursau</v>
      </c>
      <c r="W39" t="str">
        <f t="shared" ref="W39:W53" si="13">if($E39="Rep",M39,"")</f>
        <v>rep.mursau@legis.wisconsin.gov</v>
      </c>
    </row>
    <row r="40">
      <c r="A40" s="164" t="s">
        <v>44</v>
      </c>
      <c r="B40" s="31">
        <v>37.0</v>
      </c>
      <c r="C40" s="35" t="s">
        <v>278</v>
      </c>
      <c r="D40" s="35" t="s">
        <v>14119</v>
      </c>
      <c r="E40" s="51" t="s">
        <v>53</v>
      </c>
      <c r="F40" s="791"/>
      <c r="G40" s="200"/>
      <c r="H40" s="31"/>
      <c r="L40" s="14" t="s">
        <v>14120</v>
      </c>
      <c r="M40" s="587" t="str">
        <f t="shared" si="1"/>
        <v>rep.jagler@legis.wisconsin.gov</v>
      </c>
      <c r="U40" t="str">
        <f t="shared" si="11"/>
        <v>Representative</v>
      </c>
      <c r="V40" t="str">
        <f t="shared" si="12"/>
        <v>Jagler</v>
      </c>
      <c r="W40" t="str">
        <f t="shared" si="13"/>
        <v>rep.jagler@legis.wisconsin.gov</v>
      </c>
    </row>
    <row r="41">
      <c r="A41" s="164" t="s">
        <v>44</v>
      </c>
      <c r="B41" s="31">
        <v>38.0</v>
      </c>
      <c r="C41" s="38" t="s">
        <v>384</v>
      </c>
      <c r="D41" s="38" t="s">
        <v>14121</v>
      </c>
      <c r="E41" s="51" t="s">
        <v>53</v>
      </c>
      <c r="F41" s="791"/>
      <c r="G41" s="200"/>
      <c r="H41" s="31"/>
      <c r="M41" s="587" t="str">
        <f t="shared" si="1"/>
        <v>rep.dittrich@legis.wisconsin.gov</v>
      </c>
      <c r="U41" t="str">
        <f t="shared" si="11"/>
        <v>Representative</v>
      </c>
      <c r="V41" t="str">
        <f t="shared" si="12"/>
        <v>Dittrich</v>
      </c>
      <c r="W41" t="str">
        <f t="shared" si="13"/>
        <v>rep.dittrich@legis.wisconsin.gov</v>
      </c>
    </row>
    <row r="42">
      <c r="A42" s="164" t="s">
        <v>44</v>
      </c>
      <c r="B42" s="31">
        <v>39.0</v>
      </c>
      <c r="C42" s="35" t="s">
        <v>91</v>
      </c>
      <c r="D42" s="35" t="s">
        <v>14122</v>
      </c>
      <c r="E42" s="51" t="s">
        <v>53</v>
      </c>
      <c r="F42" s="791"/>
      <c r="G42" s="200"/>
      <c r="H42" s="31"/>
      <c r="L42" s="14" t="s">
        <v>14123</v>
      </c>
      <c r="M42" s="587" t="str">
        <f t="shared" si="1"/>
        <v>rep.born@legis.wisconsin.gov</v>
      </c>
      <c r="U42" t="str">
        <f t="shared" si="11"/>
        <v>Representative</v>
      </c>
      <c r="V42" t="str">
        <f t="shared" si="12"/>
        <v>Born</v>
      </c>
      <c r="W42" t="str">
        <f t="shared" si="13"/>
        <v>rep.born@legis.wisconsin.gov</v>
      </c>
    </row>
    <row r="43">
      <c r="A43" s="164" t="s">
        <v>44</v>
      </c>
      <c r="B43" s="31">
        <v>40.0</v>
      </c>
      <c r="C43" s="35" t="s">
        <v>971</v>
      </c>
      <c r="D43" s="35" t="s">
        <v>819</v>
      </c>
      <c r="E43" s="51" t="s">
        <v>53</v>
      </c>
      <c r="F43" s="791"/>
      <c r="G43" s="200"/>
      <c r="H43" s="31"/>
      <c r="L43" s="14" t="s">
        <v>14124</v>
      </c>
      <c r="M43" s="587" t="str">
        <f t="shared" si="1"/>
        <v>rep.petersen@legis.wisconsin.gov</v>
      </c>
      <c r="U43" t="str">
        <f t="shared" si="11"/>
        <v>Representative</v>
      </c>
      <c r="V43" t="str">
        <f t="shared" si="12"/>
        <v>Petersen</v>
      </c>
      <c r="W43" t="str">
        <f t="shared" si="13"/>
        <v>rep.petersen@legis.wisconsin.gov</v>
      </c>
    </row>
    <row r="44">
      <c r="A44" s="164" t="s">
        <v>44</v>
      </c>
      <c r="B44" s="31">
        <v>41.0</v>
      </c>
      <c r="C44" s="35" t="s">
        <v>2882</v>
      </c>
      <c r="D44" s="35" t="s">
        <v>14125</v>
      </c>
      <c r="E44" s="51" t="s">
        <v>53</v>
      </c>
      <c r="F44" s="791"/>
      <c r="G44" s="200"/>
      <c r="H44" s="31"/>
      <c r="L44" s="14" t="s">
        <v>14126</v>
      </c>
      <c r="M44" s="587" t="str">
        <f t="shared" si="1"/>
        <v>rep.ballweg@legis.wisconsin.gov</v>
      </c>
      <c r="U44" t="str">
        <f t="shared" si="11"/>
        <v>Representative</v>
      </c>
      <c r="V44" t="str">
        <f t="shared" si="12"/>
        <v>Ballweg</v>
      </c>
      <c r="W44" t="str">
        <f t="shared" si="13"/>
        <v>rep.ballweg@legis.wisconsin.gov</v>
      </c>
    </row>
    <row r="45">
      <c r="A45" s="164" t="s">
        <v>44</v>
      </c>
      <c r="B45" s="31">
        <v>42.0</v>
      </c>
      <c r="C45" s="35" t="s">
        <v>1387</v>
      </c>
      <c r="D45" s="35" t="s">
        <v>14127</v>
      </c>
      <c r="E45" s="51" t="s">
        <v>53</v>
      </c>
      <c r="F45" s="803"/>
      <c r="G45" s="200"/>
      <c r="H45" s="31"/>
      <c r="L45" s="14" t="s">
        <v>14128</v>
      </c>
      <c r="M45" s="587" t="str">
        <f t="shared" si="1"/>
        <v>rep.plumer@legis.wisconsin.gov</v>
      </c>
      <c r="U45" t="str">
        <f t="shared" si="11"/>
        <v>Representative</v>
      </c>
      <c r="V45" t="str">
        <f t="shared" si="12"/>
        <v>Plumer</v>
      </c>
      <c r="W45" t="str">
        <f t="shared" si="13"/>
        <v>rep.plumer@legis.wisconsin.gov</v>
      </c>
    </row>
    <row r="46">
      <c r="A46" s="164" t="s">
        <v>44</v>
      </c>
      <c r="B46" s="31">
        <v>43.0</v>
      </c>
      <c r="C46" s="35" t="s">
        <v>428</v>
      </c>
      <c r="D46" s="35" t="s">
        <v>14129</v>
      </c>
      <c r="E46" s="36" t="s">
        <v>49</v>
      </c>
      <c r="F46" s="791"/>
      <c r="G46" s="200"/>
      <c r="H46" s="31"/>
      <c r="L46" s="14" t="s">
        <v>14130</v>
      </c>
      <c r="M46" s="587" t="str">
        <f t="shared" si="1"/>
        <v>rep.vruwink@legis.wisconsin.gov</v>
      </c>
      <c r="U46" t="str">
        <f t="shared" si="11"/>
        <v/>
      </c>
      <c r="V46" t="str">
        <f t="shared" si="12"/>
        <v/>
      </c>
      <c r="W46" t="str">
        <f t="shared" si="13"/>
        <v/>
      </c>
    </row>
    <row r="47">
      <c r="A47" s="164" t="s">
        <v>44</v>
      </c>
      <c r="B47" s="31">
        <v>44.0</v>
      </c>
      <c r="C47" s="35" t="s">
        <v>2601</v>
      </c>
      <c r="D47" s="35" t="s">
        <v>14131</v>
      </c>
      <c r="E47" s="36" t="s">
        <v>49</v>
      </c>
      <c r="F47" s="791"/>
      <c r="G47" s="200"/>
      <c r="H47" s="31"/>
      <c r="L47" s="14" t="s">
        <v>14132</v>
      </c>
      <c r="M47" s="587" t="str">
        <f t="shared" si="1"/>
        <v>rep.kolste@legis.wisconsin.gov</v>
      </c>
      <c r="U47" t="str">
        <f t="shared" si="11"/>
        <v/>
      </c>
      <c r="V47" t="str">
        <f t="shared" si="12"/>
        <v/>
      </c>
      <c r="W47" t="str">
        <f t="shared" si="13"/>
        <v/>
      </c>
    </row>
    <row r="48">
      <c r="A48" s="164" t="s">
        <v>44</v>
      </c>
      <c r="B48" s="31">
        <v>45.0</v>
      </c>
      <c r="C48" s="35" t="s">
        <v>91</v>
      </c>
      <c r="D48" s="35" t="s">
        <v>14133</v>
      </c>
      <c r="E48" s="36" t="s">
        <v>49</v>
      </c>
      <c r="F48" s="793" t="s">
        <v>14134</v>
      </c>
      <c r="G48" s="200"/>
      <c r="H48" s="31"/>
      <c r="L48" s="14" t="s">
        <v>14135</v>
      </c>
      <c r="M48" s="587" t="str">
        <f t="shared" si="1"/>
        <v>rep.spreitzer@legis.wisconsin.gov</v>
      </c>
      <c r="U48" t="str">
        <f t="shared" si="11"/>
        <v/>
      </c>
      <c r="V48" t="str">
        <f t="shared" si="12"/>
        <v/>
      </c>
      <c r="W48" t="str">
        <f t="shared" si="13"/>
        <v/>
      </c>
    </row>
    <row r="49">
      <c r="A49" s="164" t="s">
        <v>44</v>
      </c>
      <c r="B49" s="31">
        <v>46.0</v>
      </c>
      <c r="C49" s="35" t="s">
        <v>199</v>
      </c>
      <c r="D49" s="35" t="s">
        <v>14136</v>
      </c>
      <c r="E49" s="36" t="s">
        <v>49</v>
      </c>
      <c r="F49" s="791"/>
      <c r="G49" s="200"/>
      <c r="H49" s="31"/>
      <c r="L49" s="14" t="s">
        <v>14137</v>
      </c>
      <c r="M49" s="587" t="str">
        <f t="shared" si="1"/>
        <v>rep.hebl@legis.wisconsin.gov</v>
      </c>
      <c r="U49" t="str">
        <f t="shared" si="11"/>
        <v/>
      </c>
      <c r="V49" t="str">
        <f t="shared" si="12"/>
        <v/>
      </c>
      <c r="W49" t="str">
        <f t="shared" si="13"/>
        <v/>
      </c>
    </row>
    <row r="50">
      <c r="A50" s="164" t="s">
        <v>44</v>
      </c>
      <c r="B50" s="31">
        <v>47.0</v>
      </c>
      <c r="C50" s="35" t="s">
        <v>455</v>
      </c>
      <c r="D50" s="35" t="s">
        <v>3961</v>
      </c>
      <c r="E50" s="36" t="s">
        <v>49</v>
      </c>
      <c r="F50" s="791"/>
      <c r="G50" s="200"/>
      <c r="H50" s="31"/>
      <c r="L50" s="14" t="s">
        <v>14138</v>
      </c>
      <c r="M50" s="587" t="str">
        <f t="shared" si="1"/>
        <v>rep.anderson@legis.wisconsin.gov</v>
      </c>
      <c r="N50" s="14"/>
      <c r="U50" t="str">
        <f t="shared" si="11"/>
        <v/>
      </c>
      <c r="V50" t="str">
        <f t="shared" si="12"/>
        <v/>
      </c>
      <c r="W50" t="str">
        <f t="shared" si="13"/>
        <v/>
      </c>
    </row>
    <row r="51">
      <c r="A51" s="164" t="s">
        <v>44</v>
      </c>
      <c r="B51" s="31">
        <v>48.0</v>
      </c>
      <c r="C51" s="35" t="s">
        <v>1884</v>
      </c>
      <c r="D51" s="35" t="s">
        <v>14139</v>
      </c>
      <c r="E51" s="36" t="s">
        <v>49</v>
      </c>
      <c r="F51" s="791"/>
      <c r="G51" s="200"/>
      <c r="H51" s="31"/>
      <c r="K51" s="14" t="s">
        <v>14140</v>
      </c>
      <c r="L51" s="14" t="s">
        <v>14141</v>
      </c>
      <c r="M51" s="587" t="str">
        <f t="shared" si="1"/>
        <v>rep.sargent@legis.wisconsin.gov</v>
      </c>
      <c r="U51" t="str">
        <f t="shared" si="11"/>
        <v/>
      </c>
      <c r="V51" t="str">
        <f t="shared" si="12"/>
        <v/>
      </c>
      <c r="W51" t="str">
        <f t="shared" si="13"/>
        <v/>
      </c>
    </row>
    <row r="52">
      <c r="A52" s="164" t="s">
        <v>44</v>
      </c>
      <c r="B52" s="31">
        <v>49.0</v>
      </c>
      <c r="C52" s="35" t="s">
        <v>807</v>
      </c>
      <c r="D52" s="35" t="s">
        <v>14142</v>
      </c>
      <c r="E52" s="51" t="s">
        <v>53</v>
      </c>
      <c r="F52" s="791"/>
      <c r="G52" s="200"/>
      <c r="H52" s="31"/>
      <c r="L52" s="14" t="s">
        <v>14143</v>
      </c>
      <c r="M52" s="587" t="str">
        <f t="shared" si="1"/>
        <v>rep.tranel@legis.wisconsin.gov</v>
      </c>
      <c r="U52" t="str">
        <f t="shared" si="11"/>
        <v>Representative</v>
      </c>
      <c r="V52" t="str">
        <f t="shared" si="12"/>
        <v>Tranel</v>
      </c>
      <c r="W52" t="str">
        <f t="shared" si="13"/>
        <v>rep.tranel@legis.wisconsin.gov</v>
      </c>
    </row>
    <row r="53">
      <c r="A53" s="164" t="s">
        <v>44</v>
      </c>
      <c r="B53" s="31">
        <v>50.0</v>
      </c>
      <c r="C53" s="38" t="s">
        <v>980</v>
      </c>
      <c r="D53" s="38" t="s">
        <v>5412</v>
      </c>
      <c r="E53" s="51" t="s">
        <v>53</v>
      </c>
      <c r="F53" s="791"/>
      <c r="G53" s="200"/>
      <c r="H53" s="31"/>
      <c r="M53" s="587" t="str">
        <f t="shared" si="1"/>
        <v>rep.kurtz@legis.wisconsin.gov</v>
      </c>
      <c r="U53" t="str">
        <f t="shared" si="11"/>
        <v>Representative</v>
      </c>
      <c r="V53" t="str">
        <f t="shared" si="12"/>
        <v>Kurtz</v>
      </c>
      <c r="W53" t="str">
        <f t="shared" si="13"/>
        <v>rep.kurtz@legis.wisconsin.gov</v>
      </c>
    </row>
    <row r="54">
      <c r="A54" s="164" t="s">
        <v>44</v>
      </c>
      <c r="B54" s="31">
        <v>51.0</v>
      </c>
      <c r="C54" s="35" t="s">
        <v>1974</v>
      </c>
      <c r="D54" s="35" t="s">
        <v>14144</v>
      </c>
      <c r="E54" s="51" t="s">
        <v>53</v>
      </c>
      <c r="F54" s="791"/>
      <c r="G54" s="200"/>
      <c r="H54" s="31"/>
      <c r="L54" s="14" t="s">
        <v>14145</v>
      </c>
      <c r="M54" s="587" t="str">
        <f t="shared" si="1"/>
        <v>rep.novak@legis.wisconsin.gov</v>
      </c>
    </row>
    <row r="55">
      <c r="A55" s="164" t="s">
        <v>44</v>
      </c>
      <c r="B55" s="31">
        <v>52.0</v>
      </c>
      <c r="C55" s="35" t="s">
        <v>657</v>
      </c>
      <c r="D55" s="35" t="s">
        <v>14146</v>
      </c>
      <c r="E55" s="51" t="s">
        <v>53</v>
      </c>
      <c r="F55" s="791"/>
      <c r="G55" s="200"/>
      <c r="H55" s="31"/>
      <c r="L55" s="14" t="s">
        <v>14147</v>
      </c>
      <c r="M55" s="587" t="str">
        <f t="shared" si="1"/>
        <v>rep.thiesfeldt@legis.wisconsin.gov</v>
      </c>
      <c r="U55" t="str">
        <f t="shared" ref="U55:U71" si="14">if($E55="Rep","Representative","")</f>
        <v>Representative</v>
      </c>
      <c r="V55" t="str">
        <f t="shared" ref="V55:V71" si="15">if(E55="Rep",D55,"")</f>
        <v>Thiesfeldt</v>
      </c>
      <c r="W55" t="str">
        <f t="shared" ref="W55:W71" si="16">if($E55="Rep",M55,"")</f>
        <v>rep.thiesfeldt@legis.wisconsin.gov</v>
      </c>
    </row>
    <row r="56">
      <c r="A56" s="164" t="s">
        <v>44</v>
      </c>
      <c r="B56" s="31">
        <v>53.0</v>
      </c>
      <c r="C56" s="35" t="s">
        <v>2490</v>
      </c>
      <c r="D56" s="35" t="s">
        <v>14148</v>
      </c>
      <c r="E56" s="51" t="s">
        <v>53</v>
      </c>
      <c r="F56" s="791"/>
      <c r="G56" s="200"/>
      <c r="H56" s="31"/>
      <c r="L56" s="14" t="s">
        <v>14149</v>
      </c>
      <c r="M56" s="587" t="str">
        <f t="shared" si="1"/>
        <v>rep.schraa@legis.wisconsin.gov</v>
      </c>
      <c r="U56" t="str">
        <f t="shared" si="14"/>
        <v>Representative</v>
      </c>
      <c r="V56" t="str">
        <f t="shared" si="15"/>
        <v>Schraa</v>
      </c>
      <c r="W56" t="str">
        <f t="shared" si="16"/>
        <v>rep.schraa@legis.wisconsin.gov</v>
      </c>
    </row>
    <row r="57">
      <c r="A57" s="164" t="s">
        <v>44</v>
      </c>
      <c r="B57" s="31">
        <v>54.0</v>
      </c>
      <c r="C57" s="35" t="s">
        <v>4142</v>
      </c>
      <c r="D57" s="35" t="s">
        <v>14150</v>
      </c>
      <c r="E57" s="36" t="s">
        <v>49</v>
      </c>
      <c r="F57" s="793" t="s">
        <v>498</v>
      </c>
      <c r="G57" s="200"/>
      <c r="H57" s="31"/>
      <c r="L57" s="14" t="s">
        <v>14151</v>
      </c>
      <c r="M57" s="587" t="str">
        <f t="shared" si="1"/>
        <v>rep.hintz@legis.wisconsin.gov</v>
      </c>
      <c r="U57" t="str">
        <f t="shared" si="14"/>
        <v/>
      </c>
      <c r="V57" t="str">
        <f t="shared" si="15"/>
        <v/>
      </c>
      <c r="W57" t="str">
        <f t="shared" si="16"/>
        <v/>
      </c>
    </row>
    <row r="58">
      <c r="A58" s="164" t="s">
        <v>44</v>
      </c>
      <c r="B58" s="31">
        <v>55.0</v>
      </c>
      <c r="C58" s="35" t="s">
        <v>157</v>
      </c>
      <c r="D58" s="35" t="s">
        <v>14152</v>
      </c>
      <c r="E58" s="51" t="s">
        <v>53</v>
      </c>
      <c r="F58" s="791"/>
      <c r="G58" s="200"/>
      <c r="H58" s="31"/>
      <c r="L58" s="14" t="s">
        <v>14153</v>
      </c>
      <c r="M58" s="587" t="str">
        <f t="shared" si="1"/>
        <v>rep.rohrkaste@legis.wisconsin.gov</v>
      </c>
      <c r="U58" t="str">
        <f t="shared" si="14"/>
        <v>Representative</v>
      </c>
      <c r="V58" t="str">
        <f t="shared" si="15"/>
        <v>Rohrkaste</v>
      </c>
      <c r="W58" t="str">
        <f t="shared" si="16"/>
        <v>rep.rohrkaste@legis.wisconsin.gov</v>
      </c>
    </row>
    <row r="59">
      <c r="A59" s="164" t="s">
        <v>44</v>
      </c>
      <c r="B59" s="31">
        <v>56.0</v>
      </c>
      <c r="C59" s="35" t="s">
        <v>76</v>
      </c>
      <c r="D59" s="35" t="s">
        <v>3019</v>
      </c>
      <c r="E59" s="51" t="s">
        <v>53</v>
      </c>
      <c r="F59" s="791"/>
      <c r="G59" s="200"/>
      <c r="H59" s="31"/>
      <c r="L59" s="14" t="s">
        <v>14155</v>
      </c>
      <c r="M59" s="587" t="str">
        <f t="shared" si="1"/>
        <v>rep.murphy@legis.wisconsin.gov</v>
      </c>
      <c r="U59" t="str">
        <f t="shared" si="14"/>
        <v>Representative</v>
      </c>
      <c r="V59" t="str">
        <f t="shared" si="15"/>
        <v>Murphy</v>
      </c>
      <c r="W59" t="str">
        <f t="shared" si="16"/>
        <v>rep.murphy@legis.wisconsin.gov</v>
      </c>
    </row>
    <row r="60">
      <c r="A60" s="164" t="s">
        <v>44</v>
      </c>
      <c r="B60" s="31">
        <v>57.0</v>
      </c>
      <c r="C60" s="35" t="s">
        <v>5684</v>
      </c>
      <c r="D60" s="35" t="s">
        <v>14156</v>
      </c>
      <c r="E60" s="36" t="s">
        <v>49</v>
      </c>
      <c r="F60" s="791"/>
      <c r="G60" s="200"/>
      <c r="H60" s="31"/>
      <c r="L60" s="14" t="s">
        <v>14157</v>
      </c>
      <c r="M60" s="587" t="str">
        <f t="shared" si="1"/>
        <v>rep.stuck@legis.wisconsin.gov</v>
      </c>
      <c r="U60" t="str">
        <f t="shared" si="14"/>
        <v/>
      </c>
      <c r="V60" t="str">
        <f t="shared" si="15"/>
        <v/>
      </c>
      <c r="W60" t="str">
        <f t="shared" si="16"/>
        <v/>
      </c>
    </row>
    <row r="61">
      <c r="A61" s="164" t="s">
        <v>44</v>
      </c>
      <c r="B61" s="31">
        <v>58.0</v>
      </c>
      <c r="C61" s="74" t="s">
        <v>1291</v>
      </c>
      <c r="D61" s="74" t="s">
        <v>14158</v>
      </c>
      <c r="E61" s="51" t="s">
        <v>53</v>
      </c>
      <c r="F61" s="803"/>
      <c r="G61" s="200"/>
      <c r="H61" s="31"/>
      <c r="L61" s="14" t="s">
        <v>14159</v>
      </c>
      <c r="M61" s="587" t="str">
        <f t="shared" si="1"/>
        <v>rep.gundrum@legis.wisconsin.gov</v>
      </c>
      <c r="U61" t="str">
        <f t="shared" si="14"/>
        <v>Representative</v>
      </c>
      <c r="V61" t="str">
        <f t="shared" si="15"/>
        <v>Gundrum</v>
      </c>
      <c r="W61" t="str">
        <f t="shared" si="16"/>
        <v>rep.gundrum@legis.wisconsin.gov</v>
      </c>
    </row>
    <row r="62">
      <c r="A62" s="164" t="s">
        <v>44</v>
      </c>
      <c r="B62" s="31">
        <v>59.0</v>
      </c>
      <c r="C62" s="38" t="s">
        <v>2507</v>
      </c>
      <c r="D62" s="38" t="s">
        <v>14160</v>
      </c>
      <c r="E62" s="51" t="s">
        <v>53</v>
      </c>
      <c r="F62" s="791"/>
      <c r="G62" s="200"/>
      <c r="H62" s="31"/>
      <c r="M62" s="587" t="str">
        <f t="shared" si="1"/>
        <v>rep.ramthun@legis.wisconsin.gov</v>
      </c>
      <c r="U62" t="str">
        <f t="shared" si="14"/>
        <v>Representative</v>
      </c>
      <c r="V62" t="str">
        <f t="shared" si="15"/>
        <v>Ramthun</v>
      </c>
      <c r="W62" t="str">
        <f t="shared" si="16"/>
        <v>rep.ramthun@legis.wisconsin.gov</v>
      </c>
    </row>
    <row r="63">
      <c r="A63" s="164" t="s">
        <v>44</v>
      </c>
      <c r="B63" s="31">
        <v>60.0</v>
      </c>
      <c r="C63" s="35" t="s">
        <v>1134</v>
      </c>
      <c r="D63" s="35" t="s">
        <v>1141</v>
      </c>
      <c r="E63" s="51" t="s">
        <v>53</v>
      </c>
      <c r="F63" s="791"/>
      <c r="G63" s="200"/>
      <c r="H63" s="31"/>
      <c r="L63" s="14" t="s">
        <v>14169</v>
      </c>
      <c r="M63" s="587" t="str">
        <f t="shared" si="1"/>
        <v>rep.brooks@legis.wisconsin.gov</v>
      </c>
      <c r="U63" t="str">
        <f t="shared" si="14"/>
        <v>Representative</v>
      </c>
      <c r="V63" t="str">
        <f t="shared" si="15"/>
        <v>Brooks</v>
      </c>
      <c r="W63" t="str">
        <f t="shared" si="16"/>
        <v>rep.brooks@legis.wisconsin.gov</v>
      </c>
    </row>
    <row r="64">
      <c r="A64" s="164" t="s">
        <v>44</v>
      </c>
      <c r="B64" s="31">
        <v>61.0</v>
      </c>
      <c r="C64" s="35" t="s">
        <v>7810</v>
      </c>
      <c r="D64" s="35" t="s">
        <v>14178</v>
      </c>
      <c r="E64" s="51" t="s">
        <v>53</v>
      </c>
      <c r="F64" s="793"/>
      <c r="G64" s="200"/>
      <c r="H64" s="31"/>
      <c r="K64" s="14" t="s">
        <v>14179</v>
      </c>
      <c r="L64" s="14" t="s">
        <v>14180</v>
      </c>
      <c r="M64" s="587" t="str">
        <f t="shared" si="1"/>
        <v>rep.kerkman@legis.wisconsin.gov</v>
      </c>
      <c r="U64" t="str">
        <f t="shared" si="14"/>
        <v>Representative</v>
      </c>
      <c r="V64" t="str">
        <f t="shared" si="15"/>
        <v>Kerkman</v>
      </c>
      <c r="W64" t="str">
        <f t="shared" si="16"/>
        <v>rep.kerkman@legis.wisconsin.gov</v>
      </c>
    </row>
    <row r="65">
      <c r="A65" s="164" t="s">
        <v>44</v>
      </c>
      <c r="B65" s="31">
        <v>62.0</v>
      </c>
      <c r="C65" s="38" t="s">
        <v>1134</v>
      </c>
      <c r="D65" s="38" t="s">
        <v>14187</v>
      </c>
      <c r="E65" s="51" t="s">
        <v>53</v>
      </c>
      <c r="F65" s="791"/>
      <c r="G65" s="200"/>
      <c r="H65" s="31"/>
      <c r="M65" s="587" t="str">
        <f t="shared" si="1"/>
        <v>rep.wittke@legis.wisconsin.gov</v>
      </c>
      <c r="U65" t="str">
        <f t="shared" si="14"/>
        <v>Representative</v>
      </c>
      <c r="V65" t="str">
        <f t="shared" si="15"/>
        <v>Wittke</v>
      </c>
      <c r="W65" t="str">
        <f t="shared" si="16"/>
        <v>rep.wittke@legis.wisconsin.gov</v>
      </c>
    </row>
    <row r="66">
      <c r="A66" s="164" t="s">
        <v>44</v>
      </c>
      <c r="B66" s="31">
        <v>63.0</v>
      </c>
      <c r="C66" s="35" t="s">
        <v>1651</v>
      </c>
      <c r="D66" s="35" t="s">
        <v>14194</v>
      </c>
      <c r="E66" s="51" t="s">
        <v>53</v>
      </c>
      <c r="F66" s="793" t="s">
        <v>254</v>
      </c>
      <c r="G66" s="200"/>
      <c r="H66" s="31"/>
      <c r="K66" s="14" t="s">
        <v>14195</v>
      </c>
      <c r="L66" s="14" t="s">
        <v>14196</v>
      </c>
      <c r="M66" s="587" t="str">
        <f t="shared" si="1"/>
        <v>rep.vos@legis.wisconsin.gov</v>
      </c>
      <c r="U66" t="str">
        <f t="shared" si="14"/>
        <v>Representative</v>
      </c>
      <c r="V66" t="str">
        <f t="shared" si="15"/>
        <v>Vos</v>
      </c>
      <c r="W66" t="str">
        <f t="shared" si="16"/>
        <v>rep.vos@legis.wisconsin.gov</v>
      </c>
    </row>
    <row r="67">
      <c r="A67" s="164" t="s">
        <v>44</v>
      </c>
      <c r="B67" s="31">
        <v>64.0</v>
      </c>
      <c r="C67" s="35" t="s">
        <v>367</v>
      </c>
      <c r="D67" s="35" t="s">
        <v>14223</v>
      </c>
      <c r="E67" s="36" t="s">
        <v>49</v>
      </c>
      <c r="F67" s="791"/>
      <c r="G67" s="200"/>
      <c r="H67" s="31"/>
      <c r="L67" s="14" t="s">
        <v>14224</v>
      </c>
      <c r="M67" s="587" t="str">
        <f t="shared" si="1"/>
        <v>rep.barca@legis.wisconsin.gov</v>
      </c>
      <c r="U67" t="str">
        <f t="shared" si="14"/>
        <v/>
      </c>
      <c r="V67" t="str">
        <f t="shared" si="15"/>
        <v/>
      </c>
      <c r="W67" t="str">
        <f t="shared" si="16"/>
        <v/>
      </c>
    </row>
    <row r="68">
      <c r="A68" s="164" t="s">
        <v>44</v>
      </c>
      <c r="B68" s="31">
        <v>65.0</v>
      </c>
      <c r="C68" s="35" t="s">
        <v>14228</v>
      </c>
      <c r="D68" s="35" t="s">
        <v>14243</v>
      </c>
      <c r="E68" s="36" t="s">
        <v>49</v>
      </c>
      <c r="F68" s="791"/>
      <c r="G68" s="200"/>
      <c r="H68" s="31"/>
      <c r="L68" s="14" t="s">
        <v>14245</v>
      </c>
      <c r="M68" s="587" t="str">
        <f t="shared" si="1"/>
        <v>rep.ohnstad@legis.wisconsin.gov</v>
      </c>
      <c r="U68" t="str">
        <f t="shared" si="14"/>
        <v/>
      </c>
      <c r="V68" t="str">
        <f t="shared" si="15"/>
        <v/>
      </c>
      <c r="W68" t="str">
        <f t="shared" si="16"/>
        <v/>
      </c>
    </row>
    <row r="69">
      <c r="A69" s="164" t="s">
        <v>44</v>
      </c>
      <c r="B69" s="31">
        <v>66.0</v>
      </c>
      <c r="C69" s="35" t="s">
        <v>14248</v>
      </c>
      <c r="D69" s="35" t="s">
        <v>14268</v>
      </c>
      <c r="E69" s="36" t="s">
        <v>49</v>
      </c>
      <c r="F69" s="803"/>
      <c r="G69" s="200"/>
      <c r="H69" s="31"/>
      <c r="L69" s="14" t="s">
        <v>14272</v>
      </c>
      <c r="M69" s="587" t="str">
        <f t="shared" si="1"/>
        <v>rep.neubauer@legis.wisconsin.gov</v>
      </c>
      <c r="U69" t="str">
        <f t="shared" si="14"/>
        <v/>
      </c>
      <c r="V69" t="str">
        <f t="shared" si="15"/>
        <v/>
      </c>
      <c r="W69" t="str">
        <f t="shared" si="16"/>
        <v/>
      </c>
    </row>
    <row r="70">
      <c r="A70" s="164" t="s">
        <v>44</v>
      </c>
      <c r="B70" s="31">
        <v>67.0</v>
      </c>
      <c r="C70" s="35" t="s">
        <v>1476</v>
      </c>
      <c r="D70" s="35" t="s">
        <v>14314</v>
      </c>
      <c r="E70" s="51" t="s">
        <v>53</v>
      </c>
      <c r="F70" s="791"/>
      <c r="G70" s="200"/>
      <c r="H70" s="31"/>
      <c r="L70" s="14" t="s">
        <v>14317</v>
      </c>
      <c r="M70" s="587" t="str">
        <f t="shared" si="1"/>
        <v>rep.summerfield@legis.wisconsin.gov</v>
      </c>
      <c r="U70" t="str">
        <f t="shared" si="14"/>
        <v>Representative</v>
      </c>
      <c r="V70" t="str">
        <f t="shared" si="15"/>
        <v>Summerfield</v>
      </c>
      <c r="W70" t="str">
        <f t="shared" si="16"/>
        <v>rep.summerfield@legis.wisconsin.gov</v>
      </c>
    </row>
    <row r="71">
      <c r="A71" s="164" t="s">
        <v>44</v>
      </c>
      <c r="B71" s="31">
        <v>68.0</v>
      </c>
      <c r="C71" s="38" t="s">
        <v>386</v>
      </c>
      <c r="D71" s="38" t="s">
        <v>930</v>
      </c>
      <c r="E71" s="51" t="s">
        <v>53</v>
      </c>
      <c r="F71" s="791"/>
      <c r="G71" s="200"/>
      <c r="H71" s="31"/>
      <c r="M71" s="587" t="str">
        <f t="shared" si="1"/>
        <v>rep.james@legis.wisconsin.gov</v>
      </c>
      <c r="U71" t="str">
        <f t="shared" si="14"/>
        <v>Representative</v>
      </c>
      <c r="V71" t="str">
        <f t="shared" si="15"/>
        <v>James</v>
      </c>
      <c r="W71" t="str">
        <f t="shared" si="16"/>
        <v>rep.james@legis.wisconsin.gov</v>
      </c>
    </row>
    <row r="72">
      <c r="A72" s="164" t="s">
        <v>44</v>
      </c>
      <c r="B72" s="31">
        <v>69.0</v>
      </c>
      <c r="C72" s="35" t="s">
        <v>419</v>
      </c>
      <c r="D72" s="35" t="s">
        <v>14339</v>
      </c>
      <c r="E72" s="51" t="s">
        <v>53</v>
      </c>
      <c r="F72" s="791"/>
      <c r="G72" s="200"/>
      <c r="H72" s="31"/>
      <c r="L72" s="14" t="s">
        <v>14340</v>
      </c>
      <c r="M72" s="587" t="str">
        <f t="shared" si="1"/>
        <v>rep.kulp@legis.wisconsin.gov</v>
      </c>
    </row>
    <row r="73">
      <c r="A73" s="164" t="s">
        <v>44</v>
      </c>
      <c r="B73" s="31">
        <v>70.0</v>
      </c>
      <c r="C73" s="35" t="s">
        <v>123</v>
      </c>
      <c r="D73" s="35" t="s">
        <v>14358</v>
      </c>
      <c r="E73" s="51" t="s">
        <v>53</v>
      </c>
      <c r="F73" s="791"/>
      <c r="G73" s="200"/>
      <c r="H73" s="31"/>
      <c r="L73" s="14" t="s">
        <v>14360</v>
      </c>
      <c r="M73" s="587" t="str">
        <f t="shared" si="1"/>
        <v>rep.vandermeer@legis.wisconsin.gov</v>
      </c>
      <c r="U73" t="str">
        <f t="shared" ref="U73:U77" si="17">if($E73="Rep","Representative","")</f>
        <v>Representative</v>
      </c>
      <c r="V73" t="str">
        <f t="shared" ref="V73:V77" si="18">if(E73="Rep",D73,"")</f>
        <v>VanderMeer</v>
      </c>
      <c r="W73" t="str">
        <f t="shared" ref="W73:W77" si="19">if($E73="Rep",M73,"")</f>
        <v>rep.vandermeer@legis.wisconsin.gov</v>
      </c>
    </row>
    <row r="74">
      <c r="A74" s="164" t="s">
        <v>44</v>
      </c>
      <c r="B74" s="31">
        <v>71.0</v>
      </c>
      <c r="C74" s="35" t="s">
        <v>5695</v>
      </c>
      <c r="D74" s="35" t="s">
        <v>14392</v>
      </c>
      <c r="E74" s="36" t="s">
        <v>49</v>
      </c>
      <c r="F74" s="791"/>
      <c r="G74" s="200"/>
      <c r="H74" s="31"/>
      <c r="L74" s="14" t="s">
        <v>14394</v>
      </c>
      <c r="M74" s="587" t="str">
        <f t="shared" si="1"/>
        <v>rep.shankland@legis.wisconsin.gov</v>
      </c>
      <c r="U74" t="str">
        <f t="shared" si="17"/>
        <v/>
      </c>
      <c r="V74" t="str">
        <f t="shared" si="18"/>
        <v/>
      </c>
      <c r="W74" t="str">
        <f t="shared" si="19"/>
        <v/>
      </c>
    </row>
    <row r="75">
      <c r="A75" s="164" t="s">
        <v>44</v>
      </c>
      <c r="B75" s="31">
        <v>72.0</v>
      </c>
      <c r="C75" s="35" t="s">
        <v>45</v>
      </c>
      <c r="D75" s="35" t="s">
        <v>14398</v>
      </c>
      <c r="E75" s="51" t="s">
        <v>53</v>
      </c>
      <c r="F75" s="791"/>
      <c r="G75" s="200"/>
      <c r="H75" s="31"/>
      <c r="L75" s="14" t="s">
        <v>14399</v>
      </c>
      <c r="M75" s="587" t="str">
        <f t="shared" si="1"/>
        <v>rep.krug@legis.wisconsin.gov</v>
      </c>
      <c r="U75" t="str">
        <f t="shared" si="17"/>
        <v>Representative</v>
      </c>
      <c r="V75" t="str">
        <f t="shared" si="18"/>
        <v>Krug</v>
      </c>
      <c r="W75" t="str">
        <f t="shared" si="19"/>
        <v>rep.krug@legis.wisconsin.gov</v>
      </c>
    </row>
    <row r="76">
      <c r="A76" s="164" t="s">
        <v>44</v>
      </c>
      <c r="B76" s="31">
        <v>73.0</v>
      </c>
      <c r="C76" s="35" t="s">
        <v>3030</v>
      </c>
      <c r="D76" s="35" t="s">
        <v>14407</v>
      </c>
      <c r="E76" s="36" t="s">
        <v>49</v>
      </c>
      <c r="F76" s="791"/>
      <c r="G76" s="200"/>
      <c r="H76" s="31"/>
      <c r="L76" s="14" t="s">
        <v>14408</v>
      </c>
      <c r="M76" s="587" t="str">
        <f t="shared" si="1"/>
        <v>rep.milroy@legis.wisconsin.gov</v>
      </c>
      <c r="U76" t="str">
        <f t="shared" si="17"/>
        <v/>
      </c>
      <c r="V76" t="str">
        <f t="shared" si="18"/>
        <v/>
      </c>
      <c r="W76" t="str">
        <f t="shared" si="19"/>
        <v/>
      </c>
    </row>
    <row r="77">
      <c r="A77" s="164" t="s">
        <v>44</v>
      </c>
      <c r="B77" s="31">
        <v>74.0</v>
      </c>
      <c r="C77" s="35" t="s">
        <v>2842</v>
      </c>
      <c r="D77" s="35" t="s">
        <v>14411</v>
      </c>
      <c r="E77" s="36" t="s">
        <v>49</v>
      </c>
      <c r="F77" s="791"/>
      <c r="G77" s="200"/>
      <c r="H77" s="31"/>
      <c r="L77" s="14" t="s">
        <v>14412</v>
      </c>
      <c r="M77" s="587" t="str">
        <f t="shared" si="1"/>
        <v>rep.meyers@legis.wisconsin.gov</v>
      </c>
      <c r="U77" t="str">
        <f t="shared" si="17"/>
        <v/>
      </c>
      <c r="V77" t="str">
        <f t="shared" si="18"/>
        <v/>
      </c>
      <c r="W77" t="str">
        <f t="shared" si="19"/>
        <v/>
      </c>
    </row>
    <row r="78">
      <c r="A78" s="164" t="s">
        <v>44</v>
      </c>
      <c r="B78" s="31">
        <v>75.0</v>
      </c>
      <c r="C78" s="35" t="s">
        <v>14413</v>
      </c>
      <c r="D78" s="35" t="s">
        <v>10778</v>
      </c>
      <c r="E78" s="51" t="s">
        <v>53</v>
      </c>
      <c r="F78" s="793" t="s">
        <v>2012</v>
      </c>
      <c r="G78" s="200"/>
      <c r="H78" s="31"/>
      <c r="L78" s="14" t="s">
        <v>14417</v>
      </c>
      <c r="M78" s="587" t="str">
        <f t="shared" si="1"/>
        <v>rep.quinn@legis.wisconsin.gov</v>
      </c>
    </row>
    <row r="79">
      <c r="A79" s="164" t="s">
        <v>44</v>
      </c>
      <c r="B79" s="31">
        <v>76.0</v>
      </c>
      <c r="C79" s="35" t="s">
        <v>173</v>
      </c>
      <c r="D79" s="35" t="s">
        <v>4255</v>
      </c>
      <c r="E79" s="36" t="s">
        <v>49</v>
      </c>
      <c r="F79" s="791"/>
      <c r="G79" s="200"/>
      <c r="H79" s="31"/>
      <c r="L79" s="14" t="s">
        <v>14421</v>
      </c>
      <c r="M79" s="587" t="str">
        <f t="shared" si="1"/>
        <v>rep.taylor@legis.wisconsin.gov</v>
      </c>
      <c r="U79" t="str">
        <f t="shared" ref="U79:U102" si="20">if($E79="Rep","Representative","")</f>
        <v/>
      </c>
      <c r="V79" t="str">
        <f t="shared" ref="V79:V102" si="21">if(E79="Rep",D79,"")</f>
        <v/>
      </c>
      <c r="W79" t="str">
        <f t="shared" ref="W79:W102" si="22">if($E79="Rep",M79,"")</f>
        <v/>
      </c>
    </row>
    <row r="80">
      <c r="A80" s="164" t="s">
        <v>44</v>
      </c>
      <c r="B80" s="31">
        <v>77.0</v>
      </c>
      <c r="C80" s="38" t="s">
        <v>3432</v>
      </c>
      <c r="D80" s="38" t="s">
        <v>14424</v>
      </c>
      <c r="E80" s="36" t="s">
        <v>49</v>
      </c>
      <c r="F80" s="791"/>
      <c r="G80" s="200"/>
      <c r="H80" s="31"/>
      <c r="M80" s="587" t="str">
        <f t="shared" si="1"/>
        <v>rep.stubbs@legis.wisconsin.gov</v>
      </c>
      <c r="U80" t="str">
        <f t="shared" si="20"/>
        <v/>
      </c>
      <c r="V80" t="str">
        <f t="shared" si="21"/>
        <v/>
      </c>
      <c r="W80" t="str">
        <f t="shared" si="22"/>
        <v/>
      </c>
    </row>
    <row r="81">
      <c r="A81" s="164" t="s">
        <v>44</v>
      </c>
      <c r="B81" s="31">
        <v>78.0</v>
      </c>
      <c r="C81" s="35" t="s">
        <v>432</v>
      </c>
      <c r="D81" s="35" t="s">
        <v>14427</v>
      </c>
      <c r="E81" s="36" t="s">
        <v>49</v>
      </c>
      <c r="F81" s="791"/>
      <c r="G81" s="200"/>
      <c r="H81" s="31"/>
      <c r="L81" s="14" t="s">
        <v>14428</v>
      </c>
      <c r="M81" s="587" t="str">
        <f t="shared" si="1"/>
        <v>rep.subeck@legis.wisconsin.gov</v>
      </c>
      <c r="U81" t="str">
        <f t="shared" si="20"/>
        <v/>
      </c>
      <c r="V81" t="str">
        <f t="shared" si="21"/>
        <v/>
      </c>
      <c r="W81" t="str">
        <f t="shared" si="22"/>
        <v/>
      </c>
    </row>
    <row r="82">
      <c r="A82" s="164" t="s">
        <v>44</v>
      </c>
      <c r="B82" s="31">
        <v>79.0</v>
      </c>
      <c r="C82" s="35" t="s">
        <v>2359</v>
      </c>
      <c r="D82" s="35" t="s">
        <v>14431</v>
      </c>
      <c r="E82" s="36" t="s">
        <v>49</v>
      </c>
      <c r="F82" s="793" t="s">
        <v>1965</v>
      </c>
      <c r="G82" s="200"/>
      <c r="H82" s="31"/>
      <c r="L82" s="14" t="s">
        <v>14432</v>
      </c>
      <c r="M82" s="587" t="str">
        <f t="shared" si="1"/>
        <v>rep.hesselbein@legis.wisconsin.gov</v>
      </c>
      <c r="U82" t="str">
        <f t="shared" si="20"/>
        <v/>
      </c>
      <c r="V82" t="str">
        <f t="shared" si="21"/>
        <v/>
      </c>
      <c r="W82" t="str">
        <f t="shared" si="22"/>
        <v/>
      </c>
    </row>
    <row r="83">
      <c r="A83" s="164" t="s">
        <v>44</v>
      </c>
      <c r="B83" s="31">
        <v>80.0</v>
      </c>
      <c r="C83" s="35" t="s">
        <v>14433</v>
      </c>
      <c r="D83" s="35" t="s">
        <v>6013</v>
      </c>
      <c r="E83" s="36" t="s">
        <v>49</v>
      </c>
      <c r="F83" s="791"/>
      <c r="G83" s="200"/>
      <c r="H83" s="31"/>
      <c r="L83" s="14" t="s">
        <v>14441</v>
      </c>
      <c r="M83" s="587" t="str">
        <f t="shared" si="1"/>
        <v>rep.pope@legis.wisconsin.gov</v>
      </c>
      <c r="U83" t="str">
        <f t="shared" si="20"/>
        <v/>
      </c>
      <c r="V83" t="str">
        <f t="shared" si="21"/>
        <v/>
      </c>
      <c r="W83" t="str">
        <f t="shared" si="22"/>
        <v/>
      </c>
    </row>
    <row r="84">
      <c r="A84" s="164" t="s">
        <v>44</v>
      </c>
      <c r="B84" s="31">
        <v>81.0</v>
      </c>
      <c r="C84" s="35" t="s">
        <v>76</v>
      </c>
      <c r="D84" s="35" t="s">
        <v>7508</v>
      </c>
      <c r="E84" s="36" t="s">
        <v>49</v>
      </c>
      <c r="F84" s="791"/>
      <c r="G84" s="200"/>
      <c r="H84" s="31"/>
      <c r="L84" s="14" t="s">
        <v>14444</v>
      </c>
      <c r="M84" s="587" t="str">
        <f t="shared" si="1"/>
        <v>rep.considine@legis.wisconsin.gov</v>
      </c>
      <c r="U84" t="str">
        <f t="shared" si="20"/>
        <v/>
      </c>
      <c r="V84" t="str">
        <f t="shared" si="21"/>
        <v/>
      </c>
      <c r="W84" t="str">
        <f t="shared" si="22"/>
        <v/>
      </c>
    </row>
    <row r="85">
      <c r="A85" s="164" t="s">
        <v>44</v>
      </c>
      <c r="B85" s="31">
        <v>82.0</v>
      </c>
      <c r="C85" s="35" t="s">
        <v>1049</v>
      </c>
      <c r="D85" s="35" t="s">
        <v>14445</v>
      </c>
      <c r="E85" s="51" t="s">
        <v>53</v>
      </c>
      <c r="F85" s="791"/>
      <c r="G85" s="200"/>
      <c r="H85" s="31"/>
      <c r="L85" s="14" t="s">
        <v>14446</v>
      </c>
      <c r="M85" s="587" t="str">
        <f t="shared" si="1"/>
        <v>rep.skowronski@legis.wisconsin.gov</v>
      </c>
      <c r="U85" t="str">
        <f t="shared" si="20"/>
        <v>Representative</v>
      </c>
      <c r="V85" t="str">
        <f t="shared" si="21"/>
        <v>Skowronski</v>
      </c>
      <c r="W85" t="str">
        <f t="shared" si="22"/>
        <v>rep.skowronski@legis.wisconsin.gov</v>
      </c>
    </row>
    <row r="86">
      <c r="A86" s="164" t="s">
        <v>44</v>
      </c>
      <c r="B86" s="31">
        <v>83.0</v>
      </c>
      <c r="C86" s="35" t="s">
        <v>177</v>
      </c>
      <c r="D86" s="35" t="s">
        <v>14449</v>
      </c>
      <c r="E86" s="51" t="s">
        <v>53</v>
      </c>
      <c r="F86" s="791"/>
      <c r="G86" s="200"/>
      <c r="H86" s="31"/>
      <c r="L86" s="14" t="s">
        <v>14450</v>
      </c>
      <c r="M86" s="587" t="str">
        <f t="shared" si="1"/>
        <v>rep.wichgers@legis.wisconsin.gov</v>
      </c>
      <c r="U86" t="str">
        <f t="shared" si="20"/>
        <v>Representative</v>
      </c>
      <c r="V86" t="str">
        <f t="shared" si="21"/>
        <v>Wichgers</v>
      </c>
      <c r="W86" t="str">
        <f t="shared" si="22"/>
        <v>rep.wichgers@legis.wisconsin.gov</v>
      </c>
    </row>
    <row r="87">
      <c r="A87" s="164" t="s">
        <v>44</v>
      </c>
      <c r="B87" s="31">
        <v>84.0</v>
      </c>
      <c r="C87" s="35" t="s">
        <v>157</v>
      </c>
      <c r="D87" s="35" t="s">
        <v>14458</v>
      </c>
      <c r="E87" s="51" t="s">
        <v>53</v>
      </c>
      <c r="F87" s="791"/>
      <c r="G87" s="200"/>
      <c r="H87" s="31"/>
      <c r="L87" s="14" t="s">
        <v>14399</v>
      </c>
      <c r="M87" s="587" t="str">
        <f t="shared" si="1"/>
        <v>rep.kuglitsch@legis.wisconsin.gov</v>
      </c>
      <c r="U87" t="str">
        <f t="shared" si="20"/>
        <v>Representative</v>
      </c>
      <c r="V87" t="str">
        <f t="shared" si="21"/>
        <v>Kuglitsch</v>
      </c>
      <c r="W87" t="str">
        <f t="shared" si="22"/>
        <v>rep.kuglitsch@legis.wisconsin.gov</v>
      </c>
    </row>
    <row r="88">
      <c r="A88" s="164" t="s">
        <v>44</v>
      </c>
      <c r="B88" s="31">
        <v>85.0</v>
      </c>
      <c r="C88" s="35" t="s">
        <v>1914</v>
      </c>
      <c r="D88" s="35" t="s">
        <v>1754</v>
      </c>
      <c r="E88" s="51" t="s">
        <v>53</v>
      </c>
      <c r="F88" s="791"/>
      <c r="G88" s="200"/>
      <c r="H88" s="31"/>
      <c r="L88" s="14" t="s">
        <v>14462</v>
      </c>
      <c r="M88" s="587" t="str">
        <f t="shared" si="1"/>
        <v>rep.snyder@legis.wisconsin.gov</v>
      </c>
      <c r="U88" t="str">
        <f t="shared" si="20"/>
        <v>Representative</v>
      </c>
      <c r="V88" t="str">
        <f t="shared" si="21"/>
        <v>Snyder</v>
      </c>
      <c r="W88" t="str">
        <f t="shared" si="22"/>
        <v>rep.snyder@legis.wisconsin.gov</v>
      </c>
    </row>
    <row r="89">
      <c r="A89" s="164" t="s">
        <v>44</v>
      </c>
      <c r="B89" s="31">
        <v>86.0</v>
      </c>
      <c r="C89" s="35" t="s">
        <v>278</v>
      </c>
      <c r="D89" s="35" t="s">
        <v>14464</v>
      </c>
      <c r="E89" s="51" t="s">
        <v>53</v>
      </c>
      <c r="F89" s="791"/>
      <c r="G89" s="399" t="s">
        <v>974</v>
      </c>
      <c r="H89" s="31"/>
      <c r="L89" s="14" t="s">
        <v>14467</v>
      </c>
      <c r="M89" s="587" t="str">
        <f t="shared" si="1"/>
        <v>rep.spiros@legis.wisconsin.gov</v>
      </c>
      <c r="U89" t="str">
        <f t="shared" si="20"/>
        <v>Representative</v>
      </c>
      <c r="V89" t="str">
        <f t="shared" si="21"/>
        <v>Spiros</v>
      </c>
      <c r="W89" t="str">
        <f t="shared" si="22"/>
        <v>rep.spiros@legis.wisconsin.gov</v>
      </c>
    </row>
    <row r="90">
      <c r="A90" s="164" t="s">
        <v>44</v>
      </c>
      <c r="B90" s="31">
        <v>87.0</v>
      </c>
      <c r="C90" s="35" t="s">
        <v>930</v>
      </c>
      <c r="D90" s="35" t="s">
        <v>14471</v>
      </c>
      <c r="E90" s="51" t="s">
        <v>53</v>
      </c>
      <c r="F90" s="791"/>
      <c r="G90" s="200"/>
      <c r="H90" s="31"/>
      <c r="L90" s="14" t="s">
        <v>14473</v>
      </c>
      <c r="M90" s="587" t="str">
        <f t="shared" si="1"/>
        <v>rep.edming@legis.wisconsin.gov</v>
      </c>
      <c r="U90" t="str">
        <f t="shared" si="20"/>
        <v>Representative</v>
      </c>
      <c r="V90" t="str">
        <f t="shared" si="21"/>
        <v>Edming</v>
      </c>
      <c r="W90" t="str">
        <f t="shared" si="22"/>
        <v>rep.edming@legis.wisconsin.gov</v>
      </c>
    </row>
    <row r="91">
      <c r="A91" s="164" t="s">
        <v>44</v>
      </c>
      <c r="B91" s="31">
        <v>88.0</v>
      </c>
      <c r="C91" s="35" t="s">
        <v>278</v>
      </c>
      <c r="D91" s="35" t="s">
        <v>14476</v>
      </c>
      <c r="E91" s="51" t="s">
        <v>53</v>
      </c>
      <c r="F91" s="791"/>
      <c r="G91" s="200"/>
      <c r="H91" s="31"/>
      <c r="L91" s="14" t="s">
        <v>14478</v>
      </c>
      <c r="M91" s="587" t="str">
        <f t="shared" si="1"/>
        <v>rep.macco@legis.wisconsin.gov</v>
      </c>
      <c r="U91" t="str">
        <f t="shared" si="20"/>
        <v>Representative</v>
      </c>
      <c r="V91" t="str">
        <f t="shared" si="21"/>
        <v>Macco</v>
      </c>
      <c r="W91" t="str">
        <f t="shared" si="22"/>
        <v>rep.macco@legis.wisconsin.gov</v>
      </c>
    </row>
    <row r="92">
      <c r="A92" s="164" t="s">
        <v>44</v>
      </c>
      <c r="B92" s="31">
        <v>89.0</v>
      </c>
      <c r="C92" s="35" t="s">
        <v>278</v>
      </c>
      <c r="D92" s="35" t="s">
        <v>14484</v>
      </c>
      <c r="E92" s="51" t="s">
        <v>53</v>
      </c>
      <c r="F92" s="791"/>
      <c r="G92" s="200"/>
      <c r="H92" s="31"/>
      <c r="L92" s="14" t="s">
        <v>14485</v>
      </c>
      <c r="M92" s="587" t="str">
        <f t="shared" si="1"/>
        <v>rep.nygren@legis.wisconsin.gov</v>
      </c>
      <c r="U92" t="str">
        <f t="shared" si="20"/>
        <v>Representative</v>
      </c>
      <c r="V92" t="str">
        <f t="shared" si="21"/>
        <v>Nygren</v>
      </c>
      <c r="W92" t="str">
        <f t="shared" si="22"/>
        <v>rep.nygren@legis.wisconsin.gov</v>
      </c>
    </row>
    <row r="93">
      <c r="A93" s="164" t="s">
        <v>44</v>
      </c>
      <c r="B93" s="31">
        <v>90.0</v>
      </c>
      <c r="C93" s="38" t="s">
        <v>14486</v>
      </c>
      <c r="D93" s="38" t="s">
        <v>14487</v>
      </c>
      <c r="E93" s="36" t="s">
        <v>49</v>
      </c>
      <c r="F93" s="791"/>
      <c r="G93" s="200"/>
      <c r="H93" s="31"/>
      <c r="M93" s="587" t="str">
        <f t="shared" si="1"/>
        <v>rep.gruszynski@legis.wisconsin.gov</v>
      </c>
      <c r="U93" t="str">
        <f t="shared" si="20"/>
        <v/>
      </c>
      <c r="V93" t="str">
        <f t="shared" si="21"/>
        <v/>
      </c>
      <c r="W93" t="str">
        <f t="shared" si="22"/>
        <v/>
      </c>
    </row>
    <row r="94">
      <c r="A94" s="164" t="s">
        <v>44</v>
      </c>
      <c r="B94" s="31">
        <v>91.0</v>
      </c>
      <c r="C94" s="38" t="s">
        <v>3794</v>
      </c>
      <c r="D94" s="38" t="s">
        <v>5830</v>
      </c>
      <c r="E94" s="36" t="s">
        <v>49</v>
      </c>
      <c r="F94" s="791"/>
      <c r="G94" s="200"/>
      <c r="H94" s="31"/>
      <c r="M94" s="587" t="str">
        <f t="shared" si="1"/>
        <v>rep.emerson@legis.wisconsin.gov</v>
      </c>
      <c r="U94" t="str">
        <f t="shared" si="20"/>
        <v/>
      </c>
      <c r="V94" t="str">
        <f t="shared" si="21"/>
        <v/>
      </c>
      <c r="W94" t="str">
        <f t="shared" si="22"/>
        <v/>
      </c>
    </row>
    <row r="95">
      <c r="A95" s="164" t="s">
        <v>44</v>
      </c>
      <c r="B95" s="31">
        <v>92.0</v>
      </c>
      <c r="C95" s="35" t="s">
        <v>14489</v>
      </c>
      <c r="D95" s="35" t="s">
        <v>14491</v>
      </c>
      <c r="E95" s="51" t="s">
        <v>53</v>
      </c>
      <c r="F95" s="791"/>
      <c r="G95" s="200"/>
      <c r="H95" s="31"/>
      <c r="L95" s="14" t="s">
        <v>14492</v>
      </c>
      <c r="M95" s="587" t="str">
        <f t="shared" si="1"/>
        <v>rep.pronschinske@legis.wisconsin.gov</v>
      </c>
      <c r="U95" t="str">
        <f t="shared" si="20"/>
        <v>Representative</v>
      </c>
      <c r="V95" t="str">
        <f t="shared" si="21"/>
        <v>Pronschinske</v>
      </c>
      <c r="W95" t="str">
        <f t="shared" si="22"/>
        <v>rep.pronschinske@legis.wisconsin.gov</v>
      </c>
    </row>
    <row r="96">
      <c r="A96" s="164" t="s">
        <v>44</v>
      </c>
      <c r="B96" s="31">
        <v>93.0</v>
      </c>
      <c r="C96" s="35" t="s">
        <v>646</v>
      </c>
      <c r="D96" s="35" t="s">
        <v>14497</v>
      </c>
      <c r="E96" s="51" t="s">
        <v>53</v>
      </c>
      <c r="F96" s="791"/>
      <c r="G96" s="200"/>
      <c r="H96" s="31"/>
      <c r="L96" s="14" t="s">
        <v>14498</v>
      </c>
      <c r="M96" s="587" t="str">
        <f t="shared" si="1"/>
        <v>rep.petryk@legis.wisconsin.gov</v>
      </c>
      <c r="U96" t="str">
        <f t="shared" si="20"/>
        <v>Representative</v>
      </c>
      <c r="V96" t="str">
        <f t="shared" si="21"/>
        <v>Petryk</v>
      </c>
      <c r="W96" t="str">
        <f t="shared" si="22"/>
        <v>rep.petryk@legis.wisconsin.gov</v>
      </c>
    </row>
    <row r="97">
      <c r="A97" s="164" t="s">
        <v>44</v>
      </c>
      <c r="B97" s="31">
        <v>94.0</v>
      </c>
      <c r="C97" s="35" t="s">
        <v>55</v>
      </c>
      <c r="D97" s="35" t="s">
        <v>11216</v>
      </c>
      <c r="E97" s="36" t="s">
        <v>49</v>
      </c>
      <c r="F97" s="793" t="s">
        <v>12826</v>
      </c>
      <c r="G97" s="200"/>
      <c r="H97" s="31"/>
      <c r="L97" s="14" t="s">
        <v>14502</v>
      </c>
      <c r="M97" s="587" t="str">
        <f t="shared" si="1"/>
        <v>rep.doyle@legis.wisconsin.gov</v>
      </c>
      <c r="U97" t="str">
        <f t="shared" si="20"/>
        <v/>
      </c>
      <c r="V97" t="str">
        <f t="shared" si="21"/>
        <v/>
      </c>
      <c r="W97" t="str">
        <f t="shared" si="22"/>
        <v/>
      </c>
    </row>
    <row r="98">
      <c r="A98" s="164" t="s">
        <v>44</v>
      </c>
      <c r="B98" s="31">
        <v>95.0</v>
      </c>
      <c r="C98" s="35" t="s">
        <v>6555</v>
      </c>
      <c r="D98" s="35" t="s">
        <v>14510</v>
      </c>
      <c r="E98" s="36" t="s">
        <v>49</v>
      </c>
      <c r="F98" s="791"/>
      <c r="G98" s="200"/>
      <c r="H98" s="31"/>
      <c r="L98" s="14" t="s">
        <v>14511</v>
      </c>
      <c r="M98" s="587" t="str">
        <f t="shared" si="1"/>
        <v>rep.billings@legis.wisconsin.gov</v>
      </c>
      <c r="U98" t="str">
        <f t="shared" si="20"/>
        <v/>
      </c>
      <c r="V98" t="str">
        <f t="shared" si="21"/>
        <v/>
      </c>
      <c r="W98" t="str">
        <f t="shared" si="22"/>
        <v/>
      </c>
    </row>
    <row r="99">
      <c r="A99" s="164" t="s">
        <v>44</v>
      </c>
      <c r="B99" s="31">
        <v>96.0</v>
      </c>
      <c r="C99" s="38" t="s">
        <v>14513</v>
      </c>
      <c r="D99" s="38" t="s">
        <v>14514</v>
      </c>
      <c r="E99" s="51" t="s">
        <v>53</v>
      </c>
      <c r="F99" s="791"/>
      <c r="G99" s="200"/>
      <c r="H99" s="31"/>
      <c r="M99" s="587" t="str">
        <f t="shared" si="1"/>
        <v>rep.oldenberg@legis.wisconsin.gov</v>
      </c>
      <c r="U99" t="str">
        <f t="shared" si="20"/>
        <v>Representative</v>
      </c>
      <c r="V99" t="str">
        <f t="shared" si="21"/>
        <v>Oldenberg</v>
      </c>
      <c r="W99" t="str">
        <f t="shared" si="22"/>
        <v>rep.oldenberg@legis.wisconsin.gov</v>
      </c>
    </row>
    <row r="100">
      <c r="A100" s="164" t="s">
        <v>44</v>
      </c>
      <c r="B100" s="31">
        <v>97.0</v>
      </c>
      <c r="C100" s="35" t="s">
        <v>45</v>
      </c>
      <c r="D100" s="35" t="s">
        <v>241</v>
      </c>
      <c r="E100" s="51" t="s">
        <v>53</v>
      </c>
      <c r="F100" s="791"/>
      <c r="G100" s="200"/>
      <c r="H100" s="31"/>
      <c r="K100" s="14" t="s">
        <v>14523</v>
      </c>
      <c r="L100" s="14" t="s">
        <v>14524</v>
      </c>
      <c r="M100" s="587" t="str">
        <f t="shared" si="1"/>
        <v>rep.allen@legis.wisconsin.gov</v>
      </c>
      <c r="U100" t="str">
        <f t="shared" si="20"/>
        <v>Representative</v>
      </c>
      <c r="V100" t="str">
        <f t="shared" si="21"/>
        <v>Allen</v>
      </c>
      <c r="W100" t="str">
        <f t="shared" si="22"/>
        <v>rep.allen@legis.wisconsin.gov</v>
      </c>
    </row>
    <row r="101">
      <c r="A101" s="164" t="s">
        <v>44</v>
      </c>
      <c r="B101" s="31">
        <v>98.0</v>
      </c>
      <c r="C101" s="35" t="s">
        <v>69</v>
      </c>
      <c r="D101" s="35" t="s">
        <v>14538</v>
      </c>
      <c r="E101" s="51" t="s">
        <v>53</v>
      </c>
      <c r="F101" s="791"/>
      <c r="G101" s="200"/>
      <c r="H101" s="31"/>
      <c r="L101" s="14" t="s">
        <v>14539</v>
      </c>
      <c r="M101" s="587" t="str">
        <f t="shared" si="1"/>
        <v>rep.neylon@legis.wisconsin.gov</v>
      </c>
      <c r="U101" t="str">
        <f t="shared" si="20"/>
        <v>Representative</v>
      </c>
      <c r="V101" t="str">
        <f t="shared" si="21"/>
        <v>Neylon</v>
      </c>
      <c r="W101" t="str">
        <f t="shared" si="22"/>
        <v>rep.neylon@legis.wisconsin.gov</v>
      </c>
    </row>
    <row r="102">
      <c r="A102" s="164" t="s">
        <v>44</v>
      </c>
      <c r="B102" s="31">
        <v>99.0</v>
      </c>
      <c r="C102" s="35" t="s">
        <v>14542</v>
      </c>
      <c r="D102" s="35" t="s">
        <v>14551</v>
      </c>
      <c r="E102" s="51" t="s">
        <v>53</v>
      </c>
      <c r="F102" s="791"/>
      <c r="G102" s="200"/>
      <c r="H102" s="31"/>
      <c r="L102" s="14" t="s">
        <v>14554</v>
      </c>
      <c r="M102" s="587" t="str">
        <f t="shared" si="1"/>
        <v>rep.duchow@legis.wisconsin.gov</v>
      </c>
      <c r="U102" t="str">
        <f t="shared" si="20"/>
        <v>Representative</v>
      </c>
      <c r="V102" t="str">
        <f t="shared" si="21"/>
        <v>Duchow</v>
      </c>
      <c r="W102" t="str">
        <f t="shared" si="22"/>
        <v>rep.duchow@legis.wisconsin.gov</v>
      </c>
    </row>
    <row r="103">
      <c r="A103" s="286"/>
      <c r="B103" s="70"/>
      <c r="C103" s="71"/>
      <c r="D103" s="71"/>
      <c r="E103" s="70"/>
      <c r="F103" s="184"/>
      <c r="G103" s="70"/>
      <c r="H103" s="70"/>
      <c r="I103" s="70"/>
      <c r="J103" s="70"/>
      <c r="K103" s="70"/>
      <c r="L103" s="70"/>
      <c r="M103" s="604"/>
      <c r="N103" s="70"/>
      <c r="O103" s="70"/>
      <c r="P103" s="70"/>
      <c r="Q103" s="70"/>
      <c r="R103" s="70"/>
      <c r="S103" s="70"/>
      <c r="T103" s="70"/>
      <c r="Y103" s="70"/>
      <c r="Z103" s="70"/>
      <c r="AA103" s="70"/>
      <c r="AB103" s="70"/>
      <c r="AC103" s="70"/>
    </row>
    <row r="104">
      <c r="A104" s="164" t="s">
        <v>286</v>
      </c>
      <c r="B104" s="45">
        <v>1.0</v>
      </c>
      <c r="C104" s="38" t="s">
        <v>2734</v>
      </c>
      <c r="D104" s="38" t="s">
        <v>14560</v>
      </c>
      <c r="E104" s="51" t="s">
        <v>53</v>
      </c>
      <c r="F104" s="15"/>
      <c r="G104" s="31"/>
      <c r="H104" s="31"/>
      <c r="I104" s="31"/>
      <c r="K104" s="395" t="s">
        <v>14561</v>
      </c>
      <c r="M104" s="587" t="str">
        <f t="shared" ref="M104:M136" si="23">Concatenate("sen.",lower(D104),"@legis.wisconsin.gov")</f>
        <v>sen.jacque@legis.wisconsin.gov</v>
      </c>
      <c r="U104" t="str">
        <f t="shared" ref="U104:U126" si="24">if($E104="Rep","Senator","")</f>
        <v>Senator</v>
      </c>
      <c r="V104" t="str">
        <f t="shared" ref="V104:V126" si="25">if(E104="Rep",D104,"")</f>
        <v>Jacque</v>
      </c>
      <c r="W104" t="str">
        <f t="shared" ref="W104:W126" si="26">if($E104="Rep",M104,"")</f>
        <v>sen.jacque@legis.wisconsin.gov</v>
      </c>
    </row>
    <row r="105">
      <c r="A105" s="164" t="s">
        <v>286</v>
      </c>
      <c r="B105" s="45">
        <v>2.0</v>
      </c>
      <c r="C105" s="35" t="s">
        <v>1134</v>
      </c>
      <c r="D105" s="35" t="s">
        <v>13807</v>
      </c>
      <c r="E105" s="51" t="s">
        <v>53</v>
      </c>
      <c r="F105" s="15"/>
      <c r="G105" s="31"/>
      <c r="H105" s="31"/>
      <c r="I105" s="31"/>
      <c r="K105" s="395" t="s">
        <v>14588</v>
      </c>
      <c r="L105" s="14" t="s">
        <v>14594</v>
      </c>
      <c r="M105" s="587" t="str">
        <f t="shared" si="23"/>
        <v>sen.cowles@legis.wisconsin.gov</v>
      </c>
      <c r="U105" t="str">
        <f t="shared" si="24"/>
        <v>Senator</v>
      </c>
      <c r="V105" t="str">
        <f t="shared" si="25"/>
        <v>Cowles</v>
      </c>
      <c r="W105" t="str">
        <f t="shared" si="26"/>
        <v>sen.cowles@legis.wisconsin.gov</v>
      </c>
    </row>
    <row r="106">
      <c r="A106" s="164" t="s">
        <v>286</v>
      </c>
      <c r="B106" s="45">
        <v>3.0</v>
      </c>
      <c r="C106" s="35" t="s">
        <v>225</v>
      </c>
      <c r="D106" s="35" t="s">
        <v>196</v>
      </c>
      <c r="E106" s="36" t="s">
        <v>49</v>
      </c>
      <c r="F106" s="15"/>
      <c r="G106" s="31"/>
      <c r="H106" s="31"/>
      <c r="I106" s="31"/>
      <c r="L106" s="14" t="s">
        <v>14603</v>
      </c>
      <c r="M106" s="587" t="str">
        <f t="shared" si="23"/>
        <v>sen.carpenter@legis.wisconsin.gov</v>
      </c>
      <c r="U106" t="str">
        <f t="shared" si="24"/>
        <v/>
      </c>
      <c r="V106" t="str">
        <f t="shared" si="25"/>
        <v/>
      </c>
      <c r="W106" t="str">
        <f t="shared" si="26"/>
        <v/>
      </c>
    </row>
    <row r="107">
      <c r="A107" s="164" t="s">
        <v>286</v>
      </c>
      <c r="B107" s="45">
        <v>4.0</v>
      </c>
      <c r="C107" s="35" t="s">
        <v>14615</v>
      </c>
      <c r="D107" s="35" t="s">
        <v>4255</v>
      </c>
      <c r="E107" s="36" t="s">
        <v>49</v>
      </c>
      <c r="F107" s="15"/>
      <c r="G107" s="31"/>
      <c r="H107" s="31"/>
      <c r="I107" s="31"/>
      <c r="L107" s="14" t="s">
        <v>14629</v>
      </c>
      <c r="M107" s="587" t="str">
        <f t="shared" si="23"/>
        <v>sen.taylor@legis.wisconsin.gov</v>
      </c>
      <c r="U107" t="str">
        <f t="shared" si="24"/>
        <v/>
      </c>
      <c r="V107" t="str">
        <f t="shared" si="25"/>
        <v/>
      </c>
      <c r="W107" t="str">
        <f t="shared" si="26"/>
        <v/>
      </c>
    </row>
    <row r="108">
      <c r="A108" s="164" t="s">
        <v>286</v>
      </c>
      <c r="B108" s="45">
        <v>5.0</v>
      </c>
      <c r="C108" s="38" t="s">
        <v>3296</v>
      </c>
      <c r="D108" s="38" t="s">
        <v>14650</v>
      </c>
      <c r="E108" s="51" t="s">
        <v>53</v>
      </c>
      <c r="G108" s="164" t="s">
        <v>1264</v>
      </c>
      <c r="H108" s="164" t="s">
        <v>2796</v>
      </c>
      <c r="I108" s="164" t="s">
        <v>14651</v>
      </c>
      <c r="L108" s="820"/>
      <c r="M108" s="587" t="str">
        <f t="shared" si="23"/>
        <v>sen.kooyenga@legis.wisconsin.gov</v>
      </c>
      <c r="U108" t="str">
        <f t="shared" si="24"/>
        <v>Senator</v>
      </c>
      <c r="V108" t="str">
        <f t="shared" si="25"/>
        <v>Kooyenga</v>
      </c>
      <c r="W108" t="str">
        <f t="shared" si="26"/>
        <v>sen.kooyenga@legis.wisconsin.gov</v>
      </c>
    </row>
    <row r="109">
      <c r="A109" s="164" t="s">
        <v>286</v>
      </c>
      <c r="B109" s="45">
        <v>6.0</v>
      </c>
      <c r="C109" s="38" t="s">
        <v>14660</v>
      </c>
      <c r="D109" s="35" t="s">
        <v>118</v>
      </c>
      <c r="E109" s="36" t="s">
        <v>49</v>
      </c>
      <c r="F109" s="15"/>
      <c r="G109" s="31"/>
      <c r="H109" s="31"/>
      <c r="I109" s="31"/>
      <c r="L109" s="14" t="s">
        <v>14661</v>
      </c>
      <c r="M109" s="587" t="str">
        <f t="shared" si="23"/>
        <v>sen.johnson@legis.wisconsin.gov</v>
      </c>
      <c r="U109" t="str">
        <f t="shared" si="24"/>
        <v/>
      </c>
      <c r="V109" t="str">
        <f t="shared" si="25"/>
        <v/>
      </c>
      <c r="W109" t="str">
        <f t="shared" si="26"/>
        <v/>
      </c>
    </row>
    <row r="110">
      <c r="A110" s="164" t="s">
        <v>286</v>
      </c>
      <c r="B110" s="45">
        <v>7.0</v>
      </c>
      <c r="C110" s="35" t="s">
        <v>173</v>
      </c>
      <c r="D110" s="35" t="s">
        <v>1780</v>
      </c>
      <c r="E110" s="36" t="s">
        <v>49</v>
      </c>
      <c r="F110" s="15"/>
      <c r="G110" s="31"/>
      <c r="H110" s="31"/>
      <c r="I110" s="31"/>
      <c r="L110" s="14" t="s">
        <v>14662</v>
      </c>
      <c r="M110" s="587" t="str">
        <f t="shared" si="23"/>
        <v>sen.larson@legis.wisconsin.gov</v>
      </c>
      <c r="U110" t="str">
        <f t="shared" si="24"/>
        <v/>
      </c>
      <c r="V110" t="str">
        <f t="shared" si="25"/>
        <v/>
      </c>
      <c r="W110" t="str">
        <f t="shared" si="26"/>
        <v/>
      </c>
    </row>
    <row r="111">
      <c r="A111" s="164" t="s">
        <v>286</v>
      </c>
      <c r="B111" s="45">
        <v>8.0</v>
      </c>
      <c r="C111" s="35" t="s">
        <v>14663</v>
      </c>
      <c r="D111" s="35" t="s">
        <v>14664</v>
      </c>
      <c r="E111" s="51" t="s">
        <v>53</v>
      </c>
      <c r="F111" s="15"/>
      <c r="G111" s="31"/>
      <c r="H111" s="31"/>
      <c r="I111" s="31"/>
      <c r="K111" s="14" t="s">
        <v>14665</v>
      </c>
      <c r="L111" s="14" t="s">
        <v>14666</v>
      </c>
      <c r="M111" s="587" t="str">
        <f t="shared" si="23"/>
        <v>sen.darling@legis.wisconsin.gov</v>
      </c>
      <c r="U111" t="str">
        <f t="shared" si="24"/>
        <v>Senator</v>
      </c>
      <c r="V111" t="str">
        <f t="shared" si="25"/>
        <v>Darling</v>
      </c>
      <c r="W111" t="str">
        <f t="shared" si="26"/>
        <v>sen.darling@legis.wisconsin.gov</v>
      </c>
    </row>
    <row r="112">
      <c r="A112" s="164" t="s">
        <v>286</v>
      </c>
      <c r="B112" s="45">
        <v>9.0</v>
      </c>
      <c r="C112" s="35" t="s">
        <v>2312</v>
      </c>
      <c r="D112" s="35" t="s">
        <v>14667</v>
      </c>
      <c r="E112" s="51" t="s">
        <v>53</v>
      </c>
      <c r="F112" s="15"/>
      <c r="G112" s="31"/>
      <c r="H112" s="31"/>
      <c r="I112" s="31"/>
      <c r="K112" s="14" t="s">
        <v>14668</v>
      </c>
      <c r="L112" s="14" t="s">
        <v>14669</v>
      </c>
      <c r="M112" s="587" t="str">
        <f t="shared" si="23"/>
        <v>sen.lemahieu@legis.wisconsin.gov</v>
      </c>
      <c r="U112" t="str">
        <f t="shared" si="24"/>
        <v>Senator</v>
      </c>
      <c r="V112" t="str">
        <f t="shared" si="25"/>
        <v>LeMahieu</v>
      </c>
      <c r="W112" t="str">
        <f t="shared" si="26"/>
        <v>sen.lemahieu@legis.wisconsin.gov</v>
      </c>
    </row>
    <row r="113">
      <c r="A113" s="164" t="s">
        <v>286</v>
      </c>
      <c r="B113" s="45">
        <v>10.0</v>
      </c>
      <c r="C113" s="35" t="s">
        <v>3923</v>
      </c>
      <c r="D113" s="35" t="s">
        <v>14670</v>
      </c>
      <c r="E113" s="36" t="s">
        <v>49</v>
      </c>
      <c r="F113" s="15"/>
      <c r="G113" s="31"/>
      <c r="H113" s="31"/>
      <c r="I113" s="31"/>
      <c r="L113" s="14" t="s">
        <v>14671</v>
      </c>
      <c r="M113" s="587" t="str">
        <f t="shared" si="23"/>
        <v>sen.schachtner@legis.wisconsin.gov</v>
      </c>
      <c r="U113" t="str">
        <f t="shared" si="24"/>
        <v/>
      </c>
      <c r="V113" t="str">
        <f t="shared" si="25"/>
        <v/>
      </c>
      <c r="W113" t="str">
        <f t="shared" si="26"/>
        <v/>
      </c>
    </row>
    <row r="114">
      <c r="A114" s="164" t="s">
        <v>286</v>
      </c>
      <c r="B114" s="45">
        <v>11.0</v>
      </c>
      <c r="C114" s="35" t="s">
        <v>1505</v>
      </c>
      <c r="D114" s="35" t="s">
        <v>14672</v>
      </c>
      <c r="E114" s="51" t="s">
        <v>53</v>
      </c>
      <c r="F114" s="15"/>
      <c r="G114" s="31"/>
      <c r="H114" s="31"/>
      <c r="I114" s="31"/>
      <c r="L114" s="14" t="s">
        <v>14673</v>
      </c>
      <c r="M114" s="587" t="str">
        <f t="shared" si="23"/>
        <v>sen.nass@legis.wisconsin.gov</v>
      </c>
      <c r="U114" t="str">
        <f t="shared" si="24"/>
        <v>Senator</v>
      </c>
      <c r="V114" t="str">
        <f t="shared" si="25"/>
        <v>Nass</v>
      </c>
      <c r="W114" t="str">
        <f t="shared" si="26"/>
        <v>sen.nass@legis.wisconsin.gov</v>
      </c>
    </row>
    <row r="115">
      <c r="A115" s="164" t="s">
        <v>286</v>
      </c>
      <c r="B115" s="45">
        <v>12.0</v>
      </c>
      <c r="C115" s="35" t="s">
        <v>338</v>
      </c>
      <c r="D115" s="35" t="s">
        <v>258</v>
      </c>
      <c r="E115" s="51" t="s">
        <v>53</v>
      </c>
      <c r="F115" s="15"/>
      <c r="G115" s="31"/>
      <c r="H115" s="31"/>
      <c r="I115" s="31"/>
      <c r="L115" s="14" t="s">
        <v>14674</v>
      </c>
      <c r="M115" s="587" t="str">
        <f t="shared" si="23"/>
        <v>sen.tiffany@legis.wisconsin.gov</v>
      </c>
      <c r="U115" t="str">
        <f t="shared" si="24"/>
        <v>Senator</v>
      </c>
      <c r="V115" t="str">
        <f t="shared" si="25"/>
        <v>Tiffany</v>
      </c>
      <c r="W115" t="str">
        <f t="shared" si="26"/>
        <v>sen.tiffany@legis.wisconsin.gov</v>
      </c>
    </row>
    <row r="116">
      <c r="A116" s="164" t="s">
        <v>286</v>
      </c>
      <c r="B116" s="45">
        <v>13.0</v>
      </c>
      <c r="C116" s="35" t="s">
        <v>45</v>
      </c>
      <c r="D116" s="35" t="s">
        <v>5399</v>
      </c>
      <c r="E116" s="51" t="s">
        <v>53</v>
      </c>
      <c r="F116" s="12" t="s">
        <v>176</v>
      </c>
      <c r="G116" s="164" t="s">
        <v>14675</v>
      </c>
      <c r="H116" s="164" t="s">
        <v>14676</v>
      </c>
      <c r="I116" s="164" t="s">
        <v>14677</v>
      </c>
      <c r="L116" s="14" t="s">
        <v>14678</v>
      </c>
      <c r="M116" s="587" t="str">
        <f t="shared" si="23"/>
        <v>sen.fitzgerald@legis.wisconsin.gov</v>
      </c>
      <c r="U116" t="str">
        <f t="shared" si="24"/>
        <v>Senator</v>
      </c>
      <c r="V116" t="str">
        <f t="shared" si="25"/>
        <v>Fitzgerald</v>
      </c>
      <c r="W116" t="str">
        <f t="shared" si="26"/>
        <v>sen.fitzgerald@legis.wisconsin.gov</v>
      </c>
    </row>
    <row r="117">
      <c r="A117" s="164" t="s">
        <v>286</v>
      </c>
      <c r="B117" s="45">
        <v>14.0</v>
      </c>
      <c r="C117" s="35" t="s">
        <v>14679</v>
      </c>
      <c r="D117" s="35" t="s">
        <v>4352</v>
      </c>
      <c r="E117" s="51" t="s">
        <v>53</v>
      </c>
      <c r="F117" s="15"/>
      <c r="G117" s="31"/>
      <c r="H117" s="31"/>
      <c r="I117" s="31"/>
      <c r="L117" s="14" t="s">
        <v>14680</v>
      </c>
      <c r="M117" s="587" t="str">
        <f t="shared" si="23"/>
        <v>sen.olsen@legis.wisconsin.gov</v>
      </c>
      <c r="U117" t="str">
        <f t="shared" si="24"/>
        <v>Senator</v>
      </c>
      <c r="V117" t="str">
        <f t="shared" si="25"/>
        <v>Olsen</v>
      </c>
      <c r="W117" t="str">
        <f t="shared" si="26"/>
        <v>sen.olsen@legis.wisconsin.gov</v>
      </c>
    </row>
    <row r="118">
      <c r="A118" s="164" t="s">
        <v>286</v>
      </c>
      <c r="B118" s="45">
        <v>15.0</v>
      </c>
      <c r="C118" s="35" t="s">
        <v>14681</v>
      </c>
      <c r="D118" s="35" t="s">
        <v>14682</v>
      </c>
      <c r="E118" s="36" t="s">
        <v>49</v>
      </c>
      <c r="F118" s="12" t="s">
        <v>14683</v>
      </c>
      <c r="G118" s="164" t="s">
        <v>14684</v>
      </c>
      <c r="H118" s="164" t="s">
        <v>14685</v>
      </c>
      <c r="I118" s="164" t="s">
        <v>14686</v>
      </c>
      <c r="L118" s="14" t="s">
        <v>14687</v>
      </c>
      <c r="M118" s="587" t="str">
        <f t="shared" si="23"/>
        <v>sen.ringhand@legis.wisconsin.gov</v>
      </c>
      <c r="U118" t="str">
        <f t="shared" si="24"/>
        <v/>
      </c>
      <c r="V118" t="str">
        <f t="shared" si="25"/>
        <v/>
      </c>
      <c r="W118" t="str">
        <f t="shared" si="26"/>
        <v/>
      </c>
    </row>
    <row r="119">
      <c r="A119" s="164" t="s">
        <v>286</v>
      </c>
      <c r="B119" s="45">
        <v>16.0</v>
      </c>
      <c r="C119" s="35" t="s">
        <v>91</v>
      </c>
      <c r="D119" s="35" t="s">
        <v>1501</v>
      </c>
      <c r="E119" s="36" t="s">
        <v>49</v>
      </c>
      <c r="F119" s="12" t="s">
        <v>2029</v>
      </c>
      <c r="G119" s="164" t="s">
        <v>14688</v>
      </c>
      <c r="H119" s="31"/>
      <c r="I119" s="31"/>
      <c r="L119" s="14" t="s">
        <v>14689</v>
      </c>
      <c r="M119" s="587" t="str">
        <f t="shared" si="23"/>
        <v>sen.miller@legis.wisconsin.gov</v>
      </c>
      <c r="U119" t="str">
        <f t="shared" si="24"/>
        <v/>
      </c>
      <c r="V119" t="str">
        <f t="shared" si="25"/>
        <v/>
      </c>
      <c r="W119" t="str">
        <f t="shared" si="26"/>
        <v/>
      </c>
    </row>
    <row r="120">
      <c r="A120" s="164" t="s">
        <v>286</v>
      </c>
      <c r="B120" s="45">
        <v>17.0</v>
      </c>
      <c r="C120" s="35" t="s">
        <v>297</v>
      </c>
      <c r="D120" s="35" t="s">
        <v>14690</v>
      </c>
      <c r="E120" s="51" t="s">
        <v>53</v>
      </c>
      <c r="F120" s="12" t="s">
        <v>2875</v>
      </c>
      <c r="G120" s="164" t="s">
        <v>14691</v>
      </c>
      <c r="H120" s="31"/>
      <c r="I120" s="31"/>
      <c r="K120" s="821" t="s">
        <v>14692</v>
      </c>
      <c r="L120" s="14" t="s">
        <v>14693</v>
      </c>
      <c r="M120" s="587" t="str">
        <f t="shared" si="23"/>
        <v>sen.marklein@legis.wisconsin.gov</v>
      </c>
      <c r="U120" t="str">
        <f t="shared" si="24"/>
        <v>Senator</v>
      </c>
      <c r="V120" t="str">
        <f t="shared" si="25"/>
        <v>Marklein</v>
      </c>
      <c r="W120" t="str">
        <f t="shared" si="26"/>
        <v>sen.marklein@legis.wisconsin.gov</v>
      </c>
    </row>
    <row r="121">
      <c r="A121" s="164" t="s">
        <v>286</v>
      </c>
      <c r="B121" s="45">
        <v>18.0</v>
      </c>
      <c r="C121" s="35" t="s">
        <v>239</v>
      </c>
      <c r="D121" s="35" t="s">
        <v>14694</v>
      </c>
      <c r="E121" s="51" t="s">
        <v>53</v>
      </c>
      <c r="F121" s="12" t="s">
        <v>1479</v>
      </c>
      <c r="G121" s="31"/>
      <c r="H121" s="31"/>
      <c r="I121" s="31"/>
      <c r="K121" s="821" t="s">
        <v>14695</v>
      </c>
      <c r="L121" s="14" t="s">
        <v>14696</v>
      </c>
      <c r="M121" s="587" t="str">
        <f t="shared" si="23"/>
        <v>sen.feyen@legis.wisconsin.gov</v>
      </c>
      <c r="U121" t="str">
        <f t="shared" si="24"/>
        <v>Senator</v>
      </c>
      <c r="V121" t="str">
        <f t="shared" si="25"/>
        <v>Feyen</v>
      </c>
      <c r="W121" t="str">
        <f t="shared" si="26"/>
        <v>sen.feyen@legis.wisconsin.gov</v>
      </c>
    </row>
    <row r="122">
      <c r="A122" s="164" t="s">
        <v>286</v>
      </c>
      <c r="B122" s="45">
        <v>19.0</v>
      </c>
      <c r="C122" s="35" t="s">
        <v>1040</v>
      </c>
      <c r="D122" s="35" t="s">
        <v>2209</v>
      </c>
      <c r="E122" s="51" t="s">
        <v>53</v>
      </c>
      <c r="F122" s="12" t="s">
        <v>291</v>
      </c>
      <c r="G122" s="164" t="s">
        <v>14697</v>
      </c>
      <c r="H122" s="164" t="s">
        <v>14698</v>
      </c>
      <c r="I122" s="164" t="s">
        <v>14699</v>
      </c>
      <c r="K122" s="821" t="s">
        <v>14700</v>
      </c>
      <c r="L122" s="14" t="s">
        <v>14701</v>
      </c>
      <c r="M122" s="587" t="str">
        <f t="shared" si="23"/>
        <v>sen.roth@legis.wisconsin.gov</v>
      </c>
      <c r="U122" t="str">
        <f t="shared" si="24"/>
        <v>Senator</v>
      </c>
      <c r="V122" t="str">
        <f t="shared" si="25"/>
        <v>Roth</v>
      </c>
      <c r="W122" t="str">
        <f t="shared" si="26"/>
        <v>sen.roth@legis.wisconsin.gov</v>
      </c>
    </row>
    <row r="123">
      <c r="A123" s="164" t="s">
        <v>286</v>
      </c>
      <c r="B123" s="45">
        <v>20.0</v>
      </c>
      <c r="C123" s="35" t="s">
        <v>14702</v>
      </c>
      <c r="D123" s="35" t="s">
        <v>14703</v>
      </c>
      <c r="E123" s="51" t="s">
        <v>53</v>
      </c>
      <c r="F123" s="15"/>
      <c r="G123" s="31"/>
      <c r="H123" s="31"/>
      <c r="I123" s="31"/>
      <c r="K123" s="821" t="s">
        <v>14704</v>
      </c>
      <c r="L123" s="14" t="s">
        <v>14705</v>
      </c>
      <c r="M123" s="587" t="str">
        <f t="shared" si="23"/>
        <v>sen.stroebel@legis.wisconsin.gov</v>
      </c>
      <c r="U123" t="str">
        <f t="shared" si="24"/>
        <v>Senator</v>
      </c>
      <c r="V123" t="str">
        <f t="shared" si="25"/>
        <v>Stroebel</v>
      </c>
      <c r="W123" t="str">
        <f t="shared" si="26"/>
        <v>sen.stroebel@legis.wisconsin.gov</v>
      </c>
    </row>
    <row r="124">
      <c r="A124" s="164" t="s">
        <v>286</v>
      </c>
      <c r="B124" s="45">
        <v>21.0</v>
      </c>
      <c r="C124" s="35" t="s">
        <v>4397</v>
      </c>
      <c r="D124" s="35" t="s">
        <v>14706</v>
      </c>
      <c r="E124" s="51" t="s">
        <v>53</v>
      </c>
      <c r="F124" s="12" t="s">
        <v>1684</v>
      </c>
      <c r="G124" s="164" t="s">
        <v>877</v>
      </c>
      <c r="H124" s="164" t="s">
        <v>14697</v>
      </c>
      <c r="I124" s="164" t="s">
        <v>14707</v>
      </c>
      <c r="K124" s="821" t="s">
        <v>14708</v>
      </c>
      <c r="L124" s="14" t="s">
        <v>14709</v>
      </c>
      <c r="M124" s="587" t="str">
        <f t="shared" si="23"/>
        <v>sen.wanggaard@legis.wisconsin.gov</v>
      </c>
      <c r="U124" t="str">
        <f t="shared" si="24"/>
        <v>Senator</v>
      </c>
      <c r="V124" t="str">
        <f t="shared" si="25"/>
        <v>Wanggaard</v>
      </c>
      <c r="W124" t="str">
        <f t="shared" si="26"/>
        <v>sen.wanggaard@legis.wisconsin.gov</v>
      </c>
    </row>
    <row r="125">
      <c r="A125" s="164" t="s">
        <v>286</v>
      </c>
      <c r="B125" s="45">
        <v>22.0</v>
      </c>
      <c r="C125" s="35" t="s">
        <v>1134</v>
      </c>
      <c r="D125" s="35" t="s">
        <v>14710</v>
      </c>
      <c r="E125" s="36" t="s">
        <v>49</v>
      </c>
      <c r="F125" s="15"/>
      <c r="G125" s="31"/>
      <c r="H125" s="31"/>
      <c r="I125" s="31"/>
      <c r="K125" s="821" t="s">
        <v>14711</v>
      </c>
      <c r="L125" s="14" t="s">
        <v>14712</v>
      </c>
      <c r="M125" s="587" t="str">
        <f t="shared" si="23"/>
        <v>sen.wirch@legis.wisconsin.gov</v>
      </c>
      <c r="U125" t="str">
        <f t="shared" si="24"/>
        <v/>
      </c>
      <c r="V125" t="str">
        <f t="shared" si="25"/>
        <v/>
      </c>
      <c r="W125" t="str">
        <f t="shared" si="26"/>
        <v/>
      </c>
    </row>
    <row r="126">
      <c r="A126" s="164" t="s">
        <v>286</v>
      </c>
      <c r="B126" s="45">
        <v>23.0</v>
      </c>
      <c r="C126" s="38" t="s">
        <v>14713</v>
      </c>
      <c r="D126" s="38" t="s">
        <v>14714</v>
      </c>
      <c r="E126" s="51" t="s">
        <v>53</v>
      </c>
      <c r="F126" s="15"/>
      <c r="G126" s="31"/>
      <c r="H126" s="31"/>
      <c r="I126" s="31"/>
      <c r="K126" s="821" t="s">
        <v>14715</v>
      </c>
      <c r="M126" s="587" t="str">
        <f t="shared" si="23"/>
        <v>sen.bernier@legis.wisconsin.gov</v>
      </c>
      <c r="U126" t="str">
        <f t="shared" si="24"/>
        <v>Senator</v>
      </c>
      <c r="V126" t="str">
        <f t="shared" si="25"/>
        <v>Bernier</v>
      </c>
      <c r="W126" t="str">
        <f t="shared" si="26"/>
        <v>sen.bernier@legis.wisconsin.gov</v>
      </c>
    </row>
    <row r="127">
      <c r="A127" s="164" t="s">
        <v>286</v>
      </c>
      <c r="B127" s="45">
        <v>24.0</v>
      </c>
      <c r="C127" s="35" t="s">
        <v>1914</v>
      </c>
      <c r="D127" s="35" t="s">
        <v>14716</v>
      </c>
      <c r="E127" s="51" t="s">
        <v>53</v>
      </c>
      <c r="F127" s="12" t="s">
        <v>2012</v>
      </c>
      <c r="G127" s="14" t="s">
        <v>14717</v>
      </c>
      <c r="H127" s="164" t="s">
        <v>14718</v>
      </c>
      <c r="I127" s="164" t="s">
        <v>14719</v>
      </c>
      <c r="K127" s="821" t="s">
        <v>14720</v>
      </c>
      <c r="L127" s="14" t="s">
        <v>14721</v>
      </c>
      <c r="M127" s="587" t="str">
        <f t="shared" si="23"/>
        <v>sen.testin@legis.wisconsin.gov</v>
      </c>
    </row>
    <row r="128">
      <c r="A128" s="164" t="s">
        <v>286</v>
      </c>
      <c r="B128" s="45">
        <v>25.0</v>
      </c>
      <c r="C128" s="35" t="s">
        <v>1930</v>
      </c>
      <c r="D128" s="35" t="s">
        <v>14722</v>
      </c>
      <c r="E128" s="36" t="s">
        <v>49</v>
      </c>
      <c r="F128" s="12" t="s">
        <v>1965</v>
      </c>
      <c r="G128" s="31"/>
      <c r="H128" s="31"/>
      <c r="I128" s="31"/>
      <c r="K128" s="821" t="s">
        <v>14723</v>
      </c>
      <c r="L128" s="14" t="s">
        <v>14724</v>
      </c>
      <c r="M128" s="587" t="str">
        <f t="shared" si="23"/>
        <v>sen.bewley@legis.wisconsin.gov</v>
      </c>
      <c r="U128" t="str">
        <f t="shared" ref="U128:U136" si="27">if($E128="Rep","Senator","")</f>
        <v/>
      </c>
      <c r="V128" t="str">
        <f t="shared" ref="V128:V136" si="28">if(E128="Rep",D128,"")</f>
        <v/>
      </c>
      <c r="W128" t="str">
        <f t="shared" ref="W128:W136" si="29">if($E128="Rep",M128,"")</f>
        <v/>
      </c>
    </row>
    <row r="129">
      <c r="A129" s="164" t="s">
        <v>286</v>
      </c>
      <c r="B129" s="45">
        <v>26.0</v>
      </c>
      <c r="C129" s="35" t="s">
        <v>1242</v>
      </c>
      <c r="D129" s="35" t="s">
        <v>14725</v>
      </c>
      <c r="E129" s="36" t="s">
        <v>49</v>
      </c>
      <c r="F129" s="15"/>
      <c r="G129" s="31"/>
      <c r="H129" s="31"/>
      <c r="I129" s="31"/>
      <c r="K129" s="821" t="s">
        <v>14726</v>
      </c>
      <c r="L129" s="14" t="s">
        <v>14727</v>
      </c>
      <c r="M129" s="587" t="str">
        <f t="shared" si="23"/>
        <v>sen.risser@legis.wisconsin.gov</v>
      </c>
      <c r="U129" t="str">
        <f t="shared" si="27"/>
        <v/>
      </c>
      <c r="V129" t="str">
        <f t="shared" si="28"/>
        <v/>
      </c>
      <c r="W129" t="str">
        <f t="shared" si="29"/>
        <v/>
      </c>
    </row>
    <row r="130">
      <c r="A130" s="164" t="s">
        <v>286</v>
      </c>
      <c r="B130" s="45">
        <v>27.0</v>
      </c>
      <c r="C130" s="35" t="s">
        <v>1387</v>
      </c>
      <c r="D130" s="35" t="s">
        <v>14728</v>
      </c>
      <c r="E130" s="36" t="s">
        <v>49</v>
      </c>
      <c r="F130" s="15"/>
      <c r="G130" s="31"/>
      <c r="H130" s="31"/>
      <c r="I130" s="31"/>
      <c r="K130" s="821" t="s">
        <v>14729</v>
      </c>
      <c r="L130" s="14" t="s">
        <v>14730</v>
      </c>
      <c r="M130" s="587" t="str">
        <f t="shared" si="23"/>
        <v>sen.erpenbach@legis.wisconsin.gov</v>
      </c>
      <c r="U130" t="str">
        <f t="shared" si="27"/>
        <v/>
      </c>
      <c r="V130" t="str">
        <f t="shared" si="28"/>
        <v/>
      </c>
      <c r="W130" t="str">
        <f t="shared" si="29"/>
        <v/>
      </c>
    </row>
    <row r="131">
      <c r="A131" s="164" t="s">
        <v>286</v>
      </c>
      <c r="B131" s="45">
        <v>28.0</v>
      </c>
      <c r="C131" s="35" t="s">
        <v>108</v>
      </c>
      <c r="D131" s="35" t="s">
        <v>373</v>
      </c>
      <c r="E131" s="51" t="s">
        <v>53</v>
      </c>
      <c r="F131" s="15"/>
      <c r="G131" s="31"/>
      <c r="H131" s="31"/>
      <c r="I131" s="31"/>
      <c r="K131" s="821" t="s">
        <v>14731</v>
      </c>
      <c r="L131" s="14" t="s">
        <v>14732</v>
      </c>
      <c r="M131" s="587" t="str">
        <f t="shared" si="23"/>
        <v>sen.craig@legis.wisconsin.gov</v>
      </c>
      <c r="U131" t="str">
        <f t="shared" si="27"/>
        <v>Senator</v>
      </c>
      <c r="V131" t="str">
        <f t="shared" si="28"/>
        <v>Craig</v>
      </c>
      <c r="W131" t="str">
        <f t="shared" si="29"/>
        <v>sen.craig@legis.wisconsin.gov</v>
      </c>
    </row>
    <row r="132">
      <c r="A132" s="164" t="s">
        <v>286</v>
      </c>
      <c r="B132" s="45">
        <v>29.0</v>
      </c>
      <c r="C132" s="35" t="s">
        <v>2105</v>
      </c>
      <c r="D132" s="35" t="s">
        <v>14733</v>
      </c>
      <c r="E132" s="51" t="s">
        <v>53</v>
      </c>
      <c r="F132" s="15"/>
      <c r="G132" s="31"/>
      <c r="H132" s="31"/>
      <c r="I132" s="31"/>
      <c r="K132" s="821" t="s">
        <v>14734</v>
      </c>
      <c r="L132" s="14" t="s">
        <v>14735</v>
      </c>
      <c r="M132" s="587" t="str">
        <f t="shared" si="23"/>
        <v>sen.petrowski@legis.wisconsin.gov</v>
      </c>
      <c r="U132" t="str">
        <f t="shared" si="27"/>
        <v>Senator</v>
      </c>
      <c r="V132" t="str">
        <f t="shared" si="28"/>
        <v>Petrowski</v>
      </c>
      <c r="W132" t="str">
        <f t="shared" si="29"/>
        <v>sen.petrowski@legis.wisconsin.gov</v>
      </c>
    </row>
    <row r="133">
      <c r="A133" s="164" t="s">
        <v>286</v>
      </c>
      <c r="B133" s="45">
        <v>30.0</v>
      </c>
      <c r="C133" s="35" t="s">
        <v>76</v>
      </c>
      <c r="D133" s="35" t="s">
        <v>1653</v>
      </c>
      <c r="E133" s="36" t="s">
        <v>49</v>
      </c>
      <c r="F133" s="15"/>
      <c r="G133" s="31"/>
      <c r="H133" s="31"/>
      <c r="I133" s="31"/>
      <c r="K133" s="821" t="s">
        <v>14736</v>
      </c>
      <c r="L133" s="14" t="s">
        <v>14737</v>
      </c>
      <c r="M133" s="587" t="str">
        <f t="shared" si="23"/>
        <v>sen.hansen@legis.wisconsin.gov</v>
      </c>
      <c r="U133" t="str">
        <f t="shared" si="27"/>
        <v/>
      </c>
      <c r="V133" t="str">
        <f t="shared" si="28"/>
        <v/>
      </c>
      <c r="W133" t="str">
        <f t="shared" si="29"/>
        <v/>
      </c>
    </row>
    <row r="134">
      <c r="A134" s="164" t="s">
        <v>286</v>
      </c>
      <c r="B134" s="45">
        <v>31.0</v>
      </c>
      <c r="C134" s="38" t="s">
        <v>683</v>
      </c>
      <c r="D134" s="38" t="s">
        <v>1451</v>
      </c>
      <c r="E134" s="36" t="s">
        <v>49</v>
      </c>
      <c r="F134" s="15"/>
      <c r="G134" s="31"/>
      <c r="H134" s="31"/>
      <c r="I134" s="31"/>
      <c r="K134" s="821" t="s">
        <v>14738</v>
      </c>
      <c r="M134" s="587" t="str">
        <f t="shared" si="23"/>
        <v>sen.smith@legis.wisconsin.gov</v>
      </c>
      <c r="U134" t="str">
        <f t="shared" si="27"/>
        <v/>
      </c>
      <c r="V134" t="str">
        <f t="shared" si="28"/>
        <v/>
      </c>
      <c r="W134" t="str">
        <f t="shared" si="29"/>
        <v/>
      </c>
    </row>
    <row r="135">
      <c r="A135" s="164" t="s">
        <v>286</v>
      </c>
      <c r="B135" s="45">
        <v>32.0</v>
      </c>
      <c r="C135" s="35" t="s">
        <v>191</v>
      </c>
      <c r="D135" s="35" t="s">
        <v>14739</v>
      </c>
      <c r="E135" s="36" t="s">
        <v>49</v>
      </c>
      <c r="F135" s="12" t="s">
        <v>498</v>
      </c>
      <c r="G135" s="164" t="s">
        <v>14740</v>
      </c>
      <c r="H135" s="164" t="s">
        <v>14741</v>
      </c>
      <c r="I135" s="164" t="s">
        <v>14742</v>
      </c>
      <c r="K135" s="821" t="s">
        <v>14743</v>
      </c>
      <c r="L135" s="14" t="s">
        <v>14744</v>
      </c>
      <c r="M135" s="587" t="str">
        <f t="shared" si="23"/>
        <v>sen.shilling@legis.wisconsin.gov</v>
      </c>
      <c r="U135" t="str">
        <f t="shared" si="27"/>
        <v/>
      </c>
      <c r="V135" t="str">
        <f t="shared" si="28"/>
        <v/>
      </c>
      <c r="W135" t="str">
        <f t="shared" si="29"/>
        <v/>
      </c>
    </row>
    <row r="136">
      <c r="A136" s="164" t="s">
        <v>286</v>
      </c>
      <c r="B136" s="45">
        <v>33.0</v>
      </c>
      <c r="C136" s="35" t="s">
        <v>173</v>
      </c>
      <c r="D136" s="35" t="s">
        <v>14745</v>
      </c>
      <c r="E136" s="51" t="s">
        <v>53</v>
      </c>
      <c r="F136" s="15"/>
      <c r="G136" s="31"/>
      <c r="H136" s="31"/>
      <c r="I136" s="31"/>
      <c r="L136" s="14" t="s">
        <v>14746</v>
      </c>
      <c r="M136" s="587" t="str">
        <f t="shared" si="23"/>
        <v>sen.kapenga@legis.wisconsin.gov</v>
      </c>
      <c r="U136" t="str">
        <f t="shared" si="27"/>
        <v>Senator</v>
      </c>
      <c r="V136" t="str">
        <f t="shared" si="28"/>
        <v>Kapenga</v>
      </c>
      <c r="W136" t="str">
        <f t="shared" si="29"/>
        <v>sen.kapenga@legis.wisconsin.gov</v>
      </c>
    </row>
    <row r="137">
      <c r="A137" s="286"/>
      <c r="B137" s="70"/>
      <c r="C137" s="71"/>
      <c r="D137" s="71"/>
      <c r="E137" s="70"/>
      <c r="F137" s="184"/>
      <c r="G137" s="70"/>
      <c r="H137" s="70"/>
      <c r="I137" s="70"/>
      <c r="J137" s="70"/>
      <c r="K137" s="70"/>
      <c r="L137" s="70"/>
      <c r="M137" s="604"/>
      <c r="N137" s="70"/>
      <c r="O137" s="70"/>
      <c r="P137" s="70"/>
      <c r="Q137" s="70"/>
      <c r="R137" s="70"/>
      <c r="S137" s="70"/>
      <c r="T137" s="70"/>
      <c r="U137" s="70"/>
      <c r="V137" s="70"/>
      <c r="W137" s="70"/>
      <c r="X137" s="70"/>
      <c r="Y137" s="70"/>
      <c r="Z137" s="70"/>
      <c r="AA137" s="70"/>
      <c r="AB137" s="70"/>
      <c r="AC137" s="70"/>
    </row>
    <row r="138">
      <c r="A138" s="164" t="s">
        <v>421</v>
      </c>
      <c r="C138" s="77" t="s">
        <v>980</v>
      </c>
      <c r="D138" s="77" t="s">
        <v>14747</v>
      </c>
      <c r="E138" s="36" t="s">
        <v>49</v>
      </c>
      <c r="F138" s="15"/>
      <c r="M138" s="587"/>
    </row>
    <row r="139">
      <c r="A139" s="286"/>
      <c r="B139" s="70"/>
      <c r="C139" s="71"/>
      <c r="D139" s="71"/>
      <c r="E139" s="70"/>
      <c r="F139" s="184"/>
      <c r="G139" s="70"/>
      <c r="H139" s="70"/>
      <c r="I139" s="70"/>
      <c r="J139" s="70"/>
      <c r="K139" s="70"/>
      <c r="L139" s="70"/>
      <c r="M139" s="604"/>
      <c r="N139" s="70"/>
      <c r="O139" s="70"/>
      <c r="P139" s="70"/>
      <c r="Q139" s="70"/>
      <c r="R139" s="70"/>
      <c r="S139" s="70"/>
      <c r="T139" s="70"/>
      <c r="U139" s="70"/>
      <c r="V139" s="70"/>
      <c r="W139" s="70"/>
      <c r="X139" s="70"/>
      <c r="Y139" s="70"/>
      <c r="Z139" s="70"/>
      <c r="AA139" s="70"/>
      <c r="AB139" s="70"/>
      <c r="AC139" s="70"/>
    </row>
    <row r="140">
      <c r="A140" s="164" t="s">
        <v>427</v>
      </c>
      <c r="B140" s="14">
        <v>1.0</v>
      </c>
      <c r="C140" s="77" t="s">
        <v>2775</v>
      </c>
      <c r="D140" s="77" t="s">
        <v>14748</v>
      </c>
      <c r="E140" s="51" t="s">
        <v>53</v>
      </c>
      <c r="F140" s="15"/>
      <c r="M140" s="587"/>
    </row>
    <row r="141">
      <c r="A141" s="164" t="s">
        <v>427</v>
      </c>
      <c r="B141" s="14">
        <v>2.0</v>
      </c>
      <c r="C141" s="77" t="s">
        <v>91</v>
      </c>
      <c r="D141" s="77" t="s">
        <v>14749</v>
      </c>
      <c r="E141" s="36" t="s">
        <v>49</v>
      </c>
      <c r="F141" s="15"/>
      <c r="M141" s="587"/>
    </row>
    <row r="142">
      <c r="A142" s="164" t="s">
        <v>427</v>
      </c>
      <c r="B142" s="14">
        <v>3.0</v>
      </c>
      <c r="C142" s="77" t="s">
        <v>1813</v>
      </c>
      <c r="D142" s="77" t="s">
        <v>14750</v>
      </c>
      <c r="E142" s="36" t="s">
        <v>49</v>
      </c>
      <c r="F142" s="15"/>
      <c r="M142" s="587"/>
    </row>
    <row r="143">
      <c r="A143" s="164" t="s">
        <v>427</v>
      </c>
      <c r="B143" s="14">
        <v>4.0</v>
      </c>
      <c r="C143" s="77" t="s">
        <v>14751</v>
      </c>
      <c r="D143" s="77" t="s">
        <v>89</v>
      </c>
      <c r="E143" s="36" t="s">
        <v>49</v>
      </c>
      <c r="F143" s="15"/>
      <c r="M143" s="587"/>
    </row>
    <row r="144">
      <c r="A144" s="164" t="s">
        <v>427</v>
      </c>
      <c r="B144" s="14">
        <v>5.0</v>
      </c>
      <c r="C144" s="77" t="s">
        <v>476</v>
      </c>
      <c r="D144" s="77" t="s">
        <v>14752</v>
      </c>
      <c r="E144" s="51" t="s">
        <v>53</v>
      </c>
      <c r="F144" s="15"/>
      <c r="M144" s="587"/>
    </row>
    <row r="145">
      <c r="A145" s="164" t="s">
        <v>427</v>
      </c>
      <c r="B145" s="14">
        <v>6.0</v>
      </c>
      <c r="C145" s="77" t="s">
        <v>3589</v>
      </c>
      <c r="D145" s="77" t="s">
        <v>14753</v>
      </c>
      <c r="E145" s="51" t="s">
        <v>53</v>
      </c>
      <c r="F145" s="15"/>
      <c r="M145" s="587"/>
    </row>
    <row r="146">
      <c r="A146" s="164" t="s">
        <v>427</v>
      </c>
      <c r="B146" s="14">
        <v>7.0</v>
      </c>
      <c r="C146" s="77" t="s">
        <v>1276</v>
      </c>
      <c r="D146" s="77" t="s">
        <v>14754</v>
      </c>
      <c r="E146" s="51" t="s">
        <v>53</v>
      </c>
      <c r="F146" s="15"/>
      <c r="M146" s="587"/>
    </row>
    <row r="147">
      <c r="A147" s="164" t="s">
        <v>427</v>
      </c>
      <c r="B147" s="14">
        <v>8.0</v>
      </c>
      <c r="C147" s="77" t="s">
        <v>157</v>
      </c>
      <c r="D147" s="77" t="s">
        <v>1391</v>
      </c>
      <c r="E147" s="51" t="s">
        <v>53</v>
      </c>
      <c r="F147" s="15"/>
      <c r="M147" s="587"/>
    </row>
    <row r="148">
      <c r="A148" s="286"/>
      <c r="B148" s="70"/>
      <c r="C148" s="71"/>
      <c r="D148" s="71"/>
      <c r="E148" s="70"/>
      <c r="F148" s="184"/>
      <c r="G148" s="70"/>
      <c r="H148" s="70"/>
      <c r="I148" s="70"/>
      <c r="J148" s="70"/>
      <c r="K148" s="70"/>
      <c r="L148" s="70"/>
      <c r="M148" s="604"/>
      <c r="N148" s="70"/>
      <c r="O148" s="70"/>
      <c r="P148" s="70"/>
      <c r="Q148" s="70"/>
      <c r="R148" s="70"/>
      <c r="S148" s="70"/>
      <c r="T148" s="70"/>
      <c r="U148" s="70"/>
      <c r="V148" s="70"/>
      <c r="W148" s="70"/>
      <c r="X148" s="70"/>
      <c r="Y148" s="70"/>
      <c r="Z148" s="70"/>
      <c r="AA148" s="70"/>
      <c r="AB148" s="70"/>
      <c r="AC148" s="70"/>
    </row>
    <row r="149">
      <c r="A149" s="164" t="s">
        <v>430</v>
      </c>
      <c r="B149" s="14" t="s">
        <v>431</v>
      </c>
      <c r="C149" s="77" t="s">
        <v>1813</v>
      </c>
      <c r="D149" s="77" t="s">
        <v>118</v>
      </c>
      <c r="E149" s="51" t="s">
        <v>53</v>
      </c>
      <c r="F149" s="15"/>
      <c r="M149" s="587"/>
    </row>
    <row r="150">
      <c r="A150" s="164" t="s">
        <v>430</v>
      </c>
      <c r="B150" s="14" t="s">
        <v>434</v>
      </c>
      <c r="C150" s="77" t="s">
        <v>2373</v>
      </c>
      <c r="D150" s="77" t="s">
        <v>725</v>
      </c>
      <c r="E150" s="36" t="s">
        <v>49</v>
      </c>
      <c r="F150" s="15"/>
      <c r="M150" s="587"/>
    </row>
    <row r="151">
      <c r="A151" s="70"/>
      <c r="B151" s="70"/>
      <c r="C151" s="71"/>
      <c r="D151" s="71"/>
      <c r="E151" s="70"/>
      <c r="F151" s="184"/>
      <c r="G151" s="70"/>
      <c r="H151" s="70"/>
      <c r="I151" s="70"/>
      <c r="J151" s="70"/>
      <c r="K151" s="70"/>
      <c r="L151" s="70"/>
      <c r="M151" s="604"/>
      <c r="N151" s="70"/>
      <c r="O151" s="70"/>
      <c r="P151" s="70"/>
      <c r="Q151" s="70"/>
      <c r="R151" s="70"/>
      <c r="S151" s="70"/>
      <c r="T151" s="70"/>
      <c r="U151" s="70"/>
      <c r="V151" s="70"/>
      <c r="W151" s="70"/>
      <c r="X151" s="70"/>
      <c r="Y151" s="70"/>
      <c r="Z151" s="70"/>
      <c r="AA151" s="70"/>
      <c r="AB151" s="70"/>
      <c r="AC151" s="70"/>
    </row>
    <row r="152">
      <c r="A152" s="14" t="s">
        <v>438</v>
      </c>
      <c r="C152" s="77" t="s">
        <v>180</v>
      </c>
      <c r="D152" s="77" t="s">
        <v>14755</v>
      </c>
      <c r="E152" s="36" t="s">
        <v>49</v>
      </c>
      <c r="F152" s="15"/>
      <c r="M152" s="587"/>
    </row>
    <row r="153">
      <c r="A153" s="70"/>
      <c r="B153" s="70"/>
      <c r="C153" s="71"/>
      <c r="D153" s="71"/>
      <c r="E153" s="70"/>
      <c r="F153" s="184"/>
      <c r="G153" s="70"/>
      <c r="H153" s="70"/>
      <c r="I153" s="70"/>
      <c r="J153" s="70"/>
      <c r="K153" s="70"/>
      <c r="L153" s="70"/>
      <c r="M153" s="604"/>
      <c r="N153" s="70"/>
      <c r="O153" s="70"/>
      <c r="P153" s="70"/>
      <c r="Q153" s="70"/>
      <c r="R153" s="70"/>
      <c r="S153" s="70"/>
      <c r="T153" s="70"/>
      <c r="U153" s="70"/>
      <c r="V153" s="70"/>
      <c r="W153" s="70"/>
      <c r="X153" s="70"/>
      <c r="Y153" s="70"/>
      <c r="Z153" s="70"/>
      <c r="AA153" s="70"/>
      <c r="AB153" s="70"/>
      <c r="AC153" s="70"/>
    </row>
    <row r="154">
      <c r="A154" s="31"/>
      <c r="C154" s="139"/>
      <c r="D154" s="139"/>
      <c r="F154" s="15"/>
      <c r="M154" s="587"/>
    </row>
    <row r="155">
      <c r="A155" s="31"/>
      <c r="C155" s="139"/>
      <c r="D155" s="139"/>
      <c r="F155" s="15"/>
      <c r="M155" s="587"/>
    </row>
    <row r="156">
      <c r="A156" s="31"/>
      <c r="C156" s="139"/>
      <c r="D156" s="139"/>
      <c r="F156" s="15"/>
      <c r="M156" s="587"/>
    </row>
    <row r="157">
      <c r="A157" s="31"/>
      <c r="C157" s="139"/>
      <c r="D157" s="139"/>
      <c r="F157" s="15"/>
      <c r="M157" s="587"/>
    </row>
    <row r="158">
      <c r="A158" s="31"/>
      <c r="C158" s="139"/>
      <c r="D158" s="139"/>
      <c r="F158" s="15"/>
      <c r="M158" s="587"/>
    </row>
    <row r="159">
      <c r="A159" s="31"/>
      <c r="C159" s="139"/>
      <c r="D159" s="139"/>
      <c r="F159" s="15"/>
      <c r="M159" s="587"/>
    </row>
    <row r="160">
      <c r="A160" s="31"/>
      <c r="C160" s="139"/>
      <c r="D160" s="139"/>
      <c r="F160" s="15"/>
      <c r="M160" s="587"/>
    </row>
    <row r="161">
      <c r="A161" s="31"/>
      <c r="C161" s="139"/>
      <c r="D161" s="139"/>
      <c r="F161" s="15"/>
      <c r="M161" s="587"/>
    </row>
    <row r="162">
      <c r="A162" s="31"/>
      <c r="C162" s="139"/>
      <c r="D162" s="139"/>
      <c r="F162" s="15"/>
      <c r="M162" s="587"/>
    </row>
    <row r="163">
      <c r="A163" s="31"/>
      <c r="C163" s="139"/>
      <c r="D163" s="139"/>
      <c r="F163" s="15"/>
      <c r="M163" s="587"/>
    </row>
    <row r="164">
      <c r="A164" s="31"/>
      <c r="C164" s="139"/>
      <c r="D164" s="139"/>
      <c r="F164" s="15"/>
      <c r="M164" s="587"/>
    </row>
    <row r="165">
      <c r="A165" s="31"/>
      <c r="C165" s="139"/>
      <c r="D165" s="139"/>
      <c r="F165" s="15"/>
      <c r="M165" s="587"/>
    </row>
    <row r="166">
      <c r="A166" s="31"/>
      <c r="C166" s="139"/>
      <c r="D166" s="139"/>
      <c r="F166" s="15"/>
      <c r="M166" s="587"/>
    </row>
    <row r="167">
      <c r="A167" s="31"/>
      <c r="C167" s="139"/>
      <c r="D167" s="139"/>
      <c r="F167" s="15"/>
      <c r="M167" s="587"/>
    </row>
    <row r="168">
      <c r="A168" s="31"/>
      <c r="C168" s="139"/>
      <c r="D168" s="139"/>
      <c r="F168" s="15"/>
      <c r="M168" s="587"/>
    </row>
    <row r="169">
      <c r="A169" s="31"/>
      <c r="C169" s="139"/>
      <c r="D169" s="139"/>
      <c r="F169" s="15"/>
      <c r="M169" s="587"/>
    </row>
    <row r="170">
      <c r="A170" s="31"/>
      <c r="C170" s="139"/>
      <c r="D170" s="139"/>
      <c r="F170" s="15"/>
      <c r="M170" s="587"/>
    </row>
    <row r="171">
      <c r="A171" s="31"/>
      <c r="C171" s="139"/>
      <c r="D171" s="139"/>
      <c r="F171" s="15"/>
      <c r="M171" s="587"/>
    </row>
    <row r="172">
      <c r="A172" s="31"/>
      <c r="C172" s="139"/>
      <c r="D172" s="139"/>
      <c r="F172" s="15"/>
      <c r="M172" s="587"/>
    </row>
    <row r="173">
      <c r="A173" s="31"/>
      <c r="C173" s="139"/>
      <c r="D173" s="139"/>
      <c r="F173" s="15"/>
      <c r="M173" s="587"/>
    </row>
    <row r="174">
      <c r="A174" s="31"/>
      <c r="C174" s="139"/>
      <c r="D174" s="139"/>
      <c r="F174" s="15"/>
      <c r="M174" s="587"/>
    </row>
    <row r="175">
      <c r="A175" s="31"/>
      <c r="C175" s="139"/>
      <c r="D175" s="139"/>
      <c r="F175" s="15"/>
      <c r="M175" s="587"/>
    </row>
    <row r="176">
      <c r="A176" s="31"/>
      <c r="C176" s="139"/>
      <c r="D176" s="139"/>
      <c r="F176" s="15"/>
      <c r="M176" s="587"/>
    </row>
    <row r="177">
      <c r="A177" s="31"/>
      <c r="C177" s="139"/>
      <c r="D177" s="139"/>
      <c r="F177" s="15"/>
      <c r="M177" s="587"/>
    </row>
    <row r="178">
      <c r="A178" s="31"/>
      <c r="C178" s="139"/>
      <c r="D178" s="139"/>
      <c r="F178" s="15"/>
      <c r="M178" s="587"/>
    </row>
    <row r="179">
      <c r="A179" s="31"/>
      <c r="C179" s="139"/>
      <c r="D179" s="139"/>
      <c r="F179" s="15"/>
      <c r="M179" s="587"/>
    </row>
    <row r="180">
      <c r="A180" s="31"/>
      <c r="C180" s="139"/>
      <c r="D180" s="139"/>
      <c r="F180" s="15"/>
      <c r="M180" s="587"/>
    </row>
    <row r="181">
      <c r="A181" s="31"/>
      <c r="C181" s="139"/>
      <c r="D181" s="139"/>
      <c r="F181" s="15"/>
      <c r="M181" s="587"/>
    </row>
    <row r="182">
      <c r="A182" s="31"/>
      <c r="C182" s="139"/>
      <c r="D182" s="139"/>
      <c r="F182" s="15"/>
      <c r="M182" s="587"/>
    </row>
    <row r="183">
      <c r="A183" s="31"/>
      <c r="C183" s="139"/>
      <c r="D183" s="139"/>
      <c r="F183" s="15"/>
      <c r="M183" s="587"/>
    </row>
    <row r="184">
      <c r="A184" s="31"/>
      <c r="C184" s="139"/>
      <c r="D184" s="139"/>
      <c r="F184" s="15"/>
      <c r="M184" s="587"/>
    </row>
    <row r="185">
      <c r="A185" s="31"/>
      <c r="C185" s="139"/>
      <c r="D185" s="139"/>
      <c r="F185" s="15"/>
      <c r="M185" s="587"/>
    </row>
    <row r="186">
      <c r="A186" s="31"/>
      <c r="C186" s="139"/>
      <c r="D186" s="139"/>
      <c r="F186" s="15"/>
      <c r="M186" s="587"/>
    </row>
    <row r="187">
      <c r="A187" s="31"/>
      <c r="C187" s="139"/>
      <c r="D187" s="139"/>
      <c r="F187" s="15"/>
      <c r="M187" s="587"/>
    </row>
    <row r="188">
      <c r="A188" s="31"/>
      <c r="C188" s="139"/>
      <c r="D188" s="139"/>
      <c r="F188" s="15"/>
      <c r="M188" s="587"/>
    </row>
    <row r="189">
      <c r="A189" s="31"/>
      <c r="C189" s="139"/>
      <c r="D189" s="139"/>
      <c r="F189" s="15"/>
      <c r="M189" s="587"/>
    </row>
    <row r="190">
      <c r="A190" s="31"/>
      <c r="C190" s="139"/>
      <c r="D190" s="139"/>
      <c r="F190" s="15"/>
      <c r="M190" s="587"/>
    </row>
    <row r="191">
      <c r="A191" s="31"/>
      <c r="C191" s="139"/>
      <c r="D191" s="139"/>
      <c r="F191" s="15"/>
      <c r="M191" s="587"/>
    </row>
    <row r="192">
      <c r="A192" s="31"/>
      <c r="C192" s="139"/>
      <c r="D192" s="139"/>
      <c r="F192" s="15"/>
      <c r="M192" s="587"/>
    </row>
    <row r="193">
      <c r="A193" s="31"/>
      <c r="C193" s="139"/>
      <c r="D193" s="139"/>
      <c r="F193" s="15"/>
      <c r="M193" s="587"/>
    </row>
    <row r="194">
      <c r="A194" s="31"/>
      <c r="C194" s="139"/>
      <c r="D194" s="139"/>
      <c r="F194" s="15"/>
      <c r="M194" s="587"/>
    </row>
    <row r="195">
      <c r="A195" s="31"/>
      <c r="C195" s="139"/>
      <c r="D195" s="139"/>
      <c r="F195" s="15"/>
      <c r="M195" s="587"/>
    </row>
    <row r="196">
      <c r="A196" s="31"/>
      <c r="C196" s="139"/>
      <c r="D196" s="139"/>
      <c r="F196" s="15"/>
      <c r="M196" s="587"/>
    </row>
    <row r="197">
      <c r="A197" s="31"/>
      <c r="C197" s="139"/>
      <c r="D197" s="139"/>
      <c r="F197" s="15"/>
      <c r="M197" s="587"/>
    </row>
    <row r="198">
      <c r="A198" s="31"/>
      <c r="C198" s="139"/>
      <c r="D198" s="139"/>
      <c r="F198" s="15"/>
      <c r="M198" s="587"/>
    </row>
    <row r="199">
      <c r="A199" s="31"/>
      <c r="C199" s="139"/>
      <c r="D199" s="139"/>
      <c r="F199" s="15"/>
      <c r="M199" s="587"/>
    </row>
    <row r="200">
      <c r="A200" s="31"/>
      <c r="C200" s="139"/>
      <c r="D200" s="139"/>
      <c r="F200" s="15"/>
      <c r="M200" s="587"/>
    </row>
    <row r="201">
      <c r="A201" s="31"/>
      <c r="C201" s="139"/>
      <c r="D201" s="139"/>
      <c r="F201" s="15"/>
      <c r="M201" s="587"/>
    </row>
    <row r="202">
      <c r="A202" s="31"/>
      <c r="C202" s="139"/>
      <c r="D202" s="139"/>
      <c r="F202" s="15"/>
      <c r="M202" s="587"/>
    </row>
    <row r="203">
      <c r="A203" s="31"/>
      <c r="C203" s="139"/>
      <c r="D203" s="139"/>
      <c r="F203" s="15"/>
      <c r="M203" s="587"/>
    </row>
    <row r="204">
      <c r="A204" s="31"/>
      <c r="C204" s="139"/>
      <c r="D204" s="139"/>
      <c r="F204" s="15"/>
      <c r="M204" s="587"/>
    </row>
    <row r="205">
      <c r="A205" s="31"/>
      <c r="C205" s="139"/>
      <c r="D205" s="139"/>
      <c r="F205" s="15"/>
      <c r="M205" s="587"/>
    </row>
    <row r="206">
      <c r="A206" s="31"/>
      <c r="C206" s="139"/>
      <c r="D206" s="139"/>
      <c r="F206" s="15"/>
      <c r="M206" s="587"/>
    </row>
    <row r="207">
      <c r="A207" s="31"/>
      <c r="C207" s="139"/>
      <c r="D207" s="139"/>
      <c r="F207" s="15"/>
      <c r="M207" s="587"/>
    </row>
    <row r="208">
      <c r="A208" s="31"/>
      <c r="C208" s="139"/>
      <c r="D208" s="139"/>
      <c r="F208" s="15"/>
      <c r="M208" s="587"/>
    </row>
    <row r="209">
      <c r="A209" s="31"/>
      <c r="C209" s="139"/>
      <c r="D209" s="139"/>
      <c r="F209" s="15"/>
      <c r="M209" s="587"/>
    </row>
    <row r="210">
      <c r="A210" s="31"/>
      <c r="C210" s="139"/>
      <c r="D210" s="139"/>
      <c r="F210" s="15"/>
      <c r="M210" s="587"/>
    </row>
    <row r="211">
      <c r="A211" s="31"/>
      <c r="C211" s="139"/>
      <c r="D211" s="139"/>
      <c r="F211" s="15"/>
      <c r="M211" s="587"/>
    </row>
    <row r="212">
      <c r="A212" s="31"/>
      <c r="C212" s="139"/>
      <c r="D212" s="139"/>
      <c r="F212" s="15"/>
      <c r="M212" s="587"/>
    </row>
    <row r="213">
      <c r="A213" s="31"/>
      <c r="C213" s="139"/>
      <c r="D213" s="139"/>
      <c r="F213" s="15"/>
      <c r="M213" s="587"/>
    </row>
    <row r="214">
      <c r="A214" s="31"/>
      <c r="C214" s="139"/>
      <c r="D214" s="139"/>
      <c r="F214" s="15"/>
      <c r="M214" s="587"/>
    </row>
    <row r="215">
      <c r="A215" s="31"/>
      <c r="C215" s="139"/>
      <c r="D215" s="139"/>
      <c r="F215" s="15"/>
      <c r="M215" s="587"/>
    </row>
    <row r="216">
      <c r="A216" s="31"/>
      <c r="C216" s="139"/>
      <c r="D216" s="139"/>
      <c r="F216" s="15"/>
      <c r="M216" s="587"/>
    </row>
    <row r="217">
      <c r="A217" s="31"/>
      <c r="C217" s="139"/>
      <c r="D217" s="139"/>
      <c r="F217" s="15"/>
      <c r="M217" s="587"/>
    </row>
    <row r="218">
      <c r="A218" s="31"/>
      <c r="C218" s="139"/>
      <c r="D218" s="139"/>
      <c r="F218" s="15"/>
      <c r="M218" s="587"/>
    </row>
    <row r="219">
      <c r="A219" s="31"/>
      <c r="C219" s="139"/>
      <c r="D219" s="139"/>
      <c r="F219" s="15"/>
      <c r="M219" s="587"/>
    </row>
    <row r="220">
      <c r="A220" s="31"/>
      <c r="C220" s="139"/>
      <c r="D220" s="139"/>
      <c r="F220" s="15"/>
      <c r="M220" s="587"/>
    </row>
    <row r="221">
      <c r="A221" s="31"/>
      <c r="C221" s="139"/>
      <c r="D221" s="139"/>
      <c r="F221" s="15"/>
      <c r="M221" s="587"/>
    </row>
    <row r="222">
      <c r="A222" s="31"/>
      <c r="C222" s="139"/>
      <c r="D222" s="139"/>
      <c r="F222" s="15"/>
      <c r="M222" s="587"/>
    </row>
    <row r="223">
      <c r="A223" s="31"/>
      <c r="C223" s="139"/>
      <c r="D223" s="139"/>
      <c r="F223" s="15"/>
      <c r="M223" s="587"/>
    </row>
    <row r="224">
      <c r="A224" s="31"/>
      <c r="C224" s="139"/>
      <c r="D224" s="139"/>
      <c r="F224" s="15"/>
      <c r="M224" s="587"/>
    </row>
    <row r="225">
      <c r="A225" s="31"/>
      <c r="C225" s="139"/>
      <c r="D225" s="139"/>
      <c r="F225" s="15"/>
      <c r="M225" s="587"/>
    </row>
    <row r="226">
      <c r="A226" s="31"/>
      <c r="C226" s="139"/>
      <c r="D226" s="139"/>
      <c r="F226" s="15"/>
      <c r="M226" s="587"/>
    </row>
    <row r="227">
      <c r="A227" s="31"/>
      <c r="C227" s="139"/>
      <c r="D227" s="139"/>
      <c r="F227" s="15"/>
      <c r="M227" s="587"/>
    </row>
    <row r="228">
      <c r="A228" s="31"/>
      <c r="C228" s="139"/>
      <c r="D228" s="139"/>
      <c r="F228" s="15"/>
      <c r="M228" s="587"/>
    </row>
    <row r="229">
      <c r="A229" s="31"/>
      <c r="C229" s="139"/>
      <c r="D229" s="139"/>
      <c r="F229" s="15"/>
      <c r="M229" s="587"/>
    </row>
    <row r="230">
      <c r="A230" s="31"/>
      <c r="C230" s="139"/>
      <c r="D230" s="139"/>
      <c r="F230" s="15"/>
      <c r="M230" s="587"/>
    </row>
    <row r="231">
      <c r="A231" s="31"/>
      <c r="C231" s="139"/>
      <c r="D231" s="139"/>
      <c r="F231" s="15"/>
      <c r="M231" s="587"/>
    </row>
    <row r="232">
      <c r="A232" s="31"/>
      <c r="C232" s="139"/>
      <c r="D232" s="139"/>
      <c r="F232" s="15"/>
      <c r="M232" s="587"/>
    </row>
    <row r="233">
      <c r="A233" s="31"/>
      <c r="C233" s="139"/>
      <c r="D233" s="139"/>
      <c r="F233" s="15"/>
      <c r="M233" s="587"/>
    </row>
    <row r="234">
      <c r="A234" s="31"/>
      <c r="C234" s="139"/>
      <c r="D234" s="139"/>
      <c r="F234" s="15"/>
      <c r="M234" s="587"/>
    </row>
    <row r="235">
      <c r="A235" s="31"/>
      <c r="C235" s="139"/>
      <c r="D235" s="139"/>
      <c r="F235" s="15"/>
      <c r="M235" s="587"/>
    </row>
    <row r="236">
      <c r="A236" s="31"/>
      <c r="C236" s="139"/>
      <c r="D236" s="139"/>
      <c r="F236" s="15"/>
      <c r="M236" s="587"/>
    </row>
    <row r="237">
      <c r="A237" s="31"/>
      <c r="C237" s="139"/>
      <c r="D237" s="139"/>
      <c r="F237" s="15"/>
      <c r="M237" s="587"/>
    </row>
    <row r="238">
      <c r="A238" s="31"/>
      <c r="C238" s="139"/>
      <c r="D238" s="139"/>
      <c r="F238" s="15"/>
      <c r="M238" s="587"/>
    </row>
    <row r="239">
      <c r="A239" s="31"/>
      <c r="C239" s="139"/>
      <c r="D239" s="139"/>
      <c r="F239" s="15"/>
      <c r="M239" s="587"/>
    </row>
    <row r="240">
      <c r="A240" s="31"/>
      <c r="C240" s="139"/>
      <c r="D240" s="139"/>
      <c r="F240" s="15"/>
      <c r="M240" s="587"/>
    </row>
    <row r="241">
      <c r="A241" s="31"/>
      <c r="C241" s="139"/>
      <c r="D241" s="139"/>
      <c r="F241" s="15"/>
      <c r="M241" s="587"/>
    </row>
    <row r="242">
      <c r="A242" s="31"/>
      <c r="C242" s="139"/>
      <c r="D242" s="139"/>
      <c r="F242" s="15"/>
      <c r="M242" s="587"/>
    </row>
    <row r="243">
      <c r="A243" s="31"/>
      <c r="C243" s="139"/>
      <c r="D243" s="139"/>
      <c r="F243" s="15"/>
      <c r="M243" s="587"/>
    </row>
    <row r="244">
      <c r="A244" s="31"/>
      <c r="C244" s="139"/>
      <c r="D244" s="139"/>
      <c r="F244" s="15"/>
      <c r="M244" s="587"/>
    </row>
    <row r="245">
      <c r="A245" s="31"/>
      <c r="C245" s="139"/>
      <c r="D245" s="139"/>
      <c r="F245" s="15"/>
      <c r="M245" s="587"/>
    </row>
    <row r="246">
      <c r="A246" s="31"/>
      <c r="C246" s="139"/>
      <c r="D246" s="139"/>
      <c r="F246" s="15"/>
      <c r="M246" s="587"/>
    </row>
    <row r="247">
      <c r="A247" s="31"/>
      <c r="C247" s="139"/>
      <c r="D247" s="139"/>
      <c r="F247" s="15"/>
      <c r="M247" s="587"/>
    </row>
    <row r="248">
      <c r="A248" s="31"/>
      <c r="C248" s="139"/>
      <c r="D248" s="139"/>
      <c r="F248" s="15"/>
      <c r="M248" s="587"/>
    </row>
    <row r="249">
      <c r="A249" s="31"/>
      <c r="C249" s="139"/>
      <c r="D249" s="139"/>
      <c r="F249" s="15"/>
      <c r="M249" s="587"/>
    </row>
    <row r="250">
      <c r="A250" s="31"/>
      <c r="C250" s="139"/>
      <c r="D250" s="139"/>
      <c r="F250" s="15"/>
      <c r="M250" s="587"/>
    </row>
    <row r="251">
      <c r="A251" s="31"/>
      <c r="C251" s="139"/>
      <c r="D251" s="139"/>
      <c r="F251" s="15"/>
      <c r="M251" s="587"/>
    </row>
    <row r="252">
      <c r="A252" s="31"/>
      <c r="C252" s="139"/>
      <c r="D252" s="139"/>
      <c r="F252" s="15"/>
      <c r="M252" s="587"/>
    </row>
    <row r="253">
      <c r="A253" s="31"/>
      <c r="C253" s="139"/>
      <c r="D253" s="139"/>
      <c r="F253" s="15"/>
      <c r="M253" s="587"/>
    </row>
    <row r="254">
      <c r="A254" s="31"/>
      <c r="C254" s="139"/>
      <c r="D254" s="139"/>
      <c r="F254" s="15"/>
      <c r="M254" s="587"/>
    </row>
    <row r="255">
      <c r="A255" s="31"/>
      <c r="C255" s="139"/>
      <c r="D255" s="139"/>
      <c r="F255" s="15"/>
      <c r="M255" s="587"/>
    </row>
    <row r="256">
      <c r="A256" s="31"/>
      <c r="C256" s="139"/>
      <c r="D256" s="139"/>
      <c r="F256" s="15"/>
      <c r="M256" s="587"/>
    </row>
    <row r="257">
      <c r="A257" s="31"/>
      <c r="C257" s="139"/>
      <c r="D257" s="139"/>
      <c r="F257" s="15"/>
      <c r="M257" s="587"/>
    </row>
    <row r="258">
      <c r="A258" s="31"/>
      <c r="C258" s="139"/>
      <c r="D258" s="139"/>
      <c r="F258" s="15"/>
      <c r="M258" s="587"/>
    </row>
    <row r="259">
      <c r="A259" s="31"/>
      <c r="C259" s="139"/>
      <c r="D259" s="139"/>
      <c r="F259" s="15"/>
      <c r="M259" s="587"/>
    </row>
    <row r="260">
      <c r="A260" s="31"/>
      <c r="C260" s="139"/>
      <c r="D260" s="139"/>
      <c r="F260" s="15"/>
      <c r="M260" s="587"/>
    </row>
    <row r="261">
      <c r="A261" s="31"/>
      <c r="C261" s="139"/>
      <c r="D261" s="139"/>
      <c r="F261" s="15"/>
      <c r="M261" s="587"/>
    </row>
    <row r="262">
      <c r="A262" s="31"/>
      <c r="C262" s="139"/>
      <c r="D262" s="139"/>
      <c r="F262" s="15"/>
      <c r="M262" s="587"/>
    </row>
    <row r="263">
      <c r="A263" s="31"/>
      <c r="C263" s="139"/>
      <c r="D263" s="139"/>
      <c r="F263" s="15"/>
      <c r="M263" s="587"/>
    </row>
    <row r="264">
      <c r="A264" s="31"/>
      <c r="C264" s="139"/>
      <c r="D264" s="139"/>
      <c r="F264" s="15"/>
      <c r="M264" s="587"/>
    </row>
    <row r="265">
      <c r="A265" s="31"/>
      <c r="C265" s="139"/>
      <c r="D265" s="139"/>
      <c r="F265" s="15"/>
      <c r="M265" s="587"/>
    </row>
    <row r="266">
      <c r="A266" s="31"/>
      <c r="C266" s="139"/>
      <c r="D266" s="139"/>
      <c r="F266" s="15"/>
      <c r="M266" s="587"/>
    </row>
    <row r="267">
      <c r="A267" s="31"/>
      <c r="C267" s="139"/>
      <c r="D267" s="139"/>
      <c r="F267" s="15"/>
      <c r="M267" s="587"/>
    </row>
    <row r="268">
      <c r="A268" s="31"/>
      <c r="C268" s="139"/>
      <c r="D268" s="139"/>
      <c r="F268" s="15"/>
      <c r="M268" s="587"/>
    </row>
    <row r="269">
      <c r="A269" s="31"/>
      <c r="C269" s="139"/>
      <c r="D269" s="139"/>
      <c r="F269" s="15"/>
      <c r="M269" s="587"/>
    </row>
    <row r="270">
      <c r="A270" s="31"/>
      <c r="C270" s="139"/>
      <c r="D270" s="139"/>
      <c r="F270" s="15"/>
      <c r="M270" s="587"/>
    </row>
    <row r="271">
      <c r="A271" s="31"/>
      <c r="C271" s="139"/>
      <c r="D271" s="139"/>
      <c r="F271" s="15"/>
      <c r="M271" s="587"/>
    </row>
    <row r="272">
      <c r="A272" s="31"/>
      <c r="C272" s="139"/>
      <c r="D272" s="139"/>
      <c r="F272" s="15"/>
      <c r="M272" s="587"/>
    </row>
    <row r="273">
      <c r="A273" s="31"/>
      <c r="C273" s="139"/>
      <c r="D273" s="139"/>
      <c r="F273" s="15"/>
      <c r="M273" s="587"/>
    </row>
    <row r="274">
      <c r="A274" s="31"/>
      <c r="C274" s="139"/>
      <c r="D274" s="139"/>
      <c r="F274" s="15"/>
      <c r="M274" s="587"/>
    </row>
    <row r="275">
      <c r="A275" s="31"/>
      <c r="C275" s="139"/>
      <c r="D275" s="139"/>
      <c r="F275" s="15"/>
      <c r="M275" s="587"/>
    </row>
    <row r="276">
      <c r="A276" s="31"/>
      <c r="C276" s="139"/>
      <c r="D276" s="139"/>
      <c r="F276" s="15"/>
      <c r="M276" s="587"/>
    </row>
    <row r="277">
      <c r="A277" s="31"/>
      <c r="C277" s="139"/>
      <c r="D277" s="139"/>
      <c r="F277" s="15"/>
      <c r="M277" s="587"/>
    </row>
    <row r="278">
      <c r="A278" s="31"/>
      <c r="C278" s="139"/>
      <c r="D278" s="139"/>
      <c r="F278" s="15"/>
      <c r="M278" s="587"/>
    </row>
    <row r="279">
      <c r="A279" s="31"/>
      <c r="C279" s="139"/>
      <c r="D279" s="139"/>
      <c r="F279" s="15"/>
      <c r="M279" s="587"/>
    </row>
    <row r="280">
      <c r="A280" s="31"/>
      <c r="C280" s="139"/>
      <c r="D280" s="139"/>
      <c r="F280" s="15"/>
      <c r="M280" s="587"/>
    </row>
    <row r="281">
      <c r="A281" s="31"/>
      <c r="C281" s="139"/>
      <c r="D281" s="139"/>
      <c r="F281" s="15"/>
      <c r="M281" s="587"/>
    </row>
    <row r="282">
      <c r="A282" s="31"/>
      <c r="C282" s="139"/>
      <c r="D282" s="139"/>
      <c r="F282" s="15"/>
      <c r="M282" s="587"/>
    </row>
    <row r="283">
      <c r="A283" s="31"/>
      <c r="C283" s="139"/>
      <c r="D283" s="139"/>
      <c r="F283" s="15"/>
      <c r="M283" s="587"/>
    </row>
    <row r="284">
      <c r="A284" s="31"/>
      <c r="C284" s="139"/>
      <c r="D284" s="139"/>
      <c r="F284" s="15"/>
      <c r="M284" s="587"/>
    </row>
    <row r="285">
      <c r="A285" s="31"/>
      <c r="C285" s="139"/>
      <c r="D285" s="139"/>
      <c r="F285" s="15"/>
      <c r="M285" s="587"/>
    </row>
    <row r="286">
      <c r="A286" s="31"/>
      <c r="C286" s="139"/>
      <c r="D286" s="139"/>
      <c r="F286" s="15"/>
      <c r="M286" s="587"/>
    </row>
    <row r="287">
      <c r="A287" s="31"/>
      <c r="C287" s="139"/>
      <c r="D287" s="139"/>
      <c r="F287" s="15"/>
      <c r="M287" s="587"/>
    </row>
    <row r="288">
      <c r="A288" s="31"/>
      <c r="C288" s="139"/>
      <c r="D288" s="139"/>
      <c r="F288" s="15"/>
      <c r="M288" s="587"/>
    </row>
    <row r="289">
      <c r="A289" s="31"/>
      <c r="C289" s="139"/>
      <c r="D289" s="139"/>
      <c r="F289" s="15"/>
      <c r="M289" s="587"/>
    </row>
    <row r="290">
      <c r="A290" s="31"/>
      <c r="C290" s="139"/>
      <c r="D290" s="139"/>
      <c r="F290" s="15"/>
      <c r="M290" s="587"/>
    </row>
    <row r="291">
      <c r="A291" s="31"/>
      <c r="C291" s="139"/>
      <c r="D291" s="139"/>
      <c r="F291" s="15"/>
      <c r="M291" s="587"/>
    </row>
    <row r="292">
      <c r="A292" s="31"/>
      <c r="C292" s="139"/>
      <c r="D292" s="139"/>
      <c r="F292" s="15"/>
      <c r="M292" s="587"/>
    </row>
    <row r="293">
      <c r="A293" s="31"/>
      <c r="C293" s="139"/>
      <c r="D293" s="139"/>
      <c r="F293" s="15"/>
      <c r="M293" s="587"/>
    </row>
    <row r="294">
      <c r="A294" s="31"/>
      <c r="C294" s="139"/>
      <c r="D294" s="139"/>
      <c r="F294" s="15"/>
      <c r="M294" s="587"/>
    </row>
    <row r="295">
      <c r="A295" s="31"/>
      <c r="C295" s="139"/>
      <c r="D295" s="139"/>
      <c r="F295" s="15"/>
      <c r="M295" s="587"/>
    </row>
    <row r="296">
      <c r="A296" s="31"/>
      <c r="C296" s="139"/>
      <c r="D296" s="139"/>
      <c r="F296" s="15"/>
      <c r="M296" s="587"/>
    </row>
    <row r="297">
      <c r="A297" s="31"/>
      <c r="C297" s="139"/>
      <c r="D297" s="139"/>
      <c r="F297" s="15"/>
      <c r="M297" s="587"/>
    </row>
    <row r="298">
      <c r="A298" s="31"/>
      <c r="C298" s="139"/>
      <c r="D298" s="139"/>
      <c r="F298" s="15"/>
      <c r="M298" s="587"/>
    </row>
    <row r="299">
      <c r="A299" s="31"/>
      <c r="C299" s="139"/>
      <c r="D299" s="139"/>
      <c r="F299" s="15"/>
      <c r="M299" s="587"/>
    </row>
    <row r="300">
      <c r="A300" s="31"/>
      <c r="C300" s="139"/>
      <c r="D300" s="139"/>
      <c r="F300" s="15"/>
      <c r="M300" s="587"/>
    </row>
    <row r="301">
      <c r="A301" s="31"/>
      <c r="C301" s="139"/>
      <c r="D301" s="139"/>
      <c r="F301" s="15"/>
      <c r="M301" s="587"/>
    </row>
    <row r="302">
      <c r="A302" s="31"/>
      <c r="C302" s="139"/>
      <c r="D302" s="139"/>
      <c r="F302" s="15"/>
      <c r="M302" s="587"/>
    </row>
    <row r="303">
      <c r="A303" s="31"/>
      <c r="C303" s="139"/>
      <c r="D303" s="139"/>
      <c r="F303" s="15"/>
      <c r="M303" s="587"/>
    </row>
    <row r="304">
      <c r="A304" s="31"/>
      <c r="C304" s="139"/>
      <c r="D304" s="139"/>
      <c r="F304" s="15"/>
      <c r="M304" s="587"/>
    </row>
    <row r="305">
      <c r="A305" s="31"/>
      <c r="C305" s="139"/>
      <c r="D305" s="139"/>
      <c r="F305" s="15"/>
      <c r="M305" s="587"/>
    </row>
    <row r="306">
      <c r="A306" s="31"/>
      <c r="C306" s="139"/>
      <c r="D306" s="139"/>
      <c r="F306" s="15"/>
      <c r="M306" s="587"/>
    </row>
    <row r="307">
      <c r="A307" s="31"/>
      <c r="C307" s="139"/>
      <c r="D307" s="139"/>
      <c r="F307" s="15"/>
      <c r="M307" s="587"/>
    </row>
    <row r="308">
      <c r="A308" s="31"/>
      <c r="C308" s="139"/>
      <c r="D308" s="139"/>
      <c r="F308" s="15"/>
      <c r="M308" s="587"/>
    </row>
    <row r="309">
      <c r="A309" s="31"/>
      <c r="C309" s="139"/>
      <c r="D309" s="139"/>
      <c r="F309" s="15"/>
      <c r="M309" s="587"/>
    </row>
    <row r="310">
      <c r="A310" s="31"/>
      <c r="C310" s="139"/>
      <c r="D310" s="139"/>
      <c r="F310" s="15"/>
      <c r="M310" s="587"/>
    </row>
    <row r="311">
      <c r="A311" s="31"/>
      <c r="C311" s="139"/>
      <c r="D311" s="139"/>
      <c r="F311" s="15"/>
      <c r="M311" s="587"/>
    </row>
    <row r="312">
      <c r="A312" s="31"/>
      <c r="C312" s="139"/>
      <c r="D312" s="139"/>
      <c r="F312" s="15"/>
      <c r="M312" s="587"/>
    </row>
    <row r="313">
      <c r="A313" s="31"/>
      <c r="C313" s="139"/>
      <c r="D313" s="139"/>
      <c r="F313" s="15"/>
      <c r="M313" s="587"/>
    </row>
    <row r="314">
      <c r="A314" s="31"/>
      <c r="C314" s="139"/>
      <c r="D314" s="139"/>
      <c r="F314" s="15"/>
      <c r="M314" s="587"/>
    </row>
    <row r="315">
      <c r="A315" s="31"/>
      <c r="C315" s="139"/>
      <c r="D315" s="139"/>
      <c r="F315" s="15"/>
      <c r="M315" s="587"/>
    </row>
    <row r="316">
      <c r="A316" s="31"/>
      <c r="C316" s="139"/>
      <c r="D316" s="139"/>
      <c r="F316" s="15"/>
      <c r="M316" s="587"/>
    </row>
    <row r="317">
      <c r="A317" s="31"/>
      <c r="C317" s="139"/>
      <c r="D317" s="139"/>
      <c r="F317" s="15"/>
      <c r="M317" s="587"/>
    </row>
    <row r="318">
      <c r="A318" s="31"/>
      <c r="C318" s="139"/>
      <c r="D318" s="139"/>
      <c r="F318" s="15"/>
      <c r="M318" s="587"/>
    </row>
    <row r="319">
      <c r="A319" s="31"/>
      <c r="C319" s="139"/>
      <c r="D319" s="139"/>
      <c r="F319" s="15"/>
      <c r="M319" s="587"/>
    </row>
    <row r="320">
      <c r="A320" s="31"/>
      <c r="C320" s="139"/>
      <c r="D320" s="139"/>
      <c r="F320" s="15"/>
      <c r="M320" s="587"/>
    </row>
    <row r="321">
      <c r="A321" s="31"/>
      <c r="C321" s="139"/>
      <c r="D321" s="139"/>
      <c r="F321" s="15"/>
      <c r="M321" s="587"/>
    </row>
    <row r="322">
      <c r="A322" s="31"/>
      <c r="C322" s="139"/>
      <c r="D322" s="139"/>
      <c r="F322" s="15"/>
      <c r="M322" s="587"/>
    </row>
    <row r="323">
      <c r="A323" s="31"/>
      <c r="C323" s="139"/>
      <c r="D323" s="139"/>
      <c r="F323" s="15"/>
      <c r="M323" s="587"/>
    </row>
    <row r="324">
      <c r="A324" s="31"/>
      <c r="C324" s="139"/>
      <c r="D324" s="139"/>
      <c r="F324" s="15"/>
      <c r="M324" s="587"/>
    </row>
    <row r="325">
      <c r="A325" s="31"/>
      <c r="C325" s="139"/>
      <c r="D325" s="139"/>
      <c r="F325" s="15"/>
      <c r="M325" s="587"/>
    </row>
    <row r="326">
      <c r="A326" s="31"/>
      <c r="C326" s="139"/>
      <c r="D326" s="139"/>
      <c r="F326" s="15"/>
      <c r="M326" s="587"/>
    </row>
    <row r="327">
      <c r="A327" s="31"/>
      <c r="C327" s="139"/>
      <c r="D327" s="139"/>
      <c r="F327" s="15"/>
      <c r="M327" s="587"/>
    </row>
    <row r="328">
      <c r="A328" s="31"/>
      <c r="C328" s="139"/>
      <c r="D328" s="139"/>
      <c r="F328" s="15"/>
      <c r="M328" s="587"/>
    </row>
    <row r="329">
      <c r="A329" s="31"/>
      <c r="C329" s="139"/>
      <c r="D329" s="139"/>
      <c r="F329" s="15"/>
      <c r="M329" s="587"/>
    </row>
    <row r="330">
      <c r="A330" s="31"/>
      <c r="C330" s="139"/>
      <c r="D330" s="139"/>
      <c r="F330" s="15"/>
      <c r="M330" s="587"/>
    </row>
    <row r="331">
      <c r="A331" s="31"/>
      <c r="C331" s="139"/>
      <c r="D331" s="139"/>
      <c r="F331" s="15"/>
      <c r="M331" s="587"/>
    </row>
    <row r="332">
      <c r="A332" s="31"/>
      <c r="C332" s="139"/>
      <c r="D332" s="139"/>
      <c r="F332" s="15"/>
      <c r="M332" s="587"/>
    </row>
    <row r="333">
      <c r="A333" s="31"/>
      <c r="C333" s="139"/>
      <c r="D333" s="139"/>
      <c r="F333" s="15"/>
      <c r="M333" s="587"/>
    </row>
    <row r="334">
      <c r="A334" s="31"/>
      <c r="C334" s="139"/>
      <c r="D334" s="139"/>
      <c r="F334" s="15"/>
      <c r="M334" s="587"/>
    </row>
    <row r="335">
      <c r="A335" s="31"/>
      <c r="C335" s="139"/>
      <c r="D335" s="139"/>
      <c r="F335" s="15"/>
      <c r="M335" s="587"/>
    </row>
    <row r="336">
      <c r="A336" s="31"/>
      <c r="C336" s="139"/>
      <c r="D336" s="139"/>
      <c r="F336" s="15"/>
      <c r="M336" s="587"/>
    </row>
    <row r="337">
      <c r="A337" s="31"/>
      <c r="C337" s="139"/>
      <c r="D337" s="139"/>
      <c r="F337" s="15"/>
      <c r="M337" s="587"/>
    </row>
    <row r="338">
      <c r="A338" s="31"/>
      <c r="C338" s="139"/>
      <c r="D338" s="139"/>
      <c r="F338" s="15"/>
      <c r="M338" s="587"/>
    </row>
    <row r="339">
      <c r="A339" s="31"/>
      <c r="C339" s="139"/>
      <c r="D339" s="139"/>
      <c r="F339" s="15"/>
      <c r="M339" s="587"/>
    </row>
    <row r="340">
      <c r="A340" s="31"/>
      <c r="C340" s="139"/>
      <c r="D340" s="139"/>
      <c r="F340" s="15"/>
      <c r="M340" s="587"/>
    </row>
    <row r="341">
      <c r="A341" s="31"/>
      <c r="C341" s="139"/>
      <c r="D341" s="139"/>
      <c r="F341" s="15"/>
      <c r="M341" s="587"/>
    </row>
    <row r="342">
      <c r="A342" s="31"/>
      <c r="C342" s="139"/>
      <c r="D342" s="139"/>
      <c r="F342" s="15"/>
      <c r="M342" s="587"/>
    </row>
    <row r="343">
      <c r="A343" s="31"/>
      <c r="C343" s="139"/>
      <c r="D343" s="139"/>
      <c r="F343" s="15"/>
      <c r="M343" s="587"/>
    </row>
    <row r="344">
      <c r="A344" s="31"/>
      <c r="C344" s="139"/>
      <c r="D344" s="139"/>
      <c r="F344" s="15"/>
      <c r="M344" s="587"/>
    </row>
    <row r="345">
      <c r="A345" s="31"/>
      <c r="C345" s="139"/>
      <c r="D345" s="139"/>
      <c r="F345" s="15"/>
      <c r="M345" s="587"/>
    </row>
    <row r="346">
      <c r="A346" s="31"/>
      <c r="C346" s="139"/>
      <c r="D346" s="139"/>
      <c r="F346" s="15"/>
      <c r="M346" s="587"/>
    </row>
    <row r="347">
      <c r="A347" s="31"/>
      <c r="C347" s="139"/>
      <c r="D347" s="139"/>
      <c r="F347" s="15"/>
      <c r="M347" s="587"/>
    </row>
    <row r="348">
      <c r="A348" s="31"/>
      <c r="C348" s="139"/>
      <c r="D348" s="139"/>
      <c r="F348" s="15"/>
      <c r="M348" s="587"/>
    </row>
    <row r="349">
      <c r="A349" s="31"/>
      <c r="C349" s="139"/>
      <c r="D349" s="139"/>
      <c r="F349" s="15"/>
      <c r="M349" s="587"/>
    </row>
    <row r="350">
      <c r="A350" s="31"/>
      <c r="C350" s="139"/>
      <c r="D350" s="139"/>
      <c r="F350" s="15"/>
      <c r="M350" s="587"/>
    </row>
    <row r="351">
      <c r="A351" s="31"/>
      <c r="C351" s="139"/>
      <c r="D351" s="139"/>
      <c r="F351" s="15"/>
      <c r="M351" s="587"/>
    </row>
    <row r="352">
      <c r="A352" s="31"/>
      <c r="C352" s="139"/>
      <c r="D352" s="139"/>
      <c r="F352" s="15"/>
      <c r="M352" s="587"/>
    </row>
    <row r="353">
      <c r="A353" s="31"/>
      <c r="C353" s="139"/>
      <c r="D353" s="139"/>
      <c r="F353" s="15"/>
      <c r="M353" s="587"/>
    </row>
    <row r="354">
      <c r="A354" s="31"/>
      <c r="C354" s="139"/>
      <c r="D354" s="139"/>
      <c r="F354" s="15"/>
      <c r="M354" s="587"/>
    </row>
    <row r="355">
      <c r="A355" s="31"/>
      <c r="C355" s="139"/>
      <c r="D355" s="139"/>
      <c r="F355" s="15"/>
      <c r="M355" s="587"/>
    </row>
    <row r="356">
      <c r="A356" s="31"/>
      <c r="C356" s="139"/>
      <c r="D356" s="139"/>
      <c r="F356" s="15"/>
      <c r="M356" s="587"/>
    </row>
    <row r="357">
      <c r="A357" s="31"/>
      <c r="C357" s="139"/>
      <c r="D357" s="139"/>
      <c r="F357" s="15"/>
      <c r="M357" s="587"/>
    </row>
    <row r="358">
      <c r="A358" s="31"/>
      <c r="C358" s="139"/>
      <c r="D358" s="139"/>
      <c r="F358" s="15"/>
      <c r="M358" s="587"/>
    </row>
    <row r="359">
      <c r="A359" s="31"/>
      <c r="C359" s="139"/>
      <c r="D359" s="139"/>
      <c r="F359" s="15"/>
      <c r="M359" s="587"/>
    </row>
    <row r="360">
      <c r="A360" s="31"/>
      <c r="C360" s="139"/>
      <c r="D360" s="139"/>
      <c r="F360" s="15"/>
      <c r="M360" s="587"/>
    </row>
    <row r="361">
      <c r="A361" s="31"/>
      <c r="C361" s="139"/>
      <c r="D361" s="139"/>
      <c r="F361" s="15"/>
      <c r="M361" s="587"/>
    </row>
    <row r="362">
      <c r="A362" s="31"/>
      <c r="C362" s="139"/>
      <c r="D362" s="139"/>
      <c r="F362" s="15"/>
      <c r="M362" s="587"/>
    </row>
    <row r="363">
      <c r="A363" s="31"/>
      <c r="C363" s="139"/>
      <c r="D363" s="139"/>
      <c r="F363" s="15"/>
      <c r="M363" s="587"/>
    </row>
    <row r="364">
      <c r="A364" s="31"/>
      <c r="C364" s="139"/>
      <c r="D364" s="139"/>
      <c r="F364" s="15"/>
      <c r="M364" s="587"/>
    </row>
    <row r="365">
      <c r="A365" s="31"/>
      <c r="C365" s="139"/>
      <c r="D365" s="139"/>
      <c r="F365" s="15"/>
      <c r="M365" s="587"/>
    </row>
    <row r="366">
      <c r="A366" s="31"/>
      <c r="C366" s="139"/>
      <c r="D366" s="139"/>
      <c r="F366" s="15"/>
      <c r="M366" s="587"/>
    </row>
    <row r="367">
      <c r="A367" s="31"/>
      <c r="C367" s="139"/>
      <c r="D367" s="139"/>
      <c r="F367" s="15"/>
      <c r="M367" s="587"/>
    </row>
    <row r="368">
      <c r="A368" s="31"/>
      <c r="C368" s="139"/>
      <c r="D368" s="139"/>
      <c r="F368" s="15"/>
      <c r="M368" s="587"/>
    </row>
    <row r="369">
      <c r="A369" s="31"/>
      <c r="C369" s="139"/>
      <c r="D369" s="139"/>
      <c r="F369" s="15"/>
      <c r="M369" s="587"/>
    </row>
    <row r="370">
      <c r="A370" s="31"/>
      <c r="C370" s="139"/>
      <c r="D370" s="139"/>
      <c r="F370" s="15"/>
      <c r="M370" s="587"/>
    </row>
    <row r="371">
      <c r="A371" s="31"/>
      <c r="C371" s="139"/>
      <c r="D371" s="139"/>
      <c r="F371" s="15"/>
      <c r="M371" s="587"/>
    </row>
    <row r="372">
      <c r="A372" s="31"/>
      <c r="C372" s="139"/>
      <c r="D372" s="139"/>
      <c r="F372" s="15"/>
      <c r="M372" s="587"/>
    </row>
    <row r="373">
      <c r="A373" s="31"/>
      <c r="C373" s="139"/>
      <c r="D373" s="139"/>
      <c r="F373" s="15"/>
      <c r="M373" s="587"/>
    </row>
    <row r="374">
      <c r="A374" s="31"/>
      <c r="C374" s="139"/>
      <c r="D374" s="139"/>
      <c r="F374" s="15"/>
      <c r="M374" s="587"/>
    </row>
    <row r="375">
      <c r="A375" s="31"/>
      <c r="C375" s="139"/>
      <c r="D375" s="139"/>
      <c r="F375" s="15"/>
      <c r="M375" s="587"/>
    </row>
    <row r="376">
      <c r="A376" s="31"/>
      <c r="C376" s="139"/>
      <c r="D376" s="139"/>
      <c r="F376" s="15"/>
      <c r="M376" s="587"/>
    </row>
    <row r="377">
      <c r="A377" s="31"/>
      <c r="C377" s="139"/>
      <c r="D377" s="139"/>
      <c r="F377" s="15"/>
      <c r="M377" s="587"/>
    </row>
    <row r="378">
      <c r="A378" s="31"/>
      <c r="C378" s="139"/>
      <c r="D378" s="139"/>
      <c r="F378" s="15"/>
      <c r="M378" s="587"/>
    </row>
    <row r="379">
      <c r="A379" s="31"/>
      <c r="C379" s="139"/>
      <c r="D379" s="139"/>
      <c r="F379" s="15"/>
      <c r="M379" s="587"/>
    </row>
    <row r="380">
      <c r="A380" s="31"/>
      <c r="C380" s="139"/>
      <c r="D380" s="139"/>
      <c r="F380" s="15"/>
      <c r="M380" s="587"/>
    </row>
    <row r="381">
      <c r="A381" s="31"/>
      <c r="C381" s="139"/>
      <c r="D381" s="139"/>
      <c r="F381" s="15"/>
      <c r="M381" s="587"/>
    </row>
    <row r="382">
      <c r="A382" s="31"/>
      <c r="C382" s="139"/>
      <c r="D382" s="139"/>
      <c r="F382" s="15"/>
      <c r="M382" s="587"/>
    </row>
    <row r="383">
      <c r="A383" s="31"/>
      <c r="C383" s="139"/>
      <c r="D383" s="139"/>
      <c r="F383" s="15"/>
      <c r="M383" s="587"/>
    </row>
    <row r="384">
      <c r="A384" s="31"/>
      <c r="C384" s="139"/>
      <c r="D384" s="139"/>
      <c r="F384" s="15"/>
      <c r="M384" s="587"/>
    </row>
    <row r="385">
      <c r="A385" s="31"/>
      <c r="C385" s="139"/>
      <c r="D385" s="139"/>
      <c r="F385" s="15"/>
      <c r="M385" s="587"/>
    </row>
    <row r="386">
      <c r="A386" s="31"/>
      <c r="C386" s="139"/>
      <c r="D386" s="139"/>
      <c r="F386" s="15"/>
      <c r="M386" s="587"/>
    </row>
    <row r="387">
      <c r="A387" s="31"/>
      <c r="C387" s="139"/>
      <c r="D387" s="139"/>
      <c r="F387" s="15"/>
      <c r="M387" s="587"/>
    </row>
    <row r="388">
      <c r="A388" s="31"/>
      <c r="C388" s="139"/>
      <c r="D388" s="139"/>
      <c r="F388" s="15"/>
      <c r="M388" s="587"/>
    </row>
    <row r="389">
      <c r="A389" s="31"/>
      <c r="C389" s="139"/>
      <c r="D389" s="139"/>
      <c r="F389" s="15"/>
      <c r="M389" s="587"/>
    </row>
    <row r="390">
      <c r="A390" s="31"/>
      <c r="C390" s="139"/>
      <c r="D390" s="139"/>
      <c r="F390" s="15"/>
      <c r="M390" s="587"/>
    </row>
    <row r="391">
      <c r="A391" s="31"/>
      <c r="C391" s="139"/>
      <c r="D391" s="139"/>
      <c r="F391" s="15"/>
      <c r="M391" s="587"/>
    </row>
    <row r="392">
      <c r="A392" s="31"/>
      <c r="C392" s="139"/>
      <c r="D392" s="139"/>
      <c r="F392" s="15"/>
      <c r="M392" s="587"/>
    </row>
    <row r="393">
      <c r="A393" s="31"/>
      <c r="C393" s="139"/>
      <c r="D393" s="139"/>
      <c r="F393" s="15"/>
      <c r="M393" s="587"/>
    </row>
    <row r="394">
      <c r="A394" s="31"/>
      <c r="C394" s="139"/>
      <c r="D394" s="139"/>
      <c r="F394" s="15"/>
      <c r="M394" s="587"/>
    </row>
    <row r="395">
      <c r="A395" s="31"/>
      <c r="C395" s="139"/>
      <c r="D395" s="139"/>
      <c r="F395" s="15"/>
      <c r="M395" s="587"/>
    </row>
    <row r="396">
      <c r="A396" s="31"/>
      <c r="C396" s="139"/>
      <c r="D396" s="139"/>
      <c r="F396" s="15"/>
      <c r="M396" s="587"/>
    </row>
    <row r="397">
      <c r="A397" s="31"/>
      <c r="C397" s="139"/>
      <c r="D397" s="139"/>
      <c r="F397" s="15"/>
      <c r="M397" s="587"/>
    </row>
    <row r="398">
      <c r="A398" s="31"/>
      <c r="C398" s="139"/>
      <c r="D398" s="139"/>
      <c r="F398" s="15"/>
      <c r="M398" s="587"/>
    </row>
    <row r="399">
      <c r="A399" s="31"/>
      <c r="C399" s="139"/>
      <c r="D399" s="139"/>
      <c r="F399" s="15"/>
      <c r="M399" s="587"/>
    </row>
    <row r="400">
      <c r="A400" s="31"/>
      <c r="C400" s="139"/>
      <c r="D400" s="139"/>
      <c r="F400" s="15"/>
      <c r="M400" s="587"/>
    </row>
    <row r="401">
      <c r="A401" s="31"/>
      <c r="C401" s="139"/>
      <c r="D401" s="139"/>
      <c r="F401" s="15"/>
      <c r="M401" s="587"/>
    </row>
    <row r="402">
      <c r="A402" s="31"/>
      <c r="C402" s="139"/>
      <c r="D402" s="139"/>
      <c r="F402" s="15"/>
      <c r="M402" s="587"/>
    </row>
    <row r="403">
      <c r="A403" s="31"/>
      <c r="C403" s="139"/>
      <c r="D403" s="139"/>
      <c r="F403" s="15"/>
      <c r="M403" s="587"/>
    </row>
    <row r="404">
      <c r="A404" s="31"/>
      <c r="C404" s="139"/>
      <c r="D404" s="139"/>
      <c r="F404" s="15"/>
      <c r="M404" s="587"/>
    </row>
    <row r="405">
      <c r="A405" s="31"/>
      <c r="C405" s="139"/>
      <c r="D405" s="139"/>
      <c r="F405" s="15"/>
      <c r="M405" s="587"/>
    </row>
    <row r="406">
      <c r="A406" s="31"/>
      <c r="C406" s="139"/>
      <c r="D406" s="139"/>
      <c r="F406" s="15"/>
      <c r="M406" s="587"/>
    </row>
    <row r="407">
      <c r="A407" s="31"/>
      <c r="C407" s="139"/>
      <c r="D407" s="139"/>
      <c r="F407" s="15"/>
      <c r="M407" s="587"/>
    </row>
    <row r="408">
      <c r="A408" s="31"/>
      <c r="C408" s="139"/>
      <c r="D408" s="139"/>
      <c r="F408" s="15"/>
      <c r="M408" s="587"/>
    </row>
    <row r="409">
      <c r="A409" s="31"/>
      <c r="C409" s="139"/>
      <c r="D409" s="139"/>
      <c r="F409" s="15"/>
      <c r="M409" s="587"/>
    </row>
    <row r="410">
      <c r="A410" s="31"/>
      <c r="C410" s="139"/>
      <c r="D410" s="139"/>
      <c r="F410" s="15"/>
      <c r="M410" s="587"/>
    </row>
    <row r="411">
      <c r="A411" s="31"/>
      <c r="C411" s="139"/>
      <c r="D411" s="139"/>
      <c r="F411" s="15"/>
      <c r="M411" s="587"/>
    </row>
    <row r="412">
      <c r="A412" s="31"/>
      <c r="C412" s="139"/>
      <c r="D412" s="139"/>
      <c r="F412" s="15"/>
      <c r="M412" s="587"/>
    </row>
    <row r="413">
      <c r="A413" s="31"/>
      <c r="C413" s="139"/>
      <c r="D413" s="139"/>
      <c r="F413" s="15"/>
      <c r="M413" s="587"/>
    </row>
    <row r="414">
      <c r="A414" s="31"/>
      <c r="C414" s="139"/>
      <c r="D414" s="139"/>
      <c r="F414" s="15"/>
      <c r="M414" s="587"/>
    </row>
    <row r="415">
      <c r="A415" s="31"/>
      <c r="C415" s="139"/>
      <c r="D415" s="139"/>
      <c r="F415" s="15"/>
      <c r="M415" s="587"/>
    </row>
    <row r="416">
      <c r="A416" s="31"/>
      <c r="C416" s="139"/>
      <c r="D416" s="139"/>
      <c r="F416" s="15"/>
      <c r="M416" s="587"/>
    </row>
    <row r="417">
      <c r="A417" s="31"/>
      <c r="C417" s="139"/>
      <c r="D417" s="139"/>
      <c r="F417" s="15"/>
      <c r="M417" s="587"/>
    </row>
    <row r="418">
      <c r="A418" s="31"/>
      <c r="C418" s="139"/>
      <c r="D418" s="139"/>
      <c r="F418" s="15"/>
      <c r="M418" s="587"/>
    </row>
    <row r="419">
      <c r="A419" s="31"/>
      <c r="C419" s="139"/>
      <c r="D419" s="139"/>
      <c r="F419" s="15"/>
      <c r="M419" s="587"/>
    </row>
    <row r="420">
      <c r="A420" s="31"/>
      <c r="C420" s="139"/>
      <c r="D420" s="139"/>
      <c r="F420" s="15"/>
      <c r="M420" s="587"/>
    </row>
    <row r="421">
      <c r="A421" s="31"/>
      <c r="C421" s="139"/>
      <c r="D421" s="139"/>
      <c r="F421" s="15"/>
      <c r="M421" s="587"/>
    </row>
    <row r="422">
      <c r="A422" s="31"/>
      <c r="C422" s="139"/>
      <c r="D422" s="139"/>
      <c r="F422" s="15"/>
      <c r="M422" s="587"/>
    </row>
    <row r="423">
      <c r="A423" s="31"/>
      <c r="C423" s="139"/>
      <c r="D423" s="139"/>
      <c r="F423" s="15"/>
      <c r="M423" s="587"/>
    </row>
    <row r="424">
      <c r="A424" s="31"/>
      <c r="C424" s="139"/>
      <c r="D424" s="139"/>
      <c r="F424" s="15"/>
      <c r="M424" s="587"/>
    </row>
    <row r="425">
      <c r="A425" s="31"/>
      <c r="C425" s="139"/>
      <c r="D425" s="139"/>
      <c r="F425" s="15"/>
      <c r="M425" s="587"/>
    </row>
    <row r="426">
      <c r="A426" s="31"/>
      <c r="C426" s="139"/>
      <c r="D426" s="139"/>
      <c r="F426" s="15"/>
      <c r="M426" s="587"/>
    </row>
    <row r="427">
      <c r="A427" s="31"/>
      <c r="C427" s="139"/>
      <c r="D427" s="139"/>
      <c r="F427" s="15"/>
      <c r="M427" s="587"/>
    </row>
    <row r="428">
      <c r="A428" s="31"/>
      <c r="C428" s="139"/>
      <c r="D428" s="139"/>
      <c r="F428" s="15"/>
      <c r="M428" s="587"/>
    </row>
    <row r="429">
      <c r="A429" s="31"/>
      <c r="C429" s="139"/>
      <c r="D429" s="139"/>
      <c r="F429" s="15"/>
      <c r="M429" s="587"/>
    </row>
    <row r="430">
      <c r="A430" s="31"/>
      <c r="C430" s="139"/>
      <c r="D430" s="139"/>
      <c r="F430" s="15"/>
      <c r="M430" s="587"/>
    </row>
    <row r="431">
      <c r="A431" s="31"/>
      <c r="C431" s="139"/>
      <c r="D431" s="139"/>
      <c r="F431" s="15"/>
      <c r="M431" s="587"/>
    </row>
    <row r="432">
      <c r="A432" s="31"/>
      <c r="C432" s="139"/>
      <c r="D432" s="139"/>
      <c r="F432" s="15"/>
      <c r="M432" s="587"/>
    </row>
    <row r="433">
      <c r="A433" s="31"/>
      <c r="C433" s="139"/>
      <c r="D433" s="139"/>
      <c r="F433" s="15"/>
      <c r="M433" s="587"/>
    </row>
    <row r="434">
      <c r="A434" s="31"/>
      <c r="C434" s="139"/>
      <c r="D434" s="139"/>
      <c r="F434" s="15"/>
      <c r="M434" s="587"/>
    </row>
    <row r="435">
      <c r="A435" s="31"/>
      <c r="C435" s="139"/>
      <c r="D435" s="139"/>
      <c r="F435" s="15"/>
      <c r="M435" s="587"/>
    </row>
    <row r="436">
      <c r="A436" s="31"/>
      <c r="C436" s="139"/>
      <c r="D436" s="139"/>
      <c r="F436" s="15"/>
      <c r="M436" s="587"/>
    </row>
    <row r="437">
      <c r="A437" s="31"/>
      <c r="C437" s="139"/>
      <c r="D437" s="139"/>
      <c r="F437" s="15"/>
      <c r="M437" s="587"/>
    </row>
    <row r="438">
      <c r="A438" s="31"/>
      <c r="C438" s="139"/>
      <c r="D438" s="139"/>
      <c r="F438" s="15"/>
      <c r="M438" s="587"/>
    </row>
    <row r="439">
      <c r="A439" s="31"/>
      <c r="C439" s="139"/>
      <c r="D439" s="139"/>
      <c r="F439" s="15"/>
      <c r="M439" s="587"/>
    </row>
    <row r="440">
      <c r="A440" s="31"/>
      <c r="C440" s="139"/>
      <c r="D440" s="139"/>
      <c r="F440" s="15"/>
      <c r="M440" s="587"/>
    </row>
    <row r="441">
      <c r="A441" s="31"/>
      <c r="C441" s="139"/>
      <c r="D441" s="139"/>
      <c r="F441" s="15"/>
      <c r="M441" s="587"/>
    </row>
    <row r="442">
      <c r="A442" s="31"/>
      <c r="C442" s="139"/>
      <c r="D442" s="139"/>
      <c r="F442" s="15"/>
      <c r="M442" s="587"/>
    </row>
    <row r="443">
      <c r="A443" s="31"/>
      <c r="C443" s="139"/>
      <c r="D443" s="139"/>
      <c r="F443" s="15"/>
      <c r="M443" s="587"/>
    </row>
    <row r="444">
      <c r="A444" s="31"/>
      <c r="C444" s="139"/>
      <c r="D444" s="139"/>
      <c r="F444" s="15"/>
      <c r="M444" s="587"/>
    </row>
    <row r="445">
      <c r="A445" s="31"/>
      <c r="C445" s="139"/>
      <c r="D445" s="139"/>
      <c r="F445" s="15"/>
      <c r="M445" s="587"/>
    </row>
    <row r="446">
      <c r="A446" s="31"/>
      <c r="C446" s="139"/>
      <c r="D446" s="139"/>
      <c r="F446" s="15"/>
      <c r="M446" s="587"/>
    </row>
    <row r="447">
      <c r="A447" s="31"/>
      <c r="C447" s="139"/>
      <c r="D447" s="139"/>
      <c r="F447" s="15"/>
      <c r="M447" s="587"/>
    </row>
    <row r="448">
      <c r="A448" s="31"/>
      <c r="C448" s="139"/>
      <c r="D448" s="139"/>
      <c r="F448" s="15"/>
      <c r="M448" s="587"/>
    </row>
    <row r="449">
      <c r="A449" s="31"/>
      <c r="C449" s="139"/>
      <c r="D449" s="139"/>
      <c r="F449" s="15"/>
      <c r="M449" s="587"/>
    </row>
    <row r="450">
      <c r="A450" s="31"/>
      <c r="C450" s="139"/>
      <c r="D450" s="139"/>
      <c r="F450" s="15"/>
      <c r="M450" s="587"/>
    </row>
    <row r="451">
      <c r="A451" s="31"/>
      <c r="C451" s="139"/>
      <c r="D451" s="139"/>
      <c r="F451" s="15"/>
      <c r="M451" s="587"/>
    </row>
    <row r="452">
      <c r="A452" s="31"/>
      <c r="C452" s="139"/>
      <c r="D452" s="139"/>
      <c r="F452" s="15"/>
      <c r="M452" s="587"/>
    </row>
    <row r="453">
      <c r="A453" s="31"/>
      <c r="C453" s="139"/>
      <c r="D453" s="139"/>
      <c r="F453" s="15"/>
      <c r="M453" s="587"/>
    </row>
    <row r="454">
      <c r="A454" s="31"/>
      <c r="C454" s="139"/>
      <c r="D454" s="139"/>
      <c r="F454" s="15"/>
      <c r="M454" s="587"/>
    </row>
    <row r="455">
      <c r="A455" s="31"/>
      <c r="C455" s="139"/>
      <c r="D455" s="139"/>
      <c r="F455" s="15"/>
      <c r="M455" s="587"/>
    </row>
    <row r="456">
      <c r="A456" s="31"/>
      <c r="C456" s="139"/>
      <c r="D456" s="139"/>
      <c r="F456" s="15"/>
      <c r="M456" s="587"/>
    </row>
    <row r="457">
      <c r="A457" s="31"/>
      <c r="C457" s="139"/>
      <c r="D457" s="139"/>
      <c r="F457" s="15"/>
      <c r="M457" s="587"/>
    </row>
    <row r="458">
      <c r="A458" s="31"/>
      <c r="C458" s="139"/>
      <c r="D458" s="139"/>
      <c r="F458" s="15"/>
      <c r="M458" s="587"/>
    </row>
    <row r="459">
      <c r="A459" s="31"/>
      <c r="C459" s="139"/>
      <c r="D459" s="139"/>
      <c r="F459" s="15"/>
      <c r="M459" s="587"/>
    </row>
    <row r="460">
      <c r="A460" s="31"/>
      <c r="C460" s="139"/>
      <c r="D460" s="139"/>
      <c r="F460" s="15"/>
      <c r="M460" s="587"/>
    </row>
    <row r="461">
      <c r="A461" s="31"/>
      <c r="C461" s="139"/>
      <c r="D461" s="139"/>
      <c r="F461" s="15"/>
      <c r="M461" s="587"/>
    </row>
    <row r="462">
      <c r="A462" s="31"/>
      <c r="C462" s="139"/>
      <c r="D462" s="139"/>
      <c r="F462" s="15"/>
      <c r="M462" s="587"/>
    </row>
    <row r="463">
      <c r="A463" s="31"/>
      <c r="C463" s="139"/>
      <c r="D463" s="139"/>
      <c r="F463" s="15"/>
      <c r="M463" s="587"/>
    </row>
    <row r="464">
      <c r="A464" s="31"/>
      <c r="C464" s="139"/>
      <c r="D464" s="139"/>
      <c r="F464" s="15"/>
      <c r="M464" s="587"/>
    </row>
    <row r="465">
      <c r="A465" s="31"/>
      <c r="C465" s="139"/>
      <c r="D465" s="139"/>
      <c r="F465" s="15"/>
      <c r="M465" s="587"/>
    </row>
    <row r="466">
      <c r="A466" s="31"/>
      <c r="C466" s="139"/>
      <c r="D466" s="139"/>
      <c r="F466" s="15"/>
      <c r="M466" s="587"/>
    </row>
    <row r="467">
      <c r="A467" s="31"/>
      <c r="C467" s="139"/>
      <c r="D467" s="139"/>
      <c r="F467" s="15"/>
      <c r="M467" s="587"/>
    </row>
    <row r="468">
      <c r="A468" s="31"/>
      <c r="C468" s="139"/>
      <c r="D468" s="139"/>
      <c r="F468" s="15"/>
      <c r="M468" s="587"/>
    </row>
    <row r="469">
      <c r="A469" s="31"/>
      <c r="C469" s="139"/>
      <c r="D469" s="139"/>
      <c r="F469" s="15"/>
      <c r="M469" s="587"/>
    </row>
    <row r="470">
      <c r="A470" s="31"/>
      <c r="C470" s="139"/>
      <c r="D470" s="139"/>
      <c r="F470" s="15"/>
      <c r="M470" s="587"/>
    </row>
    <row r="471">
      <c r="A471" s="31"/>
      <c r="C471" s="139"/>
      <c r="D471" s="139"/>
      <c r="F471" s="15"/>
      <c r="M471" s="587"/>
    </row>
    <row r="472">
      <c r="A472" s="31"/>
      <c r="C472" s="139"/>
      <c r="D472" s="139"/>
      <c r="F472" s="15"/>
      <c r="M472" s="587"/>
    </row>
    <row r="473">
      <c r="A473" s="31"/>
      <c r="C473" s="139"/>
      <c r="D473" s="139"/>
      <c r="F473" s="15"/>
      <c r="M473" s="587"/>
    </row>
    <row r="474">
      <c r="A474" s="31"/>
      <c r="C474" s="139"/>
      <c r="D474" s="139"/>
      <c r="F474" s="15"/>
      <c r="M474" s="587"/>
    </row>
    <row r="475">
      <c r="A475" s="31"/>
      <c r="C475" s="139"/>
      <c r="D475" s="139"/>
      <c r="F475" s="15"/>
      <c r="M475" s="587"/>
    </row>
    <row r="476">
      <c r="A476" s="31"/>
      <c r="C476" s="139"/>
      <c r="D476" s="139"/>
      <c r="F476" s="15"/>
      <c r="M476" s="587"/>
    </row>
    <row r="477">
      <c r="A477" s="31"/>
      <c r="C477" s="139"/>
      <c r="D477" s="139"/>
      <c r="F477" s="15"/>
      <c r="M477" s="587"/>
    </row>
    <row r="478">
      <c r="A478" s="31"/>
      <c r="C478" s="139"/>
      <c r="D478" s="139"/>
      <c r="F478" s="15"/>
      <c r="M478" s="587"/>
    </row>
    <row r="479">
      <c r="A479" s="31"/>
      <c r="C479" s="139"/>
      <c r="D479" s="139"/>
      <c r="F479" s="15"/>
      <c r="M479" s="587"/>
    </row>
    <row r="480">
      <c r="A480" s="31"/>
      <c r="C480" s="139"/>
      <c r="D480" s="139"/>
      <c r="F480" s="15"/>
      <c r="M480" s="587"/>
    </row>
    <row r="481">
      <c r="A481" s="31"/>
      <c r="C481" s="139"/>
      <c r="D481" s="139"/>
      <c r="F481" s="15"/>
      <c r="M481" s="587"/>
    </row>
    <row r="482">
      <c r="A482" s="31"/>
      <c r="C482" s="139"/>
      <c r="D482" s="139"/>
      <c r="F482" s="15"/>
      <c r="M482" s="587"/>
    </row>
    <row r="483">
      <c r="A483" s="31"/>
      <c r="C483" s="139"/>
      <c r="D483" s="139"/>
      <c r="F483" s="15"/>
      <c r="M483" s="587"/>
    </row>
    <row r="484">
      <c r="A484" s="31"/>
      <c r="C484" s="139"/>
      <c r="D484" s="139"/>
      <c r="F484" s="15"/>
      <c r="M484" s="587"/>
    </row>
    <row r="485">
      <c r="A485" s="31"/>
      <c r="C485" s="139"/>
      <c r="D485" s="139"/>
      <c r="F485" s="15"/>
      <c r="M485" s="587"/>
    </row>
    <row r="486">
      <c r="A486" s="31"/>
      <c r="C486" s="139"/>
      <c r="D486" s="139"/>
      <c r="F486" s="15"/>
      <c r="M486" s="587"/>
    </row>
    <row r="487">
      <c r="A487" s="31"/>
      <c r="C487" s="139"/>
      <c r="D487" s="139"/>
      <c r="F487" s="15"/>
      <c r="M487" s="587"/>
    </row>
    <row r="488">
      <c r="A488" s="31"/>
      <c r="C488" s="139"/>
      <c r="D488" s="139"/>
      <c r="F488" s="15"/>
      <c r="M488" s="587"/>
    </row>
    <row r="489">
      <c r="A489" s="31"/>
      <c r="C489" s="139"/>
      <c r="D489" s="139"/>
      <c r="F489" s="15"/>
      <c r="M489" s="587"/>
    </row>
    <row r="490">
      <c r="A490" s="31"/>
      <c r="C490" s="139"/>
      <c r="D490" s="139"/>
      <c r="F490" s="15"/>
      <c r="M490" s="587"/>
    </row>
    <row r="491">
      <c r="A491" s="31"/>
      <c r="C491" s="139"/>
      <c r="D491" s="139"/>
      <c r="F491" s="15"/>
      <c r="M491" s="587"/>
    </row>
    <row r="492">
      <c r="A492" s="31"/>
      <c r="C492" s="139"/>
      <c r="D492" s="139"/>
      <c r="F492" s="15"/>
      <c r="M492" s="587"/>
    </row>
    <row r="493">
      <c r="A493" s="31"/>
      <c r="C493" s="139"/>
      <c r="D493" s="139"/>
      <c r="F493" s="15"/>
      <c r="M493" s="587"/>
    </row>
    <row r="494">
      <c r="A494" s="31"/>
      <c r="C494" s="139"/>
      <c r="D494" s="139"/>
      <c r="F494" s="15"/>
      <c r="M494" s="587"/>
    </row>
    <row r="495">
      <c r="A495" s="31"/>
      <c r="C495" s="139"/>
      <c r="D495" s="139"/>
      <c r="F495" s="15"/>
      <c r="M495" s="587"/>
    </row>
    <row r="496">
      <c r="A496" s="31"/>
      <c r="C496" s="139"/>
      <c r="D496" s="139"/>
      <c r="F496" s="15"/>
      <c r="M496" s="587"/>
    </row>
    <row r="497">
      <c r="A497" s="31"/>
      <c r="C497" s="139"/>
      <c r="D497" s="139"/>
      <c r="F497" s="15"/>
      <c r="M497" s="587"/>
    </row>
    <row r="498">
      <c r="A498" s="31"/>
      <c r="C498" s="139"/>
      <c r="D498" s="139"/>
      <c r="F498" s="15"/>
      <c r="M498" s="587"/>
    </row>
    <row r="499">
      <c r="A499" s="31"/>
      <c r="C499" s="139"/>
      <c r="D499" s="139"/>
      <c r="F499" s="15"/>
      <c r="M499" s="587"/>
    </row>
    <row r="500">
      <c r="A500" s="31"/>
      <c r="C500" s="139"/>
      <c r="D500" s="139"/>
      <c r="F500" s="15"/>
      <c r="M500" s="587"/>
    </row>
    <row r="501">
      <c r="A501" s="31"/>
      <c r="C501" s="139"/>
      <c r="D501" s="139"/>
      <c r="F501" s="15"/>
      <c r="M501" s="587"/>
    </row>
    <row r="502">
      <c r="A502" s="31"/>
      <c r="C502" s="139"/>
      <c r="D502" s="139"/>
      <c r="F502" s="15"/>
      <c r="M502" s="587"/>
    </row>
    <row r="503">
      <c r="A503" s="31"/>
      <c r="C503" s="139"/>
      <c r="D503" s="139"/>
      <c r="F503" s="15"/>
      <c r="M503" s="587"/>
    </row>
    <row r="504">
      <c r="A504" s="31"/>
      <c r="C504" s="139"/>
      <c r="D504" s="139"/>
      <c r="F504" s="15"/>
      <c r="M504" s="587"/>
    </row>
    <row r="505">
      <c r="A505" s="31"/>
      <c r="C505" s="139"/>
      <c r="D505" s="139"/>
      <c r="F505" s="15"/>
      <c r="M505" s="587"/>
    </row>
    <row r="506">
      <c r="A506" s="31"/>
      <c r="C506" s="139"/>
      <c r="D506" s="139"/>
      <c r="F506" s="15"/>
      <c r="M506" s="587"/>
    </row>
    <row r="507">
      <c r="A507" s="31"/>
      <c r="C507" s="139"/>
      <c r="D507" s="139"/>
      <c r="F507" s="15"/>
      <c r="M507" s="587"/>
    </row>
    <row r="508">
      <c r="A508" s="31"/>
      <c r="C508" s="139"/>
      <c r="D508" s="139"/>
      <c r="F508" s="15"/>
      <c r="M508" s="587"/>
    </row>
    <row r="509">
      <c r="A509" s="31"/>
      <c r="C509" s="139"/>
      <c r="D509" s="139"/>
      <c r="F509" s="15"/>
      <c r="M509" s="587"/>
    </row>
    <row r="510">
      <c r="A510" s="31"/>
      <c r="C510" s="139"/>
      <c r="D510" s="139"/>
      <c r="F510" s="15"/>
      <c r="M510" s="587"/>
    </row>
    <row r="511">
      <c r="A511" s="31"/>
      <c r="C511" s="139"/>
      <c r="D511" s="139"/>
      <c r="F511" s="15"/>
      <c r="M511" s="587"/>
    </row>
    <row r="512">
      <c r="A512" s="31"/>
      <c r="C512" s="139"/>
      <c r="D512" s="139"/>
      <c r="F512" s="15"/>
      <c r="M512" s="587"/>
    </row>
    <row r="513">
      <c r="A513" s="31"/>
      <c r="C513" s="139"/>
      <c r="D513" s="139"/>
      <c r="F513" s="15"/>
      <c r="M513" s="587"/>
    </row>
    <row r="514">
      <c r="A514" s="31"/>
      <c r="C514" s="139"/>
      <c r="D514" s="139"/>
      <c r="F514" s="15"/>
      <c r="M514" s="587"/>
    </row>
    <row r="515">
      <c r="A515" s="31"/>
      <c r="C515" s="139"/>
      <c r="D515" s="139"/>
      <c r="F515" s="15"/>
      <c r="M515" s="587"/>
    </row>
    <row r="516">
      <c r="A516" s="31"/>
      <c r="C516" s="139"/>
      <c r="D516" s="139"/>
      <c r="F516" s="15"/>
      <c r="M516" s="587"/>
    </row>
    <row r="517">
      <c r="A517" s="31"/>
      <c r="C517" s="139"/>
      <c r="D517" s="139"/>
      <c r="F517" s="15"/>
      <c r="M517" s="587"/>
    </row>
    <row r="518">
      <c r="A518" s="31"/>
      <c r="C518" s="139"/>
      <c r="D518" s="139"/>
      <c r="F518" s="15"/>
      <c r="M518" s="587"/>
    </row>
    <row r="519">
      <c r="A519" s="31"/>
      <c r="C519" s="139"/>
      <c r="D519" s="139"/>
      <c r="F519" s="15"/>
      <c r="M519" s="587"/>
    </row>
    <row r="520">
      <c r="A520" s="31"/>
      <c r="C520" s="139"/>
      <c r="D520" s="139"/>
      <c r="F520" s="15"/>
      <c r="M520" s="587"/>
    </row>
    <row r="521">
      <c r="A521" s="31"/>
      <c r="C521" s="139"/>
      <c r="D521" s="139"/>
      <c r="F521" s="15"/>
      <c r="M521" s="587"/>
    </row>
    <row r="522">
      <c r="A522" s="31"/>
      <c r="C522" s="139"/>
      <c r="D522" s="139"/>
      <c r="F522" s="15"/>
      <c r="M522" s="587"/>
    </row>
    <row r="523">
      <c r="A523" s="31"/>
      <c r="C523" s="139"/>
      <c r="D523" s="139"/>
      <c r="F523" s="15"/>
      <c r="M523" s="587"/>
    </row>
    <row r="524">
      <c r="A524" s="31"/>
      <c r="C524" s="139"/>
      <c r="D524" s="139"/>
      <c r="F524" s="15"/>
      <c r="M524" s="587"/>
    </row>
    <row r="525">
      <c r="A525" s="31"/>
      <c r="C525" s="139"/>
      <c r="D525" s="139"/>
      <c r="F525" s="15"/>
      <c r="M525" s="587"/>
    </row>
    <row r="526">
      <c r="A526" s="31"/>
      <c r="C526" s="139"/>
      <c r="D526" s="139"/>
      <c r="F526" s="15"/>
      <c r="M526" s="587"/>
    </row>
    <row r="527">
      <c r="A527" s="31"/>
      <c r="C527" s="139"/>
      <c r="D527" s="139"/>
      <c r="F527" s="15"/>
      <c r="M527" s="587"/>
    </row>
    <row r="528">
      <c r="A528" s="31"/>
      <c r="C528" s="139"/>
      <c r="D528" s="139"/>
      <c r="F528" s="15"/>
      <c r="M528" s="587"/>
    </row>
    <row r="529">
      <c r="A529" s="31"/>
      <c r="C529" s="139"/>
      <c r="D529" s="139"/>
      <c r="F529" s="15"/>
      <c r="M529" s="587"/>
    </row>
    <row r="530">
      <c r="A530" s="31"/>
      <c r="C530" s="139"/>
      <c r="D530" s="139"/>
      <c r="F530" s="15"/>
      <c r="M530" s="587"/>
    </row>
    <row r="531">
      <c r="A531" s="31"/>
      <c r="C531" s="139"/>
      <c r="D531" s="139"/>
      <c r="F531" s="15"/>
      <c r="M531" s="587"/>
    </row>
    <row r="532">
      <c r="A532" s="31"/>
      <c r="C532" s="139"/>
      <c r="D532" s="139"/>
      <c r="F532" s="15"/>
      <c r="M532" s="587"/>
    </row>
    <row r="533">
      <c r="A533" s="31"/>
      <c r="C533" s="139"/>
      <c r="D533" s="139"/>
      <c r="F533" s="15"/>
      <c r="M533" s="587"/>
    </row>
    <row r="534">
      <c r="A534" s="31"/>
      <c r="C534" s="139"/>
      <c r="D534" s="139"/>
      <c r="F534" s="15"/>
      <c r="M534" s="587"/>
    </row>
    <row r="535">
      <c r="A535" s="31"/>
      <c r="C535" s="139"/>
      <c r="D535" s="139"/>
      <c r="F535" s="15"/>
      <c r="M535" s="587"/>
    </row>
    <row r="536">
      <c r="A536" s="31"/>
      <c r="C536" s="139"/>
      <c r="D536" s="139"/>
      <c r="F536" s="15"/>
      <c r="M536" s="587"/>
    </row>
    <row r="537">
      <c r="A537" s="31"/>
      <c r="C537" s="139"/>
      <c r="D537" s="139"/>
      <c r="F537" s="15"/>
      <c r="M537" s="587"/>
    </row>
    <row r="538">
      <c r="A538" s="31"/>
      <c r="C538" s="139"/>
      <c r="D538" s="139"/>
      <c r="F538" s="15"/>
      <c r="M538" s="587"/>
    </row>
    <row r="539">
      <c r="A539" s="31"/>
      <c r="C539" s="139"/>
      <c r="D539" s="139"/>
      <c r="F539" s="15"/>
      <c r="M539" s="587"/>
    </row>
    <row r="540">
      <c r="A540" s="31"/>
      <c r="C540" s="139"/>
      <c r="D540" s="139"/>
      <c r="F540" s="15"/>
      <c r="M540" s="587"/>
    </row>
    <row r="541">
      <c r="A541" s="31"/>
      <c r="C541" s="139"/>
      <c r="D541" s="139"/>
      <c r="F541" s="15"/>
      <c r="M541" s="587"/>
    </row>
    <row r="542">
      <c r="A542" s="31"/>
      <c r="C542" s="139"/>
      <c r="D542" s="139"/>
      <c r="F542" s="15"/>
      <c r="M542" s="587"/>
    </row>
    <row r="543">
      <c r="A543" s="31"/>
      <c r="C543" s="139"/>
      <c r="D543" s="139"/>
      <c r="F543" s="15"/>
      <c r="M543" s="587"/>
    </row>
    <row r="544">
      <c r="A544" s="31"/>
      <c r="C544" s="139"/>
      <c r="D544" s="139"/>
      <c r="F544" s="15"/>
      <c r="M544" s="587"/>
    </row>
    <row r="545">
      <c r="A545" s="31"/>
      <c r="C545" s="139"/>
      <c r="D545" s="139"/>
      <c r="F545" s="15"/>
      <c r="M545" s="587"/>
    </row>
    <row r="546">
      <c r="A546" s="31"/>
      <c r="C546" s="139"/>
      <c r="D546" s="139"/>
      <c r="F546" s="15"/>
      <c r="M546" s="587"/>
    </row>
    <row r="547">
      <c r="A547" s="31"/>
      <c r="C547" s="139"/>
      <c r="D547" s="139"/>
      <c r="F547" s="15"/>
      <c r="M547" s="587"/>
    </row>
    <row r="548">
      <c r="A548" s="31"/>
      <c r="C548" s="139"/>
      <c r="D548" s="139"/>
      <c r="F548" s="15"/>
      <c r="M548" s="587"/>
    </row>
    <row r="549">
      <c r="A549" s="31"/>
      <c r="C549" s="139"/>
      <c r="D549" s="139"/>
      <c r="F549" s="15"/>
      <c r="M549" s="587"/>
    </row>
    <row r="550">
      <c r="A550" s="31"/>
      <c r="C550" s="139"/>
      <c r="D550" s="139"/>
      <c r="F550" s="15"/>
      <c r="M550" s="587"/>
    </row>
    <row r="551">
      <c r="A551" s="31"/>
      <c r="C551" s="139"/>
      <c r="D551" s="139"/>
      <c r="F551" s="15"/>
      <c r="M551" s="587"/>
    </row>
    <row r="552">
      <c r="A552" s="31"/>
      <c r="C552" s="139"/>
      <c r="D552" s="139"/>
      <c r="F552" s="15"/>
      <c r="M552" s="587"/>
    </row>
    <row r="553">
      <c r="A553" s="31"/>
      <c r="C553" s="139"/>
      <c r="D553" s="139"/>
      <c r="F553" s="15"/>
      <c r="M553" s="587"/>
    </row>
    <row r="554">
      <c r="A554" s="31"/>
      <c r="C554" s="139"/>
      <c r="D554" s="139"/>
      <c r="F554" s="15"/>
      <c r="M554" s="587"/>
    </row>
    <row r="555">
      <c r="A555" s="31"/>
      <c r="C555" s="139"/>
      <c r="D555" s="139"/>
      <c r="F555" s="15"/>
      <c r="M555" s="587"/>
    </row>
    <row r="556">
      <c r="A556" s="31"/>
      <c r="C556" s="139"/>
      <c r="D556" s="139"/>
      <c r="F556" s="15"/>
      <c r="M556" s="587"/>
    </row>
    <row r="557">
      <c r="A557" s="31"/>
      <c r="C557" s="139"/>
      <c r="D557" s="139"/>
      <c r="F557" s="15"/>
      <c r="M557" s="587"/>
    </row>
    <row r="558">
      <c r="A558" s="31"/>
      <c r="C558" s="139"/>
      <c r="D558" s="139"/>
      <c r="F558" s="15"/>
      <c r="M558" s="587"/>
    </row>
    <row r="559">
      <c r="A559" s="31"/>
      <c r="C559" s="139"/>
      <c r="D559" s="139"/>
      <c r="F559" s="15"/>
      <c r="M559" s="587"/>
    </row>
    <row r="560">
      <c r="A560" s="31"/>
      <c r="C560" s="139"/>
      <c r="D560" s="139"/>
      <c r="F560" s="15"/>
      <c r="M560" s="587"/>
    </row>
    <row r="561">
      <c r="A561" s="31"/>
      <c r="C561" s="139"/>
      <c r="D561" s="139"/>
      <c r="F561" s="15"/>
      <c r="M561" s="587"/>
    </row>
    <row r="562">
      <c r="A562" s="31"/>
      <c r="C562" s="139"/>
      <c r="D562" s="139"/>
      <c r="F562" s="15"/>
      <c r="M562" s="587"/>
    </row>
    <row r="563">
      <c r="A563" s="31"/>
      <c r="C563" s="139"/>
      <c r="D563" s="139"/>
      <c r="F563" s="15"/>
      <c r="M563" s="587"/>
    </row>
    <row r="564">
      <c r="A564" s="31"/>
      <c r="C564" s="139"/>
      <c r="D564" s="139"/>
      <c r="F564" s="15"/>
      <c r="M564" s="587"/>
    </row>
    <row r="565">
      <c r="A565" s="31"/>
      <c r="C565" s="139"/>
      <c r="D565" s="139"/>
      <c r="F565" s="15"/>
      <c r="M565" s="587"/>
    </row>
    <row r="566">
      <c r="A566" s="31"/>
      <c r="C566" s="139"/>
      <c r="D566" s="139"/>
      <c r="F566" s="15"/>
      <c r="M566" s="587"/>
    </row>
    <row r="567">
      <c r="A567" s="31"/>
      <c r="C567" s="139"/>
      <c r="D567" s="139"/>
      <c r="F567" s="15"/>
      <c r="M567" s="587"/>
    </row>
    <row r="568">
      <c r="A568" s="31"/>
      <c r="C568" s="139"/>
      <c r="D568" s="139"/>
      <c r="F568" s="15"/>
      <c r="M568" s="587"/>
    </row>
    <row r="569">
      <c r="A569" s="31"/>
      <c r="C569" s="139"/>
      <c r="D569" s="139"/>
      <c r="F569" s="15"/>
      <c r="M569" s="587"/>
    </row>
    <row r="570">
      <c r="A570" s="31"/>
      <c r="C570" s="139"/>
      <c r="D570" s="139"/>
      <c r="F570" s="15"/>
      <c r="M570" s="587"/>
    </row>
    <row r="571">
      <c r="A571" s="31"/>
      <c r="C571" s="139"/>
      <c r="D571" s="139"/>
      <c r="F571" s="15"/>
      <c r="M571" s="587"/>
    </row>
    <row r="572">
      <c r="A572" s="31"/>
      <c r="C572" s="139"/>
      <c r="D572" s="139"/>
      <c r="F572" s="15"/>
      <c r="M572" s="587"/>
    </row>
    <row r="573">
      <c r="A573" s="31"/>
      <c r="C573" s="139"/>
      <c r="D573" s="139"/>
      <c r="F573" s="15"/>
      <c r="M573" s="587"/>
    </row>
    <row r="574">
      <c r="A574" s="31"/>
      <c r="C574" s="139"/>
      <c r="D574" s="139"/>
      <c r="F574" s="15"/>
      <c r="M574" s="587"/>
    </row>
    <row r="575">
      <c r="A575" s="31"/>
      <c r="C575" s="139"/>
      <c r="D575" s="139"/>
      <c r="F575" s="15"/>
      <c r="M575" s="587"/>
    </row>
    <row r="576">
      <c r="A576" s="31"/>
      <c r="C576" s="139"/>
      <c r="D576" s="139"/>
      <c r="F576" s="15"/>
      <c r="M576" s="587"/>
    </row>
    <row r="577">
      <c r="A577" s="31"/>
      <c r="C577" s="139"/>
      <c r="D577" s="139"/>
      <c r="F577" s="15"/>
      <c r="M577" s="587"/>
    </row>
    <row r="578">
      <c r="A578" s="31"/>
      <c r="C578" s="139"/>
      <c r="D578" s="139"/>
      <c r="F578" s="15"/>
      <c r="M578" s="587"/>
    </row>
    <row r="579">
      <c r="A579" s="31"/>
      <c r="C579" s="139"/>
      <c r="D579" s="139"/>
      <c r="F579" s="15"/>
      <c r="M579" s="587"/>
    </row>
    <row r="580">
      <c r="A580" s="31"/>
      <c r="C580" s="139"/>
      <c r="D580" s="139"/>
      <c r="F580" s="15"/>
      <c r="M580" s="587"/>
    </row>
    <row r="581">
      <c r="A581" s="31"/>
      <c r="C581" s="139"/>
      <c r="D581" s="139"/>
      <c r="F581" s="15"/>
      <c r="M581" s="587"/>
    </row>
    <row r="582">
      <c r="A582" s="31"/>
      <c r="C582" s="139"/>
      <c r="D582" s="139"/>
      <c r="F582" s="15"/>
      <c r="M582" s="587"/>
    </row>
    <row r="583">
      <c r="A583" s="31"/>
      <c r="C583" s="139"/>
      <c r="D583" s="139"/>
      <c r="F583" s="15"/>
      <c r="M583" s="587"/>
    </row>
    <row r="584">
      <c r="A584" s="31"/>
      <c r="C584" s="139"/>
      <c r="D584" s="139"/>
      <c r="F584" s="15"/>
      <c r="M584" s="587"/>
    </row>
    <row r="585">
      <c r="A585" s="31"/>
      <c r="C585" s="139"/>
      <c r="D585" s="139"/>
      <c r="F585" s="15"/>
      <c r="M585" s="587"/>
    </row>
    <row r="586">
      <c r="A586" s="31"/>
      <c r="C586" s="139"/>
      <c r="D586" s="139"/>
      <c r="F586" s="15"/>
      <c r="M586" s="587"/>
    </row>
    <row r="587">
      <c r="A587" s="31"/>
      <c r="C587" s="139"/>
      <c r="D587" s="139"/>
      <c r="F587" s="15"/>
      <c r="M587" s="587"/>
    </row>
    <row r="588">
      <c r="A588" s="31"/>
      <c r="C588" s="139"/>
      <c r="D588" s="139"/>
      <c r="F588" s="15"/>
      <c r="M588" s="587"/>
    </row>
    <row r="589">
      <c r="A589" s="31"/>
      <c r="C589" s="139"/>
      <c r="D589" s="139"/>
      <c r="F589" s="15"/>
      <c r="M589" s="587"/>
    </row>
    <row r="590">
      <c r="A590" s="31"/>
      <c r="C590" s="139"/>
      <c r="D590" s="139"/>
      <c r="F590" s="15"/>
      <c r="M590" s="587"/>
    </row>
    <row r="591">
      <c r="A591" s="31"/>
      <c r="C591" s="139"/>
      <c r="D591" s="139"/>
      <c r="F591" s="15"/>
      <c r="M591" s="587"/>
    </row>
    <row r="592">
      <c r="A592" s="31"/>
      <c r="C592" s="139"/>
      <c r="D592" s="139"/>
      <c r="F592" s="15"/>
      <c r="M592" s="587"/>
    </row>
    <row r="593">
      <c r="A593" s="31"/>
      <c r="C593" s="139"/>
      <c r="D593" s="139"/>
      <c r="F593" s="15"/>
      <c r="M593" s="587"/>
    </row>
    <row r="594">
      <c r="A594" s="31"/>
      <c r="C594" s="139"/>
      <c r="D594" s="139"/>
      <c r="F594" s="15"/>
      <c r="M594" s="587"/>
    </row>
    <row r="595">
      <c r="A595" s="31"/>
      <c r="C595" s="139"/>
      <c r="D595" s="139"/>
      <c r="F595" s="15"/>
      <c r="M595" s="587"/>
    </row>
    <row r="596">
      <c r="A596" s="31"/>
      <c r="C596" s="139"/>
      <c r="D596" s="139"/>
      <c r="F596" s="15"/>
      <c r="M596" s="587"/>
    </row>
    <row r="597">
      <c r="A597" s="31"/>
      <c r="C597" s="139"/>
      <c r="D597" s="139"/>
      <c r="F597" s="15"/>
      <c r="M597" s="587"/>
    </row>
    <row r="598">
      <c r="A598" s="31"/>
      <c r="C598" s="139"/>
      <c r="D598" s="139"/>
      <c r="F598" s="15"/>
      <c r="M598" s="587"/>
    </row>
    <row r="599">
      <c r="A599" s="31"/>
      <c r="C599" s="139"/>
      <c r="D599" s="139"/>
      <c r="F599" s="15"/>
      <c r="M599" s="587"/>
    </row>
    <row r="600">
      <c r="A600" s="31"/>
      <c r="C600" s="139"/>
      <c r="D600" s="139"/>
      <c r="F600" s="15"/>
      <c r="M600" s="587"/>
    </row>
    <row r="601">
      <c r="A601" s="31"/>
      <c r="C601" s="139"/>
      <c r="D601" s="139"/>
      <c r="F601" s="15"/>
      <c r="M601" s="587"/>
    </row>
    <row r="602">
      <c r="A602" s="31"/>
      <c r="C602" s="139"/>
      <c r="D602" s="139"/>
      <c r="F602" s="15"/>
      <c r="M602" s="587"/>
    </row>
    <row r="603">
      <c r="A603" s="31"/>
      <c r="C603" s="139"/>
      <c r="D603" s="139"/>
      <c r="F603" s="15"/>
      <c r="M603" s="587"/>
    </row>
    <row r="604">
      <c r="A604" s="31"/>
      <c r="C604" s="139"/>
      <c r="D604" s="139"/>
      <c r="F604" s="15"/>
      <c r="M604" s="587"/>
    </row>
    <row r="605">
      <c r="A605" s="31"/>
      <c r="C605" s="139"/>
      <c r="D605" s="139"/>
      <c r="F605" s="15"/>
      <c r="M605" s="587"/>
    </row>
    <row r="606">
      <c r="A606" s="31"/>
      <c r="C606" s="139"/>
      <c r="D606" s="139"/>
      <c r="F606" s="15"/>
      <c r="M606" s="587"/>
    </row>
    <row r="607">
      <c r="A607" s="31"/>
      <c r="C607" s="139"/>
      <c r="D607" s="139"/>
      <c r="F607" s="15"/>
      <c r="M607" s="587"/>
    </row>
    <row r="608">
      <c r="A608" s="31"/>
      <c r="C608" s="139"/>
      <c r="D608" s="139"/>
      <c r="F608" s="15"/>
      <c r="M608" s="587"/>
    </row>
    <row r="609">
      <c r="A609" s="31"/>
      <c r="C609" s="139"/>
      <c r="D609" s="139"/>
      <c r="F609" s="15"/>
      <c r="M609" s="587"/>
    </row>
    <row r="610">
      <c r="A610" s="31"/>
      <c r="C610" s="139"/>
      <c r="D610" s="139"/>
      <c r="F610" s="15"/>
      <c r="M610" s="587"/>
    </row>
    <row r="611">
      <c r="A611" s="31"/>
      <c r="C611" s="139"/>
      <c r="D611" s="139"/>
      <c r="F611" s="15"/>
      <c r="M611" s="587"/>
    </row>
    <row r="612">
      <c r="A612" s="31"/>
      <c r="C612" s="139"/>
      <c r="D612" s="139"/>
      <c r="F612" s="15"/>
      <c r="M612" s="587"/>
    </row>
    <row r="613">
      <c r="A613" s="31"/>
      <c r="C613" s="139"/>
      <c r="D613" s="139"/>
      <c r="F613" s="15"/>
      <c r="M613" s="587"/>
    </row>
    <row r="614">
      <c r="A614" s="31"/>
      <c r="C614" s="139"/>
      <c r="D614" s="139"/>
      <c r="F614" s="15"/>
      <c r="M614" s="587"/>
    </row>
    <row r="615">
      <c r="A615" s="31"/>
      <c r="C615" s="139"/>
      <c r="D615" s="139"/>
      <c r="F615" s="15"/>
      <c r="M615" s="587"/>
    </row>
    <row r="616">
      <c r="A616" s="31"/>
      <c r="C616" s="139"/>
      <c r="D616" s="139"/>
      <c r="F616" s="15"/>
      <c r="M616" s="587"/>
    </row>
    <row r="617">
      <c r="A617" s="31"/>
      <c r="C617" s="139"/>
      <c r="D617" s="139"/>
      <c r="F617" s="15"/>
      <c r="M617" s="587"/>
    </row>
    <row r="618">
      <c r="A618" s="31"/>
      <c r="C618" s="139"/>
      <c r="D618" s="139"/>
      <c r="F618" s="15"/>
      <c r="M618" s="587"/>
    </row>
    <row r="619">
      <c r="A619" s="31"/>
      <c r="C619" s="139"/>
      <c r="D619" s="139"/>
      <c r="F619" s="15"/>
      <c r="M619" s="587"/>
    </row>
    <row r="620">
      <c r="A620" s="31"/>
      <c r="C620" s="139"/>
      <c r="D620" s="139"/>
      <c r="F620" s="15"/>
      <c r="M620" s="587"/>
    </row>
    <row r="621">
      <c r="A621" s="31"/>
      <c r="C621" s="139"/>
      <c r="D621" s="139"/>
      <c r="F621" s="15"/>
      <c r="M621" s="587"/>
    </row>
    <row r="622">
      <c r="A622" s="31"/>
      <c r="C622" s="139"/>
      <c r="D622" s="139"/>
      <c r="F622" s="15"/>
      <c r="M622" s="587"/>
    </row>
    <row r="623">
      <c r="A623" s="31"/>
      <c r="C623" s="139"/>
      <c r="D623" s="139"/>
      <c r="F623" s="15"/>
      <c r="M623" s="587"/>
    </row>
    <row r="624">
      <c r="A624" s="31"/>
      <c r="C624" s="139"/>
      <c r="D624" s="139"/>
      <c r="F624" s="15"/>
      <c r="M624" s="587"/>
    </row>
    <row r="625">
      <c r="A625" s="31"/>
      <c r="C625" s="139"/>
      <c r="D625" s="139"/>
      <c r="F625" s="15"/>
      <c r="M625" s="587"/>
    </row>
    <row r="626">
      <c r="A626" s="31"/>
      <c r="C626" s="139"/>
      <c r="D626" s="139"/>
      <c r="F626" s="15"/>
      <c r="M626" s="587"/>
    </row>
    <row r="627">
      <c r="A627" s="31"/>
      <c r="C627" s="139"/>
      <c r="D627" s="139"/>
      <c r="F627" s="15"/>
      <c r="M627" s="587"/>
    </row>
    <row r="628">
      <c r="A628" s="31"/>
      <c r="C628" s="139"/>
      <c r="D628" s="139"/>
      <c r="F628" s="15"/>
      <c r="M628" s="587"/>
    </row>
    <row r="629">
      <c r="A629" s="31"/>
      <c r="C629" s="139"/>
      <c r="D629" s="139"/>
      <c r="F629" s="15"/>
      <c r="M629" s="587"/>
    </row>
    <row r="630">
      <c r="A630" s="31"/>
      <c r="C630" s="139"/>
      <c r="D630" s="139"/>
      <c r="F630" s="15"/>
      <c r="M630" s="587"/>
    </row>
    <row r="631">
      <c r="A631" s="31"/>
      <c r="C631" s="139"/>
      <c r="D631" s="139"/>
      <c r="F631" s="15"/>
      <c r="M631" s="587"/>
    </row>
    <row r="632">
      <c r="A632" s="31"/>
      <c r="C632" s="139"/>
      <c r="D632" s="139"/>
      <c r="F632" s="15"/>
      <c r="M632" s="587"/>
    </row>
    <row r="633">
      <c r="A633" s="31"/>
      <c r="C633" s="139"/>
      <c r="D633" s="139"/>
      <c r="F633" s="15"/>
      <c r="M633" s="587"/>
    </row>
    <row r="634">
      <c r="A634" s="31"/>
      <c r="C634" s="139"/>
      <c r="D634" s="139"/>
      <c r="F634" s="15"/>
      <c r="M634" s="587"/>
    </row>
    <row r="635">
      <c r="A635" s="31"/>
      <c r="C635" s="139"/>
      <c r="D635" s="139"/>
      <c r="F635" s="15"/>
      <c r="M635" s="587"/>
    </row>
    <row r="636">
      <c r="A636" s="31"/>
      <c r="C636" s="139"/>
      <c r="D636" s="139"/>
      <c r="F636" s="15"/>
      <c r="M636" s="587"/>
    </row>
    <row r="637">
      <c r="A637" s="31"/>
      <c r="C637" s="139"/>
      <c r="D637" s="139"/>
      <c r="F637" s="15"/>
      <c r="M637" s="587"/>
    </row>
    <row r="638">
      <c r="A638" s="31"/>
      <c r="C638" s="139"/>
      <c r="D638" s="139"/>
      <c r="F638" s="15"/>
      <c r="M638" s="587"/>
    </row>
    <row r="639">
      <c r="A639" s="31"/>
      <c r="C639" s="139"/>
      <c r="D639" s="139"/>
      <c r="F639" s="15"/>
      <c r="M639" s="587"/>
    </row>
    <row r="640">
      <c r="A640" s="31"/>
      <c r="C640" s="139"/>
      <c r="D640" s="139"/>
      <c r="F640" s="15"/>
      <c r="M640" s="587"/>
    </row>
    <row r="641">
      <c r="A641" s="31"/>
      <c r="C641" s="139"/>
      <c r="D641" s="139"/>
      <c r="F641" s="15"/>
      <c r="M641" s="587"/>
    </row>
    <row r="642">
      <c r="A642" s="31"/>
      <c r="C642" s="139"/>
      <c r="D642" s="139"/>
      <c r="F642" s="15"/>
      <c r="M642" s="587"/>
    </row>
    <row r="643">
      <c r="A643" s="31"/>
      <c r="C643" s="139"/>
      <c r="D643" s="139"/>
      <c r="F643" s="15"/>
      <c r="M643" s="587"/>
    </row>
    <row r="644">
      <c r="A644" s="31"/>
      <c r="C644" s="139"/>
      <c r="D644" s="139"/>
      <c r="F644" s="15"/>
      <c r="M644" s="587"/>
    </row>
    <row r="645">
      <c r="A645" s="31"/>
      <c r="C645" s="139"/>
      <c r="D645" s="139"/>
      <c r="F645" s="15"/>
      <c r="M645" s="587"/>
    </row>
    <row r="646">
      <c r="A646" s="31"/>
      <c r="C646" s="139"/>
      <c r="D646" s="139"/>
      <c r="F646" s="15"/>
      <c r="M646" s="587"/>
    </row>
    <row r="647">
      <c r="A647" s="31"/>
      <c r="C647" s="139"/>
      <c r="D647" s="139"/>
      <c r="F647" s="15"/>
      <c r="M647" s="587"/>
    </row>
    <row r="648">
      <c r="A648" s="31"/>
      <c r="C648" s="139"/>
      <c r="D648" s="139"/>
      <c r="F648" s="15"/>
      <c r="M648" s="587"/>
    </row>
    <row r="649">
      <c r="A649" s="31"/>
      <c r="C649" s="139"/>
      <c r="D649" s="139"/>
      <c r="F649" s="15"/>
      <c r="M649" s="587"/>
    </row>
    <row r="650">
      <c r="A650" s="31"/>
      <c r="C650" s="139"/>
      <c r="D650" s="139"/>
      <c r="F650" s="15"/>
      <c r="M650" s="587"/>
    </row>
    <row r="651">
      <c r="A651" s="31"/>
      <c r="C651" s="139"/>
      <c r="D651" s="139"/>
      <c r="F651" s="15"/>
      <c r="M651" s="587"/>
    </row>
    <row r="652">
      <c r="A652" s="31"/>
      <c r="C652" s="139"/>
      <c r="D652" s="139"/>
      <c r="F652" s="15"/>
      <c r="M652" s="587"/>
    </row>
    <row r="653">
      <c r="A653" s="31"/>
      <c r="C653" s="139"/>
      <c r="D653" s="139"/>
      <c r="F653" s="15"/>
      <c r="M653" s="587"/>
    </row>
    <row r="654">
      <c r="A654" s="31"/>
      <c r="C654" s="139"/>
      <c r="D654" s="139"/>
      <c r="F654" s="15"/>
      <c r="M654" s="587"/>
    </row>
    <row r="655">
      <c r="A655" s="31"/>
      <c r="C655" s="139"/>
      <c r="D655" s="139"/>
      <c r="F655" s="15"/>
      <c r="M655" s="587"/>
    </row>
    <row r="656">
      <c r="A656" s="31"/>
      <c r="C656" s="139"/>
      <c r="D656" s="139"/>
      <c r="F656" s="15"/>
      <c r="M656" s="587"/>
    </row>
    <row r="657">
      <c r="A657" s="31"/>
      <c r="C657" s="139"/>
      <c r="D657" s="139"/>
      <c r="F657" s="15"/>
      <c r="M657" s="587"/>
    </row>
    <row r="658">
      <c r="A658" s="31"/>
      <c r="C658" s="139"/>
      <c r="D658" s="139"/>
      <c r="F658" s="15"/>
      <c r="M658" s="587"/>
    </row>
    <row r="659">
      <c r="A659" s="31"/>
      <c r="C659" s="139"/>
      <c r="D659" s="139"/>
      <c r="F659" s="15"/>
      <c r="M659" s="587"/>
    </row>
    <row r="660">
      <c r="A660" s="31"/>
      <c r="C660" s="139"/>
      <c r="D660" s="139"/>
      <c r="F660" s="15"/>
      <c r="M660" s="587"/>
    </row>
    <row r="661">
      <c r="A661" s="31"/>
      <c r="C661" s="139"/>
      <c r="D661" s="139"/>
      <c r="F661" s="15"/>
      <c r="M661" s="587"/>
    </row>
    <row r="662">
      <c r="A662" s="31"/>
      <c r="C662" s="139"/>
      <c r="D662" s="139"/>
      <c r="F662" s="15"/>
      <c r="M662" s="587"/>
    </row>
    <row r="663">
      <c r="A663" s="31"/>
      <c r="C663" s="139"/>
      <c r="D663" s="139"/>
      <c r="F663" s="15"/>
      <c r="M663" s="587"/>
    </row>
    <row r="664">
      <c r="A664" s="31"/>
      <c r="C664" s="139"/>
      <c r="D664" s="139"/>
      <c r="F664" s="15"/>
      <c r="M664" s="587"/>
    </row>
    <row r="665">
      <c r="A665" s="31"/>
      <c r="C665" s="139"/>
      <c r="D665" s="139"/>
      <c r="F665" s="15"/>
      <c r="M665" s="587"/>
    </row>
    <row r="666">
      <c r="A666" s="31"/>
      <c r="C666" s="139"/>
      <c r="D666" s="139"/>
      <c r="F666" s="15"/>
      <c r="M666" s="587"/>
    </row>
    <row r="667">
      <c r="A667" s="31"/>
      <c r="C667" s="139"/>
      <c r="D667" s="139"/>
      <c r="F667" s="15"/>
      <c r="M667" s="587"/>
    </row>
    <row r="668">
      <c r="A668" s="31"/>
      <c r="C668" s="139"/>
      <c r="D668" s="139"/>
      <c r="F668" s="15"/>
      <c r="M668" s="587"/>
    </row>
    <row r="669">
      <c r="A669" s="31"/>
      <c r="C669" s="139"/>
      <c r="D669" s="139"/>
      <c r="F669" s="15"/>
      <c r="M669" s="587"/>
    </row>
    <row r="670">
      <c r="A670" s="31"/>
      <c r="C670" s="139"/>
      <c r="D670" s="139"/>
      <c r="F670" s="15"/>
      <c r="M670" s="587"/>
    </row>
    <row r="671">
      <c r="A671" s="31"/>
      <c r="C671" s="139"/>
      <c r="D671" s="139"/>
      <c r="F671" s="15"/>
      <c r="M671" s="587"/>
    </row>
    <row r="672">
      <c r="A672" s="31"/>
      <c r="C672" s="139"/>
      <c r="D672" s="139"/>
      <c r="F672" s="15"/>
      <c r="M672" s="587"/>
    </row>
    <row r="673">
      <c r="A673" s="31"/>
      <c r="C673" s="139"/>
      <c r="D673" s="139"/>
      <c r="F673" s="15"/>
      <c r="M673" s="587"/>
    </row>
    <row r="674">
      <c r="A674" s="31"/>
      <c r="C674" s="139"/>
      <c r="D674" s="139"/>
      <c r="F674" s="15"/>
      <c r="M674" s="587"/>
    </row>
    <row r="675">
      <c r="A675" s="31"/>
      <c r="C675" s="139"/>
      <c r="D675" s="139"/>
      <c r="F675" s="15"/>
      <c r="M675" s="587"/>
    </row>
    <row r="676">
      <c r="A676" s="31"/>
      <c r="C676" s="139"/>
      <c r="D676" s="139"/>
      <c r="F676" s="15"/>
      <c r="M676" s="587"/>
    </row>
    <row r="677">
      <c r="A677" s="31"/>
      <c r="C677" s="139"/>
      <c r="D677" s="139"/>
      <c r="F677" s="15"/>
      <c r="M677" s="587"/>
    </row>
    <row r="678">
      <c r="A678" s="31"/>
      <c r="C678" s="139"/>
      <c r="D678" s="139"/>
      <c r="F678" s="15"/>
      <c r="M678" s="587"/>
    </row>
    <row r="679">
      <c r="A679" s="31"/>
      <c r="C679" s="139"/>
      <c r="D679" s="139"/>
      <c r="F679" s="15"/>
      <c r="M679" s="587"/>
    </row>
    <row r="680">
      <c r="A680" s="31"/>
      <c r="C680" s="139"/>
      <c r="D680" s="139"/>
      <c r="F680" s="15"/>
      <c r="M680" s="587"/>
    </row>
    <row r="681">
      <c r="A681" s="31"/>
      <c r="C681" s="139"/>
      <c r="D681" s="139"/>
      <c r="F681" s="15"/>
      <c r="M681" s="587"/>
    </row>
    <row r="682">
      <c r="A682" s="31"/>
      <c r="C682" s="139"/>
      <c r="D682" s="139"/>
      <c r="F682" s="15"/>
      <c r="M682" s="587"/>
    </row>
    <row r="683">
      <c r="A683" s="31"/>
      <c r="C683" s="139"/>
      <c r="D683" s="139"/>
      <c r="F683" s="15"/>
      <c r="M683" s="587"/>
    </row>
    <row r="684">
      <c r="A684" s="31"/>
      <c r="C684" s="139"/>
      <c r="D684" s="139"/>
      <c r="F684" s="15"/>
      <c r="M684" s="587"/>
    </row>
    <row r="685">
      <c r="A685" s="31"/>
      <c r="C685" s="139"/>
      <c r="D685" s="139"/>
      <c r="F685" s="15"/>
      <c r="M685" s="587"/>
    </row>
    <row r="686">
      <c r="A686" s="31"/>
      <c r="C686" s="139"/>
      <c r="D686" s="139"/>
      <c r="F686" s="15"/>
      <c r="M686" s="587"/>
    </row>
    <row r="687">
      <c r="A687" s="31"/>
      <c r="C687" s="139"/>
      <c r="D687" s="139"/>
      <c r="F687" s="15"/>
      <c r="M687" s="587"/>
    </row>
    <row r="688">
      <c r="A688" s="31"/>
      <c r="C688" s="139"/>
      <c r="D688" s="139"/>
      <c r="F688" s="15"/>
      <c r="M688" s="587"/>
    </row>
    <row r="689">
      <c r="A689" s="31"/>
      <c r="C689" s="139"/>
      <c r="D689" s="139"/>
      <c r="F689" s="15"/>
      <c r="M689" s="587"/>
    </row>
    <row r="690">
      <c r="A690" s="31"/>
      <c r="C690" s="139"/>
      <c r="D690" s="139"/>
      <c r="F690" s="15"/>
      <c r="M690" s="587"/>
    </row>
    <row r="691">
      <c r="A691" s="31"/>
      <c r="C691" s="139"/>
      <c r="D691" s="139"/>
      <c r="F691" s="15"/>
      <c r="M691" s="587"/>
    </row>
    <row r="692">
      <c r="A692" s="31"/>
      <c r="C692" s="139"/>
      <c r="D692" s="139"/>
      <c r="F692" s="15"/>
      <c r="M692" s="587"/>
    </row>
    <row r="693">
      <c r="A693" s="31"/>
      <c r="C693" s="139"/>
      <c r="D693" s="139"/>
      <c r="F693" s="15"/>
      <c r="M693" s="587"/>
    </row>
    <row r="694">
      <c r="A694" s="31"/>
      <c r="C694" s="139"/>
      <c r="D694" s="139"/>
      <c r="F694" s="15"/>
      <c r="M694" s="587"/>
    </row>
    <row r="695">
      <c r="A695" s="31"/>
      <c r="C695" s="139"/>
      <c r="D695" s="139"/>
      <c r="F695" s="15"/>
      <c r="M695" s="587"/>
    </row>
    <row r="696">
      <c r="A696" s="31"/>
      <c r="C696" s="139"/>
      <c r="D696" s="139"/>
      <c r="F696" s="15"/>
      <c r="M696" s="587"/>
    </row>
    <row r="697">
      <c r="A697" s="31"/>
      <c r="C697" s="139"/>
      <c r="D697" s="139"/>
      <c r="F697" s="15"/>
      <c r="M697" s="587"/>
    </row>
    <row r="698">
      <c r="A698" s="31"/>
      <c r="C698" s="139"/>
      <c r="D698" s="139"/>
      <c r="F698" s="15"/>
      <c r="M698" s="587"/>
    </row>
    <row r="699">
      <c r="A699" s="31"/>
      <c r="C699" s="139"/>
      <c r="D699" s="139"/>
      <c r="F699" s="15"/>
      <c r="M699" s="587"/>
    </row>
    <row r="700">
      <c r="A700" s="31"/>
      <c r="C700" s="139"/>
      <c r="D700" s="139"/>
      <c r="F700" s="15"/>
      <c r="M700" s="587"/>
    </row>
    <row r="701">
      <c r="A701" s="31"/>
      <c r="C701" s="139"/>
      <c r="D701" s="139"/>
      <c r="F701" s="15"/>
      <c r="M701" s="587"/>
    </row>
    <row r="702">
      <c r="A702" s="31"/>
      <c r="C702" s="139"/>
      <c r="D702" s="139"/>
      <c r="F702" s="15"/>
      <c r="M702" s="587"/>
    </row>
    <row r="703">
      <c r="A703" s="31"/>
      <c r="C703" s="139"/>
      <c r="D703" s="139"/>
      <c r="F703" s="15"/>
      <c r="M703" s="587"/>
    </row>
    <row r="704">
      <c r="A704" s="31"/>
      <c r="C704" s="139"/>
      <c r="D704" s="139"/>
      <c r="F704" s="15"/>
      <c r="M704" s="587"/>
    </row>
    <row r="705">
      <c r="A705" s="31"/>
      <c r="C705" s="139"/>
      <c r="D705" s="139"/>
      <c r="F705" s="15"/>
      <c r="M705" s="587"/>
    </row>
    <row r="706">
      <c r="A706" s="31"/>
      <c r="C706" s="139"/>
      <c r="D706" s="139"/>
      <c r="F706" s="15"/>
      <c r="M706" s="587"/>
    </row>
    <row r="707">
      <c r="A707" s="31"/>
      <c r="C707" s="139"/>
      <c r="D707" s="139"/>
      <c r="F707" s="15"/>
      <c r="M707" s="587"/>
    </row>
    <row r="708">
      <c r="A708" s="31"/>
      <c r="C708" s="139"/>
      <c r="D708" s="139"/>
      <c r="F708" s="15"/>
      <c r="M708" s="587"/>
    </row>
    <row r="709">
      <c r="A709" s="31"/>
      <c r="C709" s="139"/>
      <c r="D709" s="139"/>
      <c r="F709" s="15"/>
      <c r="M709" s="587"/>
    </row>
    <row r="710">
      <c r="A710" s="31"/>
      <c r="C710" s="139"/>
      <c r="D710" s="139"/>
      <c r="F710" s="15"/>
      <c r="M710" s="587"/>
    </row>
    <row r="711">
      <c r="A711" s="31"/>
      <c r="C711" s="139"/>
      <c r="D711" s="139"/>
      <c r="F711" s="15"/>
      <c r="M711" s="587"/>
    </row>
    <row r="712">
      <c r="A712" s="31"/>
      <c r="C712" s="139"/>
      <c r="D712" s="139"/>
      <c r="F712" s="15"/>
      <c r="M712" s="587"/>
    </row>
    <row r="713">
      <c r="A713" s="31"/>
      <c r="C713" s="139"/>
      <c r="D713" s="139"/>
      <c r="F713" s="15"/>
      <c r="M713" s="587"/>
    </row>
    <row r="714">
      <c r="A714" s="31"/>
      <c r="C714" s="139"/>
      <c r="D714" s="139"/>
      <c r="F714" s="15"/>
      <c r="M714" s="587"/>
    </row>
    <row r="715">
      <c r="A715" s="31"/>
      <c r="C715" s="139"/>
      <c r="D715" s="139"/>
      <c r="F715" s="15"/>
      <c r="M715" s="587"/>
    </row>
    <row r="716">
      <c r="A716" s="31"/>
      <c r="C716" s="139"/>
      <c r="D716" s="139"/>
      <c r="F716" s="15"/>
      <c r="M716" s="587"/>
    </row>
    <row r="717">
      <c r="A717" s="31"/>
      <c r="C717" s="139"/>
      <c r="D717" s="139"/>
      <c r="F717" s="15"/>
      <c r="M717" s="587"/>
    </row>
    <row r="718">
      <c r="A718" s="31"/>
      <c r="C718" s="139"/>
      <c r="D718" s="139"/>
      <c r="F718" s="15"/>
      <c r="M718" s="587"/>
    </row>
    <row r="719">
      <c r="A719" s="31"/>
      <c r="C719" s="139"/>
      <c r="D719" s="139"/>
      <c r="F719" s="15"/>
      <c r="M719" s="587"/>
    </row>
    <row r="720">
      <c r="A720" s="31"/>
      <c r="C720" s="139"/>
      <c r="D720" s="139"/>
      <c r="F720" s="15"/>
      <c r="M720" s="587"/>
    </row>
    <row r="721">
      <c r="A721" s="31"/>
      <c r="C721" s="139"/>
      <c r="D721" s="139"/>
      <c r="F721" s="15"/>
      <c r="M721" s="587"/>
    </row>
    <row r="722">
      <c r="A722" s="31"/>
      <c r="C722" s="139"/>
      <c r="D722" s="139"/>
      <c r="F722" s="15"/>
      <c r="M722" s="587"/>
    </row>
    <row r="723">
      <c r="A723" s="31"/>
      <c r="C723" s="139"/>
      <c r="D723" s="139"/>
      <c r="F723" s="15"/>
      <c r="M723" s="587"/>
    </row>
    <row r="724">
      <c r="A724" s="31"/>
      <c r="C724" s="139"/>
      <c r="D724" s="139"/>
      <c r="F724" s="15"/>
      <c r="M724" s="587"/>
    </row>
    <row r="725">
      <c r="A725" s="31"/>
      <c r="C725" s="139"/>
      <c r="D725" s="139"/>
      <c r="F725" s="15"/>
      <c r="M725" s="587"/>
    </row>
    <row r="726">
      <c r="A726" s="31"/>
      <c r="C726" s="139"/>
      <c r="D726" s="139"/>
      <c r="F726" s="15"/>
      <c r="M726" s="587"/>
    </row>
    <row r="727">
      <c r="A727" s="31"/>
      <c r="C727" s="139"/>
      <c r="D727" s="139"/>
      <c r="F727" s="15"/>
      <c r="M727" s="587"/>
    </row>
    <row r="728">
      <c r="A728" s="31"/>
      <c r="C728" s="139"/>
      <c r="D728" s="139"/>
      <c r="F728" s="15"/>
      <c r="M728" s="587"/>
    </row>
    <row r="729">
      <c r="A729" s="31"/>
      <c r="C729" s="139"/>
      <c r="D729" s="139"/>
      <c r="F729" s="15"/>
      <c r="M729" s="587"/>
    </row>
    <row r="730">
      <c r="A730" s="31"/>
      <c r="C730" s="139"/>
      <c r="D730" s="139"/>
      <c r="F730" s="15"/>
      <c r="M730" s="587"/>
    </row>
    <row r="731">
      <c r="A731" s="31"/>
      <c r="C731" s="139"/>
      <c r="D731" s="139"/>
      <c r="F731" s="15"/>
      <c r="M731" s="587"/>
    </row>
    <row r="732">
      <c r="A732" s="31"/>
      <c r="C732" s="139"/>
      <c r="D732" s="139"/>
      <c r="F732" s="15"/>
      <c r="M732" s="587"/>
    </row>
    <row r="733">
      <c r="A733" s="31"/>
      <c r="C733" s="139"/>
      <c r="D733" s="139"/>
      <c r="F733" s="15"/>
      <c r="M733" s="587"/>
    </row>
    <row r="734">
      <c r="A734" s="31"/>
      <c r="C734" s="139"/>
      <c r="D734" s="139"/>
      <c r="F734" s="15"/>
      <c r="M734" s="587"/>
    </row>
    <row r="735">
      <c r="A735" s="31"/>
      <c r="C735" s="139"/>
      <c r="D735" s="139"/>
      <c r="F735" s="15"/>
      <c r="M735" s="587"/>
    </row>
    <row r="736">
      <c r="A736" s="31"/>
      <c r="C736" s="139"/>
      <c r="D736" s="139"/>
      <c r="F736" s="15"/>
      <c r="M736" s="587"/>
    </row>
    <row r="737">
      <c r="A737" s="31"/>
      <c r="C737" s="139"/>
      <c r="D737" s="139"/>
      <c r="F737" s="15"/>
      <c r="M737" s="587"/>
    </row>
    <row r="738">
      <c r="A738" s="31"/>
      <c r="C738" s="139"/>
      <c r="D738" s="139"/>
      <c r="F738" s="15"/>
      <c r="M738" s="587"/>
    </row>
    <row r="739">
      <c r="A739" s="31"/>
      <c r="C739" s="139"/>
      <c r="D739" s="139"/>
      <c r="F739" s="15"/>
      <c r="M739" s="587"/>
    </row>
    <row r="740">
      <c r="A740" s="31"/>
      <c r="C740" s="139"/>
      <c r="D740" s="139"/>
      <c r="F740" s="15"/>
      <c r="M740" s="587"/>
    </row>
    <row r="741">
      <c r="A741" s="31"/>
      <c r="C741" s="139"/>
      <c r="D741" s="139"/>
      <c r="F741" s="15"/>
      <c r="M741" s="587"/>
    </row>
    <row r="742">
      <c r="A742" s="31"/>
      <c r="C742" s="139"/>
      <c r="D742" s="139"/>
      <c r="F742" s="15"/>
      <c r="M742" s="587"/>
    </row>
    <row r="743">
      <c r="A743" s="31"/>
      <c r="C743" s="139"/>
      <c r="D743" s="139"/>
      <c r="F743" s="15"/>
      <c r="M743" s="587"/>
    </row>
    <row r="744">
      <c r="A744" s="31"/>
      <c r="C744" s="139"/>
      <c r="D744" s="139"/>
      <c r="F744" s="15"/>
      <c r="M744" s="587"/>
    </row>
    <row r="745">
      <c r="A745" s="31"/>
      <c r="C745" s="139"/>
      <c r="D745" s="139"/>
      <c r="F745" s="15"/>
      <c r="M745" s="587"/>
    </row>
    <row r="746">
      <c r="A746" s="31"/>
      <c r="C746" s="139"/>
      <c r="D746" s="139"/>
      <c r="F746" s="15"/>
      <c r="M746" s="587"/>
    </row>
    <row r="747">
      <c r="A747" s="31"/>
      <c r="C747" s="139"/>
      <c r="D747" s="139"/>
      <c r="F747" s="15"/>
      <c r="M747" s="587"/>
    </row>
    <row r="748">
      <c r="A748" s="31"/>
      <c r="C748" s="139"/>
      <c r="D748" s="139"/>
      <c r="F748" s="15"/>
      <c r="M748" s="587"/>
    </row>
    <row r="749">
      <c r="A749" s="31"/>
      <c r="C749" s="139"/>
      <c r="D749" s="139"/>
      <c r="F749" s="15"/>
      <c r="M749" s="587"/>
    </row>
    <row r="750">
      <c r="A750" s="31"/>
      <c r="C750" s="139"/>
      <c r="D750" s="139"/>
      <c r="F750" s="15"/>
      <c r="M750" s="587"/>
    </row>
    <row r="751">
      <c r="A751" s="31"/>
      <c r="C751" s="139"/>
      <c r="D751" s="139"/>
      <c r="F751" s="15"/>
      <c r="M751" s="587"/>
    </row>
    <row r="752">
      <c r="A752" s="31"/>
      <c r="C752" s="139"/>
      <c r="D752" s="139"/>
      <c r="F752" s="15"/>
      <c r="M752" s="587"/>
    </row>
    <row r="753">
      <c r="A753" s="31"/>
      <c r="C753" s="139"/>
      <c r="D753" s="139"/>
      <c r="F753" s="15"/>
      <c r="M753" s="587"/>
    </row>
    <row r="754">
      <c r="A754" s="31"/>
      <c r="C754" s="139"/>
      <c r="D754" s="139"/>
      <c r="F754" s="15"/>
      <c r="M754" s="587"/>
    </row>
    <row r="755">
      <c r="A755" s="31"/>
      <c r="C755" s="139"/>
      <c r="D755" s="139"/>
      <c r="F755" s="15"/>
      <c r="M755" s="587"/>
    </row>
    <row r="756">
      <c r="A756" s="31"/>
      <c r="C756" s="139"/>
      <c r="D756" s="139"/>
      <c r="F756" s="15"/>
      <c r="M756" s="587"/>
    </row>
    <row r="757">
      <c r="A757" s="31"/>
      <c r="C757" s="139"/>
      <c r="D757" s="139"/>
      <c r="F757" s="15"/>
      <c r="M757" s="587"/>
    </row>
    <row r="758">
      <c r="A758" s="31"/>
      <c r="C758" s="139"/>
      <c r="D758" s="139"/>
      <c r="F758" s="15"/>
      <c r="M758" s="587"/>
    </row>
    <row r="759">
      <c r="A759" s="31"/>
      <c r="C759" s="139"/>
      <c r="D759" s="139"/>
      <c r="F759" s="15"/>
      <c r="M759" s="587"/>
    </row>
    <row r="760">
      <c r="A760" s="31"/>
      <c r="C760" s="139"/>
      <c r="D760" s="139"/>
      <c r="F760" s="15"/>
      <c r="M760" s="587"/>
    </row>
    <row r="761">
      <c r="A761" s="31"/>
      <c r="C761" s="139"/>
      <c r="D761" s="139"/>
      <c r="F761" s="15"/>
      <c r="M761" s="587"/>
    </row>
    <row r="762">
      <c r="A762" s="31"/>
      <c r="C762" s="139"/>
      <c r="D762" s="139"/>
      <c r="F762" s="15"/>
      <c r="M762" s="587"/>
    </row>
    <row r="763">
      <c r="A763" s="31"/>
      <c r="C763" s="139"/>
      <c r="D763" s="139"/>
      <c r="F763" s="15"/>
      <c r="M763" s="587"/>
    </row>
    <row r="764">
      <c r="A764" s="31"/>
      <c r="C764" s="139"/>
      <c r="D764" s="139"/>
      <c r="F764" s="15"/>
      <c r="M764" s="587"/>
    </row>
    <row r="765">
      <c r="A765" s="31"/>
      <c r="C765" s="139"/>
      <c r="D765" s="139"/>
      <c r="F765" s="15"/>
      <c r="M765" s="587"/>
    </row>
    <row r="766">
      <c r="A766" s="31"/>
      <c r="C766" s="139"/>
      <c r="D766" s="139"/>
      <c r="F766" s="15"/>
      <c r="M766" s="587"/>
    </row>
    <row r="767">
      <c r="A767" s="31"/>
      <c r="C767" s="139"/>
      <c r="D767" s="139"/>
      <c r="F767" s="15"/>
      <c r="M767" s="587"/>
    </row>
    <row r="768">
      <c r="A768" s="31"/>
      <c r="C768" s="139"/>
      <c r="D768" s="139"/>
      <c r="F768" s="15"/>
      <c r="M768" s="587"/>
    </row>
    <row r="769">
      <c r="A769" s="31"/>
      <c r="C769" s="139"/>
      <c r="D769" s="139"/>
      <c r="F769" s="15"/>
      <c r="M769" s="587"/>
    </row>
    <row r="770">
      <c r="A770" s="31"/>
      <c r="C770" s="139"/>
      <c r="D770" s="139"/>
      <c r="F770" s="15"/>
      <c r="M770" s="587"/>
    </row>
    <row r="771">
      <c r="A771" s="31"/>
      <c r="C771" s="139"/>
      <c r="D771" s="139"/>
      <c r="F771" s="15"/>
      <c r="M771" s="587"/>
    </row>
    <row r="772">
      <c r="A772" s="31"/>
      <c r="C772" s="139"/>
      <c r="D772" s="139"/>
      <c r="F772" s="15"/>
      <c r="M772" s="587"/>
    </row>
    <row r="773">
      <c r="A773" s="31"/>
      <c r="C773" s="139"/>
      <c r="D773" s="139"/>
      <c r="F773" s="15"/>
      <c r="M773" s="587"/>
    </row>
    <row r="774">
      <c r="A774" s="31"/>
      <c r="C774" s="139"/>
      <c r="D774" s="139"/>
      <c r="F774" s="15"/>
      <c r="M774" s="587"/>
    </row>
    <row r="775">
      <c r="A775" s="31"/>
      <c r="C775" s="139"/>
      <c r="D775" s="139"/>
      <c r="F775" s="15"/>
      <c r="M775" s="587"/>
    </row>
    <row r="776">
      <c r="A776" s="31"/>
      <c r="C776" s="139"/>
      <c r="D776" s="139"/>
      <c r="F776" s="15"/>
      <c r="M776" s="587"/>
    </row>
    <row r="777">
      <c r="A777" s="31"/>
      <c r="C777" s="139"/>
      <c r="D777" s="139"/>
      <c r="F777" s="15"/>
      <c r="M777" s="587"/>
    </row>
    <row r="778">
      <c r="A778" s="31"/>
      <c r="C778" s="139"/>
      <c r="D778" s="139"/>
      <c r="F778" s="15"/>
      <c r="M778" s="587"/>
    </row>
    <row r="779">
      <c r="A779" s="31"/>
      <c r="C779" s="139"/>
      <c r="D779" s="139"/>
      <c r="F779" s="15"/>
      <c r="M779" s="587"/>
    </row>
    <row r="780">
      <c r="A780" s="31"/>
      <c r="C780" s="139"/>
      <c r="D780" s="139"/>
      <c r="F780" s="15"/>
      <c r="M780" s="587"/>
    </row>
    <row r="781">
      <c r="A781" s="31"/>
      <c r="C781" s="139"/>
      <c r="D781" s="139"/>
      <c r="F781" s="15"/>
      <c r="M781" s="587"/>
    </row>
    <row r="782">
      <c r="A782" s="31"/>
      <c r="C782" s="139"/>
      <c r="D782" s="139"/>
      <c r="F782" s="15"/>
      <c r="M782" s="587"/>
    </row>
    <row r="783">
      <c r="A783" s="31"/>
      <c r="C783" s="139"/>
      <c r="D783" s="139"/>
      <c r="F783" s="15"/>
      <c r="M783" s="587"/>
    </row>
    <row r="784">
      <c r="A784" s="31"/>
      <c r="C784" s="139"/>
      <c r="D784" s="139"/>
      <c r="F784" s="15"/>
      <c r="M784" s="587"/>
    </row>
    <row r="785">
      <c r="A785" s="31"/>
      <c r="C785" s="139"/>
      <c r="D785" s="139"/>
      <c r="F785" s="15"/>
      <c r="M785" s="587"/>
    </row>
    <row r="786">
      <c r="A786" s="31"/>
      <c r="C786" s="139"/>
      <c r="D786" s="139"/>
      <c r="F786" s="15"/>
      <c r="M786" s="587"/>
    </row>
    <row r="787">
      <c r="A787" s="31"/>
      <c r="C787" s="139"/>
      <c r="D787" s="139"/>
      <c r="F787" s="15"/>
      <c r="M787" s="587"/>
    </row>
    <row r="788">
      <c r="A788" s="31"/>
      <c r="C788" s="139"/>
      <c r="D788" s="139"/>
      <c r="F788" s="15"/>
      <c r="M788" s="587"/>
    </row>
    <row r="789">
      <c r="A789" s="31"/>
      <c r="C789" s="139"/>
      <c r="D789" s="139"/>
      <c r="F789" s="15"/>
      <c r="M789" s="587"/>
    </row>
    <row r="790">
      <c r="A790" s="31"/>
      <c r="C790" s="139"/>
      <c r="D790" s="139"/>
      <c r="F790" s="15"/>
      <c r="M790" s="587"/>
    </row>
    <row r="791">
      <c r="A791" s="31"/>
      <c r="C791" s="139"/>
      <c r="D791" s="139"/>
      <c r="F791" s="15"/>
      <c r="M791" s="587"/>
    </row>
    <row r="792">
      <c r="A792" s="31"/>
      <c r="C792" s="139"/>
      <c r="D792" s="139"/>
      <c r="F792" s="15"/>
      <c r="M792" s="587"/>
    </row>
    <row r="793">
      <c r="A793" s="31"/>
      <c r="C793" s="139"/>
      <c r="D793" s="139"/>
      <c r="F793" s="15"/>
      <c r="M793" s="587"/>
    </row>
    <row r="794">
      <c r="A794" s="31"/>
      <c r="C794" s="139"/>
      <c r="D794" s="139"/>
      <c r="F794" s="15"/>
      <c r="M794" s="587"/>
    </row>
    <row r="795">
      <c r="A795" s="31"/>
      <c r="C795" s="139"/>
      <c r="D795" s="139"/>
      <c r="F795" s="15"/>
      <c r="M795" s="587"/>
    </row>
    <row r="796">
      <c r="A796" s="31"/>
      <c r="C796" s="139"/>
      <c r="D796" s="139"/>
      <c r="F796" s="15"/>
      <c r="M796" s="587"/>
    </row>
    <row r="797">
      <c r="A797" s="31"/>
      <c r="C797" s="139"/>
      <c r="D797" s="139"/>
      <c r="F797" s="15"/>
      <c r="M797" s="587"/>
    </row>
    <row r="798">
      <c r="A798" s="31"/>
      <c r="C798" s="139"/>
      <c r="D798" s="139"/>
      <c r="F798" s="15"/>
      <c r="M798" s="587"/>
    </row>
    <row r="799">
      <c r="A799" s="31"/>
      <c r="C799" s="139"/>
      <c r="D799" s="139"/>
      <c r="F799" s="15"/>
      <c r="M799" s="587"/>
    </row>
    <row r="800">
      <c r="A800" s="31"/>
      <c r="C800" s="139"/>
      <c r="D800" s="139"/>
      <c r="F800" s="15"/>
      <c r="M800" s="587"/>
    </row>
    <row r="801">
      <c r="A801" s="31"/>
      <c r="C801" s="139"/>
      <c r="D801" s="139"/>
      <c r="F801" s="15"/>
      <c r="M801" s="587"/>
    </row>
    <row r="802">
      <c r="A802" s="31"/>
      <c r="C802" s="139"/>
      <c r="D802" s="139"/>
      <c r="F802" s="15"/>
      <c r="M802" s="587"/>
    </row>
    <row r="803">
      <c r="A803" s="31"/>
      <c r="C803" s="139"/>
      <c r="D803" s="139"/>
      <c r="F803" s="15"/>
      <c r="M803" s="587"/>
    </row>
    <row r="804">
      <c r="A804" s="31"/>
      <c r="C804" s="139"/>
      <c r="D804" s="139"/>
      <c r="F804" s="15"/>
      <c r="M804" s="587"/>
    </row>
    <row r="805">
      <c r="A805" s="31"/>
      <c r="C805" s="139"/>
      <c r="D805" s="139"/>
      <c r="F805" s="15"/>
      <c r="M805" s="587"/>
    </row>
    <row r="806">
      <c r="A806" s="31"/>
      <c r="C806" s="139"/>
      <c r="D806" s="139"/>
      <c r="F806" s="15"/>
      <c r="M806" s="587"/>
    </row>
    <row r="807">
      <c r="A807" s="31"/>
      <c r="C807" s="139"/>
      <c r="D807" s="139"/>
      <c r="F807" s="15"/>
      <c r="M807" s="587"/>
    </row>
    <row r="808">
      <c r="A808" s="31"/>
      <c r="C808" s="139"/>
      <c r="D808" s="139"/>
      <c r="F808" s="15"/>
      <c r="M808" s="587"/>
    </row>
    <row r="809">
      <c r="A809" s="31"/>
      <c r="C809" s="139"/>
      <c r="D809" s="139"/>
      <c r="F809" s="15"/>
      <c r="M809" s="587"/>
    </row>
    <row r="810">
      <c r="A810" s="31"/>
      <c r="C810" s="139"/>
      <c r="D810" s="139"/>
      <c r="F810" s="15"/>
      <c r="M810" s="587"/>
    </row>
    <row r="811">
      <c r="A811" s="31"/>
      <c r="C811" s="139"/>
      <c r="D811" s="139"/>
      <c r="F811" s="15"/>
      <c r="M811" s="587"/>
    </row>
    <row r="812">
      <c r="A812" s="31"/>
      <c r="C812" s="139"/>
      <c r="D812" s="139"/>
      <c r="F812" s="15"/>
      <c r="M812" s="587"/>
    </row>
    <row r="813">
      <c r="A813" s="31"/>
      <c r="C813" s="139"/>
      <c r="D813" s="139"/>
      <c r="F813" s="15"/>
      <c r="M813" s="587"/>
    </row>
    <row r="814">
      <c r="A814" s="31"/>
      <c r="C814" s="139"/>
      <c r="D814" s="139"/>
      <c r="F814" s="15"/>
      <c r="M814" s="587"/>
    </row>
    <row r="815">
      <c r="A815" s="31"/>
      <c r="C815" s="139"/>
      <c r="D815" s="139"/>
      <c r="F815" s="15"/>
      <c r="M815" s="587"/>
    </row>
    <row r="816">
      <c r="A816" s="31"/>
      <c r="C816" s="139"/>
      <c r="D816" s="139"/>
      <c r="F816" s="15"/>
      <c r="M816" s="587"/>
    </row>
    <row r="817">
      <c r="A817" s="31"/>
      <c r="C817" s="139"/>
      <c r="D817" s="139"/>
      <c r="F817" s="15"/>
      <c r="M817" s="587"/>
    </row>
    <row r="818">
      <c r="A818" s="31"/>
      <c r="C818" s="139"/>
      <c r="D818" s="139"/>
      <c r="F818" s="15"/>
      <c r="M818" s="587"/>
    </row>
    <row r="819">
      <c r="A819" s="31"/>
      <c r="C819" s="139"/>
      <c r="D819" s="139"/>
      <c r="F819" s="15"/>
      <c r="M819" s="587"/>
    </row>
    <row r="820">
      <c r="A820" s="31"/>
      <c r="C820" s="139"/>
      <c r="D820" s="139"/>
      <c r="F820" s="15"/>
      <c r="M820" s="587"/>
    </row>
    <row r="821">
      <c r="A821" s="31"/>
      <c r="C821" s="139"/>
      <c r="D821" s="139"/>
      <c r="F821" s="15"/>
      <c r="M821" s="587"/>
    </row>
    <row r="822">
      <c r="A822" s="31"/>
      <c r="C822" s="139"/>
      <c r="D822" s="139"/>
      <c r="F822" s="15"/>
      <c r="M822" s="587"/>
    </row>
    <row r="823">
      <c r="A823" s="31"/>
      <c r="C823" s="139"/>
      <c r="D823" s="139"/>
      <c r="F823" s="15"/>
      <c r="M823" s="587"/>
    </row>
    <row r="824">
      <c r="A824" s="31"/>
      <c r="C824" s="139"/>
      <c r="D824" s="139"/>
      <c r="F824" s="15"/>
      <c r="M824" s="587"/>
    </row>
    <row r="825">
      <c r="A825" s="31"/>
      <c r="C825" s="139"/>
      <c r="D825" s="139"/>
      <c r="F825" s="15"/>
      <c r="M825" s="587"/>
    </row>
    <row r="826">
      <c r="A826" s="31"/>
      <c r="C826" s="139"/>
      <c r="D826" s="139"/>
      <c r="F826" s="15"/>
      <c r="M826" s="587"/>
    </row>
    <row r="827">
      <c r="A827" s="31"/>
      <c r="C827" s="139"/>
      <c r="D827" s="139"/>
      <c r="F827" s="15"/>
      <c r="M827" s="587"/>
    </row>
    <row r="828">
      <c r="A828" s="31"/>
      <c r="C828" s="139"/>
      <c r="D828" s="139"/>
      <c r="F828" s="15"/>
      <c r="M828" s="587"/>
    </row>
    <row r="829">
      <c r="A829" s="31"/>
      <c r="C829" s="139"/>
      <c r="D829" s="139"/>
      <c r="F829" s="15"/>
      <c r="M829" s="587"/>
    </row>
    <row r="830">
      <c r="A830" s="31"/>
      <c r="C830" s="139"/>
      <c r="D830" s="139"/>
      <c r="F830" s="15"/>
      <c r="M830" s="587"/>
    </row>
    <row r="831">
      <c r="A831" s="31"/>
      <c r="C831" s="139"/>
      <c r="D831" s="139"/>
      <c r="F831" s="15"/>
      <c r="M831" s="587"/>
    </row>
    <row r="832">
      <c r="A832" s="31"/>
      <c r="C832" s="139"/>
      <c r="D832" s="139"/>
      <c r="F832" s="15"/>
      <c r="M832" s="587"/>
    </row>
    <row r="833">
      <c r="A833" s="31"/>
      <c r="C833" s="139"/>
      <c r="D833" s="139"/>
      <c r="F833" s="15"/>
      <c r="M833" s="587"/>
    </row>
    <row r="834">
      <c r="A834" s="31"/>
      <c r="C834" s="139"/>
      <c r="D834" s="139"/>
      <c r="F834" s="15"/>
      <c r="M834" s="587"/>
    </row>
    <row r="835">
      <c r="A835" s="31"/>
      <c r="C835" s="139"/>
      <c r="D835" s="139"/>
      <c r="F835" s="15"/>
      <c r="M835" s="587"/>
    </row>
    <row r="836">
      <c r="A836" s="31"/>
      <c r="C836" s="139"/>
      <c r="D836" s="139"/>
      <c r="F836" s="15"/>
      <c r="M836" s="587"/>
    </row>
    <row r="837">
      <c r="A837" s="31"/>
      <c r="C837" s="139"/>
      <c r="D837" s="139"/>
      <c r="F837" s="15"/>
      <c r="M837" s="587"/>
    </row>
    <row r="838">
      <c r="A838" s="31"/>
      <c r="C838" s="139"/>
      <c r="D838" s="139"/>
      <c r="F838" s="15"/>
      <c r="M838" s="587"/>
    </row>
    <row r="839">
      <c r="A839" s="31"/>
      <c r="C839" s="139"/>
      <c r="D839" s="139"/>
      <c r="F839" s="15"/>
      <c r="M839" s="587"/>
    </row>
    <row r="840">
      <c r="A840" s="31"/>
      <c r="C840" s="139"/>
      <c r="D840" s="139"/>
      <c r="F840" s="15"/>
      <c r="M840" s="587"/>
    </row>
    <row r="841">
      <c r="A841" s="31"/>
      <c r="C841" s="139"/>
      <c r="D841" s="139"/>
      <c r="F841" s="15"/>
      <c r="M841" s="587"/>
    </row>
    <row r="842">
      <c r="A842" s="31"/>
      <c r="C842" s="139"/>
      <c r="D842" s="139"/>
      <c r="F842" s="15"/>
      <c r="M842" s="587"/>
    </row>
    <row r="843">
      <c r="A843" s="31"/>
      <c r="C843" s="139"/>
      <c r="D843" s="139"/>
      <c r="F843" s="15"/>
      <c r="M843" s="587"/>
    </row>
    <row r="844">
      <c r="A844" s="31"/>
      <c r="C844" s="139"/>
      <c r="D844" s="139"/>
      <c r="F844" s="15"/>
      <c r="M844" s="587"/>
    </row>
    <row r="845">
      <c r="A845" s="31"/>
      <c r="C845" s="139"/>
      <c r="D845" s="139"/>
      <c r="F845" s="15"/>
      <c r="M845" s="587"/>
    </row>
    <row r="846">
      <c r="A846" s="31"/>
      <c r="C846" s="139"/>
      <c r="D846" s="139"/>
      <c r="F846" s="15"/>
      <c r="M846" s="587"/>
    </row>
    <row r="847">
      <c r="A847" s="31"/>
      <c r="C847" s="139"/>
      <c r="D847" s="139"/>
      <c r="F847" s="15"/>
      <c r="M847" s="587"/>
    </row>
    <row r="848">
      <c r="A848" s="31"/>
      <c r="C848" s="139"/>
      <c r="D848" s="139"/>
      <c r="F848" s="15"/>
      <c r="M848" s="587"/>
    </row>
    <row r="849">
      <c r="A849" s="31"/>
      <c r="C849" s="139"/>
      <c r="D849" s="139"/>
      <c r="F849" s="15"/>
      <c r="M849" s="587"/>
    </row>
    <row r="850">
      <c r="A850" s="31"/>
      <c r="C850" s="139"/>
      <c r="D850" s="139"/>
      <c r="F850" s="15"/>
      <c r="M850" s="587"/>
    </row>
    <row r="851">
      <c r="A851" s="31"/>
      <c r="C851" s="139"/>
      <c r="D851" s="139"/>
      <c r="F851" s="15"/>
      <c r="M851" s="587"/>
    </row>
    <row r="852">
      <c r="A852" s="31"/>
      <c r="C852" s="139"/>
      <c r="D852" s="139"/>
      <c r="F852" s="15"/>
      <c r="M852" s="587"/>
    </row>
    <row r="853">
      <c r="A853" s="31"/>
      <c r="C853" s="139"/>
      <c r="D853" s="139"/>
      <c r="F853" s="15"/>
      <c r="M853" s="587"/>
    </row>
    <row r="854">
      <c r="A854" s="31"/>
      <c r="C854" s="139"/>
      <c r="D854" s="139"/>
      <c r="F854" s="15"/>
      <c r="M854" s="587"/>
    </row>
    <row r="855">
      <c r="A855" s="31"/>
      <c r="C855" s="139"/>
      <c r="D855" s="139"/>
      <c r="F855" s="15"/>
      <c r="M855" s="587"/>
    </row>
    <row r="856">
      <c r="A856" s="31"/>
      <c r="C856" s="139"/>
      <c r="D856" s="139"/>
      <c r="F856" s="15"/>
      <c r="M856" s="587"/>
    </row>
    <row r="857">
      <c r="A857" s="31"/>
      <c r="C857" s="139"/>
      <c r="D857" s="139"/>
      <c r="F857" s="15"/>
      <c r="M857" s="587"/>
    </row>
    <row r="858">
      <c r="A858" s="31"/>
      <c r="C858" s="139"/>
      <c r="D858" s="139"/>
      <c r="F858" s="15"/>
      <c r="M858" s="587"/>
    </row>
    <row r="859">
      <c r="A859" s="31"/>
      <c r="C859" s="139"/>
      <c r="D859" s="139"/>
      <c r="F859" s="15"/>
      <c r="M859" s="587"/>
    </row>
    <row r="860">
      <c r="A860" s="31"/>
      <c r="C860" s="139"/>
      <c r="D860" s="139"/>
      <c r="F860" s="15"/>
      <c r="M860" s="587"/>
    </row>
    <row r="861">
      <c r="A861" s="31"/>
      <c r="C861" s="139"/>
      <c r="D861" s="139"/>
      <c r="F861" s="15"/>
      <c r="M861" s="587"/>
    </row>
    <row r="862">
      <c r="A862" s="31"/>
      <c r="C862" s="139"/>
      <c r="D862" s="139"/>
      <c r="F862" s="15"/>
      <c r="M862" s="587"/>
    </row>
    <row r="863">
      <c r="A863" s="31"/>
      <c r="C863" s="139"/>
      <c r="D863" s="139"/>
      <c r="F863" s="15"/>
      <c r="M863" s="587"/>
    </row>
    <row r="864">
      <c r="A864" s="31"/>
      <c r="C864" s="139"/>
      <c r="D864" s="139"/>
      <c r="F864" s="15"/>
      <c r="M864" s="587"/>
    </row>
    <row r="865">
      <c r="A865" s="31"/>
      <c r="C865" s="139"/>
      <c r="D865" s="139"/>
      <c r="F865" s="15"/>
      <c r="M865" s="587"/>
    </row>
    <row r="866">
      <c r="A866" s="31"/>
      <c r="C866" s="139"/>
      <c r="D866" s="139"/>
      <c r="F866" s="15"/>
      <c r="M866" s="587"/>
    </row>
    <row r="867">
      <c r="A867" s="31"/>
      <c r="C867" s="139"/>
      <c r="D867" s="139"/>
      <c r="F867" s="15"/>
      <c r="M867" s="587"/>
    </row>
    <row r="868">
      <c r="A868" s="31"/>
      <c r="C868" s="139"/>
      <c r="D868" s="139"/>
      <c r="F868" s="15"/>
      <c r="M868" s="587"/>
    </row>
    <row r="869">
      <c r="A869" s="31"/>
      <c r="C869" s="139"/>
      <c r="D869" s="139"/>
      <c r="F869" s="15"/>
      <c r="M869" s="587"/>
    </row>
    <row r="870">
      <c r="A870" s="31"/>
      <c r="C870" s="139"/>
      <c r="D870" s="139"/>
      <c r="F870" s="15"/>
      <c r="M870" s="587"/>
    </row>
    <row r="871">
      <c r="A871" s="31"/>
      <c r="C871" s="139"/>
      <c r="D871" s="139"/>
      <c r="F871" s="15"/>
      <c r="M871" s="587"/>
    </row>
    <row r="872">
      <c r="A872" s="31"/>
      <c r="C872" s="139"/>
      <c r="D872" s="139"/>
      <c r="F872" s="15"/>
      <c r="M872" s="587"/>
    </row>
    <row r="873">
      <c r="A873" s="31"/>
      <c r="C873" s="139"/>
      <c r="D873" s="139"/>
      <c r="F873" s="15"/>
      <c r="M873" s="587"/>
    </row>
    <row r="874">
      <c r="A874" s="31"/>
      <c r="C874" s="139"/>
      <c r="D874" s="139"/>
      <c r="F874" s="15"/>
      <c r="M874" s="587"/>
    </row>
    <row r="875">
      <c r="A875" s="31"/>
      <c r="C875" s="139"/>
      <c r="D875" s="139"/>
      <c r="F875" s="15"/>
      <c r="M875" s="587"/>
    </row>
    <row r="876">
      <c r="A876" s="31"/>
      <c r="C876" s="139"/>
      <c r="D876" s="139"/>
      <c r="F876" s="15"/>
      <c r="M876" s="587"/>
    </row>
    <row r="877">
      <c r="A877" s="31"/>
      <c r="C877" s="139"/>
      <c r="D877" s="139"/>
      <c r="F877" s="15"/>
      <c r="M877" s="587"/>
    </row>
    <row r="878">
      <c r="A878" s="31"/>
      <c r="C878" s="139"/>
      <c r="D878" s="139"/>
      <c r="F878" s="15"/>
      <c r="M878" s="587"/>
    </row>
    <row r="879">
      <c r="A879" s="31"/>
      <c r="C879" s="139"/>
      <c r="D879" s="139"/>
      <c r="F879" s="15"/>
      <c r="M879" s="587"/>
    </row>
    <row r="880">
      <c r="A880" s="31"/>
      <c r="C880" s="139"/>
      <c r="D880" s="139"/>
      <c r="F880" s="15"/>
      <c r="M880" s="587"/>
    </row>
    <row r="881">
      <c r="A881" s="31"/>
      <c r="C881" s="139"/>
      <c r="D881" s="139"/>
      <c r="F881" s="15"/>
      <c r="M881" s="587"/>
    </row>
    <row r="882">
      <c r="A882" s="31"/>
      <c r="C882" s="139"/>
      <c r="D882" s="139"/>
      <c r="F882" s="15"/>
      <c r="M882" s="587"/>
    </row>
    <row r="883">
      <c r="A883" s="31"/>
      <c r="C883" s="139"/>
      <c r="D883" s="139"/>
      <c r="F883" s="15"/>
      <c r="M883" s="587"/>
    </row>
    <row r="884">
      <c r="A884" s="31"/>
      <c r="C884" s="139"/>
      <c r="D884" s="139"/>
      <c r="F884" s="15"/>
      <c r="M884" s="587"/>
    </row>
    <row r="885">
      <c r="A885" s="31"/>
      <c r="C885" s="139"/>
      <c r="D885" s="139"/>
      <c r="F885" s="15"/>
      <c r="M885" s="587"/>
    </row>
    <row r="886">
      <c r="A886" s="31"/>
      <c r="C886" s="139"/>
      <c r="D886" s="139"/>
      <c r="F886" s="15"/>
      <c r="M886" s="587"/>
    </row>
    <row r="887">
      <c r="A887" s="31"/>
      <c r="C887" s="139"/>
      <c r="D887" s="139"/>
      <c r="F887" s="15"/>
      <c r="M887" s="587"/>
    </row>
    <row r="888">
      <c r="A888" s="31"/>
      <c r="C888" s="139"/>
      <c r="D888" s="139"/>
      <c r="F888" s="15"/>
      <c r="M888" s="587"/>
    </row>
    <row r="889">
      <c r="A889" s="31"/>
      <c r="C889" s="139"/>
      <c r="D889" s="139"/>
      <c r="F889" s="15"/>
      <c r="M889" s="587"/>
    </row>
    <row r="890">
      <c r="A890" s="31"/>
      <c r="C890" s="139"/>
      <c r="D890" s="139"/>
      <c r="F890" s="15"/>
      <c r="M890" s="587"/>
    </row>
    <row r="891">
      <c r="A891" s="31"/>
      <c r="C891" s="139"/>
      <c r="D891" s="139"/>
      <c r="F891" s="15"/>
      <c r="M891" s="587"/>
    </row>
    <row r="892">
      <c r="A892" s="31"/>
      <c r="C892" s="139"/>
      <c r="D892" s="139"/>
      <c r="F892" s="15"/>
      <c r="M892" s="587"/>
    </row>
    <row r="893">
      <c r="A893" s="31"/>
      <c r="C893" s="139"/>
      <c r="D893" s="139"/>
      <c r="F893" s="15"/>
      <c r="M893" s="587"/>
    </row>
    <row r="894">
      <c r="A894" s="31"/>
      <c r="C894" s="139"/>
      <c r="D894" s="139"/>
      <c r="F894" s="15"/>
      <c r="M894" s="587"/>
    </row>
    <row r="895">
      <c r="A895" s="31"/>
      <c r="C895" s="139"/>
      <c r="D895" s="139"/>
      <c r="F895" s="15"/>
      <c r="M895" s="587"/>
    </row>
    <row r="896">
      <c r="A896" s="31"/>
      <c r="C896" s="139"/>
      <c r="D896" s="139"/>
      <c r="F896" s="15"/>
      <c r="M896" s="587"/>
    </row>
    <row r="897">
      <c r="A897" s="31"/>
      <c r="C897" s="139"/>
      <c r="D897" s="139"/>
      <c r="F897" s="15"/>
      <c r="M897" s="587"/>
    </row>
    <row r="898">
      <c r="A898" s="31"/>
      <c r="C898" s="139"/>
      <c r="D898" s="139"/>
      <c r="F898" s="15"/>
      <c r="M898" s="587"/>
    </row>
    <row r="899">
      <c r="A899" s="31"/>
      <c r="C899" s="139"/>
      <c r="D899" s="139"/>
      <c r="F899" s="15"/>
      <c r="M899" s="587"/>
    </row>
    <row r="900">
      <c r="A900" s="31"/>
      <c r="C900" s="139"/>
      <c r="D900" s="139"/>
      <c r="F900" s="15"/>
      <c r="M900" s="587"/>
    </row>
    <row r="901">
      <c r="A901" s="31"/>
      <c r="C901" s="139"/>
      <c r="D901" s="139"/>
      <c r="F901" s="15"/>
      <c r="M901" s="587"/>
    </row>
    <row r="902">
      <c r="A902" s="31"/>
      <c r="C902" s="139"/>
      <c r="D902" s="139"/>
      <c r="F902" s="15"/>
      <c r="M902" s="587"/>
    </row>
    <row r="903">
      <c r="A903" s="31"/>
      <c r="C903" s="139"/>
      <c r="D903" s="139"/>
      <c r="F903" s="15"/>
      <c r="M903" s="587"/>
    </row>
    <row r="904">
      <c r="A904" s="31"/>
      <c r="C904" s="139"/>
      <c r="D904" s="139"/>
      <c r="F904" s="15"/>
      <c r="M904" s="587"/>
    </row>
    <row r="905">
      <c r="A905" s="31"/>
      <c r="C905" s="139"/>
      <c r="D905" s="139"/>
      <c r="F905" s="15"/>
      <c r="M905" s="587"/>
    </row>
    <row r="906">
      <c r="A906" s="31"/>
      <c r="C906" s="139"/>
      <c r="D906" s="139"/>
      <c r="F906" s="15"/>
      <c r="M906" s="587"/>
    </row>
    <row r="907">
      <c r="A907" s="31"/>
      <c r="C907" s="139"/>
      <c r="D907" s="139"/>
      <c r="F907" s="15"/>
      <c r="M907" s="587"/>
    </row>
    <row r="908">
      <c r="A908" s="31"/>
      <c r="C908" s="139"/>
      <c r="D908" s="139"/>
      <c r="F908" s="15"/>
      <c r="M908" s="587"/>
    </row>
    <row r="909">
      <c r="A909" s="31"/>
      <c r="C909" s="139"/>
      <c r="D909" s="139"/>
      <c r="F909" s="15"/>
      <c r="M909" s="587"/>
    </row>
    <row r="910">
      <c r="A910" s="31"/>
      <c r="C910" s="139"/>
      <c r="D910" s="139"/>
      <c r="F910" s="15"/>
      <c r="M910" s="587"/>
    </row>
    <row r="911">
      <c r="A911" s="31"/>
      <c r="C911" s="139"/>
      <c r="D911" s="139"/>
      <c r="F911" s="15"/>
      <c r="M911" s="587"/>
    </row>
    <row r="912">
      <c r="A912" s="31"/>
      <c r="C912" s="139"/>
      <c r="D912" s="139"/>
      <c r="F912" s="15"/>
      <c r="M912" s="587"/>
    </row>
    <row r="913">
      <c r="A913" s="31"/>
      <c r="C913" s="139"/>
      <c r="D913" s="139"/>
      <c r="F913" s="15"/>
      <c r="M913" s="587"/>
    </row>
    <row r="914">
      <c r="A914" s="31"/>
      <c r="C914" s="139"/>
      <c r="D914" s="139"/>
      <c r="F914" s="15"/>
      <c r="M914" s="587"/>
    </row>
    <row r="915">
      <c r="A915" s="31"/>
      <c r="C915" s="139"/>
      <c r="D915" s="139"/>
      <c r="F915" s="15"/>
      <c r="M915" s="587"/>
    </row>
    <row r="916">
      <c r="A916" s="31"/>
      <c r="C916" s="139"/>
      <c r="D916" s="139"/>
      <c r="F916" s="15"/>
      <c r="M916" s="587"/>
    </row>
    <row r="917">
      <c r="A917" s="31"/>
      <c r="C917" s="139"/>
      <c r="D917" s="139"/>
      <c r="F917" s="15"/>
      <c r="M917" s="587"/>
    </row>
    <row r="918">
      <c r="A918" s="31"/>
      <c r="C918" s="139"/>
      <c r="D918" s="139"/>
      <c r="F918" s="15"/>
      <c r="M918" s="587"/>
    </row>
    <row r="919">
      <c r="A919" s="31"/>
      <c r="C919" s="139"/>
      <c r="D919" s="139"/>
      <c r="F919" s="15"/>
      <c r="M919" s="587"/>
    </row>
    <row r="920">
      <c r="A920" s="31"/>
      <c r="C920" s="139"/>
      <c r="D920" s="139"/>
      <c r="F920" s="15"/>
      <c r="M920" s="587"/>
    </row>
    <row r="921">
      <c r="A921" s="31"/>
      <c r="C921" s="139"/>
      <c r="D921" s="139"/>
      <c r="F921" s="15"/>
      <c r="M921" s="587"/>
    </row>
    <row r="922">
      <c r="A922" s="31"/>
      <c r="C922" s="139"/>
      <c r="D922" s="139"/>
      <c r="F922" s="15"/>
      <c r="M922" s="587"/>
    </row>
    <row r="923">
      <c r="A923" s="31"/>
      <c r="C923" s="139"/>
      <c r="D923" s="139"/>
      <c r="F923" s="15"/>
      <c r="M923" s="587"/>
    </row>
    <row r="924">
      <c r="A924" s="31"/>
      <c r="C924" s="139"/>
      <c r="D924" s="139"/>
      <c r="F924" s="15"/>
      <c r="M924" s="587"/>
    </row>
    <row r="925">
      <c r="A925" s="31"/>
      <c r="C925" s="139"/>
      <c r="D925" s="139"/>
      <c r="F925" s="15"/>
      <c r="M925" s="587"/>
    </row>
    <row r="926">
      <c r="A926" s="31"/>
      <c r="C926" s="139"/>
      <c r="D926" s="139"/>
      <c r="F926" s="15"/>
      <c r="M926" s="587"/>
    </row>
    <row r="927">
      <c r="A927" s="31"/>
      <c r="C927" s="139"/>
      <c r="D927" s="139"/>
      <c r="F927" s="15"/>
      <c r="M927" s="587"/>
    </row>
    <row r="928">
      <c r="A928" s="31"/>
      <c r="C928" s="139"/>
      <c r="D928" s="139"/>
      <c r="F928" s="15"/>
      <c r="M928" s="587"/>
    </row>
    <row r="929">
      <c r="A929" s="31"/>
      <c r="C929" s="139"/>
      <c r="D929" s="139"/>
      <c r="F929" s="15"/>
      <c r="M929" s="587"/>
    </row>
    <row r="930">
      <c r="A930" s="31"/>
      <c r="C930" s="139"/>
      <c r="D930" s="139"/>
      <c r="F930" s="15"/>
      <c r="M930" s="587"/>
    </row>
    <row r="931">
      <c r="A931" s="31"/>
      <c r="C931" s="139"/>
      <c r="D931" s="139"/>
      <c r="F931" s="15"/>
      <c r="M931" s="587"/>
    </row>
    <row r="932">
      <c r="A932" s="31"/>
      <c r="C932" s="139"/>
      <c r="D932" s="139"/>
      <c r="F932" s="15"/>
      <c r="M932" s="587"/>
    </row>
    <row r="933">
      <c r="A933" s="31"/>
      <c r="C933" s="139"/>
      <c r="D933" s="139"/>
      <c r="F933" s="15"/>
      <c r="M933" s="587"/>
    </row>
    <row r="934">
      <c r="A934" s="31"/>
      <c r="C934" s="139"/>
      <c r="D934" s="139"/>
      <c r="F934" s="15"/>
      <c r="M934" s="587"/>
    </row>
    <row r="935">
      <c r="A935" s="31"/>
      <c r="C935" s="139"/>
      <c r="D935" s="139"/>
      <c r="F935" s="15"/>
      <c r="M935" s="587"/>
    </row>
    <row r="936">
      <c r="A936" s="31"/>
      <c r="C936" s="139"/>
      <c r="D936" s="139"/>
      <c r="F936" s="15"/>
      <c r="M936" s="587"/>
    </row>
    <row r="937">
      <c r="A937" s="31"/>
      <c r="C937" s="139"/>
      <c r="D937" s="139"/>
      <c r="F937" s="15"/>
      <c r="M937" s="587"/>
    </row>
    <row r="938">
      <c r="A938" s="31"/>
      <c r="C938" s="139"/>
      <c r="D938" s="139"/>
      <c r="F938" s="15"/>
      <c r="M938" s="587"/>
    </row>
    <row r="939">
      <c r="A939" s="31"/>
      <c r="C939" s="139"/>
      <c r="D939" s="139"/>
      <c r="F939" s="15"/>
      <c r="M939" s="587"/>
    </row>
    <row r="940">
      <c r="A940" s="31"/>
      <c r="C940" s="139"/>
      <c r="D940" s="139"/>
      <c r="F940" s="15"/>
      <c r="M940" s="587"/>
    </row>
    <row r="941">
      <c r="A941" s="31"/>
      <c r="C941" s="139"/>
      <c r="D941" s="139"/>
      <c r="F941" s="15"/>
      <c r="M941" s="587"/>
    </row>
    <row r="942">
      <c r="A942" s="31"/>
      <c r="C942" s="139"/>
      <c r="D942" s="139"/>
      <c r="F942" s="15"/>
      <c r="M942" s="587"/>
    </row>
    <row r="943">
      <c r="A943" s="31"/>
      <c r="C943" s="139"/>
      <c r="D943" s="139"/>
      <c r="F943" s="15"/>
      <c r="M943" s="587"/>
    </row>
    <row r="944">
      <c r="A944" s="31"/>
      <c r="C944" s="139"/>
      <c r="D944" s="139"/>
      <c r="F944" s="15"/>
      <c r="M944" s="587"/>
    </row>
    <row r="945">
      <c r="A945" s="31"/>
      <c r="C945" s="139"/>
      <c r="D945" s="139"/>
      <c r="F945" s="15"/>
      <c r="M945" s="587"/>
    </row>
    <row r="946">
      <c r="A946" s="31"/>
      <c r="C946" s="139"/>
      <c r="D946" s="139"/>
      <c r="F946" s="15"/>
      <c r="M946" s="587"/>
    </row>
    <row r="947">
      <c r="A947" s="31"/>
      <c r="C947" s="139"/>
      <c r="D947" s="139"/>
      <c r="F947" s="15"/>
      <c r="M947" s="587"/>
    </row>
    <row r="948">
      <c r="A948" s="31"/>
      <c r="C948" s="139"/>
      <c r="D948" s="139"/>
      <c r="F948" s="15"/>
      <c r="M948" s="587"/>
    </row>
    <row r="949">
      <c r="A949" s="31"/>
      <c r="C949" s="139"/>
      <c r="D949" s="139"/>
      <c r="F949" s="15"/>
      <c r="M949" s="587"/>
    </row>
    <row r="950">
      <c r="A950" s="31"/>
      <c r="C950" s="139"/>
      <c r="D950" s="139"/>
      <c r="F950" s="15"/>
      <c r="M950" s="587"/>
    </row>
    <row r="951">
      <c r="A951" s="31"/>
      <c r="C951" s="139"/>
      <c r="D951" s="139"/>
      <c r="F951" s="15"/>
      <c r="M951" s="587"/>
    </row>
    <row r="952">
      <c r="A952" s="31"/>
      <c r="C952" s="139"/>
      <c r="D952" s="139"/>
      <c r="F952" s="15"/>
      <c r="M952" s="587"/>
    </row>
    <row r="953">
      <c r="A953" s="31"/>
      <c r="C953" s="139"/>
      <c r="D953" s="139"/>
      <c r="F953" s="15"/>
      <c r="M953" s="587"/>
    </row>
    <row r="954">
      <c r="A954" s="31"/>
      <c r="C954" s="139"/>
      <c r="D954" s="139"/>
      <c r="F954" s="15"/>
      <c r="M954" s="587"/>
    </row>
    <row r="955">
      <c r="A955" s="31"/>
      <c r="C955" s="139"/>
      <c r="D955" s="139"/>
      <c r="F955" s="15"/>
      <c r="M955" s="587"/>
    </row>
    <row r="956">
      <c r="A956" s="31"/>
      <c r="C956" s="139"/>
      <c r="D956" s="139"/>
      <c r="F956" s="15"/>
      <c r="M956" s="587"/>
    </row>
    <row r="957">
      <c r="A957" s="31"/>
      <c r="C957" s="139"/>
      <c r="D957" s="139"/>
      <c r="F957" s="15"/>
      <c r="M957" s="587"/>
    </row>
    <row r="958">
      <c r="A958" s="31"/>
      <c r="C958" s="139"/>
      <c r="D958" s="139"/>
      <c r="F958" s="15"/>
      <c r="M958" s="587"/>
    </row>
    <row r="959">
      <c r="A959" s="31"/>
      <c r="C959" s="139"/>
      <c r="D959" s="139"/>
      <c r="F959" s="15"/>
      <c r="M959" s="587"/>
    </row>
    <row r="960">
      <c r="A960" s="31"/>
      <c r="C960" s="139"/>
      <c r="D960" s="139"/>
      <c r="F960" s="15"/>
      <c r="M960" s="587"/>
    </row>
    <row r="961">
      <c r="A961" s="31"/>
      <c r="C961" s="139"/>
      <c r="D961" s="139"/>
      <c r="F961" s="15"/>
      <c r="M961" s="587"/>
    </row>
    <row r="962">
      <c r="A962" s="31"/>
      <c r="C962" s="139"/>
      <c r="D962" s="139"/>
      <c r="F962" s="15"/>
      <c r="M962" s="587"/>
    </row>
    <row r="963">
      <c r="A963" s="31"/>
      <c r="C963" s="139"/>
      <c r="D963" s="139"/>
      <c r="F963" s="15"/>
      <c r="M963" s="587"/>
    </row>
    <row r="964">
      <c r="A964" s="31"/>
      <c r="C964" s="139"/>
      <c r="D964" s="139"/>
      <c r="F964" s="15"/>
      <c r="M964" s="587"/>
    </row>
    <row r="965">
      <c r="A965" s="31"/>
      <c r="C965" s="139"/>
      <c r="D965" s="139"/>
      <c r="F965" s="15"/>
      <c r="M965" s="587"/>
    </row>
    <row r="966">
      <c r="A966" s="31"/>
      <c r="C966" s="139"/>
      <c r="D966" s="139"/>
      <c r="F966" s="15"/>
      <c r="M966" s="587"/>
    </row>
    <row r="967">
      <c r="A967" s="31"/>
      <c r="C967" s="139"/>
      <c r="D967" s="139"/>
      <c r="F967" s="15"/>
      <c r="M967" s="587"/>
    </row>
    <row r="968">
      <c r="A968" s="31"/>
      <c r="C968" s="139"/>
      <c r="D968" s="139"/>
      <c r="F968" s="15"/>
      <c r="M968" s="587"/>
    </row>
    <row r="969">
      <c r="A969" s="31"/>
      <c r="C969" s="139"/>
      <c r="D969" s="139"/>
      <c r="F969" s="15"/>
      <c r="M969" s="587"/>
    </row>
    <row r="970">
      <c r="A970" s="31"/>
      <c r="C970" s="139"/>
      <c r="D970" s="139"/>
      <c r="F970" s="15"/>
      <c r="M970" s="587"/>
    </row>
    <row r="971">
      <c r="A971" s="31"/>
      <c r="C971" s="139"/>
      <c r="D971" s="139"/>
      <c r="F971" s="15"/>
      <c r="M971" s="587"/>
    </row>
    <row r="972">
      <c r="A972" s="31"/>
      <c r="C972" s="139"/>
      <c r="D972" s="139"/>
      <c r="F972" s="15"/>
      <c r="M972" s="587"/>
    </row>
    <row r="973">
      <c r="A973" s="31"/>
      <c r="C973" s="139"/>
      <c r="D973" s="139"/>
      <c r="F973" s="15"/>
      <c r="M973" s="587"/>
    </row>
    <row r="974">
      <c r="A974" s="31"/>
      <c r="C974" s="139"/>
      <c r="D974" s="139"/>
      <c r="F974" s="15"/>
      <c r="M974" s="587"/>
    </row>
    <row r="975">
      <c r="A975" s="31"/>
      <c r="C975" s="139"/>
      <c r="D975" s="139"/>
      <c r="F975" s="15"/>
      <c r="M975" s="587"/>
    </row>
    <row r="976">
      <c r="A976" s="31"/>
      <c r="C976" s="139"/>
      <c r="D976" s="139"/>
      <c r="F976" s="15"/>
      <c r="M976" s="587"/>
    </row>
    <row r="977">
      <c r="A977" s="31"/>
      <c r="C977" s="139"/>
      <c r="D977" s="139"/>
      <c r="F977" s="15"/>
      <c r="M977" s="587"/>
    </row>
    <row r="978">
      <c r="A978" s="31"/>
      <c r="C978" s="139"/>
      <c r="D978" s="139"/>
      <c r="F978" s="15"/>
      <c r="M978" s="587"/>
    </row>
    <row r="979">
      <c r="A979" s="31"/>
      <c r="C979" s="139"/>
      <c r="D979" s="139"/>
      <c r="F979" s="15"/>
      <c r="M979" s="587"/>
    </row>
    <row r="980">
      <c r="A980" s="31"/>
      <c r="C980" s="139"/>
      <c r="D980" s="139"/>
      <c r="F980" s="15"/>
      <c r="M980" s="587"/>
    </row>
    <row r="981">
      <c r="A981" s="31"/>
      <c r="C981" s="139"/>
      <c r="D981" s="139"/>
      <c r="F981" s="15"/>
      <c r="M981" s="587"/>
    </row>
    <row r="982">
      <c r="A982" s="31"/>
      <c r="C982" s="139"/>
      <c r="D982" s="139"/>
      <c r="F982" s="15"/>
      <c r="M982" s="587"/>
    </row>
    <row r="983">
      <c r="A983" s="31"/>
      <c r="C983" s="139"/>
      <c r="D983" s="139"/>
      <c r="F983" s="15"/>
      <c r="M983" s="587"/>
    </row>
    <row r="984">
      <c r="A984" s="31"/>
      <c r="C984" s="139"/>
      <c r="D984" s="139"/>
      <c r="F984" s="15"/>
      <c r="M984" s="587"/>
    </row>
    <row r="985">
      <c r="A985" s="31"/>
      <c r="C985" s="139"/>
      <c r="D985" s="139"/>
      <c r="F985" s="15"/>
      <c r="M985" s="587"/>
    </row>
    <row r="986">
      <c r="A986" s="31"/>
      <c r="C986" s="139"/>
      <c r="D986" s="139"/>
      <c r="F986" s="15"/>
      <c r="M986" s="587"/>
    </row>
    <row r="987">
      <c r="A987" s="31"/>
      <c r="C987" s="139"/>
      <c r="D987" s="139"/>
      <c r="F987" s="15"/>
      <c r="M987" s="587"/>
    </row>
    <row r="988">
      <c r="A988" s="31"/>
      <c r="C988" s="139"/>
      <c r="D988" s="139"/>
      <c r="F988" s="15"/>
      <c r="M988" s="587"/>
    </row>
    <row r="989">
      <c r="A989" s="31"/>
      <c r="C989" s="139"/>
      <c r="D989" s="139"/>
      <c r="F989" s="15"/>
      <c r="M989" s="587"/>
    </row>
    <row r="990">
      <c r="A990" s="31"/>
      <c r="C990" s="139"/>
      <c r="D990" s="139"/>
      <c r="F990" s="15"/>
      <c r="M990" s="587"/>
    </row>
    <row r="991">
      <c r="A991" s="31"/>
      <c r="C991" s="139"/>
      <c r="D991" s="139"/>
      <c r="F991" s="15"/>
      <c r="M991" s="587"/>
    </row>
    <row r="992">
      <c r="A992" s="31"/>
      <c r="C992" s="139"/>
      <c r="D992" s="139"/>
      <c r="F992" s="15"/>
      <c r="M992" s="587"/>
    </row>
    <row r="993">
      <c r="A993" s="31"/>
      <c r="C993" s="139"/>
      <c r="D993" s="139"/>
      <c r="F993" s="15"/>
      <c r="M993" s="587"/>
    </row>
    <row r="994">
      <c r="A994" s="31"/>
      <c r="C994" s="139"/>
      <c r="D994" s="139"/>
      <c r="F994" s="15"/>
      <c r="M994" s="587"/>
    </row>
    <row r="995">
      <c r="A995" s="31"/>
      <c r="C995" s="139"/>
      <c r="D995" s="139"/>
      <c r="F995" s="15"/>
      <c r="M995" s="587"/>
    </row>
    <row r="996">
      <c r="A996" s="31"/>
      <c r="C996" s="139"/>
      <c r="D996" s="139"/>
      <c r="F996" s="15"/>
      <c r="M996" s="587"/>
    </row>
    <row r="997">
      <c r="A997" s="31"/>
      <c r="C997" s="139"/>
      <c r="D997" s="139"/>
      <c r="F997" s="15"/>
      <c r="M997" s="587"/>
    </row>
    <row r="998">
      <c r="A998" s="31"/>
      <c r="C998" s="139"/>
      <c r="D998" s="139"/>
      <c r="F998" s="15"/>
      <c r="M998" s="587"/>
    </row>
    <row r="999">
      <c r="A999" s="31"/>
      <c r="C999" s="139"/>
      <c r="D999" s="139"/>
      <c r="F999" s="15"/>
      <c r="M999" s="587"/>
    </row>
    <row r="1000">
      <c r="A1000" s="31"/>
      <c r="C1000" s="139"/>
      <c r="D1000" s="139"/>
      <c r="F1000" s="15"/>
      <c r="M1000" s="587"/>
    </row>
    <row r="1001">
      <c r="A1001" s="31"/>
      <c r="C1001" s="139"/>
      <c r="D1001" s="139"/>
      <c r="F1001" s="15"/>
      <c r="M1001" s="587"/>
    </row>
    <row r="1002">
      <c r="A1002" s="31"/>
      <c r="C1002" s="139"/>
      <c r="D1002" s="139"/>
      <c r="F1002" s="15"/>
      <c r="M1002" s="587"/>
    </row>
  </sheetData>
  <mergeCells count="2">
    <mergeCell ref="L1:M1"/>
    <mergeCell ref="N1:O1"/>
  </mergeCells>
  <conditionalFormatting sqref="C1 E2:E3">
    <cfRule type="containsText" dxfId="0" priority="1" operator="containsText" text="Dem">
      <formula>NOT(ISERROR(SEARCH(("Dem"),(C1))))</formula>
    </cfRule>
  </conditionalFormatting>
  <conditionalFormatting sqref="C1 E2:E3">
    <cfRule type="containsText" dxfId="1" priority="2" operator="containsText" text="Rep">
      <formula>NOT(ISERROR(SEARCH(("Rep"),(C1))))</formula>
    </cfRule>
  </conditionalFormatting>
  <hyperlinks>
    <hyperlink r:id="rId1" ref="C4"/>
    <hyperlink r:id="rId2" ref="K4"/>
    <hyperlink r:id="rId3" ref="C6"/>
    <hyperlink r:id="rId4" ref="C7"/>
    <hyperlink r:id="rId5" ref="C8"/>
    <hyperlink r:id="rId6" ref="C9"/>
    <hyperlink r:id="rId7" ref="C10"/>
    <hyperlink r:id="rId8" ref="C11"/>
    <hyperlink r:id="rId9" ref="C13"/>
    <hyperlink r:id="rId10" ref="C14"/>
    <hyperlink r:id="rId11" ref="C16"/>
    <hyperlink r:id="rId12" ref="C18"/>
    <hyperlink r:id="rId13" ref="C20"/>
    <hyperlink r:id="rId14" ref="C21"/>
    <hyperlink r:id="rId15" ref="C22"/>
    <hyperlink r:id="rId16" ref="C23"/>
    <hyperlink r:id="rId17" ref="C24"/>
    <hyperlink r:id="rId18" ref="C25"/>
    <hyperlink r:id="rId19" ref="C26"/>
    <hyperlink r:id="rId20" ref="C27"/>
    <hyperlink r:id="rId21" ref="C28"/>
    <hyperlink r:id="rId22" ref="C29"/>
    <hyperlink r:id="rId23" ref="C30"/>
    <hyperlink r:id="rId24" ref="C32"/>
    <hyperlink r:id="rId25" ref="C33"/>
    <hyperlink r:id="rId26" ref="C34"/>
    <hyperlink r:id="rId27" ref="C35"/>
    <hyperlink r:id="rId28" ref="C36"/>
    <hyperlink r:id="rId29" ref="C37"/>
    <hyperlink r:id="rId30" ref="C38"/>
    <hyperlink r:id="rId31" ref="C39"/>
    <hyperlink r:id="rId32" ref="C40"/>
    <hyperlink r:id="rId33" ref="C42"/>
    <hyperlink r:id="rId34" ref="C43"/>
    <hyperlink r:id="rId35" ref="C44"/>
    <hyperlink r:id="rId36" ref="C45"/>
    <hyperlink r:id="rId37" ref="C46"/>
    <hyperlink r:id="rId38" ref="C47"/>
    <hyperlink r:id="rId39" ref="C48"/>
    <hyperlink r:id="rId40" ref="C49"/>
    <hyperlink r:id="rId41" ref="C50"/>
    <hyperlink r:id="rId42" ref="C51"/>
    <hyperlink r:id="rId43" ref="C52"/>
    <hyperlink r:id="rId44" ref="C54"/>
    <hyperlink r:id="rId45" ref="C55"/>
    <hyperlink r:id="rId46" ref="C56"/>
    <hyperlink r:id="rId47" ref="C57"/>
    <hyperlink r:id="rId48" ref="C58"/>
    <hyperlink r:id="rId49" ref="C59"/>
    <hyperlink r:id="rId50" ref="C60"/>
    <hyperlink r:id="rId51" ref="C63"/>
    <hyperlink r:id="rId52" ref="C64"/>
    <hyperlink r:id="rId53" ref="C66"/>
    <hyperlink r:id="rId54" ref="C67"/>
    <hyperlink r:id="rId55" ref="C68"/>
    <hyperlink r:id="rId56" ref="C69"/>
    <hyperlink r:id="rId57" ref="C70"/>
    <hyperlink r:id="rId58" ref="C72"/>
    <hyperlink r:id="rId59" ref="C73"/>
    <hyperlink r:id="rId60" ref="C74"/>
    <hyperlink r:id="rId61" ref="C75"/>
    <hyperlink r:id="rId62" ref="C76"/>
    <hyperlink r:id="rId63" ref="C77"/>
    <hyperlink r:id="rId64" ref="C78"/>
    <hyperlink r:id="rId65" ref="C79"/>
    <hyperlink r:id="rId66" ref="C81"/>
    <hyperlink r:id="rId67" ref="C82"/>
    <hyperlink r:id="rId68" ref="C83"/>
    <hyperlink r:id="rId69" ref="C84"/>
    <hyperlink r:id="rId70" ref="C85"/>
    <hyperlink r:id="rId71" ref="C86"/>
    <hyperlink r:id="rId72" ref="C87"/>
    <hyperlink r:id="rId73" ref="C88"/>
    <hyperlink r:id="rId74" ref="C89"/>
    <hyperlink r:id="rId75" ref="C90"/>
    <hyperlink r:id="rId76" ref="C91"/>
    <hyperlink r:id="rId77" ref="C92"/>
    <hyperlink r:id="rId78" ref="C95"/>
    <hyperlink r:id="rId79" ref="C96"/>
    <hyperlink r:id="rId80" ref="C97"/>
    <hyperlink r:id="rId81" ref="C98"/>
    <hyperlink r:id="rId82" ref="C100"/>
    <hyperlink r:id="rId83" ref="C101"/>
    <hyperlink r:id="rId84" ref="C102"/>
    <hyperlink r:id="rId85" ref="B104"/>
    <hyperlink r:id="rId86" ref="K104"/>
    <hyperlink r:id="rId87" ref="B105"/>
    <hyperlink r:id="rId88" ref="C105"/>
    <hyperlink r:id="rId89" ref="K105"/>
    <hyperlink r:id="rId90" ref="B106"/>
    <hyperlink r:id="rId91" ref="C106"/>
    <hyperlink r:id="rId92" ref="B107"/>
    <hyperlink r:id="rId93" ref="C107"/>
    <hyperlink r:id="rId94" ref="B108"/>
    <hyperlink r:id="rId95" ref="B109"/>
    <hyperlink r:id="rId96" ref="B110"/>
    <hyperlink r:id="rId97" ref="C110"/>
    <hyperlink r:id="rId98" ref="B111"/>
    <hyperlink r:id="rId99" ref="C111"/>
    <hyperlink r:id="rId100" ref="B112"/>
    <hyperlink r:id="rId101" ref="C112"/>
    <hyperlink r:id="rId102" ref="B113"/>
    <hyperlink r:id="rId103" ref="C113"/>
    <hyperlink r:id="rId104" ref="B114"/>
    <hyperlink r:id="rId105" ref="C114"/>
    <hyperlink r:id="rId106" ref="B115"/>
    <hyperlink r:id="rId107" ref="C115"/>
    <hyperlink r:id="rId108" ref="B116"/>
    <hyperlink r:id="rId109" ref="C116"/>
    <hyperlink r:id="rId110" ref="B117"/>
    <hyperlink r:id="rId111" ref="C117"/>
    <hyperlink r:id="rId112" ref="B118"/>
    <hyperlink r:id="rId113" ref="C118"/>
    <hyperlink r:id="rId114" ref="B119"/>
    <hyperlink r:id="rId115" ref="C119"/>
    <hyperlink r:id="rId116" ref="B120"/>
    <hyperlink r:id="rId117" ref="C120"/>
    <hyperlink r:id="rId118" ref="B121"/>
    <hyperlink r:id="rId119" ref="C121"/>
    <hyperlink r:id="rId120" ref="B122"/>
    <hyperlink r:id="rId121" ref="C122"/>
    <hyperlink r:id="rId122" ref="B123"/>
    <hyperlink r:id="rId123" ref="C123"/>
    <hyperlink r:id="rId124" ref="B124"/>
    <hyperlink r:id="rId125" ref="C124"/>
    <hyperlink r:id="rId126" ref="B125"/>
    <hyperlink r:id="rId127" ref="C125"/>
    <hyperlink r:id="rId128" ref="B126"/>
    <hyperlink r:id="rId129" ref="B127"/>
    <hyperlink r:id="rId130" ref="C127"/>
    <hyperlink r:id="rId131" ref="B128"/>
    <hyperlink r:id="rId132" ref="C128"/>
    <hyperlink r:id="rId133" ref="B129"/>
    <hyperlink r:id="rId134" ref="C129"/>
    <hyperlink r:id="rId135" ref="B130"/>
    <hyperlink r:id="rId136" ref="C130"/>
    <hyperlink r:id="rId137" ref="B131"/>
    <hyperlink r:id="rId138" ref="C131"/>
    <hyperlink r:id="rId139" ref="B132"/>
    <hyperlink r:id="rId140" ref="C132"/>
    <hyperlink r:id="rId141" ref="B133"/>
    <hyperlink r:id="rId142" ref="C133"/>
    <hyperlink r:id="rId143" ref="B134"/>
    <hyperlink r:id="rId144" ref="B135"/>
    <hyperlink r:id="rId145" ref="C135"/>
    <hyperlink r:id="rId146" ref="B136"/>
    <hyperlink r:id="rId147" ref="C136"/>
  </hyperlinks>
  <drawing r:id="rId148"/>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5" max="5" width="7.57"/>
    <col customWidth="1" min="7" max="7" width="28.71"/>
    <col customWidth="1" min="8" max="8" width="26.0"/>
    <col customWidth="1" min="9" max="9" width="25.86"/>
    <col customWidth="1" min="10" max="10" width="23.86"/>
    <col customWidth="1" min="11" max="14" width="20.71"/>
    <col customWidth="1" min="21" max="27" width="23.57"/>
    <col customWidth="1" min="28" max="28" width="29.29"/>
  </cols>
  <sheetData>
    <row r="1">
      <c r="A1" s="739" t="s">
        <v>0</v>
      </c>
      <c r="B1" s="739" t="s">
        <v>1</v>
      </c>
      <c r="C1" s="739" t="s">
        <v>2</v>
      </c>
      <c r="D1" s="739" t="s">
        <v>2</v>
      </c>
      <c r="E1" s="741"/>
      <c r="F1" s="742" t="s">
        <v>1577</v>
      </c>
      <c r="G1" s="742" t="s">
        <v>4</v>
      </c>
      <c r="H1" s="742" t="s">
        <v>5</v>
      </c>
      <c r="I1" s="742" t="s">
        <v>6</v>
      </c>
      <c r="J1" s="742" t="s">
        <v>7</v>
      </c>
      <c r="K1" s="1" t="s">
        <v>8</v>
      </c>
      <c r="L1" s="739"/>
      <c r="M1" s="739"/>
      <c r="N1" s="739"/>
      <c r="O1" s="743" t="s">
        <v>9</v>
      </c>
      <c r="Q1" s="743" t="s">
        <v>14</v>
      </c>
      <c r="R1" s="751"/>
      <c r="S1" s="741"/>
      <c r="T1" s="741"/>
      <c r="U1" s="742"/>
      <c r="V1" s="741"/>
      <c r="W1" s="741"/>
      <c r="X1" s="741"/>
      <c r="Y1" s="741"/>
      <c r="Z1" s="741"/>
      <c r="AA1" s="741"/>
      <c r="AB1" s="741"/>
      <c r="AC1" s="741"/>
      <c r="AD1" s="741"/>
      <c r="AE1" s="741"/>
      <c r="AF1" s="741"/>
      <c r="AG1" s="741"/>
      <c r="AH1" s="15"/>
      <c r="AI1" s="15"/>
      <c r="AJ1" s="15"/>
      <c r="AK1" s="15"/>
      <c r="AL1" s="15"/>
      <c r="AM1" s="15"/>
      <c r="AN1" s="15"/>
      <c r="AO1" s="15"/>
      <c r="AP1" s="15"/>
      <c r="AQ1" s="15"/>
      <c r="AR1" s="15"/>
      <c r="AS1" s="15"/>
    </row>
    <row r="2">
      <c r="A2" s="804" t="s">
        <v>492</v>
      </c>
      <c r="B2" s="804" t="s">
        <v>14154</v>
      </c>
      <c r="C2" s="754"/>
      <c r="D2" s="745"/>
      <c r="E2" s="741"/>
      <c r="F2" s="749">
        <v>43473.0</v>
      </c>
      <c r="G2" s="749">
        <v>43489.0</v>
      </c>
      <c r="H2" s="21">
        <f>G2-TODAY()</f>
        <v>-246</v>
      </c>
      <c r="I2" s="749">
        <v>43473.0</v>
      </c>
      <c r="J2" s="749">
        <v>43523.0</v>
      </c>
      <c r="K2" s="23"/>
      <c r="L2" s="805"/>
      <c r="M2" s="805"/>
      <c r="N2" s="805"/>
      <c r="O2" s="752">
        <f>CountIFS($E:$E,"=Dem",$A:$A,"=House")</f>
        <v>8</v>
      </c>
      <c r="P2" s="755">
        <f>CountIFS($E:$E,"=Rep",$A:$A,"=House")</f>
        <v>52</v>
      </c>
      <c r="Q2" s="752">
        <f>CountIFS($E:$E,"=Dem",$A:$A,"=Senate")</f>
        <v>4</v>
      </c>
      <c r="R2" s="755">
        <f>CountIFS($E:$E,"=Rep",$A:$A,"=Senate")</f>
        <v>26</v>
      </c>
      <c r="S2" s="741"/>
      <c r="T2" s="741"/>
      <c r="U2" s="742"/>
      <c r="V2" s="741"/>
      <c r="W2" s="741"/>
      <c r="X2" s="741"/>
      <c r="Y2" s="741"/>
      <c r="Z2" s="741"/>
      <c r="AA2" s="741"/>
      <c r="AB2" s="741"/>
      <c r="AC2" s="741"/>
      <c r="AD2" s="741"/>
      <c r="AE2" s="741"/>
      <c r="AF2" s="741"/>
      <c r="AG2" s="741"/>
      <c r="AH2" s="15"/>
      <c r="AI2" s="15"/>
      <c r="AJ2" s="15"/>
      <c r="AK2" s="15"/>
      <c r="AL2" s="15"/>
      <c r="AM2" s="15"/>
      <c r="AN2" s="15"/>
      <c r="AO2" s="15"/>
      <c r="AP2" s="15"/>
      <c r="AQ2" s="15"/>
      <c r="AR2" s="15"/>
      <c r="AS2" s="15"/>
    </row>
    <row r="3">
      <c r="A3" s="742" t="s">
        <v>29</v>
      </c>
      <c r="B3" s="742" t="s">
        <v>30</v>
      </c>
      <c r="C3" s="739" t="s">
        <v>31</v>
      </c>
      <c r="D3" s="739" t="s">
        <v>32</v>
      </c>
      <c r="E3" s="741" t="s">
        <v>33</v>
      </c>
      <c r="F3" s="739" t="s">
        <v>10</v>
      </c>
      <c r="G3" s="739" t="s">
        <v>34</v>
      </c>
      <c r="H3" s="739" t="s">
        <v>34</v>
      </c>
      <c r="I3" s="739" t="s">
        <v>34</v>
      </c>
      <c r="J3" s="739" t="s">
        <v>34</v>
      </c>
      <c r="K3" s="739" t="s">
        <v>34</v>
      </c>
      <c r="L3" s="739" t="s">
        <v>34</v>
      </c>
      <c r="M3" s="739" t="s">
        <v>34</v>
      </c>
      <c r="N3" s="739" t="s">
        <v>34</v>
      </c>
      <c r="O3" s="759" t="s">
        <v>36</v>
      </c>
      <c r="P3" s="759" t="s">
        <v>37</v>
      </c>
      <c r="Q3" s="759" t="s">
        <v>38</v>
      </c>
      <c r="R3" s="761" t="s">
        <v>39</v>
      </c>
      <c r="S3" s="762" t="s">
        <v>40</v>
      </c>
      <c r="T3" s="762" t="s">
        <v>41</v>
      </c>
      <c r="U3" s="764" t="s">
        <v>42</v>
      </c>
      <c r="V3" s="741"/>
      <c r="W3" s="741"/>
      <c r="X3" s="741"/>
      <c r="Y3" s="741"/>
      <c r="Z3" s="741"/>
      <c r="AA3" s="741"/>
      <c r="AB3" s="741"/>
      <c r="AC3" s="741"/>
      <c r="AD3" s="741"/>
      <c r="AE3" s="741"/>
      <c r="AF3" s="741"/>
      <c r="AG3" s="741"/>
      <c r="AH3" s="15"/>
      <c r="AI3" s="15"/>
      <c r="AJ3" s="15"/>
      <c r="AK3" s="15"/>
      <c r="AL3" s="15"/>
      <c r="AM3" s="15"/>
      <c r="AN3" s="15"/>
      <c r="AO3" s="15"/>
      <c r="AP3" s="15"/>
      <c r="AQ3" s="15"/>
      <c r="AR3" s="15"/>
      <c r="AS3" s="15"/>
    </row>
    <row r="4">
      <c r="A4" s="14" t="s">
        <v>44</v>
      </c>
      <c r="B4" s="31">
        <v>1.0</v>
      </c>
      <c r="C4" s="806" t="s">
        <v>1323</v>
      </c>
      <c r="D4" s="77" t="s">
        <v>14161</v>
      </c>
      <c r="E4" s="51" t="s">
        <v>53</v>
      </c>
      <c r="F4" s="807" t="s">
        <v>1188</v>
      </c>
      <c r="G4" s="14" t="s">
        <v>14162</v>
      </c>
      <c r="H4" s="52" t="s">
        <v>14163</v>
      </c>
      <c r="I4" s="52" t="s">
        <v>14164</v>
      </c>
      <c r="J4" s="52" t="s">
        <v>14165</v>
      </c>
      <c r="K4" s="14" t="s">
        <v>14166</v>
      </c>
      <c r="L4" s="14"/>
      <c r="M4" s="14"/>
      <c r="N4" s="14"/>
      <c r="O4" s="808" t="s">
        <v>14167</v>
      </c>
      <c r="U4" s="809"/>
      <c r="V4" s="809"/>
      <c r="W4" s="809"/>
      <c r="X4" s="809"/>
      <c r="Y4" s="809"/>
      <c r="Z4" s="809"/>
      <c r="AA4" s="809" t="s">
        <v>14168</v>
      </c>
      <c r="AB4" s="39" t="str">
        <f t="shared" ref="AB4:AB63" si="1">Concatenate(Lower(C4),".",Lower(D4),"@wyoleg.gov")</f>
        <v>tyler.lindholm@wyoleg.gov</v>
      </c>
    </row>
    <row r="5">
      <c r="A5" s="14" t="s">
        <v>44</v>
      </c>
      <c r="B5" s="31">
        <v>2.0</v>
      </c>
      <c r="C5" s="38" t="s">
        <v>13976</v>
      </c>
      <c r="D5" s="77" t="s">
        <v>6693</v>
      </c>
      <c r="E5" s="51" t="s">
        <v>53</v>
      </c>
      <c r="F5" s="810"/>
      <c r="G5" s="52" t="s">
        <v>14170</v>
      </c>
      <c r="H5" s="52" t="s">
        <v>14171</v>
      </c>
      <c r="I5" s="52" t="s">
        <v>14172</v>
      </c>
      <c r="J5" s="52" t="s">
        <v>14173</v>
      </c>
      <c r="K5" s="52" t="s">
        <v>14174</v>
      </c>
      <c r="L5" s="52" t="s">
        <v>14175</v>
      </c>
      <c r="P5" s="707"/>
      <c r="R5" s="809"/>
      <c r="S5" s="809"/>
      <c r="T5" s="809"/>
      <c r="U5" s="809"/>
      <c r="V5" s="809"/>
      <c r="Y5" s="809"/>
      <c r="Z5" s="809"/>
      <c r="AA5" s="809" t="s">
        <v>14176</v>
      </c>
      <c r="AB5" s="39" t="str">
        <f t="shared" si="1"/>
        <v>hans.hunt@wyoleg.gov</v>
      </c>
    </row>
    <row r="6">
      <c r="A6" s="14" t="s">
        <v>44</v>
      </c>
      <c r="B6" s="31">
        <v>3.0</v>
      </c>
      <c r="C6" s="38" t="s">
        <v>2302</v>
      </c>
      <c r="D6" s="77" t="s">
        <v>12476</v>
      </c>
      <c r="E6" s="51" t="s">
        <v>53</v>
      </c>
      <c r="F6" s="811" t="s">
        <v>14177</v>
      </c>
      <c r="G6" s="52" t="s">
        <v>14181</v>
      </c>
      <c r="H6" s="52" t="s">
        <v>14182</v>
      </c>
      <c r="I6" s="52" t="s">
        <v>14183</v>
      </c>
      <c r="J6" s="14" t="s">
        <v>14184</v>
      </c>
      <c r="K6" s="52" t="s">
        <v>14185</v>
      </c>
      <c r="R6" s="809"/>
      <c r="S6" s="809"/>
      <c r="T6" s="809"/>
      <c r="U6" s="809"/>
      <c r="V6" s="809"/>
      <c r="Y6" s="809"/>
      <c r="Z6" s="809"/>
      <c r="AA6" s="809" t="s">
        <v>14186</v>
      </c>
      <c r="AB6" s="39" t="str">
        <f t="shared" si="1"/>
        <v>eric.barlow@wyoleg.gov</v>
      </c>
    </row>
    <row r="7">
      <c r="A7" s="14" t="s">
        <v>44</v>
      </c>
      <c r="B7" s="31">
        <v>4.0</v>
      </c>
      <c r="C7" s="38" t="s">
        <v>3698</v>
      </c>
      <c r="D7" s="77" t="s">
        <v>2352</v>
      </c>
      <c r="E7" s="51" t="s">
        <v>53</v>
      </c>
      <c r="F7" s="810"/>
      <c r="R7" s="812"/>
      <c r="S7" s="812"/>
      <c r="T7" s="812"/>
      <c r="U7" s="812"/>
      <c r="V7" s="812"/>
      <c r="Y7" s="812"/>
      <c r="Z7" s="812"/>
      <c r="AA7" s="812"/>
      <c r="AB7" s="39" t="str">
        <f t="shared" si="1"/>
        <v>shelly.duncan@wyoleg.gov</v>
      </c>
    </row>
    <row r="8">
      <c r="A8" s="14" t="s">
        <v>44</v>
      </c>
      <c r="B8" s="31">
        <v>5.0</v>
      </c>
      <c r="C8" s="38" t="s">
        <v>4706</v>
      </c>
      <c r="D8" s="77" t="s">
        <v>14188</v>
      </c>
      <c r="E8" s="51" t="s">
        <v>53</v>
      </c>
      <c r="F8" s="810"/>
      <c r="G8" s="52" t="s">
        <v>14189</v>
      </c>
      <c r="H8" s="52" t="s">
        <v>14190</v>
      </c>
      <c r="I8" s="52" t="s">
        <v>14191</v>
      </c>
      <c r="R8" s="812"/>
      <c r="S8" s="812"/>
      <c r="T8" s="812"/>
      <c r="U8" s="812"/>
      <c r="V8" s="812"/>
      <c r="Y8" s="812"/>
      <c r="Z8" s="812"/>
      <c r="AA8" s="812" t="s">
        <v>14192</v>
      </c>
      <c r="AB8" s="39" t="str">
        <f t="shared" si="1"/>
        <v>cheri.steinmetz@wyoleg.gov</v>
      </c>
    </row>
    <row r="9">
      <c r="A9" s="14" t="s">
        <v>44</v>
      </c>
      <c r="B9" s="31">
        <v>6.0</v>
      </c>
      <c r="C9" s="38" t="s">
        <v>1107</v>
      </c>
      <c r="D9" s="77" t="s">
        <v>8612</v>
      </c>
      <c r="E9" s="51" t="s">
        <v>53</v>
      </c>
      <c r="F9" s="810"/>
      <c r="G9" s="52" t="s">
        <v>14189</v>
      </c>
      <c r="H9" s="52" t="s">
        <v>14165</v>
      </c>
      <c r="R9" s="809"/>
      <c r="S9" s="809"/>
      <c r="T9" s="809"/>
      <c r="U9" s="809"/>
      <c r="V9" s="809"/>
      <c r="Y9" s="809"/>
      <c r="Z9" s="809"/>
      <c r="AA9" s="809" t="s">
        <v>14193</v>
      </c>
      <c r="AB9" s="39" t="str">
        <f t="shared" si="1"/>
        <v>aaron.clausen@wyoleg.gov</v>
      </c>
    </row>
    <row r="10">
      <c r="A10" s="14" t="s">
        <v>44</v>
      </c>
      <c r="B10" s="31">
        <v>7.0</v>
      </c>
      <c r="C10" s="38" t="s">
        <v>4426</v>
      </c>
      <c r="D10" s="77" t="s">
        <v>62</v>
      </c>
      <c r="E10" s="51" t="s">
        <v>53</v>
      </c>
      <c r="F10" s="810"/>
      <c r="G10" s="52" t="s">
        <v>14197</v>
      </c>
      <c r="H10" s="52" t="s">
        <v>14198</v>
      </c>
      <c r="I10" s="14" t="s">
        <v>14199</v>
      </c>
      <c r="J10" s="14" t="s">
        <v>14200</v>
      </c>
      <c r="K10" s="52" t="s">
        <v>14201</v>
      </c>
      <c r="L10" s="52" t="s">
        <v>14202</v>
      </c>
      <c r="M10" s="52" t="s">
        <v>14203</v>
      </c>
      <c r="N10" s="52" t="s">
        <v>14204</v>
      </c>
      <c r="O10" s="52" t="s">
        <v>14205</v>
      </c>
      <c r="R10" s="809"/>
      <c r="S10" s="809"/>
      <c r="T10" s="809"/>
      <c r="U10" s="809"/>
      <c r="V10" s="809"/>
      <c r="Y10" s="809"/>
      <c r="Z10" s="809"/>
      <c r="AA10" s="809" t="s">
        <v>14206</v>
      </c>
      <c r="AB10" s="39" t="str">
        <f t="shared" si="1"/>
        <v>sue.wilson@wyoleg.gov</v>
      </c>
    </row>
    <row r="11">
      <c r="A11" s="14" t="s">
        <v>44</v>
      </c>
      <c r="B11" s="31">
        <v>8.0</v>
      </c>
      <c r="C11" s="38" t="s">
        <v>419</v>
      </c>
      <c r="D11" s="77" t="s">
        <v>3097</v>
      </c>
      <c r="E11" s="51" t="s">
        <v>53</v>
      </c>
      <c r="F11" s="810"/>
      <c r="G11" s="14" t="s">
        <v>14207</v>
      </c>
      <c r="H11" s="14" t="s">
        <v>14200</v>
      </c>
      <c r="I11" s="52" t="s">
        <v>14208</v>
      </c>
      <c r="J11" s="52" t="s">
        <v>14209</v>
      </c>
      <c r="K11" s="52" t="s">
        <v>14201</v>
      </c>
      <c r="L11" s="52" t="s">
        <v>14210</v>
      </c>
      <c r="M11" s="52" t="s">
        <v>14211</v>
      </c>
      <c r="N11" s="52" t="s">
        <v>14212</v>
      </c>
      <c r="O11" s="52" t="s">
        <v>14213</v>
      </c>
      <c r="P11" s="52" t="s">
        <v>14214</v>
      </c>
      <c r="R11" s="812"/>
      <c r="S11" s="812"/>
      <c r="T11" s="812"/>
      <c r="U11" s="812"/>
      <c r="V11" s="812"/>
      <c r="Y11" s="812"/>
      <c r="Z11" s="812"/>
      <c r="AA11" s="812" t="s">
        <v>14215</v>
      </c>
      <c r="AB11" s="39" t="str">
        <f t="shared" si="1"/>
        <v>bob.nicholas@wyoleg.gov</v>
      </c>
    </row>
    <row r="12">
      <c r="A12" s="14" t="s">
        <v>44</v>
      </c>
      <c r="B12" s="31">
        <v>9.0</v>
      </c>
      <c r="C12" s="38" t="s">
        <v>5024</v>
      </c>
      <c r="D12" s="77" t="s">
        <v>447</v>
      </c>
      <c r="E12" s="51" t="s">
        <v>53</v>
      </c>
      <c r="F12" s="810"/>
      <c r="G12" s="14" t="s">
        <v>14216</v>
      </c>
      <c r="H12" s="52" t="s">
        <v>14217</v>
      </c>
      <c r="I12" s="52" t="s">
        <v>14218</v>
      </c>
      <c r="J12" s="52" t="s">
        <v>14219</v>
      </c>
      <c r="K12" s="52" t="s">
        <v>14220</v>
      </c>
      <c r="R12" s="812"/>
      <c r="S12" s="812"/>
      <c r="T12" s="812"/>
      <c r="U12" s="812"/>
      <c r="V12" s="812"/>
      <c r="Y12" s="812"/>
      <c r="Z12" s="812"/>
      <c r="AA12" s="812" t="s">
        <v>14221</v>
      </c>
      <c r="AB12" s="39" t="str">
        <f t="shared" si="1"/>
        <v>landon.brown@wyoleg.gov</v>
      </c>
    </row>
    <row r="13">
      <c r="A13" s="14" t="s">
        <v>44</v>
      </c>
      <c r="B13" s="31">
        <v>10.0</v>
      </c>
      <c r="C13" s="38" t="s">
        <v>278</v>
      </c>
      <c r="D13" s="77" t="s">
        <v>10745</v>
      </c>
      <c r="E13" s="51" t="s">
        <v>53</v>
      </c>
      <c r="F13" s="810"/>
      <c r="G13" s="813" t="s">
        <v>14222</v>
      </c>
      <c r="H13" s="59" t="s">
        <v>14225</v>
      </c>
      <c r="I13" s="813" t="s">
        <v>14226</v>
      </c>
      <c r="J13" s="52"/>
      <c r="R13" s="812"/>
      <c r="S13" s="812"/>
      <c r="T13" s="812"/>
      <c r="U13" s="812"/>
      <c r="V13" s="812"/>
      <c r="Y13" s="812"/>
      <c r="Z13" s="812"/>
      <c r="AA13" s="812" t="s">
        <v>14227</v>
      </c>
      <c r="AB13" s="39" t="str">
        <f t="shared" si="1"/>
        <v>john.eklund@wyoleg.gov</v>
      </c>
    </row>
    <row r="14">
      <c r="A14" s="14" t="s">
        <v>44</v>
      </c>
      <c r="B14" s="31">
        <v>11.0</v>
      </c>
      <c r="C14" s="38" t="s">
        <v>2285</v>
      </c>
      <c r="D14" s="77" t="s">
        <v>4352</v>
      </c>
      <c r="E14" s="51" t="s">
        <v>53</v>
      </c>
      <c r="F14" s="810"/>
      <c r="G14" s="14" t="s">
        <v>14229</v>
      </c>
      <c r="H14" s="14" t="s">
        <v>14230</v>
      </c>
      <c r="I14" s="52" t="s">
        <v>14231</v>
      </c>
      <c r="R14" s="809"/>
      <c r="S14" s="809"/>
      <c r="T14" s="809"/>
      <c r="U14" s="809"/>
      <c r="V14" s="809"/>
      <c r="Y14" s="809"/>
      <c r="Z14" s="809"/>
      <c r="AA14" s="809" t="s">
        <v>14232</v>
      </c>
      <c r="AB14" s="39" t="str">
        <f t="shared" si="1"/>
        <v>jared.olsen@wyoleg.gov</v>
      </c>
    </row>
    <row r="15">
      <c r="A15" s="14" t="s">
        <v>44</v>
      </c>
      <c r="B15" s="31">
        <v>12.0</v>
      </c>
      <c r="C15" s="38" t="s">
        <v>3600</v>
      </c>
      <c r="D15" s="706" t="s">
        <v>14233</v>
      </c>
      <c r="E15" s="51" t="s">
        <v>53</v>
      </c>
      <c r="F15" s="810"/>
      <c r="G15" s="52" t="s">
        <v>14235</v>
      </c>
      <c r="R15" s="812"/>
      <c r="S15" s="812"/>
      <c r="T15" s="812"/>
      <c r="U15" s="812"/>
      <c r="V15" s="812"/>
      <c r="Y15" s="812"/>
      <c r="Z15" s="812"/>
      <c r="AA15" s="812" t="s">
        <v>14236</v>
      </c>
      <c r="AB15" s="39" t="str">
        <f t="shared" si="1"/>
        <v>clarence.styvar@wyoleg.gov</v>
      </c>
    </row>
    <row r="16">
      <c r="A16" s="14" t="s">
        <v>44</v>
      </c>
      <c r="B16" s="31">
        <v>13.0</v>
      </c>
      <c r="C16" s="38" t="s">
        <v>120</v>
      </c>
      <c r="D16" s="77" t="s">
        <v>6906</v>
      </c>
      <c r="E16" s="36" t="s">
        <v>49</v>
      </c>
      <c r="F16" s="811" t="s">
        <v>498</v>
      </c>
      <c r="G16" s="14" t="s">
        <v>14237</v>
      </c>
      <c r="H16" s="14" t="s">
        <v>14238</v>
      </c>
      <c r="I16" s="14" t="s">
        <v>14200</v>
      </c>
      <c r="J16" s="52" t="s">
        <v>14208</v>
      </c>
      <c r="K16" s="52" t="s">
        <v>14239</v>
      </c>
      <c r="L16" s="52" t="s">
        <v>14240</v>
      </c>
      <c r="M16" s="52" t="s">
        <v>14241</v>
      </c>
      <c r="N16" s="52" t="s">
        <v>14242</v>
      </c>
      <c r="R16" s="809"/>
      <c r="S16" s="809"/>
      <c r="T16" s="809"/>
      <c r="U16" s="809"/>
      <c r="V16" s="809"/>
      <c r="Y16" s="809"/>
      <c r="Z16" s="809"/>
      <c r="AA16" s="809" t="s">
        <v>14244</v>
      </c>
      <c r="AB16" s="39" t="str">
        <f t="shared" si="1"/>
        <v>cathy.connolly@wyoleg.gov</v>
      </c>
    </row>
    <row r="17">
      <c r="A17" s="14" t="s">
        <v>44</v>
      </c>
      <c r="B17" s="31">
        <v>14.0</v>
      </c>
      <c r="C17" s="38" t="s">
        <v>239</v>
      </c>
      <c r="D17" s="77" t="s">
        <v>14246</v>
      </c>
      <c r="E17" s="51" t="s">
        <v>53</v>
      </c>
      <c r="F17" s="810"/>
      <c r="G17" s="52" t="s">
        <v>14164</v>
      </c>
      <c r="H17" s="14" t="s">
        <v>14238</v>
      </c>
      <c r="I17" s="52" t="s">
        <v>14249</v>
      </c>
      <c r="J17" s="52" t="s">
        <v>14250</v>
      </c>
      <c r="K17" s="52" t="s">
        <v>14251</v>
      </c>
      <c r="L17" s="52" t="s">
        <v>14252</v>
      </c>
      <c r="M17" s="52" t="s">
        <v>14214</v>
      </c>
      <c r="R17" s="812"/>
      <c r="S17" s="812"/>
      <c r="T17" s="812"/>
      <c r="U17" s="812"/>
      <c r="V17" s="812"/>
      <c r="Y17" s="812"/>
      <c r="Z17" s="812"/>
      <c r="AA17" s="812" t="s">
        <v>14253</v>
      </c>
      <c r="AB17" s="39" t="str">
        <f t="shared" si="1"/>
        <v>dan.furphy@wyoleg.gov</v>
      </c>
    </row>
    <row r="18">
      <c r="A18" s="14" t="s">
        <v>44</v>
      </c>
      <c r="B18" s="31">
        <v>15.0</v>
      </c>
      <c r="C18" s="38" t="s">
        <v>2139</v>
      </c>
      <c r="D18" s="77" t="s">
        <v>14254</v>
      </c>
      <c r="E18" s="51" t="s">
        <v>53</v>
      </c>
      <c r="F18" s="810"/>
      <c r="G18" s="14" t="s">
        <v>14237</v>
      </c>
      <c r="H18" s="14" t="s">
        <v>14199</v>
      </c>
      <c r="I18" s="14" t="s">
        <v>14200</v>
      </c>
      <c r="J18" s="52" t="s">
        <v>14255</v>
      </c>
      <c r="K18" s="14" t="s">
        <v>14256</v>
      </c>
      <c r="L18" s="52" t="s">
        <v>14257</v>
      </c>
      <c r="M18" s="52" t="s">
        <v>14212</v>
      </c>
      <c r="R18" s="809"/>
      <c r="S18" s="809"/>
      <c r="T18" s="809"/>
      <c r="U18" s="809"/>
      <c r="V18" s="809"/>
      <c r="Y18" s="809"/>
      <c r="Z18" s="809"/>
      <c r="AA18" s="809" t="s">
        <v>14258</v>
      </c>
      <c r="AB18" s="39" t="str">
        <f t="shared" si="1"/>
        <v>donald.burkhart@wyoleg.gov</v>
      </c>
    </row>
    <row r="19">
      <c r="A19" s="14" t="s">
        <v>44</v>
      </c>
      <c r="B19" s="31">
        <v>16.0</v>
      </c>
      <c r="C19" s="38" t="s">
        <v>157</v>
      </c>
      <c r="D19" s="77" t="s">
        <v>14261</v>
      </c>
      <c r="E19" s="36" t="s">
        <v>49</v>
      </c>
      <c r="F19" s="810"/>
      <c r="R19" s="809"/>
      <c r="S19" s="809"/>
      <c r="T19" s="809"/>
      <c r="U19" s="809"/>
      <c r="V19" s="809"/>
      <c r="Y19" s="809"/>
      <c r="Z19" s="809"/>
      <c r="AA19" s="809"/>
      <c r="AB19" s="39" t="str">
        <f t="shared" si="1"/>
        <v>mike.yin@wyoleg.gov</v>
      </c>
    </row>
    <row r="20">
      <c r="A20" s="14" t="s">
        <v>44</v>
      </c>
      <c r="B20" s="31">
        <v>17.0</v>
      </c>
      <c r="C20" s="38" t="s">
        <v>14264</v>
      </c>
      <c r="D20" s="77" t="s">
        <v>14265</v>
      </c>
      <c r="E20" s="36" t="s">
        <v>49</v>
      </c>
      <c r="F20" s="810"/>
      <c r="R20" s="812"/>
      <c r="S20" s="812"/>
      <c r="T20" s="812"/>
      <c r="U20" s="812"/>
      <c r="V20" s="812"/>
      <c r="Y20" s="812"/>
      <c r="Z20" s="812"/>
      <c r="AA20" s="812"/>
      <c r="AB20" s="39" t="str">
        <f t="shared" si="1"/>
        <v>traci.ciepliela@wyoleg.gov</v>
      </c>
    </row>
    <row r="21">
      <c r="A21" s="14" t="s">
        <v>44</v>
      </c>
      <c r="B21" s="31">
        <v>18.0</v>
      </c>
      <c r="C21" s="38" t="s">
        <v>561</v>
      </c>
      <c r="D21" s="77" t="s">
        <v>14269</v>
      </c>
      <c r="E21" s="51" t="s">
        <v>53</v>
      </c>
      <c r="F21" s="810"/>
      <c r="G21" s="52" t="s">
        <v>14165</v>
      </c>
      <c r="H21" s="52" t="s">
        <v>14217</v>
      </c>
      <c r="I21" s="52" t="s">
        <v>14271</v>
      </c>
      <c r="R21" s="809"/>
      <c r="S21" s="809"/>
      <c r="T21" s="809"/>
      <c r="U21" s="809"/>
      <c r="V21" s="809"/>
      <c r="Y21" s="809"/>
      <c r="Z21" s="809"/>
      <c r="AA21" s="809" t="s">
        <v>14274</v>
      </c>
      <c r="AB21" s="39" t="str">
        <f t="shared" si="1"/>
        <v>thomas.crank@wyoleg.gov</v>
      </c>
    </row>
    <row r="22">
      <c r="A22" s="14" t="s">
        <v>44</v>
      </c>
      <c r="B22" s="31">
        <v>19.0</v>
      </c>
      <c r="C22" s="38" t="s">
        <v>100</v>
      </c>
      <c r="D22" s="77" t="s">
        <v>14276</v>
      </c>
      <c r="E22" s="51" t="s">
        <v>53</v>
      </c>
      <c r="F22" s="810"/>
      <c r="G22" s="52" t="s">
        <v>14164</v>
      </c>
      <c r="H22" s="52" t="s">
        <v>14278</v>
      </c>
      <c r="I22" s="52" t="s">
        <v>14279</v>
      </c>
      <c r="J22" s="52" t="s">
        <v>14280</v>
      </c>
      <c r="R22" s="809"/>
      <c r="S22" s="809"/>
      <c r="T22" s="809"/>
      <c r="U22" s="809"/>
      <c r="V22" s="809"/>
      <c r="Y22" s="809"/>
      <c r="Z22" s="809"/>
      <c r="AA22" s="809" t="s">
        <v>14282</v>
      </c>
      <c r="AB22" s="39" t="str">
        <f t="shared" si="1"/>
        <v>danny.eyre@wyoleg.gov</v>
      </c>
    </row>
    <row r="23">
      <c r="A23" s="14" t="s">
        <v>44</v>
      </c>
      <c r="B23" s="31">
        <v>20.0</v>
      </c>
      <c r="C23" s="38" t="s">
        <v>5347</v>
      </c>
      <c r="D23" s="706" t="s">
        <v>14284</v>
      </c>
      <c r="E23" s="51" t="s">
        <v>53</v>
      </c>
      <c r="F23" s="811" t="s">
        <v>751</v>
      </c>
      <c r="G23" s="52" t="s">
        <v>14286</v>
      </c>
      <c r="H23" s="52" t="s">
        <v>14287</v>
      </c>
      <c r="I23" s="14" t="s">
        <v>14199</v>
      </c>
      <c r="J23" s="14" t="s">
        <v>14200</v>
      </c>
      <c r="K23" s="52" t="s">
        <v>14288</v>
      </c>
      <c r="L23" s="52" t="s">
        <v>14289</v>
      </c>
      <c r="M23" s="52" t="s">
        <v>14291</v>
      </c>
      <c r="R23" s="809"/>
      <c r="S23" s="809"/>
      <c r="T23" s="809"/>
      <c r="U23" s="809"/>
      <c r="V23" s="809"/>
      <c r="Y23" s="809"/>
      <c r="Z23" s="809"/>
      <c r="AA23" s="809" t="s">
        <v>14292</v>
      </c>
      <c r="AB23" s="39" t="str">
        <f t="shared" si="1"/>
        <v>albert.sommers@wyoleg.gov</v>
      </c>
    </row>
    <row r="24">
      <c r="A24" s="14" t="s">
        <v>44</v>
      </c>
      <c r="B24" s="31">
        <v>21.0</v>
      </c>
      <c r="C24" s="38" t="s">
        <v>1541</v>
      </c>
      <c r="D24" s="77" t="s">
        <v>728</v>
      </c>
      <c r="E24" s="51" t="s">
        <v>53</v>
      </c>
      <c r="F24" s="810"/>
      <c r="G24" s="52" t="s">
        <v>14189</v>
      </c>
      <c r="H24" s="14" t="s">
        <v>14216</v>
      </c>
      <c r="R24" s="812"/>
      <c r="S24" s="812"/>
      <c r="T24" s="812"/>
      <c r="U24" s="812"/>
      <c r="V24" s="812"/>
      <c r="Y24" s="812"/>
      <c r="Z24" s="812"/>
      <c r="AA24" s="812" t="s">
        <v>14295</v>
      </c>
      <c r="AB24" s="39" t="str">
        <f t="shared" si="1"/>
        <v>evan.simpson@wyoleg.gov</v>
      </c>
    </row>
    <row r="25">
      <c r="A25" s="14" t="s">
        <v>44</v>
      </c>
      <c r="B25" s="31">
        <v>22.0</v>
      </c>
      <c r="C25" s="38" t="s">
        <v>5016</v>
      </c>
      <c r="D25" s="706" t="s">
        <v>7965</v>
      </c>
      <c r="E25" s="51" t="s">
        <v>53</v>
      </c>
      <c r="F25" s="810"/>
      <c r="G25" s="52" t="s">
        <v>14235</v>
      </c>
      <c r="H25" s="52" t="s">
        <v>14190</v>
      </c>
      <c r="I25" s="52" t="s">
        <v>14301</v>
      </c>
      <c r="J25" s="52" t="s">
        <v>14302</v>
      </c>
      <c r="R25" s="812"/>
      <c r="S25" s="812"/>
      <c r="T25" s="812"/>
      <c r="U25" s="812"/>
      <c r="V25" s="812"/>
      <c r="Y25" s="812"/>
      <c r="Z25" s="812"/>
      <c r="AA25" s="812" t="s">
        <v>14303</v>
      </c>
      <c r="AB25" s="39" t="str">
        <f t="shared" si="1"/>
        <v>marti.halverson@wyoleg.gov</v>
      </c>
    </row>
    <row r="26">
      <c r="A26" s="14" t="s">
        <v>44</v>
      </c>
      <c r="B26" s="31">
        <v>23.0</v>
      </c>
      <c r="C26" s="38" t="s">
        <v>109</v>
      </c>
      <c r="D26" s="77" t="s">
        <v>14305</v>
      </c>
      <c r="E26" s="36" t="s">
        <v>49</v>
      </c>
      <c r="F26" s="810"/>
      <c r="G26" s="14" t="s">
        <v>14199</v>
      </c>
      <c r="H26" s="14" t="s">
        <v>14306</v>
      </c>
      <c r="I26" s="52" t="s">
        <v>14308</v>
      </c>
      <c r="R26" s="809"/>
      <c r="S26" s="809"/>
      <c r="T26" s="809"/>
      <c r="U26" s="809"/>
      <c r="V26" s="809"/>
      <c r="Y26" s="809"/>
      <c r="Z26" s="809"/>
      <c r="AA26" s="809" t="s">
        <v>14309</v>
      </c>
      <c r="AB26" s="39" t="str">
        <f t="shared" si="1"/>
        <v>andy.schwartz@wyoleg.gov</v>
      </c>
    </row>
    <row r="27">
      <c r="A27" s="14" t="s">
        <v>44</v>
      </c>
      <c r="B27" s="31">
        <v>24.0</v>
      </c>
      <c r="C27" s="38" t="s">
        <v>5229</v>
      </c>
      <c r="D27" s="706" t="s">
        <v>14311</v>
      </c>
      <c r="E27" s="51" t="s">
        <v>53</v>
      </c>
      <c r="F27" s="810"/>
      <c r="R27" s="812"/>
      <c r="S27" s="812"/>
      <c r="T27" s="812"/>
      <c r="U27" s="812"/>
      <c r="V27" s="812"/>
      <c r="Y27" s="812"/>
      <c r="Z27" s="812"/>
      <c r="AA27" s="812"/>
      <c r="AB27" s="39" t="str">
        <f t="shared" si="1"/>
        <v>sandy.newsome@wyoleg.gov</v>
      </c>
    </row>
    <row r="28">
      <c r="A28" s="14" t="s">
        <v>44</v>
      </c>
      <c r="B28" s="31">
        <v>25.0</v>
      </c>
      <c r="C28" s="38" t="s">
        <v>239</v>
      </c>
      <c r="D28" s="77" t="s">
        <v>14312</v>
      </c>
      <c r="E28" s="51" t="s">
        <v>53</v>
      </c>
      <c r="F28" s="810"/>
      <c r="G28" s="52" t="s">
        <v>14315</v>
      </c>
      <c r="H28" s="14" t="s">
        <v>14238</v>
      </c>
      <c r="I28" s="14" t="s">
        <v>14200</v>
      </c>
      <c r="J28" s="52" t="s">
        <v>14316</v>
      </c>
      <c r="K28" s="14" t="s">
        <v>14225</v>
      </c>
      <c r="R28" s="812"/>
      <c r="S28" s="812"/>
      <c r="T28" s="812"/>
      <c r="U28" s="812"/>
      <c r="V28" s="812"/>
      <c r="Y28" s="812"/>
      <c r="Z28" s="812"/>
      <c r="AA28" s="812" t="s">
        <v>14318</v>
      </c>
      <c r="AB28" s="39" t="str">
        <f t="shared" si="1"/>
        <v>dan.laursen@wyoleg.gov</v>
      </c>
    </row>
    <row r="29">
      <c r="A29" s="14" t="s">
        <v>44</v>
      </c>
      <c r="B29" s="31">
        <v>26.0</v>
      </c>
      <c r="C29" s="38" t="s">
        <v>283</v>
      </c>
      <c r="D29" s="77" t="s">
        <v>14319</v>
      </c>
      <c r="E29" s="51" t="s">
        <v>53</v>
      </c>
      <c r="F29" s="810"/>
      <c r="G29" s="14" t="s">
        <v>14216</v>
      </c>
      <c r="H29" s="52" t="s">
        <v>14190</v>
      </c>
      <c r="R29" s="812"/>
      <c r="S29" s="812"/>
      <c r="T29" s="812"/>
      <c r="U29" s="812"/>
      <c r="V29" s="812"/>
      <c r="Y29" s="812"/>
      <c r="Z29" s="812"/>
      <c r="AA29" s="812" t="s">
        <v>14320</v>
      </c>
      <c r="AB29" s="39" t="str">
        <f t="shared" si="1"/>
        <v>jamie.flitner@wyoleg.gov</v>
      </c>
    </row>
    <row r="30">
      <c r="A30" s="14" t="s">
        <v>44</v>
      </c>
      <c r="B30" s="31">
        <v>27.0</v>
      </c>
      <c r="C30" s="38" t="s">
        <v>157</v>
      </c>
      <c r="D30" s="77" t="s">
        <v>14321</v>
      </c>
      <c r="E30" s="51" t="s">
        <v>53</v>
      </c>
      <c r="F30" s="810"/>
      <c r="G30" s="52" t="s">
        <v>14322</v>
      </c>
      <c r="H30" s="14" t="s">
        <v>14237</v>
      </c>
      <c r="I30" s="14" t="s">
        <v>14200</v>
      </c>
      <c r="J30" s="52" t="s">
        <v>14249</v>
      </c>
      <c r="K30" s="52" t="s">
        <v>14323</v>
      </c>
      <c r="L30" s="14" t="s">
        <v>14324</v>
      </c>
      <c r="M30" s="52" t="s">
        <v>14325</v>
      </c>
      <c r="R30" s="809"/>
      <c r="S30" s="809"/>
      <c r="T30" s="809"/>
      <c r="U30" s="809"/>
      <c r="V30" s="809"/>
      <c r="Y30" s="809"/>
      <c r="Z30" s="809"/>
      <c r="AA30" s="809" t="s">
        <v>14326</v>
      </c>
      <c r="AB30" s="39" t="str">
        <f t="shared" si="1"/>
        <v>mike.greear@wyoleg.gov</v>
      </c>
    </row>
    <row r="31">
      <c r="A31" s="14" t="s">
        <v>44</v>
      </c>
      <c r="B31" s="31">
        <v>28.0</v>
      </c>
      <c r="C31" s="38" t="s">
        <v>278</v>
      </c>
      <c r="D31" s="77" t="s">
        <v>2415</v>
      </c>
      <c r="E31" s="51" t="s">
        <v>53</v>
      </c>
      <c r="F31" s="810"/>
      <c r="R31" s="812"/>
      <c r="S31" s="812"/>
      <c r="T31" s="812"/>
      <c r="U31" s="812"/>
      <c r="V31" s="812"/>
      <c r="Y31" s="812"/>
      <c r="Z31" s="812"/>
      <c r="AA31" s="812"/>
      <c r="AB31" s="39" t="str">
        <f t="shared" si="1"/>
        <v>john.winter@wyoleg.gov</v>
      </c>
    </row>
    <row r="32">
      <c r="A32" s="14" t="s">
        <v>44</v>
      </c>
      <c r="B32" s="31">
        <v>29.0</v>
      </c>
      <c r="C32" s="38" t="s">
        <v>91</v>
      </c>
      <c r="D32" s="77" t="s">
        <v>14327</v>
      </c>
      <c r="E32" s="51" t="s">
        <v>53</v>
      </c>
      <c r="F32" s="810"/>
      <c r="G32" s="14" t="s">
        <v>14216</v>
      </c>
      <c r="H32" s="14" t="s">
        <v>14238</v>
      </c>
      <c r="I32" s="52" t="s">
        <v>14250</v>
      </c>
      <c r="J32" s="52" t="s">
        <v>14328</v>
      </c>
      <c r="R32" s="809"/>
      <c r="S32" s="809"/>
      <c r="T32" s="809"/>
      <c r="U32" s="809"/>
      <c r="V32" s="809"/>
      <c r="Y32" s="809"/>
      <c r="Z32" s="809"/>
      <c r="AA32" s="809" t="s">
        <v>14329</v>
      </c>
      <c r="AB32" s="39" t="str">
        <f t="shared" si="1"/>
        <v>mark.kinner@wyoleg.gov</v>
      </c>
    </row>
    <row r="33">
      <c r="A33" s="14" t="s">
        <v>44</v>
      </c>
      <c r="B33" s="31">
        <v>30.0</v>
      </c>
      <c r="C33" s="38" t="s">
        <v>91</v>
      </c>
      <c r="D33" s="77" t="s">
        <v>2987</v>
      </c>
      <c r="E33" s="51" t="s">
        <v>53</v>
      </c>
      <c r="F33" s="810"/>
      <c r="G33" s="14" t="s">
        <v>14229</v>
      </c>
      <c r="R33" s="812"/>
      <c r="S33" s="812"/>
      <c r="T33" s="812"/>
      <c r="U33" s="812"/>
      <c r="V33" s="812"/>
      <c r="Y33" s="812"/>
      <c r="Z33" s="812"/>
      <c r="AA33" s="812" t="s">
        <v>14330</v>
      </c>
      <c r="AB33" s="39" t="str">
        <f t="shared" si="1"/>
        <v>mark.jennings@wyoleg.gov</v>
      </c>
    </row>
    <row r="34">
      <c r="A34" s="14" t="s">
        <v>44</v>
      </c>
      <c r="B34" s="31">
        <v>31.0</v>
      </c>
      <c r="C34" s="38" t="s">
        <v>45</v>
      </c>
      <c r="D34" s="77" t="s">
        <v>10831</v>
      </c>
      <c r="E34" s="51" t="s">
        <v>53</v>
      </c>
      <c r="F34" s="810"/>
      <c r="G34" s="52" t="s">
        <v>14235</v>
      </c>
      <c r="H34" s="52" t="s">
        <v>14190</v>
      </c>
      <c r="I34" s="14" t="s">
        <v>14331</v>
      </c>
      <c r="J34" s="52" t="s">
        <v>14332</v>
      </c>
      <c r="K34" s="52" t="s">
        <v>14333</v>
      </c>
      <c r="L34" s="52" t="s">
        <v>14334</v>
      </c>
      <c r="R34" s="812"/>
      <c r="S34" s="812"/>
      <c r="T34" s="812"/>
      <c r="U34" s="812"/>
      <c r="V34" s="812"/>
      <c r="Y34" s="812"/>
      <c r="Z34" s="812"/>
      <c r="AA34" s="812" t="s">
        <v>14335</v>
      </c>
      <c r="AB34" s="39" t="str">
        <f t="shared" si="1"/>
        <v>scott.clem@wyoleg.gov</v>
      </c>
    </row>
    <row r="35">
      <c r="A35" s="14" t="s">
        <v>44</v>
      </c>
      <c r="B35" s="31">
        <v>32.0</v>
      </c>
      <c r="C35" s="38" t="s">
        <v>2507</v>
      </c>
      <c r="D35" s="706" t="s">
        <v>14336</v>
      </c>
      <c r="E35" s="51" t="s">
        <v>53</v>
      </c>
      <c r="F35" s="810"/>
      <c r="G35" s="52" t="s">
        <v>14235</v>
      </c>
      <c r="H35" s="14" t="s">
        <v>14238</v>
      </c>
      <c r="I35" s="14" t="s">
        <v>14331</v>
      </c>
      <c r="J35" s="52" t="s">
        <v>14308</v>
      </c>
      <c r="R35" s="809"/>
      <c r="S35" s="809"/>
      <c r="T35" s="809"/>
      <c r="U35" s="809"/>
      <c r="V35" s="809"/>
      <c r="Y35" s="809"/>
      <c r="Z35" s="809"/>
      <c r="AA35" s="809" t="s">
        <v>14337</v>
      </c>
      <c r="AB35" s="39" t="str">
        <f t="shared" si="1"/>
        <v>timothy.hallinan@wyoleg.gov</v>
      </c>
    </row>
    <row r="36">
      <c r="A36" s="14" t="s">
        <v>44</v>
      </c>
      <c r="B36" s="31">
        <v>33.0</v>
      </c>
      <c r="C36" s="38" t="s">
        <v>476</v>
      </c>
      <c r="D36" s="77" t="s">
        <v>241</v>
      </c>
      <c r="E36" s="51" t="s">
        <v>53</v>
      </c>
      <c r="F36" s="812"/>
      <c r="G36" s="52" t="s">
        <v>14341</v>
      </c>
      <c r="H36" s="52" t="s">
        <v>14342</v>
      </c>
      <c r="R36" s="812"/>
      <c r="S36" s="812"/>
      <c r="T36" s="812"/>
      <c r="U36" s="812"/>
      <c r="V36" s="812"/>
      <c r="Y36" s="812"/>
      <c r="Z36" s="812"/>
      <c r="AA36" s="812" t="s">
        <v>14343</v>
      </c>
      <c r="AB36" s="39" t="str">
        <f t="shared" si="1"/>
        <v>jim.allen@wyoleg.gov</v>
      </c>
    </row>
    <row r="37">
      <c r="A37" s="14" t="s">
        <v>44</v>
      </c>
      <c r="B37" s="31">
        <v>34.0</v>
      </c>
      <c r="C37" s="38" t="s">
        <v>225</v>
      </c>
      <c r="D37" s="77" t="s">
        <v>9694</v>
      </c>
      <c r="E37" s="51" t="s">
        <v>53</v>
      </c>
      <c r="F37" s="810"/>
      <c r="G37" s="14" t="s">
        <v>14229</v>
      </c>
      <c r="H37" s="52" t="s">
        <v>14345</v>
      </c>
      <c r="R37" s="812"/>
      <c r="S37" s="812"/>
      <c r="T37" s="812"/>
      <c r="U37" s="812"/>
      <c r="V37" s="812"/>
      <c r="Y37" s="812"/>
      <c r="Z37" s="812"/>
      <c r="AA37" s="812" t="s">
        <v>14346</v>
      </c>
      <c r="AB37" s="39" t="str">
        <f t="shared" si="1"/>
        <v>tim.salazar@wyoleg.gov</v>
      </c>
    </row>
    <row r="38">
      <c r="A38" s="14" t="s">
        <v>44</v>
      </c>
      <c r="B38" s="31">
        <v>35.0</v>
      </c>
      <c r="C38" s="38" t="s">
        <v>622</v>
      </c>
      <c r="D38" s="77" t="s">
        <v>14348</v>
      </c>
      <c r="E38" s="51" t="s">
        <v>53</v>
      </c>
      <c r="F38" s="810"/>
      <c r="G38" s="52" t="s">
        <v>14235</v>
      </c>
      <c r="H38" s="52" t="s">
        <v>14190</v>
      </c>
      <c r="I38" s="52" t="s">
        <v>14316</v>
      </c>
      <c r="J38" s="52" t="s">
        <v>14349</v>
      </c>
      <c r="K38" s="52" t="s">
        <v>14350</v>
      </c>
      <c r="L38" s="52" t="s">
        <v>14351</v>
      </c>
      <c r="M38" s="52" t="s">
        <v>14352</v>
      </c>
      <c r="R38" s="809"/>
      <c r="S38" s="809"/>
      <c r="T38" s="809"/>
      <c r="U38" s="809"/>
      <c r="V38" s="809"/>
      <c r="Y38" s="809"/>
      <c r="Z38" s="809"/>
      <c r="AA38" s="809" t="s">
        <v>14354</v>
      </c>
      <c r="AB38" s="39" t="str">
        <f t="shared" si="1"/>
        <v>joe.macguire@wyoleg.gov</v>
      </c>
    </row>
    <row r="39">
      <c r="A39" s="14" t="s">
        <v>44</v>
      </c>
      <c r="B39" s="31">
        <v>36.0</v>
      </c>
      <c r="C39" s="38" t="s">
        <v>2989</v>
      </c>
      <c r="D39" s="77" t="s">
        <v>14356</v>
      </c>
      <c r="E39" s="51" t="s">
        <v>53</v>
      </c>
      <c r="F39" s="810"/>
      <c r="R39" s="809"/>
      <c r="S39" s="809"/>
      <c r="T39" s="809"/>
      <c r="U39" s="809"/>
      <c r="V39" s="809"/>
      <c r="Y39" s="809"/>
      <c r="Z39" s="809"/>
      <c r="AA39" s="809"/>
      <c r="AB39" s="39" t="str">
        <f t="shared" si="1"/>
        <v>art.washut@wyoleg.gov</v>
      </c>
    </row>
    <row r="40">
      <c r="A40" s="14" t="s">
        <v>44</v>
      </c>
      <c r="B40" s="31">
        <v>37.0</v>
      </c>
      <c r="C40" s="38" t="s">
        <v>55</v>
      </c>
      <c r="D40" s="77" t="s">
        <v>14359</v>
      </c>
      <c r="E40" s="51" t="s">
        <v>53</v>
      </c>
      <c r="F40" s="807" t="s">
        <v>1056</v>
      </c>
      <c r="G40" s="52" t="s">
        <v>14361</v>
      </c>
      <c r="H40" s="52" t="s">
        <v>14362</v>
      </c>
      <c r="I40" s="52" t="s">
        <v>14363</v>
      </c>
      <c r="J40" s="52" t="s">
        <v>14364</v>
      </c>
      <c r="K40" s="52" t="s">
        <v>14172</v>
      </c>
      <c r="L40" s="52" t="s">
        <v>14239</v>
      </c>
      <c r="M40" s="52" t="s">
        <v>14366</v>
      </c>
      <c r="N40" s="52" t="s">
        <v>14367</v>
      </c>
      <c r="O40" s="14" t="s">
        <v>14256</v>
      </c>
      <c r="P40" s="52" t="s">
        <v>14242</v>
      </c>
      <c r="R40" s="809"/>
      <c r="S40" s="809"/>
      <c r="T40" s="809"/>
      <c r="U40" s="809"/>
      <c r="V40" s="809"/>
      <c r="Y40" s="809"/>
      <c r="Z40" s="809"/>
      <c r="AA40" s="809" t="s">
        <v>14368</v>
      </c>
      <c r="AB40" s="39" t="str">
        <f t="shared" si="1"/>
        <v>steve.harshman@wyoleg.gov</v>
      </c>
    </row>
    <row r="41">
      <c r="A41" s="14" t="s">
        <v>44</v>
      </c>
      <c r="B41" s="31">
        <v>38.0</v>
      </c>
      <c r="C41" s="38" t="s">
        <v>338</v>
      </c>
      <c r="D41" s="77" t="s">
        <v>2347</v>
      </c>
      <c r="E41" s="51" t="s">
        <v>53</v>
      </c>
      <c r="F41" s="810"/>
      <c r="G41" s="52" t="s">
        <v>14172</v>
      </c>
      <c r="H41" s="14" t="s">
        <v>14370</v>
      </c>
      <c r="I41" s="14" t="s">
        <v>14372</v>
      </c>
      <c r="J41" s="52" t="s">
        <v>14316</v>
      </c>
      <c r="K41" s="52" t="s">
        <v>14249</v>
      </c>
      <c r="L41" s="52" t="s">
        <v>14373</v>
      </c>
      <c r="M41" s="52" t="s">
        <v>14374</v>
      </c>
      <c r="N41" s="52" t="s">
        <v>14375</v>
      </c>
      <c r="O41" s="52" t="s">
        <v>14376</v>
      </c>
      <c r="R41" s="812"/>
      <c r="S41" s="812"/>
      <c r="T41" s="812"/>
      <c r="U41" s="812"/>
      <c r="V41" s="812"/>
      <c r="Y41" s="812"/>
      <c r="Z41" s="812"/>
      <c r="AA41" s="812" t="s">
        <v>14378</v>
      </c>
      <c r="AB41" s="39" t="str">
        <f t="shared" si="1"/>
        <v>tom.walters@wyoleg.gov</v>
      </c>
    </row>
    <row r="42">
      <c r="A42" s="14" t="s">
        <v>44</v>
      </c>
      <c r="B42" s="31">
        <v>39.0</v>
      </c>
      <c r="C42" s="38" t="s">
        <v>14379</v>
      </c>
      <c r="D42" s="77" t="s">
        <v>1288</v>
      </c>
      <c r="E42" s="36" t="s">
        <v>49</v>
      </c>
      <c r="F42" s="810"/>
      <c r="G42" s="52" t="s">
        <v>14380</v>
      </c>
      <c r="H42" s="52" t="s">
        <v>14381</v>
      </c>
      <c r="I42" s="52" t="s">
        <v>14382</v>
      </c>
      <c r="J42" s="52" t="s">
        <v>14384</v>
      </c>
      <c r="K42" s="52" t="s">
        <v>14225</v>
      </c>
      <c r="R42" s="812"/>
      <c r="S42" s="812"/>
      <c r="T42" s="812"/>
      <c r="U42" s="812"/>
      <c r="V42" s="812"/>
      <c r="Y42" s="812"/>
      <c r="Z42" s="812"/>
      <c r="AA42" s="812" t="s">
        <v>14385</v>
      </c>
      <c r="AB42" s="39" t="str">
        <f t="shared" si="1"/>
        <v>stan .blake@wyoleg.gov</v>
      </c>
    </row>
    <row r="43">
      <c r="A43" s="14" t="s">
        <v>44</v>
      </c>
      <c r="B43" s="31">
        <v>40.0</v>
      </c>
      <c r="C43" s="38" t="s">
        <v>1112</v>
      </c>
      <c r="D43" s="38" t="s">
        <v>14386</v>
      </c>
      <c r="E43" s="51" t="s">
        <v>53</v>
      </c>
      <c r="F43" s="810"/>
      <c r="R43" s="812"/>
      <c r="S43" s="812"/>
      <c r="T43" s="812"/>
      <c r="U43" s="812"/>
      <c r="V43" s="812"/>
      <c r="Y43" s="812"/>
      <c r="Z43" s="812"/>
      <c r="AA43" s="812"/>
      <c r="AB43" s="39" t="str">
        <f t="shared" si="1"/>
        <v>richard.tass@wyoleg.gov</v>
      </c>
    </row>
    <row r="44">
      <c r="A44" s="14" t="s">
        <v>44</v>
      </c>
      <c r="B44" s="31">
        <v>41.0</v>
      </c>
      <c r="C44" s="35" t="s">
        <v>325</v>
      </c>
      <c r="D44" s="35" t="s">
        <v>2092</v>
      </c>
      <c r="E44" s="51" t="s">
        <v>53</v>
      </c>
      <c r="F44" s="810"/>
      <c r="G44" s="52" t="s">
        <v>14380</v>
      </c>
      <c r="H44" s="52" t="s">
        <v>14388</v>
      </c>
      <c r="I44" s="52" t="s">
        <v>14389</v>
      </c>
      <c r="J44" s="52" t="s">
        <v>14390</v>
      </c>
      <c r="K44" s="52" t="s">
        <v>14391</v>
      </c>
      <c r="R44" s="812"/>
      <c r="S44" s="812"/>
      <c r="T44" s="812"/>
      <c r="U44" s="812"/>
      <c r="V44" s="812"/>
      <c r="Y44" s="812"/>
      <c r="Z44" s="812"/>
      <c r="AA44" s="812" t="s">
        <v>14393</v>
      </c>
      <c r="AB44" s="39" t="str">
        <f t="shared" si="1"/>
        <v>bill.henderson@wyoleg.gov</v>
      </c>
    </row>
    <row r="45">
      <c r="A45" s="14" t="s">
        <v>44</v>
      </c>
      <c r="B45" s="31">
        <v>42.0</v>
      </c>
      <c r="C45" s="35" t="s">
        <v>476</v>
      </c>
      <c r="D45" s="35" t="s">
        <v>12927</v>
      </c>
      <c r="E45" s="51" t="s">
        <v>53</v>
      </c>
      <c r="F45" s="810"/>
      <c r="G45" s="52" t="s">
        <v>14395</v>
      </c>
      <c r="H45" s="52" t="s">
        <v>14381</v>
      </c>
      <c r="I45" s="52" t="s">
        <v>14396</v>
      </c>
      <c r="R45" s="809"/>
      <c r="S45" s="809"/>
      <c r="T45" s="809"/>
      <c r="U45" s="809"/>
      <c r="V45" s="809"/>
      <c r="Y45" s="809"/>
      <c r="Z45" s="809"/>
      <c r="AA45" s="809" t="s">
        <v>14397</v>
      </c>
      <c r="AB45" s="39" t="str">
        <f t="shared" si="1"/>
        <v>jim.blackburn@wyoleg.gov</v>
      </c>
    </row>
    <row r="46">
      <c r="A46" s="14" t="s">
        <v>44</v>
      </c>
      <c r="B46" s="31">
        <v>43.0</v>
      </c>
      <c r="C46" s="35" t="s">
        <v>239</v>
      </c>
      <c r="D46" s="35" t="s">
        <v>14400</v>
      </c>
      <c r="E46" s="51" t="s">
        <v>53</v>
      </c>
      <c r="F46" s="810"/>
      <c r="G46" s="52" t="s">
        <v>14401</v>
      </c>
      <c r="H46" s="52" t="s">
        <v>14402</v>
      </c>
      <c r="I46" s="52" t="s">
        <v>14403</v>
      </c>
      <c r="J46" s="52" t="s">
        <v>14404</v>
      </c>
      <c r="K46" s="52" t="s">
        <v>14405</v>
      </c>
      <c r="L46" s="52" t="s">
        <v>14406</v>
      </c>
      <c r="R46" s="816"/>
      <c r="S46" s="816"/>
      <c r="T46" s="816"/>
      <c r="U46" s="816"/>
      <c r="V46" s="816"/>
      <c r="Y46" s="816"/>
      <c r="Z46" s="816"/>
      <c r="AA46" s="816" t="s">
        <v>14409</v>
      </c>
      <c r="AB46" s="39" t="str">
        <f t="shared" si="1"/>
        <v>dan.zwonitzer@wyoleg.gov</v>
      </c>
    </row>
    <row r="47">
      <c r="A47" s="14" t="s">
        <v>44</v>
      </c>
      <c r="B47" s="31">
        <v>44.0</v>
      </c>
      <c r="C47" s="38" t="s">
        <v>171</v>
      </c>
      <c r="D47" s="38" t="s">
        <v>14410</v>
      </c>
      <c r="E47" s="36" t="s">
        <v>49</v>
      </c>
      <c r="F47" s="810"/>
      <c r="R47" s="812"/>
      <c r="S47" s="812"/>
      <c r="T47" s="812"/>
      <c r="U47" s="812"/>
      <c r="V47" s="812"/>
      <c r="Y47" s="812"/>
      <c r="Z47" s="812"/>
      <c r="AA47" s="812"/>
      <c r="AB47" s="39" t="str">
        <f t="shared" si="1"/>
        <v>sara.burlingame@wyoleg.gov</v>
      </c>
    </row>
    <row r="48">
      <c r="A48" s="14" t="s">
        <v>44</v>
      </c>
      <c r="B48" s="31">
        <v>45.0</v>
      </c>
      <c r="C48" s="35" t="s">
        <v>1287</v>
      </c>
      <c r="D48" s="35" t="s">
        <v>14414</v>
      </c>
      <c r="E48" s="36" t="s">
        <v>49</v>
      </c>
      <c r="F48" s="807" t="s">
        <v>2004</v>
      </c>
      <c r="G48" s="14" t="s">
        <v>14415</v>
      </c>
      <c r="H48" s="14" t="s">
        <v>14229</v>
      </c>
      <c r="I48" s="14" t="s">
        <v>14200</v>
      </c>
      <c r="R48" s="809"/>
      <c r="S48" s="809"/>
      <c r="T48" s="809"/>
      <c r="U48" s="809"/>
      <c r="V48" s="809"/>
      <c r="Y48" s="809"/>
      <c r="Z48" s="809"/>
      <c r="AA48" s="809" t="s">
        <v>14416</v>
      </c>
      <c r="AB48" s="39" t="str">
        <f t="shared" si="1"/>
        <v>charles.pelkey@wyoleg.gov</v>
      </c>
    </row>
    <row r="49">
      <c r="A49" s="14" t="s">
        <v>44</v>
      </c>
      <c r="B49" s="31">
        <v>46.0</v>
      </c>
      <c r="C49" s="35" t="s">
        <v>325</v>
      </c>
      <c r="D49" s="35" t="s">
        <v>5393</v>
      </c>
      <c r="E49" s="51" t="s">
        <v>53</v>
      </c>
      <c r="F49" s="810"/>
      <c r="G49" s="52" t="s">
        <v>14380</v>
      </c>
      <c r="H49" s="52" t="s">
        <v>14418</v>
      </c>
      <c r="I49" s="52" t="s">
        <v>14419</v>
      </c>
      <c r="R49" s="812"/>
      <c r="S49" s="812"/>
      <c r="T49" s="812"/>
      <c r="U49" s="812"/>
      <c r="V49" s="812"/>
      <c r="Y49" s="812"/>
      <c r="Z49" s="812"/>
      <c r="AA49" s="812" t="s">
        <v>14420</v>
      </c>
      <c r="AB49" s="39" t="str">
        <f t="shared" si="1"/>
        <v>bill.haley@wyoleg.gov</v>
      </c>
    </row>
    <row r="50">
      <c r="A50" s="14" t="s">
        <v>44</v>
      </c>
      <c r="B50" s="31">
        <v>47.0</v>
      </c>
      <c r="C50" s="35" t="s">
        <v>2105</v>
      </c>
      <c r="D50" s="35" t="s">
        <v>10803</v>
      </c>
      <c r="E50" s="51" t="s">
        <v>53</v>
      </c>
      <c r="F50" s="810"/>
      <c r="G50" s="52" t="s">
        <v>14422</v>
      </c>
      <c r="H50" s="14" t="s">
        <v>14216</v>
      </c>
      <c r="I50" s="14" t="s">
        <v>14238</v>
      </c>
      <c r="J50" s="14" t="s">
        <v>14225</v>
      </c>
      <c r="K50" s="52" t="s">
        <v>14291</v>
      </c>
      <c r="R50" s="812"/>
      <c r="S50" s="812"/>
      <c r="T50" s="812"/>
      <c r="U50" s="812"/>
      <c r="V50" s="812"/>
      <c r="Y50" s="812"/>
      <c r="Z50" s="812"/>
      <c r="AA50" s="812" t="s">
        <v>14423</v>
      </c>
      <c r="AB50" s="39" t="str">
        <f t="shared" si="1"/>
        <v>jerry.paxton@wyoleg.gov</v>
      </c>
    </row>
    <row r="51">
      <c r="A51" s="14" t="s">
        <v>44</v>
      </c>
      <c r="B51" s="31">
        <v>48.0</v>
      </c>
      <c r="C51" s="35" t="s">
        <v>2063</v>
      </c>
      <c r="D51" s="35" t="s">
        <v>14425</v>
      </c>
      <c r="E51" s="51" t="s">
        <v>53</v>
      </c>
      <c r="F51" s="810"/>
      <c r="R51" s="809"/>
      <c r="S51" s="809"/>
      <c r="T51" s="809"/>
      <c r="U51" s="809"/>
      <c r="V51" s="809"/>
      <c r="Y51" s="809"/>
      <c r="Z51" s="809"/>
      <c r="AA51" s="809" t="s">
        <v>14426</v>
      </c>
      <c r="AB51" s="39" t="str">
        <f t="shared" si="1"/>
        <v>clark.stith@wyoleg.gov</v>
      </c>
    </row>
    <row r="52">
      <c r="A52" s="14" t="s">
        <v>44</v>
      </c>
      <c r="B52" s="31">
        <v>49.0</v>
      </c>
      <c r="C52" s="35" t="s">
        <v>6928</v>
      </c>
      <c r="D52" s="35" t="s">
        <v>14429</v>
      </c>
      <c r="E52" s="51" t="s">
        <v>53</v>
      </c>
      <c r="F52" s="810"/>
      <c r="G52" s="14" t="s">
        <v>14216</v>
      </c>
      <c r="H52" s="52" t="s">
        <v>14381</v>
      </c>
      <c r="I52" s="14" t="s">
        <v>14220</v>
      </c>
      <c r="R52" s="812"/>
      <c r="S52" s="812"/>
      <c r="T52" s="812"/>
      <c r="U52" s="812"/>
      <c r="V52" s="812"/>
      <c r="Y52" s="812"/>
      <c r="Z52" s="812"/>
      <c r="AA52" s="812" t="s">
        <v>14430</v>
      </c>
      <c r="AB52" s="39" t="str">
        <f t="shared" si="1"/>
        <v>garry.piiparinen@wyoleg.gov</v>
      </c>
    </row>
    <row r="53">
      <c r="A53" s="14" t="s">
        <v>44</v>
      </c>
      <c r="B53" s="31">
        <v>50.0</v>
      </c>
      <c r="C53" s="35" t="s">
        <v>108</v>
      </c>
      <c r="D53" s="35" t="s">
        <v>14434</v>
      </c>
      <c r="E53" s="51" t="s">
        <v>53</v>
      </c>
      <c r="F53" s="810"/>
      <c r="G53" s="14" t="s">
        <v>14435</v>
      </c>
      <c r="H53" s="14" t="s">
        <v>14200</v>
      </c>
      <c r="I53" s="52" t="s">
        <v>14172</v>
      </c>
      <c r="J53" s="52" t="s">
        <v>14239</v>
      </c>
      <c r="K53" s="52" t="s">
        <v>14225</v>
      </c>
      <c r="L53" s="52" t="s">
        <v>14436</v>
      </c>
      <c r="M53" s="52" t="s">
        <v>14437</v>
      </c>
      <c r="R53" s="809"/>
      <c r="S53" s="809"/>
      <c r="T53" s="809"/>
      <c r="U53" s="809"/>
      <c r="V53" s="809"/>
      <c r="Y53" s="809"/>
      <c r="Z53" s="809"/>
      <c r="AA53" s="809" t="s">
        <v>14438</v>
      </c>
      <c r="AB53" s="39" t="str">
        <f t="shared" si="1"/>
        <v>david.northrup@wyoleg.gov</v>
      </c>
    </row>
    <row r="54">
      <c r="A54" s="14" t="s">
        <v>44</v>
      </c>
      <c r="B54" s="31">
        <v>51.0</v>
      </c>
      <c r="C54" s="38" t="s">
        <v>14439</v>
      </c>
      <c r="D54" s="38" t="s">
        <v>14440</v>
      </c>
      <c r="E54" s="51" t="s">
        <v>53</v>
      </c>
      <c r="F54" s="810"/>
      <c r="R54" s="812"/>
      <c r="S54" s="812"/>
      <c r="T54" s="812"/>
      <c r="U54" s="812"/>
      <c r="V54" s="812"/>
      <c r="Y54" s="812"/>
      <c r="Z54" s="812"/>
      <c r="AA54" s="812"/>
      <c r="AB54" s="39" t="str">
        <f t="shared" si="1"/>
        <v>cyrus.western@wyoleg.gov</v>
      </c>
    </row>
    <row r="55">
      <c r="A55" s="14" t="s">
        <v>44</v>
      </c>
      <c r="B55" s="31">
        <v>52.0</v>
      </c>
      <c r="C55" s="35" t="s">
        <v>1058</v>
      </c>
      <c r="D55" s="35" t="s">
        <v>14442</v>
      </c>
      <c r="E55" s="51" t="s">
        <v>53</v>
      </c>
      <c r="F55" s="810"/>
      <c r="G55" s="14" t="s">
        <v>14229</v>
      </c>
      <c r="H55" s="52" t="s">
        <v>14443</v>
      </c>
      <c r="R55" s="817"/>
      <c r="S55" s="817"/>
      <c r="T55" s="817"/>
      <c r="U55" s="817"/>
      <c r="V55" s="817"/>
      <c r="Y55" s="817"/>
      <c r="Z55" s="817"/>
      <c r="AA55" s="817"/>
      <c r="AB55" s="39" t="str">
        <f t="shared" si="1"/>
        <v>william.pownall@wyoleg.gov</v>
      </c>
    </row>
    <row r="56">
      <c r="A56" s="14" t="s">
        <v>44</v>
      </c>
      <c r="B56" s="31">
        <v>53.0</v>
      </c>
      <c r="C56" s="35" t="s">
        <v>3411</v>
      </c>
      <c r="D56" s="35" t="s">
        <v>6476</v>
      </c>
      <c r="E56" s="51" t="s">
        <v>53</v>
      </c>
      <c r="F56" s="810"/>
      <c r="G56" s="52" t="s">
        <v>14447</v>
      </c>
      <c r="H56" s="52" t="s">
        <v>14217</v>
      </c>
      <c r="R56" s="809"/>
      <c r="S56" s="809"/>
      <c r="T56" s="809"/>
      <c r="U56" s="809"/>
      <c r="V56" s="809"/>
      <c r="Y56" s="809"/>
      <c r="Z56" s="809"/>
      <c r="AA56" s="809" t="s">
        <v>14448</v>
      </c>
      <c r="AB56" s="39" t="str">
        <f t="shared" si="1"/>
        <v>roy.edwards@wyoleg.gov</v>
      </c>
    </row>
    <row r="57">
      <c r="A57" s="14" t="s">
        <v>44</v>
      </c>
      <c r="B57" s="31">
        <v>54.0</v>
      </c>
      <c r="C57" s="35" t="s">
        <v>11749</v>
      </c>
      <c r="D57" s="35" t="s">
        <v>10329</v>
      </c>
      <c r="E57" s="51" t="s">
        <v>53</v>
      </c>
      <c r="F57" s="810"/>
      <c r="G57" s="52" t="s">
        <v>14451</v>
      </c>
      <c r="H57" s="52" t="s">
        <v>14452</v>
      </c>
      <c r="I57" s="14" t="s">
        <v>14199</v>
      </c>
      <c r="J57" s="52" t="s">
        <v>14453</v>
      </c>
      <c r="K57" s="52" t="s">
        <v>14454</v>
      </c>
      <c r="L57" s="52" t="s">
        <v>14455</v>
      </c>
      <c r="M57" s="52" t="s">
        <v>14456</v>
      </c>
      <c r="N57" s="14" t="s">
        <v>14256</v>
      </c>
      <c r="O57" s="52" t="s">
        <v>14334</v>
      </c>
      <c r="R57" s="809"/>
      <c r="S57" s="809"/>
      <c r="T57" s="809"/>
      <c r="U57" s="809"/>
      <c r="V57" s="809"/>
      <c r="Y57" s="809"/>
      <c r="Z57" s="809"/>
      <c r="AA57" s="809" t="s">
        <v>14457</v>
      </c>
      <c r="AB57" s="39" t="str">
        <f t="shared" si="1"/>
        <v>lloyd.larsen@wyoleg.gov</v>
      </c>
    </row>
    <row r="58">
      <c r="A58" s="14" t="s">
        <v>44</v>
      </c>
      <c r="B58" s="31">
        <v>55.0</v>
      </c>
      <c r="C58" s="35" t="s">
        <v>108</v>
      </c>
      <c r="D58" s="35" t="s">
        <v>1501</v>
      </c>
      <c r="E58" s="51" t="s">
        <v>53</v>
      </c>
      <c r="F58" s="810"/>
      <c r="G58" s="14" t="s">
        <v>14237</v>
      </c>
      <c r="H58" s="14" t="s">
        <v>14372</v>
      </c>
      <c r="I58" s="52" t="s">
        <v>14208</v>
      </c>
      <c r="J58" s="14" t="s">
        <v>14256</v>
      </c>
      <c r="K58" s="52" t="s">
        <v>14459</v>
      </c>
      <c r="L58" s="52" t="s">
        <v>14460</v>
      </c>
      <c r="R58" s="809"/>
      <c r="S58" s="809"/>
      <c r="T58" s="809"/>
      <c r="U58" s="809"/>
      <c r="V58" s="809"/>
      <c r="Y58" s="809"/>
      <c r="Z58" s="809"/>
      <c r="AA58" s="809" t="s">
        <v>14461</v>
      </c>
      <c r="AB58" s="39" t="str">
        <f t="shared" si="1"/>
        <v>david.miller@wyoleg.gov</v>
      </c>
    </row>
    <row r="59">
      <c r="A59" s="14" t="s">
        <v>44</v>
      </c>
      <c r="B59" s="31">
        <v>56.0</v>
      </c>
      <c r="C59" s="35" t="s">
        <v>2105</v>
      </c>
      <c r="D59" s="35" t="s">
        <v>14463</v>
      </c>
      <c r="E59" s="51" t="s">
        <v>53</v>
      </c>
      <c r="F59" s="810"/>
      <c r="G59" s="52" t="s">
        <v>14465</v>
      </c>
      <c r="H59" s="14" t="s">
        <v>14415</v>
      </c>
      <c r="I59" s="52" t="s">
        <v>14447</v>
      </c>
      <c r="J59" s="14" t="s">
        <v>14466</v>
      </c>
      <c r="K59" s="52" t="s">
        <v>14468</v>
      </c>
      <c r="L59" s="52" t="s">
        <v>14469</v>
      </c>
      <c r="R59" s="812"/>
      <c r="S59" s="812"/>
      <c r="T59" s="812"/>
      <c r="U59" s="812"/>
      <c r="V59" s="812"/>
      <c r="Y59" s="812"/>
      <c r="Z59" s="812"/>
      <c r="AA59" s="812" t="s">
        <v>14470</v>
      </c>
      <c r="AB59" s="39" t="str">
        <f t="shared" si="1"/>
        <v>jerry.obermueller@wyoleg.gov</v>
      </c>
    </row>
    <row r="60">
      <c r="A60" s="14" t="s">
        <v>44</v>
      </c>
      <c r="B60" s="31">
        <v>57.0</v>
      </c>
      <c r="C60" s="35" t="s">
        <v>177</v>
      </c>
      <c r="D60" s="35" t="s">
        <v>658</v>
      </c>
      <c r="E60" s="51" t="s">
        <v>53</v>
      </c>
      <c r="F60" s="810"/>
      <c r="G60" s="52" t="s">
        <v>14380</v>
      </c>
      <c r="H60" s="14" t="s">
        <v>14472</v>
      </c>
      <c r="I60" s="52" t="s">
        <v>14165</v>
      </c>
      <c r="R60" s="812"/>
      <c r="S60" s="812"/>
      <c r="T60" s="812"/>
      <c r="U60" s="812"/>
      <c r="V60" s="812"/>
      <c r="Y60" s="812"/>
      <c r="Z60" s="812"/>
      <c r="AA60" s="812" t="s">
        <v>14474</v>
      </c>
      <c r="AB60" s="39" t="str">
        <f t="shared" si="1"/>
        <v>chuck.gray@wyoleg.gov</v>
      </c>
    </row>
    <row r="61">
      <c r="A61" s="14" t="s">
        <v>44</v>
      </c>
      <c r="B61" s="31">
        <v>58.0</v>
      </c>
      <c r="C61" s="35" t="s">
        <v>2570</v>
      </c>
      <c r="D61" s="35" t="s">
        <v>5661</v>
      </c>
      <c r="E61" s="51" t="s">
        <v>53</v>
      </c>
      <c r="F61" s="810"/>
      <c r="G61" s="52" t="s">
        <v>14447</v>
      </c>
      <c r="H61" s="52" t="s">
        <v>14235</v>
      </c>
      <c r="I61" s="52" t="s">
        <v>14468</v>
      </c>
      <c r="J61" s="52" t="s">
        <v>14366</v>
      </c>
      <c r="K61" s="52" t="s">
        <v>14374</v>
      </c>
      <c r="R61" s="809"/>
      <c r="S61" s="809"/>
      <c r="T61" s="809"/>
      <c r="U61" s="809"/>
      <c r="V61" s="809"/>
      <c r="Y61" s="809"/>
      <c r="Z61" s="809"/>
      <c r="AA61" s="809" t="s">
        <v>14475</v>
      </c>
      <c r="AB61" s="39" t="str">
        <f t="shared" si="1"/>
        <v>pat.sweeney@wyoleg.gov</v>
      </c>
    </row>
    <row r="62">
      <c r="A62" s="14" t="s">
        <v>44</v>
      </c>
      <c r="B62" s="31">
        <v>59.0</v>
      </c>
      <c r="C62" s="35" t="s">
        <v>14477</v>
      </c>
      <c r="D62" s="35" t="s">
        <v>14479</v>
      </c>
      <c r="E62" s="51" t="s">
        <v>53</v>
      </c>
      <c r="F62" s="810"/>
      <c r="G62" s="52" t="s">
        <v>14480</v>
      </c>
      <c r="H62" s="52" t="s">
        <v>14217</v>
      </c>
      <c r="I62" s="52" t="s">
        <v>14481</v>
      </c>
      <c r="J62" s="52" t="s">
        <v>14482</v>
      </c>
      <c r="R62" s="812"/>
      <c r="S62" s="812"/>
      <c r="T62" s="812"/>
      <c r="U62" s="812"/>
      <c r="V62" s="812"/>
      <c r="Y62" s="812"/>
      <c r="Z62" s="812"/>
      <c r="AA62" s="812" t="s">
        <v>14483</v>
      </c>
      <c r="AB62" s="39" t="str">
        <f t="shared" si="1"/>
        <v>bunky.loucks@wyoleg.gov</v>
      </c>
    </row>
    <row r="63">
      <c r="A63" s="14" t="s">
        <v>44</v>
      </c>
      <c r="B63" s="31">
        <v>60.0</v>
      </c>
      <c r="C63" s="35" t="s">
        <v>278</v>
      </c>
      <c r="D63" s="35" t="s">
        <v>4879</v>
      </c>
      <c r="E63" s="36" t="s">
        <v>49</v>
      </c>
      <c r="F63" s="811" t="s">
        <v>2029</v>
      </c>
      <c r="G63" s="14" t="s">
        <v>14237</v>
      </c>
      <c r="H63" s="14" t="s">
        <v>14216</v>
      </c>
      <c r="I63" s="52" t="s">
        <v>14488</v>
      </c>
      <c r="J63" s="52" t="s">
        <v>14172</v>
      </c>
      <c r="K63" s="52" t="s">
        <v>14456</v>
      </c>
      <c r="R63" s="809"/>
      <c r="S63" s="809"/>
      <c r="T63" s="809"/>
      <c r="U63" s="809"/>
      <c r="V63" s="809"/>
      <c r="Y63" s="809"/>
      <c r="Z63" s="809"/>
      <c r="AA63" s="809" t="s">
        <v>14490</v>
      </c>
      <c r="AB63" s="39" t="str">
        <f t="shared" si="1"/>
        <v>john.freeman@wyoleg.gov</v>
      </c>
    </row>
    <row r="64">
      <c r="A64" s="70"/>
      <c r="B64" s="70"/>
      <c r="C64" s="71"/>
      <c r="D64" s="71"/>
      <c r="E64" s="70"/>
      <c r="F64" s="70"/>
      <c r="G64" s="70"/>
      <c r="H64" s="70"/>
      <c r="I64" s="70"/>
      <c r="J64" s="70"/>
      <c r="K64" s="70"/>
      <c r="L64" s="70"/>
      <c r="M64" s="70"/>
      <c r="N64" s="70"/>
      <c r="O64" s="70"/>
      <c r="P64" s="70"/>
      <c r="Q64" s="70"/>
      <c r="R64" s="70"/>
      <c r="S64" s="70"/>
      <c r="T64" s="70"/>
      <c r="U64" s="70"/>
      <c r="V64" s="70"/>
      <c r="W64" s="70"/>
      <c r="X64" s="70"/>
      <c r="Y64" s="70"/>
      <c r="Z64" s="70"/>
      <c r="AA64" s="70"/>
      <c r="AB64" s="70"/>
      <c r="AC64" s="70"/>
      <c r="AD64" s="70"/>
      <c r="AE64" s="70"/>
      <c r="AF64" s="70"/>
      <c r="AG64" s="70"/>
      <c r="AH64" s="70"/>
      <c r="AI64" s="70"/>
      <c r="AJ64" s="70"/>
      <c r="AK64" s="70"/>
      <c r="AL64" s="70"/>
      <c r="AM64" s="70"/>
      <c r="AN64" s="70"/>
      <c r="AO64" s="70"/>
      <c r="AP64" s="70"/>
      <c r="AQ64" s="70"/>
      <c r="AR64" s="70"/>
      <c r="AS64" s="70"/>
      <c r="AT64" s="70"/>
      <c r="AU64" s="70"/>
      <c r="AV64" s="70"/>
      <c r="AW64" s="70"/>
    </row>
    <row r="65">
      <c r="A65" s="14" t="s">
        <v>286</v>
      </c>
      <c r="B65" s="31">
        <v>1.0</v>
      </c>
      <c r="C65" s="35" t="s">
        <v>14493</v>
      </c>
      <c r="D65" s="35" t="s">
        <v>14494</v>
      </c>
      <c r="E65" s="51" t="s">
        <v>53</v>
      </c>
      <c r="F65" s="399" t="s">
        <v>14495</v>
      </c>
      <c r="G65" s="818" t="s">
        <v>14496</v>
      </c>
      <c r="H65" s="52" t="s">
        <v>14499</v>
      </c>
      <c r="I65" s="14" t="s">
        <v>14500</v>
      </c>
      <c r="J65" s="52" t="s">
        <v>14301</v>
      </c>
      <c r="K65" s="52" t="s">
        <v>14172</v>
      </c>
      <c r="L65" s="52" t="s">
        <v>14501</v>
      </c>
      <c r="AB65" s="39" t="str">
        <f t="shared" ref="AB65:AB94" si="2">Concatenate(Lower(C65),".",Lower(D65),"@wyoleg.gov")</f>
        <v>ogden.driskill@wyoleg.gov</v>
      </c>
    </row>
    <row r="66">
      <c r="A66" s="14" t="s">
        <v>286</v>
      </c>
      <c r="B66" s="31">
        <v>2.0</v>
      </c>
      <c r="C66" s="35" t="s">
        <v>1331</v>
      </c>
      <c r="D66" s="35" t="s">
        <v>14503</v>
      </c>
      <c r="E66" s="51" t="s">
        <v>53</v>
      </c>
      <c r="F66" s="200"/>
      <c r="G66" s="819" t="s">
        <v>14422</v>
      </c>
      <c r="H66" s="52" t="s">
        <v>14504</v>
      </c>
      <c r="I66" s="52" t="s">
        <v>14505</v>
      </c>
      <c r="J66" s="52" t="s">
        <v>14506</v>
      </c>
      <c r="K66" s="52" t="s">
        <v>14301</v>
      </c>
      <c r="L66" s="52" t="s">
        <v>14507</v>
      </c>
      <c r="M66" s="52" t="s">
        <v>14508</v>
      </c>
      <c r="N66" s="52" t="s">
        <v>14509</v>
      </c>
      <c r="AB66" s="39" t="str">
        <f t="shared" si="2"/>
        <v>brian.boner@wyoleg.gov</v>
      </c>
    </row>
    <row r="67">
      <c r="A67" s="14" t="s">
        <v>286</v>
      </c>
      <c r="B67" s="31">
        <v>3.0</v>
      </c>
      <c r="C67" s="213" t="s">
        <v>4706</v>
      </c>
      <c r="D67" s="213" t="s">
        <v>14188</v>
      </c>
      <c r="E67" s="51" t="s">
        <v>53</v>
      </c>
      <c r="F67" s="200"/>
      <c r="G67" s="31"/>
      <c r="AB67" s="39" t="str">
        <f t="shared" si="2"/>
        <v>cheri.steinmetz@wyoleg.gov</v>
      </c>
    </row>
    <row r="68">
      <c r="A68" s="14" t="s">
        <v>286</v>
      </c>
      <c r="B68" s="31">
        <v>4.0</v>
      </c>
      <c r="C68" s="35" t="s">
        <v>14512</v>
      </c>
      <c r="D68" s="35" t="s">
        <v>14515</v>
      </c>
      <c r="E68" s="51" t="s">
        <v>53</v>
      </c>
      <c r="F68" s="200"/>
      <c r="G68" s="818" t="s">
        <v>14415</v>
      </c>
      <c r="H68" s="52" t="s">
        <v>14516</v>
      </c>
      <c r="I68" s="14" t="s">
        <v>14517</v>
      </c>
      <c r="J68" s="52" t="s">
        <v>14518</v>
      </c>
      <c r="K68" s="52" t="s">
        <v>14519</v>
      </c>
      <c r="L68" s="52" t="s">
        <v>14520</v>
      </c>
      <c r="M68" s="52" t="s">
        <v>14521</v>
      </c>
      <c r="AB68" s="39" t="str">
        <f t="shared" si="2"/>
        <v>tara.nethercott@wyoleg.gov</v>
      </c>
    </row>
    <row r="69">
      <c r="A69" s="14" t="s">
        <v>286</v>
      </c>
      <c r="B69" s="31">
        <v>5.0</v>
      </c>
      <c r="C69" s="38" t="s">
        <v>66</v>
      </c>
      <c r="D69" s="38" t="s">
        <v>12572</v>
      </c>
      <c r="E69" s="51" t="s">
        <v>53</v>
      </c>
      <c r="F69" s="31"/>
      <c r="G69" s="31"/>
      <c r="AB69" s="39" t="str">
        <f t="shared" si="2"/>
        <v>lynn.hutchings@wyoleg.gov</v>
      </c>
    </row>
    <row r="70">
      <c r="A70" s="14" t="s">
        <v>286</v>
      </c>
      <c r="B70" s="31">
        <v>6.0</v>
      </c>
      <c r="C70" s="35" t="s">
        <v>496</v>
      </c>
      <c r="D70" s="35" t="s">
        <v>14522</v>
      </c>
      <c r="E70" s="51" t="s">
        <v>53</v>
      </c>
      <c r="F70" s="200"/>
      <c r="G70" s="164" t="s">
        <v>14525</v>
      </c>
      <c r="H70" s="52" t="s">
        <v>14526</v>
      </c>
      <c r="I70" s="52" t="s">
        <v>14527</v>
      </c>
      <c r="J70" s="52" t="s">
        <v>14203</v>
      </c>
      <c r="K70" s="52" t="s">
        <v>14528</v>
      </c>
      <c r="L70" s="52" t="s">
        <v>14308</v>
      </c>
      <c r="AB70" s="39" t="str">
        <f t="shared" si="2"/>
        <v>anthony.bouchard@wyoleg.gov</v>
      </c>
    </row>
    <row r="71">
      <c r="A71" s="14" t="s">
        <v>286</v>
      </c>
      <c r="B71" s="31">
        <v>7.0</v>
      </c>
      <c r="C71" s="35" t="s">
        <v>7029</v>
      </c>
      <c r="D71" s="35" t="s">
        <v>8654</v>
      </c>
      <c r="E71" s="51" t="s">
        <v>53</v>
      </c>
      <c r="F71" s="31"/>
      <c r="G71" s="819" t="s">
        <v>14529</v>
      </c>
      <c r="H71" s="14" t="s">
        <v>14530</v>
      </c>
      <c r="I71" s="52" t="s">
        <v>14172</v>
      </c>
      <c r="J71" s="52" t="s">
        <v>14531</v>
      </c>
      <c r="K71" s="52" t="s">
        <v>14532</v>
      </c>
      <c r="L71" s="52" t="s">
        <v>14533</v>
      </c>
      <c r="M71" s="52" t="s">
        <v>14534</v>
      </c>
      <c r="N71" s="52" t="s">
        <v>14535</v>
      </c>
      <c r="O71" s="52" t="s">
        <v>14536</v>
      </c>
      <c r="AB71" s="39" t="str">
        <f t="shared" si="2"/>
        <v>stephan.pappas@wyoleg.gov</v>
      </c>
    </row>
    <row r="72">
      <c r="A72" s="14" t="s">
        <v>286</v>
      </c>
      <c r="B72" s="31">
        <v>8.0</v>
      </c>
      <c r="C72" s="35" t="s">
        <v>14537</v>
      </c>
      <c r="D72" s="35" t="s">
        <v>451</v>
      </c>
      <c r="E72" s="51" t="s">
        <v>53</v>
      </c>
      <c r="F72" s="31"/>
      <c r="G72" s="164" t="s">
        <v>14530</v>
      </c>
      <c r="H72" s="14" t="s">
        <v>14540</v>
      </c>
      <c r="I72" s="52" t="s">
        <v>14342</v>
      </c>
      <c r="J72" s="52" t="s">
        <v>14391</v>
      </c>
      <c r="K72" s="52" t="s">
        <v>14541</v>
      </c>
      <c r="AB72" s="39" t="str">
        <f t="shared" si="2"/>
        <v>affie.ellis@wyoleg.gov</v>
      </c>
    </row>
    <row r="73">
      <c r="A73" s="14" t="s">
        <v>286</v>
      </c>
      <c r="B73" s="31">
        <v>9.0</v>
      </c>
      <c r="C73" s="35" t="s">
        <v>173</v>
      </c>
      <c r="D73" s="35" t="s">
        <v>14543</v>
      </c>
      <c r="E73" s="36" t="s">
        <v>49</v>
      </c>
      <c r="F73" s="818" t="s">
        <v>14544</v>
      </c>
      <c r="G73" s="399" t="s">
        <v>14545</v>
      </c>
      <c r="H73" s="14" t="s">
        <v>14530</v>
      </c>
      <c r="I73" s="52" t="s">
        <v>14546</v>
      </c>
      <c r="J73" s="14" t="s">
        <v>14547</v>
      </c>
      <c r="K73" s="14" t="s">
        <v>14548</v>
      </c>
      <c r="L73" s="52" t="s">
        <v>14208</v>
      </c>
      <c r="M73" s="52" t="s">
        <v>14549</v>
      </c>
      <c r="N73" s="52" t="s">
        <v>14550</v>
      </c>
      <c r="O73" s="52" t="s">
        <v>14172</v>
      </c>
      <c r="P73" s="52" t="s">
        <v>14552</v>
      </c>
      <c r="Q73" s="52" t="s">
        <v>14553</v>
      </c>
      <c r="R73" s="52" t="s">
        <v>14376</v>
      </c>
      <c r="S73" s="52" t="s">
        <v>14242</v>
      </c>
      <c r="AB73" s="39" t="str">
        <f t="shared" si="2"/>
        <v>chris.rothfuss@wyoleg.gov</v>
      </c>
    </row>
    <row r="74">
      <c r="A74" s="14" t="s">
        <v>286</v>
      </c>
      <c r="B74" s="31">
        <v>10.0</v>
      </c>
      <c r="C74" s="35" t="s">
        <v>3589</v>
      </c>
      <c r="D74" s="35" t="s">
        <v>14555</v>
      </c>
      <c r="E74" s="51" t="s">
        <v>53</v>
      </c>
      <c r="F74" s="31"/>
      <c r="G74" s="819" t="s">
        <v>14556</v>
      </c>
      <c r="H74" s="52" t="s">
        <v>14557</v>
      </c>
      <c r="I74" s="52" t="s">
        <v>14558</v>
      </c>
      <c r="J74" s="14" t="s">
        <v>14225</v>
      </c>
      <c r="K74" s="52" t="s">
        <v>14559</v>
      </c>
      <c r="AB74" s="39" t="str">
        <f t="shared" si="2"/>
        <v>glenn.moniz@wyoleg.gov</v>
      </c>
    </row>
    <row r="75">
      <c r="A75" s="14" t="s">
        <v>286</v>
      </c>
      <c r="B75" s="31">
        <v>11.0</v>
      </c>
      <c r="C75" s="204" t="s">
        <v>839</v>
      </c>
      <c r="D75" s="204" t="s">
        <v>8268</v>
      </c>
      <c r="E75" s="51" t="s">
        <v>53</v>
      </c>
      <c r="F75" s="200"/>
      <c r="G75" s="164" t="s">
        <v>14562</v>
      </c>
      <c r="H75" s="52" t="s">
        <v>14455</v>
      </c>
      <c r="I75" s="14" t="s">
        <v>14563</v>
      </c>
      <c r="J75" s="52" t="s">
        <v>14419</v>
      </c>
      <c r="K75" s="52" t="s">
        <v>14564</v>
      </c>
      <c r="AB75" s="39" t="str">
        <f t="shared" si="2"/>
        <v>larry.hicks@wyoleg.gov</v>
      </c>
    </row>
    <row r="76">
      <c r="A76" s="14" t="s">
        <v>286</v>
      </c>
      <c r="B76" s="31">
        <v>12.0</v>
      </c>
      <c r="C76" s="38" t="s">
        <v>432</v>
      </c>
      <c r="D76" s="38" t="s">
        <v>14565</v>
      </c>
      <c r="E76" s="36" t="s">
        <v>49</v>
      </c>
      <c r="F76" s="399" t="s">
        <v>14566</v>
      </c>
      <c r="G76" s="399" t="s">
        <v>14517</v>
      </c>
      <c r="H76" s="14" t="s">
        <v>14547</v>
      </c>
      <c r="I76" s="52" t="s">
        <v>14558</v>
      </c>
      <c r="J76" s="52" t="s">
        <v>14567</v>
      </c>
      <c r="K76" s="52" t="s">
        <v>14342</v>
      </c>
      <c r="L76" s="52" t="s">
        <v>14563</v>
      </c>
      <c r="M76" s="52" t="s">
        <v>14443</v>
      </c>
      <c r="AB76" s="39" t="str">
        <f t="shared" si="2"/>
        <v>lisa.anselmi-dalton@wyoleg.gov</v>
      </c>
    </row>
    <row r="77">
      <c r="A77" s="14" t="s">
        <v>286</v>
      </c>
      <c r="B77" s="31">
        <v>13.0</v>
      </c>
      <c r="C77" s="213" t="s">
        <v>338</v>
      </c>
      <c r="D77" s="213" t="s">
        <v>930</v>
      </c>
      <c r="E77" s="36" t="s">
        <v>49</v>
      </c>
      <c r="F77" s="200"/>
      <c r="G77" s="31"/>
      <c r="AB77" s="39" t="str">
        <f t="shared" si="2"/>
        <v>tom.james@wyoleg.gov</v>
      </c>
    </row>
    <row r="78">
      <c r="A78" s="14" t="s">
        <v>286</v>
      </c>
      <c r="B78" s="31">
        <v>14.0</v>
      </c>
      <c r="C78" s="35" t="s">
        <v>1242</v>
      </c>
      <c r="D78" s="35" t="s">
        <v>725</v>
      </c>
      <c r="E78" s="51" t="s">
        <v>53</v>
      </c>
      <c r="F78" s="200"/>
      <c r="G78" s="818" t="s">
        <v>14568</v>
      </c>
      <c r="H78" s="52" t="s">
        <v>14526</v>
      </c>
      <c r="I78" s="14" t="s">
        <v>14540</v>
      </c>
      <c r="J78" s="52" t="s">
        <v>14569</v>
      </c>
      <c r="K78" s="52" t="s">
        <v>14570</v>
      </c>
      <c r="L78" s="52" t="s">
        <v>14332</v>
      </c>
      <c r="M78" s="52" t="s">
        <v>14571</v>
      </c>
      <c r="N78" s="52" t="s">
        <v>14334</v>
      </c>
      <c r="O78" s="52" t="s">
        <v>14572</v>
      </c>
      <c r="P78" s="52" t="s">
        <v>14573</v>
      </c>
      <c r="AB78" s="39" t="str">
        <f t="shared" si="2"/>
        <v>fred.baldwin@wyoleg.gov</v>
      </c>
    </row>
    <row r="79">
      <c r="A79" s="14" t="s">
        <v>286</v>
      </c>
      <c r="B79" s="31">
        <v>15.0</v>
      </c>
      <c r="C79" s="38" t="s">
        <v>1725</v>
      </c>
      <c r="D79" s="38" t="s">
        <v>14574</v>
      </c>
      <c r="E79" s="51" t="s">
        <v>53</v>
      </c>
      <c r="F79" s="200"/>
      <c r="G79" s="31"/>
      <c r="AB79" s="39" t="str">
        <f t="shared" si="2"/>
        <v>wendy.schuler@wyoleg.gov</v>
      </c>
    </row>
    <row r="80">
      <c r="A80" s="14" t="s">
        <v>286</v>
      </c>
      <c r="B80" s="31">
        <v>16.0</v>
      </c>
      <c r="C80" s="38" t="s">
        <v>239</v>
      </c>
      <c r="D80" s="38" t="s">
        <v>14575</v>
      </c>
      <c r="E80" s="51" t="s">
        <v>53</v>
      </c>
      <c r="F80" s="818" t="s">
        <v>176</v>
      </c>
      <c r="G80" s="819" t="s">
        <v>14576</v>
      </c>
      <c r="H80" s="14" t="s">
        <v>14577</v>
      </c>
      <c r="I80" s="52" t="s">
        <v>14301</v>
      </c>
      <c r="J80" s="14" t="s">
        <v>14225</v>
      </c>
      <c r="K80" s="52" t="s">
        <v>14578</v>
      </c>
      <c r="L80" s="52" t="s">
        <v>14579</v>
      </c>
      <c r="AB80" s="39" t="str">
        <f t="shared" si="2"/>
        <v>dan.dockstader@wyoleg.gov</v>
      </c>
    </row>
    <row r="81">
      <c r="A81" s="14" t="s">
        <v>286</v>
      </c>
      <c r="B81" s="31">
        <v>17.0</v>
      </c>
      <c r="C81" s="213" t="s">
        <v>157</v>
      </c>
      <c r="D81" s="213" t="s">
        <v>14580</v>
      </c>
      <c r="E81" s="36" t="s">
        <v>49</v>
      </c>
      <c r="F81" s="399" t="s">
        <v>12909</v>
      </c>
      <c r="G81" s="31"/>
      <c r="AB81" s="39" t="str">
        <f t="shared" si="2"/>
        <v>mike.gierau@wyoleg.gov</v>
      </c>
    </row>
    <row r="82">
      <c r="A82" s="14" t="s">
        <v>286</v>
      </c>
      <c r="B82" s="31">
        <v>18.0</v>
      </c>
      <c r="C82" s="35" t="s">
        <v>4760</v>
      </c>
      <c r="D82" s="35" t="s">
        <v>14581</v>
      </c>
      <c r="E82" s="51" t="s">
        <v>53</v>
      </c>
      <c r="F82" s="200"/>
      <c r="G82" s="818" t="s">
        <v>14582</v>
      </c>
      <c r="H82" s="52" t="s">
        <v>14583</v>
      </c>
      <c r="I82" s="52" t="s">
        <v>14287</v>
      </c>
      <c r="J82" s="52" t="s">
        <v>14584</v>
      </c>
      <c r="K82" s="52" t="s">
        <v>14585</v>
      </c>
      <c r="L82" s="52" t="s">
        <v>14256</v>
      </c>
      <c r="AB82" s="39" t="str">
        <f t="shared" si="2"/>
        <v>hank.coe@wyoleg.gov</v>
      </c>
    </row>
    <row r="83">
      <c r="A83" s="14" t="s">
        <v>286</v>
      </c>
      <c r="B83" s="31">
        <v>19.0</v>
      </c>
      <c r="C83" s="38" t="s">
        <v>391</v>
      </c>
      <c r="D83" s="38" t="s">
        <v>14586</v>
      </c>
      <c r="E83" s="51" t="s">
        <v>53</v>
      </c>
      <c r="F83" s="200"/>
      <c r="G83" s="200"/>
      <c r="AB83" s="39" t="str">
        <f t="shared" si="2"/>
        <v>r.kost@wyoleg.gov</v>
      </c>
    </row>
    <row r="84">
      <c r="A84" s="14" t="s">
        <v>286</v>
      </c>
      <c r="B84" s="31">
        <v>20.0</v>
      </c>
      <c r="C84" s="35" t="s">
        <v>14587</v>
      </c>
      <c r="D84" s="35" t="s">
        <v>14589</v>
      </c>
      <c r="E84" s="51" t="s">
        <v>53</v>
      </c>
      <c r="F84" s="200"/>
      <c r="G84" s="164" t="s">
        <v>14562</v>
      </c>
      <c r="H84" s="52" t="s">
        <v>14590</v>
      </c>
      <c r="I84" s="52" t="s">
        <v>14591</v>
      </c>
      <c r="J84" s="52" t="s">
        <v>14592</v>
      </c>
      <c r="AB84" s="39" t="str">
        <f t="shared" si="2"/>
        <v>wyatt.agar@wyoleg.gov</v>
      </c>
    </row>
    <row r="85">
      <c r="A85" s="14" t="s">
        <v>286</v>
      </c>
      <c r="B85" s="31">
        <v>21.0</v>
      </c>
      <c r="C85" s="213" t="s">
        <v>12520</v>
      </c>
      <c r="D85" s="213" t="s">
        <v>14593</v>
      </c>
      <c r="E85" s="51" t="s">
        <v>53</v>
      </c>
      <c r="F85" s="200"/>
      <c r="G85" s="200"/>
      <c r="AB85" s="39" t="str">
        <f t="shared" si="2"/>
        <v>bo.biteman@wyoleg.gov</v>
      </c>
    </row>
    <row r="86">
      <c r="A86" s="14" t="s">
        <v>286</v>
      </c>
      <c r="B86" s="31">
        <v>22.0</v>
      </c>
      <c r="C86" s="35" t="s">
        <v>76</v>
      </c>
      <c r="D86" s="35" t="s">
        <v>14595</v>
      </c>
      <c r="E86" s="51" t="s">
        <v>53</v>
      </c>
      <c r="F86" s="31"/>
      <c r="G86" s="819" t="s">
        <v>14596</v>
      </c>
      <c r="H86" s="14" t="s">
        <v>14562</v>
      </c>
      <c r="I86" s="52" t="s">
        <v>14249</v>
      </c>
      <c r="J86" s="52" t="s">
        <v>14239</v>
      </c>
      <c r="K86" s="52" t="s">
        <v>14597</v>
      </c>
      <c r="L86" s="52" t="s">
        <v>14214</v>
      </c>
      <c r="AB86" s="39" t="str">
        <f t="shared" si="2"/>
        <v>dave.kinskey@wyoleg.gov</v>
      </c>
    </row>
    <row r="87">
      <c r="A87" s="14" t="s">
        <v>286</v>
      </c>
      <c r="B87" s="31">
        <v>23.0</v>
      </c>
      <c r="C87" s="35" t="s">
        <v>683</v>
      </c>
      <c r="D87" s="35" t="s">
        <v>14598</v>
      </c>
      <c r="E87" s="51" t="s">
        <v>53</v>
      </c>
      <c r="F87" s="200"/>
      <c r="G87" s="818" t="s">
        <v>14599</v>
      </c>
      <c r="H87" s="52" t="s">
        <v>14600</v>
      </c>
      <c r="I87" s="52" t="s">
        <v>14601</v>
      </c>
      <c r="J87" s="14" t="s">
        <v>14289</v>
      </c>
      <c r="K87" s="52" t="s">
        <v>14602</v>
      </c>
      <c r="L87" s="52" t="s">
        <v>14291</v>
      </c>
      <c r="AB87" s="39" t="str">
        <f t="shared" si="2"/>
        <v>jeff.wasserburger@wyoleg.gov</v>
      </c>
    </row>
    <row r="88">
      <c r="A88" s="14" t="s">
        <v>286</v>
      </c>
      <c r="B88" s="31">
        <v>24.0</v>
      </c>
      <c r="C88" s="35" t="s">
        <v>2490</v>
      </c>
      <c r="D88" s="38" t="s">
        <v>14604</v>
      </c>
      <c r="E88" s="51" t="s">
        <v>53</v>
      </c>
      <c r="F88" s="31"/>
      <c r="G88" s="819" t="s">
        <v>14605</v>
      </c>
      <c r="H88" s="52" t="s">
        <v>14606</v>
      </c>
      <c r="I88" s="14" t="s">
        <v>14237</v>
      </c>
      <c r="J88" s="14" t="s">
        <v>14517</v>
      </c>
      <c r="K88" s="52" t="s">
        <v>14316</v>
      </c>
      <c r="L88" s="52" t="s">
        <v>14607</v>
      </c>
      <c r="M88" s="52" t="s">
        <v>14323</v>
      </c>
      <c r="N88" s="14" t="s">
        <v>14256</v>
      </c>
      <c r="O88" s="52" t="s">
        <v>14608</v>
      </c>
      <c r="P88" s="52" t="s">
        <v>14609</v>
      </c>
      <c r="Q88" s="52" t="s">
        <v>14280</v>
      </c>
      <c r="R88" s="52" t="s">
        <v>14242</v>
      </c>
      <c r="AB88" s="39" t="str">
        <f t="shared" si="2"/>
        <v>michael.vonflatern@wyoleg.gov</v>
      </c>
    </row>
    <row r="89">
      <c r="A89" s="14" t="s">
        <v>286</v>
      </c>
      <c r="B89" s="31">
        <v>25.0</v>
      </c>
      <c r="C89" s="204" t="s">
        <v>14610</v>
      </c>
      <c r="D89" s="204" t="s">
        <v>2581</v>
      </c>
      <c r="E89" s="51" t="s">
        <v>53</v>
      </c>
      <c r="F89" s="200"/>
      <c r="G89" s="399" t="s">
        <v>14611</v>
      </c>
      <c r="H89" s="52" t="s">
        <v>14612</v>
      </c>
      <c r="I89" s="52" t="s">
        <v>14452</v>
      </c>
      <c r="J89" s="52" t="s">
        <v>14613</v>
      </c>
      <c r="K89" s="52" t="s">
        <v>14614</v>
      </c>
      <c r="L89" s="14" t="s">
        <v>14591</v>
      </c>
      <c r="AB89" s="39" t="str">
        <f t="shared" si="2"/>
        <v>cale.case@wyoleg.gov</v>
      </c>
    </row>
    <row r="90">
      <c r="A90" s="14" t="s">
        <v>286</v>
      </c>
      <c r="B90" s="31">
        <v>26.0</v>
      </c>
      <c r="C90" s="35" t="s">
        <v>3458</v>
      </c>
      <c r="D90" s="35" t="s">
        <v>14616</v>
      </c>
      <c r="E90" s="51" t="s">
        <v>53</v>
      </c>
      <c r="F90" s="200"/>
      <c r="G90" s="818" t="s">
        <v>14617</v>
      </c>
      <c r="H90" s="52" t="s">
        <v>14618</v>
      </c>
      <c r="I90" s="52" t="s">
        <v>14619</v>
      </c>
      <c r="J90" s="52" t="s">
        <v>14620</v>
      </c>
      <c r="K90" s="52" t="s">
        <v>14621</v>
      </c>
      <c r="L90" s="52" t="s">
        <v>14225</v>
      </c>
      <c r="M90" s="52" t="s">
        <v>14622</v>
      </c>
      <c r="N90" s="52" t="s">
        <v>14623</v>
      </c>
      <c r="O90" s="14" t="s">
        <v>14624</v>
      </c>
      <c r="P90" s="52" t="s">
        <v>14625</v>
      </c>
      <c r="Q90" s="52" t="s">
        <v>14374</v>
      </c>
      <c r="R90" s="52" t="s">
        <v>14626</v>
      </c>
      <c r="S90" s="52" t="s">
        <v>14375</v>
      </c>
      <c r="T90" s="52" t="s">
        <v>14627</v>
      </c>
      <c r="U90" s="52" t="s">
        <v>14628</v>
      </c>
      <c r="V90" s="52" t="s">
        <v>14242</v>
      </c>
      <c r="W90" s="52" t="s">
        <v>14242</v>
      </c>
      <c r="AB90" s="39" t="str">
        <f t="shared" si="2"/>
        <v>eli.bebout@wyoleg.gov</v>
      </c>
    </row>
    <row r="91">
      <c r="A91" s="14" t="s">
        <v>286</v>
      </c>
      <c r="B91" s="31">
        <v>27.0</v>
      </c>
      <c r="C91" s="35" t="s">
        <v>325</v>
      </c>
      <c r="D91" s="35" t="s">
        <v>14630</v>
      </c>
      <c r="E91" s="51" t="s">
        <v>53</v>
      </c>
      <c r="F91" s="200"/>
      <c r="G91" s="818" t="s">
        <v>14631</v>
      </c>
      <c r="H91" s="52" t="s">
        <v>14632</v>
      </c>
      <c r="I91" s="14" t="s">
        <v>14633</v>
      </c>
      <c r="J91" s="52" t="s">
        <v>14301</v>
      </c>
      <c r="K91" s="52" t="s">
        <v>14634</v>
      </c>
      <c r="L91" s="52" t="s">
        <v>14456</v>
      </c>
      <c r="M91" s="52" t="s">
        <v>14635</v>
      </c>
      <c r="AB91" s="39" t="str">
        <f t="shared" si="2"/>
        <v>bill.landen@wyoleg.gov</v>
      </c>
    </row>
    <row r="92">
      <c r="A92" s="14" t="s">
        <v>286</v>
      </c>
      <c r="B92" s="31">
        <v>28.0</v>
      </c>
      <c r="C92" s="38" t="s">
        <v>14636</v>
      </c>
      <c r="D92" s="35" t="s">
        <v>3961</v>
      </c>
      <c r="E92" s="51" t="s">
        <v>53</v>
      </c>
      <c r="F92" s="31"/>
      <c r="G92" s="819" t="s">
        <v>14637</v>
      </c>
      <c r="H92" s="52" t="s">
        <v>14638</v>
      </c>
      <c r="I92" s="52" t="s">
        <v>14639</v>
      </c>
      <c r="J92" s="52" t="s">
        <v>14531</v>
      </c>
      <c r="K92" s="52" t="s">
        <v>14366</v>
      </c>
      <c r="L92" s="14" t="s">
        <v>14256</v>
      </c>
      <c r="M92" s="52" t="s">
        <v>14250</v>
      </c>
      <c r="N92" s="52" t="s">
        <v>14640</v>
      </c>
      <c r="O92" s="52" t="s">
        <v>14641</v>
      </c>
      <c r="P92" s="52" t="s">
        <v>14642</v>
      </c>
      <c r="Q92" s="52" t="s">
        <v>14482</v>
      </c>
      <c r="AB92" s="39" t="str">
        <f t="shared" si="2"/>
        <v>jameslee.anderson@wyoleg.gov</v>
      </c>
    </row>
    <row r="93">
      <c r="A93" s="14" t="s">
        <v>286</v>
      </c>
      <c r="B93" s="31">
        <v>29.0</v>
      </c>
      <c r="C93" s="35" t="s">
        <v>4759</v>
      </c>
      <c r="D93" s="35" t="s">
        <v>6545</v>
      </c>
      <c r="E93" s="51" t="s">
        <v>53</v>
      </c>
      <c r="F93" s="819" t="s">
        <v>291</v>
      </c>
      <c r="G93" s="819" t="s">
        <v>14643</v>
      </c>
      <c r="H93" s="52" t="s">
        <v>14644</v>
      </c>
      <c r="I93" s="14" t="s">
        <v>14237</v>
      </c>
      <c r="J93" s="52" t="s">
        <v>14645</v>
      </c>
      <c r="K93" s="52" t="s">
        <v>14646</v>
      </c>
      <c r="L93" s="52" t="s">
        <v>14239</v>
      </c>
      <c r="M93" s="52" t="s">
        <v>14549</v>
      </c>
      <c r="N93" s="52" t="s">
        <v>14647</v>
      </c>
      <c r="O93" s="14" t="s">
        <v>14256</v>
      </c>
      <c r="P93" s="52" t="s">
        <v>14374</v>
      </c>
      <c r="Q93" s="52" t="s">
        <v>14648</v>
      </c>
      <c r="R93" s="52" t="s">
        <v>14459</v>
      </c>
      <c r="S93" s="52" t="s">
        <v>14649</v>
      </c>
      <c r="AB93" s="39" t="str">
        <f t="shared" si="2"/>
        <v>drew.perkins@wyoleg.gov</v>
      </c>
    </row>
    <row r="94">
      <c r="A94" s="14" t="s">
        <v>286</v>
      </c>
      <c r="B94" s="31">
        <v>30.0</v>
      </c>
      <c r="C94" s="35" t="s">
        <v>1287</v>
      </c>
      <c r="D94" s="35" t="s">
        <v>45</v>
      </c>
      <c r="E94" s="51" t="s">
        <v>53</v>
      </c>
      <c r="F94" s="31"/>
      <c r="G94" s="819" t="s">
        <v>14652</v>
      </c>
      <c r="H94" s="14" t="s">
        <v>14415</v>
      </c>
      <c r="I94" s="52" t="s">
        <v>14516</v>
      </c>
      <c r="J94" s="52" t="s">
        <v>14567</v>
      </c>
      <c r="K94" s="52" t="s">
        <v>14653</v>
      </c>
      <c r="L94" s="52" t="s">
        <v>14334</v>
      </c>
      <c r="AB94" s="39" t="str">
        <f t="shared" si="2"/>
        <v>charles.scott@wyoleg.gov</v>
      </c>
    </row>
    <row r="95">
      <c r="A95" s="70"/>
      <c r="B95" s="70"/>
      <c r="C95" s="71"/>
      <c r="D95" s="71"/>
      <c r="E95" s="70"/>
      <c r="F95" s="70"/>
      <c r="G95" s="70"/>
      <c r="H95" s="70"/>
      <c r="I95" s="70"/>
      <c r="J95" s="70"/>
      <c r="K95" s="70"/>
      <c r="L95" s="70"/>
      <c r="M95" s="70"/>
      <c r="N95" s="70"/>
      <c r="O95" s="70"/>
      <c r="P95" s="70"/>
      <c r="Q95" s="70"/>
      <c r="R95" s="70"/>
      <c r="S95" s="70"/>
      <c r="T95" s="70"/>
      <c r="U95" s="70"/>
      <c r="V95" s="70"/>
      <c r="W95" s="70"/>
      <c r="X95" s="70"/>
      <c r="Y95" s="70"/>
      <c r="Z95" s="70"/>
      <c r="AA95" s="70"/>
      <c r="AB95" s="70"/>
      <c r="AC95" s="70"/>
      <c r="AD95" s="70"/>
      <c r="AE95" s="70"/>
      <c r="AF95" s="70"/>
      <c r="AG95" s="70"/>
      <c r="AH95" s="70"/>
      <c r="AI95" s="70"/>
      <c r="AJ95" s="70"/>
      <c r="AK95" s="70"/>
      <c r="AL95" s="70"/>
      <c r="AM95" s="70"/>
      <c r="AN95" s="70"/>
      <c r="AO95" s="70"/>
      <c r="AP95" s="70"/>
      <c r="AQ95" s="70"/>
      <c r="AR95" s="70"/>
      <c r="AS95" s="70"/>
      <c r="AT95" s="70"/>
      <c r="AU95" s="70"/>
      <c r="AV95" s="70"/>
      <c r="AW95" s="70"/>
    </row>
    <row r="96">
      <c r="A96" s="14" t="s">
        <v>421</v>
      </c>
      <c r="C96" s="77" t="s">
        <v>91</v>
      </c>
      <c r="D96" s="77" t="s">
        <v>4142</v>
      </c>
      <c r="E96" s="51" t="s">
        <v>53</v>
      </c>
    </row>
    <row r="97">
      <c r="A97" s="70"/>
      <c r="B97" s="70"/>
      <c r="C97" s="71"/>
      <c r="D97" s="71"/>
      <c r="E97" s="70"/>
      <c r="F97" s="70"/>
      <c r="G97" s="70"/>
      <c r="H97" s="70"/>
      <c r="I97" s="70"/>
      <c r="J97" s="70"/>
      <c r="K97" s="70"/>
      <c r="L97" s="70"/>
      <c r="M97" s="70"/>
      <c r="N97" s="70"/>
      <c r="O97" s="70"/>
      <c r="P97" s="70"/>
      <c r="Q97" s="70"/>
      <c r="R97" s="70"/>
      <c r="S97" s="70"/>
      <c r="T97" s="70"/>
      <c r="U97" s="70"/>
      <c r="V97" s="70"/>
      <c r="W97" s="70"/>
      <c r="X97" s="70"/>
      <c r="Y97" s="70"/>
      <c r="Z97" s="70"/>
      <c r="AA97" s="70"/>
      <c r="AB97" s="70"/>
      <c r="AC97" s="70"/>
      <c r="AD97" s="70"/>
      <c r="AE97" s="70"/>
      <c r="AF97" s="70"/>
      <c r="AG97" s="70"/>
      <c r="AH97" s="70"/>
      <c r="AI97" s="70"/>
      <c r="AJ97" s="70"/>
      <c r="AK97" s="70"/>
      <c r="AL97" s="70"/>
      <c r="AM97" s="70"/>
      <c r="AN97" s="70"/>
      <c r="AO97" s="70"/>
      <c r="AP97" s="70"/>
      <c r="AQ97" s="70"/>
      <c r="AR97" s="70"/>
      <c r="AS97" s="70"/>
      <c r="AT97" s="70"/>
      <c r="AU97" s="70"/>
      <c r="AV97" s="70"/>
      <c r="AW97" s="70"/>
    </row>
    <row r="98">
      <c r="A98" s="14" t="s">
        <v>427</v>
      </c>
      <c r="B98" s="14">
        <v>1.0</v>
      </c>
      <c r="C98" s="77" t="s">
        <v>2680</v>
      </c>
      <c r="D98" s="77" t="s">
        <v>14654</v>
      </c>
      <c r="E98" s="51" t="s">
        <v>53</v>
      </c>
      <c r="G98" s="14" t="s">
        <v>14655</v>
      </c>
      <c r="H98" s="14" t="s">
        <v>14656</v>
      </c>
      <c r="I98" s="14" t="s">
        <v>14657</v>
      </c>
    </row>
    <row r="99">
      <c r="A99" s="70"/>
      <c r="B99" s="70"/>
      <c r="C99" s="71"/>
      <c r="D99" s="71"/>
      <c r="E99" s="70"/>
      <c r="F99" s="70"/>
      <c r="G99" s="70"/>
      <c r="H99" s="70"/>
      <c r="I99" s="70"/>
      <c r="J99" s="70"/>
      <c r="K99" s="70"/>
      <c r="L99" s="70"/>
      <c r="M99" s="70"/>
      <c r="N99" s="70"/>
      <c r="O99" s="70"/>
      <c r="P99" s="70"/>
      <c r="Q99" s="70"/>
      <c r="R99" s="70"/>
      <c r="S99" s="70"/>
      <c r="T99" s="70"/>
      <c r="U99" s="70"/>
      <c r="V99" s="70"/>
      <c r="W99" s="70"/>
      <c r="X99" s="70"/>
      <c r="Y99" s="70"/>
      <c r="Z99" s="70"/>
      <c r="AA99" s="70"/>
      <c r="AB99" s="70"/>
      <c r="AC99" s="70"/>
      <c r="AD99" s="70"/>
      <c r="AE99" s="70"/>
      <c r="AF99" s="70"/>
      <c r="AG99" s="70"/>
      <c r="AH99" s="70"/>
      <c r="AI99" s="70"/>
      <c r="AJ99" s="70"/>
      <c r="AK99" s="70"/>
      <c r="AL99" s="70"/>
      <c r="AM99" s="70"/>
      <c r="AN99" s="70"/>
      <c r="AO99" s="70"/>
      <c r="AP99" s="70"/>
      <c r="AQ99" s="70"/>
      <c r="AR99" s="70"/>
      <c r="AS99" s="70"/>
      <c r="AT99" s="70"/>
      <c r="AU99" s="70"/>
      <c r="AV99" s="70"/>
      <c r="AW99" s="70"/>
    </row>
    <row r="100">
      <c r="A100" s="14" t="s">
        <v>430</v>
      </c>
      <c r="B100" s="14" t="s">
        <v>431</v>
      </c>
      <c r="C100" s="77" t="s">
        <v>157</v>
      </c>
      <c r="D100" s="77" t="s">
        <v>14658</v>
      </c>
      <c r="E100" s="51" t="s">
        <v>53</v>
      </c>
    </row>
    <row r="101">
      <c r="A101" s="14" t="s">
        <v>430</v>
      </c>
      <c r="B101" s="14" t="s">
        <v>434</v>
      </c>
      <c r="C101" s="77" t="s">
        <v>278</v>
      </c>
      <c r="D101" s="77" t="s">
        <v>14659</v>
      </c>
      <c r="E101" s="51" t="s">
        <v>53</v>
      </c>
    </row>
    <row r="102">
      <c r="A102" s="70"/>
      <c r="B102" s="70"/>
      <c r="C102" s="71"/>
      <c r="D102" s="71"/>
      <c r="E102" s="70"/>
      <c r="F102" s="70"/>
      <c r="G102" s="70"/>
      <c r="H102" s="70"/>
      <c r="I102" s="70"/>
      <c r="J102" s="70"/>
      <c r="K102" s="70"/>
      <c r="L102" s="70"/>
      <c r="M102" s="70"/>
      <c r="N102" s="70"/>
      <c r="O102" s="70"/>
      <c r="P102" s="70"/>
      <c r="Q102" s="70"/>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70"/>
      <c r="AO102" s="70"/>
      <c r="AP102" s="70"/>
      <c r="AQ102" s="70"/>
      <c r="AR102" s="70"/>
      <c r="AS102" s="70"/>
      <c r="AT102" s="70"/>
      <c r="AU102" s="70"/>
      <c r="AV102" s="70"/>
      <c r="AW102" s="70"/>
    </row>
    <row r="103">
      <c r="A103" s="14" t="s">
        <v>438</v>
      </c>
      <c r="C103" s="77" t="s">
        <v>367</v>
      </c>
      <c r="D103" s="77" t="s">
        <v>2490</v>
      </c>
      <c r="E103" s="51" t="s">
        <v>53</v>
      </c>
    </row>
    <row r="104">
      <c r="A104" s="70"/>
      <c r="B104" s="70"/>
      <c r="C104" s="71"/>
      <c r="D104" s="71"/>
      <c r="E104" s="70"/>
      <c r="F104" s="70"/>
      <c r="G104" s="70"/>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70"/>
      <c r="AQ104" s="70"/>
      <c r="AR104" s="70"/>
      <c r="AS104" s="70"/>
      <c r="AT104" s="70"/>
      <c r="AU104" s="70"/>
      <c r="AV104" s="70"/>
      <c r="AW104" s="70"/>
    </row>
    <row r="105">
      <c r="C105" s="139"/>
      <c r="D105" s="139"/>
    </row>
    <row r="106">
      <c r="C106" s="139"/>
      <c r="D106" s="139"/>
    </row>
    <row r="107">
      <c r="C107" s="139"/>
      <c r="D107" s="139"/>
    </row>
    <row r="108">
      <c r="C108" s="139"/>
      <c r="D108" s="139"/>
    </row>
    <row r="109">
      <c r="C109" s="139"/>
      <c r="D109" s="139"/>
    </row>
    <row r="110">
      <c r="C110" s="139"/>
      <c r="D110" s="139"/>
    </row>
    <row r="111">
      <c r="C111" s="139"/>
      <c r="D111" s="139"/>
    </row>
    <row r="112">
      <c r="C112" s="139"/>
      <c r="D112" s="139"/>
    </row>
    <row r="113">
      <c r="C113" s="139"/>
      <c r="D113" s="139"/>
    </row>
    <row r="114">
      <c r="C114" s="139"/>
      <c r="D114" s="139"/>
    </row>
    <row r="115">
      <c r="C115" s="139"/>
      <c r="D115" s="139"/>
      <c r="G115" s="809"/>
    </row>
    <row r="116">
      <c r="C116" s="139"/>
      <c r="D116" s="139"/>
      <c r="G116" s="809"/>
    </row>
    <row r="117">
      <c r="C117" s="139"/>
      <c r="D117" s="139"/>
      <c r="G117" s="809"/>
    </row>
    <row r="118">
      <c r="C118" s="139"/>
      <c r="D118" s="139"/>
      <c r="G118" s="812"/>
    </row>
    <row r="119">
      <c r="C119" s="139"/>
      <c r="D119" s="139"/>
      <c r="G119" s="812"/>
    </row>
    <row r="120">
      <c r="C120" s="139"/>
      <c r="D120" s="139"/>
      <c r="G120" s="809"/>
    </row>
    <row r="121">
      <c r="C121" s="139"/>
      <c r="D121" s="139"/>
      <c r="G121" s="809"/>
    </row>
    <row r="122">
      <c r="C122" s="139"/>
      <c r="D122" s="139"/>
      <c r="G122" s="812"/>
    </row>
    <row r="123">
      <c r="C123" s="139"/>
      <c r="D123" s="139"/>
      <c r="G123" s="812"/>
    </row>
    <row r="124">
      <c r="C124" s="139"/>
      <c r="D124" s="139"/>
      <c r="G124" s="812"/>
    </row>
    <row r="125">
      <c r="C125" s="139"/>
      <c r="D125" s="139"/>
      <c r="G125" s="809"/>
    </row>
    <row r="126">
      <c r="C126" s="139"/>
      <c r="D126" s="139"/>
      <c r="G126" s="812"/>
    </row>
    <row r="127">
      <c r="C127" s="139"/>
      <c r="D127" s="139"/>
      <c r="G127" s="809"/>
    </row>
    <row r="128">
      <c r="C128" s="139"/>
      <c r="D128" s="139"/>
      <c r="G128" s="812"/>
    </row>
    <row r="129">
      <c r="C129" s="139"/>
      <c r="D129" s="139"/>
      <c r="G129" s="809"/>
    </row>
    <row r="130">
      <c r="C130" s="139"/>
      <c r="D130" s="139"/>
      <c r="G130" s="809"/>
    </row>
    <row r="131">
      <c r="C131" s="139"/>
      <c r="D131" s="139"/>
      <c r="G131" s="812"/>
    </row>
    <row r="132">
      <c r="C132" s="139"/>
      <c r="D132" s="139"/>
      <c r="G132" s="809"/>
    </row>
    <row r="133">
      <c r="C133" s="139"/>
      <c r="D133" s="139"/>
      <c r="G133" s="809"/>
    </row>
    <row r="134">
      <c r="C134" s="139"/>
      <c r="D134" s="139"/>
      <c r="G134" s="809"/>
    </row>
    <row r="135">
      <c r="C135" s="139"/>
      <c r="D135" s="139"/>
      <c r="G135" s="812"/>
    </row>
    <row r="136">
      <c r="C136" s="139"/>
      <c r="D136" s="139"/>
      <c r="G136" s="812"/>
    </row>
    <row r="137">
      <c r="C137" s="139"/>
      <c r="D137" s="139"/>
      <c r="G137" s="809"/>
    </row>
    <row r="138">
      <c r="C138" s="139"/>
      <c r="D138" s="139"/>
      <c r="G138" s="812"/>
    </row>
    <row r="139">
      <c r="C139" s="139"/>
      <c r="D139" s="139"/>
      <c r="G139" s="812"/>
    </row>
    <row r="140">
      <c r="C140" s="139"/>
      <c r="D140" s="139"/>
      <c r="G140" s="812"/>
    </row>
    <row r="141">
      <c r="C141" s="139"/>
      <c r="D141" s="139"/>
      <c r="G141" s="809"/>
    </row>
    <row r="142">
      <c r="C142" s="139"/>
      <c r="D142" s="139"/>
      <c r="G142" s="812"/>
    </row>
    <row r="143">
      <c r="C143" s="139"/>
      <c r="D143" s="139"/>
      <c r="G143" s="809"/>
    </row>
    <row r="144">
      <c r="C144" s="139"/>
      <c r="D144" s="139"/>
      <c r="G144" s="812"/>
    </row>
    <row r="145">
      <c r="C145" s="139"/>
      <c r="D145" s="139"/>
      <c r="G145" s="812"/>
    </row>
    <row r="146">
      <c r="C146" s="139"/>
      <c r="D146" s="139"/>
      <c r="G146" s="809"/>
    </row>
    <row r="147">
      <c r="C147" s="139"/>
      <c r="D147" s="139"/>
      <c r="G147" s="812"/>
    </row>
    <row r="148">
      <c r="C148" s="139"/>
      <c r="D148" s="139"/>
      <c r="G148" s="812"/>
    </row>
    <row r="149">
      <c r="C149" s="139"/>
      <c r="D149" s="139"/>
      <c r="G149" s="809"/>
    </row>
    <row r="150">
      <c r="C150" s="139"/>
      <c r="D150" s="139"/>
      <c r="G150" s="809"/>
    </row>
    <row r="151">
      <c r="C151" s="139"/>
      <c r="D151" s="139"/>
      <c r="G151" s="809"/>
    </row>
    <row r="152">
      <c r="C152" s="139"/>
      <c r="D152" s="139"/>
      <c r="G152" s="812"/>
    </row>
    <row r="153">
      <c r="C153" s="139"/>
      <c r="D153" s="139"/>
      <c r="G153" s="812"/>
    </row>
    <row r="154">
      <c r="C154" s="139"/>
      <c r="D154" s="139"/>
      <c r="G154" s="812"/>
    </row>
    <row r="155">
      <c r="C155" s="139"/>
      <c r="D155" s="139"/>
      <c r="G155" s="812"/>
    </row>
    <row r="156">
      <c r="C156" s="139"/>
      <c r="D156" s="139"/>
      <c r="G156" s="809"/>
    </row>
    <row r="157">
      <c r="C157" s="139"/>
      <c r="D157" s="139"/>
      <c r="G157" s="816"/>
    </row>
    <row r="158">
      <c r="C158" s="139"/>
      <c r="D158" s="139"/>
      <c r="G158" s="812"/>
    </row>
    <row r="159">
      <c r="C159" s="139"/>
      <c r="D159" s="139"/>
      <c r="G159" s="809"/>
    </row>
    <row r="160">
      <c r="C160" s="139"/>
      <c r="D160" s="139"/>
      <c r="G160" s="812"/>
    </row>
    <row r="161">
      <c r="C161" s="139"/>
      <c r="D161" s="139"/>
      <c r="G161" s="812"/>
    </row>
    <row r="162">
      <c r="C162" s="139"/>
      <c r="D162" s="139"/>
      <c r="G162" s="809"/>
    </row>
    <row r="163">
      <c r="C163" s="139"/>
      <c r="D163" s="139"/>
      <c r="G163" s="812"/>
    </row>
    <row r="164">
      <c r="C164" s="139"/>
      <c r="D164" s="139"/>
      <c r="G164" s="809"/>
    </row>
    <row r="165">
      <c r="C165" s="139"/>
      <c r="D165" s="139"/>
      <c r="G165" s="812"/>
    </row>
    <row r="166">
      <c r="C166" s="139"/>
      <c r="D166" s="139"/>
      <c r="G166" s="809"/>
    </row>
    <row r="167">
      <c r="C167" s="139"/>
      <c r="D167" s="139"/>
      <c r="G167" s="809"/>
    </row>
    <row r="168">
      <c r="C168" s="139"/>
      <c r="D168" s="139"/>
      <c r="G168" s="809"/>
    </row>
    <row r="169">
      <c r="C169" s="139"/>
      <c r="D169" s="139"/>
      <c r="G169" s="809"/>
    </row>
    <row r="170">
      <c r="C170" s="139"/>
      <c r="D170" s="139"/>
      <c r="G170" s="812"/>
    </row>
    <row r="171">
      <c r="C171" s="139"/>
      <c r="D171" s="139"/>
      <c r="G171" s="812"/>
    </row>
    <row r="172">
      <c r="C172" s="139"/>
      <c r="D172" s="139"/>
      <c r="G172" s="809"/>
    </row>
    <row r="173">
      <c r="C173" s="139"/>
      <c r="D173" s="139"/>
      <c r="G173" s="812"/>
    </row>
    <row r="174">
      <c r="C174" s="139"/>
      <c r="D174" s="139"/>
      <c r="G174" s="809"/>
    </row>
    <row r="175">
      <c r="C175" s="139"/>
      <c r="D175" s="139"/>
    </row>
    <row r="176">
      <c r="C176" s="139"/>
      <c r="D176" s="139"/>
    </row>
    <row r="177">
      <c r="C177" s="139"/>
      <c r="D177" s="139"/>
    </row>
    <row r="178">
      <c r="C178" s="139"/>
      <c r="D178" s="139"/>
    </row>
    <row r="179">
      <c r="C179" s="139"/>
      <c r="D179" s="139"/>
    </row>
    <row r="180">
      <c r="C180" s="139"/>
      <c r="D180" s="139"/>
    </row>
    <row r="181">
      <c r="C181" s="139"/>
      <c r="D181" s="139"/>
    </row>
    <row r="182">
      <c r="C182" s="139"/>
      <c r="D182" s="139"/>
    </row>
    <row r="183">
      <c r="C183" s="139"/>
      <c r="D183" s="139"/>
    </row>
    <row r="184">
      <c r="C184" s="139"/>
      <c r="D184" s="139"/>
    </row>
    <row r="185">
      <c r="C185" s="139"/>
      <c r="D185" s="139"/>
    </row>
    <row r="186">
      <c r="C186" s="139"/>
      <c r="D186" s="139"/>
    </row>
    <row r="187">
      <c r="C187" s="139"/>
      <c r="D187" s="139"/>
    </row>
    <row r="188">
      <c r="C188" s="139"/>
      <c r="D188" s="139"/>
    </row>
    <row r="189">
      <c r="C189" s="139"/>
      <c r="D189" s="139"/>
    </row>
    <row r="190">
      <c r="C190" s="139"/>
      <c r="D190" s="139"/>
    </row>
    <row r="191">
      <c r="C191" s="139"/>
      <c r="D191" s="139"/>
    </row>
    <row r="192">
      <c r="C192" s="139"/>
      <c r="D192" s="139"/>
    </row>
    <row r="193">
      <c r="C193" s="139"/>
      <c r="D193" s="139"/>
    </row>
    <row r="194">
      <c r="C194" s="139"/>
      <c r="D194" s="139"/>
    </row>
    <row r="195">
      <c r="C195" s="139"/>
      <c r="D195" s="139"/>
    </row>
    <row r="196">
      <c r="C196" s="139"/>
      <c r="D196" s="139"/>
    </row>
    <row r="197">
      <c r="C197" s="139"/>
      <c r="D197" s="139"/>
    </row>
    <row r="198">
      <c r="C198" s="139"/>
      <c r="D198" s="139"/>
    </row>
    <row r="199">
      <c r="C199" s="139"/>
      <c r="D199" s="139"/>
    </row>
    <row r="200">
      <c r="C200" s="139"/>
      <c r="D200" s="139"/>
    </row>
    <row r="201">
      <c r="C201" s="139"/>
      <c r="D201" s="139"/>
    </row>
    <row r="202">
      <c r="C202" s="139"/>
      <c r="D202" s="139"/>
    </row>
    <row r="203">
      <c r="C203" s="139"/>
      <c r="D203" s="139"/>
    </row>
    <row r="204">
      <c r="C204" s="139"/>
      <c r="D204" s="139"/>
    </row>
    <row r="205">
      <c r="C205" s="139"/>
      <c r="D205" s="139"/>
    </row>
    <row r="206">
      <c r="C206" s="139"/>
      <c r="D206" s="139"/>
    </row>
    <row r="207">
      <c r="C207" s="139"/>
      <c r="D207" s="139"/>
    </row>
    <row r="208">
      <c r="C208" s="139"/>
      <c r="D208" s="139"/>
    </row>
    <row r="209">
      <c r="C209" s="139"/>
      <c r="D209" s="139"/>
    </row>
    <row r="210">
      <c r="C210" s="139"/>
      <c r="D210" s="139"/>
    </row>
    <row r="211">
      <c r="C211" s="139"/>
      <c r="D211" s="139"/>
    </row>
    <row r="212">
      <c r="C212" s="139"/>
      <c r="D212" s="139"/>
    </row>
    <row r="213">
      <c r="C213" s="139"/>
      <c r="D213" s="139"/>
    </row>
    <row r="214">
      <c r="C214" s="139"/>
      <c r="D214" s="139"/>
    </row>
    <row r="215">
      <c r="C215" s="139"/>
      <c r="D215" s="139"/>
    </row>
    <row r="216">
      <c r="C216" s="139"/>
      <c r="D216" s="139"/>
    </row>
    <row r="217">
      <c r="C217" s="139"/>
      <c r="D217" s="139"/>
    </row>
    <row r="218">
      <c r="C218" s="139"/>
      <c r="D218" s="139"/>
    </row>
    <row r="219">
      <c r="C219" s="139"/>
      <c r="D219" s="139"/>
    </row>
    <row r="220">
      <c r="C220" s="139"/>
      <c r="D220" s="139"/>
    </row>
    <row r="221">
      <c r="C221" s="139"/>
      <c r="D221" s="139"/>
    </row>
    <row r="222">
      <c r="C222" s="139"/>
      <c r="D222" s="139"/>
    </row>
    <row r="223">
      <c r="C223" s="139"/>
      <c r="D223" s="139"/>
    </row>
    <row r="224">
      <c r="C224" s="139"/>
      <c r="D224" s="139"/>
    </row>
    <row r="225">
      <c r="C225" s="139"/>
      <c r="D225" s="139"/>
    </row>
    <row r="226">
      <c r="C226" s="139"/>
      <c r="D226" s="139"/>
    </row>
    <row r="227">
      <c r="C227" s="139"/>
      <c r="D227" s="139"/>
    </row>
    <row r="228">
      <c r="C228" s="139"/>
      <c r="D228" s="139"/>
    </row>
    <row r="229">
      <c r="C229" s="139"/>
      <c r="D229" s="139"/>
    </row>
    <row r="230">
      <c r="C230" s="139"/>
      <c r="D230" s="139"/>
    </row>
    <row r="231">
      <c r="C231" s="139"/>
      <c r="D231" s="139"/>
    </row>
    <row r="232">
      <c r="C232" s="139"/>
      <c r="D232" s="139"/>
    </row>
    <row r="233">
      <c r="C233" s="139"/>
      <c r="D233" s="139"/>
    </row>
    <row r="234">
      <c r="C234" s="139"/>
      <c r="D234" s="139"/>
    </row>
    <row r="235">
      <c r="C235" s="139"/>
      <c r="D235" s="139"/>
    </row>
    <row r="236">
      <c r="C236" s="139"/>
      <c r="D236" s="139"/>
    </row>
    <row r="237">
      <c r="C237" s="139"/>
      <c r="D237" s="139"/>
    </row>
    <row r="238">
      <c r="C238" s="139"/>
      <c r="D238" s="139"/>
    </row>
    <row r="239">
      <c r="C239" s="139"/>
      <c r="D239" s="139"/>
    </row>
    <row r="240">
      <c r="C240" s="139"/>
      <c r="D240" s="139"/>
    </row>
    <row r="241">
      <c r="C241" s="139"/>
      <c r="D241" s="139"/>
    </row>
    <row r="242">
      <c r="C242" s="139"/>
      <c r="D242" s="139"/>
    </row>
    <row r="243">
      <c r="C243" s="139"/>
      <c r="D243" s="139"/>
    </row>
    <row r="244">
      <c r="C244" s="139"/>
      <c r="D244" s="139"/>
    </row>
    <row r="245">
      <c r="C245" s="139"/>
      <c r="D245" s="139"/>
    </row>
    <row r="246">
      <c r="C246" s="139"/>
      <c r="D246" s="139"/>
    </row>
    <row r="247">
      <c r="C247" s="139"/>
      <c r="D247" s="139"/>
    </row>
    <row r="248">
      <c r="C248" s="139"/>
      <c r="D248" s="139"/>
    </row>
    <row r="249">
      <c r="C249" s="139"/>
      <c r="D249" s="139"/>
    </row>
    <row r="250">
      <c r="C250" s="139"/>
      <c r="D250" s="139"/>
    </row>
    <row r="251">
      <c r="C251" s="139"/>
      <c r="D251" s="139"/>
    </row>
    <row r="252">
      <c r="C252" s="139"/>
      <c r="D252" s="139"/>
    </row>
    <row r="253">
      <c r="C253" s="139"/>
      <c r="D253" s="139"/>
    </row>
    <row r="254">
      <c r="C254" s="139"/>
      <c r="D254" s="139"/>
    </row>
    <row r="255">
      <c r="C255" s="139"/>
      <c r="D255" s="139"/>
    </row>
    <row r="256">
      <c r="C256" s="139"/>
      <c r="D256" s="139"/>
    </row>
    <row r="257">
      <c r="C257" s="139"/>
      <c r="D257" s="139"/>
    </row>
    <row r="258">
      <c r="C258" s="139"/>
      <c r="D258" s="139"/>
    </row>
    <row r="259">
      <c r="C259" s="139"/>
      <c r="D259" s="139"/>
    </row>
    <row r="260">
      <c r="C260" s="139"/>
      <c r="D260" s="139"/>
    </row>
    <row r="261">
      <c r="C261" s="139"/>
      <c r="D261" s="139"/>
    </row>
    <row r="262">
      <c r="C262" s="139"/>
      <c r="D262" s="139"/>
    </row>
    <row r="263">
      <c r="C263" s="139"/>
      <c r="D263" s="139"/>
    </row>
    <row r="264">
      <c r="C264" s="139"/>
      <c r="D264" s="139"/>
    </row>
    <row r="265">
      <c r="C265" s="139"/>
      <c r="D265" s="139"/>
    </row>
    <row r="266">
      <c r="C266" s="139"/>
      <c r="D266" s="139"/>
    </row>
    <row r="267">
      <c r="C267" s="139"/>
      <c r="D267" s="139"/>
    </row>
    <row r="268">
      <c r="C268" s="139"/>
      <c r="D268" s="139"/>
    </row>
    <row r="269">
      <c r="C269" s="139"/>
      <c r="D269" s="139"/>
    </row>
    <row r="270">
      <c r="C270" s="139"/>
      <c r="D270" s="139"/>
    </row>
    <row r="271">
      <c r="C271" s="139"/>
      <c r="D271" s="139"/>
    </row>
    <row r="272">
      <c r="C272" s="139"/>
      <c r="D272" s="139"/>
    </row>
    <row r="273">
      <c r="C273" s="139"/>
      <c r="D273" s="139"/>
    </row>
    <row r="274">
      <c r="C274" s="139"/>
      <c r="D274" s="139"/>
    </row>
    <row r="275">
      <c r="C275" s="139"/>
      <c r="D275" s="139"/>
    </row>
    <row r="276">
      <c r="C276" s="139"/>
      <c r="D276" s="139"/>
    </row>
    <row r="277">
      <c r="C277" s="139"/>
      <c r="D277" s="139"/>
    </row>
    <row r="278">
      <c r="C278" s="139"/>
      <c r="D278" s="139"/>
    </row>
    <row r="279">
      <c r="C279" s="139"/>
      <c r="D279" s="139"/>
    </row>
    <row r="280">
      <c r="C280" s="139"/>
      <c r="D280" s="139"/>
    </row>
    <row r="281">
      <c r="C281" s="139"/>
      <c r="D281" s="139"/>
    </row>
    <row r="282">
      <c r="C282" s="139"/>
      <c r="D282" s="139"/>
    </row>
    <row r="283">
      <c r="C283" s="139"/>
      <c r="D283" s="139"/>
    </row>
    <row r="284">
      <c r="C284" s="139"/>
      <c r="D284" s="139"/>
    </row>
    <row r="285">
      <c r="C285" s="139"/>
      <c r="D285" s="139"/>
    </row>
    <row r="286">
      <c r="C286" s="139"/>
      <c r="D286" s="139"/>
    </row>
    <row r="287">
      <c r="C287" s="139"/>
      <c r="D287" s="139"/>
    </row>
    <row r="288">
      <c r="C288" s="139"/>
      <c r="D288" s="139"/>
    </row>
    <row r="289">
      <c r="C289" s="139"/>
      <c r="D289" s="139"/>
    </row>
    <row r="290">
      <c r="C290" s="139"/>
      <c r="D290" s="139"/>
    </row>
    <row r="291">
      <c r="C291" s="139"/>
      <c r="D291" s="139"/>
    </row>
    <row r="292">
      <c r="C292" s="139"/>
      <c r="D292" s="139"/>
    </row>
    <row r="293">
      <c r="C293" s="139"/>
      <c r="D293" s="139"/>
    </row>
    <row r="294">
      <c r="C294" s="139"/>
      <c r="D294" s="139"/>
    </row>
    <row r="295">
      <c r="C295" s="139"/>
      <c r="D295" s="139"/>
    </row>
    <row r="296">
      <c r="C296" s="139"/>
      <c r="D296" s="139"/>
    </row>
    <row r="297">
      <c r="C297" s="139"/>
      <c r="D297" s="139"/>
    </row>
    <row r="298">
      <c r="C298" s="139"/>
      <c r="D298" s="139"/>
    </row>
    <row r="299">
      <c r="C299" s="139"/>
      <c r="D299" s="139"/>
    </row>
    <row r="300">
      <c r="C300" s="139"/>
      <c r="D300" s="139"/>
    </row>
    <row r="301">
      <c r="C301" s="139"/>
      <c r="D301" s="139"/>
    </row>
    <row r="302">
      <c r="C302" s="139"/>
      <c r="D302" s="139"/>
    </row>
    <row r="303">
      <c r="C303" s="139"/>
      <c r="D303" s="139"/>
    </row>
    <row r="304">
      <c r="C304" s="139"/>
      <c r="D304" s="139"/>
    </row>
    <row r="305">
      <c r="C305" s="139"/>
      <c r="D305" s="139"/>
    </row>
    <row r="306">
      <c r="C306" s="139"/>
      <c r="D306" s="139"/>
    </row>
    <row r="307">
      <c r="C307" s="139"/>
      <c r="D307" s="139"/>
    </row>
    <row r="308">
      <c r="C308" s="139"/>
      <c r="D308" s="139"/>
    </row>
    <row r="309">
      <c r="C309" s="139"/>
      <c r="D309" s="139"/>
    </row>
    <row r="310">
      <c r="C310" s="139"/>
      <c r="D310" s="139"/>
    </row>
    <row r="311">
      <c r="C311" s="139"/>
      <c r="D311" s="139"/>
    </row>
    <row r="312">
      <c r="C312" s="139"/>
      <c r="D312" s="139"/>
    </row>
    <row r="313">
      <c r="C313" s="139"/>
      <c r="D313" s="139"/>
    </row>
    <row r="314">
      <c r="C314" s="139"/>
      <c r="D314" s="139"/>
    </row>
    <row r="315">
      <c r="C315" s="139"/>
      <c r="D315" s="139"/>
    </row>
    <row r="316">
      <c r="C316" s="139"/>
      <c r="D316" s="139"/>
    </row>
    <row r="317">
      <c r="C317" s="139"/>
      <c r="D317" s="139"/>
    </row>
    <row r="318">
      <c r="C318" s="139"/>
      <c r="D318" s="139"/>
    </row>
    <row r="319">
      <c r="C319" s="139"/>
      <c r="D319" s="139"/>
    </row>
    <row r="320">
      <c r="C320" s="139"/>
      <c r="D320" s="139"/>
    </row>
    <row r="321">
      <c r="C321" s="139"/>
      <c r="D321" s="139"/>
    </row>
    <row r="322">
      <c r="C322" s="139"/>
      <c r="D322" s="139"/>
    </row>
    <row r="323">
      <c r="C323" s="139"/>
      <c r="D323" s="139"/>
    </row>
    <row r="324">
      <c r="C324" s="139"/>
      <c r="D324" s="139"/>
    </row>
    <row r="325">
      <c r="C325" s="139"/>
      <c r="D325" s="139"/>
    </row>
    <row r="326">
      <c r="C326" s="139"/>
      <c r="D326" s="139"/>
    </row>
    <row r="327">
      <c r="C327" s="139"/>
      <c r="D327" s="139"/>
    </row>
    <row r="328">
      <c r="C328" s="139"/>
      <c r="D328" s="139"/>
    </row>
    <row r="329">
      <c r="C329" s="139"/>
      <c r="D329" s="139"/>
    </row>
    <row r="330">
      <c r="C330" s="139"/>
      <c r="D330" s="139"/>
    </row>
    <row r="331">
      <c r="C331" s="139"/>
      <c r="D331" s="139"/>
    </row>
    <row r="332">
      <c r="C332" s="139"/>
      <c r="D332" s="139"/>
    </row>
    <row r="333">
      <c r="C333" s="139"/>
      <c r="D333" s="139"/>
    </row>
    <row r="334">
      <c r="C334" s="139"/>
      <c r="D334" s="139"/>
    </row>
    <row r="335">
      <c r="C335" s="139"/>
      <c r="D335" s="139"/>
    </row>
    <row r="336">
      <c r="C336" s="139"/>
      <c r="D336" s="139"/>
    </row>
    <row r="337">
      <c r="C337" s="139"/>
      <c r="D337" s="139"/>
    </row>
    <row r="338">
      <c r="C338" s="139"/>
      <c r="D338" s="139"/>
    </row>
    <row r="339">
      <c r="C339" s="139"/>
      <c r="D339" s="139"/>
    </row>
    <row r="340">
      <c r="C340" s="139"/>
      <c r="D340" s="139"/>
    </row>
    <row r="341">
      <c r="C341" s="139"/>
      <c r="D341" s="139"/>
    </row>
    <row r="342">
      <c r="C342" s="139"/>
      <c r="D342" s="139"/>
    </row>
    <row r="343">
      <c r="C343" s="139"/>
      <c r="D343" s="139"/>
    </row>
    <row r="344">
      <c r="C344" s="139"/>
      <c r="D344" s="139"/>
    </row>
    <row r="345">
      <c r="C345" s="139"/>
      <c r="D345" s="139"/>
    </row>
    <row r="346">
      <c r="C346" s="139"/>
      <c r="D346" s="139"/>
    </row>
    <row r="347">
      <c r="C347" s="139"/>
      <c r="D347" s="139"/>
    </row>
    <row r="348">
      <c r="C348" s="139"/>
      <c r="D348" s="139"/>
    </row>
    <row r="349">
      <c r="C349" s="139"/>
      <c r="D349" s="139"/>
    </row>
    <row r="350">
      <c r="C350" s="139"/>
      <c r="D350" s="139"/>
    </row>
    <row r="351">
      <c r="C351" s="139"/>
      <c r="D351" s="139"/>
    </row>
    <row r="352">
      <c r="C352" s="139"/>
      <c r="D352" s="139"/>
    </row>
    <row r="353">
      <c r="C353" s="139"/>
      <c r="D353" s="139"/>
    </row>
    <row r="354">
      <c r="C354" s="139"/>
      <c r="D354" s="139"/>
    </row>
    <row r="355">
      <c r="C355" s="139"/>
      <c r="D355" s="139"/>
    </row>
    <row r="356">
      <c r="C356" s="139"/>
      <c r="D356" s="139"/>
    </row>
    <row r="357">
      <c r="C357" s="139"/>
      <c r="D357" s="139"/>
    </row>
    <row r="358">
      <c r="C358" s="139"/>
      <c r="D358" s="139"/>
    </row>
    <row r="359">
      <c r="C359" s="139"/>
      <c r="D359" s="139"/>
    </row>
    <row r="360">
      <c r="C360" s="139"/>
      <c r="D360" s="139"/>
    </row>
    <row r="361">
      <c r="C361" s="139"/>
      <c r="D361" s="139"/>
    </row>
    <row r="362">
      <c r="C362" s="139"/>
      <c r="D362" s="139"/>
    </row>
    <row r="363">
      <c r="C363" s="139"/>
      <c r="D363" s="139"/>
    </row>
    <row r="364">
      <c r="C364" s="139"/>
      <c r="D364" s="139"/>
    </row>
    <row r="365">
      <c r="C365" s="139"/>
      <c r="D365" s="139"/>
    </row>
    <row r="366">
      <c r="C366" s="139"/>
      <c r="D366" s="139"/>
    </row>
    <row r="367">
      <c r="C367" s="139"/>
      <c r="D367" s="139"/>
    </row>
    <row r="368">
      <c r="C368" s="139"/>
      <c r="D368" s="139"/>
    </row>
    <row r="369">
      <c r="C369" s="139"/>
      <c r="D369" s="139"/>
    </row>
    <row r="370">
      <c r="C370" s="139"/>
      <c r="D370" s="139"/>
    </row>
    <row r="371">
      <c r="C371" s="139"/>
      <c r="D371" s="139"/>
    </row>
    <row r="372">
      <c r="C372" s="139"/>
      <c r="D372" s="139"/>
    </row>
    <row r="373">
      <c r="C373" s="139"/>
      <c r="D373" s="139"/>
    </row>
    <row r="374">
      <c r="C374" s="139"/>
      <c r="D374" s="139"/>
    </row>
    <row r="375">
      <c r="C375" s="139"/>
      <c r="D375" s="139"/>
    </row>
    <row r="376">
      <c r="C376" s="139"/>
      <c r="D376" s="139"/>
    </row>
    <row r="377">
      <c r="C377" s="139"/>
      <c r="D377" s="139"/>
    </row>
    <row r="378">
      <c r="C378" s="139"/>
      <c r="D378" s="139"/>
    </row>
    <row r="379">
      <c r="C379" s="139"/>
      <c r="D379" s="139"/>
    </row>
    <row r="380">
      <c r="C380" s="139"/>
      <c r="D380" s="139"/>
    </row>
    <row r="381">
      <c r="C381" s="139"/>
      <c r="D381" s="139"/>
    </row>
    <row r="382">
      <c r="C382" s="139"/>
      <c r="D382" s="139"/>
    </row>
    <row r="383">
      <c r="C383" s="139"/>
      <c r="D383" s="139"/>
    </row>
    <row r="384">
      <c r="C384" s="139"/>
      <c r="D384" s="139"/>
    </row>
    <row r="385">
      <c r="C385" s="139"/>
      <c r="D385" s="139"/>
    </row>
    <row r="386">
      <c r="C386" s="139"/>
      <c r="D386" s="139"/>
    </row>
    <row r="387">
      <c r="C387" s="139"/>
      <c r="D387" s="139"/>
    </row>
    <row r="388">
      <c r="C388" s="139"/>
      <c r="D388" s="139"/>
    </row>
    <row r="389">
      <c r="C389" s="139"/>
      <c r="D389" s="139"/>
    </row>
    <row r="390">
      <c r="C390" s="139"/>
      <c r="D390" s="139"/>
    </row>
    <row r="391">
      <c r="C391" s="139"/>
      <c r="D391" s="139"/>
    </row>
    <row r="392">
      <c r="C392" s="139"/>
      <c r="D392" s="139"/>
    </row>
    <row r="393">
      <c r="C393" s="139"/>
      <c r="D393" s="139"/>
    </row>
    <row r="394">
      <c r="C394" s="139"/>
      <c r="D394" s="139"/>
    </row>
    <row r="395">
      <c r="C395" s="139"/>
      <c r="D395" s="139"/>
    </row>
    <row r="396">
      <c r="C396" s="139"/>
      <c r="D396" s="139"/>
    </row>
    <row r="397">
      <c r="C397" s="139"/>
      <c r="D397" s="139"/>
    </row>
    <row r="398">
      <c r="C398" s="139"/>
      <c r="D398" s="139"/>
    </row>
    <row r="399">
      <c r="C399" s="139"/>
      <c r="D399" s="139"/>
    </row>
    <row r="400">
      <c r="C400" s="139"/>
      <c r="D400" s="139"/>
    </row>
    <row r="401">
      <c r="C401" s="139"/>
      <c r="D401" s="139"/>
    </row>
    <row r="402">
      <c r="C402" s="139"/>
      <c r="D402" s="139"/>
    </row>
    <row r="403">
      <c r="C403" s="139"/>
      <c r="D403" s="139"/>
    </row>
    <row r="404">
      <c r="C404" s="139"/>
      <c r="D404" s="139"/>
    </row>
    <row r="405">
      <c r="C405" s="139"/>
      <c r="D405" s="139"/>
    </row>
    <row r="406">
      <c r="C406" s="139"/>
      <c r="D406" s="139"/>
    </row>
    <row r="407">
      <c r="C407" s="139"/>
      <c r="D407" s="139"/>
    </row>
    <row r="408">
      <c r="C408" s="139"/>
      <c r="D408" s="139"/>
    </row>
    <row r="409">
      <c r="C409" s="139"/>
      <c r="D409" s="139"/>
    </row>
    <row r="410">
      <c r="C410" s="139"/>
      <c r="D410" s="139"/>
    </row>
    <row r="411">
      <c r="C411" s="139"/>
      <c r="D411" s="139"/>
    </row>
    <row r="412">
      <c r="C412" s="139"/>
      <c r="D412" s="139"/>
    </row>
    <row r="413">
      <c r="C413" s="139"/>
      <c r="D413" s="139"/>
    </row>
    <row r="414">
      <c r="C414" s="139"/>
      <c r="D414" s="139"/>
    </row>
    <row r="415">
      <c r="C415" s="139"/>
      <c r="D415" s="139"/>
    </row>
    <row r="416">
      <c r="C416" s="139"/>
      <c r="D416" s="139"/>
    </row>
    <row r="417">
      <c r="C417" s="139"/>
      <c r="D417" s="139"/>
    </row>
    <row r="418">
      <c r="C418" s="139"/>
      <c r="D418" s="139"/>
    </row>
    <row r="419">
      <c r="C419" s="139"/>
      <c r="D419" s="139"/>
    </row>
    <row r="420">
      <c r="C420" s="139"/>
      <c r="D420" s="139"/>
    </row>
    <row r="421">
      <c r="C421" s="139"/>
      <c r="D421" s="139"/>
    </row>
    <row r="422">
      <c r="C422" s="139"/>
      <c r="D422" s="139"/>
    </row>
    <row r="423">
      <c r="C423" s="139"/>
      <c r="D423" s="139"/>
    </row>
    <row r="424">
      <c r="C424" s="139"/>
      <c r="D424" s="139"/>
    </row>
    <row r="425">
      <c r="C425" s="139"/>
      <c r="D425" s="139"/>
    </row>
    <row r="426">
      <c r="C426" s="139"/>
      <c r="D426" s="139"/>
    </row>
    <row r="427">
      <c r="C427" s="139"/>
      <c r="D427" s="139"/>
    </row>
    <row r="428">
      <c r="C428" s="139"/>
      <c r="D428" s="139"/>
    </row>
    <row r="429">
      <c r="C429" s="139"/>
      <c r="D429" s="139"/>
    </row>
    <row r="430">
      <c r="C430" s="139"/>
      <c r="D430" s="139"/>
    </row>
    <row r="431">
      <c r="C431" s="139"/>
      <c r="D431" s="139"/>
    </row>
    <row r="432">
      <c r="C432" s="139"/>
      <c r="D432" s="139"/>
    </row>
    <row r="433">
      <c r="C433" s="139"/>
      <c r="D433" s="139"/>
    </row>
    <row r="434">
      <c r="C434" s="139"/>
      <c r="D434" s="139"/>
    </row>
    <row r="435">
      <c r="C435" s="139"/>
      <c r="D435" s="139"/>
    </row>
    <row r="436">
      <c r="C436" s="139"/>
      <c r="D436" s="139"/>
    </row>
    <row r="437">
      <c r="C437" s="139"/>
      <c r="D437" s="139"/>
    </row>
    <row r="438">
      <c r="C438" s="139"/>
      <c r="D438" s="139"/>
    </row>
    <row r="439">
      <c r="C439" s="139"/>
      <c r="D439" s="139"/>
    </row>
    <row r="440">
      <c r="C440" s="139"/>
      <c r="D440" s="139"/>
    </row>
    <row r="441">
      <c r="C441" s="139"/>
      <c r="D441" s="139"/>
    </row>
    <row r="442">
      <c r="C442" s="139"/>
      <c r="D442" s="139"/>
    </row>
    <row r="443">
      <c r="C443" s="139"/>
      <c r="D443" s="139"/>
    </row>
    <row r="444">
      <c r="C444" s="139"/>
      <c r="D444" s="139"/>
    </row>
    <row r="445">
      <c r="C445" s="139"/>
      <c r="D445" s="139"/>
    </row>
    <row r="446">
      <c r="C446" s="139"/>
      <c r="D446" s="139"/>
    </row>
    <row r="447">
      <c r="C447" s="139"/>
      <c r="D447" s="139"/>
    </row>
    <row r="448">
      <c r="C448" s="139"/>
      <c r="D448" s="139"/>
    </row>
    <row r="449">
      <c r="C449" s="139"/>
      <c r="D449" s="139"/>
    </row>
    <row r="450">
      <c r="C450" s="139"/>
      <c r="D450" s="139"/>
    </row>
    <row r="451">
      <c r="C451" s="139"/>
      <c r="D451" s="139"/>
    </row>
    <row r="452">
      <c r="C452" s="139"/>
      <c r="D452" s="139"/>
    </row>
    <row r="453">
      <c r="C453" s="139"/>
      <c r="D453" s="139"/>
    </row>
    <row r="454">
      <c r="C454" s="139"/>
      <c r="D454" s="139"/>
    </row>
    <row r="455">
      <c r="C455" s="139"/>
      <c r="D455" s="139"/>
    </row>
    <row r="456">
      <c r="C456" s="139"/>
      <c r="D456" s="139"/>
    </row>
    <row r="457">
      <c r="C457" s="139"/>
      <c r="D457" s="139"/>
    </row>
    <row r="458">
      <c r="C458" s="139"/>
      <c r="D458" s="139"/>
    </row>
    <row r="459">
      <c r="C459" s="139"/>
      <c r="D459" s="139"/>
    </row>
    <row r="460">
      <c r="C460" s="139"/>
      <c r="D460" s="139"/>
    </row>
    <row r="461">
      <c r="C461" s="139"/>
      <c r="D461" s="139"/>
    </row>
    <row r="462">
      <c r="C462" s="139"/>
      <c r="D462" s="139"/>
    </row>
    <row r="463">
      <c r="C463" s="139"/>
      <c r="D463" s="139"/>
    </row>
    <row r="464">
      <c r="C464" s="139"/>
      <c r="D464" s="139"/>
    </row>
    <row r="465">
      <c r="C465" s="139"/>
      <c r="D465" s="139"/>
    </row>
    <row r="466">
      <c r="C466" s="139"/>
      <c r="D466" s="139"/>
    </row>
    <row r="467">
      <c r="C467" s="139"/>
      <c r="D467" s="139"/>
    </row>
    <row r="468">
      <c r="C468" s="139"/>
      <c r="D468" s="139"/>
    </row>
    <row r="469">
      <c r="C469" s="139"/>
      <c r="D469" s="139"/>
    </row>
    <row r="470">
      <c r="C470" s="139"/>
      <c r="D470" s="139"/>
    </row>
    <row r="471">
      <c r="C471" s="139"/>
      <c r="D471" s="139"/>
    </row>
    <row r="472">
      <c r="C472" s="139"/>
      <c r="D472" s="139"/>
    </row>
    <row r="473">
      <c r="C473" s="139"/>
      <c r="D473" s="139"/>
    </row>
    <row r="474">
      <c r="C474" s="139"/>
      <c r="D474" s="139"/>
    </row>
    <row r="475">
      <c r="C475" s="139"/>
      <c r="D475" s="139"/>
    </row>
    <row r="476">
      <c r="C476" s="139"/>
      <c r="D476" s="139"/>
    </row>
    <row r="477">
      <c r="C477" s="139"/>
      <c r="D477" s="139"/>
    </row>
    <row r="478">
      <c r="C478" s="139"/>
      <c r="D478" s="139"/>
    </row>
    <row r="479">
      <c r="C479" s="139"/>
      <c r="D479" s="139"/>
    </row>
    <row r="480">
      <c r="C480" s="139"/>
      <c r="D480" s="139"/>
    </row>
    <row r="481">
      <c r="C481" s="139"/>
      <c r="D481" s="139"/>
    </row>
    <row r="482">
      <c r="C482" s="139"/>
      <c r="D482" s="139"/>
    </row>
    <row r="483">
      <c r="C483" s="139"/>
      <c r="D483" s="139"/>
    </row>
    <row r="484">
      <c r="C484" s="139"/>
      <c r="D484" s="139"/>
    </row>
    <row r="485">
      <c r="C485" s="139"/>
      <c r="D485" s="139"/>
    </row>
    <row r="486">
      <c r="C486" s="139"/>
      <c r="D486" s="139"/>
    </row>
    <row r="487">
      <c r="C487" s="139"/>
      <c r="D487" s="139"/>
    </row>
    <row r="488">
      <c r="C488" s="139"/>
      <c r="D488" s="139"/>
    </row>
    <row r="489">
      <c r="C489" s="139"/>
      <c r="D489" s="139"/>
    </row>
    <row r="490">
      <c r="C490" s="139"/>
      <c r="D490" s="139"/>
    </row>
    <row r="491">
      <c r="C491" s="139"/>
      <c r="D491" s="139"/>
    </row>
    <row r="492">
      <c r="C492" s="139"/>
      <c r="D492" s="139"/>
    </row>
    <row r="493">
      <c r="C493" s="139"/>
      <c r="D493" s="139"/>
    </row>
    <row r="494">
      <c r="C494" s="139"/>
      <c r="D494" s="139"/>
    </row>
    <row r="495">
      <c r="C495" s="139"/>
      <c r="D495" s="139"/>
    </row>
    <row r="496">
      <c r="C496" s="139"/>
      <c r="D496" s="139"/>
    </row>
    <row r="497">
      <c r="C497" s="139"/>
      <c r="D497" s="139"/>
    </row>
    <row r="498">
      <c r="C498" s="139"/>
      <c r="D498" s="139"/>
    </row>
    <row r="499">
      <c r="C499" s="139"/>
      <c r="D499" s="139"/>
    </row>
    <row r="500">
      <c r="C500" s="139"/>
      <c r="D500" s="139"/>
    </row>
    <row r="501">
      <c r="C501" s="139"/>
      <c r="D501" s="139"/>
    </row>
    <row r="502">
      <c r="C502" s="139"/>
      <c r="D502" s="139"/>
    </row>
    <row r="503">
      <c r="C503" s="139"/>
      <c r="D503" s="139"/>
    </row>
    <row r="504">
      <c r="C504" s="139"/>
      <c r="D504" s="139"/>
    </row>
    <row r="505">
      <c r="C505" s="139"/>
      <c r="D505" s="139"/>
    </row>
    <row r="506">
      <c r="C506" s="139"/>
      <c r="D506" s="139"/>
    </row>
    <row r="507">
      <c r="C507" s="139"/>
      <c r="D507" s="139"/>
    </row>
    <row r="508">
      <c r="C508" s="139"/>
      <c r="D508" s="139"/>
    </row>
    <row r="509">
      <c r="C509" s="139"/>
      <c r="D509" s="139"/>
    </row>
    <row r="510">
      <c r="C510" s="139"/>
      <c r="D510" s="139"/>
    </row>
    <row r="511">
      <c r="C511" s="139"/>
      <c r="D511" s="139"/>
    </row>
    <row r="512">
      <c r="C512" s="139"/>
      <c r="D512" s="139"/>
    </row>
    <row r="513">
      <c r="C513" s="139"/>
      <c r="D513" s="139"/>
    </row>
    <row r="514">
      <c r="C514" s="139"/>
      <c r="D514" s="139"/>
    </row>
    <row r="515">
      <c r="C515" s="139"/>
      <c r="D515" s="139"/>
    </row>
    <row r="516">
      <c r="C516" s="139"/>
      <c r="D516" s="139"/>
    </row>
    <row r="517">
      <c r="C517" s="139"/>
      <c r="D517" s="139"/>
    </row>
    <row r="518">
      <c r="C518" s="139"/>
      <c r="D518" s="139"/>
    </row>
    <row r="519">
      <c r="C519" s="139"/>
      <c r="D519" s="139"/>
    </row>
    <row r="520">
      <c r="C520" s="139"/>
      <c r="D520" s="139"/>
    </row>
    <row r="521">
      <c r="C521" s="139"/>
      <c r="D521" s="139"/>
    </row>
    <row r="522">
      <c r="C522" s="139"/>
      <c r="D522" s="139"/>
    </row>
    <row r="523">
      <c r="C523" s="139"/>
      <c r="D523" s="139"/>
    </row>
    <row r="524">
      <c r="C524" s="139"/>
      <c r="D524" s="139"/>
    </row>
    <row r="525">
      <c r="C525" s="139"/>
      <c r="D525" s="139"/>
    </row>
    <row r="526">
      <c r="C526" s="139"/>
      <c r="D526" s="139"/>
    </row>
    <row r="527">
      <c r="C527" s="139"/>
      <c r="D527" s="139"/>
    </row>
    <row r="528">
      <c r="C528" s="139"/>
      <c r="D528" s="139"/>
    </row>
    <row r="529">
      <c r="C529" s="139"/>
      <c r="D529" s="139"/>
    </row>
    <row r="530">
      <c r="C530" s="139"/>
      <c r="D530" s="139"/>
    </row>
    <row r="531">
      <c r="C531" s="139"/>
      <c r="D531" s="139"/>
    </row>
    <row r="532">
      <c r="C532" s="139"/>
      <c r="D532" s="139"/>
    </row>
    <row r="533">
      <c r="C533" s="139"/>
      <c r="D533" s="139"/>
    </row>
    <row r="534">
      <c r="C534" s="139"/>
      <c r="D534" s="139"/>
    </row>
    <row r="535">
      <c r="C535" s="139"/>
      <c r="D535" s="139"/>
    </row>
    <row r="536">
      <c r="C536" s="139"/>
      <c r="D536" s="139"/>
    </row>
    <row r="537">
      <c r="C537" s="139"/>
      <c r="D537" s="139"/>
    </row>
    <row r="538">
      <c r="C538" s="139"/>
      <c r="D538" s="139"/>
    </row>
    <row r="539">
      <c r="C539" s="139"/>
      <c r="D539" s="139"/>
    </row>
    <row r="540">
      <c r="C540" s="139"/>
      <c r="D540" s="139"/>
    </row>
    <row r="541">
      <c r="C541" s="139"/>
      <c r="D541" s="139"/>
    </row>
    <row r="542">
      <c r="C542" s="139"/>
      <c r="D542" s="139"/>
    </row>
    <row r="543">
      <c r="C543" s="139"/>
      <c r="D543" s="139"/>
    </row>
    <row r="544">
      <c r="C544" s="139"/>
      <c r="D544" s="139"/>
    </row>
    <row r="545">
      <c r="C545" s="139"/>
      <c r="D545" s="139"/>
    </row>
    <row r="546">
      <c r="C546" s="139"/>
      <c r="D546" s="139"/>
    </row>
    <row r="547">
      <c r="C547" s="139"/>
      <c r="D547" s="139"/>
    </row>
    <row r="548">
      <c r="C548" s="139"/>
      <c r="D548" s="139"/>
    </row>
    <row r="549">
      <c r="C549" s="139"/>
      <c r="D549" s="139"/>
    </row>
    <row r="550">
      <c r="C550" s="139"/>
      <c r="D550" s="139"/>
    </row>
    <row r="551">
      <c r="C551" s="139"/>
      <c r="D551" s="139"/>
    </row>
    <row r="552">
      <c r="C552" s="139"/>
      <c r="D552" s="139"/>
    </row>
    <row r="553">
      <c r="C553" s="139"/>
      <c r="D553" s="139"/>
    </row>
    <row r="554">
      <c r="C554" s="139"/>
      <c r="D554" s="139"/>
    </row>
    <row r="555">
      <c r="C555" s="139"/>
      <c r="D555" s="139"/>
    </row>
    <row r="556">
      <c r="C556" s="139"/>
      <c r="D556" s="139"/>
    </row>
    <row r="557">
      <c r="C557" s="139"/>
      <c r="D557" s="139"/>
    </row>
    <row r="558">
      <c r="C558" s="139"/>
      <c r="D558" s="139"/>
    </row>
    <row r="559">
      <c r="C559" s="139"/>
      <c r="D559" s="139"/>
    </row>
    <row r="560">
      <c r="C560" s="139"/>
      <c r="D560" s="139"/>
    </row>
    <row r="561">
      <c r="C561" s="139"/>
      <c r="D561" s="139"/>
    </row>
    <row r="562">
      <c r="C562" s="139"/>
      <c r="D562" s="139"/>
    </row>
    <row r="563">
      <c r="C563" s="139"/>
      <c r="D563" s="139"/>
    </row>
    <row r="564">
      <c r="C564" s="139"/>
      <c r="D564" s="139"/>
    </row>
    <row r="565">
      <c r="C565" s="139"/>
      <c r="D565" s="139"/>
    </row>
    <row r="566">
      <c r="C566" s="139"/>
      <c r="D566" s="139"/>
    </row>
    <row r="567">
      <c r="C567" s="139"/>
      <c r="D567" s="139"/>
    </row>
    <row r="568">
      <c r="C568" s="139"/>
      <c r="D568" s="139"/>
    </row>
    <row r="569">
      <c r="C569" s="139"/>
      <c r="D569" s="139"/>
    </row>
    <row r="570">
      <c r="C570" s="139"/>
      <c r="D570" s="139"/>
    </row>
    <row r="571">
      <c r="C571" s="139"/>
      <c r="D571" s="139"/>
    </row>
    <row r="572">
      <c r="C572" s="139"/>
      <c r="D572" s="139"/>
    </row>
    <row r="573">
      <c r="C573" s="139"/>
      <c r="D573" s="139"/>
    </row>
    <row r="574">
      <c r="C574" s="139"/>
      <c r="D574" s="139"/>
    </row>
    <row r="575">
      <c r="C575" s="139"/>
      <c r="D575" s="139"/>
    </row>
    <row r="576">
      <c r="C576" s="139"/>
      <c r="D576" s="139"/>
    </row>
    <row r="577">
      <c r="C577" s="139"/>
      <c r="D577" s="139"/>
    </row>
    <row r="578">
      <c r="C578" s="139"/>
      <c r="D578" s="139"/>
    </row>
    <row r="579">
      <c r="C579" s="139"/>
      <c r="D579" s="139"/>
    </row>
    <row r="580">
      <c r="C580" s="139"/>
      <c r="D580" s="139"/>
    </row>
    <row r="581">
      <c r="C581" s="139"/>
      <c r="D581" s="139"/>
    </row>
    <row r="582">
      <c r="C582" s="139"/>
      <c r="D582" s="139"/>
    </row>
    <row r="583">
      <c r="C583" s="139"/>
      <c r="D583" s="139"/>
    </row>
    <row r="584">
      <c r="C584" s="139"/>
      <c r="D584" s="139"/>
    </row>
    <row r="585">
      <c r="C585" s="139"/>
      <c r="D585" s="139"/>
    </row>
    <row r="586">
      <c r="C586" s="139"/>
      <c r="D586" s="139"/>
    </row>
    <row r="587">
      <c r="C587" s="139"/>
      <c r="D587" s="139"/>
    </row>
    <row r="588">
      <c r="C588" s="139"/>
      <c r="D588" s="139"/>
    </row>
    <row r="589">
      <c r="C589" s="139"/>
      <c r="D589" s="139"/>
    </row>
    <row r="590">
      <c r="C590" s="139"/>
      <c r="D590" s="139"/>
    </row>
    <row r="591">
      <c r="C591" s="139"/>
      <c r="D591" s="139"/>
    </row>
    <row r="592">
      <c r="C592" s="139"/>
      <c r="D592" s="139"/>
    </row>
    <row r="593">
      <c r="C593" s="139"/>
      <c r="D593" s="139"/>
    </row>
    <row r="594">
      <c r="C594" s="139"/>
      <c r="D594" s="139"/>
    </row>
    <row r="595">
      <c r="C595" s="139"/>
      <c r="D595" s="139"/>
    </row>
    <row r="596">
      <c r="C596" s="139"/>
      <c r="D596" s="139"/>
    </row>
    <row r="597">
      <c r="C597" s="139"/>
      <c r="D597" s="139"/>
    </row>
    <row r="598">
      <c r="C598" s="139"/>
      <c r="D598" s="139"/>
    </row>
    <row r="599">
      <c r="C599" s="139"/>
      <c r="D599" s="139"/>
    </row>
    <row r="600">
      <c r="C600" s="139"/>
      <c r="D600" s="139"/>
    </row>
    <row r="601">
      <c r="C601" s="139"/>
      <c r="D601" s="139"/>
    </row>
    <row r="602">
      <c r="C602" s="139"/>
      <c r="D602" s="139"/>
    </row>
    <row r="603">
      <c r="C603" s="139"/>
      <c r="D603" s="139"/>
    </row>
    <row r="604">
      <c r="C604" s="139"/>
      <c r="D604" s="139"/>
    </row>
    <row r="605">
      <c r="C605" s="139"/>
      <c r="D605" s="139"/>
    </row>
    <row r="606">
      <c r="C606" s="139"/>
      <c r="D606" s="139"/>
    </row>
    <row r="607">
      <c r="C607" s="139"/>
      <c r="D607" s="139"/>
    </row>
    <row r="608">
      <c r="C608" s="139"/>
      <c r="D608" s="139"/>
    </row>
    <row r="609">
      <c r="C609" s="139"/>
      <c r="D609" s="139"/>
    </row>
    <row r="610">
      <c r="C610" s="139"/>
      <c r="D610" s="139"/>
    </row>
    <row r="611">
      <c r="C611" s="139"/>
      <c r="D611" s="139"/>
    </row>
    <row r="612">
      <c r="C612" s="139"/>
      <c r="D612" s="139"/>
    </row>
    <row r="613">
      <c r="C613" s="139"/>
      <c r="D613" s="139"/>
    </row>
    <row r="614">
      <c r="C614" s="139"/>
      <c r="D614" s="139"/>
    </row>
    <row r="615">
      <c r="C615" s="139"/>
      <c r="D615" s="139"/>
    </row>
    <row r="616">
      <c r="C616" s="139"/>
      <c r="D616" s="139"/>
    </row>
    <row r="617">
      <c r="C617" s="139"/>
      <c r="D617" s="139"/>
    </row>
    <row r="618">
      <c r="C618" s="139"/>
      <c r="D618" s="139"/>
    </row>
    <row r="619">
      <c r="C619" s="139"/>
      <c r="D619" s="139"/>
    </row>
    <row r="620">
      <c r="C620" s="139"/>
      <c r="D620" s="139"/>
    </row>
    <row r="621">
      <c r="C621" s="139"/>
      <c r="D621" s="139"/>
    </row>
    <row r="622">
      <c r="C622" s="139"/>
      <c r="D622" s="139"/>
    </row>
    <row r="623">
      <c r="C623" s="139"/>
      <c r="D623" s="139"/>
    </row>
    <row r="624">
      <c r="C624" s="139"/>
      <c r="D624" s="139"/>
    </row>
    <row r="625">
      <c r="C625" s="139"/>
      <c r="D625" s="139"/>
    </row>
    <row r="626">
      <c r="C626" s="139"/>
      <c r="D626" s="139"/>
    </row>
    <row r="627">
      <c r="C627" s="139"/>
      <c r="D627" s="139"/>
    </row>
    <row r="628">
      <c r="C628" s="139"/>
      <c r="D628" s="139"/>
    </row>
    <row r="629">
      <c r="C629" s="139"/>
      <c r="D629" s="139"/>
    </row>
    <row r="630">
      <c r="C630" s="139"/>
      <c r="D630" s="139"/>
    </row>
    <row r="631">
      <c r="C631" s="139"/>
      <c r="D631" s="139"/>
    </row>
    <row r="632">
      <c r="C632" s="139"/>
      <c r="D632" s="139"/>
    </row>
    <row r="633">
      <c r="C633" s="139"/>
      <c r="D633" s="139"/>
    </row>
    <row r="634">
      <c r="C634" s="139"/>
      <c r="D634" s="139"/>
    </row>
    <row r="635">
      <c r="C635" s="139"/>
      <c r="D635" s="139"/>
    </row>
    <row r="636">
      <c r="C636" s="139"/>
      <c r="D636" s="139"/>
    </row>
    <row r="637">
      <c r="C637" s="139"/>
      <c r="D637" s="139"/>
    </row>
    <row r="638">
      <c r="C638" s="139"/>
      <c r="D638" s="139"/>
    </row>
    <row r="639">
      <c r="C639" s="139"/>
      <c r="D639" s="139"/>
    </row>
    <row r="640">
      <c r="C640" s="139"/>
      <c r="D640" s="139"/>
    </row>
    <row r="641">
      <c r="C641" s="139"/>
      <c r="D641" s="139"/>
    </row>
    <row r="642">
      <c r="C642" s="139"/>
      <c r="D642" s="139"/>
    </row>
    <row r="643">
      <c r="C643" s="139"/>
      <c r="D643" s="139"/>
    </row>
    <row r="644">
      <c r="C644" s="139"/>
      <c r="D644" s="139"/>
    </row>
    <row r="645">
      <c r="C645" s="139"/>
      <c r="D645" s="139"/>
    </row>
    <row r="646">
      <c r="C646" s="139"/>
      <c r="D646" s="139"/>
    </row>
    <row r="647">
      <c r="C647" s="139"/>
      <c r="D647" s="139"/>
    </row>
    <row r="648">
      <c r="C648" s="139"/>
      <c r="D648" s="139"/>
    </row>
    <row r="649">
      <c r="C649" s="139"/>
      <c r="D649" s="139"/>
    </row>
    <row r="650">
      <c r="C650" s="139"/>
      <c r="D650" s="139"/>
    </row>
    <row r="651">
      <c r="C651" s="139"/>
      <c r="D651" s="139"/>
    </row>
    <row r="652">
      <c r="C652" s="139"/>
      <c r="D652" s="139"/>
    </row>
    <row r="653">
      <c r="C653" s="139"/>
      <c r="D653" s="139"/>
    </row>
    <row r="654">
      <c r="C654" s="139"/>
      <c r="D654" s="139"/>
    </row>
    <row r="655">
      <c r="C655" s="139"/>
      <c r="D655" s="139"/>
    </row>
    <row r="656">
      <c r="C656" s="139"/>
      <c r="D656" s="139"/>
    </row>
    <row r="657">
      <c r="C657" s="139"/>
      <c r="D657" s="139"/>
    </row>
    <row r="658">
      <c r="C658" s="139"/>
      <c r="D658" s="139"/>
    </row>
    <row r="659">
      <c r="C659" s="139"/>
      <c r="D659" s="139"/>
    </row>
    <row r="660">
      <c r="C660" s="139"/>
      <c r="D660" s="139"/>
    </row>
    <row r="661">
      <c r="C661" s="139"/>
      <c r="D661" s="139"/>
    </row>
    <row r="662">
      <c r="C662" s="139"/>
      <c r="D662" s="139"/>
    </row>
    <row r="663">
      <c r="C663" s="139"/>
      <c r="D663" s="139"/>
    </row>
    <row r="664">
      <c r="C664" s="139"/>
      <c r="D664" s="139"/>
    </row>
    <row r="665">
      <c r="C665" s="139"/>
      <c r="D665" s="139"/>
    </row>
    <row r="666">
      <c r="C666" s="139"/>
      <c r="D666" s="139"/>
    </row>
    <row r="667">
      <c r="C667" s="139"/>
      <c r="D667" s="139"/>
    </row>
    <row r="668">
      <c r="C668" s="139"/>
      <c r="D668" s="139"/>
    </row>
    <row r="669">
      <c r="C669" s="139"/>
      <c r="D669" s="139"/>
    </row>
    <row r="670">
      <c r="C670" s="139"/>
      <c r="D670" s="139"/>
    </row>
    <row r="671">
      <c r="C671" s="139"/>
      <c r="D671" s="139"/>
    </row>
    <row r="672">
      <c r="C672" s="139"/>
      <c r="D672" s="139"/>
    </row>
    <row r="673">
      <c r="C673" s="139"/>
      <c r="D673" s="139"/>
    </row>
    <row r="674">
      <c r="C674" s="139"/>
      <c r="D674" s="139"/>
    </row>
    <row r="675">
      <c r="C675" s="139"/>
      <c r="D675" s="139"/>
    </row>
    <row r="676">
      <c r="C676" s="139"/>
      <c r="D676" s="139"/>
    </row>
    <row r="677">
      <c r="C677" s="139"/>
      <c r="D677" s="139"/>
    </row>
    <row r="678">
      <c r="C678" s="139"/>
      <c r="D678" s="139"/>
    </row>
    <row r="679">
      <c r="C679" s="139"/>
      <c r="D679" s="139"/>
    </row>
    <row r="680">
      <c r="C680" s="139"/>
      <c r="D680" s="139"/>
    </row>
    <row r="681">
      <c r="C681" s="139"/>
      <c r="D681" s="139"/>
    </row>
    <row r="682">
      <c r="C682" s="139"/>
      <c r="D682" s="139"/>
    </row>
    <row r="683">
      <c r="C683" s="139"/>
      <c r="D683" s="139"/>
    </row>
    <row r="684">
      <c r="C684" s="139"/>
      <c r="D684" s="139"/>
    </row>
    <row r="685">
      <c r="C685" s="139"/>
      <c r="D685" s="139"/>
    </row>
    <row r="686">
      <c r="C686" s="139"/>
      <c r="D686" s="139"/>
    </row>
    <row r="687">
      <c r="C687" s="139"/>
      <c r="D687" s="139"/>
    </row>
    <row r="688">
      <c r="C688" s="139"/>
      <c r="D688" s="139"/>
    </row>
    <row r="689">
      <c r="C689" s="139"/>
      <c r="D689" s="139"/>
    </row>
    <row r="690">
      <c r="C690" s="139"/>
      <c r="D690" s="139"/>
    </row>
    <row r="691">
      <c r="C691" s="139"/>
      <c r="D691" s="139"/>
    </row>
    <row r="692">
      <c r="C692" s="139"/>
      <c r="D692" s="139"/>
    </row>
    <row r="693">
      <c r="C693" s="139"/>
      <c r="D693" s="139"/>
    </row>
    <row r="694">
      <c r="C694" s="139"/>
      <c r="D694" s="139"/>
    </row>
    <row r="695">
      <c r="C695" s="139"/>
      <c r="D695" s="139"/>
    </row>
    <row r="696">
      <c r="C696" s="139"/>
      <c r="D696" s="139"/>
    </row>
    <row r="697">
      <c r="C697" s="139"/>
      <c r="D697" s="139"/>
    </row>
    <row r="698">
      <c r="C698" s="139"/>
      <c r="D698" s="139"/>
    </row>
    <row r="699">
      <c r="C699" s="139"/>
      <c r="D699" s="139"/>
    </row>
    <row r="700">
      <c r="C700" s="139"/>
      <c r="D700" s="139"/>
    </row>
    <row r="701">
      <c r="C701" s="139"/>
      <c r="D701" s="139"/>
    </row>
    <row r="702">
      <c r="C702" s="139"/>
      <c r="D702" s="139"/>
    </row>
    <row r="703">
      <c r="C703" s="139"/>
      <c r="D703" s="139"/>
    </row>
    <row r="704">
      <c r="C704" s="139"/>
      <c r="D704" s="139"/>
    </row>
    <row r="705">
      <c r="C705" s="139"/>
      <c r="D705" s="139"/>
    </row>
    <row r="706">
      <c r="C706" s="139"/>
      <c r="D706" s="139"/>
    </row>
    <row r="707">
      <c r="C707" s="139"/>
      <c r="D707" s="139"/>
    </row>
    <row r="708">
      <c r="C708" s="139"/>
      <c r="D708" s="139"/>
    </row>
    <row r="709">
      <c r="C709" s="139"/>
      <c r="D709" s="139"/>
    </row>
    <row r="710">
      <c r="C710" s="139"/>
      <c r="D710" s="139"/>
    </row>
    <row r="711">
      <c r="C711" s="139"/>
      <c r="D711" s="139"/>
    </row>
    <row r="712">
      <c r="C712" s="139"/>
      <c r="D712" s="139"/>
    </row>
    <row r="713">
      <c r="C713" s="139"/>
      <c r="D713" s="139"/>
    </row>
    <row r="714">
      <c r="C714" s="139"/>
      <c r="D714" s="139"/>
    </row>
    <row r="715">
      <c r="C715" s="139"/>
      <c r="D715" s="139"/>
    </row>
    <row r="716">
      <c r="C716" s="139"/>
      <c r="D716" s="139"/>
    </row>
    <row r="717">
      <c r="C717" s="139"/>
      <c r="D717" s="139"/>
    </row>
    <row r="718">
      <c r="C718" s="139"/>
      <c r="D718" s="139"/>
    </row>
    <row r="719">
      <c r="C719" s="139"/>
      <c r="D719" s="139"/>
    </row>
    <row r="720">
      <c r="C720" s="139"/>
      <c r="D720" s="139"/>
    </row>
    <row r="721">
      <c r="C721" s="139"/>
      <c r="D721" s="139"/>
    </row>
    <row r="722">
      <c r="C722" s="139"/>
      <c r="D722" s="139"/>
    </row>
    <row r="723">
      <c r="C723" s="139"/>
      <c r="D723" s="139"/>
    </row>
    <row r="724">
      <c r="C724" s="139"/>
      <c r="D724" s="139"/>
    </row>
    <row r="725">
      <c r="C725" s="139"/>
      <c r="D725" s="139"/>
    </row>
    <row r="726">
      <c r="C726" s="139"/>
      <c r="D726" s="139"/>
    </row>
    <row r="727">
      <c r="C727" s="139"/>
      <c r="D727" s="139"/>
    </row>
    <row r="728">
      <c r="C728" s="139"/>
      <c r="D728" s="139"/>
    </row>
    <row r="729">
      <c r="C729" s="139"/>
      <c r="D729" s="139"/>
    </row>
    <row r="730">
      <c r="C730" s="139"/>
      <c r="D730" s="139"/>
    </row>
    <row r="731">
      <c r="C731" s="139"/>
      <c r="D731" s="139"/>
    </row>
    <row r="732">
      <c r="C732" s="139"/>
      <c r="D732" s="139"/>
    </row>
    <row r="733">
      <c r="C733" s="139"/>
      <c r="D733" s="139"/>
    </row>
    <row r="734">
      <c r="C734" s="139"/>
      <c r="D734" s="139"/>
    </row>
    <row r="735">
      <c r="C735" s="139"/>
      <c r="D735" s="139"/>
    </row>
    <row r="736">
      <c r="C736" s="139"/>
      <c r="D736" s="139"/>
    </row>
    <row r="737">
      <c r="C737" s="139"/>
      <c r="D737" s="139"/>
    </row>
    <row r="738">
      <c r="C738" s="139"/>
      <c r="D738" s="139"/>
    </row>
    <row r="739">
      <c r="C739" s="139"/>
      <c r="D739" s="139"/>
    </row>
    <row r="740">
      <c r="C740" s="139"/>
      <c r="D740" s="139"/>
    </row>
    <row r="741">
      <c r="C741" s="139"/>
      <c r="D741" s="139"/>
    </row>
    <row r="742">
      <c r="C742" s="139"/>
      <c r="D742" s="139"/>
    </row>
    <row r="743">
      <c r="C743" s="139"/>
      <c r="D743" s="139"/>
    </row>
    <row r="744">
      <c r="C744" s="139"/>
      <c r="D744" s="139"/>
    </row>
    <row r="745">
      <c r="C745" s="139"/>
      <c r="D745" s="139"/>
    </row>
    <row r="746">
      <c r="C746" s="139"/>
      <c r="D746" s="139"/>
    </row>
    <row r="747">
      <c r="C747" s="139"/>
      <c r="D747" s="139"/>
    </row>
    <row r="748">
      <c r="C748" s="139"/>
      <c r="D748" s="139"/>
    </row>
    <row r="749">
      <c r="C749" s="139"/>
      <c r="D749" s="139"/>
    </row>
    <row r="750">
      <c r="C750" s="139"/>
      <c r="D750" s="139"/>
    </row>
    <row r="751">
      <c r="C751" s="139"/>
      <c r="D751" s="139"/>
    </row>
    <row r="752">
      <c r="C752" s="139"/>
      <c r="D752" s="139"/>
    </row>
    <row r="753">
      <c r="C753" s="139"/>
      <c r="D753" s="139"/>
    </row>
    <row r="754">
      <c r="C754" s="139"/>
      <c r="D754" s="139"/>
    </row>
    <row r="755">
      <c r="C755" s="139"/>
      <c r="D755" s="139"/>
    </row>
    <row r="756">
      <c r="C756" s="139"/>
      <c r="D756" s="139"/>
    </row>
    <row r="757">
      <c r="C757" s="139"/>
      <c r="D757" s="139"/>
    </row>
    <row r="758">
      <c r="C758" s="139"/>
      <c r="D758" s="139"/>
    </row>
    <row r="759">
      <c r="C759" s="139"/>
      <c r="D759" s="139"/>
    </row>
    <row r="760">
      <c r="C760" s="139"/>
      <c r="D760" s="139"/>
    </row>
    <row r="761">
      <c r="C761" s="139"/>
      <c r="D761" s="139"/>
    </row>
    <row r="762">
      <c r="C762" s="139"/>
      <c r="D762" s="139"/>
    </row>
    <row r="763">
      <c r="C763" s="139"/>
      <c r="D763" s="139"/>
    </row>
    <row r="764">
      <c r="C764" s="139"/>
      <c r="D764" s="139"/>
    </row>
    <row r="765">
      <c r="C765" s="139"/>
      <c r="D765" s="139"/>
    </row>
    <row r="766">
      <c r="C766" s="139"/>
      <c r="D766" s="139"/>
    </row>
    <row r="767">
      <c r="C767" s="139"/>
      <c r="D767" s="139"/>
    </row>
    <row r="768">
      <c r="C768" s="139"/>
      <c r="D768" s="139"/>
    </row>
    <row r="769">
      <c r="C769" s="139"/>
      <c r="D769" s="139"/>
    </row>
    <row r="770">
      <c r="C770" s="139"/>
      <c r="D770" s="139"/>
    </row>
    <row r="771">
      <c r="C771" s="139"/>
      <c r="D771" s="139"/>
    </row>
    <row r="772">
      <c r="C772" s="139"/>
      <c r="D772" s="139"/>
    </row>
    <row r="773">
      <c r="C773" s="139"/>
      <c r="D773" s="139"/>
    </row>
    <row r="774">
      <c r="C774" s="139"/>
      <c r="D774" s="139"/>
    </row>
    <row r="775">
      <c r="C775" s="139"/>
      <c r="D775" s="139"/>
    </row>
    <row r="776">
      <c r="C776" s="139"/>
      <c r="D776" s="139"/>
    </row>
    <row r="777">
      <c r="C777" s="139"/>
      <c r="D777" s="139"/>
    </row>
    <row r="778">
      <c r="C778" s="139"/>
      <c r="D778" s="139"/>
    </row>
    <row r="779">
      <c r="C779" s="139"/>
      <c r="D779" s="139"/>
    </row>
    <row r="780">
      <c r="C780" s="139"/>
      <c r="D780" s="139"/>
    </row>
    <row r="781">
      <c r="C781" s="139"/>
      <c r="D781" s="139"/>
    </row>
    <row r="782">
      <c r="C782" s="139"/>
      <c r="D782" s="139"/>
    </row>
    <row r="783">
      <c r="C783" s="139"/>
      <c r="D783" s="139"/>
    </row>
    <row r="784">
      <c r="C784" s="139"/>
      <c r="D784" s="139"/>
    </row>
    <row r="785">
      <c r="C785" s="139"/>
      <c r="D785" s="139"/>
    </row>
    <row r="786">
      <c r="C786" s="139"/>
      <c r="D786" s="139"/>
    </row>
    <row r="787">
      <c r="C787" s="139"/>
      <c r="D787" s="139"/>
    </row>
    <row r="788">
      <c r="C788" s="139"/>
      <c r="D788" s="139"/>
    </row>
    <row r="789">
      <c r="C789" s="139"/>
      <c r="D789" s="139"/>
    </row>
    <row r="790">
      <c r="C790" s="139"/>
      <c r="D790" s="139"/>
    </row>
    <row r="791">
      <c r="C791" s="139"/>
      <c r="D791" s="139"/>
    </row>
    <row r="792">
      <c r="C792" s="139"/>
      <c r="D792" s="139"/>
    </row>
    <row r="793">
      <c r="C793" s="139"/>
      <c r="D793" s="139"/>
    </row>
    <row r="794">
      <c r="C794" s="139"/>
      <c r="D794" s="139"/>
    </row>
    <row r="795">
      <c r="C795" s="139"/>
      <c r="D795" s="139"/>
    </row>
    <row r="796">
      <c r="C796" s="139"/>
      <c r="D796" s="139"/>
    </row>
    <row r="797">
      <c r="C797" s="139"/>
      <c r="D797" s="139"/>
    </row>
    <row r="798">
      <c r="C798" s="139"/>
      <c r="D798" s="139"/>
    </row>
    <row r="799">
      <c r="C799" s="139"/>
      <c r="D799" s="139"/>
    </row>
    <row r="800">
      <c r="C800" s="139"/>
      <c r="D800" s="139"/>
    </row>
    <row r="801">
      <c r="C801" s="139"/>
      <c r="D801" s="139"/>
    </row>
    <row r="802">
      <c r="C802" s="139"/>
      <c r="D802" s="139"/>
    </row>
    <row r="803">
      <c r="C803" s="139"/>
      <c r="D803" s="139"/>
    </row>
    <row r="804">
      <c r="C804" s="139"/>
      <c r="D804" s="139"/>
    </row>
    <row r="805">
      <c r="C805" s="139"/>
      <c r="D805" s="139"/>
    </row>
    <row r="806">
      <c r="C806" s="139"/>
      <c r="D806" s="139"/>
    </row>
    <row r="807">
      <c r="C807" s="139"/>
      <c r="D807" s="139"/>
    </row>
    <row r="808">
      <c r="C808" s="139"/>
      <c r="D808" s="139"/>
    </row>
    <row r="809">
      <c r="C809" s="139"/>
      <c r="D809" s="139"/>
    </row>
    <row r="810">
      <c r="C810" s="139"/>
      <c r="D810" s="139"/>
    </row>
    <row r="811">
      <c r="C811" s="139"/>
      <c r="D811" s="139"/>
    </row>
    <row r="812">
      <c r="C812" s="139"/>
      <c r="D812" s="139"/>
    </row>
    <row r="813">
      <c r="C813" s="139"/>
      <c r="D813" s="139"/>
    </row>
    <row r="814">
      <c r="C814" s="139"/>
      <c r="D814" s="139"/>
    </row>
    <row r="815">
      <c r="C815" s="139"/>
      <c r="D815" s="139"/>
    </row>
    <row r="816">
      <c r="C816" s="139"/>
      <c r="D816" s="139"/>
    </row>
    <row r="817">
      <c r="C817" s="139"/>
      <c r="D817" s="139"/>
    </row>
    <row r="818">
      <c r="C818" s="139"/>
      <c r="D818" s="139"/>
    </row>
    <row r="819">
      <c r="C819" s="139"/>
      <c r="D819" s="139"/>
    </row>
    <row r="820">
      <c r="C820" s="139"/>
      <c r="D820" s="139"/>
    </row>
    <row r="821">
      <c r="C821" s="139"/>
      <c r="D821" s="139"/>
    </row>
    <row r="822">
      <c r="C822" s="139"/>
      <c r="D822" s="139"/>
    </row>
    <row r="823">
      <c r="C823" s="139"/>
      <c r="D823" s="139"/>
    </row>
    <row r="824">
      <c r="C824" s="139"/>
      <c r="D824" s="139"/>
    </row>
    <row r="825">
      <c r="C825" s="139"/>
      <c r="D825" s="139"/>
    </row>
    <row r="826">
      <c r="C826" s="139"/>
      <c r="D826" s="139"/>
    </row>
    <row r="827">
      <c r="C827" s="139"/>
      <c r="D827" s="139"/>
    </row>
    <row r="828">
      <c r="C828" s="139"/>
      <c r="D828" s="139"/>
    </row>
    <row r="829">
      <c r="C829" s="139"/>
      <c r="D829" s="139"/>
    </row>
    <row r="830">
      <c r="C830" s="139"/>
      <c r="D830" s="139"/>
    </row>
    <row r="831">
      <c r="C831" s="139"/>
      <c r="D831" s="139"/>
    </row>
    <row r="832">
      <c r="C832" s="139"/>
      <c r="D832" s="139"/>
    </row>
    <row r="833">
      <c r="C833" s="139"/>
      <c r="D833" s="139"/>
    </row>
    <row r="834">
      <c r="C834" s="139"/>
      <c r="D834" s="139"/>
    </row>
    <row r="835">
      <c r="C835" s="139"/>
      <c r="D835" s="139"/>
    </row>
    <row r="836">
      <c r="C836" s="139"/>
      <c r="D836" s="139"/>
    </row>
    <row r="837">
      <c r="C837" s="139"/>
      <c r="D837" s="139"/>
    </row>
    <row r="838">
      <c r="C838" s="139"/>
      <c r="D838" s="139"/>
    </row>
    <row r="839">
      <c r="C839" s="139"/>
      <c r="D839" s="139"/>
    </row>
    <row r="840">
      <c r="C840" s="139"/>
      <c r="D840" s="139"/>
    </row>
    <row r="841">
      <c r="C841" s="139"/>
      <c r="D841" s="139"/>
    </row>
    <row r="842">
      <c r="C842" s="139"/>
      <c r="D842" s="139"/>
    </row>
    <row r="843">
      <c r="C843" s="139"/>
      <c r="D843" s="139"/>
    </row>
    <row r="844">
      <c r="C844" s="139"/>
      <c r="D844" s="139"/>
    </row>
    <row r="845">
      <c r="C845" s="139"/>
      <c r="D845" s="139"/>
    </row>
    <row r="846">
      <c r="C846" s="139"/>
      <c r="D846" s="139"/>
    </row>
    <row r="847">
      <c r="C847" s="139"/>
      <c r="D847" s="139"/>
    </row>
    <row r="848">
      <c r="C848" s="139"/>
      <c r="D848" s="139"/>
    </row>
    <row r="849">
      <c r="C849" s="139"/>
      <c r="D849" s="139"/>
    </row>
    <row r="850">
      <c r="C850" s="139"/>
      <c r="D850" s="139"/>
    </row>
    <row r="851">
      <c r="C851" s="139"/>
      <c r="D851" s="139"/>
    </row>
    <row r="852">
      <c r="C852" s="139"/>
      <c r="D852" s="139"/>
    </row>
    <row r="853">
      <c r="C853" s="139"/>
      <c r="D853" s="139"/>
    </row>
    <row r="854">
      <c r="C854" s="139"/>
      <c r="D854" s="139"/>
    </row>
    <row r="855">
      <c r="C855" s="139"/>
      <c r="D855" s="139"/>
    </row>
    <row r="856">
      <c r="C856" s="139"/>
      <c r="D856" s="139"/>
    </row>
    <row r="857">
      <c r="C857" s="139"/>
      <c r="D857" s="139"/>
    </row>
    <row r="858">
      <c r="C858" s="139"/>
      <c r="D858" s="139"/>
    </row>
    <row r="859">
      <c r="C859" s="139"/>
      <c r="D859" s="139"/>
    </row>
    <row r="860">
      <c r="C860" s="139"/>
      <c r="D860" s="139"/>
    </row>
    <row r="861">
      <c r="C861" s="139"/>
      <c r="D861" s="139"/>
    </row>
    <row r="862">
      <c r="C862" s="139"/>
      <c r="D862" s="139"/>
    </row>
    <row r="863">
      <c r="C863" s="139"/>
      <c r="D863" s="139"/>
    </row>
    <row r="864">
      <c r="C864" s="139"/>
      <c r="D864" s="139"/>
    </row>
    <row r="865">
      <c r="C865" s="139"/>
      <c r="D865" s="139"/>
    </row>
    <row r="866">
      <c r="C866" s="139"/>
      <c r="D866" s="139"/>
    </row>
    <row r="867">
      <c r="C867" s="139"/>
      <c r="D867" s="139"/>
    </row>
    <row r="868">
      <c r="C868" s="139"/>
      <c r="D868" s="139"/>
    </row>
    <row r="869">
      <c r="C869" s="139"/>
      <c r="D869" s="139"/>
    </row>
    <row r="870">
      <c r="C870" s="139"/>
      <c r="D870" s="139"/>
    </row>
    <row r="871">
      <c r="C871" s="139"/>
      <c r="D871" s="139"/>
    </row>
    <row r="872">
      <c r="C872" s="139"/>
      <c r="D872" s="139"/>
    </row>
    <row r="873">
      <c r="C873" s="139"/>
      <c r="D873" s="139"/>
    </row>
    <row r="874">
      <c r="C874" s="139"/>
      <c r="D874" s="139"/>
    </row>
    <row r="875">
      <c r="C875" s="139"/>
      <c r="D875" s="139"/>
    </row>
    <row r="876">
      <c r="C876" s="139"/>
      <c r="D876" s="139"/>
    </row>
    <row r="877">
      <c r="C877" s="139"/>
      <c r="D877" s="139"/>
    </row>
    <row r="878">
      <c r="C878" s="139"/>
      <c r="D878" s="139"/>
    </row>
    <row r="879">
      <c r="C879" s="139"/>
      <c r="D879" s="139"/>
    </row>
    <row r="880">
      <c r="C880" s="139"/>
      <c r="D880" s="139"/>
    </row>
    <row r="881">
      <c r="C881" s="139"/>
      <c r="D881" s="139"/>
    </row>
    <row r="882">
      <c r="C882" s="139"/>
      <c r="D882" s="139"/>
    </row>
    <row r="883">
      <c r="C883" s="139"/>
      <c r="D883" s="139"/>
    </row>
    <row r="884">
      <c r="C884" s="139"/>
      <c r="D884" s="139"/>
    </row>
    <row r="885">
      <c r="C885" s="139"/>
      <c r="D885" s="139"/>
    </row>
    <row r="886">
      <c r="C886" s="139"/>
      <c r="D886" s="139"/>
    </row>
    <row r="887">
      <c r="C887" s="139"/>
      <c r="D887" s="139"/>
    </row>
    <row r="888">
      <c r="C888" s="139"/>
      <c r="D888" s="139"/>
    </row>
    <row r="889">
      <c r="C889" s="139"/>
      <c r="D889" s="139"/>
    </row>
    <row r="890">
      <c r="C890" s="139"/>
      <c r="D890" s="139"/>
    </row>
    <row r="891">
      <c r="C891" s="139"/>
      <c r="D891" s="139"/>
    </row>
    <row r="892">
      <c r="C892" s="139"/>
      <c r="D892" s="139"/>
    </row>
    <row r="893">
      <c r="C893" s="139"/>
      <c r="D893" s="139"/>
    </row>
    <row r="894">
      <c r="C894" s="139"/>
      <c r="D894" s="139"/>
    </row>
    <row r="895">
      <c r="C895" s="139"/>
      <c r="D895" s="139"/>
    </row>
    <row r="896">
      <c r="C896" s="139"/>
      <c r="D896" s="139"/>
    </row>
    <row r="897">
      <c r="C897" s="139"/>
      <c r="D897" s="139"/>
    </row>
    <row r="898">
      <c r="C898" s="139"/>
      <c r="D898" s="139"/>
    </row>
    <row r="899">
      <c r="C899" s="139"/>
      <c r="D899" s="139"/>
    </row>
    <row r="900">
      <c r="C900" s="139"/>
      <c r="D900" s="139"/>
    </row>
    <row r="901">
      <c r="C901" s="139"/>
      <c r="D901" s="139"/>
    </row>
    <row r="902">
      <c r="C902" s="139"/>
      <c r="D902" s="139"/>
    </row>
    <row r="903">
      <c r="C903" s="139"/>
      <c r="D903" s="139"/>
    </row>
    <row r="904">
      <c r="C904" s="139"/>
      <c r="D904" s="139"/>
    </row>
    <row r="905">
      <c r="C905" s="139"/>
      <c r="D905" s="139"/>
    </row>
    <row r="906">
      <c r="C906" s="139"/>
      <c r="D906" s="139"/>
    </row>
    <row r="907">
      <c r="C907" s="139"/>
      <c r="D907" s="139"/>
    </row>
    <row r="908">
      <c r="C908" s="139"/>
      <c r="D908" s="139"/>
    </row>
    <row r="909">
      <c r="C909" s="139"/>
      <c r="D909" s="139"/>
    </row>
    <row r="910">
      <c r="C910" s="139"/>
      <c r="D910" s="139"/>
    </row>
    <row r="911">
      <c r="C911" s="139"/>
      <c r="D911" s="139"/>
    </row>
    <row r="912">
      <c r="C912" s="139"/>
      <c r="D912" s="139"/>
    </row>
    <row r="913">
      <c r="C913" s="139"/>
      <c r="D913" s="139"/>
    </row>
    <row r="914">
      <c r="C914" s="139"/>
      <c r="D914" s="139"/>
    </row>
    <row r="915">
      <c r="C915" s="139"/>
      <c r="D915" s="139"/>
    </row>
    <row r="916">
      <c r="C916" s="139"/>
      <c r="D916" s="139"/>
    </row>
    <row r="917">
      <c r="C917" s="139"/>
      <c r="D917" s="139"/>
    </row>
    <row r="918">
      <c r="C918" s="139"/>
      <c r="D918" s="139"/>
    </row>
    <row r="919">
      <c r="C919" s="139"/>
      <c r="D919" s="139"/>
    </row>
    <row r="920">
      <c r="C920" s="139"/>
      <c r="D920" s="139"/>
    </row>
    <row r="921">
      <c r="C921" s="139"/>
      <c r="D921" s="139"/>
    </row>
    <row r="922">
      <c r="C922" s="139"/>
      <c r="D922" s="139"/>
    </row>
    <row r="923">
      <c r="C923" s="139"/>
      <c r="D923" s="139"/>
    </row>
    <row r="924">
      <c r="C924" s="139"/>
      <c r="D924" s="139"/>
    </row>
    <row r="925">
      <c r="C925" s="139"/>
      <c r="D925" s="139"/>
    </row>
    <row r="926">
      <c r="C926" s="139"/>
      <c r="D926" s="139"/>
    </row>
    <row r="927">
      <c r="C927" s="139"/>
      <c r="D927" s="139"/>
    </row>
    <row r="928">
      <c r="C928" s="139"/>
      <c r="D928" s="139"/>
    </row>
    <row r="929">
      <c r="C929" s="139"/>
      <c r="D929" s="139"/>
    </row>
    <row r="930">
      <c r="C930" s="139"/>
      <c r="D930" s="139"/>
    </row>
    <row r="931">
      <c r="C931" s="139"/>
      <c r="D931" s="139"/>
    </row>
    <row r="932">
      <c r="C932" s="139"/>
      <c r="D932" s="139"/>
    </row>
    <row r="933">
      <c r="C933" s="139"/>
      <c r="D933" s="139"/>
    </row>
    <row r="934">
      <c r="C934" s="139"/>
      <c r="D934" s="139"/>
    </row>
    <row r="935">
      <c r="C935" s="139"/>
      <c r="D935" s="139"/>
    </row>
    <row r="936">
      <c r="C936" s="139"/>
      <c r="D936" s="139"/>
    </row>
    <row r="937">
      <c r="C937" s="139"/>
      <c r="D937" s="139"/>
    </row>
    <row r="938">
      <c r="C938" s="139"/>
      <c r="D938" s="139"/>
    </row>
    <row r="939">
      <c r="C939" s="139"/>
      <c r="D939" s="139"/>
    </row>
    <row r="940">
      <c r="C940" s="139"/>
      <c r="D940" s="139"/>
    </row>
    <row r="941">
      <c r="C941" s="139"/>
      <c r="D941" s="139"/>
    </row>
    <row r="942">
      <c r="C942" s="139"/>
      <c r="D942" s="139"/>
    </row>
    <row r="943">
      <c r="C943" s="139"/>
      <c r="D943" s="139"/>
    </row>
    <row r="944">
      <c r="C944" s="139"/>
      <c r="D944" s="139"/>
    </row>
    <row r="945">
      <c r="C945" s="139"/>
      <c r="D945" s="139"/>
    </row>
    <row r="946">
      <c r="C946" s="139"/>
      <c r="D946" s="139"/>
    </row>
    <row r="947">
      <c r="C947" s="139"/>
      <c r="D947" s="139"/>
    </row>
    <row r="948">
      <c r="C948" s="139"/>
      <c r="D948" s="139"/>
    </row>
    <row r="949">
      <c r="C949" s="139"/>
      <c r="D949" s="139"/>
    </row>
    <row r="950">
      <c r="C950" s="139"/>
      <c r="D950" s="139"/>
    </row>
    <row r="951">
      <c r="C951" s="139"/>
      <c r="D951" s="139"/>
    </row>
    <row r="952">
      <c r="C952" s="139"/>
      <c r="D952" s="139"/>
    </row>
    <row r="953">
      <c r="C953" s="139"/>
      <c r="D953" s="139"/>
    </row>
    <row r="954">
      <c r="C954" s="139"/>
      <c r="D954" s="139"/>
    </row>
    <row r="955">
      <c r="C955" s="139"/>
      <c r="D955" s="139"/>
    </row>
    <row r="956">
      <c r="C956" s="139"/>
      <c r="D956" s="139"/>
    </row>
    <row r="957">
      <c r="C957" s="139"/>
      <c r="D957" s="139"/>
    </row>
    <row r="958">
      <c r="C958" s="139"/>
      <c r="D958" s="139"/>
    </row>
    <row r="959">
      <c r="C959" s="139"/>
      <c r="D959" s="139"/>
    </row>
    <row r="960">
      <c r="C960" s="139"/>
      <c r="D960" s="139"/>
    </row>
    <row r="961">
      <c r="C961" s="139"/>
      <c r="D961" s="139"/>
    </row>
    <row r="962">
      <c r="C962" s="139"/>
      <c r="D962" s="139"/>
    </row>
    <row r="963">
      <c r="C963" s="139"/>
      <c r="D963" s="139"/>
    </row>
    <row r="964">
      <c r="C964" s="139"/>
      <c r="D964" s="139"/>
    </row>
    <row r="965">
      <c r="C965" s="139"/>
      <c r="D965" s="139"/>
    </row>
    <row r="966">
      <c r="C966" s="139"/>
      <c r="D966" s="139"/>
    </row>
    <row r="967">
      <c r="C967" s="139"/>
      <c r="D967" s="139"/>
    </row>
    <row r="968">
      <c r="C968" s="139"/>
      <c r="D968" s="139"/>
    </row>
    <row r="969">
      <c r="C969" s="139"/>
      <c r="D969" s="139"/>
    </row>
    <row r="970">
      <c r="C970" s="139"/>
      <c r="D970" s="139"/>
    </row>
    <row r="971">
      <c r="C971" s="139"/>
      <c r="D971" s="139"/>
    </row>
    <row r="972">
      <c r="C972" s="139"/>
      <c r="D972" s="139"/>
    </row>
    <row r="973">
      <c r="C973" s="139"/>
      <c r="D973" s="139"/>
    </row>
    <row r="974">
      <c r="C974" s="139"/>
      <c r="D974" s="139"/>
    </row>
    <row r="975">
      <c r="C975" s="139"/>
      <c r="D975" s="139"/>
    </row>
    <row r="976">
      <c r="C976" s="139"/>
      <c r="D976" s="139"/>
    </row>
    <row r="977">
      <c r="C977" s="139"/>
      <c r="D977" s="139"/>
    </row>
    <row r="978">
      <c r="C978" s="139"/>
      <c r="D978" s="139"/>
    </row>
    <row r="979">
      <c r="C979" s="139"/>
      <c r="D979" s="139"/>
    </row>
    <row r="980">
      <c r="C980" s="139"/>
      <c r="D980" s="139"/>
    </row>
    <row r="981">
      <c r="C981" s="139"/>
      <c r="D981" s="139"/>
    </row>
    <row r="982">
      <c r="C982" s="139"/>
      <c r="D982" s="139"/>
    </row>
    <row r="983">
      <c r="C983" s="139"/>
      <c r="D983" s="139"/>
    </row>
    <row r="984">
      <c r="C984" s="139"/>
      <c r="D984" s="139"/>
    </row>
    <row r="985">
      <c r="C985" s="139"/>
      <c r="D985" s="139"/>
    </row>
    <row r="986">
      <c r="C986" s="139"/>
      <c r="D986" s="139"/>
    </row>
    <row r="987">
      <c r="C987" s="139"/>
      <c r="D987" s="139"/>
    </row>
    <row r="988">
      <c r="C988" s="139"/>
      <c r="D988" s="139"/>
    </row>
    <row r="989">
      <c r="C989" s="139"/>
      <c r="D989" s="139"/>
    </row>
    <row r="990">
      <c r="C990" s="139"/>
      <c r="D990" s="139"/>
    </row>
    <row r="991">
      <c r="C991" s="139"/>
      <c r="D991" s="139"/>
    </row>
    <row r="992">
      <c r="C992" s="139"/>
      <c r="D992" s="139"/>
    </row>
    <row r="993">
      <c r="C993" s="139"/>
      <c r="D993" s="139"/>
    </row>
    <row r="994">
      <c r="C994" s="139"/>
      <c r="D994" s="139"/>
    </row>
    <row r="995">
      <c r="C995" s="139"/>
      <c r="D995" s="139"/>
    </row>
    <row r="996">
      <c r="C996" s="139"/>
      <c r="D996" s="139"/>
    </row>
    <row r="997">
      <c r="C997" s="139"/>
      <c r="D997" s="139"/>
    </row>
    <row r="998">
      <c r="C998" s="139"/>
      <c r="D998" s="139"/>
    </row>
    <row r="999">
      <c r="C999" s="139"/>
      <c r="D999" s="139"/>
    </row>
    <row r="1000">
      <c r="C1000" s="139"/>
      <c r="D1000" s="139"/>
    </row>
    <row r="1001">
      <c r="C1001" s="139"/>
      <c r="D1001" s="139"/>
    </row>
    <row r="1002">
      <c r="C1002" s="139"/>
      <c r="D1002" s="139"/>
    </row>
  </sheetData>
  <mergeCells count="2">
    <mergeCell ref="O1:P1"/>
    <mergeCell ref="Q1:R1"/>
  </mergeCells>
  <conditionalFormatting sqref="E1:E3">
    <cfRule type="containsText" dxfId="0" priority="1" operator="containsText" text="Dem">
      <formula>NOT(ISERROR(SEARCH(("Dem"),(E1))))</formula>
    </cfRule>
  </conditionalFormatting>
  <conditionalFormatting sqref="E1:E3">
    <cfRule type="containsText" dxfId="1" priority="2" operator="containsText" text="Rep">
      <formula>NOT(ISERROR(SEARCH(("Rep"),(E1))))</formula>
    </cfRule>
  </conditionalFormatting>
  <hyperlinks>
    <hyperlink r:id="rId1" ref="C44"/>
    <hyperlink r:id="rId2" ref="C45"/>
    <hyperlink r:id="rId3" ref="C46"/>
    <hyperlink r:id="rId4" ref="C48"/>
    <hyperlink r:id="rId5" ref="C49"/>
    <hyperlink r:id="rId6" ref="C50"/>
    <hyperlink r:id="rId7" ref="C51"/>
    <hyperlink r:id="rId8" ref="C52"/>
    <hyperlink r:id="rId9" ref="C53"/>
    <hyperlink r:id="rId10" ref="C55"/>
    <hyperlink r:id="rId11" ref="C56"/>
    <hyperlink r:id="rId12" ref="C57"/>
    <hyperlink r:id="rId13" ref="C58"/>
    <hyperlink r:id="rId14" ref="C59"/>
    <hyperlink r:id="rId15" ref="C60"/>
    <hyperlink r:id="rId16" ref="C61"/>
    <hyperlink r:id="rId17" ref="C62"/>
    <hyperlink r:id="rId18" ref="C63"/>
    <hyperlink r:id="rId19" ref="C65"/>
    <hyperlink r:id="rId20" ref="C66"/>
    <hyperlink r:id="rId21" ref="C68"/>
    <hyperlink r:id="rId22" ref="C70"/>
    <hyperlink r:id="rId23" ref="C71"/>
    <hyperlink r:id="rId24" ref="C72"/>
    <hyperlink r:id="rId25" ref="C73"/>
    <hyperlink r:id="rId26" ref="C74"/>
    <hyperlink r:id="rId27" ref="C75"/>
    <hyperlink r:id="rId28" ref="C78"/>
    <hyperlink r:id="rId29" ref="C82"/>
    <hyperlink r:id="rId30" ref="C84"/>
    <hyperlink r:id="rId31" ref="C86"/>
    <hyperlink r:id="rId32" ref="C87"/>
    <hyperlink r:id="rId33" ref="C88"/>
    <hyperlink r:id="rId34" ref="C89"/>
    <hyperlink r:id="rId35" ref="C90"/>
    <hyperlink r:id="rId36" ref="C91"/>
    <hyperlink r:id="rId37" ref="C93"/>
    <hyperlink r:id="rId38" ref="C94"/>
  </hyperlinks>
  <drawing r:id="rId39"/>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14" t="s">
        <v>14234</v>
      </c>
      <c r="G1" s="14" t="s">
        <v>14247</v>
      </c>
    </row>
    <row r="2">
      <c r="A2" s="709" t="s">
        <v>236</v>
      </c>
      <c r="B2" s="709" t="s">
        <v>14259</v>
      </c>
      <c r="C2" s="709" t="s">
        <v>679</v>
      </c>
      <c r="D2" s="709" t="s">
        <v>10762</v>
      </c>
      <c r="E2" s="709" t="s">
        <v>14260</v>
      </c>
      <c r="F2" s="709" t="s">
        <v>751</v>
      </c>
    </row>
    <row r="3">
      <c r="A3" s="709" t="s">
        <v>236</v>
      </c>
      <c r="B3" s="709" t="s">
        <v>14259</v>
      </c>
      <c r="C3" s="709" t="s">
        <v>683</v>
      </c>
      <c r="D3" s="709" t="s">
        <v>5094</v>
      </c>
      <c r="E3" s="709" t="s">
        <v>14262</v>
      </c>
      <c r="F3" s="709" t="s">
        <v>877</v>
      </c>
    </row>
    <row r="4">
      <c r="A4" s="709" t="s">
        <v>236</v>
      </c>
      <c r="B4" s="709" t="s">
        <v>14259</v>
      </c>
      <c r="C4" s="709" t="s">
        <v>191</v>
      </c>
      <c r="D4" s="709" t="s">
        <v>2789</v>
      </c>
      <c r="E4" s="709" t="s">
        <v>14263</v>
      </c>
      <c r="F4" s="709" t="s">
        <v>9648</v>
      </c>
    </row>
    <row r="5">
      <c r="A5" s="709" t="s">
        <v>236</v>
      </c>
      <c r="B5" s="709" t="s">
        <v>14259</v>
      </c>
      <c r="C5" s="709" t="s">
        <v>3053</v>
      </c>
      <c r="D5" s="709" t="s">
        <v>10871</v>
      </c>
      <c r="E5" s="709" t="s">
        <v>14266</v>
      </c>
      <c r="F5" s="709" t="s">
        <v>254</v>
      </c>
    </row>
    <row r="6">
      <c r="A6" s="709" t="s">
        <v>236</v>
      </c>
      <c r="B6" s="709" t="s">
        <v>14259</v>
      </c>
      <c r="C6" s="709" t="s">
        <v>384</v>
      </c>
      <c r="D6" s="709" t="s">
        <v>10883</v>
      </c>
      <c r="E6" s="709" t="s">
        <v>14267</v>
      </c>
      <c r="F6" s="709" t="s">
        <v>1188</v>
      </c>
    </row>
    <row r="7">
      <c r="A7" s="709" t="s">
        <v>236</v>
      </c>
      <c r="B7" s="709" t="s">
        <v>430</v>
      </c>
      <c r="C7" s="709" t="s">
        <v>9795</v>
      </c>
      <c r="D7" s="709" t="s">
        <v>11514</v>
      </c>
      <c r="E7" s="709" t="s">
        <v>14270</v>
      </c>
      <c r="F7" s="709" t="s">
        <v>877</v>
      </c>
    </row>
    <row r="8">
      <c r="A8" s="709" t="s">
        <v>236</v>
      </c>
      <c r="B8" s="709" t="s">
        <v>430</v>
      </c>
      <c r="C8" s="709" t="s">
        <v>367</v>
      </c>
      <c r="D8" s="709" t="s">
        <v>3014</v>
      </c>
      <c r="E8" s="709" t="s">
        <v>14273</v>
      </c>
      <c r="F8" s="709" t="s">
        <v>291</v>
      </c>
    </row>
    <row r="9">
      <c r="A9" s="709" t="s">
        <v>236</v>
      </c>
      <c r="B9" s="709" t="s">
        <v>430</v>
      </c>
      <c r="C9" s="709" t="s">
        <v>1973</v>
      </c>
      <c r="D9" s="709" t="s">
        <v>11600</v>
      </c>
      <c r="E9" s="709" t="s">
        <v>14275</v>
      </c>
      <c r="F9" s="709" t="s">
        <v>517</v>
      </c>
    </row>
    <row r="10">
      <c r="A10" s="709" t="s">
        <v>236</v>
      </c>
      <c r="B10" s="709" t="s">
        <v>430</v>
      </c>
      <c r="C10" s="709" t="s">
        <v>91</v>
      </c>
      <c r="D10" s="709" t="s">
        <v>11609</v>
      </c>
      <c r="E10" s="709" t="s">
        <v>14277</v>
      </c>
      <c r="F10" s="709" t="s">
        <v>11610</v>
      </c>
    </row>
    <row r="11">
      <c r="A11" s="709" t="s">
        <v>236</v>
      </c>
      <c r="B11" s="709" t="s">
        <v>430</v>
      </c>
      <c r="C11" s="709" t="s">
        <v>177</v>
      </c>
      <c r="D11" s="709" t="s">
        <v>2564</v>
      </c>
      <c r="E11" s="709" t="s">
        <v>14281</v>
      </c>
      <c r="F11" s="709" t="s">
        <v>1479</v>
      </c>
    </row>
    <row r="12">
      <c r="A12" s="709" t="s">
        <v>236</v>
      </c>
      <c r="B12" s="709" t="s">
        <v>430</v>
      </c>
      <c r="C12" s="709" t="s">
        <v>442</v>
      </c>
      <c r="D12" s="709" t="s">
        <v>11637</v>
      </c>
      <c r="E12" s="709" t="s">
        <v>14283</v>
      </c>
      <c r="F12" s="709" t="s">
        <v>4576</v>
      </c>
    </row>
    <row r="13">
      <c r="A13" s="709" t="s">
        <v>236</v>
      </c>
      <c r="B13" s="709" t="s">
        <v>430</v>
      </c>
      <c r="C13" s="709" t="s">
        <v>1476</v>
      </c>
      <c r="D13" s="709" t="s">
        <v>6832</v>
      </c>
      <c r="E13" s="709" t="s">
        <v>14285</v>
      </c>
      <c r="F13" s="709" t="s">
        <v>11610</v>
      </c>
    </row>
    <row r="14">
      <c r="A14" s="709" t="s">
        <v>236</v>
      </c>
      <c r="B14" s="709" t="s">
        <v>430</v>
      </c>
      <c r="C14" s="709" t="s">
        <v>2490</v>
      </c>
      <c r="D14" s="709" t="s">
        <v>11685</v>
      </c>
      <c r="E14" s="709" t="s">
        <v>14290</v>
      </c>
      <c r="F14" s="709" t="s">
        <v>1479</v>
      </c>
    </row>
    <row r="15">
      <c r="A15" s="709" t="s">
        <v>236</v>
      </c>
      <c r="B15" s="709" t="s">
        <v>430</v>
      </c>
      <c r="C15" s="709" t="s">
        <v>1213</v>
      </c>
      <c r="D15" s="709" t="s">
        <v>3961</v>
      </c>
      <c r="E15" s="709" t="s">
        <v>14293</v>
      </c>
      <c r="F15" s="709" t="s">
        <v>11704</v>
      </c>
    </row>
    <row r="16">
      <c r="A16" s="709" t="s">
        <v>256</v>
      </c>
      <c r="B16" s="709" t="s">
        <v>14259</v>
      </c>
      <c r="C16" s="709" t="s">
        <v>325</v>
      </c>
      <c r="D16" s="709" t="s">
        <v>825</v>
      </c>
      <c r="E16" s="709" t="s">
        <v>14294</v>
      </c>
      <c r="F16" s="709" t="s">
        <v>751</v>
      </c>
    </row>
    <row r="17">
      <c r="A17" s="709" t="s">
        <v>256</v>
      </c>
      <c r="B17" s="709" t="s">
        <v>14259</v>
      </c>
      <c r="C17" s="709" t="s">
        <v>1204</v>
      </c>
      <c r="D17" s="709" t="s">
        <v>4846</v>
      </c>
      <c r="E17" s="709" t="s">
        <v>14296</v>
      </c>
      <c r="F17" s="709" t="s">
        <v>14297</v>
      </c>
    </row>
    <row r="18">
      <c r="A18" s="709" t="s">
        <v>256</v>
      </c>
      <c r="B18" s="709" t="s">
        <v>14259</v>
      </c>
      <c r="C18" s="709" t="s">
        <v>1058</v>
      </c>
      <c r="D18" s="709" t="s">
        <v>12469</v>
      </c>
      <c r="E18" s="709" t="s">
        <v>14298</v>
      </c>
      <c r="F18" s="709" t="s">
        <v>176</v>
      </c>
    </row>
    <row r="19">
      <c r="A19" s="709" t="s">
        <v>256</v>
      </c>
      <c r="B19" s="709" t="s">
        <v>14259</v>
      </c>
      <c r="C19" s="709" t="s">
        <v>7931</v>
      </c>
      <c r="D19" s="709" t="s">
        <v>12634</v>
      </c>
      <c r="E19" s="709" t="s">
        <v>14299</v>
      </c>
      <c r="F19" s="709" t="s">
        <v>254</v>
      </c>
    </row>
    <row r="20">
      <c r="A20" s="709" t="s">
        <v>256</v>
      </c>
      <c r="B20" s="709" t="s">
        <v>14259</v>
      </c>
      <c r="C20" s="709" t="s">
        <v>1813</v>
      </c>
      <c r="D20" s="709" t="s">
        <v>12811</v>
      </c>
      <c r="E20" s="709" t="s">
        <v>14300</v>
      </c>
      <c r="F20" s="709" t="s">
        <v>1479</v>
      </c>
    </row>
    <row r="21">
      <c r="A21" s="709" t="s">
        <v>256</v>
      </c>
      <c r="B21" s="709" t="s">
        <v>430</v>
      </c>
      <c r="C21" s="709" t="s">
        <v>412</v>
      </c>
      <c r="D21" s="709" t="s">
        <v>12861</v>
      </c>
      <c r="E21" s="709" t="s">
        <v>14304</v>
      </c>
      <c r="F21" s="709" t="s">
        <v>1056</v>
      </c>
    </row>
    <row r="22">
      <c r="A22" s="709" t="s">
        <v>256</v>
      </c>
      <c r="B22" s="709" t="s">
        <v>430</v>
      </c>
      <c r="C22" s="709" t="s">
        <v>1049</v>
      </c>
      <c r="D22" s="709" t="s">
        <v>12880</v>
      </c>
      <c r="E22" s="709" t="s">
        <v>14307</v>
      </c>
      <c r="F22" s="709" t="s">
        <v>1684</v>
      </c>
    </row>
    <row r="23">
      <c r="A23" s="709" t="s">
        <v>256</v>
      </c>
      <c r="B23" s="709" t="s">
        <v>430</v>
      </c>
      <c r="C23" s="709" t="s">
        <v>792</v>
      </c>
      <c r="D23" s="709" t="s">
        <v>118</v>
      </c>
      <c r="E23" s="709" t="s">
        <v>14310</v>
      </c>
      <c r="F23" s="709" t="s">
        <v>176</v>
      </c>
    </row>
    <row r="24">
      <c r="A24" s="709" t="s">
        <v>262</v>
      </c>
      <c r="B24" s="709" t="s">
        <v>14259</v>
      </c>
      <c r="C24" s="709" t="s">
        <v>157</v>
      </c>
      <c r="D24" s="709" t="s">
        <v>3399</v>
      </c>
      <c r="E24" s="709" t="s">
        <v>14313</v>
      </c>
      <c r="F24" s="709" t="s">
        <v>1188</v>
      </c>
      <c r="G24" s="14" t="b">
        <v>1</v>
      </c>
    </row>
    <row r="25">
      <c r="A25" s="709" t="s">
        <v>262</v>
      </c>
      <c r="B25" s="709" t="s">
        <v>14259</v>
      </c>
      <c r="C25" s="709" t="s">
        <v>12462</v>
      </c>
      <c r="D25" s="709" t="s">
        <v>12464</v>
      </c>
      <c r="E25" s="709" t="s">
        <v>14338</v>
      </c>
      <c r="F25" s="709" t="s">
        <v>877</v>
      </c>
      <c r="G25" s="14" t="b">
        <v>1</v>
      </c>
    </row>
    <row r="26">
      <c r="A26" s="709" t="s">
        <v>262</v>
      </c>
      <c r="B26" s="709" t="s">
        <v>14259</v>
      </c>
      <c r="C26" s="709" t="s">
        <v>2323</v>
      </c>
      <c r="D26" s="709" t="s">
        <v>62</v>
      </c>
      <c r="E26" s="709" t="s">
        <v>14344</v>
      </c>
      <c r="F26" s="709" t="s">
        <v>254</v>
      </c>
      <c r="G26" s="14" t="b">
        <v>1</v>
      </c>
    </row>
    <row r="27">
      <c r="A27" s="709" t="s">
        <v>262</v>
      </c>
      <c r="B27" s="709" t="s">
        <v>14259</v>
      </c>
      <c r="C27" s="709" t="s">
        <v>373</v>
      </c>
      <c r="D27" s="709" t="s">
        <v>293</v>
      </c>
      <c r="E27" s="709" t="s">
        <v>14347</v>
      </c>
      <c r="F27" s="709" t="s">
        <v>517</v>
      </c>
      <c r="G27" s="14" t="b">
        <v>1</v>
      </c>
    </row>
    <row r="28">
      <c r="A28" s="709" t="s">
        <v>262</v>
      </c>
      <c r="B28" s="709" t="s">
        <v>14259</v>
      </c>
      <c r="C28" s="709" t="s">
        <v>3376</v>
      </c>
      <c r="D28" s="709" t="s">
        <v>6554</v>
      </c>
      <c r="E28" s="709" t="s">
        <v>14353</v>
      </c>
      <c r="F28" s="709" t="s">
        <v>1693</v>
      </c>
      <c r="G28" s="14" t="b">
        <v>1</v>
      </c>
    </row>
    <row r="29">
      <c r="A29" s="709" t="s">
        <v>262</v>
      </c>
      <c r="B29" s="709" t="s">
        <v>14259</v>
      </c>
      <c r="C29" s="709" t="s">
        <v>3391</v>
      </c>
      <c r="D29" s="709" t="s">
        <v>2519</v>
      </c>
      <c r="E29" s="709" t="s">
        <v>14355</v>
      </c>
      <c r="F29" s="709" t="s">
        <v>176</v>
      </c>
      <c r="G29" s="14" t="b">
        <v>1</v>
      </c>
    </row>
    <row r="30">
      <c r="A30" s="709" t="s">
        <v>262</v>
      </c>
      <c r="B30" s="709" t="s">
        <v>430</v>
      </c>
      <c r="C30" s="709" t="s">
        <v>552</v>
      </c>
      <c r="D30" s="709" t="s">
        <v>12789</v>
      </c>
      <c r="E30" s="709" t="s">
        <v>14357</v>
      </c>
      <c r="F30" s="709" t="s">
        <v>1188</v>
      </c>
      <c r="G30" s="14" t="b">
        <v>1</v>
      </c>
    </row>
    <row r="31">
      <c r="A31" s="709" t="s">
        <v>262</v>
      </c>
      <c r="B31" s="709" t="s">
        <v>430</v>
      </c>
      <c r="C31" s="709" t="s">
        <v>1375</v>
      </c>
      <c r="D31" s="709" t="s">
        <v>12803</v>
      </c>
      <c r="E31" s="709" t="s">
        <v>14365</v>
      </c>
      <c r="F31" s="709" t="s">
        <v>1693</v>
      </c>
      <c r="G31" s="14" t="b">
        <v>1</v>
      </c>
    </row>
    <row r="32">
      <c r="A32" s="709" t="s">
        <v>262</v>
      </c>
      <c r="B32" s="709" t="s">
        <v>430</v>
      </c>
      <c r="C32" s="709" t="s">
        <v>4471</v>
      </c>
      <c r="D32" s="709" t="s">
        <v>5375</v>
      </c>
      <c r="E32" s="709" t="s">
        <v>14369</v>
      </c>
      <c r="F32" s="709" t="s">
        <v>1156</v>
      </c>
      <c r="G32" s="14" t="b">
        <v>1</v>
      </c>
    </row>
    <row r="33">
      <c r="A33" s="709" t="s">
        <v>262</v>
      </c>
      <c r="B33" s="709" t="s">
        <v>430</v>
      </c>
      <c r="C33" s="709" t="s">
        <v>1974</v>
      </c>
      <c r="D33" s="709" t="s">
        <v>12822</v>
      </c>
      <c r="E33" s="709" t="s">
        <v>14371</v>
      </c>
      <c r="F33" s="709" t="s">
        <v>877</v>
      </c>
      <c r="G33" s="14" t="b">
        <v>1</v>
      </c>
    </row>
    <row r="34">
      <c r="A34" s="709" t="s">
        <v>262</v>
      </c>
      <c r="B34" s="709" t="s">
        <v>430</v>
      </c>
      <c r="C34" s="709" t="s">
        <v>1541</v>
      </c>
      <c r="D34" s="709" t="s">
        <v>12854</v>
      </c>
      <c r="E34" s="709" t="s">
        <v>14377</v>
      </c>
      <c r="F34" s="709" t="s">
        <v>176</v>
      </c>
      <c r="G34" s="14" t="b">
        <v>1</v>
      </c>
    </row>
    <row r="35">
      <c r="A35" s="709" t="s">
        <v>259</v>
      </c>
      <c r="B35" s="709" t="s">
        <v>14259</v>
      </c>
      <c r="C35" s="709" t="s">
        <v>2194</v>
      </c>
      <c r="D35" s="709" t="s">
        <v>12382</v>
      </c>
      <c r="E35" s="815" t="s">
        <v>14383</v>
      </c>
      <c r="F35" s="709" t="s">
        <v>1056</v>
      </c>
      <c r="G35" s="14" t="s">
        <v>14387</v>
      </c>
    </row>
    <row r="36">
      <c r="B36" s="709"/>
    </row>
  </sheetData>
  <mergeCells count="1">
    <mergeCell ref="A1:F1"/>
  </mergeCells>
  <hyperlinks>
    <hyperlink r:id="rId1" ref="E35"/>
  </hyperlinks>
  <drawing r:id="rId2"/>
</worksheet>
</file>